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namedSheetViews/namedSheetView1.xml" ContentType="application/vnd.ms-excel.namedsheetviews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2a39c9c6caf6de42/Documentos/Stone Comercial/"/>
    </mc:Choice>
  </mc:AlternateContent>
  <xr:revisionPtr revIDLastSave="30293" documentId="8_{6551E51B-4400-4C9B-A9EF-AFE579B5518D}" xr6:coauthVersionLast="47" xr6:coauthVersionMax="47" xr10:uidLastSave="{63D0FB57-D836-46EB-96FD-3624A0F987BB}"/>
  <bookViews>
    <workbookView xWindow="-108" yWindow="-13068" windowWidth="23256" windowHeight="12456" tabRatio="717" activeTab="5" xr2:uid="{3215501F-FE32-4D2A-996F-21CC9BF05814}"/>
  </bookViews>
  <sheets>
    <sheet name="Jaciara" sheetId="8" r:id="rId1"/>
    <sheet name="preço" sheetId="3" r:id="rId2"/>
    <sheet name="atacado" sheetId="2" r:id="rId3"/>
    <sheet name="contabil" sheetId="7" r:id="rId4"/>
    <sheet name="fechamento" sheetId="4" r:id="rId5"/>
    <sheet name="estoque" sheetId="1" r:id="rId6"/>
    <sheet name="contas" sheetId="5" r:id="rId7"/>
  </sheets>
  <functionGroups builtInGroupCount="19"/>
  <definedNames>
    <definedName name="_xlnm._FilterDatabase" localSheetId="4" hidden="1">fechamento!$K$52:$P$105</definedName>
    <definedName name="_xlchart.v1.0" hidden="1">estoque!$AH$2:$AH$63</definedName>
    <definedName name="_xlchart.v1.1" hidden="1">estoque!$AO$1</definedName>
    <definedName name="_xlchart.v1.2" hidden="1">estoque!$AO$2:$AO$63</definedName>
    <definedName name="_xlcn.WorksheetConnection_GESTÃO2025ANO.xlsmcontroleEstoque1" hidden="1">controleEstoque[]</definedName>
    <definedName name="_xlcn.WorksheetConnection_GESTÃO2025ANO.xlsmestoque1" hidden="1">estoque[]</definedName>
    <definedName name="_xleta.ABS" hidden="1" xlm="1">#NAME?</definedName>
    <definedName name="_xleta.AND" hidden="1" xlm="1">#NAME?</definedName>
    <definedName name="_xleta.AVERAGEIFS" hidden="1" xlm="1">#NAME?</definedName>
    <definedName name="_xleta.DATE" hidden="1" xlm="1">#NAME?</definedName>
    <definedName name="_xleta.EOMONTH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MAXA" hidden="1" xlm="1">#NAME?</definedName>
    <definedName name="_xleta.MAXIFS" hidden="1" xlm="1">#NAME?</definedName>
    <definedName name="_xleta.MEDIAN" hidden="1" xlm="1">#NAME?</definedName>
    <definedName name="_xleta.MONTH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T" hidden="1" xlm="1">#NAME?</definedName>
    <definedName name="_xleta.TODAY" hidden="1" xlm="1">#NAME?</definedName>
    <definedName name="_xleta.UNIQUE" hidden="1" xlm="1">#NAME?</definedName>
    <definedName name="_xleta.VALUE" hidden="1" xlm="1">#NAME?</definedName>
    <definedName name="_xlpm.name" hidden="1" xlm="1">#NAME?</definedName>
    <definedName name="_xlnm.Criteria" localSheetId="4">fechamento!$K$53:$K$105</definedName>
    <definedName name="HELLO" comment="Returns a greeting">_xlfn.LAMBDA(_xlpm.name, _xldudf_BOARDFLARE_EXEC("hello",_xlpm.name))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oque" name="estoque" connection="WorksheetConnection_GESTÃO 2025 ANO.xlsm!estoque"/>
          <x15:modelTable id="controleEstoque" name="controleEstoque" connection="WorksheetConnection_GESTÃO 2025 ANO.xlsm!controleEstoqu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7" i="7" l="1"/>
  <c r="L3" i="4"/>
  <c r="O4" i="4"/>
  <c r="O3" i="4"/>
  <c r="D6" i="1"/>
  <c r="D5" i="1"/>
  <c r="D2" i="1"/>
  <c r="N7" i="7"/>
  <c r="L2" i="4"/>
  <c r="R79" i="7"/>
  <c r="W2" i="2" a="1"/>
  <c r="W2" i="2" s="1"/>
  <c r="L85" i="1" a="1"/>
  <c r="L85" i="1" s="1"/>
  <c r="K8" i="4"/>
  <c r="AG2" i="4"/>
  <c r="H8" i="7"/>
  <c r="F106" i="5"/>
  <c r="G106" i="5"/>
  <c r="J106" i="5"/>
  <c r="C28" i="7"/>
  <c r="D28" i="7" s="1"/>
  <c r="C30" i="7"/>
  <c r="D30" i="7" s="1"/>
  <c r="F27" i="5"/>
  <c r="G27" i="5"/>
  <c r="J27" i="5"/>
  <c r="F42" i="5"/>
  <c r="G42" i="5"/>
  <c r="J42" i="5"/>
  <c r="F58" i="5"/>
  <c r="G58" i="5"/>
  <c r="J58" i="5"/>
  <c r="F73" i="5"/>
  <c r="G73" i="5"/>
  <c r="J73" i="5"/>
  <c r="F86" i="5"/>
  <c r="G86" i="5"/>
  <c r="J86" i="5"/>
  <c r="F108" i="5"/>
  <c r="G108" i="5"/>
  <c r="J108" i="5"/>
  <c r="I198" i="1"/>
  <c r="T29" i="1" s="1"/>
  <c r="E13" i="1"/>
  <c r="I213" i="1"/>
  <c r="BL167" i="3" s="1"/>
  <c r="H13" i="7"/>
  <c r="I238" i="1"/>
  <c r="BL161" i="3" s="1"/>
  <c r="I258" i="1"/>
  <c r="BL156" i="3" s="1"/>
  <c r="I268" i="1"/>
  <c r="N3" i="7"/>
  <c r="D27" i="7"/>
  <c r="H26" i="7"/>
  <c r="D26" i="7"/>
  <c r="F44" i="5"/>
  <c r="G44" i="5"/>
  <c r="J44" i="5"/>
  <c r="F29" i="5"/>
  <c r="G29" i="5"/>
  <c r="J29" i="5"/>
  <c r="F14" i="5"/>
  <c r="G14" i="5"/>
  <c r="J14" i="5"/>
  <c r="F110" i="5"/>
  <c r="G110" i="5"/>
  <c r="J110" i="5"/>
  <c r="F7" i="5"/>
  <c r="G7" i="5"/>
  <c r="J7" i="5"/>
  <c r="F13" i="5"/>
  <c r="G13" i="5"/>
  <c r="J13" i="5"/>
  <c r="F28" i="5"/>
  <c r="G28" i="5"/>
  <c r="J28" i="5"/>
  <c r="F43" i="5"/>
  <c r="G43" i="5"/>
  <c r="J43" i="5"/>
  <c r="F59" i="5"/>
  <c r="G59" i="5"/>
  <c r="J59" i="5"/>
  <c r="F74" i="5"/>
  <c r="G74" i="5"/>
  <c r="J74" i="5"/>
  <c r="F87" i="5"/>
  <c r="G87" i="5"/>
  <c r="J87" i="5"/>
  <c r="R359" i="7"/>
  <c r="D1" i="8"/>
  <c r="C1" i="8"/>
  <c r="F68" i="5"/>
  <c r="G68" i="5"/>
  <c r="J68" i="5"/>
  <c r="F53" i="5"/>
  <c r="G53" i="5"/>
  <c r="J53" i="5"/>
  <c r="B2" i="4"/>
  <c r="L23" i="1" a="1"/>
  <c r="L23" i="1" s="1"/>
  <c r="F141" i="5"/>
  <c r="G141" i="5"/>
  <c r="J141" i="5"/>
  <c r="F142" i="5"/>
  <c r="G142" i="5"/>
  <c r="J142" i="5"/>
  <c r="F143" i="5"/>
  <c r="G143" i="5"/>
  <c r="J143" i="5"/>
  <c r="F149" i="5"/>
  <c r="G149" i="5"/>
  <c r="J149" i="5"/>
  <c r="F4" i="5"/>
  <c r="G4" i="5"/>
  <c r="J4" i="5"/>
  <c r="F8" i="5"/>
  <c r="G8" i="5"/>
  <c r="J8" i="5"/>
  <c r="F15" i="5"/>
  <c r="G15" i="5"/>
  <c r="J15" i="5"/>
  <c r="F31" i="5"/>
  <c r="G31" i="5"/>
  <c r="J31" i="5"/>
  <c r="F46" i="5"/>
  <c r="G46" i="5"/>
  <c r="J46" i="5"/>
  <c r="F61" i="5"/>
  <c r="G61" i="5"/>
  <c r="J61" i="5"/>
  <c r="F76" i="5"/>
  <c r="G76" i="5"/>
  <c r="J76" i="5"/>
  <c r="F89" i="5"/>
  <c r="G89" i="5"/>
  <c r="J89" i="5"/>
  <c r="F97" i="5"/>
  <c r="G97" i="5"/>
  <c r="J97" i="5"/>
  <c r="F99" i="5"/>
  <c r="G99" i="5"/>
  <c r="J99" i="5"/>
  <c r="F21" i="5"/>
  <c r="G21" i="5"/>
  <c r="J21" i="5"/>
  <c r="F114" i="5"/>
  <c r="G114" i="5"/>
  <c r="J114" i="5"/>
  <c r="F129" i="5"/>
  <c r="G129" i="5"/>
  <c r="J129" i="5"/>
  <c r="R584" i="7"/>
  <c r="F169" i="5"/>
  <c r="G169" i="5"/>
  <c r="J169" i="5"/>
  <c r="F134" i="5"/>
  <c r="G134" i="5"/>
  <c r="J134" i="5"/>
  <c r="F109" i="5"/>
  <c r="G109" i="5"/>
  <c r="J109" i="5"/>
  <c r="F12" i="5"/>
  <c r="G12" i="5"/>
  <c r="J12" i="5"/>
  <c r="F24" i="5"/>
  <c r="G24" i="5"/>
  <c r="J24" i="5"/>
  <c r="F163" i="5"/>
  <c r="G163" i="5"/>
  <c r="J163" i="5"/>
  <c r="F5" i="5"/>
  <c r="G5" i="5"/>
  <c r="J5" i="5"/>
  <c r="F10" i="5"/>
  <c r="G10" i="5"/>
  <c r="J10" i="5"/>
  <c r="F19" i="5"/>
  <c r="G19" i="5"/>
  <c r="J19" i="5"/>
  <c r="F36" i="5"/>
  <c r="G36" i="5"/>
  <c r="J36" i="5"/>
  <c r="F51" i="5"/>
  <c r="G51" i="5"/>
  <c r="J51" i="5"/>
  <c r="F66" i="5"/>
  <c r="G66" i="5"/>
  <c r="J66" i="5"/>
  <c r="F81" i="5"/>
  <c r="G81" i="5"/>
  <c r="J81" i="5"/>
  <c r="F94" i="5"/>
  <c r="G94" i="5"/>
  <c r="J94" i="5"/>
  <c r="F98" i="5"/>
  <c r="G98" i="5"/>
  <c r="J98" i="5"/>
  <c r="F100" i="5"/>
  <c r="G100" i="5"/>
  <c r="J100" i="5"/>
  <c r="F101" i="5"/>
  <c r="G101" i="5"/>
  <c r="J101" i="5"/>
  <c r="F156" i="5"/>
  <c r="G156" i="5"/>
  <c r="J156" i="5"/>
  <c r="F6" i="5"/>
  <c r="G6" i="5"/>
  <c r="J6" i="5"/>
  <c r="F11" i="5"/>
  <c r="G11" i="5"/>
  <c r="J11" i="5"/>
  <c r="F20" i="5"/>
  <c r="G20" i="5"/>
  <c r="J20" i="5"/>
  <c r="F37" i="5"/>
  <c r="G37" i="5"/>
  <c r="J37" i="5"/>
  <c r="F52" i="5"/>
  <c r="G52" i="5"/>
  <c r="J52" i="5"/>
  <c r="F67" i="5"/>
  <c r="G67" i="5"/>
  <c r="J67" i="5"/>
  <c r="BB3" i="1"/>
  <c r="BC3" i="1" s="1"/>
  <c r="BB4" i="1"/>
  <c r="BD4" i="1" s="1"/>
  <c r="BB5" i="1"/>
  <c r="BC5" i="1" s="1"/>
  <c r="BB6" i="1"/>
  <c r="BD6" i="1" s="1"/>
  <c r="F171" i="5"/>
  <c r="G171" i="5"/>
  <c r="J171" i="5"/>
  <c r="A72" i="3"/>
  <c r="A73" i="3"/>
  <c r="A74" i="3"/>
  <c r="A75" i="3"/>
  <c r="A76" i="3"/>
  <c r="A77" i="3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/>
  <c r="A167" i="3"/>
  <c r="A168" i="3"/>
  <c r="A169" i="3"/>
  <c r="A170" i="3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I607" i="1"/>
  <c r="BL75" i="3" s="1"/>
  <c r="BG75" i="3"/>
  <c r="F177" i="5"/>
  <c r="G177" i="5"/>
  <c r="J177" i="5"/>
  <c r="F144" i="5"/>
  <c r="G144" i="5"/>
  <c r="J144" i="5"/>
  <c r="F145" i="5"/>
  <c r="G145" i="5"/>
  <c r="J145" i="5"/>
  <c r="F146" i="5"/>
  <c r="G146" i="5"/>
  <c r="J146" i="5"/>
  <c r="I656" i="1"/>
  <c r="BL65" i="3" s="1"/>
  <c r="BG65" i="3"/>
  <c r="N4" i="5"/>
  <c r="P4" i="5" s="1"/>
  <c r="N5" i="5"/>
  <c r="O5" i="5" s="1"/>
  <c r="N6" i="5"/>
  <c r="O6" i="5" s="1"/>
  <c r="N7" i="5"/>
  <c r="P7" i="5" s="1"/>
  <c r="N8" i="5"/>
  <c r="P8" i="5" s="1"/>
  <c r="N9" i="5"/>
  <c r="O9" i="5" s="1"/>
  <c r="N10" i="5"/>
  <c r="P10" i="5" s="1"/>
  <c r="N11" i="5"/>
  <c r="O11" i="5" s="1"/>
  <c r="P11" i="5"/>
  <c r="N12" i="5"/>
  <c r="P12" i="5" s="1"/>
  <c r="N13" i="5"/>
  <c r="P13" i="5" s="1"/>
  <c r="N14" i="5"/>
  <c r="P14" i="5" s="1"/>
  <c r="N15" i="5"/>
  <c r="P15" i="5" s="1"/>
  <c r="F182" i="5"/>
  <c r="I676" i="1"/>
  <c r="BL61" i="3" s="1"/>
  <c r="BG61" i="3"/>
  <c r="F150" i="5"/>
  <c r="G150" i="5"/>
  <c r="J150" i="5"/>
  <c r="F187" i="5"/>
  <c r="G187" i="5"/>
  <c r="J187" i="5"/>
  <c r="F188" i="5"/>
  <c r="G188" i="5"/>
  <c r="J188" i="5"/>
  <c r="R1096" i="7"/>
  <c r="R1097" i="7"/>
  <c r="BE3" i="1"/>
  <c r="BF3" i="1" s="1"/>
  <c r="BE4" i="1"/>
  <c r="BG4" i="1" s="1"/>
  <c r="BE5" i="1"/>
  <c r="BF5" i="1" s="1"/>
  <c r="BE6" i="1"/>
  <c r="BG6" i="1" s="1"/>
  <c r="BE2" i="1"/>
  <c r="BG2" i="1" s="1"/>
  <c r="BB2" i="1"/>
  <c r="BD2" i="1" s="1"/>
  <c r="I705" i="1"/>
  <c r="BL55" i="3" s="1"/>
  <c r="BG55" i="3"/>
  <c r="P2" i="2"/>
  <c r="I797" i="1"/>
  <c r="H93" i="7"/>
  <c r="F117" i="5"/>
  <c r="G117" i="5"/>
  <c r="J117" i="5"/>
  <c r="F26" i="5"/>
  <c r="G26" i="5"/>
  <c r="J26" i="5"/>
  <c r="F41" i="5"/>
  <c r="G41" i="5"/>
  <c r="J41" i="5"/>
  <c r="F57" i="5"/>
  <c r="G57" i="5"/>
  <c r="J57" i="5"/>
  <c r="F72" i="5"/>
  <c r="G72" i="5"/>
  <c r="J72" i="5"/>
  <c r="F85" i="5"/>
  <c r="G85" i="5"/>
  <c r="J85" i="5"/>
  <c r="K19" i="5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L70" i="5" s="1"/>
  <c r="F9" i="5"/>
  <c r="G9" i="5"/>
  <c r="J9" i="5"/>
  <c r="F128" i="5"/>
  <c r="G128" i="5"/>
  <c r="J128" i="5"/>
  <c r="F155" i="5"/>
  <c r="G155" i="5"/>
  <c r="J155" i="5"/>
  <c r="F175" i="5"/>
  <c r="G175" i="5"/>
  <c r="J175" i="5"/>
  <c r="F190" i="5"/>
  <c r="G190" i="5"/>
  <c r="J190" i="5"/>
  <c r="F164" i="5"/>
  <c r="G164" i="5"/>
  <c r="J164" i="5"/>
  <c r="F162" i="5"/>
  <c r="G162" i="5"/>
  <c r="J162" i="5"/>
  <c r="F161" i="5"/>
  <c r="G161" i="5"/>
  <c r="J161" i="5"/>
  <c r="BZ3" i="3"/>
  <c r="BZ4" i="3"/>
  <c r="BZ5" i="3"/>
  <c r="BZ6" i="3"/>
  <c r="BZ7" i="3"/>
  <c r="BZ8" i="3"/>
  <c r="BZ9" i="3"/>
  <c r="BZ10" i="3"/>
  <c r="BZ11" i="3"/>
  <c r="BZ12" i="3"/>
  <c r="BZ13" i="3"/>
  <c r="BZ14" i="3"/>
  <c r="BZ15" i="3"/>
  <c r="BZ16" i="3"/>
  <c r="BZ17" i="3"/>
  <c r="BZ18" i="3"/>
  <c r="BZ19" i="3"/>
  <c r="BZ20" i="3"/>
  <c r="BZ21" i="3"/>
  <c r="BZ22" i="3"/>
  <c r="BZ23" i="3"/>
  <c r="BZ24" i="3"/>
  <c r="BZ25" i="3"/>
  <c r="BZ26" i="3"/>
  <c r="BZ27" i="3"/>
  <c r="BZ28" i="3"/>
  <c r="BZ29" i="3"/>
  <c r="BZ30" i="3"/>
  <c r="BZ31" i="3"/>
  <c r="BZ32" i="3"/>
  <c r="BZ33" i="3"/>
  <c r="BZ34" i="3"/>
  <c r="BZ35" i="3"/>
  <c r="BZ36" i="3"/>
  <c r="BZ37" i="3"/>
  <c r="BZ38" i="3"/>
  <c r="BZ39" i="3"/>
  <c r="BZ40" i="3"/>
  <c r="BZ41" i="3"/>
  <c r="BZ42" i="3"/>
  <c r="BZ43" i="3"/>
  <c r="BZ44" i="3"/>
  <c r="BZ45" i="3"/>
  <c r="BZ46" i="3"/>
  <c r="BZ47" i="3"/>
  <c r="BZ48" i="3"/>
  <c r="BZ49" i="3"/>
  <c r="BZ50" i="3"/>
  <c r="BZ51" i="3"/>
  <c r="BZ52" i="3"/>
  <c r="BZ53" i="3"/>
  <c r="BZ54" i="3"/>
  <c r="G715" i="4"/>
  <c r="N4" i="4" s="1"/>
  <c r="E203" i="5"/>
  <c r="G209" i="5"/>
  <c r="F107" i="5"/>
  <c r="G107" i="5"/>
  <c r="J107" i="5"/>
  <c r="F126" i="5"/>
  <c r="G126" i="5"/>
  <c r="J126" i="5"/>
  <c r="F131" i="5"/>
  <c r="G131" i="5"/>
  <c r="J131" i="5"/>
  <c r="F165" i="5"/>
  <c r="G165" i="5"/>
  <c r="J165" i="5"/>
  <c r="F167" i="5"/>
  <c r="G167" i="5"/>
  <c r="J167" i="5"/>
  <c r="F200" i="5"/>
  <c r="G200" i="5"/>
  <c r="J200" i="5"/>
  <c r="F115" i="5"/>
  <c r="G115" i="5"/>
  <c r="J115" i="5"/>
  <c r="F122" i="5"/>
  <c r="G122" i="5"/>
  <c r="J122" i="5"/>
  <c r="F168" i="5"/>
  <c r="G168" i="5"/>
  <c r="J168" i="5"/>
  <c r="G182" i="5"/>
  <c r="J182" i="5"/>
  <c r="F199" i="5"/>
  <c r="G199" i="5"/>
  <c r="J199" i="5"/>
  <c r="F186" i="5"/>
  <c r="G186" i="5"/>
  <c r="J186" i="5"/>
  <c r="F153" i="5"/>
  <c r="G153" i="5"/>
  <c r="J153" i="5"/>
  <c r="F157" i="5"/>
  <c r="G157" i="5"/>
  <c r="J157" i="5"/>
  <c r="F125" i="5"/>
  <c r="G125" i="5"/>
  <c r="J125" i="5"/>
  <c r="F206" i="5"/>
  <c r="G206" i="5"/>
  <c r="J206" i="5"/>
  <c r="F207" i="5"/>
  <c r="G207" i="5"/>
  <c r="J207" i="5"/>
  <c r="E913" i="1"/>
  <c r="X2" i="7" s="1"/>
  <c r="F123" i="5"/>
  <c r="G123" i="5"/>
  <c r="J123" i="5"/>
  <c r="F135" i="5"/>
  <c r="G135" i="5"/>
  <c r="J135" i="5"/>
  <c r="F158" i="5"/>
  <c r="G158" i="5"/>
  <c r="J158" i="5"/>
  <c r="F180" i="5"/>
  <c r="G180" i="5"/>
  <c r="J180" i="5"/>
  <c r="F192" i="5"/>
  <c r="G192" i="5"/>
  <c r="J192" i="5"/>
  <c r="F214" i="5"/>
  <c r="G214" i="5"/>
  <c r="J214" i="5"/>
  <c r="H62" i="7"/>
  <c r="F154" i="5"/>
  <c r="G154" i="5"/>
  <c r="J154" i="5"/>
  <c r="F174" i="5"/>
  <c r="G174" i="5"/>
  <c r="J174" i="5"/>
  <c r="F191" i="5"/>
  <c r="G191" i="5"/>
  <c r="J191" i="5"/>
  <c r="F215" i="5"/>
  <c r="G215" i="5"/>
  <c r="J215" i="5"/>
  <c r="X4" i="7"/>
  <c r="G216" i="5"/>
  <c r="G194" i="5"/>
  <c r="G176" i="5"/>
  <c r="G138" i="5"/>
  <c r="G130" i="5"/>
  <c r="G111" i="5"/>
  <c r="G105" i="5"/>
  <c r="G32" i="5"/>
  <c r="G47" i="5"/>
  <c r="G62" i="5"/>
  <c r="G77" i="5"/>
  <c r="G90" i="5"/>
  <c r="G166" i="5"/>
  <c r="G178" i="5"/>
  <c r="G197" i="5"/>
  <c r="G96" i="5"/>
  <c r="G83" i="5"/>
  <c r="G70" i="5"/>
  <c r="G55" i="5"/>
  <c r="G39" i="5"/>
  <c r="G23" i="5"/>
  <c r="G103" i="5"/>
  <c r="G121" i="5"/>
  <c r="G148" i="5"/>
  <c r="F216" i="5"/>
  <c r="J216" i="5"/>
  <c r="F194" i="5"/>
  <c r="J194" i="5"/>
  <c r="F176" i="5"/>
  <c r="J176" i="5"/>
  <c r="F138" i="5"/>
  <c r="J138" i="5"/>
  <c r="F130" i="5"/>
  <c r="J130" i="5"/>
  <c r="F111" i="5"/>
  <c r="J111" i="5"/>
  <c r="F105" i="5"/>
  <c r="J105" i="5"/>
  <c r="F32" i="5"/>
  <c r="J32" i="5"/>
  <c r="F47" i="5"/>
  <c r="J47" i="5"/>
  <c r="F62" i="5"/>
  <c r="J62" i="5"/>
  <c r="F77" i="5"/>
  <c r="J77" i="5"/>
  <c r="F90" i="5"/>
  <c r="J90" i="5"/>
  <c r="F166" i="5"/>
  <c r="J166" i="5"/>
  <c r="F178" i="5"/>
  <c r="J178" i="5"/>
  <c r="F197" i="5"/>
  <c r="J197" i="5"/>
  <c r="F96" i="5"/>
  <c r="J96" i="5"/>
  <c r="F83" i="5"/>
  <c r="J83" i="5"/>
  <c r="F70" i="5"/>
  <c r="J70" i="5"/>
  <c r="F55" i="5"/>
  <c r="J55" i="5"/>
  <c r="F39" i="5"/>
  <c r="J39" i="5"/>
  <c r="F23" i="5"/>
  <c r="J23" i="5"/>
  <c r="F103" i="5"/>
  <c r="J103" i="5"/>
  <c r="F121" i="5"/>
  <c r="J121" i="5"/>
  <c r="F148" i="5"/>
  <c r="J148" i="5"/>
  <c r="G204" i="5"/>
  <c r="G181" i="5"/>
  <c r="G151" i="5"/>
  <c r="G133" i="5"/>
  <c r="G120" i="5"/>
  <c r="G102" i="5"/>
  <c r="G22" i="5"/>
  <c r="G38" i="5"/>
  <c r="G54" i="5"/>
  <c r="G69" i="5"/>
  <c r="G82" i="5"/>
  <c r="G95" i="5"/>
  <c r="G84" i="5"/>
  <c r="G71" i="5"/>
  <c r="G56" i="5"/>
  <c r="G40" i="5"/>
  <c r="G25" i="5"/>
  <c r="G116" i="5"/>
  <c r="G124" i="5"/>
  <c r="G136" i="5"/>
  <c r="G152" i="5"/>
  <c r="G183" i="5"/>
  <c r="G201" i="5"/>
  <c r="G16" i="5"/>
  <c r="G33" i="5"/>
  <c r="G48" i="5"/>
  <c r="G63" i="5"/>
  <c r="G78" i="5"/>
  <c r="G91" i="5"/>
  <c r="G210" i="5"/>
  <c r="G172" i="5"/>
  <c r="G139" i="5"/>
  <c r="G119" i="5"/>
  <c r="G112" i="5"/>
  <c r="G17" i="5"/>
  <c r="G34" i="5"/>
  <c r="G49" i="5"/>
  <c r="G64" i="5"/>
  <c r="G79" i="5"/>
  <c r="G92" i="5"/>
  <c r="G189" i="5"/>
  <c r="G173" i="5"/>
  <c r="G140" i="5"/>
  <c r="G127" i="5"/>
  <c r="G113" i="5"/>
  <c r="G18" i="5"/>
  <c r="G35" i="5"/>
  <c r="G50" i="5"/>
  <c r="G65" i="5"/>
  <c r="G80" i="5"/>
  <c r="G93" i="5"/>
  <c r="G218" i="5"/>
  <c r="G198" i="5"/>
  <c r="G179" i="5"/>
  <c r="G147" i="5"/>
  <c r="G132" i="5"/>
  <c r="G118" i="5"/>
  <c r="G104" i="5"/>
  <c r="G30" i="5"/>
  <c r="G45" i="5"/>
  <c r="G60" i="5"/>
  <c r="G75" i="5"/>
  <c r="G88" i="5"/>
  <c r="F204" i="5"/>
  <c r="J204" i="5"/>
  <c r="F181" i="5"/>
  <c r="J181" i="5"/>
  <c r="F151" i="5"/>
  <c r="J151" i="5"/>
  <c r="F133" i="5"/>
  <c r="J133" i="5"/>
  <c r="F120" i="5"/>
  <c r="J120" i="5"/>
  <c r="F102" i="5"/>
  <c r="J102" i="5"/>
  <c r="F22" i="5"/>
  <c r="J22" i="5"/>
  <c r="F38" i="5"/>
  <c r="J38" i="5"/>
  <c r="F54" i="5"/>
  <c r="J54" i="5"/>
  <c r="F69" i="5"/>
  <c r="J69" i="5"/>
  <c r="F82" i="5"/>
  <c r="J82" i="5"/>
  <c r="F95" i="5"/>
  <c r="J95" i="5"/>
  <c r="F84" i="5"/>
  <c r="J84" i="5"/>
  <c r="F71" i="5"/>
  <c r="J71" i="5"/>
  <c r="F56" i="5"/>
  <c r="J56" i="5"/>
  <c r="F40" i="5"/>
  <c r="J40" i="5"/>
  <c r="F25" i="5"/>
  <c r="J25" i="5"/>
  <c r="F116" i="5"/>
  <c r="J116" i="5"/>
  <c r="F124" i="5"/>
  <c r="J124" i="5"/>
  <c r="F136" i="5"/>
  <c r="J136" i="5"/>
  <c r="F152" i="5"/>
  <c r="J152" i="5"/>
  <c r="F183" i="5"/>
  <c r="J183" i="5"/>
  <c r="F201" i="5"/>
  <c r="J201" i="5"/>
  <c r="F16" i="5"/>
  <c r="J16" i="5"/>
  <c r="F33" i="5"/>
  <c r="J33" i="5"/>
  <c r="F48" i="5"/>
  <c r="J48" i="5"/>
  <c r="F63" i="5"/>
  <c r="J63" i="5"/>
  <c r="F78" i="5"/>
  <c r="J78" i="5"/>
  <c r="F91" i="5"/>
  <c r="J91" i="5"/>
  <c r="F210" i="5"/>
  <c r="J210" i="5"/>
  <c r="F172" i="5"/>
  <c r="J172" i="5"/>
  <c r="F139" i="5"/>
  <c r="J139" i="5"/>
  <c r="F119" i="5"/>
  <c r="J119" i="5"/>
  <c r="F112" i="5"/>
  <c r="J112" i="5"/>
  <c r="F17" i="5"/>
  <c r="J17" i="5"/>
  <c r="F34" i="5"/>
  <c r="J34" i="5"/>
  <c r="F49" i="5"/>
  <c r="J49" i="5"/>
  <c r="F64" i="5"/>
  <c r="J64" i="5"/>
  <c r="F79" i="5"/>
  <c r="J79" i="5"/>
  <c r="F92" i="5"/>
  <c r="J92" i="5"/>
  <c r="F209" i="5"/>
  <c r="J209" i="5"/>
  <c r="F189" i="5"/>
  <c r="J189" i="5"/>
  <c r="F173" i="5"/>
  <c r="J173" i="5"/>
  <c r="F140" i="5"/>
  <c r="J140" i="5"/>
  <c r="F127" i="5"/>
  <c r="J127" i="5"/>
  <c r="F113" i="5"/>
  <c r="J113" i="5"/>
  <c r="F18" i="5"/>
  <c r="J18" i="5"/>
  <c r="F35" i="5"/>
  <c r="J35" i="5"/>
  <c r="F50" i="5"/>
  <c r="J50" i="5"/>
  <c r="F65" i="5"/>
  <c r="J65" i="5"/>
  <c r="F80" i="5"/>
  <c r="J80" i="5"/>
  <c r="F93" i="5"/>
  <c r="J93" i="5"/>
  <c r="F218" i="5"/>
  <c r="J218" i="5"/>
  <c r="F198" i="5"/>
  <c r="J198" i="5"/>
  <c r="F179" i="5"/>
  <c r="J179" i="5"/>
  <c r="F147" i="5"/>
  <c r="J147" i="5"/>
  <c r="F132" i="5"/>
  <c r="J132" i="5"/>
  <c r="F118" i="5"/>
  <c r="J118" i="5"/>
  <c r="F104" i="5"/>
  <c r="J104" i="5"/>
  <c r="F30" i="5"/>
  <c r="J30" i="5"/>
  <c r="F45" i="5"/>
  <c r="J45" i="5"/>
  <c r="F60" i="5"/>
  <c r="J60" i="5"/>
  <c r="F75" i="5"/>
  <c r="J75" i="5"/>
  <c r="F88" i="5"/>
  <c r="J88" i="5"/>
  <c r="G203" i="5"/>
  <c r="G211" i="5"/>
  <c r="G212" i="5"/>
  <c r="X3" i="7"/>
  <c r="H80" i="7"/>
  <c r="B13" i="7" s="1"/>
  <c r="BG58" i="3"/>
  <c r="BG59" i="3"/>
  <c r="BG60" i="3"/>
  <c r="BG62" i="3"/>
  <c r="BG63" i="3"/>
  <c r="BG64" i="3"/>
  <c r="BG66" i="3"/>
  <c r="BG67" i="3"/>
  <c r="BG68" i="3"/>
  <c r="BG69" i="3"/>
  <c r="BG70" i="3"/>
  <c r="BG71" i="3"/>
  <c r="BG72" i="3"/>
  <c r="BG73" i="3"/>
  <c r="BG74" i="3"/>
  <c r="BG76" i="3"/>
  <c r="BG77" i="3"/>
  <c r="BG78" i="3"/>
  <c r="BG79" i="3"/>
  <c r="BG80" i="3"/>
  <c r="BG81" i="3"/>
  <c r="BG82" i="3"/>
  <c r="BG83" i="3"/>
  <c r="BG84" i="3"/>
  <c r="BG85" i="3"/>
  <c r="BG86" i="3"/>
  <c r="BG87" i="3"/>
  <c r="BG88" i="3"/>
  <c r="BG89" i="3"/>
  <c r="BG90" i="3"/>
  <c r="BG91" i="3"/>
  <c r="BG92" i="3"/>
  <c r="BG93" i="3"/>
  <c r="BG94" i="3"/>
  <c r="BG95" i="3"/>
  <c r="BG96" i="3"/>
  <c r="BG97" i="3"/>
  <c r="BG98" i="3"/>
  <c r="BG99" i="3"/>
  <c r="BF99" i="3"/>
  <c r="BF98" i="3"/>
  <c r="BL96" i="3"/>
  <c r="BL97" i="3"/>
  <c r="BL95" i="3"/>
  <c r="BG100" i="3"/>
  <c r="BG101" i="3"/>
  <c r="BG102" i="3"/>
  <c r="BG103" i="3"/>
  <c r="BG104" i="3"/>
  <c r="BG105" i="3"/>
  <c r="BG106" i="3"/>
  <c r="BG107" i="3"/>
  <c r="BG108" i="3"/>
  <c r="BG109" i="3"/>
  <c r="BG110" i="3"/>
  <c r="BG111" i="3"/>
  <c r="BG112" i="3"/>
  <c r="BG113" i="3"/>
  <c r="BG114" i="3"/>
  <c r="BG115" i="3"/>
  <c r="BG116" i="3"/>
  <c r="BG117" i="3"/>
  <c r="BG118" i="3"/>
  <c r="BG119" i="3"/>
  <c r="BG120" i="3"/>
  <c r="BG121" i="3"/>
  <c r="BG122" i="3"/>
  <c r="BG123" i="3"/>
  <c r="BG124" i="3"/>
  <c r="BG125" i="3"/>
  <c r="BG126" i="3"/>
  <c r="BG127" i="3"/>
  <c r="BG128" i="3"/>
  <c r="BG129" i="3"/>
  <c r="BG130" i="3"/>
  <c r="BG131" i="3"/>
  <c r="BG132" i="3"/>
  <c r="BG133" i="3"/>
  <c r="BG134" i="3"/>
  <c r="BG135" i="3"/>
  <c r="BG136" i="3"/>
  <c r="BG137" i="3"/>
  <c r="BG138" i="3"/>
  <c r="BG139" i="3"/>
  <c r="BG140" i="3"/>
  <c r="BG141" i="3"/>
  <c r="BG142" i="3"/>
  <c r="BG143" i="3"/>
  <c r="BG144" i="3"/>
  <c r="BG145" i="3"/>
  <c r="BG146" i="3"/>
  <c r="BG147" i="3"/>
  <c r="BG148" i="3"/>
  <c r="BG149" i="3"/>
  <c r="BG150" i="3"/>
  <c r="BG151" i="3"/>
  <c r="BG152" i="3"/>
  <c r="BG153" i="3"/>
  <c r="BG154" i="3"/>
  <c r="BG155" i="3"/>
  <c r="BG156" i="3"/>
  <c r="BG157" i="3"/>
  <c r="BG158" i="3"/>
  <c r="BG159" i="3"/>
  <c r="BG160" i="3"/>
  <c r="BG161" i="3"/>
  <c r="BG162" i="3"/>
  <c r="BG163" i="3"/>
  <c r="BG164" i="3"/>
  <c r="BG165" i="3"/>
  <c r="BG166" i="3"/>
  <c r="BG167" i="3"/>
  <c r="BG168" i="3"/>
  <c r="BG169" i="3"/>
  <c r="BG170" i="3"/>
  <c r="BG171" i="3"/>
  <c r="BG172" i="3"/>
  <c r="BG173" i="3"/>
  <c r="BG174" i="3"/>
  <c r="BG175" i="3"/>
  <c r="BG176" i="3"/>
  <c r="BG177" i="3"/>
  <c r="BG178" i="3"/>
  <c r="BG179" i="3"/>
  <c r="BG180" i="3"/>
  <c r="BG181" i="3"/>
  <c r="BG182" i="3"/>
  <c r="BG183" i="3"/>
  <c r="BG184" i="3"/>
  <c r="BG185" i="3"/>
  <c r="BG186" i="3"/>
  <c r="BG187" i="3"/>
  <c r="BG188" i="3"/>
  <c r="BG189" i="3"/>
  <c r="BF189" i="3"/>
  <c r="BF188" i="3"/>
  <c r="BL186" i="3"/>
  <c r="BL187" i="3"/>
  <c r="BL185" i="3"/>
  <c r="BF187" i="3"/>
  <c r="BF186" i="3"/>
  <c r="BF185" i="3"/>
  <c r="BF184" i="3"/>
  <c r="BF183" i="3"/>
  <c r="BL184" i="3"/>
  <c r="BF182" i="3"/>
  <c r="BL183" i="3"/>
  <c r="BO183" i="3" s="1"/>
  <c r="BG190" i="3"/>
  <c r="BG191" i="3"/>
  <c r="BG192" i="3"/>
  <c r="BG193" i="3"/>
  <c r="BG194" i="3"/>
  <c r="BG195" i="3"/>
  <c r="BG196" i="3"/>
  <c r="BG197" i="3"/>
  <c r="BG198" i="3"/>
  <c r="BG199" i="3"/>
  <c r="BG200" i="3"/>
  <c r="BG201" i="3"/>
  <c r="BG202" i="3"/>
  <c r="BG203" i="3"/>
  <c r="BG204" i="3"/>
  <c r="BG205" i="3"/>
  <c r="BG206" i="3"/>
  <c r="BG207" i="3"/>
  <c r="BG208" i="3"/>
  <c r="BG209" i="3"/>
  <c r="BG210" i="3"/>
  <c r="BG211" i="3"/>
  <c r="BG212" i="3"/>
  <c r="BG213" i="3"/>
  <c r="BO213" i="3"/>
  <c r="BG214" i="3"/>
  <c r="BO214" i="3"/>
  <c r="BG215" i="3"/>
  <c r="BO215" i="3"/>
  <c r="BG216" i="3"/>
  <c r="BO216" i="3"/>
  <c r="BG217" i="3"/>
  <c r="BO217" i="3"/>
  <c r="BG218" i="3"/>
  <c r="BO218" i="3"/>
  <c r="BG219" i="3"/>
  <c r="BO219" i="3"/>
  <c r="BG220" i="3"/>
  <c r="BO220" i="3"/>
  <c r="BG221" i="3"/>
  <c r="BO221" i="3"/>
  <c r="BG222" i="3"/>
  <c r="BO222" i="3"/>
  <c r="BG223" i="3"/>
  <c r="BO223" i="3"/>
  <c r="BG224" i="3"/>
  <c r="BO224" i="3"/>
  <c r="BG225" i="3"/>
  <c r="BO225" i="3"/>
  <c r="BG226" i="3"/>
  <c r="BO226" i="3"/>
  <c r="BG227" i="3"/>
  <c r="BO227" i="3"/>
  <c r="BG228" i="3"/>
  <c r="BO228" i="3"/>
  <c r="BG229" i="3"/>
  <c r="BO229" i="3"/>
  <c r="BG230" i="3"/>
  <c r="BO230" i="3"/>
  <c r="BG231" i="3"/>
  <c r="BO231" i="3"/>
  <c r="BG232" i="3"/>
  <c r="BO232" i="3"/>
  <c r="BG233" i="3"/>
  <c r="BO233" i="3"/>
  <c r="BG234" i="3"/>
  <c r="BO234" i="3"/>
  <c r="BG235" i="3"/>
  <c r="BO235" i="3"/>
  <c r="BG236" i="3"/>
  <c r="BO236" i="3"/>
  <c r="BG237" i="3"/>
  <c r="BO237" i="3"/>
  <c r="BG238" i="3"/>
  <c r="BO238" i="3"/>
  <c r="BG239" i="3"/>
  <c r="BO239" i="3"/>
  <c r="BG240" i="3"/>
  <c r="BO240" i="3"/>
  <c r="BG241" i="3"/>
  <c r="BO241" i="3"/>
  <c r="BG242" i="3"/>
  <c r="BO242" i="3"/>
  <c r="BG243" i="3"/>
  <c r="BO243" i="3"/>
  <c r="BG244" i="3"/>
  <c r="BO244" i="3"/>
  <c r="BG245" i="3"/>
  <c r="BO245" i="3"/>
  <c r="BG246" i="3"/>
  <c r="BO246" i="3"/>
  <c r="BG247" i="3"/>
  <c r="BO247" i="3"/>
  <c r="BG248" i="3"/>
  <c r="BO248" i="3"/>
  <c r="BG249" i="3"/>
  <c r="BO249" i="3"/>
  <c r="BG250" i="3"/>
  <c r="BO250" i="3"/>
  <c r="BG251" i="3"/>
  <c r="BO251" i="3"/>
  <c r="BG252" i="3"/>
  <c r="BO252" i="3"/>
  <c r="BG253" i="3"/>
  <c r="BO253" i="3"/>
  <c r="BG254" i="3"/>
  <c r="BO254" i="3"/>
  <c r="BG255" i="3"/>
  <c r="BO255" i="3"/>
  <c r="BG256" i="3"/>
  <c r="BO256" i="3"/>
  <c r="BG257" i="3"/>
  <c r="BO257" i="3"/>
  <c r="BG258" i="3"/>
  <c r="BO258" i="3"/>
  <c r="BG259" i="3"/>
  <c r="BO259" i="3"/>
  <c r="BG260" i="3"/>
  <c r="BO260" i="3"/>
  <c r="BG261" i="3"/>
  <c r="BO261" i="3"/>
  <c r="BG262" i="3"/>
  <c r="BO262" i="3"/>
  <c r="BG263" i="3"/>
  <c r="BO263" i="3"/>
  <c r="BG264" i="3"/>
  <c r="BO264" i="3"/>
  <c r="BG265" i="3"/>
  <c r="BO265" i="3"/>
  <c r="BG266" i="3"/>
  <c r="BO266" i="3"/>
  <c r="BG267" i="3"/>
  <c r="BO267" i="3"/>
  <c r="BG268" i="3"/>
  <c r="BO268" i="3"/>
  <c r="BG269" i="3"/>
  <c r="BO269" i="3"/>
  <c r="BG270" i="3"/>
  <c r="BO270" i="3"/>
  <c r="BG271" i="3"/>
  <c r="BO271" i="3"/>
  <c r="BG272" i="3"/>
  <c r="BO272" i="3"/>
  <c r="BG273" i="3"/>
  <c r="BO273" i="3"/>
  <c r="BG274" i="3"/>
  <c r="BO274" i="3"/>
  <c r="BG275" i="3"/>
  <c r="BO275" i="3"/>
  <c r="BG276" i="3"/>
  <c r="BO276" i="3"/>
  <c r="BG277" i="3"/>
  <c r="BO277" i="3"/>
  <c r="BG278" i="3"/>
  <c r="BO278" i="3"/>
  <c r="BG279" i="3"/>
  <c r="BO279" i="3"/>
  <c r="BG280" i="3"/>
  <c r="BO280" i="3"/>
  <c r="BG281" i="3"/>
  <c r="BO281" i="3"/>
  <c r="BG282" i="3"/>
  <c r="BO282" i="3"/>
  <c r="BG283" i="3"/>
  <c r="BO283" i="3"/>
  <c r="BG284" i="3"/>
  <c r="BO284" i="3"/>
  <c r="BG285" i="3"/>
  <c r="BO285" i="3"/>
  <c r="BG286" i="3"/>
  <c r="BO286" i="3"/>
  <c r="BG287" i="3"/>
  <c r="BO287" i="3"/>
  <c r="BG288" i="3"/>
  <c r="BO288" i="3"/>
  <c r="BG289" i="3"/>
  <c r="BO289" i="3"/>
  <c r="BG290" i="3"/>
  <c r="BO290" i="3"/>
  <c r="BG291" i="3"/>
  <c r="BO291" i="3"/>
  <c r="BG292" i="3"/>
  <c r="BO292" i="3"/>
  <c r="BG293" i="3"/>
  <c r="BO293" i="3"/>
  <c r="BG294" i="3"/>
  <c r="BO294" i="3"/>
  <c r="BG295" i="3"/>
  <c r="BO295" i="3"/>
  <c r="BG296" i="3"/>
  <c r="BO296" i="3"/>
  <c r="BG297" i="3"/>
  <c r="BO297" i="3"/>
  <c r="BG298" i="3"/>
  <c r="BO298" i="3"/>
  <c r="BG299" i="3"/>
  <c r="BO299" i="3"/>
  <c r="BG300" i="3"/>
  <c r="BO300" i="3"/>
  <c r="BG301" i="3"/>
  <c r="BO301" i="3"/>
  <c r="BG302" i="3"/>
  <c r="BO302" i="3"/>
  <c r="BG303" i="3"/>
  <c r="BO303" i="3"/>
  <c r="BG304" i="3"/>
  <c r="BO304" i="3"/>
  <c r="BG305" i="3"/>
  <c r="BO305" i="3"/>
  <c r="BG306" i="3"/>
  <c r="BO306" i="3"/>
  <c r="BG307" i="3"/>
  <c r="BO307" i="3"/>
  <c r="BG308" i="3"/>
  <c r="BO308" i="3"/>
  <c r="BG309" i="3"/>
  <c r="BO309" i="3"/>
  <c r="BG310" i="3"/>
  <c r="BO310" i="3"/>
  <c r="BG311" i="3"/>
  <c r="BO311" i="3"/>
  <c r="BG312" i="3"/>
  <c r="BO312" i="3"/>
  <c r="BG313" i="3"/>
  <c r="BO313" i="3"/>
  <c r="BG314" i="3"/>
  <c r="BO314" i="3"/>
  <c r="BG315" i="3"/>
  <c r="BO315" i="3"/>
  <c r="BG316" i="3"/>
  <c r="BO316" i="3"/>
  <c r="BG317" i="3"/>
  <c r="BO317" i="3"/>
  <c r="BG318" i="3"/>
  <c r="BO318" i="3"/>
  <c r="BG319" i="3"/>
  <c r="BO319" i="3"/>
  <c r="BG320" i="3"/>
  <c r="BO320" i="3"/>
  <c r="BG321" i="3"/>
  <c r="BO321" i="3"/>
  <c r="BG322" i="3"/>
  <c r="BO322" i="3"/>
  <c r="BG323" i="3"/>
  <c r="BO323" i="3"/>
  <c r="BG324" i="3"/>
  <c r="BO324" i="3"/>
  <c r="BG325" i="3"/>
  <c r="BO325" i="3"/>
  <c r="BG326" i="3"/>
  <c r="BO326" i="3"/>
  <c r="BG327" i="3"/>
  <c r="BO327" i="3"/>
  <c r="BG328" i="3"/>
  <c r="BO328" i="3"/>
  <c r="BG329" i="3"/>
  <c r="BO329" i="3"/>
  <c r="BG330" i="3"/>
  <c r="BO330" i="3"/>
  <c r="BG331" i="3"/>
  <c r="BO331" i="3"/>
  <c r="BG332" i="3"/>
  <c r="BO332" i="3"/>
  <c r="BG333" i="3"/>
  <c r="BO333" i="3"/>
  <c r="BG334" i="3"/>
  <c r="BO334" i="3"/>
  <c r="BG335" i="3"/>
  <c r="BO335" i="3"/>
  <c r="BG336" i="3"/>
  <c r="BO336" i="3"/>
  <c r="BG337" i="3"/>
  <c r="BO337" i="3"/>
  <c r="BG338" i="3"/>
  <c r="BO338" i="3"/>
  <c r="BG339" i="3"/>
  <c r="BO339" i="3"/>
  <c r="BG340" i="3"/>
  <c r="BO340" i="3"/>
  <c r="BG341" i="3"/>
  <c r="BO341" i="3"/>
  <c r="BG342" i="3"/>
  <c r="BO342" i="3"/>
  <c r="BG343" i="3"/>
  <c r="BO343" i="3"/>
  <c r="BG344" i="3"/>
  <c r="BO344" i="3"/>
  <c r="BG345" i="3"/>
  <c r="BO345" i="3"/>
  <c r="BG346" i="3"/>
  <c r="BO346" i="3"/>
  <c r="BG347" i="3"/>
  <c r="BO347" i="3"/>
  <c r="BG348" i="3"/>
  <c r="BO348" i="3"/>
  <c r="BG349" i="3"/>
  <c r="BO349" i="3"/>
  <c r="BG350" i="3"/>
  <c r="BO350" i="3"/>
  <c r="BG351" i="3"/>
  <c r="BO351" i="3"/>
  <c r="BG352" i="3"/>
  <c r="BO352" i="3"/>
  <c r="BG353" i="3"/>
  <c r="BO353" i="3"/>
  <c r="BG354" i="3"/>
  <c r="BO354" i="3"/>
  <c r="BG355" i="3"/>
  <c r="BO355" i="3"/>
  <c r="BG356" i="3"/>
  <c r="BO356" i="3"/>
  <c r="BG357" i="3"/>
  <c r="BO357" i="3"/>
  <c r="BG358" i="3"/>
  <c r="BO358" i="3"/>
  <c r="BG359" i="3"/>
  <c r="BO359" i="3"/>
  <c r="BG360" i="3"/>
  <c r="BO360" i="3"/>
  <c r="BG361" i="3"/>
  <c r="BO361" i="3"/>
  <c r="BG362" i="3"/>
  <c r="BO362" i="3"/>
  <c r="BG363" i="3"/>
  <c r="BO363" i="3"/>
  <c r="BG364" i="3"/>
  <c r="BO364" i="3"/>
  <c r="BG365" i="3"/>
  <c r="BO365" i="3"/>
  <c r="BG366" i="3"/>
  <c r="BO366" i="3"/>
  <c r="BO2" i="3"/>
  <c r="B2" i="3"/>
  <c r="C2" i="3"/>
  <c r="D2" i="3"/>
  <c r="F2" i="3"/>
  <c r="G2" i="3"/>
  <c r="H2" i="3"/>
  <c r="I2" i="3"/>
  <c r="K2" i="3"/>
  <c r="L2" i="3"/>
  <c r="M2" i="3"/>
  <c r="N2" i="3"/>
  <c r="P2" i="3"/>
  <c r="Q2" i="3"/>
  <c r="R2" i="3"/>
  <c r="S2" i="3"/>
  <c r="U2" i="3"/>
  <c r="V2" i="3"/>
  <c r="W2" i="3"/>
  <c r="X2" i="3"/>
  <c r="Z2" i="3"/>
  <c r="AA2" i="3"/>
  <c r="AB2" i="3"/>
  <c r="AC2" i="3"/>
  <c r="AE2" i="3"/>
  <c r="AF2" i="3"/>
  <c r="AG2" i="3"/>
  <c r="AH2" i="3"/>
  <c r="AJ2" i="3"/>
  <c r="AK2" i="3"/>
  <c r="AL2" i="3"/>
  <c r="AM2" i="3"/>
  <c r="AO2" i="3"/>
  <c r="AP2" i="3"/>
  <c r="AQ2" i="3"/>
  <c r="AR2" i="3"/>
  <c r="AT2" i="3"/>
  <c r="AU2" i="3"/>
  <c r="AV2" i="3"/>
  <c r="AW2" i="3"/>
  <c r="AY2" i="3"/>
  <c r="AZ2" i="3"/>
  <c r="BA2" i="3"/>
  <c r="BB2" i="3"/>
  <c r="K54" i="4"/>
  <c r="M54" i="4" s="1"/>
  <c r="L54" i="4" s="1"/>
  <c r="F170" i="5"/>
  <c r="G170" i="5"/>
  <c r="J170" i="5"/>
  <c r="F185" i="5"/>
  <c r="G185" i="5"/>
  <c r="J185" i="5"/>
  <c r="F193" i="5"/>
  <c r="F195" i="5"/>
  <c r="F202" i="5"/>
  <c r="F213" i="5"/>
  <c r="F217" i="5"/>
  <c r="F203" i="5"/>
  <c r="F211" i="5"/>
  <c r="F212" i="5"/>
  <c r="F208" i="5"/>
  <c r="F205" i="5"/>
  <c r="F196" i="5"/>
  <c r="F159" i="5"/>
  <c r="F160" i="5"/>
  <c r="F184" i="5"/>
  <c r="F137" i="5"/>
  <c r="F219" i="5"/>
  <c r="F220" i="5"/>
  <c r="F221" i="5"/>
  <c r="J193" i="5"/>
  <c r="J195" i="5"/>
  <c r="J202" i="5"/>
  <c r="J213" i="5"/>
  <c r="J217" i="5"/>
  <c r="J203" i="5"/>
  <c r="J211" i="5"/>
  <c r="J212" i="5"/>
  <c r="J208" i="5"/>
  <c r="J205" i="5"/>
  <c r="J196" i="5"/>
  <c r="J159" i="5"/>
  <c r="J160" i="5"/>
  <c r="J184" i="5"/>
  <c r="J137" i="5"/>
  <c r="J219" i="5"/>
  <c r="J220" i="5"/>
  <c r="J221" i="5"/>
  <c r="G193" i="5"/>
  <c r="G195" i="5"/>
  <c r="G202" i="5"/>
  <c r="G213" i="5"/>
  <c r="G217" i="5"/>
  <c r="G208" i="5"/>
  <c r="G205" i="5"/>
  <c r="G196" i="5"/>
  <c r="G159" i="5"/>
  <c r="G160" i="5"/>
  <c r="G184" i="5"/>
  <c r="G137" i="5"/>
  <c r="G219" i="5"/>
  <c r="G220" i="5"/>
  <c r="G221" i="5"/>
  <c r="W28" i="1"/>
  <c r="D25" i="7"/>
  <c r="D24" i="7"/>
  <c r="C12" i="2"/>
  <c r="E3" i="4"/>
  <c r="F3" i="4"/>
  <c r="H7" i="2"/>
  <c r="H10" i="2"/>
  <c r="H9" i="2"/>
  <c r="H13" i="2"/>
  <c r="H2" i="2"/>
  <c r="H8" i="2"/>
  <c r="AF37" i="7"/>
  <c r="M103" i="1"/>
  <c r="M102" i="1"/>
  <c r="M101" i="1"/>
  <c r="BG2" i="3"/>
  <c r="BG5" i="3"/>
  <c r="BL5" i="3"/>
  <c r="BG3" i="3"/>
  <c r="BH3" i="3"/>
  <c r="BG4" i="3"/>
  <c r="BH4" i="3"/>
  <c r="BL3" i="3"/>
  <c r="BG6" i="3"/>
  <c r="BG7" i="3"/>
  <c r="BG8" i="3"/>
  <c r="BG9" i="3"/>
  <c r="BK9" i="3"/>
  <c r="BF9" i="3"/>
  <c r="BF8" i="3"/>
  <c r="BG10" i="3"/>
  <c r="BE10" i="3"/>
  <c r="BG11" i="3"/>
  <c r="BD11" i="3"/>
  <c r="BG12" i="3"/>
  <c r="BE12" i="3"/>
  <c r="BG13" i="3"/>
  <c r="BI13" i="3"/>
  <c r="BG14" i="3"/>
  <c r="BI14" i="3"/>
  <c r="BG15" i="3"/>
  <c r="BG16" i="3"/>
  <c r="BG17" i="3"/>
  <c r="BG18" i="3"/>
  <c r="BG19" i="3"/>
  <c r="BG20" i="3"/>
  <c r="BF20" i="3"/>
  <c r="BG21" i="3"/>
  <c r="BE21" i="3"/>
  <c r="BG22" i="3"/>
  <c r="BH22" i="3"/>
  <c r="BG23" i="3"/>
  <c r="BK23" i="3"/>
  <c r="BG24" i="3"/>
  <c r="BE24" i="3"/>
  <c r="BG25" i="3"/>
  <c r="BI25" i="3"/>
  <c r="BG26" i="3"/>
  <c r="BG27" i="3"/>
  <c r="BG28" i="3"/>
  <c r="BG29" i="3"/>
  <c r="BG30" i="3"/>
  <c r="BG31" i="3"/>
  <c r="BG32" i="3"/>
  <c r="BG33" i="3"/>
  <c r="BI33" i="3"/>
  <c r="BG34" i="3"/>
  <c r="BE34" i="3"/>
  <c r="BG35" i="3"/>
  <c r="BD35" i="3"/>
  <c r="BG36" i="3"/>
  <c r="BF36" i="3"/>
  <c r="BG37" i="3"/>
  <c r="BG38" i="3"/>
  <c r="BH38" i="3"/>
  <c r="BG39" i="3"/>
  <c r="BG40" i="3"/>
  <c r="BG41" i="3"/>
  <c r="BG42" i="3"/>
  <c r="BG43" i="3"/>
  <c r="BG44" i="3"/>
  <c r="BG45" i="3"/>
  <c r="BK45" i="3"/>
  <c r="BG46" i="3"/>
  <c r="BE46" i="3"/>
  <c r="BG47" i="3"/>
  <c r="BK47" i="3"/>
  <c r="BG48" i="3"/>
  <c r="BH48" i="3"/>
  <c r="BG49" i="3"/>
  <c r="BF49" i="3"/>
  <c r="BG50" i="3"/>
  <c r="BG51" i="3"/>
  <c r="BG52" i="3"/>
  <c r="BG53" i="3"/>
  <c r="BG54" i="3"/>
  <c r="BE55" i="3"/>
  <c r="BG56" i="3"/>
  <c r="BI56" i="3"/>
  <c r="BG57" i="3"/>
  <c r="BK57" i="3"/>
  <c r="BF58" i="3"/>
  <c r="BD59" i="3"/>
  <c r="BI60" i="3"/>
  <c r="BH61" i="3"/>
  <c r="BH62" i="3"/>
  <c r="BF65" i="3"/>
  <c r="BF64" i="3"/>
  <c r="BI66" i="3"/>
  <c r="BH67" i="3"/>
  <c r="BE68" i="3"/>
  <c r="BE69" i="3"/>
  <c r="BE70" i="3"/>
  <c r="BF71" i="3"/>
  <c r="BF72" i="3"/>
  <c r="BH76" i="3"/>
  <c r="BH77" i="3"/>
  <c r="BE78" i="3"/>
  <c r="BI79" i="3"/>
  <c r="BE80" i="3"/>
  <c r="BD81" i="3"/>
  <c r="BE82" i="3"/>
  <c r="BH87" i="3"/>
  <c r="BH90" i="3"/>
  <c r="BF91" i="3"/>
  <c r="BI92" i="3"/>
  <c r="BF93" i="3"/>
  <c r="BF94" i="3"/>
  <c r="BH99" i="3"/>
  <c r="BH100" i="3"/>
  <c r="BH101" i="3"/>
  <c r="BD103" i="3"/>
  <c r="BF104" i="3"/>
  <c r="BF107" i="3"/>
  <c r="BF106" i="3"/>
  <c r="BE108" i="3"/>
  <c r="BH111" i="3"/>
  <c r="BH112" i="3"/>
  <c r="BH113" i="3"/>
  <c r="BD120" i="3"/>
  <c r="BD121" i="3"/>
  <c r="BH124" i="3"/>
  <c r="BH125" i="3"/>
  <c r="BD126" i="3"/>
  <c r="BF133" i="3"/>
  <c r="BI136" i="3"/>
  <c r="BH138" i="3"/>
  <c r="BE144" i="3"/>
  <c r="BF148" i="3"/>
  <c r="BD149" i="3"/>
  <c r="BF149" i="3"/>
  <c r="BH155" i="3"/>
  <c r="BD159" i="3"/>
  <c r="BF160" i="3"/>
  <c r="BH167" i="3"/>
  <c r="BF168" i="3"/>
  <c r="BD172" i="3"/>
  <c r="BE177" i="3"/>
  <c r="BF177" i="3"/>
  <c r="BF176" i="3"/>
  <c r="BH179" i="3"/>
  <c r="BH180" i="3"/>
  <c r="BH182" i="3"/>
  <c r="BD187" i="3"/>
  <c r="BH191" i="3"/>
  <c r="BH192" i="3"/>
  <c r="BF198" i="3"/>
  <c r="BF197" i="3"/>
  <c r="BF199" i="3"/>
  <c r="BH202" i="3"/>
  <c r="BI213" i="3"/>
  <c r="BD214" i="3"/>
  <c r="BF219" i="3"/>
  <c r="BF218" i="3"/>
  <c r="BF221" i="3"/>
  <c r="BD222" i="3"/>
  <c r="BF223" i="3"/>
  <c r="BD224" i="3"/>
  <c r="BF226" i="3"/>
  <c r="BF225" i="3"/>
  <c r="BF228" i="3"/>
  <c r="BD229" i="3"/>
  <c r="BI231" i="3"/>
  <c r="BH234" i="3"/>
  <c r="BF240" i="3"/>
  <c r="BD241" i="3"/>
  <c r="BH244" i="3"/>
  <c r="BH245" i="3"/>
  <c r="BH246" i="3"/>
  <c r="BD253" i="3"/>
  <c r="BE255" i="3"/>
  <c r="BH256" i="3"/>
  <c r="BH257" i="3"/>
  <c r="BF261" i="3"/>
  <c r="BF260" i="3"/>
  <c r="BF263" i="3"/>
  <c r="BI264" i="3"/>
  <c r="BF267" i="3"/>
  <c r="BH268" i="3"/>
  <c r="BD275" i="3"/>
  <c r="BE279" i="3"/>
  <c r="BH280" i="3"/>
  <c r="BF282" i="3"/>
  <c r="BF281" i="3"/>
  <c r="BH284" i="3"/>
  <c r="BI287" i="3"/>
  <c r="BF288" i="3"/>
  <c r="BE289" i="3"/>
  <c r="BF289" i="3"/>
  <c r="BE294" i="3"/>
  <c r="BF299" i="3"/>
  <c r="BF303" i="3"/>
  <c r="BF302" i="3"/>
  <c r="BF304" i="3"/>
  <c r="BD307" i="3"/>
  <c r="BI308" i="3"/>
  <c r="BH309" i="3"/>
  <c r="BH316" i="3"/>
  <c r="BF317" i="3"/>
  <c r="BH319" i="3"/>
  <c r="BF321" i="3"/>
  <c r="BE322" i="3"/>
  <c r="BE328" i="3"/>
  <c r="BE329" i="3"/>
  <c r="BI330" i="3"/>
  <c r="BD331" i="3"/>
  <c r="BI334" i="3"/>
  <c r="BI340" i="3"/>
  <c r="BF342" i="3"/>
  <c r="BF344" i="3"/>
  <c r="BH352" i="3"/>
  <c r="BI357" i="3"/>
  <c r="BI358" i="3"/>
  <c r="BF364" i="3"/>
  <c r="CA23" i="1"/>
  <c r="D29" i="7"/>
  <c r="D23" i="7"/>
  <c r="D22" i="7"/>
  <c r="D21" i="7"/>
  <c r="D20" i="7"/>
  <c r="D19" i="7"/>
  <c r="E5" i="2"/>
  <c r="H1" i="5"/>
  <c r="C5" i="2"/>
  <c r="G1" i="5"/>
  <c r="T2" i="7"/>
  <c r="U13" i="1"/>
  <c r="U14" i="1"/>
  <c r="U15" i="1"/>
  <c r="U16" i="1"/>
  <c r="U17" i="1"/>
  <c r="U18" i="1"/>
  <c r="U19" i="1"/>
  <c r="S13" i="1"/>
  <c r="S14" i="1"/>
  <c r="S15" i="1"/>
  <c r="S16" i="1"/>
  <c r="S17" i="1"/>
  <c r="S18" i="1"/>
  <c r="S19" i="1"/>
  <c r="R13" i="1"/>
  <c r="R14" i="1"/>
  <c r="R15" i="1"/>
  <c r="R16" i="1"/>
  <c r="R17" i="1"/>
  <c r="R18" i="1"/>
  <c r="R19" i="1"/>
  <c r="Q13" i="1"/>
  <c r="Q14" i="1"/>
  <c r="Q15" i="1"/>
  <c r="Q16" i="1"/>
  <c r="Q17" i="1"/>
  <c r="Q18" i="1"/>
  <c r="Q19" i="1"/>
  <c r="F16" i="2" a="1"/>
  <c r="F16" i="2" s="1"/>
  <c r="G13" i="2"/>
  <c r="G7" i="2"/>
  <c r="F7" i="2"/>
  <c r="K11" i="7" a="1"/>
  <c r="K11" i="7" s="1"/>
  <c r="B7" i="2"/>
  <c r="C7" i="2"/>
  <c r="D7" i="2"/>
  <c r="E7" i="2"/>
  <c r="I7" i="2"/>
  <c r="J7" i="2"/>
  <c r="BH12" i="1"/>
  <c r="Q4" i="2" a="1"/>
  <c r="Q4" i="2" s="1"/>
  <c r="H900" i="7"/>
  <c r="BF51" i="3"/>
  <c r="BF121" i="3"/>
  <c r="BF127" i="3"/>
  <c r="BF128" i="3"/>
  <c r="BS219" i="3"/>
  <c r="O18" i="5"/>
  <c r="O19" i="5" s="1"/>
  <c r="CI4" i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C3" i="2"/>
  <c r="B10" i="2"/>
  <c r="BI180" i="3"/>
  <c r="AE2" i="4"/>
  <c r="AD2" i="4" s="1"/>
  <c r="AF2" i="4" s="1"/>
  <c r="C13" i="2"/>
  <c r="BU2" i="3"/>
  <c r="BU3" i="3" s="1"/>
  <c r="BU4" i="3" s="1"/>
  <c r="BT4" i="3" s="1"/>
  <c r="AQ2" i="4"/>
  <c r="AQ3" i="4"/>
  <c r="AQ4" i="4"/>
  <c r="AQ5" i="4"/>
  <c r="AQ6" i="4"/>
  <c r="AQ7" i="4"/>
  <c r="AQ8" i="4"/>
  <c r="AQ9" i="4"/>
  <c r="AQ10" i="4"/>
  <c r="AQ11" i="4"/>
  <c r="AQ12" i="4"/>
  <c r="AQ13" i="4"/>
  <c r="AP2" i="4"/>
  <c r="AP4" i="4"/>
  <c r="AP5" i="4"/>
  <c r="AP6" i="4"/>
  <c r="AP7" i="4"/>
  <c r="AP8" i="4"/>
  <c r="AP9" i="4"/>
  <c r="AP10" i="4"/>
  <c r="AP11" i="4"/>
  <c r="AP12" i="4"/>
  <c r="AP13" i="4"/>
  <c r="AO2" i="4"/>
  <c r="AO5" i="4"/>
  <c r="AO6" i="4"/>
  <c r="AO8" i="4"/>
  <c r="AO9" i="4"/>
  <c r="AO10" i="4"/>
  <c r="AO11" i="4"/>
  <c r="AO12" i="4"/>
  <c r="AO13" i="4"/>
  <c r="AN2" i="4"/>
  <c r="AN4" i="4"/>
  <c r="AN5" i="4"/>
  <c r="AN6" i="4"/>
  <c r="AN9" i="4"/>
  <c r="AN10" i="4"/>
  <c r="AN11" i="4"/>
  <c r="AN12" i="4"/>
  <c r="AN13" i="4"/>
  <c r="E12" i="2"/>
  <c r="E9" i="2"/>
  <c r="E3" i="2"/>
  <c r="E8" i="2"/>
  <c r="E6" i="2"/>
  <c r="E2" i="2"/>
  <c r="E11" i="2"/>
  <c r="E4" i="2"/>
  <c r="E13" i="2"/>
  <c r="C9" i="2"/>
  <c r="C6" i="2"/>
  <c r="C2" i="2"/>
  <c r="C11" i="2"/>
  <c r="C4" i="2"/>
  <c r="D12" i="2"/>
  <c r="D10" i="2"/>
  <c r="D9" i="2"/>
  <c r="D3" i="2"/>
  <c r="D5" i="2"/>
  <c r="D8" i="2"/>
  <c r="D6" i="2"/>
  <c r="D2" i="2"/>
  <c r="D11" i="2"/>
  <c r="D4" i="2"/>
  <c r="D13" i="2"/>
  <c r="F12" i="2"/>
  <c r="F10" i="2"/>
  <c r="F9" i="2"/>
  <c r="F3" i="2"/>
  <c r="F5" i="2"/>
  <c r="F6" i="2"/>
  <c r="F2" i="2"/>
  <c r="F11" i="2"/>
  <c r="F4" i="2"/>
  <c r="F13" i="2"/>
  <c r="B12" i="2"/>
  <c r="B9" i="2"/>
  <c r="B3" i="2"/>
  <c r="B5" i="2"/>
  <c r="B8" i="2"/>
  <c r="B6" i="2"/>
  <c r="B2" i="2"/>
  <c r="B11" i="2"/>
  <c r="B4" i="2"/>
  <c r="B13" i="2"/>
  <c r="O3" i="1"/>
  <c r="C3" i="1" s="1"/>
  <c r="O4" i="1"/>
  <c r="C4" i="1" s="1"/>
  <c r="O5" i="1"/>
  <c r="C5" i="1" s="1"/>
  <c r="O6" i="1"/>
  <c r="C6" i="1" s="1"/>
  <c r="BK2" i="3"/>
  <c r="BQ2" i="3" s="1"/>
  <c r="BK5" i="3"/>
  <c r="BP5" i="3" s="1"/>
  <c r="BK6" i="3"/>
  <c r="BP6" i="3" s="1"/>
  <c r="BE7" i="3"/>
  <c r="BE8" i="3"/>
  <c r="BK15" i="3"/>
  <c r="BE28" i="3"/>
  <c r="BK29" i="3"/>
  <c r="BK33" i="3"/>
  <c r="BE40" i="3"/>
  <c r="BK41" i="3"/>
  <c r="BK64" i="3"/>
  <c r="BE73" i="3"/>
  <c r="BE76" i="3"/>
  <c r="BE84" i="3"/>
  <c r="BH126" i="3"/>
  <c r="BE135" i="3"/>
  <c r="BE142" i="3"/>
  <c r="BH146" i="3"/>
  <c r="BE173" i="3"/>
  <c r="BE174" i="3"/>
  <c r="BE175" i="3"/>
  <c r="BE176" i="3"/>
  <c r="BE197" i="3"/>
  <c r="BE213" i="3"/>
  <c r="BE227" i="3"/>
  <c r="BE229" i="3"/>
  <c r="BE238" i="3"/>
  <c r="BE239" i="3"/>
  <c r="BE240" i="3"/>
  <c r="BE245" i="3"/>
  <c r="BE261" i="3"/>
  <c r="BE324" i="3"/>
  <c r="BE327" i="3"/>
  <c r="BE356" i="3"/>
  <c r="BE18" i="3"/>
  <c r="BE31" i="3"/>
  <c r="BE42" i="3"/>
  <c r="BE63" i="3"/>
  <c r="BE180" i="3"/>
  <c r="BE183" i="3"/>
  <c r="BE188" i="3"/>
  <c r="BE208" i="3"/>
  <c r="BE215" i="3"/>
  <c r="BE234" i="3"/>
  <c r="BE270" i="3"/>
  <c r="BE271" i="3"/>
  <c r="BE281" i="3"/>
  <c r="BE336" i="3"/>
  <c r="BE366" i="3"/>
  <c r="H2" i="5"/>
  <c r="BK16" i="3"/>
  <c r="BK17" i="3"/>
  <c r="BK18" i="3"/>
  <c r="BK28" i="3"/>
  <c r="BK30" i="3"/>
  <c r="BK34" i="3"/>
  <c r="BK37" i="3"/>
  <c r="BK40" i="3"/>
  <c r="BK42" i="3"/>
  <c r="BK52" i="3"/>
  <c r="BK53" i="3"/>
  <c r="BK54" i="3"/>
  <c r="AP3" i="4"/>
  <c r="BK63" i="3"/>
  <c r="H48" i="3"/>
  <c r="O7" i="1"/>
  <c r="C7" i="1" s="1"/>
  <c r="O8" i="1"/>
  <c r="C8" i="1" s="1"/>
  <c r="O9" i="1"/>
  <c r="C9" i="1" s="1"/>
  <c r="O10" i="1"/>
  <c r="C10" i="1" s="1"/>
  <c r="O11" i="1"/>
  <c r="C11" i="1" s="1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I16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W173" i="3"/>
  <c r="W172" i="3"/>
  <c r="W171" i="3"/>
  <c r="W170" i="3"/>
  <c r="W169" i="3"/>
  <c r="W168" i="3"/>
  <c r="W167" i="3"/>
  <c r="W166" i="3"/>
  <c r="W165" i="3"/>
  <c r="W164" i="3"/>
  <c r="W163" i="3"/>
  <c r="W162" i="3"/>
  <c r="W161" i="3"/>
  <c r="W160" i="3"/>
  <c r="W159" i="3"/>
  <c r="W158" i="3"/>
  <c r="W157" i="3"/>
  <c r="W156" i="3"/>
  <c r="W155" i="3"/>
  <c r="W154" i="3"/>
  <c r="W153" i="3"/>
  <c r="W152" i="3"/>
  <c r="W151" i="3"/>
  <c r="W150" i="3"/>
  <c r="W149" i="3"/>
  <c r="W148" i="3"/>
  <c r="W147" i="3"/>
  <c r="W146" i="3"/>
  <c r="W145" i="3"/>
  <c r="W144" i="3"/>
  <c r="W143" i="3"/>
  <c r="W142" i="3"/>
  <c r="W141" i="3"/>
  <c r="W140" i="3"/>
  <c r="W139" i="3"/>
  <c r="W138" i="3"/>
  <c r="W137" i="3"/>
  <c r="W136" i="3"/>
  <c r="W135" i="3"/>
  <c r="W134" i="3"/>
  <c r="W133" i="3"/>
  <c r="W132" i="3"/>
  <c r="W131" i="3"/>
  <c r="W130" i="3"/>
  <c r="W129" i="3"/>
  <c r="W128" i="3"/>
  <c r="W127" i="3"/>
  <c r="W126" i="3"/>
  <c r="W125" i="3"/>
  <c r="W124" i="3"/>
  <c r="W123" i="3"/>
  <c r="W122" i="3"/>
  <c r="W121" i="3"/>
  <c r="W120" i="3"/>
  <c r="W119" i="3"/>
  <c r="W118" i="3"/>
  <c r="W117" i="3"/>
  <c r="W116" i="3"/>
  <c r="W115" i="3"/>
  <c r="W114" i="3"/>
  <c r="W113" i="3"/>
  <c r="W112" i="3"/>
  <c r="W111" i="3"/>
  <c r="W110" i="3"/>
  <c r="W109" i="3"/>
  <c r="W108" i="3"/>
  <c r="W107" i="3"/>
  <c r="W106" i="3"/>
  <c r="W105" i="3"/>
  <c r="W104" i="3"/>
  <c r="W103" i="3"/>
  <c r="W102" i="3"/>
  <c r="W101" i="3"/>
  <c r="W100" i="3"/>
  <c r="W99" i="3"/>
  <c r="W98" i="3"/>
  <c r="W97" i="3"/>
  <c r="W96" i="3"/>
  <c r="W95" i="3"/>
  <c r="W94" i="3"/>
  <c r="W93" i="3"/>
  <c r="W92" i="3"/>
  <c r="W91" i="3"/>
  <c r="W90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160" i="3"/>
  <c r="AB159" i="3"/>
  <c r="AB158" i="3"/>
  <c r="AB157" i="3"/>
  <c r="AB156" i="3"/>
  <c r="AB155" i="3"/>
  <c r="AB154" i="3"/>
  <c r="AB153" i="3"/>
  <c r="AB152" i="3"/>
  <c r="AB151" i="3"/>
  <c r="AB150" i="3"/>
  <c r="AB149" i="3"/>
  <c r="AB148" i="3"/>
  <c r="AB147" i="3"/>
  <c r="AB146" i="3"/>
  <c r="AB145" i="3"/>
  <c r="AB144" i="3"/>
  <c r="AB143" i="3"/>
  <c r="AB142" i="3"/>
  <c r="AB141" i="3"/>
  <c r="AB140" i="3"/>
  <c r="AB139" i="3"/>
  <c r="AB138" i="3"/>
  <c r="AB137" i="3"/>
  <c r="AB136" i="3"/>
  <c r="AB135" i="3"/>
  <c r="AB134" i="3"/>
  <c r="AB133" i="3"/>
  <c r="AB132" i="3"/>
  <c r="AB131" i="3"/>
  <c r="AB130" i="3"/>
  <c r="AB129" i="3"/>
  <c r="AB128" i="3"/>
  <c r="AB127" i="3"/>
  <c r="AB126" i="3"/>
  <c r="AB125" i="3"/>
  <c r="AB124" i="3"/>
  <c r="AB123" i="3"/>
  <c r="AB122" i="3"/>
  <c r="AB121" i="3"/>
  <c r="AB120" i="3"/>
  <c r="AB119" i="3"/>
  <c r="AB118" i="3"/>
  <c r="AB117" i="3"/>
  <c r="AB116" i="3"/>
  <c r="AB115" i="3"/>
  <c r="AB114" i="3"/>
  <c r="AB113" i="3"/>
  <c r="AB112" i="3"/>
  <c r="AB111" i="3"/>
  <c r="AB110" i="3"/>
  <c r="AB109" i="3"/>
  <c r="AB108" i="3"/>
  <c r="AB107" i="3"/>
  <c r="AB106" i="3"/>
  <c r="AB105" i="3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G173" i="3"/>
  <c r="AG172" i="3"/>
  <c r="AG171" i="3"/>
  <c r="AG170" i="3"/>
  <c r="AG169" i="3"/>
  <c r="AG168" i="3"/>
  <c r="AG167" i="3"/>
  <c r="AG166" i="3"/>
  <c r="AG165" i="3"/>
  <c r="AG164" i="3"/>
  <c r="AG163" i="3"/>
  <c r="AG162" i="3"/>
  <c r="AG161" i="3"/>
  <c r="AG160" i="3"/>
  <c r="AG159" i="3"/>
  <c r="AG158" i="3"/>
  <c r="AG157" i="3"/>
  <c r="AG156" i="3"/>
  <c r="AG155" i="3"/>
  <c r="AG154" i="3"/>
  <c r="AG153" i="3"/>
  <c r="AG152" i="3"/>
  <c r="AG151" i="3"/>
  <c r="AG150" i="3"/>
  <c r="AG149" i="3"/>
  <c r="AG148" i="3"/>
  <c r="AG147" i="3"/>
  <c r="AG146" i="3"/>
  <c r="AG145" i="3"/>
  <c r="AG144" i="3"/>
  <c r="AG143" i="3"/>
  <c r="AG142" i="3"/>
  <c r="AG141" i="3"/>
  <c r="AG140" i="3"/>
  <c r="AG139" i="3"/>
  <c r="AG138" i="3"/>
  <c r="AG137" i="3"/>
  <c r="AG136" i="3"/>
  <c r="AG135" i="3"/>
  <c r="AG134" i="3"/>
  <c r="AG133" i="3"/>
  <c r="AG132" i="3"/>
  <c r="AG131" i="3"/>
  <c r="AG130" i="3"/>
  <c r="AG129" i="3"/>
  <c r="AG128" i="3"/>
  <c r="AG127" i="3"/>
  <c r="AG126" i="3"/>
  <c r="AG125" i="3"/>
  <c r="AG124" i="3"/>
  <c r="AG123" i="3"/>
  <c r="AG122" i="3"/>
  <c r="AG121" i="3"/>
  <c r="AG120" i="3"/>
  <c r="AG119" i="3"/>
  <c r="AG118" i="3"/>
  <c r="AG117" i="3"/>
  <c r="AG116" i="3"/>
  <c r="AG115" i="3"/>
  <c r="AG114" i="3"/>
  <c r="AG113" i="3"/>
  <c r="AG112" i="3"/>
  <c r="AG111" i="3"/>
  <c r="AG110" i="3"/>
  <c r="AG109" i="3"/>
  <c r="AG108" i="3"/>
  <c r="AG107" i="3"/>
  <c r="AG106" i="3"/>
  <c r="AG105" i="3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L173" i="3"/>
  <c r="AL172" i="3"/>
  <c r="AL171" i="3"/>
  <c r="AL170" i="3"/>
  <c r="AL169" i="3"/>
  <c r="AL168" i="3"/>
  <c r="AL167" i="3"/>
  <c r="AL166" i="3"/>
  <c r="AL165" i="3"/>
  <c r="AL164" i="3"/>
  <c r="AL163" i="3"/>
  <c r="AL162" i="3"/>
  <c r="AL161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115" i="3"/>
  <c r="AL114" i="3"/>
  <c r="AL113" i="3"/>
  <c r="AL112" i="3"/>
  <c r="AL111" i="3"/>
  <c r="AL110" i="3"/>
  <c r="AL109" i="3"/>
  <c r="AL108" i="3"/>
  <c r="AL107" i="3"/>
  <c r="AL106" i="3"/>
  <c r="AL105" i="3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Q173" i="3"/>
  <c r="AQ172" i="3"/>
  <c r="AQ171" i="3"/>
  <c r="AQ170" i="3"/>
  <c r="AQ169" i="3"/>
  <c r="AQ168" i="3"/>
  <c r="AQ167" i="3"/>
  <c r="AQ166" i="3"/>
  <c r="AQ165" i="3"/>
  <c r="AQ164" i="3"/>
  <c r="AQ163" i="3"/>
  <c r="AQ162" i="3"/>
  <c r="AQ161" i="3"/>
  <c r="AQ160" i="3"/>
  <c r="AQ159" i="3"/>
  <c r="AQ158" i="3"/>
  <c r="AQ157" i="3"/>
  <c r="AQ156" i="3"/>
  <c r="AQ155" i="3"/>
  <c r="AQ154" i="3"/>
  <c r="AQ153" i="3"/>
  <c r="AQ152" i="3"/>
  <c r="AQ151" i="3"/>
  <c r="AQ150" i="3"/>
  <c r="AQ149" i="3"/>
  <c r="AQ148" i="3"/>
  <c r="AQ147" i="3"/>
  <c r="AQ146" i="3"/>
  <c r="AQ145" i="3"/>
  <c r="AQ144" i="3"/>
  <c r="AQ143" i="3"/>
  <c r="AQ142" i="3"/>
  <c r="AQ141" i="3"/>
  <c r="AQ140" i="3"/>
  <c r="AQ139" i="3"/>
  <c r="AQ138" i="3"/>
  <c r="AQ137" i="3"/>
  <c r="AQ136" i="3"/>
  <c r="AQ135" i="3"/>
  <c r="AQ134" i="3"/>
  <c r="AQ133" i="3"/>
  <c r="AQ132" i="3"/>
  <c r="AQ131" i="3"/>
  <c r="AQ130" i="3"/>
  <c r="AQ129" i="3"/>
  <c r="AQ128" i="3"/>
  <c r="AQ127" i="3"/>
  <c r="AQ126" i="3"/>
  <c r="AQ125" i="3"/>
  <c r="AQ124" i="3"/>
  <c r="AQ123" i="3"/>
  <c r="AQ122" i="3"/>
  <c r="AQ121" i="3"/>
  <c r="AQ120" i="3"/>
  <c r="AQ119" i="3"/>
  <c r="AQ118" i="3"/>
  <c r="AQ117" i="3"/>
  <c r="AQ116" i="3"/>
  <c r="AQ115" i="3"/>
  <c r="AQ114" i="3"/>
  <c r="AQ113" i="3"/>
  <c r="AQ112" i="3"/>
  <c r="AQ111" i="3"/>
  <c r="AQ110" i="3"/>
  <c r="AQ109" i="3"/>
  <c r="AQ108" i="3"/>
  <c r="AQ107" i="3"/>
  <c r="AQ106" i="3"/>
  <c r="AQ105" i="3"/>
  <c r="AQ104" i="3"/>
  <c r="AQ103" i="3"/>
  <c r="AQ102" i="3"/>
  <c r="AQ101" i="3"/>
  <c r="AQ100" i="3"/>
  <c r="AQ99" i="3"/>
  <c r="AQ98" i="3"/>
  <c r="AQ97" i="3"/>
  <c r="AQ96" i="3"/>
  <c r="AQ95" i="3"/>
  <c r="AQ94" i="3"/>
  <c r="AQ93" i="3"/>
  <c r="AQ92" i="3"/>
  <c r="AQ91" i="3"/>
  <c r="AQ90" i="3"/>
  <c r="AQ89" i="3"/>
  <c r="AQ88" i="3"/>
  <c r="AQ87" i="3"/>
  <c r="AQ86" i="3"/>
  <c r="AQ85" i="3"/>
  <c r="AQ84" i="3"/>
  <c r="AQ83" i="3"/>
  <c r="AQ82" i="3"/>
  <c r="AQ81" i="3"/>
  <c r="AQ80" i="3"/>
  <c r="AQ79" i="3"/>
  <c r="AQ78" i="3"/>
  <c r="AQ77" i="3"/>
  <c r="AQ76" i="3"/>
  <c r="AQ75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8" i="3"/>
  <c r="AQ57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AV173" i="3"/>
  <c r="AV172" i="3"/>
  <c r="AV171" i="3"/>
  <c r="AV170" i="3"/>
  <c r="AV169" i="3"/>
  <c r="AV168" i="3"/>
  <c r="AV167" i="3"/>
  <c r="AV166" i="3"/>
  <c r="AV165" i="3"/>
  <c r="AV164" i="3"/>
  <c r="AV163" i="3"/>
  <c r="AV162" i="3"/>
  <c r="AV161" i="3"/>
  <c r="AV160" i="3"/>
  <c r="AV159" i="3"/>
  <c r="AV158" i="3"/>
  <c r="AV157" i="3"/>
  <c r="AV156" i="3"/>
  <c r="AV155" i="3"/>
  <c r="AV154" i="3"/>
  <c r="AV153" i="3"/>
  <c r="AV152" i="3"/>
  <c r="AV151" i="3"/>
  <c r="AV150" i="3"/>
  <c r="AV149" i="3"/>
  <c r="AV148" i="3"/>
  <c r="AV147" i="3"/>
  <c r="AV146" i="3"/>
  <c r="AV145" i="3"/>
  <c r="AV144" i="3"/>
  <c r="AV143" i="3"/>
  <c r="AV142" i="3"/>
  <c r="AV141" i="3"/>
  <c r="AV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BA173" i="3"/>
  <c r="BA172" i="3"/>
  <c r="BA171" i="3"/>
  <c r="BA170" i="3"/>
  <c r="BA169" i="3"/>
  <c r="BA168" i="3"/>
  <c r="BA167" i="3"/>
  <c r="BA166" i="3"/>
  <c r="BA165" i="3"/>
  <c r="BA164" i="3"/>
  <c r="BA163" i="3"/>
  <c r="BA162" i="3"/>
  <c r="BA161" i="3"/>
  <c r="BA160" i="3"/>
  <c r="BA159" i="3"/>
  <c r="BA158" i="3"/>
  <c r="BA157" i="3"/>
  <c r="BA156" i="3"/>
  <c r="BA155" i="3"/>
  <c r="BA154" i="3"/>
  <c r="BA153" i="3"/>
  <c r="BA152" i="3"/>
  <c r="BA151" i="3"/>
  <c r="BA150" i="3"/>
  <c r="BA149" i="3"/>
  <c r="BA148" i="3"/>
  <c r="BA147" i="3"/>
  <c r="BA146" i="3"/>
  <c r="BA145" i="3"/>
  <c r="BA144" i="3"/>
  <c r="BA143" i="3"/>
  <c r="BA142" i="3"/>
  <c r="BA141" i="3"/>
  <c r="BA140" i="3"/>
  <c r="BA139" i="3"/>
  <c r="BA138" i="3"/>
  <c r="BA137" i="3"/>
  <c r="BA136" i="3"/>
  <c r="BA135" i="3"/>
  <c r="BA134" i="3"/>
  <c r="BA133" i="3"/>
  <c r="BA132" i="3"/>
  <c r="BA131" i="3"/>
  <c r="BA130" i="3"/>
  <c r="BA129" i="3"/>
  <c r="BA128" i="3"/>
  <c r="BA127" i="3"/>
  <c r="BA126" i="3"/>
  <c r="BA125" i="3"/>
  <c r="BA124" i="3"/>
  <c r="BA123" i="3"/>
  <c r="BA122" i="3"/>
  <c r="BA121" i="3"/>
  <c r="BA120" i="3"/>
  <c r="BA119" i="3"/>
  <c r="BA118" i="3"/>
  <c r="BA117" i="3"/>
  <c r="BA116" i="3"/>
  <c r="BA115" i="3"/>
  <c r="BA114" i="3"/>
  <c r="BA113" i="3"/>
  <c r="BA112" i="3"/>
  <c r="BA111" i="3"/>
  <c r="BA110" i="3"/>
  <c r="BA109" i="3"/>
  <c r="BA108" i="3"/>
  <c r="BA107" i="3"/>
  <c r="BA106" i="3"/>
  <c r="BA105" i="3"/>
  <c r="BA104" i="3"/>
  <c r="BA103" i="3"/>
  <c r="BA10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C15" i="7"/>
  <c r="AE3" i="4"/>
  <c r="AD3" i="4" s="1"/>
  <c r="AF3" i="4" s="1"/>
  <c r="AI2" i="4"/>
  <c r="AI5" i="4"/>
  <c r="AI6" i="4"/>
  <c r="AI9" i="4"/>
  <c r="AI10" i="4"/>
  <c r="AI11" i="4"/>
  <c r="AI12" i="4"/>
  <c r="AI13" i="4"/>
  <c r="AH2" i="4"/>
  <c r="AH5" i="4"/>
  <c r="AH6" i="4"/>
  <c r="AH9" i="4"/>
  <c r="AH10" i="4"/>
  <c r="AH11" i="4"/>
  <c r="AH12" i="4"/>
  <c r="AH13" i="4"/>
  <c r="AE6" i="4"/>
  <c r="AD6" i="4" s="1"/>
  <c r="AF6" i="4" s="1"/>
  <c r="AE9" i="4"/>
  <c r="AD9" i="4"/>
  <c r="AE10" i="4"/>
  <c r="AD10" i="4"/>
  <c r="BH172" i="3"/>
  <c r="BH171" i="3"/>
  <c r="BH170" i="3"/>
  <c r="BH169" i="3"/>
  <c r="BH168" i="3"/>
  <c r="BH165" i="3"/>
  <c r="BH164" i="3"/>
  <c r="BH163" i="3"/>
  <c r="BH162" i="3"/>
  <c r="BH161" i="3"/>
  <c r="BH159" i="3"/>
  <c r="BH158" i="3"/>
  <c r="BH157" i="3"/>
  <c r="BH156" i="3"/>
  <c r="BH153" i="3"/>
  <c r="BH152" i="3"/>
  <c r="BH151" i="3"/>
  <c r="BH150" i="3"/>
  <c r="BH147" i="3"/>
  <c r="BH145" i="3"/>
  <c r="BH144" i="3"/>
  <c r="BH143" i="3"/>
  <c r="BH141" i="3"/>
  <c r="BH140" i="3"/>
  <c r="BH139" i="3"/>
  <c r="BH136" i="3"/>
  <c r="BH135" i="3"/>
  <c r="BH134" i="3"/>
  <c r="BH133" i="3"/>
  <c r="BH132" i="3"/>
  <c r="BH131" i="3"/>
  <c r="BH130" i="3"/>
  <c r="BH129" i="3"/>
  <c r="BH128" i="3"/>
  <c r="BH127" i="3"/>
  <c r="BH123" i="3"/>
  <c r="BH122" i="3"/>
  <c r="BH121" i="3"/>
  <c r="BH120" i="3"/>
  <c r="BH119" i="3"/>
  <c r="BH118" i="3"/>
  <c r="BH117" i="3"/>
  <c r="BH116" i="3"/>
  <c r="BH115" i="3"/>
  <c r="BH109" i="3"/>
  <c r="BH108" i="3"/>
  <c r="BH107" i="3"/>
  <c r="BH106" i="3"/>
  <c r="BH105" i="3"/>
  <c r="BH104" i="3"/>
  <c r="BH103" i="3"/>
  <c r="BH98" i="3"/>
  <c r="BH97" i="3"/>
  <c r="BH96" i="3"/>
  <c r="BH95" i="3"/>
  <c r="BH92" i="3"/>
  <c r="BH91" i="3"/>
  <c r="BH86" i="3"/>
  <c r="BH85" i="3"/>
  <c r="BH84" i="3"/>
  <c r="BH83" i="3"/>
  <c r="BH78" i="3"/>
  <c r="BH75" i="3"/>
  <c r="BH74" i="3"/>
  <c r="BH73" i="3"/>
  <c r="BH70" i="3"/>
  <c r="BH69" i="3"/>
  <c r="BH68" i="3"/>
  <c r="BH66" i="3"/>
  <c r="BH65" i="3"/>
  <c r="BH64" i="3"/>
  <c r="BH63" i="3"/>
  <c r="BH58" i="3"/>
  <c r="BH57" i="3"/>
  <c r="BH56" i="3"/>
  <c r="BH55" i="3"/>
  <c r="BH54" i="3"/>
  <c r="BH53" i="3"/>
  <c r="BH52" i="3"/>
  <c r="BH51" i="3"/>
  <c r="BH45" i="3"/>
  <c r="BH44" i="3"/>
  <c r="BH43" i="3"/>
  <c r="BH42" i="3"/>
  <c r="BH41" i="3"/>
  <c r="BH40" i="3"/>
  <c r="BH39" i="3"/>
  <c r="BH32" i="3"/>
  <c r="BH31" i="3"/>
  <c r="BH30" i="3"/>
  <c r="BH29" i="3"/>
  <c r="BH28" i="3"/>
  <c r="BH27" i="3"/>
  <c r="BH24" i="3"/>
  <c r="BH19" i="3"/>
  <c r="BH18" i="3"/>
  <c r="X16" i="3"/>
  <c r="BH15" i="3"/>
  <c r="BH12" i="3"/>
  <c r="BH11" i="3"/>
  <c r="BH10" i="3"/>
  <c r="BH9" i="3"/>
  <c r="BH8" i="3"/>
  <c r="BH7" i="3"/>
  <c r="BH6" i="3"/>
  <c r="BH5" i="3"/>
  <c r="C10" i="2"/>
  <c r="F8" i="2"/>
  <c r="BH173" i="3"/>
  <c r="BA222" i="3"/>
  <c r="BA221" i="3"/>
  <c r="BA220" i="3"/>
  <c r="BA219" i="3"/>
  <c r="BA218" i="3"/>
  <c r="BA217" i="3"/>
  <c r="BA216" i="3"/>
  <c r="BA215" i="3"/>
  <c r="BA214" i="3"/>
  <c r="BA213" i="3"/>
  <c r="BA212" i="3"/>
  <c r="BA211" i="3"/>
  <c r="BA210" i="3"/>
  <c r="BA209" i="3"/>
  <c r="BA208" i="3"/>
  <c r="BA207" i="3"/>
  <c r="BA206" i="3"/>
  <c r="BA205" i="3"/>
  <c r="BA204" i="3"/>
  <c r="BA203" i="3"/>
  <c r="BA202" i="3"/>
  <c r="BA201" i="3"/>
  <c r="BA200" i="3"/>
  <c r="BA199" i="3"/>
  <c r="BA198" i="3"/>
  <c r="BA197" i="3"/>
  <c r="BA196" i="3"/>
  <c r="BA195" i="3"/>
  <c r="BA194" i="3"/>
  <c r="BA193" i="3"/>
  <c r="BA192" i="3"/>
  <c r="BA191" i="3"/>
  <c r="BA190" i="3"/>
  <c r="BA189" i="3"/>
  <c r="BA188" i="3"/>
  <c r="BA187" i="3"/>
  <c r="BA186" i="3"/>
  <c r="BA185" i="3"/>
  <c r="BA184" i="3"/>
  <c r="BA183" i="3"/>
  <c r="BA182" i="3"/>
  <c r="BA181" i="3"/>
  <c r="BA180" i="3"/>
  <c r="BA179" i="3"/>
  <c r="BA178" i="3"/>
  <c r="BA177" i="3"/>
  <c r="BA176" i="3"/>
  <c r="BA175" i="3"/>
  <c r="BA174" i="3"/>
  <c r="AV222" i="3"/>
  <c r="AV221" i="3"/>
  <c r="AV220" i="3"/>
  <c r="AV219" i="3"/>
  <c r="AV218" i="3"/>
  <c r="AV217" i="3"/>
  <c r="AV216" i="3"/>
  <c r="AV215" i="3"/>
  <c r="AV214" i="3"/>
  <c r="AV213" i="3"/>
  <c r="AV212" i="3"/>
  <c r="AV211" i="3"/>
  <c r="AV210" i="3"/>
  <c r="AV209" i="3"/>
  <c r="AV208" i="3"/>
  <c r="AV207" i="3"/>
  <c r="AV206" i="3"/>
  <c r="AV205" i="3"/>
  <c r="AV204" i="3"/>
  <c r="AV203" i="3"/>
  <c r="AV202" i="3"/>
  <c r="AV201" i="3"/>
  <c r="AV200" i="3"/>
  <c r="AV199" i="3"/>
  <c r="AV198" i="3"/>
  <c r="AV197" i="3"/>
  <c r="AV196" i="3"/>
  <c r="AV195" i="3"/>
  <c r="AV194" i="3"/>
  <c r="AV193" i="3"/>
  <c r="AV192" i="3"/>
  <c r="AV191" i="3"/>
  <c r="AV190" i="3"/>
  <c r="AV189" i="3"/>
  <c r="AV188" i="3"/>
  <c r="AV187" i="3"/>
  <c r="AV186" i="3"/>
  <c r="AV185" i="3"/>
  <c r="AV184" i="3"/>
  <c r="AV183" i="3"/>
  <c r="AV182" i="3"/>
  <c r="AV181" i="3"/>
  <c r="AV180" i="3"/>
  <c r="AV179" i="3"/>
  <c r="AV178" i="3"/>
  <c r="AV177" i="3"/>
  <c r="AV176" i="3"/>
  <c r="AV175" i="3"/>
  <c r="AV174" i="3"/>
  <c r="AQ222" i="3"/>
  <c r="AQ221" i="3"/>
  <c r="AQ220" i="3"/>
  <c r="AQ219" i="3"/>
  <c r="AQ218" i="3"/>
  <c r="AQ217" i="3"/>
  <c r="AQ216" i="3"/>
  <c r="AQ215" i="3"/>
  <c r="AQ214" i="3"/>
  <c r="AQ213" i="3"/>
  <c r="AQ212" i="3"/>
  <c r="AQ211" i="3"/>
  <c r="AQ210" i="3"/>
  <c r="AQ209" i="3"/>
  <c r="AQ208" i="3"/>
  <c r="AQ207" i="3"/>
  <c r="AQ206" i="3"/>
  <c r="AQ205" i="3"/>
  <c r="AQ204" i="3"/>
  <c r="AQ203" i="3"/>
  <c r="AQ202" i="3"/>
  <c r="AQ201" i="3"/>
  <c r="AQ200" i="3"/>
  <c r="AQ199" i="3"/>
  <c r="AQ198" i="3"/>
  <c r="AQ197" i="3"/>
  <c r="AQ196" i="3"/>
  <c r="AQ195" i="3"/>
  <c r="AQ194" i="3"/>
  <c r="AQ193" i="3"/>
  <c r="AQ192" i="3"/>
  <c r="AQ191" i="3"/>
  <c r="AQ190" i="3"/>
  <c r="AQ189" i="3"/>
  <c r="AQ188" i="3"/>
  <c r="AQ187" i="3"/>
  <c r="AQ186" i="3"/>
  <c r="AQ185" i="3"/>
  <c r="AQ184" i="3"/>
  <c r="AQ183" i="3"/>
  <c r="AQ182" i="3"/>
  <c r="AQ181" i="3"/>
  <c r="AQ180" i="3"/>
  <c r="AQ179" i="3"/>
  <c r="AQ178" i="3"/>
  <c r="AQ177" i="3"/>
  <c r="AQ176" i="3"/>
  <c r="AQ175" i="3"/>
  <c r="AQ174" i="3"/>
  <c r="AL222" i="3"/>
  <c r="AL221" i="3"/>
  <c r="AL220" i="3"/>
  <c r="AL219" i="3"/>
  <c r="AL218" i="3"/>
  <c r="AL217" i="3"/>
  <c r="AL216" i="3"/>
  <c r="AL215" i="3"/>
  <c r="AL214" i="3"/>
  <c r="AL213" i="3"/>
  <c r="AL212" i="3"/>
  <c r="AL211" i="3"/>
  <c r="AL210" i="3"/>
  <c r="AL209" i="3"/>
  <c r="AL208" i="3"/>
  <c r="AL207" i="3"/>
  <c r="AL206" i="3"/>
  <c r="AL205" i="3"/>
  <c r="AL204" i="3"/>
  <c r="AL203" i="3"/>
  <c r="AL202" i="3"/>
  <c r="AL201" i="3"/>
  <c r="AL200" i="3"/>
  <c r="AL199" i="3"/>
  <c r="AL198" i="3"/>
  <c r="AL197" i="3"/>
  <c r="AL196" i="3"/>
  <c r="AL195" i="3"/>
  <c r="AL194" i="3"/>
  <c r="AL193" i="3"/>
  <c r="AL192" i="3"/>
  <c r="AL191" i="3"/>
  <c r="AL190" i="3"/>
  <c r="AL189" i="3"/>
  <c r="AL188" i="3"/>
  <c r="AL187" i="3"/>
  <c r="AL186" i="3"/>
  <c r="AL185" i="3"/>
  <c r="AL184" i="3"/>
  <c r="AL183" i="3"/>
  <c r="AL182" i="3"/>
  <c r="AL181" i="3"/>
  <c r="AL180" i="3"/>
  <c r="AL179" i="3"/>
  <c r="AL178" i="3"/>
  <c r="AL177" i="3"/>
  <c r="AL176" i="3"/>
  <c r="AL175" i="3"/>
  <c r="AL174" i="3"/>
  <c r="AG222" i="3"/>
  <c r="AG221" i="3"/>
  <c r="AG220" i="3"/>
  <c r="AG219" i="3"/>
  <c r="AG218" i="3"/>
  <c r="AG217" i="3"/>
  <c r="AG216" i="3"/>
  <c r="AG215" i="3"/>
  <c r="AG214" i="3"/>
  <c r="AG213" i="3"/>
  <c r="AG212" i="3"/>
  <c r="AG211" i="3"/>
  <c r="AG210" i="3"/>
  <c r="AG209" i="3"/>
  <c r="AG208" i="3"/>
  <c r="AG207" i="3"/>
  <c r="AG206" i="3"/>
  <c r="AG205" i="3"/>
  <c r="AG204" i="3"/>
  <c r="AG203" i="3"/>
  <c r="AG202" i="3"/>
  <c r="AG201" i="3"/>
  <c r="AG200" i="3"/>
  <c r="AG199" i="3"/>
  <c r="AG198" i="3"/>
  <c r="AG197" i="3"/>
  <c r="AG196" i="3"/>
  <c r="AG195" i="3"/>
  <c r="AG194" i="3"/>
  <c r="AG193" i="3"/>
  <c r="AG192" i="3"/>
  <c r="AG191" i="3"/>
  <c r="AG190" i="3"/>
  <c r="AG189" i="3"/>
  <c r="AG188" i="3"/>
  <c r="AG187" i="3"/>
  <c r="AG186" i="3"/>
  <c r="AG185" i="3"/>
  <c r="AG184" i="3"/>
  <c r="AG183" i="3"/>
  <c r="AG182" i="3"/>
  <c r="AG181" i="3"/>
  <c r="AG180" i="3"/>
  <c r="AG179" i="3"/>
  <c r="AG178" i="3"/>
  <c r="AG177" i="3"/>
  <c r="AG176" i="3"/>
  <c r="AG175" i="3"/>
  <c r="AG174" i="3"/>
  <c r="AB222" i="3"/>
  <c r="AB221" i="3"/>
  <c r="AB220" i="3"/>
  <c r="AB219" i="3"/>
  <c r="AB218" i="3"/>
  <c r="AB217" i="3"/>
  <c r="AB216" i="3"/>
  <c r="AB215" i="3"/>
  <c r="AB214" i="3"/>
  <c r="AB213" i="3"/>
  <c r="AB212" i="3"/>
  <c r="AB211" i="3"/>
  <c r="AB210" i="3"/>
  <c r="AB209" i="3"/>
  <c r="AB208" i="3"/>
  <c r="AB207" i="3"/>
  <c r="AB206" i="3"/>
  <c r="AB205" i="3"/>
  <c r="AB204" i="3"/>
  <c r="AB203" i="3"/>
  <c r="AB202" i="3"/>
  <c r="AB201" i="3"/>
  <c r="AB200" i="3"/>
  <c r="AB199" i="3"/>
  <c r="AB198" i="3"/>
  <c r="AB197" i="3"/>
  <c r="AB196" i="3"/>
  <c r="AB195" i="3"/>
  <c r="AB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W222" i="3"/>
  <c r="W221" i="3"/>
  <c r="W220" i="3"/>
  <c r="W219" i="3"/>
  <c r="W218" i="3"/>
  <c r="W217" i="3"/>
  <c r="W216" i="3"/>
  <c r="W215" i="3"/>
  <c r="W214" i="3"/>
  <c r="W213" i="3"/>
  <c r="W212" i="3"/>
  <c r="W211" i="3"/>
  <c r="W210" i="3"/>
  <c r="W209" i="3"/>
  <c r="W208" i="3"/>
  <c r="W207" i="3"/>
  <c r="W206" i="3"/>
  <c r="W205" i="3"/>
  <c r="W204" i="3"/>
  <c r="W203" i="3"/>
  <c r="W202" i="3"/>
  <c r="W201" i="3"/>
  <c r="W200" i="3"/>
  <c r="W199" i="3"/>
  <c r="W198" i="3"/>
  <c r="W197" i="3"/>
  <c r="W196" i="3"/>
  <c r="W195" i="3"/>
  <c r="W194" i="3"/>
  <c r="W193" i="3"/>
  <c r="W192" i="3"/>
  <c r="W191" i="3"/>
  <c r="W190" i="3"/>
  <c r="W189" i="3"/>
  <c r="W188" i="3"/>
  <c r="W187" i="3"/>
  <c r="W186" i="3"/>
  <c r="W185" i="3"/>
  <c r="W184" i="3"/>
  <c r="W183" i="3"/>
  <c r="W182" i="3"/>
  <c r="W181" i="3"/>
  <c r="W180" i="3"/>
  <c r="W179" i="3"/>
  <c r="W178" i="3"/>
  <c r="W177" i="3"/>
  <c r="W176" i="3"/>
  <c r="W175" i="3"/>
  <c r="W174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BH222" i="3"/>
  <c r="BH221" i="3"/>
  <c r="BH220" i="3"/>
  <c r="BH219" i="3"/>
  <c r="BH218" i="3"/>
  <c r="BH217" i="3"/>
  <c r="BH216" i="3"/>
  <c r="BH215" i="3"/>
  <c r="BH213" i="3"/>
  <c r="BH212" i="3"/>
  <c r="BH211" i="3"/>
  <c r="BH210" i="3"/>
  <c r="BH209" i="3"/>
  <c r="BH208" i="3"/>
  <c r="BH207" i="3"/>
  <c r="BH206" i="3"/>
  <c r="BH205" i="3"/>
  <c r="BH204" i="3"/>
  <c r="BH203" i="3"/>
  <c r="BH201" i="3"/>
  <c r="BH200" i="3"/>
  <c r="BH199" i="3"/>
  <c r="BH198" i="3"/>
  <c r="BH197" i="3"/>
  <c r="BH196" i="3"/>
  <c r="BH195" i="3"/>
  <c r="BH194" i="3"/>
  <c r="BH193" i="3"/>
  <c r="BH189" i="3"/>
  <c r="BH188" i="3"/>
  <c r="BH187" i="3"/>
  <c r="BH186" i="3"/>
  <c r="BH185" i="3"/>
  <c r="BH184" i="3"/>
  <c r="BH183" i="3"/>
  <c r="BH177" i="3"/>
  <c r="BH176" i="3"/>
  <c r="BH175" i="3"/>
  <c r="BH174" i="3"/>
  <c r="BH142" i="3"/>
  <c r="BH110" i="3"/>
  <c r="BA223" i="3"/>
  <c r="AV223" i="3"/>
  <c r="AQ223" i="3"/>
  <c r="AL223" i="3"/>
  <c r="AG223" i="3"/>
  <c r="AB223" i="3"/>
  <c r="W223" i="3"/>
  <c r="R223" i="3"/>
  <c r="M223" i="3"/>
  <c r="H223" i="3"/>
  <c r="BH228" i="3"/>
  <c r="BH227" i="3"/>
  <c r="BH226" i="3"/>
  <c r="BH225" i="3"/>
  <c r="BH303" i="3"/>
  <c r="BH302" i="3"/>
  <c r="BH301" i="3"/>
  <c r="BH300" i="3"/>
  <c r="BH299" i="3"/>
  <c r="BH298" i="3"/>
  <c r="BH297" i="3"/>
  <c r="BH293" i="3"/>
  <c r="BH292" i="3"/>
  <c r="BH291" i="3"/>
  <c r="BH290" i="3"/>
  <c r="BH289" i="3"/>
  <c r="BH288" i="3"/>
  <c r="BH287" i="3"/>
  <c r="BH286" i="3"/>
  <c r="BH285" i="3"/>
  <c r="BH283" i="3"/>
  <c r="BH282" i="3"/>
  <c r="BH281" i="3"/>
  <c r="BH278" i="3"/>
  <c r="BH277" i="3"/>
  <c r="BH276" i="3"/>
  <c r="BH275" i="3"/>
  <c r="BH274" i="3"/>
  <c r="BH273" i="3"/>
  <c r="BH272" i="3"/>
  <c r="BH271" i="3"/>
  <c r="BH270" i="3"/>
  <c r="BH269" i="3"/>
  <c r="BH266" i="3"/>
  <c r="BH265" i="3"/>
  <c r="BH264" i="3"/>
  <c r="BH263" i="3"/>
  <c r="BH262" i="3"/>
  <c r="BH261" i="3"/>
  <c r="BH260" i="3"/>
  <c r="BH259" i="3"/>
  <c r="BH255" i="3"/>
  <c r="BH254" i="3"/>
  <c r="BH253" i="3"/>
  <c r="BH252" i="3"/>
  <c r="BH251" i="3"/>
  <c r="BH250" i="3"/>
  <c r="BH249" i="3"/>
  <c r="BH248" i="3"/>
  <c r="BH247" i="3"/>
  <c r="BH243" i="3"/>
  <c r="BH242" i="3"/>
  <c r="BH241" i="3"/>
  <c r="BH240" i="3"/>
  <c r="BH239" i="3"/>
  <c r="BH238" i="3"/>
  <c r="BH237" i="3"/>
  <c r="BH236" i="3"/>
  <c r="BH235" i="3"/>
  <c r="BH231" i="3"/>
  <c r="BH230" i="3"/>
  <c r="BH229" i="3"/>
  <c r="L11" i="7" a="1"/>
  <c r="L11" i="7" s="1"/>
  <c r="N11" i="7" a="1"/>
  <c r="N11" i="7" s="1"/>
  <c r="I16" i="2" a="1"/>
  <c r="I16" i="2" s="1"/>
  <c r="G16" i="2" a="1"/>
  <c r="G16" i="2" s="1"/>
  <c r="P39" i="1"/>
  <c r="P40" i="1"/>
  <c r="P41" i="1"/>
  <c r="P42" i="1"/>
  <c r="P43" i="1"/>
  <c r="O39" i="1"/>
  <c r="O40" i="1"/>
  <c r="O41" i="1"/>
  <c r="O42" i="1"/>
  <c r="O43" i="1"/>
  <c r="N39" i="1"/>
  <c r="N40" i="1"/>
  <c r="N41" i="1"/>
  <c r="N43" i="1"/>
  <c r="M39" i="1"/>
  <c r="M40" i="1"/>
  <c r="M41" i="1"/>
  <c r="M42" i="1"/>
  <c r="M43" i="1"/>
  <c r="L39" i="1"/>
  <c r="L40" i="1"/>
  <c r="L41" i="1"/>
  <c r="L42" i="1"/>
  <c r="L43" i="1"/>
  <c r="O35" i="1"/>
  <c r="O37" i="1"/>
  <c r="N34" i="1"/>
  <c r="N35" i="1"/>
  <c r="N37" i="1"/>
  <c r="M34" i="1"/>
  <c r="M35" i="1"/>
  <c r="M36" i="1"/>
  <c r="M37" i="1"/>
  <c r="L33" i="1"/>
  <c r="L34" i="1"/>
  <c r="L35" i="1"/>
  <c r="L36" i="1"/>
  <c r="L37" i="1"/>
  <c r="T4" i="2"/>
  <c r="S4" i="2"/>
  <c r="AE13" i="4"/>
  <c r="AD13" i="4"/>
  <c r="AE5" i="4"/>
  <c r="AD5" i="4" s="1"/>
  <c r="AF5" i="4" s="1"/>
  <c r="AE12" i="4"/>
  <c r="AD12" i="4"/>
  <c r="AE8" i="4"/>
  <c r="AD8" i="4" s="1"/>
  <c r="AF8" i="4" s="1"/>
  <c r="AE4" i="4"/>
  <c r="AD4" i="4" s="1"/>
  <c r="AF4" i="4" s="1"/>
  <c r="AE11" i="4"/>
  <c r="AD11" i="4"/>
  <c r="AE7" i="4"/>
  <c r="AD7" i="4" s="1"/>
  <c r="AF7" i="4" s="1"/>
  <c r="L21" i="4"/>
  <c r="G278" i="7"/>
  <c r="AC2" i="7"/>
  <c r="J2" i="7"/>
  <c r="A17" i="2"/>
  <c r="B17" i="2" s="1"/>
  <c r="H296" i="7"/>
  <c r="O8" i="4"/>
  <c r="O11" i="4"/>
  <c r="O12" i="4"/>
  <c r="O15" i="4"/>
  <c r="O16" i="4"/>
  <c r="O17" i="4"/>
  <c r="O18" i="4"/>
  <c r="O19" i="4"/>
  <c r="M8" i="4"/>
  <c r="M10" i="4"/>
  <c r="M11" i="4"/>
  <c r="M12" i="4"/>
  <c r="M13" i="4"/>
  <c r="M14" i="4"/>
  <c r="M15" i="4"/>
  <c r="M16" i="4"/>
  <c r="M17" i="4"/>
  <c r="M18" i="4"/>
  <c r="M19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CB2" i="3"/>
  <c r="CB3" i="3"/>
  <c r="CB4" i="3"/>
  <c r="CB5" i="3"/>
  <c r="CB6" i="3"/>
  <c r="CB7" i="3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49" i="3"/>
  <c r="CB50" i="3"/>
  <c r="CB51" i="3"/>
  <c r="CB52" i="3"/>
  <c r="CB53" i="3"/>
  <c r="CB54" i="3"/>
  <c r="P53" i="4"/>
  <c r="N53" i="4"/>
  <c r="M53" i="4"/>
  <c r="L53" i="4" s="1"/>
  <c r="BF172" i="3"/>
  <c r="BF171" i="3"/>
  <c r="BF173" i="3"/>
  <c r="BF174" i="3"/>
  <c r="BF222" i="3"/>
  <c r="BF227" i="3"/>
  <c r="BF305" i="3"/>
  <c r="X6" i="7"/>
  <c r="B15" i="7"/>
  <c r="X5" i="7"/>
  <c r="N2" i="4"/>
  <c r="N3" i="4"/>
  <c r="G3" i="4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AC5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256" i="3"/>
  <c r="AQ257" i="3"/>
  <c r="AQ258" i="3"/>
  <c r="AQ259" i="3"/>
  <c r="AQ260" i="3"/>
  <c r="AQ261" i="3"/>
  <c r="AQ262" i="3"/>
  <c r="AQ263" i="3"/>
  <c r="AQ264" i="3"/>
  <c r="AQ265" i="3"/>
  <c r="AQ266" i="3"/>
  <c r="AQ267" i="3"/>
  <c r="AQ268" i="3"/>
  <c r="AQ269" i="3"/>
  <c r="AQ270" i="3"/>
  <c r="AQ271" i="3"/>
  <c r="AQ272" i="3"/>
  <c r="AQ273" i="3"/>
  <c r="AQ274" i="3"/>
  <c r="AQ275" i="3"/>
  <c r="AQ276" i="3"/>
  <c r="AQ277" i="3"/>
  <c r="AQ278" i="3"/>
  <c r="AQ279" i="3"/>
  <c r="AQ280" i="3"/>
  <c r="AQ281" i="3"/>
  <c r="AQ282" i="3"/>
  <c r="AQ283" i="3"/>
  <c r="AQ284" i="3"/>
  <c r="AQ285" i="3"/>
  <c r="AQ286" i="3"/>
  <c r="AQ287" i="3"/>
  <c r="AQ288" i="3"/>
  <c r="AQ289" i="3"/>
  <c r="AQ290" i="3"/>
  <c r="AQ291" i="3"/>
  <c r="AQ292" i="3"/>
  <c r="AQ293" i="3"/>
  <c r="AQ294" i="3"/>
  <c r="AQ295" i="3"/>
  <c r="AQ296" i="3"/>
  <c r="AQ297" i="3"/>
  <c r="AQ298" i="3"/>
  <c r="AQ299" i="3"/>
  <c r="AQ300" i="3"/>
  <c r="AQ301" i="3"/>
  <c r="AQ302" i="3"/>
  <c r="AQ303" i="3"/>
  <c r="AQ304" i="3"/>
  <c r="AQ305" i="3"/>
  <c r="AQ306" i="3"/>
  <c r="AQ307" i="3"/>
  <c r="AQ308" i="3"/>
  <c r="AQ309" i="3"/>
  <c r="AQ310" i="3"/>
  <c r="AQ311" i="3"/>
  <c r="AQ312" i="3"/>
  <c r="AQ313" i="3"/>
  <c r="AQ314" i="3"/>
  <c r="AQ315" i="3"/>
  <c r="AQ316" i="3"/>
  <c r="AQ317" i="3"/>
  <c r="AQ318" i="3"/>
  <c r="AQ319" i="3"/>
  <c r="AQ320" i="3"/>
  <c r="AQ321" i="3"/>
  <c r="AQ322" i="3"/>
  <c r="AQ323" i="3"/>
  <c r="AQ324" i="3"/>
  <c r="AQ325" i="3"/>
  <c r="AQ326" i="3"/>
  <c r="AQ327" i="3"/>
  <c r="AQ328" i="3"/>
  <c r="AQ329" i="3"/>
  <c r="AQ330" i="3"/>
  <c r="AQ331" i="3"/>
  <c r="AQ332" i="3"/>
  <c r="AQ333" i="3"/>
  <c r="AQ334" i="3"/>
  <c r="AQ335" i="3"/>
  <c r="AQ336" i="3"/>
  <c r="AQ337" i="3"/>
  <c r="AQ338" i="3"/>
  <c r="AQ339" i="3"/>
  <c r="AQ340" i="3"/>
  <c r="AQ341" i="3"/>
  <c r="AQ342" i="3"/>
  <c r="AQ343" i="3"/>
  <c r="AQ344" i="3"/>
  <c r="AQ345" i="3"/>
  <c r="AQ346" i="3"/>
  <c r="AQ347" i="3"/>
  <c r="AQ348" i="3"/>
  <c r="AQ349" i="3"/>
  <c r="AQ350" i="3"/>
  <c r="AQ351" i="3"/>
  <c r="AQ352" i="3"/>
  <c r="AQ353" i="3"/>
  <c r="AQ354" i="3"/>
  <c r="AQ355" i="3"/>
  <c r="AQ356" i="3"/>
  <c r="AQ357" i="3"/>
  <c r="AQ358" i="3"/>
  <c r="AQ359" i="3"/>
  <c r="AQ360" i="3"/>
  <c r="AQ361" i="3"/>
  <c r="AQ362" i="3"/>
  <c r="AQ363" i="3"/>
  <c r="AQ364" i="3"/>
  <c r="AQ365" i="3"/>
  <c r="AQ366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BA224" i="3"/>
  <c r="BA225" i="3"/>
  <c r="BA226" i="3"/>
  <c r="BA227" i="3"/>
  <c r="BA228" i="3"/>
  <c r="BA229" i="3"/>
  <c r="BA230" i="3"/>
  <c r="BA231" i="3"/>
  <c r="BA232" i="3"/>
  <c r="BA233" i="3"/>
  <c r="BA234" i="3"/>
  <c r="BA235" i="3"/>
  <c r="BA236" i="3"/>
  <c r="BA237" i="3"/>
  <c r="BA238" i="3"/>
  <c r="BA239" i="3"/>
  <c r="BA240" i="3"/>
  <c r="BA241" i="3"/>
  <c r="BA242" i="3"/>
  <c r="BA243" i="3"/>
  <c r="BA244" i="3"/>
  <c r="BA245" i="3"/>
  <c r="BA246" i="3"/>
  <c r="BA247" i="3"/>
  <c r="BA248" i="3"/>
  <c r="BA249" i="3"/>
  <c r="BA250" i="3"/>
  <c r="BA251" i="3"/>
  <c r="BA252" i="3"/>
  <c r="BA253" i="3"/>
  <c r="BA254" i="3"/>
  <c r="BA255" i="3"/>
  <c r="BA256" i="3"/>
  <c r="BA257" i="3"/>
  <c r="BA258" i="3"/>
  <c r="BA259" i="3"/>
  <c r="BA260" i="3"/>
  <c r="BA261" i="3"/>
  <c r="BA262" i="3"/>
  <c r="BA263" i="3"/>
  <c r="BA264" i="3"/>
  <c r="BA265" i="3"/>
  <c r="BA266" i="3"/>
  <c r="BA267" i="3"/>
  <c r="BA268" i="3"/>
  <c r="BA269" i="3"/>
  <c r="BA270" i="3"/>
  <c r="BA271" i="3"/>
  <c r="BA272" i="3"/>
  <c r="BA273" i="3"/>
  <c r="BA274" i="3"/>
  <c r="BA275" i="3"/>
  <c r="BA276" i="3"/>
  <c r="BA277" i="3"/>
  <c r="BA278" i="3"/>
  <c r="BA279" i="3"/>
  <c r="BA280" i="3"/>
  <c r="BA281" i="3"/>
  <c r="BA282" i="3"/>
  <c r="BA283" i="3"/>
  <c r="BA284" i="3"/>
  <c r="BA285" i="3"/>
  <c r="BA286" i="3"/>
  <c r="BA287" i="3"/>
  <c r="BA288" i="3"/>
  <c r="BA289" i="3"/>
  <c r="BA290" i="3"/>
  <c r="BA291" i="3"/>
  <c r="BA292" i="3"/>
  <c r="BA293" i="3"/>
  <c r="BA294" i="3"/>
  <c r="BA295" i="3"/>
  <c r="BA296" i="3"/>
  <c r="BA297" i="3"/>
  <c r="BA298" i="3"/>
  <c r="BA299" i="3"/>
  <c r="BA300" i="3"/>
  <c r="BA301" i="3"/>
  <c r="BA302" i="3"/>
  <c r="BA303" i="3"/>
  <c r="BA304" i="3"/>
  <c r="BA305" i="3"/>
  <c r="BA306" i="3"/>
  <c r="BA307" i="3"/>
  <c r="BA308" i="3"/>
  <c r="BA309" i="3"/>
  <c r="BA310" i="3"/>
  <c r="BA311" i="3"/>
  <c r="BA312" i="3"/>
  <c r="BA313" i="3"/>
  <c r="BA314" i="3"/>
  <c r="BA315" i="3"/>
  <c r="BA316" i="3"/>
  <c r="BA317" i="3"/>
  <c r="BA318" i="3"/>
  <c r="BA319" i="3"/>
  <c r="BA320" i="3"/>
  <c r="BA321" i="3"/>
  <c r="BA322" i="3"/>
  <c r="BA323" i="3"/>
  <c r="BA324" i="3"/>
  <c r="BA325" i="3"/>
  <c r="BA326" i="3"/>
  <c r="BA327" i="3"/>
  <c r="BA328" i="3"/>
  <c r="BA329" i="3"/>
  <c r="BA330" i="3"/>
  <c r="BA331" i="3"/>
  <c r="BA332" i="3"/>
  <c r="BA333" i="3"/>
  <c r="BA334" i="3"/>
  <c r="BA335" i="3"/>
  <c r="BA336" i="3"/>
  <c r="BA337" i="3"/>
  <c r="BA338" i="3"/>
  <c r="BA339" i="3"/>
  <c r="BA340" i="3"/>
  <c r="BA341" i="3"/>
  <c r="BA342" i="3"/>
  <c r="BA343" i="3"/>
  <c r="BA344" i="3"/>
  <c r="BA345" i="3"/>
  <c r="BA346" i="3"/>
  <c r="BA347" i="3"/>
  <c r="BA348" i="3"/>
  <c r="BA349" i="3"/>
  <c r="BA350" i="3"/>
  <c r="BA351" i="3"/>
  <c r="BA352" i="3"/>
  <c r="BA353" i="3"/>
  <c r="BA354" i="3"/>
  <c r="BA355" i="3"/>
  <c r="BA356" i="3"/>
  <c r="BA357" i="3"/>
  <c r="BA358" i="3"/>
  <c r="BA359" i="3"/>
  <c r="BA360" i="3"/>
  <c r="BA361" i="3"/>
  <c r="BA362" i="3"/>
  <c r="BA363" i="3"/>
  <c r="BA364" i="3"/>
  <c r="BA365" i="3"/>
  <c r="BA366" i="3"/>
  <c r="BB33" i="3"/>
  <c r="BB34" i="3"/>
  <c r="BB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8" i="3"/>
  <c r="BB119" i="3"/>
  <c r="BB120" i="3"/>
  <c r="BB121" i="3"/>
  <c r="BB122" i="3"/>
  <c r="BB123" i="3"/>
  <c r="BB124" i="3"/>
  <c r="BB125" i="3"/>
  <c r="BB126" i="3"/>
  <c r="BB127" i="3"/>
  <c r="BB128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61" i="3"/>
  <c r="BB162" i="3"/>
  <c r="BB163" i="3"/>
  <c r="BB164" i="3"/>
  <c r="BB165" i="3"/>
  <c r="BB166" i="3"/>
  <c r="BB167" i="3"/>
  <c r="BB168" i="3"/>
  <c r="BB169" i="3"/>
  <c r="BB170" i="3"/>
  <c r="BB171" i="3"/>
  <c r="BB172" i="3"/>
  <c r="BB173" i="3"/>
  <c r="BB174" i="3"/>
  <c r="BB175" i="3"/>
  <c r="BB176" i="3"/>
  <c r="BB177" i="3"/>
  <c r="BB178" i="3"/>
  <c r="BB179" i="3"/>
  <c r="BB180" i="3"/>
  <c r="BB181" i="3"/>
  <c r="BB182" i="3"/>
  <c r="BB183" i="3"/>
  <c r="BB184" i="3"/>
  <c r="BB185" i="3"/>
  <c r="BB186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0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29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49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8" i="3"/>
  <c r="BB309" i="3"/>
  <c r="BB310" i="3"/>
  <c r="BB311" i="3"/>
  <c r="BB312" i="3"/>
  <c r="BB313" i="3"/>
  <c r="BB314" i="3"/>
  <c r="BB315" i="3"/>
  <c r="BB316" i="3"/>
  <c r="BB317" i="3"/>
  <c r="BB318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341" i="3"/>
  <c r="BB342" i="3"/>
  <c r="BB343" i="3"/>
  <c r="BB344" i="3"/>
  <c r="BB345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5" i="3"/>
  <c r="BB366" i="3"/>
  <c r="AC3" i="3"/>
  <c r="AC4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BB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AW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H3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S6" i="3"/>
  <c r="S3" i="3"/>
  <c r="S4" i="3"/>
  <c r="S5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J10" i="2"/>
  <c r="J9" i="2"/>
  <c r="J12" i="2"/>
  <c r="J5" i="2"/>
  <c r="J11" i="2"/>
  <c r="J13" i="2"/>
  <c r="J4" i="2"/>
  <c r="J2" i="2"/>
  <c r="J3" i="2"/>
  <c r="J6" i="2"/>
  <c r="J8" i="2"/>
  <c r="I10" i="2"/>
  <c r="I9" i="2"/>
  <c r="I12" i="2"/>
  <c r="I5" i="2"/>
  <c r="I11" i="2"/>
  <c r="I13" i="2"/>
  <c r="I4" i="2"/>
  <c r="I2" i="2"/>
  <c r="I3" i="2"/>
  <c r="I6" i="2"/>
  <c r="H12" i="2"/>
  <c r="H5" i="2"/>
  <c r="H11" i="2"/>
  <c r="H4" i="2"/>
  <c r="H3" i="2"/>
  <c r="H6" i="2"/>
  <c r="G10" i="2"/>
  <c r="G9" i="2"/>
  <c r="G12" i="2"/>
  <c r="G5" i="2"/>
  <c r="G11" i="2"/>
  <c r="G4" i="2"/>
  <c r="G2" i="2"/>
  <c r="G3" i="2"/>
  <c r="G6" i="2"/>
  <c r="G8" i="2"/>
  <c r="T2" i="2"/>
  <c r="S2" i="2"/>
  <c r="P106" i="4"/>
  <c r="M106" i="4"/>
  <c r="L106" i="4"/>
  <c r="N106" i="4"/>
  <c r="M107" i="4"/>
  <c r="L107" i="4"/>
  <c r="N107" i="4"/>
  <c r="P107" i="4"/>
  <c r="N108" i="4"/>
  <c r="M108" i="4"/>
  <c r="L108" i="4"/>
  <c r="P108" i="4"/>
  <c r="M109" i="4"/>
  <c r="L109" i="4"/>
  <c r="N109" i="4"/>
  <c r="P109" i="4"/>
  <c r="P110" i="4"/>
  <c r="M110" i="4"/>
  <c r="L110" i="4"/>
  <c r="N110" i="4"/>
  <c r="P111" i="4"/>
  <c r="M111" i="4"/>
  <c r="L111" i="4"/>
  <c r="N111" i="4"/>
  <c r="N112" i="4"/>
  <c r="P112" i="4"/>
  <c r="M112" i="4"/>
  <c r="L112" i="4"/>
  <c r="M113" i="4"/>
  <c r="L113" i="4"/>
  <c r="N113" i="4"/>
  <c r="P113" i="4"/>
  <c r="P114" i="4"/>
  <c r="M114" i="4"/>
  <c r="L114" i="4"/>
  <c r="N114" i="4"/>
  <c r="M115" i="4"/>
  <c r="L115" i="4"/>
  <c r="P115" i="4"/>
  <c r="N115" i="4"/>
  <c r="N116" i="4"/>
  <c r="M116" i="4"/>
  <c r="L116" i="4"/>
  <c r="P116" i="4"/>
  <c r="BD123" i="3"/>
  <c r="BD99" i="3"/>
  <c r="BD79" i="3"/>
  <c r="BD201" i="3"/>
  <c r="BD356" i="3"/>
  <c r="BD336" i="3"/>
  <c r="BD300" i="3"/>
  <c r="BD260" i="3"/>
  <c r="BD216" i="3"/>
  <c r="BI208" i="3"/>
  <c r="BD196" i="3"/>
  <c r="BD152" i="3"/>
  <c r="BD132" i="3"/>
  <c r="BD108" i="3"/>
  <c r="BD88" i="3"/>
  <c r="BD68" i="3"/>
  <c r="BD44" i="3"/>
  <c r="BD24" i="3"/>
  <c r="BD15" i="3"/>
  <c r="BF39" i="3"/>
  <c r="BD236" i="3"/>
  <c r="BF365" i="3"/>
  <c r="BF361" i="3"/>
  <c r="BF357" i="3"/>
  <c r="BF353" i="3"/>
  <c r="BF349" i="3"/>
  <c r="BF345" i="3"/>
  <c r="BF341" i="3"/>
  <c r="BD337" i="3"/>
  <c r="BF337" i="3"/>
  <c r="BF333" i="3"/>
  <c r="BF329" i="3"/>
  <c r="BF325" i="3"/>
  <c r="BD313" i="3"/>
  <c r="BF313" i="3"/>
  <c r="BF309" i="3"/>
  <c r="BI305" i="3"/>
  <c r="BI301" i="3"/>
  <c r="BF301" i="3"/>
  <c r="BF297" i="3"/>
  <c r="BF293" i="3"/>
  <c r="BF285" i="3"/>
  <c r="BF277" i="3"/>
  <c r="BD273" i="3"/>
  <c r="BF273" i="3"/>
  <c r="BF269" i="3"/>
  <c r="BF265" i="3"/>
  <c r="BF257" i="3"/>
  <c r="BF253" i="3"/>
  <c r="BF249" i="3"/>
  <c r="BI245" i="3"/>
  <c r="BF245" i="3"/>
  <c r="BI241" i="3"/>
  <c r="BF241" i="3"/>
  <c r="BF237" i="3"/>
  <c r="BF229" i="3"/>
  <c r="BD225" i="3"/>
  <c r="BI221" i="3"/>
  <c r="BF217" i="3"/>
  <c r="BF213" i="3"/>
  <c r="BI209" i="3"/>
  <c r="BF209" i="3"/>
  <c r="BF205" i="3"/>
  <c r="BF201" i="3"/>
  <c r="BF193" i="3"/>
  <c r="BF165" i="3"/>
  <c r="BD161" i="3"/>
  <c r="BF161" i="3"/>
  <c r="BF157" i="3"/>
  <c r="BF153" i="3"/>
  <c r="BF145" i="3"/>
  <c r="BD141" i="3"/>
  <c r="BI137" i="3"/>
  <c r="BD129" i="3"/>
  <c r="BI125" i="3"/>
  <c r="BF125" i="3"/>
  <c r="BF117" i="3"/>
  <c r="BF109" i="3"/>
  <c r="BF105" i="3"/>
  <c r="BF97" i="3"/>
  <c r="BI89" i="3"/>
  <c r="BF81" i="3"/>
  <c r="BF77" i="3"/>
  <c r="BI73" i="3"/>
  <c r="BF73" i="3"/>
  <c r="BF69" i="3"/>
  <c r="BF53" i="3"/>
  <c r="BF41" i="3"/>
  <c r="BF21" i="3"/>
  <c r="BD16" i="3"/>
  <c r="BD12" i="3"/>
  <c r="BF12" i="3"/>
  <c r="BF4" i="3"/>
  <c r="BF360" i="3"/>
  <c r="BF356" i="3"/>
  <c r="BF348" i="3"/>
  <c r="BF336" i="3"/>
  <c r="BF332" i="3"/>
  <c r="BF324" i="3"/>
  <c r="BF320" i="3"/>
  <c r="BF316" i="3"/>
  <c r="BF312" i="3"/>
  <c r="BF308" i="3"/>
  <c r="BF300" i="3"/>
  <c r="BF292" i="3"/>
  <c r="BF284" i="3"/>
  <c r="BF276" i="3"/>
  <c r="BF272" i="3"/>
  <c r="BF268" i="3"/>
  <c r="BF264" i="3"/>
  <c r="BF256" i="3"/>
  <c r="BF252" i="3"/>
  <c r="BF248" i="3"/>
  <c r="BF244" i="3"/>
  <c r="BF236" i="3"/>
  <c r="BF232" i="3"/>
  <c r="BF216" i="3"/>
  <c r="BF208" i="3"/>
  <c r="BF204" i="3"/>
  <c r="BF200" i="3"/>
  <c r="BF196" i="3"/>
  <c r="BF192" i="3"/>
  <c r="BF180" i="3"/>
  <c r="BF164" i="3"/>
  <c r="BF152" i="3"/>
  <c r="BF144" i="3"/>
  <c r="BF140" i="3"/>
  <c r="BF136" i="3"/>
  <c r="BF132" i="3"/>
  <c r="BF124" i="3"/>
  <c r="BF116" i="3"/>
  <c r="BF112" i="3"/>
  <c r="BF108" i="3"/>
  <c r="BF96" i="3"/>
  <c r="BF88" i="3"/>
  <c r="BF84" i="3"/>
  <c r="BF76" i="3"/>
  <c r="BF56" i="3"/>
  <c r="BF40" i="3"/>
  <c r="BF32" i="3"/>
  <c r="BF28" i="3"/>
  <c r="BF7" i="3"/>
  <c r="BF363" i="3"/>
  <c r="BF359" i="3"/>
  <c r="BI355" i="3"/>
  <c r="BF355" i="3"/>
  <c r="BF351" i="3"/>
  <c r="BF347" i="3"/>
  <c r="BF339" i="3"/>
  <c r="BF335" i="3"/>
  <c r="BF331" i="3"/>
  <c r="BF327" i="3"/>
  <c r="BF323" i="3"/>
  <c r="BI319" i="3"/>
  <c r="BF319" i="3"/>
  <c r="BF315" i="3"/>
  <c r="BF311" i="3"/>
  <c r="BF307" i="3"/>
  <c r="BF295" i="3"/>
  <c r="BD291" i="3"/>
  <c r="BF291" i="3"/>
  <c r="BF287" i="3"/>
  <c r="BF283" i="3"/>
  <c r="BI275" i="3"/>
  <c r="BF275" i="3"/>
  <c r="BI271" i="3"/>
  <c r="BF271" i="3"/>
  <c r="BI259" i="3"/>
  <c r="BF259" i="3"/>
  <c r="BI255" i="3"/>
  <c r="BF255" i="3"/>
  <c r="BI251" i="3"/>
  <c r="BF251" i="3"/>
  <c r="BI247" i="3"/>
  <c r="BF247" i="3"/>
  <c r="BF243" i="3"/>
  <c r="BF239" i="3"/>
  <c r="BF235" i="3"/>
  <c r="BF231" i="3"/>
  <c r="BI227" i="3"/>
  <c r="BI219" i="3"/>
  <c r="BI215" i="3"/>
  <c r="BF215" i="3"/>
  <c r="BI211" i="3"/>
  <c r="BI207" i="3"/>
  <c r="BF207" i="3"/>
  <c r="BI203" i="3"/>
  <c r="BF203" i="3"/>
  <c r="BF195" i="3"/>
  <c r="BI183" i="3"/>
  <c r="BF179" i="3"/>
  <c r="BF175" i="3"/>
  <c r="BI171" i="3"/>
  <c r="BF167" i="3"/>
  <c r="BF159" i="3"/>
  <c r="BI155" i="3"/>
  <c r="BI151" i="3"/>
  <c r="BF151" i="3"/>
  <c r="BF143" i="3"/>
  <c r="BF139" i="3"/>
  <c r="BF131" i="3"/>
  <c r="BF123" i="3"/>
  <c r="BI119" i="3"/>
  <c r="BF119" i="3"/>
  <c r="BF111" i="3"/>
  <c r="BI103" i="3"/>
  <c r="BF103" i="3"/>
  <c r="BF95" i="3"/>
  <c r="BI87" i="3"/>
  <c r="BF87" i="3"/>
  <c r="BF366" i="3"/>
  <c r="BF362" i="3"/>
  <c r="BI354" i="3"/>
  <c r="BF354" i="3"/>
  <c r="BI350" i="3"/>
  <c r="BF350" i="3"/>
  <c r="BD346" i="3"/>
  <c r="BF346" i="3"/>
  <c r="BF338" i="3"/>
  <c r="BD330" i="3"/>
  <c r="BF330" i="3"/>
  <c r="BF326" i="3"/>
  <c r="BF322" i="3"/>
  <c r="BF318" i="3"/>
  <c r="BH314" i="3"/>
  <c r="BF314" i="3"/>
  <c r="BF310" i="3"/>
  <c r="BD302" i="3"/>
  <c r="BF298" i="3"/>
  <c r="BF290" i="3"/>
  <c r="BF286" i="3"/>
  <c r="BF278" i="3"/>
  <c r="BF274" i="3"/>
  <c r="BD270" i="3"/>
  <c r="BF270" i="3"/>
  <c r="BI266" i="3"/>
  <c r="BF266" i="3"/>
  <c r="BD254" i="3"/>
  <c r="BF254" i="3"/>
  <c r="BF250" i="3"/>
  <c r="BF242" i="3"/>
  <c r="BI238" i="3"/>
  <c r="BF238" i="3"/>
  <c r="BF230" i="3"/>
  <c r="BD226" i="3"/>
  <c r="BF210" i="3"/>
  <c r="BF206" i="3"/>
  <c r="BF202" i="3"/>
  <c r="BF194" i="3"/>
  <c r="BF178" i="3"/>
  <c r="BF166" i="3"/>
  <c r="BD162" i="3"/>
  <c r="BF158" i="3"/>
  <c r="BI150" i="3"/>
  <c r="BF150" i="3"/>
  <c r="BF146" i="3"/>
  <c r="BF138" i="3"/>
  <c r="BI130" i="3"/>
  <c r="BF130" i="3"/>
  <c r="BF126" i="3"/>
  <c r="BF118" i="3"/>
  <c r="BF110" i="3"/>
  <c r="BD98" i="3"/>
  <c r="BF90" i="3"/>
  <c r="BF74" i="3"/>
  <c r="BF70" i="3"/>
  <c r="BF66" i="3"/>
  <c r="BF62" i="3"/>
  <c r="BD54" i="3"/>
  <c r="BF54" i="3"/>
  <c r="BF42" i="3"/>
  <c r="BF34" i="3"/>
  <c r="BF5" i="3"/>
  <c r="BF19" i="3"/>
  <c r="BF83" i="3"/>
  <c r="BI75" i="3"/>
  <c r="BF75" i="3"/>
  <c r="BF63" i="3"/>
  <c r="BI55" i="3"/>
  <c r="BF55" i="3"/>
  <c r="BF47" i="3"/>
  <c r="BF35" i="3"/>
  <c r="BF31" i="3"/>
  <c r="BF27" i="3"/>
  <c r="BI18" i="3"/>
  <c r="BF18" i="3"/>
  <c r="BF6" i="3"/>
  <c r="BD171" i="3"/>
  <c r="BI329" i="3"/>
  <c r="BD343" i="3"/>
  <c r="BD283" i="3"/>
  <c r="BI299" i="3"/>
  <c r="BD43" i="3"/>
  <c r="BD63" i="3"/>
  <c r="BD83" i="3"/>
  <c r="BD107" i="3"/>
  <c r="BD131" i="3"/>
  <c r="BD203" i="3"/>
  <c r="BD299" i="3"/>
  <c r="BD6" i="3"/>
  <c r="BD359" i="3"/>
  <c r="BI27" i="3"/>
  <c r="BD27" i="3"/>
  <c r="BD47" i="3"/>
  <c r="BD67" i="3"/>
  <c r="BD91" i="3"/>
  <c r="BD111" i="3"/>
  <c r="BD219" i="3"/>
  <c r="BD315" i="3"/>
  <c r="BD31" i="3"/>
  <c r="BD51" i="3"/>
  <c r="BD75" i="3"/>
  <c r="BD95" i="3"/>
  <c r="BD115" i="3"/>
  <c r="BD155" i="3"/>
  <c r="BD235" i="3"/>
  <c r="BD18" i="3"/>
  <c r="BD139" i="3"/>
  <c r="BD251" i="3"/>
  <c r="BD267" i="3"/>
  <c r="BD158" i="3"/>
  <c r="BI5" i="3"/>
  <c r="BI54" i="3"/>
  <c r="BI158" i="3"/>
  <c r="BD30" i="3"/>
  <c r="BD198" i="3"/>
  <c r="BD70" i="3"/>
  <c r="BD34" i="3"/>
  <c r="BD78" i="3"/>
  <c r="BD118" i="3"/>
  <c r="BD206" i="3"/>
  <c r="BD306" i="3"/>
  <c r="BI17" i="3"/>
  <c r="BI242" i="3"/>
  <c r="BD134" i="3"/>
  <c r="BD326" i="3"/>
  <c r="BI142" i="3"/>
  <c r="BI230" i="3"/>
  <c r="BD142" i="3"/>
  <c r="BD278" i="3"/>
  <c r="BI190" i="3"/>
  <c r="BI318" i="3"/>
  <c r="BD318" i="3"/>
  <c r="BI310" i="3"/>
  <c r="BI290" i="3"/>
  <c r="BD274" i="3"/>
  <c r="BI258" i="3"/>
  <c r="BI250" i="3"/>
  <c r="BD234" i="3"/>
  <c r="BI226" i="3"/>
  <c r="BD218" i="3"/>
  <c r="BI186" i="3"/>
  <c r="BD186" i="3"/>
  <c r="BD154" i="3"/>
  <c r="BD138" i="3"/>
  <c r="BD122" i="3"/>
  <c r="BI110" i="3"/>
  <c r="BD106" i="3"/>
  <c r="BI102" i="3"/>
  <c r="BI90" i="3"/>
  <c r="BD90" i="3"/>
  <c r="BI86" i="3"/>
  <c r="BI78" i="3"/>
  <c r="BD74" i="3"/>
  <c r="BD42" i="3"/>
  <c r="BD9" i="3"/>
  <c r="BI22" i="3"/>
  <c r="BI30" i="3"/>
  <c r="BI98" i="3"/>
  <c r="BI106" i="3"/>
  <c r="BI206" i="3"/>
  <c r="BI278" i="3"/>
  <c r="BI286" i="3"/>
  <c r="BI302" i="3"/>
  <c r="BD354" i="3"/>
  <c r="BD82" i="3"/>
  <c r="BD102" i="3"/>
  <c r="BD146" i="3"/>
  <c r="BD210" i="3"/>
  <c r="BD230" i="3"/>
  <c r="BD286" i="3"/>
  <c r="BD310" i="3"/>
  <c r="BD5" i="3"/>
  <c r="BD17" i="3"/>
  <c r="BI9" i="3"/>
  <c r="BI42" i="3"/>
  <c r="BI74" i="3"/>
  <c r="BI118" i="3"/>
  <c r="BI162" i="3"/>
  <c r="BI194" i="3"/>
  <c r="BI210" i="3"/>
  <c r="BI222" i="3"/>
  <c r="BD358" i="3"/>
  <c r="BD19" i="3"/>
  <c r="BD22" i="3"/>
  <c r="BD46" i="3"/>
  <c r="BD66" i="3"/>
  <c r="BD86" i="3"/>
  <c r="BD130" i="3"/>
  <c r="BD150" i="3"/>
  <c r="BD174" i="3"/>
  <c r="BD194" i="3"/>
  <c r="BD238" i="3"/>
  <c r="BD262" i="3"/>
  <c r="BD290" i="3"/>
  <c r="BD322" i="3"/>
  <c r="BI46" i="3"/>
  <c r="BI198" i="3"/>
  <c r="BI254" i="3"/>
  <c r="BI338" i="3"/>
  <c r="BD362" i="3"/>
  <c r="BD250" i="3"/>
  <c r="BD266" i="3"/>
  <c r="BD282" i="3"/>
  <c r="BD298" i="3"/>
  <c r="BD314" i="3"/>
  <c r="BI70" i="3"/>
  <c r="BI94" i="3"/>
  <c r="BI122" i="3"/>
  <c r="BI326" i="3"/>
  <c r="BI123" i="3"/>
  <c r="BD127" i="3"/>
  <c r="BD143" i="3"/>
  <c r="BD175" i="3"/>
  <c r="BD191" i="3"/>
  <c r="BD207" i="3"/>
  <c r="BD223" i="3"/>
  <c r="BD239" i="3"/>
  <c r="BD255" i="3"/>
  <c r="BD271" i="3"/>
  <c r="BD287" i="3"/>
  <c r="BD303" i="3"/>
  <c r="BD319" i="3"/>
  <c r="BD335" i="3"/>
  <c r="BD347" i="3"/>
  <c r="BD363" i="3"/>
  <c r="BI327" i="3"/>
  <c r="BI6" i="3"/>
  <c r="BI51" i="3"/>
  <c r="BD163" i="3"/>
  <c r="BD179" i="3"/>
  <c r="BD195" i="3"/>
  <c r="BD211" i="3"/>
  <c r="BD227" i="3"/>
  <c r="BD243" i="3"/>
  <c r="BD259" i="3"/>
  <c r="BD323" i="3"/>
  <c r="BD339" i="3"/>
  <c r="BD351" i="3"/>
  <c r="BI59" i="3"/>
  <c r="BI191" i="3"/>
  <c r="BD23" i="3"/>
  <c r="BD39" i="3"/>
  <c r="BD55" i="3"/>
  <c r="BD87" i="3"/>
  <c r="BD119" i="3"/>
  <c r="BD135" i="3"/>
  <c r="BD151" i="3"/>
  <c r="BD167" i="3"/>
  <c r="BD183" i="3"/>
  <c r="BD199" i="3"/>
  <c r="BD215" i="3"/>
  <c r="BD231" i="3"/>
  <c r="BD247" i="3"/>
  <c r="BD263" i="3"/>
  <c r="BD311" i="3"/>
  <c r="BD327" i="3"/>
  <c r="BD355" i="3"/>
  <c r="BI99" i="3"/>
  <c r="BI23" i="3"/>
  <c r="BI39" i="3"/>
  <c r="BI111" i="3"/>
  <c r="BD289" i="3"/>
  <c r="BD361" i="3"/>
  <c r="BD309" i="3"/>
  <c r="BI29" i="3"/>
  <c r="BD73" i="3"/>
  <c r="BD353" i="3"/>
  <c r="BD209" i="3"/>
  <c r="BI257" i="3"/>
  <c r="BD301" i="3"/>
  <c r="BD89" i="3"/>
  <c r="BD137" i="3"/>
  <c r="BD173" i="3"/>
  <c r="BI317" i="3"/>
  <c r="BD357" i="3"/>
  <c r="BD325" i="3"/>
  <c r="BD269" i="3"/>
  <c r="BD237" i="3"/>
  <c r="BD217" i="3"/>
  <c r="BI197" i="3"/>
  <c r="BD197" i="3"/>
  <c r="BD165" i="3"/>
  <c r="BD117" i="3"/>
  <c r="BI109" i="3"/>
  <c r="BD101" i="3"/>
  <c r="BD97" i="3"/>
  <c r="BI41" i="3"/>
  <c r="BD41" i="3"/>
  <c r="BI8" i="3"/>
  <c r="BD365" i="3"/>
  <c r="BD109" i="3"/>
  <c r="BD277" i="3"/>
  <c r="BD345" i="3"/>
  <c r="BD25" i="3"/>
  <c r="BD53" i="3"/>
  <c r="BD105" i="3"/>
  <c r="BD317" i="3"/>
  <c r="BD77" i="3"/>
  <c r="BD213" i="3"/>
  <c r="BI65" i="3"/>
  <c r="BI77" i="3"/>
  <c r="BI93" i="3"/>
  <c r="BI97" i="3"/>
  <c r="BI201" i="3"/>
  <c r="BI237" i="3"/>
  <c r="BI249" i="3"/>
  <c r="BI285" i="3"/>
  <c r="BI293" i="3"/>
  <c r="BI321" i="3"/>
  <c r="BI345" i="3"/>
  <c r="BI16" i="3"/>
  <c r="BD133" i="3"/>
  <c r="BD281" i="3"/>
  <c r="BD29" i="3"/>
  <c r="BD57" i="3"/>
  <c r="BD153" i="3"/>
  <c r="BD245" i="3"/>
  <c r="BD333" i="3"/>
  <c r="BD221" i="3"/>
  <c r="BI85" i="3"/>
  <c r="BI105" i="3"/>
  <c r="BI121" i="3"/>
  <c r="BI141" i="3"/>
  <c r="BI153" i="3"/>
  <c r="BD193" i="3"/>
  <c r="BD249" i="3"/>
  <c r="BI273" i="3"/>
  <c r="BI309" i="3"/>
  <c r="BD8" i="3"/>
  <c r="BD329" i="3"/>
  <c r="BD69" i="3"/>
  <c r="BD125" i="3"/>
  <c r="BD157" i="3"/>
  <c r="BD261" i="3"/>
  <c r="BI53" i="3"/>
  <c r="BD65" i="3"/>
  <c r="BD145" i="3"/>
  <c r="BI229" i="3"/>
  <c r="BI265" i="3"/>
  <c r="BI289" i="3"/>
  <c r="BI313" i="3"/>
  <c r="BI337" i="3"/>
  <c r="BI365" i="3"/>
  <c r="BI361" i="3"/>
  <c r="BI353" i="3"/>
  <c r="BI349" i="3"/>
  <c r="BD349" i="3"/>
  <c r="BH345" i="3"/>
  <c r="BH341" i="3"/>
  <c r="BI333" i="3"/>
  <c r="BI325" i="3"/>
  <c r="BD321" i="3"/>
  <c r="BD297" i="3"/>
  <c r="BD293" i="3"/>
  <c r="BD285" i="3"/>
  <c r="BI281" i="3"/>
  <c r="BI277" i="3"/>
  <c r="BI269" i="3"/>
  <c r="BD265" i="3"/>
  <c r="BI261" i="3"/>
  <c r="BD257" i="3"/>
  <c r="BI253" i="3"/>
  <c r="BI225" i="3"/>
  <c r="BI217" i="3"/>
  <c r="BI205" i="3"/>
  <c r="BD205" i="3"/>
  <c r="BI189" i="3"/>
  <c r="BI185" i="3"/>
  <c r="BD185" i="3"/>
  <c r="BI177" i="3"/>
  <c r="BD177" i="3"/>
  <c r="BI165" i="3"/>
  <c r="BI161" i="3"/>
  <c r="BI157" i="3"/>
  <c r="BI149" i="3"/>
  <c r="BI145" i="3"/>
  <c r="BI133" i="3"/>
  <c r="BI129" i="3"/>
  <c r="BI117" i="3"/>
  <c r="BD113" i="3"/>
  <c r="BD85" i="3"/>
  <c r="BI239" i="3"/>
  <c r="BH313" i="3"/>
  <c r="BI295" i="3"/>
  <c r="BH329" i="3"/>
  <c r="BD366" i="3"/>
  <c r="BI362" i="3"/>
  <c r="BH358" i="3"/>
  <c r="BD350" i="3"/>
  <c r="BH342" i="3"/>
  <c r="BI342" i="3"/>
  <c r="BI314" i="3"/>
  <c r="BH310" i="3"/>
  <c r="BI306" i="3"/>
  <c r="BI298" i="3"/>
  <c r="BI282" i="3"/>
  <c r="BI274" i="3"/>
  <c r="BI218" i="3"/>
  <c r="BI138" i="3"/>
  <c r="BI134" i="3"/>
  <c r="BI126" i="3"/>
  <c r="BH325" i="3"/>
  <c r="BI179" i="3"/>
  <c r="BI347" i="3"/>
  <c r="BI311" i="3"/>
  <c r="BI95" i="3"/>
  <c r="BI167" i="3"/>
  <c r="BI323" i="3"/>
  <c r="BI115" i="3"/>
  <c r="BH330" i="3"/>
  <c r="BI360" i="3"/>
  <c r="BD360" i="3"/>
  <c r="BI356" i="3"/>
  <c r="BI348" i="3"/>
  <c r="BI344" i="3"/>
  <c r="BD344" i="3"/>
  <c r="BH336" i="3"/>
  <c r="BI336" i="3"/>
  <c r="BI332" i="3"/>
  <c r="BD328" i="3"/>
  <c r="BI324" i="3"/>
  <c r="BH320" i="3"/>
  <c r="BI320" i="3"/>
  <c r="BI312" i="3"/>
  <c r="BD312" i="3"/>
  <c r="BI300" i="3"/>
  <c r="BI296" i="3"/>
  <c r="BI288" i="3"/>
  <c r="BD288" i="3"/>
  <c r="BI284" i="3"/>
  <c r="BI280" i="3"/>
  <c r="BI276" i="3"/>
  <c r="BI272" i="3"/>
  <c r="BD272" i="3"/>
  <c r="BI260" i="3"/>
  <c r="BI256" i="3"/>
  <c r="BD256" i="3"/>
  <c r="BI252" i="3"/>
  <c r="BI248" i="3"/>
  <c r="BI244" i="3"/>
  <c r="BI240" i="3"/>
  <c r="BD240" i="3"/>
  <c r="BI236" i="3"/>
  <c r="BI232" i="3"/>
  <c r="BI228" i="3"/>
  <c r="BI220" i="3"/>
  <c r="BI216" i="3"/>
  <c r="BI212" i="3"/>
  <c r="BD208" i="3"/>
  <c r="BI200" i="3"/>
  <c r="BI196" i="3"/>
  <c r="BI192" i="3"/>
  <c r="BD192" i="3"/>
  <c r="BI188" i="3"/>
  <c r="BI184" i="3"/>
  <c r="BI176" i="3"/>
  <c r="BD176" i="3"/>
  <c r="BI168" i="3"/>
  <c r="BI164" i="3"/>
  <c r="BI160" i="3"/>
  <c r="BD160" i="3"/>
  <c r="BI156" i="3"/>
  <c r="BI152" i="3"/>
  <c r="BI148" i="3"/>
  <c r="BI144" i="3"/>
  <c r="BD144" i="3"/>
  <c r="BI140" i="3"/>
  <c r="BI132" i="3"/>
  <c r="BD128" i="3"/>
  <c r="BI120" i="3"/>
  <c r="BI116" i="3"/>
  <c r="BI112" i="3"/>
  <c r="BD112" i="3"/>
  <c r="BI108" i="3"/>
  <c r="BI104" i="3"/>
  <c r="BI100" i="3"/>
  <c r="BI96" i="3"/>
  <c r="BD96" i="3"/>
  <c r="BI88" i="3"/>
  <c r="BI84" i="3"/>
  <c r="BD80" i="3"/>
  <c r="BI76" i="3"/>
  <c r="BI68" i="3"/>
  <c r="BI64" i="3"/>
  <c r="BD64" i="3"/>
  <c r="BI52" i="3"/>
  <c r="BI44" i="3"/>
  <c r="BI40" i="3"/>
  <c r="BI32" i="3"/>
  <c r="BD32" i="3"/>
  <c r="BI20" i="3"/>
  <c r="BI15" i="3"/>
  <c r="BI11" i="3"/>
  <c r="BI7" i="3"/>
  <c r="BD28" i="3"/>
  <c r="BD52" i="3"/>
  <c r="BD92" i="3"/>
  <c r="BD116" i="3"/>
  <c r="BD136" i="3"/>
  <c r="BD156" i="3"/>
  <c r="BD180" i="3"/>
  <c r="BD200" i="3"/>
  <c r="BD244" i="3"/>
  <c r="BD264" i="3"/>
  <c r="BD284" i="3"/>
  <c r="BD320" i="3"/>
  <c r="BI128" i="3"/>
  <c r="BD56" i="3"/>
  <c r="BD76" i="3"/>
  <c r="BD100" i="3"/>
  <c r="BD140" i="3"/>
  <c r="BD164" i="3"/>
  <c r="BD184" i="3"/>
  <c r="BD204" i="3"/>
  <c r="BD228" i="3"/>
  <c r="BD248" i="3"/>
  <c r="BD292" i="3"/>
  <c r="BD324" i="3"/>
  <c r="BD348" i="3"/>
  <c r="BI28" i="3"/>
  <c r="BD40" i="3"/>
  <c r="BD84" i="3"/>
  <c r="BD124" i="3"/>
  <c r="BD148" i="3"/>
  <c r="BD168" i="3"/>
  <c r="BD188" i="3"/>
  <c r="BD212" i="3"/>
  <c r="BD252" i="3"/>
  <c r="BD276" i="3"/>
  <c r="BD296" i="3"/>
  <c r="BD7" i="3"/>
  <c r="BD308" i="3"/>
  <c r="BD332" i="3"/>
  <c r="BI292" i="3"/>
  <c r="BI224" i="3"/>
  <c r="BI204" i="3"/>
  <c r="BD334" i="3"/>
  <c r="BD338" i="3"/>
  <c r="BD342" i="3"/>
  <c r="BI366" i="3"/>
  <c r="BI19" i="3"/>
  <c r="BI270" i="3"/>
  <c r="BH366" i="3"/>
  <c r="BH350" i="3"/>
  <c r="BH338" i="3"/>
  <c r="BH322" i="3"/>
  <c r="BI31" i="3"/>
  <c r="BI67" i="3"/>
  <c r="BI83" i="3"/>
  <c r="BI107" i="3"/>
  <c r="BI135" i="3"/>
  <c r="BI243" i="3"/>
  <c r="BH363" i="3"/>
  <c r="BI363" i="3"/>
  <c r="BI127" i="3"/>
  <c r="BI199" i="3"/>
  <c r="BI283" i="3"/>
  <c r="BH362" i="3"/>
  <c r="BI10" i="3"/>
  <c r="BI139" i="3"/>
  <c r="BI187" i="3"/>
  <c r="BH354" i="3"/>
  <c r="BH355" i="3"/>
  <c r="BI351" i="3"/>
  <c r="BH347" i="3"/>
  <c r="BH343" i="3"/>
  <c r="BH335" i="3"/>
  <c r="BI335" i="3"/>
  <c r="BH331" i="3"/>
  <c r="BI331" i="3"/>
  <c r="BH327" i="3"/>
  <c r="BH315" i="3"/>
  <c r="BH311" i="3"/>
  <c r="BI303" i="3"/>
  <c r="BI291" i="3"/>
  <c r="BI263" i="3"/>
  <c r="BI175" i="3"/>
  <c r="BI163" i="3"/>
  <c r="BI143" i="3"/>
  <c r="BI131" i="3"/>
  <c r="BI91" i="3"/>
  <c r="BI63" i="3"/>
  <c r="BI43" i="3"/>
  <c r="BI2" i="3"/>
  <c r="BM2" i="3" s="1"/>
  <c r="BI195" i="3"/>
  <c r="BI235" i="3"/>
  <c r="BI279" i="3"/>
  <c r="BI307" i="3"/>
  <c r="BI315" i="3"/>
  <c r="BI339" i="3"/>
  <c r="BI359" i="3"/>
  <c r="BH323" i="3"/>
  <c r="BH326" i="3"/>
  <c r="BH318" i="3"/>
  <c r="BH360" i="3"/>
  <c r="BH356" i="3"/>
  <c r="BH348" i="3"/>
  <c r="BH344" i="3"/>
  <c r="BH332" i="3"/>
  <c r="BH324" i="3"/>
  <c r="BH312" i="3"/>
  <c r="BH308" i="3"/>
  <c r="BH359" i="3"/>
  <c r="BH351" i="3"/>
  <c r="BH339" i="3"/>
  <c r="BH307" i="3"/>
  <c r="BH365" i="3"/>
  <c r="BH361" i="3"/>
  <c r="BH357" i="3"/>
  <c r="BH353" i="3"/>
  <c r="BH349" i="3"/>
  <c r="BH337" i="3"/>
  <c r="BH333" i="3"/>
  <c r="BH321" i="3"/>
  <c r="BH317" i="3"/>
  <c r="BE353" i="3"/>
  <c r="BE315" i="3"/>
  <c r="BE202" i="3"/>
  <c r="BE361" i="3"/>
  <c r="BE342" i="3"/>
  <c r="BE299" i="3"/>
  <c r="BE362" i="3"/>
  <c r="BE333" i="3"/>
  <c r="BE314" i="3"/>
  <c r="BE298" i="3"/>
  <c r="BE267" i="3"/>
  <c r="BE195" i="3"/>
  <c r="BE348" i="3"/>
  <c r="BE311" i="3"/>
  <c r="BE248" i="3"/>
  <c r="BE230" i="3"/>
  <c r="BE167" i="3"/>
  <c r="BE365" i="3"/>
  <c r="BE357" i="3"/>
  <c r="BE350" i="3"/>
  <c r="BE341" i="3"/>
  <c r="BE330" i="3"/>
  <c r="BE323" i="3"/>
  <c r="BE310" i="3"/>
  <c r="BE260" i="3"/>
  <c r="BE252" i="3"/>
  <c r="BE218" i="3"/>
  <c r="BE190" i="3"/>
  <c r="BE160" i="3"/>
  <c r="BE338" i="3"/>
  <c r="BE224" i="3"/>
  <c r="BE119" i="3"/>
  <c r="BE64" i="3"/>
  <c r="BE344" i="3"/>
  <c r="BE303" i="3"/>
  <c r="BE256" i="3"/>
  <c r="BE244" i="3"/>
  <c r="BE223" i="3"/>
  <c r="BE212" i="3"/>
  <c r="BE198" i="3"/>
  <c r="BE186" i="3"/>
  <c r="BE170" i="3"/>
  <c r="BE151" i="3"/>
  <c r="BE74" i="3"/>
  <c r="BK39" i="3"/>
  <c r="BK19" i="3"/>
  <c r="BE349" i="3"/>
  <c r="BE302" i="3"/>
  <c r="BE283" i="3"/>
  <c r="BE250" i="3"/>
  <c r="BE232" i="3"/>
  <c r="BE207" i="3"/>
  <c r="BE158" i="3"/>
  <c r="BK27" i="3"/>
  <c r="BE360" i="3"/>
  <c r="BE319" i="3"/>
  <c r="BE312" i="3"/>
  <c r="BE305" i="3"/>
  <c r="BE301" i="3"/>
  <c r="BE287" i="3"/>
  <c r="BE282" i="3"/>
  <c r="BE269" i="3"/>
  <c r="BE262" i="3"/>
  <c r="BE206" i="3"/>
  <c r="BE191" i="3"/>
  <c r="BE184" i="3"/>
  <c r="BE154" i="3"/>
  <c r="BE140" i="3"/>
  <c r="BE16" i="3"/>
  <c r="BI173" i="3"/>
  <c r="BE363" i="3"/>
  <c r="BE345" i="3"/>
  <c r="BE276" i="3"/>
  <c r="BE254" i="3"/>
  <c r="BE247" i="3"/>
  <c r="BE235" i="3"/>
  <c r="BE220" i="3"/>
  <c r="BE203" i="3"/>
  <c r="BE196" i="3"/>
  <c r="BE75" i="3"/>
  <c r="BE39" i="3"/>
  <c r="BE355" i="3"/>
  <c r="BE343" i="3"/>
  <c r="BE300" i="3"/>
  <c r="BE296" i="3"/>
  <c r="BE286" i="3"/>
  <c r="BE268" i="3"/>
  <c r="BE222" i="3"/>
  <c r="BE211" i="3"/>
  <c r="BE204" i="3"/>
  <c r="BE150" i="3"/>
  <c r="BE139" i="3"/>
  <c r="BE118" i="3"/>
  <c r="BE86" i="3"/>
  <c r="BE358" i="3"/>
  <c r="BE337" i="3"/>
  <c r="BE332" i="3"/>
  <c r="BE321" i="3"/>
  <c r="BE293" i="3"/>
  <c r="BE264" i="3"/>
  <c r="BE236" i="3"/>
  <c r="BE200" i="3"/>
  <c r="BE168" i="3"/>
  <c r="BE136" i="3"/>
  <c r="BE351" i="3"/>
  <c r="BE331" i="3"/>
  <c r="BE317" i="3"/>
  <c r="BE313" i="3"/>
  <c r="BE278" i="3"/>
  <c r="BE253" i="3"/>
  <c r="BE246" i="3"/>
  <c r="BE228" i="3"/>
  <c r="BE221" i="3"/>
  <c r="BE182" i="3"/>
  <c r="BE156" i="3"/>
  <c r="BK56" i="3"/>
  <c r="BE325" i="3"/>
  <c r="BE243" i="3"/>
  <c r="BE214" i="3"/>
  <c r="BE179" i="3"/>
  <c r="BE56" i="3"/>
  <c r="BE359" i="3"/>
  <c r="BE339" i="3"/>
  <c r="BE309" i="3"/>
  <c r="BE291" i="3"/>
  <c r="BE273" i="3"/>
  <c r="BE216" i="3"/>
  <c r="BE166" i="3"/>
  <c r="BE148" i="3"/>
  <c r="BE134" i="3"/>
  <c r="BE116" i="3"/>
  <c r="BK43" i="3"/>
  <c r="BE318" i="3"/>
  <c r="BE307" i="3"/>
  <c r="BE275" i="3"/>
  <c r="BE164" i="3"/>
  <c r="BE132" i="3"/>
  <c r="BE100" i="3"/>
  <c r="BE347" i="3"/>
  <c r="BE335" i="3"/>
  <c r="BE251" i="3"/>
  <c r="BE237" i="3"/>
  <c r="BE205" i="3"/>
  <c r="BE187" i="3"/>
  <c r="BE172" i="3"/>
  <c r="BE30" i="3"/>
  <c r="BE107" i="3"/>
  <c r="BE320" i="3"/>
  <c r="BE288" i="3"/>
  <c r="BE272" i="3"/>
  <c r="BE226" i="3"/>
  <c r="BE210" i="3"/>
  <c r="BE194" i="3"/>
  <c r="BE257" i="3"/>
  <c r="BE225" i="3"/>
  <c r="BE193" i="3"/>
  <c r="BE2" i="3"/>
  <c r="BE265" i="3"/>
  <c r="BE233" i="3"/>
  <c r="BE201" i="3"/>
  <c r="BE162" i="3"/>
  <c r="BE130" i="3"/>
  <c r="BE98" i="3"/>
  <c r="BE326" i="3"/>
  <c r="BE306" i="3"/>
  <c r="BE274" i="3"/>
  <c r="BE241" i="3"/>
  <c r="BE209" i="3"/>
  <c r="BE66" i="3"/>
  <c r="BE54" i="3"/>
  <c r="BE249" i="3"/>
  <c r="BE217" i="3"/>
  <c r="BE185" i="3"/>
  <c r="BE155" i="3"/>
  <c r="BE123" i="3"/>
  <c r="BE91" i="3"/>
  <c r="BE47" i="3"/>
  <c r="BE15" i="3"/>
  <c r="BE171" i="3"/>
  <c r="BE43" i="3"/>
  <c r="BE27" i="3"/>
  <c r="BE169" i="3"/>
  <c r="BE161" i="3"/>
  <c r="BE153" i="3"/>
  <c r="BE145" i="3"/>
  <c r="BE137" i="3"/>
  <c r="BE129" i="3"/>
  <c r="BE121" i="3"/>
  <c r="BE105" i="3"/>
  <c r="BE97" i="3"/>
  <c r="BE89" i="3"/>
  <c r="BE53" i="3"/>
  <c r="BE45" i="3"/>
  <c r="BE37" i="3"/>
  <c r="BE29" i="3"/>
  <c r="BE5" i="3"/>
  <c r="BE159" i="3"/>
  <c r="BE143" i="3"/>
  <c r="BE127" i="3"/>
  <c r="BE111" i="3"/>
  <c r="BE95" i="3"/>
  <c r="BE79" i="3"/>
  <c r="BE163" i="3"/>
  <c r="BE147" i="3"/>
  <c r="BE131" i="3"/>
  <c r="BE115" i="3"/>
  <c r="BE99" i="3"/>
  <c r="BE83" i="3"/>
  <c r="BE67" i="3"/>
  <c r="BE51" i="3"/>
  <c r="BE19" i="3"/>
  <c r="BE165" i="3"/>
  <c r="BE157" i="3"/>
  <c r="BE149" i="3"/>
  <c r="BE141" i="3"/>
  <c r="BE133" i="3"/>
  <c r="BE117" i="3"/>
  <c r="BE109" i="3"/>
  <c r="BE101" i="3"/>
  <c r="BE85" i="3"/>
  <c r="BE77" i="3"/>
  <c r="BE65" i="3"/>
  <c r="BE57" i="3"/>
  <c r="BE41" i="3"/>
  <c r="BE33" i="3"/>
  <c r="BE17" i="3"/>
  <c r="BE9" i="3"/>
  <c r="CB33" i="3"/>
  <c r="E10" i="2"/>
  <c r="BE290" i="3"/>
  <c r="BE280" i="3"/>
  <c r="BE87" i="3"/>
  <c r="BE52" i="3"/>
  <c r="BE308" i="3"/>
  <c r="BE122" i="3"/>
  <c r="BE354" i="3"/>
  <c r="BE284" i="3"/>
  <c r="BE259" i="3"/>
  <c r="BE152" i="3"/>
  <c r="BE120" i="3"/>
  <c r="BE90" i="3"/>
  <c r="O2" i="4"/>
  <c r="BI174" i="3"/>
  <c r="BK32" i="3"/>
  <c r="BE96" i="3"/>
  <c r="BE128" i="3"/>
  <c r="BE6" i="3"/>
  <c r="BK51" i="3"/>
  <c r="BK7" i="3"/>
  <c r="BP7" i="3" s="1"/>
  <c r="H16" i="2" a="1"/>
  <c r="H16" i="2" s="1"/>
  <c r="BE285" i="3"/>
  <c r="BE263" i="3"/>
  <c r="BE352" i="3"/>
  <c r="BE231" i="3"/>
  <c r="BK31" i="3"/>
  <c r="BE277" i="3"/>
  <c r="BE219" i="3"/>
  <c r="BK55" i="3"/>
  <c r="BE292" i="3"/>
  <c r="BE266" i="3"/>
  <c r="BE199" i="3"/>
  <c r="BK8" i="3"/>
  <c r="BE106" i="3"/>
  <c r="BE32" i="3"/>
  <c r="BF191" i="3"/>
  <c r="BF115" i="3"/>
  <c r="BF101" i="3"/>
  <c r="BF155" i="3"/>
  <c r="BF190" i="3"/>
  <c r="BF43" i="3"/>
  <c r="BF134" i="3"/>
  <c r="BF85" i="3"/>
  <c r="BF78" i="3"/>
  <c r="BF29" i="3"/>
  <c r="BF162" i="3"/>
  <c r="BF113" i="3"/>
  <c r="BF16" i="3"/>
  <c r="BF163" i="3"/>
  <c r="BF135" i="3"/>
  <c r="BF211" i="3"/>
  <c r="BF156" i="3"/>
  <c r="BF122" i="3"/>
  <c r="BF120" i="3"/>
  <c r="BF86" i="3"/>
  <c r="BF57" i="3"/>
  <c r="BF17" i="3"/>
  <c r="BF15" i="3"/>
  <c r="BF169" i="3"/>
  <c r="BF141" i="3"/>
  <c r="BF79" i="3"/>
  <c r="BF30" i="3"/>
  <c r="BF212" i="3"/>
  <c r="BF170" i="3"/>
  <c r="BF142" i="3"/>
  <c r="BF129" i="3"/>
  <c r="BF52" i="3"/>
  <c r="BF3" i="3"/>
  <c r="BF2" i="3"/>
  <c r="BJ2" i="3"/>
  <c r="BJ3" i="3" s="1"/>
  <c r="BJ4" i="3" s="1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BJ103" i="3" s="1"/>
  <c r="BL6" i="3"/>
  <c r="BF13" i="3"/>
  <c r="BD36" i="3"/>
  <c r="BI47" i="3"/>
  <c r="BF25" i="3"/>
  <c r="BK50" i="3"/>
  <c r="BH50" i="3"/>
  <c r="BE50" i="3"/>
  <c r="BI26" i="3"/>
  <c r="BH26" i="3"/>
  <c r="BH328" i="3"/>
  <c r="BI62" i="3"/>
  <c r="BI37" i="3"/>
  <c r="BH37" i="3"/>
  <c r="BD13" i="3"/>
  <c r="BH13" i="3"/>
  <c r="BE14" i="3"/>
  <c r="BH340" i="3"/>
  <c r="BI72" i="3"/>
  <c r="BF328" i="3"/>
  <c r="BK61" i="3"/>
  <c r="BI114" i="3"/>
  <c r="BF114" i="3"/>
  <c r="BH114" i="3"/>
  <c r="BE364" i="3"/>
  <c r="BE81" i="3"/>
  <c r="BF59" i="3"/>
  <c r="BF82" i="3"/>
  <c r="BH59" i="3"/>
  <c r="BE23" i="3"/>
  <c r="BF258" i="3"/>
  <c r="BH258" i="3"/>
  <c r="BE258" i="3"/>
  <c r="BD268" i="3"/>
  <c r="BI36" i="3"/>
  <c r="BF38" i="3"/>
  <c r="BF280" i="3"/>
  <c r="BH46" i="3"/>
  <c r="BH60" i="3"/>
  <c r="BH93" i="3"/>
  <c r="BK22" i="3"/>
  <c r="BF37" i="3"/>
  <c r="BH346" i="3"/>
  <c r="BI346" i="3"/>
  <c r="BD233" i="3"/>
  <c r="BI233" i="3"/>
  <c r="BF233" i="3"/>
  <c r="BH233" i="3"/>
  <c r="BH181" i="3"/>
  <c r="BE181" i="3"/>
  <c r="BK44" i="3"/>
  <c r="BF44" i="3"/>
  <c r="BK20" i="3"/>
  <c r="BE93" i="3"/>
  <c r="BE22" i="3"/>
  <c r="BE346" i="3"/>
  <c r="BE36" i="3"/>
  <c r="BI223" i="3"/>
  <c r="BI267" i="3"/>
  <c r="BD352" i="3"/>
  <c r="BD104" i="3"/>
  <c r="BD340" i="3"/>
  <c r="BI124" i="3"/>
  <c r="BD181" i="3"/>
  <c r="BI45" i="3"/>
  <c r="BD49" i="3"/>
  <c r="BD21" i="3"/>
  <c r="BD10" i="3"/>
  <c r="BD258" i="3"/>
  <c r="BF67" i="3"/>
  <c r="BI38" i="3"/>
  <c r="BF234" i="3"/>
  <c r="BF358" i="3"/>
  <c r="BF224" i="3"/>
  <c r="BF45" i="3"/>
  <c r="BI101" i="3"/>
  <c r="BI69" i="3"/>
  <c r="BH33" i="3"/>
  <c r="BH47" i="3"/>
  <c r="BH94" i="3"/>
  <c r="BH160" i="3"/>
  <c r="BK13" i="3"/>
  <c r="BE340" i="3"/>
  <c r="BE71" i="3"/>
  <c r="BK21" i="3"/>
  <c r="BF22" i="3"/>
  <c r="BD232" i="3"/>
  <c r="BH232" i="3"/>
  <c r="BD190" i="3"/>
  <c r="BH190" i="3"/>
  <c r="BI170" i="3"/>
  <c r="BD170" i="3"/>
  <c r="BI147" i="3"/>
  <c r="BD147" i="3"/>
  <c r="BF147" i="3"/>
  <c r="BD62" i="3"/>
  <c r="BE38" i="3"/>
  <c r="BI50" i="3"/>
  <c r="BH71" i="3"/>
  <c r="BE61" i="3"/>
  <c r="BH72" i="3"/>
  <c r="BE35" i="3"/>
  <c r="BI352" i="3"/>
  <c r="BH223" i="3"/>
  <c r="BH82" i="3"/>
  <c r="BH20" i="3"/>
  <c r="BH34" i="3"/>
  <c r="BK12" i="3"/>
  <c r="BE334" i="3"/>
  <c r="BE20" i="3"/>
  <c r="BF23" i="3"/>
  <c r="BD189" i="3"/>
  <c r="BE189" i="3"/>
  <c r="BI169" i="3"/>
  <c r="BD169" i="3"/>
  <c r="BE146" i="3"/>
  <c r="BI146" i="3"/>
  <c r="BD110" i="3"/>
  <c r="BE110" i="3"/>
  <c r="BF100" i="3"/>
  <c r="BF89" i="3"/>
  <c r="BH89" i="3"/>
  <c r="BE72" i="3"/>
  <c r="BK11" i="3"/>
  <c r="BI35" i="3"/>
  <c r="BD58" i="3"/>
  <c r="BF68" i="3"/>
  <c r="BD14" i="3"/>
  <c r="BE104" i="3"/>
  <c r="BH279" i="3"/>
  <c r="BH21" i="3"/>
  <c r="BH35" i="3"/>
  <c r="BH79" i="3"/>
  <c r="BH148" i="3"/>
  <c r="BK4" i="3"/>
  <c r="BI343" i="3"/>
  <c r="BF343" i="3"/>
  <c r="BI297" i="3"/>
  <c r="BE297" i="3"/>
  <c r="BD242" i="3"/>
  <c r="BE242" i="3"/>
  <c r="BD220" i="3"/>
  <c r="BF220" i="3"/>
  <c r="BD178" i="3"/>
  <c r="BI178" i="3"/>
  <c r="BE178" i="3"/>
  <c r="BH178" i="3"/>
  <c r="BH88" i="3"/>
  <c r="BE88" i="3"/>
  <c r="BD294" i="3"/>
  <c r="BH294" i="3"/>
  <c r="BI364" i="3"/>
  <c r="BD316" i="3"/>
  <c r="BE48" i="3"/>
  <c r="BK48" i="3"/>
  <c r="BF24" i="3"/>
  <c r="BK24" i="3"/>
  <c r="BD304" i="3"/>
  <c r="BF26" i="3"/>
  <c r="BF48" i="3"/>
  <c r="BD26" i="3"/>
  <c r="BD94" i="3"/>
  <c r="BK59" i="3"/>
  <c r="BE11" i="3"/>
  <c r="BK26" i="3"/>
  <c r="BI34" i="3"/>
  <c r="BF60" i="3"/>
  <c r="BI48" i="3"/>
  <c r="BD364" i="3"/>
  <c r="BK35" i="3"/>
  <c r="BE59" i="3"/>
  <c r="BE304" i="3"/>
  <c r="BE62" i="3"/>
  <c r="BH364" i="3"/>
  <c r="BI172" i="3"/>
  <c r="BI268" i="3"/>
  <c r="BI12" i="3"/>
  <c r="BD202" i="3"/>
  <c r="BD246" i="3"/>
  <c r="BF10" i="3"/>
  <c r="BF80" i="3"/>
  <c r="BF352" i="3"/>
  <c r="BD45" i="3"/>
  <c r="BD3" i="3"/>
  <c r="BD4" i="3"/>
  <c r="BI182" i="3"/>
  <c r="BD50" i="3"/>
  <c r="BE138" i="3"/>
  <c r="BK10" i="3"/>
  <c r="BE94" i="3"/>
  <c r="BE13" i="3"/>
  <c r="BE92" i="3"/>
  <c r="BE112" i="3"/>
  <c r="BE44" i="3"/>
  <c r="BI159" i="3"/>
  <c r="BI3" i="3"/>
  <c r="BI4" i="3"/>
  <c r="BI322" i="3"/>
  <c r="BI21" i="3"/>
  <c r="BD93" i="3"/>
  <c r="BD279" i="3"/>
  <c r="BD71" i="3"/>
  <c r="BI246" i="3"/>
  <c r="BD182" i="3"/>
  <c r="BF334" i="3"/>
  <c r="BF279" i="3"/>
  <c r="BF11" i="3"/>
  <c r="BI113" i="3"/>
  <c r="BH267" i="3"/>
  <c r="BH224" i="3"/>
  <c r="BH36" i="3"/>
  <c r="BH80" i="3"/>
  <c r="BH149" i="3"/>
  <c r="BK3" i="3"/>
  <c r="BP3" i="3" s="1"/>
  <c r="BE58" i="3"/>
  <c r="BF306" i="3"/>
  <c r="BH306" i="3"/>
  <c r="BH296" i="3"/>
  <c r="BF296" i="3"/>
  <c r="BI304" i="3"/>
  <c r="BH304" i="3"/>
  <c r="BF14" i="3"/>
  <c r="BK14" i="3"/>
  <c r="BH14" i="3"/>
  <c r="BF50" i="3"/>
  <c r="BI328" i="3"/>
  <c r="BI49" i="3"/>
  <c r="BK49" i="3"/>
  <c r="BH49" i="3"/>
  <c r="BK25" i="3"/>
  <c r="BH25" i="3"/>
  <c r="BE49" i="3"/>
  <c r="BE4" i="3"/>
  <c r="BI24" i="3"/>
  <c r="BD38" i="3"/>
  <c r="BE3" i="3"/>
  <c r="BF46" i="3"/>
  <c r="BK46" i="3"/>
  <c r="BD37" i="3"/>
  <c r="BI71" i="3"/>
  <c r="BI214" i="3"/>
  <c r="BF214" i="3"/>
  <c r="BH214" i="3"/>
  <c r="BF137" i="3"/>
  <c r="BH137" i="3"/>
  <c r="BH102" i="3"/>
  <c r="BE102" i="3"/>
  <c r="BF33" i="3"/>
  <c r="BD33" i="3"/>
  <c r="BE26" i="3"/>
  <c r="BD72" i="3"/>
  <c r="BI80" i="3"/>
  <c r="BI57" i="3"/>
  <c r="BF340" i="3"/>
  <c r="BF92" i="3"/>
  <c r="BK62" i="3"/>
  <c r="BK215" i="3"/>
  <c r="BK218" i="3"/>
  <c r="BK221" i="3"/>
  <c r="BK224" i="3"/>
  <c r="BK227" i="3"/>
  <c r="BK230" i="3"/>
  <c r="BK233" i="3"/>
  <c r="BK236" i="3"/>
  <c r="BK239" i="3"/>
  <c r="BK242" i="3"/>
  <c r="BK245" i="3"/>
  <c r="BK248" i="3"/>
  <c r="BK251" i="3"/>
  <c r="BK254" i="3"/>
  <c r="BK257" i="3"/>
  <c r="BK260" i="3"/>
  <c r="BK263" i="3"/>
  <c r="BK266" i="3"/>
  <c r="BK269" i="3"/>
  <c r="BK272" i="3"/>
  <c r="BK275" i="3"/>
  <c r="BK278" i="3"/>
  <c r="BK281" i="3"/>
  <c r="BK284" i="3"/>
  <c r="BK287" i="3"/>
  <c r="BK290" i="3"/>
  <c r="BK293" i="3"/>
  <c r="BK296" i="3"/>
  <c r="BK299" i="3"/>
  <c r="BK302" i="3"/>
  <c r="BK305" i="3"/>
  <c r="BK308" i="3"/>
  <c r="BK311" i="3"/>
  <c r="BK314" i="3"/>
  <c r="BK317" i="3"/>
  <c r="BK320" i="3"/>
  <c r="BK323" i="3"/>
  <c r="BK326" i="3"/>
  <c r="BK329" i="3"/>
  <c r="BK332" i="3"/>
  <c r="BK335" i="3"/>
  <c r="BK338" i="3"/>
  <c r="BK341" i="3"/>
  <c r="BK344" i="3"/>
  <c r="BK347" i="3"/>
  <c r="BK350" i="3"/>
  <c r="BK353" i="3"/>
  <c r="BK356" i="3"/>
  <c r="BK359" i="3"/>
  <c r="BI316" i="3"/>
  <c r="BD114" i="3"/>
  <c r="BK60" i="3"/>
  <c r="BE113" i="3"/>
  <c r="BE316" i="3"/>
  <c r="BD60" i="3"/>
  <c r="BD48" i="3"/>
  <c r="BI81" i="3"/>
  <c r="BI202" i="3"/>
  <c r="BF102" i="3"/>
  <c r="BE60" i="3"/>
  <c r="BK36" i="3"/>
  <c r="BE25" i="3"/>
  <c r="BE125" i="3"/>
  <c r="BE124" i="3"/>
  <c r="BE114" i="3"/>
  <c r="BE192" i="3"/>
  <c r="BE126" i="3"/>
  <c r="BH334" i="3"/>
  <c r="BD20" i="3"/>
  <c r="BI181" i="3"/>
  <c r="BI61" i="3"/>
  <c r="BD61" i="3"/>
  <c r="BI234" i="3"/>
  <c r="BI294" i="3"/>
  <c r="BI82" i="3"/>
  <c r="BF246" i="3"/>
  <c r="BF294" i="3"/>
  <c r="BF61" i="3"/>
  <c r="BF181" i="3"/>
  <c r="BD280" i="3"/>
  <c r="BH23" i="3"/>
  <c r="BH81" i="3"/>
  <c r="BK38" i="3"/>
  <c r="BE103" i="3"/>
  <c r="BI341" i="3"/>
  <c r="BD341" i="3"/>
  <c r="BD305" i="3"/>
  <c r="BH305" i="3"/>
  <c r="BE295" i="3"/>
  <c r="BH295" i="3"/>
  <c r="BD295" i="3"/>
  <c r="BF262" i="3"/>
  <c r="BI262" i="3"/>
  <c r="BD166" i="3"/>
  <c r="BH166" i="3"/>
  <c r="BI166" i="3"/>
  <c r="BF154" i="3"/>
  <c r="BH154" i="3"/>
  <c r="BI154" i="3"/>
  <c r="BD2" i="3"/>
  <c r="BK96" i="3"/>
  <c r="BK97" i="3"/>
  <c r="BK95" i="3"/>
  <c r="BK186" i="3"/>
  <c r="BK187" i="3"/>
  <c r="BK185" i="3"/>
  <c r="BK213" i="3"/>
  <c r="BK216" i="3"/>
  <c r="BK219" i="3"/>
  <c r="BK222" i="3"/>
  <c r="BK225" i="3"/>
  <c r="BK228" i="3"/>
  <c r="BK231" i="3"/>
  <c r="BK234" i="3"/>
  <c r="BK237" i="3"/>
  <c r="BK240" i="3"/>
  <c r="BK243" i="3"/>
  <c r="BK246" i="3"/>
  <c r="BK249" i="3"/>
  <c r="BK252" i="3"/>
  <c r="BK255" i="3"/>
  <c r="BK258" i="3"/>
  <c r="BK261" i="3"/>
  <c r="BK264" i="3"/>
  <c r="BK267" i="3"/>
  <c r="BK270" i="3"/>
  <c r="BK273" i="3"/>
  <c r="BK276" i="3"/>
  <c r="BK279" i="3"/>
  <c r="BK282" i="3"/>
  <c r="BK285" i="3"/>
  <c r="BK288" i="3"/>
  <c r="BK291" i="3"/>
  <c r="BK294" i="3"/>
  <c r="BK297" i="3"/>
  <c r="BK300" i="3"/>
  <c r="BK303" i="3"/>
  <c r="BK306" i="3"/>
  <c r="BK309" i="3"/>
  <c r="BK312" i="3"/>
  <c r="BK315" i="3"/>
  <c r="BK318" i="3"/>
  <c r="BK321" i="3"/>
  <c r="BK324" i="3"/>
  <c r="BK327" i="3"/>
  <c r="BK330" i="3"/>
  <c r="BK333" i="3"/>
  <c r="BK336" i="3"/>
  <c r="BK339" i="3"/>
  <c r="BK342" i="3"/>
  <c r="BK345" i="3"/>
  <c r="BK348" i="3"/>
  <c r="BK351" i="3"/>
  <c r="BK354" i="3"/>
  <c r="BK357" i="3"/>
  <c r="BK360" i="3"/>
  <c r="BL4" i="3"/>
  <c r="BK214" i="3"/>
  <c r="BK217" i="3"/>
  <c r="BK220" i="3"/>
  <c r="BK223" i="3"/>
  <c r="BK226" i="3"/>
  <c r="BK229" i="3"/>
  <c r="BK232" i="3"/>
  <c r="BK235" i="3"/>
  <c r="BK238" i="3"/>
  <c r="BK241" i="3"/>
  <c r="BK244" i="3"/>
  <c r="BK247" i="3"/>
  <c r="BK250" i="3"/>
  <c r="BK253" i="3"/>
  <c r="BK256" i="3"/>
  <c r="BK259" i="3"/>
  <c r="BK262" i="3"/>
  <c r="BK265" i="3"/>
  <c r="BK268" i="3"/>
  <c r="BK271" i="3"/>
  <c r="BK274" i="3"/>
  <c r="BK277" i="3"/>
  <c r="BK280" i="3"/>
  <c r="BK283" i="3"/>
  <c r="BK286" i="3"/>
  <c r="BK289" i="3"/>
  <c r="BK292" i="3"/>
  <c r="BK295" i="3"/>
  <c r="BK298" i="3"/>
  <c r="BK301" i="3"/>
  <c r="BK304" i="3"/>
  <c r="BK307" i="3"/>
  <c r="BK310" i="3"/>
  <c r="BK313" i="3"/>
  <c r="BK316" i="3"/>
  <c r="BK319" i="3"/>
  <c r="BK322" i="3"/>
  <c r="BK325" i="3"/>
  <c r="BK328" i="3"/>
  <c r="BK331" i="3"/>
  <c r="BK334" i="3"/>
  <c r="BK337" i="3"/>
  <c r="BK340" i="3"/>
  <c r="BK343" i="3"/>
  <c r="BK346" i="3"/>
  <c r="BK349" i="3"/>
  <c r="BK352" i="3"/>
  <c r="BK355" i="3"/>
  <c r="BK358" i="3"/>
  <c r="BI193" i="3"/>
  <c r="C8" i="2"/>
  <c r="I8" i="2"/>
  <c r="AN3" i="4"/>
  <c r="N33" i="1"/>
  <c r="M33" i="1"/>
  <c r="BK58" i="3"/>
  <c r="M9" i="4"/>
  <c r="BH16" i="3"/>
  <c r="O34" i="1"/>
  <c r="AI8" i="4"/>
  <c r="O36" i="1"/>
  <c r="T27" i="1"/>
  <c r="P33" i="1"/>
  <c r="BH2" i="3"/>
  <c r="O2" i="1"/>
  <c r="C2" i="1" s="1"/>
  <c r="O14" i="4"/>
  <c r="AN8" i="4"/>
  <c r="AH8" i="4"/>
  <c r="O33" i="1"/>
  <c r="BI58" i="3"/>
  <c r="A52" i="3"/>
  <c r="A53" i="3"/>
  <c r="A54" i="3"/>
  <c r="A55" i="3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BP224" i="3"/>
  <c r="BP260" i="3"/>
  <c r="BP239" i="3"/>
  <c r="BP215" i="3"/>
  <c r="BP263" i="3"/>
  <c r="BP227" i="3"/>
  <c r="BP251" i="3"/>
  <c r="BP233" i="3"/>
  <c r="BP275" i="3"/>
  <c r="BP287" i="3"/>
  <c r="BP218" i="3"/>
  <c r="BP299" i="3"/>
  <c r="BP278" i="3"/>
  <c r="BP257" i="3"/>
  <c r="BP254" i="3"/>
  <c r="BP230" i="3"/>
  <c r="BP290" i="3"/>
  <c r="BP266" i="3"/>
  <c r="BP242" i="3"/>
  <c r="BP293" i="3"/>
  <c r="BP248" i="3"/>
  <c r="BP269" i="3"/>
  <c r="BP281" i="3"/>
  <c r="BP302" i="3"/>
  <c r="BP245" i="3"/>
  <c r="BP284" i="3"/>
  <c r="BP296" i="3"/>
  <c r="BP272" i="3"/>
  <c r="BP236" i="3"/>
  <c r="BP221" i="3"/>
  <c r="BP305" i="3"/>
  <c r="BP353" i="3"/>
  <c r="BP326" i="3"/>
  <c r="BP329" i="3"/>
  <c r="BP359" i="3"/>
  <c r="BP347" i="3"/>
  <c r="BP344" i="3"/>
  <c r="BP356" i="3"/>
  <c r="BP341" i="3"/>
  <c r="BP350" i="3"/>
  <c r="BP320" i="3"/>
  <c r="BP323" i="3"/>
  <c r="BP332" i="3"/>
  <c r="BP335" i="3"/>
  <c r="BP314" i="3"/>
  <c r="BP317" i="3"/>
  <c r="BP338" i="3"/>
  <c r="BP311" i="3"/>
  <c r="BP308" i="3"/>
  <c r="BL7" i="3"/>
  <c r="BP285" i="3"/>
  <c r="BP312" i="3"/>
  <c r="BP288" i="3"/>
  <c r="BP237" i="3"/>
  <c r="BP330" i="3"/>
  <c r="BP306" i="3"/>
  <c r="BP219" i="3"/>
  <c r="BP273" i="3"/>
  <c r="BP276" i="3"/>
  <c r="BP315" i="3"/>
  <c r="BP327" i="3"/>
  <c r="BP336" i="3"/>
  <c r="BP282" i="3"/>
  <c r="BP354" i="3"/>
  <c r="BP222" i="3"/>
  <c r="BP300" i="3"/>
  <c r="BP255" i="3"/>
  <c r="BP291" i="3"/>
  <c r="BP270" i="3"/>
  <c r="BP267" i="3"/>
  <c r="BK183" i="3"/>
  <c r="BK184" i="3"/>
  <c r="BP303" i="3"/>
  <c r="BP252" i="3"/>
  <c r="BP333" i="3"/>
  <c r="BP225" i="3"/>
  <c r="BP243" i="3"/>
  <c r="BP309" i="3"/>
  <c r="BP351" i="3"/>
  <c r="BP246" i="3"/>
  <c r="BP264" i="3"/>
  <c r="BP357" i="3"/>
  <c r="BP297" i="3"/>
  <c r="BP261" i="3"/>
  <c r="BP339" i="3"/>
  <c r="BP321" i="3"/>
  <c r="BP324" i="3"/>
  <c r="BP342" i="3"/>
  <c r="BP234" i="3"/>
  <c r="BP213" i="3"/>
  <c r="BK93" i="3"/>
  <c r="BK94" i="3"/>
  <c r="BP258" i="3"/>
  <c r="BP249" i="3"/>
  <c r="BP294" i="3"/>
  <c r="BP279" i="3"/>
  <c r="BP325" i="3"/>
  <c r="BP241" i="3"/>
  <c r="BP283" i="3"/>
  <c r="BP228" i="3"/>
  <c r="BP345" i="3"/>
  <c r="BP240" i="3"/>
  <c r="BP318" i="3"/>
  <c r="BP348" i="3"/>
  <c r="BP216" i="3"/>
  <c r="BP231" i="3"/>
  <c r="BP307" i="3"/>
  <c r="BP238" i="3"/>
  <c r="BP322" i="3"/>
  <c r="BP304" i="3"/>
  <c r="BP244" i="3"/>
  <c r="BP253" i="3"/>
  <c r="BP235" i="3"/>
  <c r="BP259" i="3"/>
  <c r="BP346" i="3"/>
  <c r="BP217" i="3"/>
  <c r="BP268" i="3"/>
  <c r="BP349" i="3"/>
  <c r="BP340" i="3"/>
  <c r="BP352" i="3"/>
  <c r="BP226" i="3"/>
  <c r="BP271" i="3"/>
  <c r="BP295" i="3"/>
  <c r="BP274" i="3"/>
  <c r="BP262" i="3"/>
  <c r="BP280" i="3"/>
  <c r="BP232" i="3"/>
  <c r="BP214" i="3"/>
  <c r="BP289" i="3"/>
  <c r="BP355" i="3"/>
  <c r="BP229" i="3"/>
  <c r="BP286" i="3"/>
  <c r="BP319" i="3"/>
  <c r="BP328" i="3"/>
  <c r="BP223" i="3"/>
  <c r="BP256" i="3"/>
  <c r="BP358" i="3"/>
  <c r="BP220" i="3"/>
  <c r="BP313" i="3"/>
  <c r="BP316" i="3"/>
  <c r="BP265" i="3"/>
  <c r="BP337" i="3"/>
  <c r="BP298" i="3"/>
  <c r="BP334" i="3"/>
  <c r="BP250" i="3"/>
  <c r="BP292" i="3"/>
  <c r="BP343" i="3"/>
  <c r="BP331" i="3"/>
  <c r="BP310" i="3"/>
  <c r="BP247" i="3"/>
  <c r="BP277" i="3"/>
  <c r="BP301" i="3"/>
  <c r="BK361" i="3"/>
  <c r="BP360" i="3"/>
  <c r="BK362" i="3"/>
  <c r="BL8" i="3"/>
  <c r="BP361" i="3"/>
  <c r="BK363" i="3"/>
  <c r="BP362" i="3"/>
  <c r="BL9" i="3"/>
  <c r="BK364" i="3"/>
  <c r="BK365" i="3"/>
  <c r="BP363" i="3"/>
  <c r="BL10" i="3"/>
  <c r="BP365" i="3"/>
  <c r="BK366" i="3"/>
  <c r="CD54" i="3" s="1"/>
  <c r="BP364" i="3"/>
  <c r="BL11" i="3"/>
  <c r="BP366" i="3"/>
  <c r="BL12" i="3"/>
  <c r="BL13" i="3"/>
  <c r="BL14" i="3"/>
  <c r="BL15" i="3"/>
  <c r="BL16" i="3"/>
  <c r="BL17" i="3"/>
  <c r="BL18" i="3"/>
  <c r="BL19" i="3"/>
  <c r="BL20" i="3"/>
  <c r="BL21" i="3"/>
  <c r="BL22" i="3"/>
  <c r="BO22" i="3" s="1"/>
  <c r="BL23" i="3"/>
  <c r="BL24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BL38" i="3"/>
  <c r="BL40" i="3"/>
  <c r="BL41" i="3"/>
  <c r="BL42" i="3"/>
  <c r="BL43" i="3"/>
  <c r="BL44" i="3"/>
  <c r="BL45" i="3"/>
  <c r="BL46" i="3"/>
  <c r="BL47" i="3"/>
  <c r="BL48" i="3"/>
  <c r="BL49" i="3"/>
  <c r="BL50" i="3"/>
  <c r="BO50" i="3" s="1"/>
  <c r="BL51" i="3"/>
  <c r="BL52" i="3"/>
  <c r="BL53" i="3"/>
  <c r="BL54" i="3"/>
  <c r="BL56" i="3"/>
  <c r="BL57" i="3"/>
  <c r="BL215" i="3"/>
  <c r="BL218" i="3"/>
  <c r="BL221" i="3"/>
  <c r="BL224" i="3"/>
  <c r="BL227" i="3"/>
  <c r="BL230" i="3"/>
  <c r="BL233" i="3"/>
  <c r="BL236" i="3"/>
  <c r="BL239" i="3"/>
  <c r="BL242" i="3"/>
  <c r="BL245" i="3"/>
  <c r="BL248" i="3"/>
  <c r="BL213" i="3"/>
  <c r="BL216" i="3"/>
  <c r="BL251" i="3"/>
  <c r="BL254" i="3"/>
  <c r="BL219" i="3"/>
  <c r="BL222" i="3"/>
  <c r="BL257" i="3"/>
  <c r="BL260" i="3"/>
  <c r="BL225" i="3"/>
  <c r="BL214" i="3"/>
  <c r="BL228" i="3"/>
  <c r="BL263" i="3"/>
  <c r="BL217" i="3"/>
  <c r="BL266" i="3"/>
  <c r="BL231" i="3"/>
  <c r="BL220" i="3"/>
  <c r="BL234" i="3"/>
  <c r="BL269" i="3"/>
  <c r="BL223" i="3"/>
  <c r="BL272" i="3"/>
  <c r="BL237" i="3"/>
  <c r="BL226" i="3"/>
  <c r="BL240" i="3"/>
  <c r="BL275" i="3"/>
  <c r="BL229" i="3"/>
  <c r="BL278" i="3"/>
  <c r="BL243" i="3"/>
  <c r="BL232" i="3"/>
  <c r="BL281" i="3"/>
  <c r="BL246" i="3"/>
  <c r="BL235" i="3"/>
  <c r="BL249" i="3"/>
  <c r="BL284" i="3"/>
  <c r="BL238" i="3"/>
  <c r="BL287" i="3"/>
  <c r="BL252" i="3"/>
  <c r="BL241" i="3"/>
  <c r="BL255" i="3"/>
  <c r="BL290" i="3"/>
  <c r="BL244" i="3"/>
  <c r="BL293" i="3"/>
  <c r="BL258" i="3"/>
  <c r="BL247" i="3"/>
  <c r="BL261" i="3"/>
  <c r="BL296" i="3"/>
  <c r="BL250" i="3"/>
  <c r="BL299" i="3"/>
  <c r="BL264" i="3"/>
  <c r="BL253" i="3"/>
  <c r="BL267" i="3"/>
  <c r="BL302" i="3"/>
  <c r="BL256" i="3"/>
  <c r="BL305" i="3"/>
  <c r="BL270" i="3"/>
  <c r="BL259" i="3"/>
  <c r="BL273" i="3"/>
  <c r="BL308" i="3"/>
  <c r="BL262" i="3"/>
  <c r="BL311" i="3"/>
  <c r="BL276" i="3"/>
  <c r="BL265" i="3"/>
  <c r="BL279" i="3"/>
  <c r="BL314" i="3"/>
  <c r="BL268" i="3"/>
  <c r="BL317" i="3"/>
  <c r="BL282" i="3"/>
  <c r="BL271" i="3"/>
  <c r="BL285" i="3"/>
  <c r="BL320" i="3"/>
  <c r="BL274" i="3"/>
  <c r="BL323" i="3"/>
  <c r="BL288" i="3"/>
  <c r="BL277" i="3"/>
  <c r="BL291" i="3"/>
  <c r="BL326" i="3"/>
  <c r="BL280" i="3"/>
  <c r="BL329" i="3"/>
  <c r="BL294" i="3"/>
  <c r="BL283" i="3"/>
  <c r="BL297" i="3"/>
  <c r="BL332" i="3"/>
  <c r="BL286" i="3"/>
  <c r="BL335" i="3"/>
  <c r="BL300" i="3"/>
  <c r="BL289" i="3"/>
  <c r="BL303" i="3"/>
  <c r="BL338" i="3"/>
  <c r="BL292" i="3"/>
  <c r="BL341" i="3"/>
  <c r="BL306" i="3"/>
  <c r="BL295" i="3"/>
  <c r="BL309" i="3"/>
  <c r="BL344" i="3"/>
  <c r="BL298" i="3"/>
  <c r="BL347" i="3"/>
  <c r="BL312" i="3"/>
  <c r="BL301" i="3"/>
  <c r="BL315" i="3"/>
  <c r="BL350" i="3"/>
  <c r="BL304" i="3"/>
  <c r="BL318" i="3"/>
  <c r="BL353" i="3"/>
  <c r="BL307" i="3"/>
  <c r="BL356" i="3"/>
  <c r="BL321" i="3"/>
  <c r="BL310" i="3"/>
  <c r="BL324" i="3"/>
  <c r="BL359" i="3"/>
  <c r="BL313" i="3"/>
  <c r="BL327" i="3"/>
  <c r="BL362" i="3"/>
  <c r="BL316" i="3"/>
  <c r="BL365" i="3"/>
  <c r="BL330" i="3"/>
  <c r="BL319" i="3"/>
  <c r="BL333" i="3"/>
  <c r="BL322" i="3"/>
  <c r="BL336" i="3"/>
  <c r="BL325" i="3"/>
  <c r="BL339" i="3"/>
  <c r="BL328" i="3"/>
  <c r="BL342" i="3"/>
  <c r="BL331" i="3"/>
  <c r="BL345" i="3"/>
  <c r="BL334" i="3"/>
  <c r="BL348" i="3"/>
  <c r="BL337" i="3"/>
  <c r="BL351" i="3"/>
  <c r="BL340" i="3"/>
  <c r="BL354" i="3"/>
  <c r="BL343" i="3"/>
  <c r="BL357" i="3"/>
  <c r="BL346" i="3"/>
  <c r="BL360" i="3"/>
  <c r="BL349" i="3"/>
  <c r="BL363" i="3"/>
  <c r="BL352" i="3"/>
  <c r="BL366" i="3"/>
  <c r="BL355" i="3"/>
  <c r="BL358" i="3"/>
  <c r="BL361" i="3"/>
  <c r="BL364" i="3"/>
  <c r="BJ213" i="3"/>
  <c r="BJ214" i="3"/>
  <c r="BJ215" i="3"/>
  <c r="BJ216" i="3"/>
  <c r="BJ217" i="3"/>
  <c r="BJ218" i="3"/>
  <c r="BJ219" i="3"/>
  <c r="BJ220" i="3"/>
  <c r="BJ221" i="3"/>
  <c r="BJ222" i="3"/>
  <c r="BN213" i="3"/>
  <c r="BJ223" i="3"/>
  <c r="BN214" i="3"/>
  <c r="BJ224" i="3"/>
  <c r="BN215" i="3"/>
  <c r="BJ225" i="3"/>
  <c r="BN216" i="3"/>
  <c r="BJ226" i="3"/>
  <c r="BN217" i="3"/>
  <c r="BJ227" i="3"/>
  <c r="BN218" i="3"/>
  <c r="BJ228" i="3"/>
  <c r="BN219" i="3"/>
  <c r="BJ229" i="3"/>
  <c r="BN220" i="3"/>
  <c r="BJ230" i="3"/>
  <c r="BN221" i="3"/>
  <c r="BJ231" i="3"/>
  <c r="BN222" i="3"/>
  <c r="BJ232" i="3"/>
  <c r="BN223" i="3"/>
  <c r="BJ233" i="3"/>
  <c r="BN224" i="3"/>
  <c r="BJ234" i="3"/>
  <c r="BN225" i="3"/>
  <c r="BJ235" i="3"/>
  <c r="BN226" i="3"/>
  <c r="BJ236" i="3"/>
  <c r="BN227" i="3"/>
  <c r="BJ237" i="3"/>
  <c r="BN228" i="3"/>
  <c r="BJ238" i="3"/>
  <c r="BN229" i="3"/>
  <c r="BJ239" i="3"/>
  <c r="BN230" i="3"/>
  <c r="BJ240" i="3"/>
  <c r="BN231" i="3"/>
  <c r="BJ241" i="3"/>
  <c r="BN232" i="3"/>
  <c r="BJ242" i="3"/>
  <c r="BN233" i="3"/>
  <c r="BJ243" i="3"/>
  <c r="BN234" i="3"/>
  <c r="BJ244" i="3"/>
  <c r="BN235" i="3"/>
  <c r="BJ245" i="3"/>
  <c r="BN236" i="3"/>
  <c r="BJ246" i="3"/>
  <c r="BN237" i="3"/>
  <c r="BJ247" i="3"/>
  <c r="BN238" i="3"/>
  <c r="BJ248" i="3"/>
  <c r="BN239" i="3"/>
  <c r="BJ249" i="3"/>
  <c r="BN240" i="3"/>
  <c r="BJ250" i="3"/>
  <c r="BN241" i="3"/>
  <c r="BJ251" i="3"/>
  <c r="BN242" i="3"/>
  <c r="BJ252" i="3"/>
  <c r="BN243" i="3"/>
  <c r="BJ253" i="3"/>
  <c r="BN244" i="3"/>
  <c r="BJ254" i="3"/>
  <c r="BN245" i="3"/>
  <c r="BJ255" i="3"/>
  <c r="BN246" i="3"/>
  <c r="BJ256" i="3"/>
  <c r="BN247" i="3"/>
  <c r="BJ257" i="3"/>
  <c r="BN248" i="3"/>
  <c r="BJ258" i="3"/>
  <c r="BN249" i="3"/>
  <c r="BJ259" i="3"/>
  <c r="BN250" i="3"/>
  <c r="BJ260" i="3"/>
  <c r="BN251" i="3"/>
  <c r="BJ261" i="3"/>
  <c r="BN252" i="3"/>
  <c r="BJ262" i="3"/>
  <c r="BN253" i="3"/>
  <c r="BJ263" i="3"/>
  <c r="BN254" i="3"/>
  <c r="BJ264" i="3"/>
  <c r="BN255" i="3"/>
  <c r="BJ265" i="3"/>
  <c r="BN256" i="3"/>
  <c r="BJ266" i="3"/>
  <c r="BN257" i="3"/>
  <c r="BJ267" i="3"/>
  <c r="BN258" i="3"/>
  <c r="BJ268" i="3"/>
  <c r="BN259" i="3"/>
  <c r="BJ269" i="3"/>
  <c r="BN260" i="3"/>
  <c r="BJ270" i="3"/>
  <c r="BN261" i="3"/>
  <c r="BJ271" i="3"/>
  <c r="BN262" i="3"/>
  <c r="BJ272" i="3"/>
  <c r="BN263" i="3"/>
  <c r="BJ273" i="3"/>
  <c r="BN264" i="3"/>
  <c r="BJ274" i="3"/>
  <c r="BN265" i="3"/>
  <c r="BJ275" i="3"/>
  <c r="BN266" i="3"/>
  <c r="BJ276" i="3"/>
  <c r="BN267" i="3"/>
  <c r="BJ277" i="3"/>
  <c r="BN268" i="3"/>
  <c r="BJ278" i="3"/>
  <c r="BN269" i="3"/>
  <c r="BJ279" i="3"/>
  <c r="BN270" i="3"/>
  <c r="BJ280" i="3"/>
  <c r="BN271" i="3"/>
  <c r="BJ281" i="3"/>
  <c r="BN272" i="3"/>
  <c r="BJ282" i="3"/>
  <c r="BN273" i="3"/>
  <c r="BJ283" i="3"/>
  <c r="BN274" i="3"/>
  <c r="BJ284" i="3"/>
  <c r="BN275" i="3"/>
  <c r="BJ285" i="3"/>
  <c r="BN276" i="3"/>
  <c r="BJ286" i="3"/>
  <c r="BN277" i="3"/>
  <c r="BJ287" i="3"/>
  <c r="BN278" i="3"/>
  <c r="BJ288" i="3"/>
  <c r="BN279" i="3"/>
  <c r="BJ289" i="3"/>
  <c r="BN280" i="3"/>
  <c r="BJ290" i="3"/>
  <c r="BN281" i="3"/>
  <c r="BJ291" i="3"/>
  <c r="BN282" i="3"/>
  <c r="BJ292" i="3"/>
  <c r="BN283" i="3"/>
  <c r="BJ293" i="3"/>
  <c r="BN284" i="3"/>
  <c r="BJ294" i="3"/>
  <c r="BN285" i="3"/>
  <c r="BJ295" i="3"/>
  <c r="BN286" i="3"/>
  <c r="BJ296" i="3"/>
  <c r="BN287" i="3"/>
  <c r="BJ297" i="3"/>
  <c r="BN288" i="3"/>
  <c r="BJ298" i="3"/>
  <c r="BN289" i="3"/>
  <c r="BJ299" i="3"/>
  <c r="BN290" i="3"/>
  <c r="BJ300" i="3"/>
  <c r="BN291" i="3"/>
  <c r="BJ301" i="3"/>
  <c r="BN292" i="3"/>
  <c r="BJ302" i="3"/>
  <c r="BN293" i="3"/>
  <c r="BJ303" i="3"/>
  <c r="BN294" i="3"/>
  <c r="BJ304" i="3"/>
  <c r="BN295" i="3"/>
  <c r="BJ305" i="3"/>
  <c r="BN296" i="3"/>
  <c r="BJ306" i="3"/>
  <c r="BN297" i="3"/>
  <c r="BJ307" i="3"/>
  <c r="BN298" i="3"/>
  <c r="BJ308" i="3"/>
  <c r="BN299" i="3"/>
  <c r="BJ309" i="3"/>
  <c r="BN300" i="3"/>
  <c r="BJ310" i="3"/>
  <c r="BN301" i="3"/>
  <c r="BJ311" i="3"/>
  <c r="BN302" i="3"/>
  <c r="BJ312" i="3"/>
  <c r="BN303" i="3"/>
  <c r="BJ313" i="3"/>
  <c r="BN304" i="3"/>
  <c r="BJ314" i="3"/>
  <c r="BN305" i="3"/>
  <c r="BJ315" i="3"/>
  <c r="BN306" i="3"/>
  <c r="BJ316" i="3"/>
  <c r="BN307" i="3"/>
  <c r="BJ317" i="3"/>
  <c r="BN308" i="3"/>
  <c r="BJ318" i="3"/>
  <c r="BN309" i="3"/>
  <c r="BJ319" i="3"/>
  <c r="BN310" i="3"/>
  <c r="BJ320" i="3"/>
  <c r="BN311" i="3"/>
  <c r="BJ321" i="3"/>
  <c r="BN312" i="3"/>
  <c r="BJ322" i="3"/>
  <c r="BN313" i="3"/>
  <c r="BJ323" i="3"/>
  <c r="BN314" i="3"/>
  <c r="BJ324" i="3"/>
  <c r="BN315" i="3"/>
  <c r="BJ325" i="3"/>
  <c r="BN316" i="3"/>
  <c r="BJ326" i="3"/>
  <c r="BN317" i="3"/>
  <c r="BJ327" i="3"/>
  <c r="BN318" i="3"/>
  <c r="BJ328" i="3"/>
  <c r="BN319" i="3"/>
  <c r="BJ329" i="3"/>
  <c r="BN320" i="3"/>
  <c r="BJ330" i="3"/>
  <c r="BN321" i="3"/>
  <c r="BJ331" i="3"/>
  <c r="BN322" i="3"/>
  <c r="BJ332" i="3"/>
  <c r="BN323" i="3"/>
  <c r="BJ333" i="3"/>
  <c r="BN324" i="3"/>
  <c r="BJ334" i="3"/>
  <c r="BN325" i="3"/>
  <c r="BJ335" i="3"/>
  <c r="BN326" i="3"/>
  <c r="BJ336" i="3"/>
  <c r="BN327" i="3"/>
  <c r="BJ337" i="3"/>
  <c r="BN328" i="3"/>
  <c r="BJ338" i="3"/>
  <c r="BN329" i="3"/>
  <c r="BJ339" i="3"/>
  <c r="BN330" i="3"/>
  <c r="BJ340" i="3"/>
  <c r="BN331" i="3"/>
  <c r="BJ341" i="3"/>
  <c r="BN332" i="3"/>
  <c r="BJ342" i="3"/>
  <c r="BN333" i="3"/>
  <c r="BJ343" i="3"/>
  <c r="BN334" i="3"/>
  <c r="BJ344" i="3"/>
  <c r="BN335" i="3"/>
  <c r="BJ345" i="3"/>
  <c r="BN336" i="3"/>
  <c r="BJ346" i="3"/>
  <c r="BN337" i="3"/>
  <c r="BJ347" i="3"/>
  <c r="BN338" i="3"/>
  <c r="BJ348" i="3"/>
  <c r="BN339" i="3"/>
  <c r="BJ349" i="3"/>
  <c r="BN340" i="3"/>
  <c r="BJ350" i="3"/>
  <c r="BN341" i="3"/>
  <c r="BJ351" i="3"/>
  <c r="BN342" i="3"/>
  <c r="BJ352" i="3"/>
  <c r="BN343" i="3"/>
  <c r="BJ353" i="3"/>
  <c r="BN344" i="3"/>
  <c r="BJ354" i="3"/>
  <c r="BN345" i="3"/>
  <c r="BJ355" i="3"/>
  <c r="BN346" i="3"/>
  <c r="BJ356" i="3"/>
  <c r="BN347" i="3"/>
  <c r="BJ357" i="3"/>
  <c r="BN348" i="3"/>
  <c r="BJ358" i="3"/>
  <c r="BN349" i="3"/>
  <c r="BJ359" i="3"/>
  <c r="BN350" i="3"/>
  <c r="BJ360" i="3"/>
  <c r="BN351" i="3"/>
  <c r="BJ361" i="3"/>
  <c r="BN352" i="3"/>
  <c r="BJ362" i="3"/>
  <c r="BJ363" i="3"/>
  <c r="BN353" i="3"/>
  <c r="BJ364" i="3"/>
  <c r="BN354" i="3"/>
  <c r="BJ365" i="3"/>
  <c r="BN355" i="3"/>
  <c r="BJ366" i="3"/>
  <c r="BN356" i="3"/>
  <c r="BN357" i="3"/>
  <c r="BN358" i="3"/>
  <c r="BN359" i="3"/>
  <c r="BN360" i="3"/>
  <c r="BN362" i="3"/>
  <c r="BN361" i="3"/>
  <c r="BN363" i="3"/>
  <c r="BN364" i="3"/>
  <c r="BN365" i="3"/>
  <c r="BN366" i="3"/>
  <c r="BK65" i="3"/>
  <c r="O106" i="4"/>
  <c r="BL58" i="3"/>
  <c r="BK66" i="3"/>
  <c r="BL59" i="3"/>
  <c r="BK67" i="3"/>
  <c r="BL60" i="3"/>
  <c r="BK68" i="3"/>
  <c r="BL62" i="3"/>
  <c r="BK69" i="3"/>
  <c r="BL63" i="3"/>
  <c r="BK70" i="3"/>
  <c r="BL64" i="3"/>
  <c r="BO64" i="3" s="1"/>
  <c r="BK71" i="3"/>
  <c r="BK72" i="3"/>
  <c r="BL66" i="3"/>
  <c r="BK73" i="3"/>
  <c r="BL67" i="3"/>
  <c r="BK74" i="3"/>
  <c r="BL68" i="3"/>
  <c r="BK75" i="3"/>
  <c r="BL69" i="3"/>
  <c r="BK76" i="3"/>
  <c r="BL70" i="3"/>
  <c r="BK77" i="3"/>
  <c r="BL71" i="3"/>
  <c r="BK78" i="3"/>
  <c r="BL72" i="3"/>
  <c r="BK79" i="3"/>
  <c r="BL73" i="3"/>
  <c r="BK80" i="3"/>
  <c r="BL74" i="3"/>
  <c r="BK81" i="3"/>
  <c r="BK82" i="3"/>
  <c r="BL76" i="3"/>
  <c r="BK83" i="3"/>
  <c r="BL77" i="3"/>
  <c r="BK84" i="3"/>
  <c r="BL78" i="3"/>
  <c r="BK85" i="3"/>
  <c r="BL79" i="3"/>
  <c r="BL80" i="3"/>
  <c r="BL81" i="3"/>
  <c r="BL82" i="3"/>
  <c r="BL83" i="3"/>
  <c r="BL84" i="3"/>
  <c r="BL85" i="3"/>
  <c r="BO85" i="3" s="1"/>
  <c r="T13" i="1"/>
  <c r="BL86" i="3"/>
  <c r="BK86" i="3"/>
  <c r="BK87" i="3"/>
  <c r="T14" i="1"/>
  <c r="BK88" i="3"/>
  <c r="BL87" i="3"/>
  <c r="BK89" i="3"/>
  <c r="T15" i="1"/>
  <c r="BL88" i="3"/>
  <c r="BK90" i="3"/>
  <c r="T16" i="1"/>
  <c r="BL89" i="3"/>
  <c r="BK91" i="3"/>
  <c r="T17" i="1"/>
  <c r="BL90" i="3"/>
  <c r="BK92" i="3"/>
  <c r="BL91" i="3"/>
  <c r="T18" i="1"/>
  <c r="BL92" i="3"/>
  <c r="T19" i="1"/>
  <c r="BL93" i="3"/>
  <c r="BL94" i="3"/>
  <c r="M11" i="7" a="1"/>
  <c r="M4" i="7"/>
  <c r="M5" i="7"/>
  <c r="E1" i="8"/>
  <c r="G1" i="8"/>
  <c r="E7" i="1" a="1"/>
  <c r="E7" i="1" s="1"/>
  <c r="E6" i="1" a="1"/>
  <c r="E6" i="1" s="1"/>
  <c r="E11" i="1" a="1"/>
  <c r="E11" i="1" s="1"/>
  <c r="E5" i="1" a="1"/>
  <c r="E5" i="1" s="1"/>
  <c r="E8" i="1" a="1"/>
  <c r="E8" i="1" s="1"/>
  <c r="E10" i="1" a="1"/>
  <c r="E10" i="1" s="1"/>
  <c r="E4" i="1" a="1"/>
  <c r="E4" i="1" s="1"/>
  <c r="E9" i="1" a="1"/>
  <c r="E9" i="1" s="1"/>
  <c r="E3" i="1" a="1"/>
  <c r="E3" i="1" s="1"/>
  <c r="O116" i="4"/>
  <c r="O113" i="4"/>
  <c r="O110" i="4"/>
  <c r="O53" i="4"/>
  <c r="O114" i="4"/>
  <c r="O107" i="4"/>
  <c r="O109" i="4"/>
  <c r="O112" i="4"/>
  <c r="O108" i="4"/>
  <c r="O115" i="4"/>
  <c r="O111" i="4"/>
  <c r="N5" i="4"/>
  <c r="L21" i="1" a="1"/>
  <c r="L21" i="1" s="1"/>
  <c r="M24" i="1" a="1"/>
  <c r="M24" i="1" s="1"/>
  <c r="N25" i="1" a="1"/>
  <c r="N25" i="1" s="1"/>
  <c r="O24" i="1" a="1"/>
  <c r="O24" i="1" s="1"/>
  <c r="U2" i="1" a="1"/>
  <c r="U2" i="1" s="1"/>
  <c r="U9" i="1" a="1"/>
  <c r="U9" i="1" s="1"/>
  <c r="N24" i="1" a="1"/>
  <c r="N24" i="1" s="1"/>
  <c r="U10" i="1" a="1"/>
  <c r="U10" i="1" s="1"/>
  <c r="U6" i="1" a="1"/>
  <c r="U6" i="1" s="1"/>
  <c r="P21" i="1" a="1"/>
  <c r="P21" i="1" s="1"/>
  <c r="M23" i="1" a="1"/>
  <c r="M23" i="1" s="1"/>
  <c r="M25" i="1" a="1"/>
  <c r="M25" i="1" s="1"/>
  <c r="U8" i="1" a="1"/>
  <c r="U8" i="1" s="1"/>
  <c r="M22" i="1" a="1"/>
  <c r="M22" i="1" s="1"/>
  <c r="H13" i="1"/>
  <c r="P24" i="1" a="1"/>
  <c r="P24" i="1" s="1"/>
  <c r="O25" i="1" a="1"/>
  <c r="O25" i="1" s="1"/>
  <c r="M21" i="1" a="1"/>
  <c r="M21" i="1" s="1"/>
  <c r="U5" i="1" a="1"/>
  <c r="U5" i="1" s="1"/>
  <c r="O22" i="1" a="1"/>
  <c r="O22" i="1" s="1"/>
  <c r="O21" i="1" a="1"/>
  <c r="O21" i="1" s="1"/>
  <c r="AH2" i="1" a="1"/>
  <c r="AH2" i="1" s="1"/>
  <c r="AP2" i="1" a="1"/>
  <c r="AP2" i="1" s="1"/>
  <c r="N23" i="1" a="1"/>
  <c r="N23" i="1" s="1"/>
  <c r="O23" i="1" a="1"/>
  <c r="O23" i="1" s="1"/>
  <c r="U11" i="1" a="1"/>
  <c r="U11" i="1" s="1"/>
  <c r="L25" i="1" a="1"/>
  <c r="L25" i="1" s="1"/>
  <c r="E2" i="1" a="1"/>
  <c r="E2" i="1" s="1"/>
  <c r="U3" i="1" a="1"/>
  <c r="U3" i="1" s="1"/>
  <c r="U4" i="1" a="1"/>
  <c r="U4" i="1" s="1"/>
  <c r="P25" i="1" a="1"/>
  <c r="P25" i="1" s="1"/>
  <c r="Z2" i="1" a="1"/>
  <c r="Z2" i="1" s="1"/>
  <c r="U7" i="1" a="1"/>
  <c r="U7" i="1" s="1"/>
  <c r="N22" i="1" a="1"/>
  <c r="N22" i="1" s="1"/>
  <c r="L24" i="1" a="1"/>
  <c r="L24" i="1" s="1"/>
  <c r="N21" i="1" a="1"/>
  <c r="N21" i="1" s="1"/>
  <c r="G13" i="1"/>
  <c r="L22" i="1" a="1"/>
  <c r="L22" i="1" s="1"/>
  <c r="K13" i="1"/>
  <c r="P13" i="1" s="1"/>
  <c r="M8" i="7"/>
  <c r="N6" i="7"/>
  <c r="N8" i="7"/>
  <c r="N5" i="7"/>
  <c r="N4" i="7"/>
  <c r="M6" i="7"/>
  <c r="C2" i="4"/>
  <c r="D5" i="4"/>
  <c r="B5" i="4" s="1"/>
  <c r="D4" i="4"/>
  <c r="C4" i="4" s="1"/>
  <c r="H2" i="4"/>
  <c r="I4" i="4" s="1"/>
  <c r="D3" i="4"/>
  <c r="C3" i="4" s="1"/>
  <c r="BL98" i="3"/>
  <c r="BK98" i="3"/>
  <c r="BK99" i="3"/>
  <c r="BL99" i="3"/>
  <c r="K14" i="4"/>
  <c r="K19" i="4"/>
  <c r="K13" i="4"/>
  <c r="K15" i="4"/>
  <c r="K17" i="4"/>
  <c r="K12" i="4"/>
  <c r="K18" i="4"/>
  <c r="K16" i="4"/>
  <c r="BK100" i="3"/>
  <c r="BL100" i="3"/>
  <c r="BK101" i="3"/>
  <c r="BK102" i="3"/>
  <c r="BL101" i="3"/>
  <c r="BK103" i="3"/>
  <c r="BL102" i="3"/>
  <c r="BK104" i="3"/>
  <c r="BL103" i="3"/>
  <c r="BL104" i="3"/>
  <c r="BK105" i="3"/>
  <c r="BL105" i="3"/>
  <c r="BK106" i="3"/>
  <c r="BL106" i="3"/>
  <c r="BK107" i="3"/>
  <c r="BK108" i="3"/>
  <c r="BK109" i="3"/>
  <c r="BL107" i="3"/>
  <c r="BK110" i="3"/>
  <c r="BL108" i="3"/>
  <c r="BK111" i="3"/>
  <c r="BL109" i="3"/>
  <c r="BK112" i="3"/>
  <c r="BL110" i="3"/>
  <c r="BK113" i="3"/>
  <c r="BL111" i="3"/>
  <c r="BK114" i="3"/>
  <c r="BL112" i="3"/>
  <c r="BK115" i="3"/>
  <c r="BL113" i="3"/>
  <c r="BO113" i="3" s="1"/>
  <c r="BK116" i="3"/>
  <c r="BL114" i="3"/>
  <c r="BK117" i="3"/>
  <c r="BL115" i="3"/>
  <c r="BK118" i="3"/>
  <c r="BL116" i="3"/>
  <c r="BK119" i="3"/>
  <c r="BL117" i="3"/>
  <c r="BK120" i="3"/>
  <c r="BL118" i="3"/>
  <c r="BK121" i="3"/>
  <c r="BL119" i="3"/>
  <c r="BK122" i="3"/>
  <c r="BL120" i="3"/>
  <c r="BO120" i="3" s="1"/>
  <c r="BK123" i="3"/>
  <c r="BL121" i="3"/>
  <c r="BK124" i="3"/>
  <c r="BL122" i="3"/>
  <c r="BK125" i="3"/>
  <c r="BL123" i="3"/>
  <c r="BK126" i="3"/>
  <c r="BL124" i="3"/>
  <c r="BK127" i="3"/>
  <c r="BL125" i="3"/>
  <c r="BK128" i="3"/>
  <c r="BL126" i="3"/>
  <c r="BK129" i="3"/>
  <c r="BL127" i="3"/>
  <c r="BK130" i="3"/>
  <c r="BL128" i="3"/>
  <c r="BK131" i="3"/>
  <c r="BL129" i="3"/>
  <c r="BL130" i="3"/>
  <c r="BK132" i="3"/>
  <c r="BL131" i="3"/>
  <c r="BL132" i="3"/>
  <c r="BK133" i="3"/>
  <c r="BL133" i="3"/>
  <c r="BK134" i="3"/>
  <c r="BL134" i="3"/>
  <c r="BO134" i="3" s="1"/>
  <c r="BK135" i="3"/>
  <c r="BK136" i="3"/>
  <c r="BL135" i="3"/>
  <c r="BK137" i="3"/>
  <c r="BK138" i="3"/>
  <c r="BL136" i="3"/>
  <c r="BK139" i="3"/>
  <c r="BL137" i="3"/>
  <c r="BL138" i="3"/>
  <c r="BK140" i="3"/>
  <c r="BK141" i="3"/>
  <c r="BL139" i="3"/>
  <c r="BK142" i="3"/>
  <c r="BL140" i="3"/>
  <c r="BK143" i="3"/>
  <c r="BL141" i="3"/>
  <c r="BK144" i="3"/>
  <c r="BL142" i="3"/>
  <c r="BK145" i="3"/>
  <c r="BL143" i="3"/>
  <c r="BK146" i="3"/>
  <c r="BK147" i="3"/>
  <c r="BL144" i="3"/>
  <c r="BL145" i="3"/>
  <c r="BK148" i="3"/>
  <c r="BL146" i="3"/>
  <c r="BK149" i="3"/>
  <c r="BL147" i="3"/>
  <c r="BK150" i="3"/>
  <c r="BL148" i="3"/>
  <c r="BK151" i="3"/>
  <c r="BK152" i="3"/>
  <c r="BL149" i="3"/>
  <c r="BK153" i="3"/>
  <c r="BL150" i="3"/>
  <c r="BK154" i="3"/>
  <c r="BL151" i="3"/>
  <c r="BK155" i="3"/>
  <c r="BL152" i="3"/>
  <c r="BK156" i="3"/>
  <c r="BK157" i="3"/>
  <c r="BL154" i="3"/>
  <c r="BK158" i="3"/>
  <c r="BL155" i="3"/>
  <c r="BL157" i="3"/>
  <c r="BK159" i="3"/>
  <c r="BL158" i="3"/>
  <c r="BK160" i="3"/>
  <c r="BL159" i="3"/>
  <c r="BK161" i="3"/>
  <c r="BL160" i="3"/>
  <c r="BK162" i="3"/>
  <c r="BK163" i="3"/>
  <c r="BL162" i="3"/>
  <c r="BK164" i="3"/>
  <c r="BL163" i="3"/>
  <c r="BK165" i="3"/>
  <c r="BL164" i="3"/>
  <c r="BK166" i="3"/>
  <c r="BL165" i="3"/>
  <c r="BK167" i="3"/>
  <c r="BK168" i="3"/>
  <c r="BL166" i="3"/>
  <c r="BK169" i="3"/>
  <c r="BK170" i="3"/>
  <c r="BL168" i="3"/>
  <c r="BK171" i="3"/>
  <c r="BK172" i="3"/>
  <c r="BL169" i="3"/>
  <c r="BK173" i="3"/>
  <c r="BK174" i="3"/>
  <c r="BL171" i="3"/>
  <c r="BK175" i="3"/>
  <c r="BL172" i="3"/>
  <c r="BK176" i="3"/>
  <c r="BL173" i="3"/>
  <c r="BK177" i="3"/>
  <c r="BK178" i="3"/>
  <c r="BL174" i="3"/>
  <c r="BL175" i="3"/>
  <c r="BK179" i="3"/>
  <c r="BL176" i="3"/>
  <c r="BO176" i="3" s="1"/>
  <c r="BK180" i="3"/>
  <c r="BL177" i="3"/>
  <c r="BK181" i="3"/>
  <c r="BK182" i="3"/>
  <c r="BL178" i="3"/>
  <c r="BL179" i="3"/>
  <c r="BL180" i="3"/>
  <c r="BL181" i="3"/>
  <c r="BL182" i="3"/>
  <c r="C14" i="7" l="1"/>
  <c r="BG5" i="1"/>
  <c r="K9" i="4"/>
  <c r="BD5" i="1"/>
  <c r="BM264" i="3"/>
  <c r="N21" i="4"/>
  <c r="U8" i="7" a="1"/>
  <c r="U8" i="7" s="1"/>
  <c r="K10" i="4"/>
  <c r="AG8" i="4"/>
  <c r="BM136" i="3"/>
  <c r="BM231" i="3"/>
  <c r="AP3" i="3"/>
  <c r="AO3" i="3" s="1"/>
  <c r="AS3" i="3" s="1"/>
  <c r="BQ37" i="3"/>
  <c r="BM334" i="3"/>
  <c r="AG3" i="4"/>
  <c r="AG13" i="4"/>
  <c r="N15" i="4"/>
  <c r="P15" i="4" s="1"/>
  <c r="N11" i="4"/>
  <c r="P11" i="4" s="1"/>
  <c r="N16" i="4"/>
  <c r="P16" i="4" s="1"/>
  <c r="D32" i="7" a="1"/>
  <c r="D32" i="7" s="1"/>
  <c r="D4" i="7" s="1"/>
  <c r="BL170" i="3"/>
  <c r="BQ170" i="3" s="1"/>
  <c r="P22" i="1" a="1"/>
  <c r="P22" i="1" s="1"/>
  <c r="Q22" i="1" s="1"/>
  <c r="P34" i="1"/>
  <c r="Q34" i="1" s="1"/>
  <c r="AH7" i="4"/>
  <c r="AK7" i="4" s="1"/>
  <c r="AL7" i="4" s="1"/>
  <c r="AM7" i="4" s="1"/>
  <c r="BC4" i="1"/>
  <c r="O13" i="4"/>
  <c r="AI7" i="4"/>
  <c r="AH4" i="4"/>
  <c r="AJ4" i="4" s="1"/>
  <c r="T31" i="1"/>
  <c r="AN7" i="4"/>
  <c r="AR7" i="4" s="1"/>
  <c r="BF4" i="1"/>
  <c r="BQ57" i="3"/>
  <c r="BF2" i="1"/>
  <c r="N10" i="4"/>
  <c r="P10" i="4" s="1"/>
  <c r="N18" i="4"/>
  <c r="P18" i="4" s="1"/>
  <c r="C5" i="4"/>
  <c r="N12" i="4"/>
  <c r="P12" i="4" s="1"/>
  <c r="AG12" i="4"/>
  <c r="N8" i="4"/>
  <c r="P8" i="4" s="1"/>
  <c r="AG5" i="4"/>
  <c r="N9" i="4"/>
  <c r="P9" i="4" s="1"/>
  <c r="AG4" i="4"/>
  <c r="N14" i="4"/>
  <c r="P14" i="4" s="1"/>
  <c r="AG6" i="4"/>
  <c r="N17" i="4"/>
  <c r="P17" i="4" s="1"/>
  <c r="N13" i="4"/>
  <c r="P13" i="4" s="1"/>
  <c r="AG11" i="4"/>
  <c r="AG7" i="4"/>
  <c r="N19" i="4"/>
  <c r="P19" i="4" s="1"/>
  <c r="AG10" i="4"/>
  <c r="AG9" i="4"/>
  <c r="P3" i="4"/>
  <c r="P5" i="4"/>
  <c r="O54" i="4"/>
  <c r="P4" i="4"/>
  <c r="K55" i="4"/>
  <c r="N54" i="4"/>
  <c r="P54" i="4"/>
  <c r="P2" i="4"/>
  <c r="T28" i="1"/>
  <c r="BL153" i="3"/>
  <c r="BM153" i="3" s="1"/>
  <c r="BQ54" i="3"/>
  <c r="AO4" i="4"/>
  <c r="AS4" i="4" s="1"/>
  <c r="BM276" i="3"/>
  <c r="Q3" i="3"/>
  <c r="Q4" i="3" s="1"/>
  <c r="Q5" i="3" s="1"/>
  <c r="Q6" i="3" s="1"/>
  <c r="BM53" i="3"/>
  <c r="BM41" i="3"/>
  <c r="BG3" i="1"/>
  <c r="BM84" i="3"/>
  <c r="BM88" i="3"/>
  <c r="BQ14" i="3"/>
  <c r="AF12" i="4"/>
  <c r="AF13" i="4"/>
  <c r="U33" i="1"/>
  <c r="AF10" i="4"/>
  <c r="AF9" i="4"/>
  <c r="AF11" i="4"/>
  <c r="A32" i="7" a="1"/>
  <c r="A32" i="7" s="1"/>
  <c r="C13" i="7"/>
  <c r="M3" i="7"/>
  <c r="B14" i="7"/>
  <c r="L10" i="7"/>
  <c r="M11" i="7"/>
  <c r="K10" i="7" s="1"/>
  <c r="O12" i="5"/>
  <c r="O10" i="5"/>
  <c r="O7" i="5"/>
  <c r="O14" i="5"/>
  <c r="O13" i="5"/>
  <c r="L6" i="5"/>
  <c r="O8" i="5"/>
  <c r="P6" i="5"/>
  <c r="O4" i="5"/>
  <c r="O15" i="5"/>
  <c r="L65" i="5"/>
  <c r="L61" i="5"/>
  <c r="L58" i="5"/>
  <c r="L52" i="5"/>
  <c r="D3" i="7"/>
  <c r="B4" i="4"/>
  <c r="B3" i="4"/>
  <c r="BQ42" i="3"/>
  <c r="G3" i="3"/>
  <c r="G4" i="3" s="1"/>
  <c r="AS12" i="4"/>
  <c r="V3" i="3"/>
  <c r="U3" i="3" s="1"/>
  <c r="Y3" i="3" s="1"/>
  <c r="L3" i="3"/>
  <c r="L4" i="3" s="1"/>
  <c r="L5" i="3" s="1"/>
  <c r="U43" i="1"/>
  <c r="P23" i="1" a="1"/>
  <c r="P23" i="1" s="1"/>
  <c r="BF6" i="1"/>
  <c r="BC2" i="1"/>
  <c r="BD3" i="1"/>
  <c r="BM161" i="3"/>
  <c r="AS13" i="4"/>
  <c r="AS2" i="3"/>
  <c r="AD2" i="3"/>
  <c r="O2" i="3"/>
  <c r="BM177" i="3"/>
  <c r="P9" i="5"/>
  <c r="P35" i="1"/>
  <c r="Q35" i="1" s="1"/>
  <c r="BQ45" i="3"/>
  <c r="O10" i="4"/>
  <c r="BC6" i="1"/>
  <c r="U36" i="1"/>
  <c r="AI4" i="4"/>
  <c r="AO7" i="4"/>
  <c r="AS7" i="4" s="1"/>
  <c r="AS11" i="4"/>
  <c r="AJ12" i="4"/>
  <c r="AR12" i="4"/>
  <c r="AR2" i="4"/>
  <c r="BM151" i="3"/>
  <c r="BQ68" i="3"/>
  <c r="BM346" i="3"/>
  <c r="L63" i="5"/>
  <c r="AK3" i="3"/>
  <c r="AK4" i="3" s="1"/>
  <c r="AJ2" i="4"/>
  <c r="AR8" i="4"/>
  <c r="Q43" i="1"/>
  <c r="BC2" i="3"/>
  <c r="AN2" i="3"/>
  <c r="Y2" i="3"/>
  <c r="J2" i="3"/>
  <c r="AZ3" i="3"/>
  <c r="AY3" i="3" s="1"/>
  <c r="BC3" i="3" s="1"/>
  <c r="BM66" i="3"/>
  <c r="Q42" i="1"/>
  <c r="U41" i="1"/>
  <c r="BQ6" i="3"/>
  <c r="U40" i="1"/>
  <c r="AK8" i="4"/>
  <c r="AL8" i="4" s="1"/>
  <c r="AM8" i="4" s="1"/>
  <c r="U39" i="1"/>
  <c r="S6" i="1" a="1"/>
  <c r="S6" i="1" s="1"/>
  <c r="R6" i="1" s="1" a="1"/>
  <c r="R6" i="1" s="1"/>
  <c r="V6" i="1" s="1"/>
  <c r="W6" i="1" s="1"/>
  <c r="BQ63" i="3"/>
  <c r="AR6" i="4"/>
  <c r="AK2" i="4"/>
  <c r="AL2" i="4" s="1"/>
  <c r="AM2" i="4" s="1"/>
  <c r="BM330" i="3"/>
  <c r="D7" i="7"/>
  <c r="AS5" i="4"/>
  <c r="AS2" i="4"/>
  <c r="BM266" i="3"/>
  <c r="V1" i="7"/>
  <c r="AU3" i="3"/>
  <c r="AU4" i="3" s="1"/>
  <c r="U42" i="1"/>
  <c r="U37" i="1"/>
  <c r="U34" i="1"/>
  <c r="AA3" i="3"/>
  <c r="AA4" i="3" s="1"/>
  <c r="P37" i="1"/>
  <c r="Q37" i="1" s="1"/>
  <c r="AR3" i="4"/>
  <c r="AH3" i="4"/>
  <c r="AJ3" i="4" s="1"/>
  <c r="Q40" i="1"/>
  <c r="AJ10" i="4"/>
  <c r="AR11" i="4"/>
  <c r="AR5" i="4"/>
  <c r="BU5" i="3"/>
  <c r="AJ9" i="4"/>
  <c r="BQ55" i="3"/>
  <c r="AK11" i="4"/>
  <c r="AL11" i="4" s="1"/>
  <c r="AM11" i="4" s="1"/>
  <c r="I1" i="5"/>
  <c r="BM8" i="3"/>
  <c r="BM7" i="3"/>
  <c r="BM11" i="3"/>
  <c r="BM165" i="3"/>
  <c r="BM243" i="3"/>
  <c r="BQ185" i="3"/>
  <c r="BQ187" i="3"/>
  <c r="BT2" i="3"/>
  <c r="BM95" i="3"/>
  <c r="AJ6" i="4"/>
  <c r="BM352" i="3"/>
  <c r="AJ5" i="4"/>
  <c r="BQ95" i="3"/>
  <c r="BQ34" i="3"/>
  <c r="BP42" i="3"/>
  <c r="AK5" i="4"/>
  <c r="AL5" i="4" s="1"/>
  <c r="AM5" i="4" s="1"/>
  <c r="BQ70" i="3"/>
  <c r="BM291" i="3"/>
  <c r="BM279" i="3"/>
  <c r="BP18" i="3"/>
  <c r="AK6" i="4"/>
  <c r="AL6" i="4" s="1"/>
  <c r="AM6" i="4" s="1"/>
  <c r="BP59" i="3"/>
  <c r="BM278" i="3"/>
  <c r="BH17" i="3"/>
  <c r="BL39" i="3"/>
  <c r="M24" i="5" s="1"/>
  <c r="N24" i="5" s="1"/>
  <c r="BM29" i="3"/>
  <c r="BM228" i="3"/>
  <c r="N42" i="1"/>
  <c r="T30" i="1"/>
  <c r="U35" i="1"/>
  <c r="AO3" i="4"/>
  <c r="AS3" i="4" s="1"/>
  <c r="AK12" i="4"/>
  <c r="AL12" i="4" s="1"/>
  <c r="AM12" i="4" s="1"/>
  <c r="P36" i="1"/>
  <c r="BM145" i="3"/>
  <c r="BM135" i="3"/>
  <c r="X17" i="3"/>
  <c r="O9" i="4"/>
  <c r="BM351" i="3"/>
  <c r="BM261" i="3"/>
  <c r="BP56" i="3"/>
  <c r="N36" i="1"/>
  <c r="AI3" i="4"/>
  <c r="P5" i="5"/>
  <c r="R40" i="1"/>
  <c r="AS9" i="4"/>
  <c r="AK10" i="4"/>
  <c r="AL10" i="4" s="1"/>
  <c r="AM10" i="4" s="1"/>
  <c r="AR13" i="4"/>
  <c r="AS10" i="4"/>
  <c r="BQ33" i="3"/>
  <c r="BM187" i="3"/>
  <c r="BM96" i="3"/>
  <c r="BQ97" i="3"/>
  <c r="BQ96" i="3"/>
  <c r="BM3" i="3"/>
  <c r="Q53" i="4"/>
  <c r="BM22" i="3"/>
  <c r="BP19" i="3"/>
  <c r="BM122" i="3"/>
  <c r="I2" i="4"/>
  <c r="BM307" i="3"/>
  <c r="BM295" i="3"/>
  <c r="BM247" i="3"/>
  <c r="BM235" i="3"/>
  <c r="BQ49" i="3"/>
  <c r="BQ24" i="3"/>
  <c r="BM108" i="3"/>
  <c r="S2" i="1" a="1"/>
  <c r="S2" i="1" s="1"/>
  <c r="T2" i="1" s="1"/>
  <c r="BM71" i="3"/>
  <c r="BM232" i="3"/>
  <c r="BQ220" i="3"/>
  <c r="BQ227" i="3"/>
  <c r="BQ94" i="3"/>
  <c r="AR10" i="4"/>
  <c r="AS6" i="4"/>
  <c r="BQ5" i="3"/>
  <c r="AX2" i="3"/>
  <c r="AF3" i="3"/>
  <c r="AF4" i="3" s="1"/>
  <c r="AE4" i="3" s="1"/>
  <c r="AI4" i="3" s="1"/>
  <c r="T2" i="3"/>
  <c r="BQ93" i="3"/>
  <c r="AJ11" i="4"/>
  <c r="BP57" i="3"/>
  <c r="BP55" i="3"/>
  <c r="T41" i="1"/>
  <c r="AK9" i="4"/>
  <c r="AL9" i="4" s="1"/>
  <c r="AM9" i="4" s="1"/>
  <c r="BQ357" i="3"/>
  <c r="BQ288" i="3"/>
  <c r="BQ263" i="3"/>
  <c r="BM220" i="3"/>
  <c r="AR4" i="4"/>
  <c r="BQ76" i="3"/>
  <c r="R43" i="1"/>
  <c r="AJ8" i="4"/>
  <c r="AS8" i="4"/>
  <c r="BM250" i="3"/>
  <c r="BM92" i="3"/>
  <c r="BM322" i="3"/>
  <c r="BQ61" i="3"/>
  <c r="BQ7" i="3"/>
  <c r="L57" i="5"/>
  <c r="BO8" i="3"/>
  <c r="BO9" i="3" s="1"/>
  <c r="BO10" i="3" s="1"/>
  <c r="BO11" i="3" s="1"/>
  <c r="BO12" i="3" s="1"/>
  <c r="BO13" i="3" s="1"/>
  <c r="BO14" i="3" s="1"/>
  <c r="BM297" i="3"/>
  <c r="BQ341" i="3"/>
  <c r="BM283" i="3"/>
  <c r="BM259" i="3"/>
  <c r="BQ230" i="3"/>
  <c r="BM158" i="3"/>
  <c r="H3" i="4"/>
  <c r="I3" i="4" s="1"/>
  <c r="BM48" i="3"/>
  <c r="I5" i="4"/>
  <c r="BM280" i="3"/>
  <c r="BM268" i="3"/>
  <c r="BM227" i="3"/>
  <c r="BM46" i="3"/>
  <c r="BM33" i="3"/>
  <c r="BM21" i="3"/>
  <c r="BM180" i="3"/>
  <c r="BM77" i="3"/>
  <c r="BM326" i="3"/>
  <c r="BM20" i="3"/>
  <c r="S41" i="1"/>
  <c r="BM164" i="3"/>
  <c r="BM362" i="3"/>
  <c r="BM97" i="3"/>
  <c r="BM5" i="3"/>
  <c r="BM319" i="3"/>
  <c r="BQ365" i="3"/>
  <c r="BQ350" i="3"/>
  <c r="BM76" i="3"/>
  <c r="L67" i="5"/>
  <c r="BQ295" i="3"/>
  <c r="BM185" i="3"/>
  <c r="BM55" i="3"/>
  <c r="AI2" i="3"/>
  <c r="BM281" i="3"/>
  <c r="BM245" i="3"/>
  <c r="BQ69" i="3"/>
  <c r="R39" i="1"/>
  <c r="BM293" i="3"/>
  <c r="BQ363" i="3"/>
  <c r="BQ256" i="3"/>
  <c r="BM230" i="3"/>
  <c r="BL188" i="3"/>
  <c r="L46" i="5"/>
  <c r="L26" i="5"/>
  <c r="BQ318" i="3"/>
  <c r="R41" i="1"/>
  <c r="BQ331" i="3"/>
  <c r="BQ362" i="3"/>
  <c r="BQ338" i="3"/>
  <c r="BQ302" i="3"/>
  <c r="BQ345" i="3"/>
  <c r="BM316" i="3"/>
  <c r="BM63" i="3"/>
  <c r="BM305" i="3"/>
  <c r="L22" i="4"/>
  <c r="L23" i="4" s="1"/>
  <c r="L24" i="4" s="1"/>
  <c r="L25" i="4" s="1"/>
  <c r="N25" i="4" s="1"/>
  <c r="Q41" i="1"/>
  <c r="BQ234" i="3"/>
  <c r="BM234" i="3"/>
  <c r="AR9" i="4"/>
  <c r="R42" i="1"/>
  <c r="L32" i="5"/>
  <c r="BQ274" i="3"/>
  <c r="BQ330" i="3"/>
  <c r="BQ222" i="3"/>
  <c r="BM222" i="3"/>
  <c r="BQ64" i="3"/>
  <c r="Q39" i="1"/>
  <c r="T43" i="1"/>
  <c r="BM244" i="3"/>
  <c r="BM314" i="3"/>
  <c r="BM61" i="3"/>
  <c r="BM65" i="3"/>
  <c r="T39" i="1"/>
  <c r="BM331" i="3"/>
  <c r="BQ77" i="3"/>
  <c r="AK13" i="4"/>
  <c r="AL13" i="4" s="1"/>
  <c r="AM13" i="4" s="1"/>
  <c r="BQ349" i="3"/>
  <c r="BM219" i="3"/>
  <c r="BQ259" i="3"/>
  <c r="T42" i="1"/>
  <c r="S42" i="1"/>
  <c r="Q33" i="1"/>
  <c r="BQ231" i="3"/>
  <c r="BM338" i="3"/>
  <c r="BM302" i="3"/>
  <c r="CA9" i="3"/>
  <c r="CC9" i="3" s="1"/>
  <c r="CE9" i="3" s="1"/>
  <c r="AJ13" i="4"/>
  <c r="BM64" i="3"/>
  <c r="BM256" i="3"/>
  <c r="BM350" i="3"/>
  <c r="L36" i="5"/>
  <c r="BM123" i="3"/>
  <c r="T40" i="1"/>
  <c r="BM290" i="3"/>
  <c r="BP58" i="3"/>
  <c r="BQ321" i="3"/>
  <c r="BM308" i="3"/>
  <c r="BM157" i="3"/>
  <c r="CD9" i="3"/>
  <c r="S43" i="1"/>
  <c r="BM73" i="3"/>
  <c r="BM333" i="3"/>
  <c r="BM356" i="3"/>
  <c r="CA54" i="3"/>
  <c r="CC54" i="3" s="1"/>
  <c r="CE54" i="3" s="1"/>
  <c r="S40" i="1"/>
  <c r="BM270" i="3"/>
  <c r="BM257" i="3"/>
  <c r="BM349" i="3"/>
  <c r="BM345" i="3"/>
  <c r="L69" i="5"/>
  <c r="BM168" i="3"/>
  <c r="BM173" i="3"/>
  <c r="BM178" i="3"/>
  <c r="BM98" i="3"/>
  <c r="S39" i="1"/>
  <c r="BQ305" i="3"/>
  <c r="CA33" i="3"/>
  <c r="CC33" i="3" s="1"/>
  <c r="CE33" i="3" s="1"/>
  <c r="BM304" i="3"/>
  <c r="BM4" i="3"/>
  <c r="BM45" i="3"/>
  <c r="BM32" i="3"/>
  <c r="S36" i="1"/>
  <c r="BP37" i="3"/>
  <c r="BP36" i="3"/>
  <c r="BP35" i="3"/>
  <c r="BP34" i="3"/>
  <c r="CA6" i="3"/>
  <c r="CC6" i="3" s="1"/>
  <c r="CE6" i="3" s="1"/>
  <c r="CD6" i="3"/>
  <c r="BQ32" i="3"/>
  <c r="BP38" i="3"/>
  <c r="CD10" i="3"/>
  <c r="BP62" i="3"/>
  <c r="BP61" i="3"/>
  <c r="BP63" i="3"/>
  <c r="BP60" i="3"/>
  <c r="BP65" i="3"/>
  <c r="BP64" i="3"/>
  <c r="CA10" i="3"/>
  <c r="CC10" i="3" s="1"/>
  <c r="CE10" i="3" s="1"/>
  <c r="BP27" i="3"/>
  <c r="BP28" i="3"/>
  <c r="BP53" i="3"/>
  <c r="BP54" i="3"/>
  <c r="T36" i="1"/>
  <c r="T35" i="1"/>
  <c r="T33" i="1"/>
  <c r="T37" i="1"/>
  <c r="T34" i="1"/>
  <c r="BP51" i="3"/>
  <c r="BQ46" i="3"/>
  <c r="BP52" i="3"/>
  <c r="BP49" i="3"/>
  <c r="BP11" i="3"/>
  <c r="BP12" i="3"/>
  <c r="BP13" i="3"/>
  <c r="BP14" i="3"/>
  <c r="BQ20" i="3"/>
  <c r="BP26" i="3"/>
  <c r="BP23" i="3"/>
  <c r="BP20" i="3"/>
  <c r="BP22" i="3"/>
  <c r="BP17" i="3"/>
  <c r="BQ11" i="3"/>
  <c r="BP31" i="3"/>
  <c r="CD5" i="3"/>
  <c r="BP30" i="3"/>
  <c r="BP29" i="3"/>
  <c r="S34" i="1"/>
  <c r="S37" i="1"/>
  <c r="S33" i="1"/>
  <c r="S35" i="1"/>
  <c r="BP4" i="3"/>
  <c r="BP10" i="3"/>
  <c r="BP8" i="3"/>
  <c r="BP50" i="3"/>
  <c r="CA8" i="3"/>
  <c r="CC8" i="3" s="1"/>
  <c r="CE8" i="3" s="1"/>
  <c r="CD8" i="3"/>
  <c r="W22" i="1" a="1"/>
  <c r="W22" i="1" s="1"/>
  <c r="S31" i="1" s="1"/>
  <c r="L15" i="5"/>
  <c r="CA3" i="3"/>
  <c r="CC3" i="3" s="1"/>
  <c r="CE3" i="3" s="1"/>
  <c r="CD3" i="3"/>
  <c r="BP15" i="3"/>
  <c r="BP16" i="3"/>
  <c r="BP32" i="3"/>
  <c r="BQ162" i="3"/>
  <c r="BM143" i="3"/>
  <c r="BM138" i="3"/>
  <c r="BP48" i="3"/>
  <c r="CA7" i="3"/>
  <c r="BP45" i="3"/>
  <c r="BP44" i="3"/>
  <c r="BP47" i="3"/>
  <c r="BP46" i="3"/>
  <c r="CD7" i="3"/>
  <c r="BM155" i="3"/>
  <c r="BP43" i="3"/>
  <c r="BQ78" i="3"/>
  <c r="BO78" i="3"/>
  <c r="BO79" i="3" s="1"/>
  <c r="BO80" i="3" s="1"/>
  <c r="BO81" i="3" s="1"/>
  <c r="BO82" i="3" s="1"/>
  <c r="BO83" i="3" s="1"/>
  <c r="BO84" i="3" s="1"/>
  <c r="BM78" i="3"/>
  <c r="BP41" i="3"/>
  <c r="BP39" i="3"/>
  <c r="BP40" i="3"/>
  <c r="BQ35" i="3"/>
  <c r="BM285" i="3"/>
  <c r="BQ272" i="3"/>
  <c r="BM248" i="3"/>
  <c r="BQ25" i="3"/>
  <c r="BQ13" i="3"/>
  <c r="BM13" i="3"/>
  <c r="BM58" i="3"/>
  <c r="BQ58" i="3"/>
  <c r="BP33" i="3"/>
  <c r="BM179" i="3"/>
  <c r="BM147" i="3"/>
  <c r="BM100" i="3"/>
  <c r="BM348" i="3"/>
  <c r="BM353" i="3"/>
  <c r="BM246" i="3"/>
  <c r="BQ246" i="3"/>
  <c r="BM269" i="3"/>
  <c r="BM35" i="3"/>
  <c r="BQ23" i="3"/>
  <c r="BM23" i="3"/>
  <c r="BP9" i="3"/>
  <c r="CD2" i="3"/>
  <c r="CA2" i="3"/>
  <c r="CC2" i="3" s="1"/>
  <c r="CE2" i="3" s="1"/>
  <c r="CD4" i="3"/>
  <c r="BP25" i="3"/>
  <c r="CA4" i="3"/>
  <c r="CC4" i="3" s="1"/>
  <c r="CE4" i="3" s="1"/>
  <c r="BP24" i="3"/>
  <c r="BP21" i="3"/>
  <c r="BM150" i="3"/>
  <c r="BM129" i="3"/>
  <c r="BM127" i="3"/>
  <c r="S3" i="1" a="1"/>
  <c r="S3" i="1" s="1"/>
  <c r="R3" i="1" s="1" a="1"/>
  <c r="R3" i="1" s="1"/>
  <c r="V3" i="1" s="1"/>
  <c r="W3" i="1" s="1"/>
  <c r="S5" i="1" a="1"/>
  <c r="S5" i="1" s="1"/>
  <c r="M30" i="1" s="1"/>
  <c r="S11" i="1" a="1"/>
  <c r="S11" i="1" s="1"/>
  <c r="R11" i="1" s="1" a="1"/>
  <c r="R11" i="1" s="1"/>
  <c r="V11" i="1" s="1"/>
  <c r="W11" i="1" s="1"/>
  <c r="S9" i="1" a="1"/>
  <c r="S9" i="1" s="1"/>
  <c r="T9" i="1" s="1"/>
  <c r="S8" i="1" a="1"/>
  <c r="S8" i="1" s="1"/>
  <c r="Q8" i="1" s="1"/>
  <c r="S7" i="1" a="1"/>
  <c r="S7" i="1" s="1"/>
  <c r="T7" i="1" s="1"/>
  <c r="S4" i="1" a="1"/>
  <c r="S4" i="1" s="1"/>
  <c r="R4" i="1" s="1" a="1"/>
  <c r="R4" i="1" s="1"/>
  <c r="V4" i="1" s="1"/>
  <c r="W4" i="1" s="1"/>
  <c r="S10" i="1" a="1"/>
  <c r="S10" i="1" s="1"/>
  <c r="T10" i="1" s="1"/>
  <c r="BM117" i="3"/>
  <c r="BM355" i="3"/>
  <c r="BQ337" i="3"/>
  <c r="BM271" i="3"/>
  <c r="BM223" i="3"/>
  <c r="BQ223" i="3"/>
  <c r="BO36" i="3"/>
  <c r="BO37" i="3" s="1"/>
  <c r="BO38" i="3" s="1"/>
  <c r="BM36" i="3"/>
  <c r="BM12" i="3"/>
  <c r="BM114" i="3"/>
  <c r="BM360" i="3"/>
  <c r="BM342" i="3"/>
  <c r="BM327" i="3"/>
  <c r="BM315" i="3"/>
  <c r="BM303" i="3"/>
  <c r="BM267" i="3"/>
  <c r="BM255" i="3"/>
  <c r="BM254" i="3"/>
  <c r="BQ224" i="3"/>
  <c r="BM44" i="3"/>
  <c r="BQ31" i="3"/>
  <c r="BQ19" i="3"/>
  <c r="BM253" i="3"/>
  <c r="BM229" i="3"/>
  <c r="BM217" i="3"/>
  <c r="BM10" i="3"/>
  <c r="BM128" i="3"/>
  <c r="BM118" i="3"/>
  <c r="BM111" i="3"/>
  <c r="BQ71" i="3"/>
  <c r="BO71" i="3"/>
  <c r="BO72" i="3" s="1"/>
  <c r="BO73" i="3" s="1"/>
  <c r="BO74" i="3" s="1"/>
  <c r="BO75" i="3" s="1"/>
  <c r="BO76" i="3" s="1"/>
  <c r="BO77" i="3" s="1"/>
  <c r="BM339" i="3"/>
  <c r="BM359" i="3"/>
  <c r="BM312" i="3"/>
  <c r="BM300" i="3"/>
  <c r="BM252" i="3"/>
  <c r="BQ275" i="3"/>
  <c r="BM251" i="3"/>
  <c r="BM239" i="3"/>
  <c r="BQ218" i="3"/>
  <c r="BM17" i="3"/>
  <c r="BM82" i="3"/>
  <c r="BM74" i="3"/>
  <c r="BM343" i="3"/>
  <c r="BM335" i="3"/>
  <c r="BQ248" i="3"/>
  <c r="CA5" i="3"/>
  <c r="CC5" i="3" s="1"/>
  <c r="CE5" i="3" s="1"/>
  <c r="BM116" i="3"/>
  <c r="BM110" i="3"/>
  <c r="BM336" i="3"/>
  <c r="BQ3" i="3"/>
  <c r="BM184" i="3"/>
  <c r="L62" i="5"/>
  <c r="BM75" i="3"/>
  <c r="BM225" i="3"/>
  <c r="BM9" i="3"/>
  <c r="BQ271" i="3"/>
  <c r="BQ235" i="3"/>
  <c r="BQ353" i="3"/>
  <c r="BQ245" i="3"/>
  <c r="L68" i="5"/>
  <c r="L28" i="5"/>
  <c r="BQ86" i="3"/>
  <c r="BM365" i="3"/>
  <c r="BM341" i="3"/>
  <c r="BM329" i="3"/>
  <c r="BM317" i="3"/>
  <c r="BM47" i="3"/>
  <c r="BM34" i="3"/>
  <c r="BQ8" i="3"/>
  <c r="BM89" i="3"/>
  <c r="BM70" i="3"/>
  <c r="BM363" i="3"/>
  <c r="BM292" i="3"/>
  <c r="BQ21" i="3"/>
  <c r="BM109" i="3"/>
  <c r="BM49" i="3"/>
  <c r="BM24" i="3"/>
  <c r="BQ175" i="3"/>
  <c r="BM337" i="3"/>
  <c r="BQ89" i="3"/>
  <c r="L29" i="5"/>
  <c r="BQ36" i="3"/>
  <c r="L49" i="5"/>
  <c r="BQ304" i="3"/>
  <c r="BQ232" i="3"/>
  <c r="BQ12" i="3"/>
  <c r="L42" i="5"/>
  <c r="BQ283" i="3"/>
  <c r="CA48" i="3"/>
  <c r="CC48" i="3" s="1"/>
  <c r="CE48" i="3" s="1"/>
  <c r="L31" i="5"/>
  <c r="BQ352" i="3"/>
  <c r="BQ316" i="3"/>
  <c r="BQ244" i="3"/>
  <c r="BQ326" i="3"/>
  <c r="BQ290" i="3"/>
  <c r="L51" i="5"/>
  <c r="L53" i="5"/>
  <c r="BM113" i="3"/>
  <c r="BQ128" i="3"/>
  <c r="BQ297" i="3"/>
  <c r="BQ138" i="3"/>
  <c r="BQ126" i="3"/>
  <c r="BM357" i="3"/>
  <c r="BQ249" i="3"/>
  <c r="BQ233" i="3"/>
  <c r="L34" i="5"/>
  <c r="L50" i="5"/>
  <c r="BO3" i="3"/>
  <c r="BO4" i="3" s="1"/>
  <c r="BO5" i="3" s="1"/>
  <c r="BO6" i="3" s="1"/>
  <c r="BO7" i="3" s="1"/>
  <c r="BM94" i="3"/>
  <c r="L47" i="5"/>
  <c r="L21" i="5"/>
  <c r="L54" i="5"/>
  <c r="BQ237" i="3"/>
  <c r="L66" i="5"/>
  <c r="BM183" i="3"/>
  <c r="BQ157" i="3"/>
  <c r="BM318" i="3"/>
  <c r="BQ292" i="3"/>
  <c r="BQ147" i="3"/>
  <c r="BO65" i="3"/>
  <c r="BO66" i="3" s="1"/>
  <c r="BO67" i="3" s="1"/>
  <c r="BO68" i="3" s="1"/>
  <c r="BO69" i="3" s="1"/>
  <c r="BO70" i="3" s="1"/>
  <c r="L48" i="5"/>
  <c r="BQ280" i="3"/>
  <c r="BQ183" i="3"/>
  <c r="L33" i="5"/>
  <c r="L22" i="5"/>
  <c r="BQ44" i="3"/>
  <c r="BO57" i="3"/>
  <c r="BO58" i="3" s="1"/>
  <c r="BO59" i="3" s="1"/>
  <c r="BO60" i="3" s="1"/>
  <c r="BO61" i="3" s="1"/>
  <c r="BO62" i="3" s="1"/>
  <c r="BO63" i="3" s="1"/>
  <c r="A18" i="2"/>
  <c r="C18" i="2" s="1"/>
  <c r="BM69" i="3"/>
  <c r="BQ315" i="3"/>
  <c r="BM57" i="3"/>
  <c r="BM93" i="3"/>
  <c r="BO92" i="3"/>
  <c r="BO93" i="3" s="1"/>
  <c r="BO94" i="3" s="1"/>
  <c r="BO95" i="3" s="1"/>
  <c r="BO96" i="3" s="1"/>
  <c r="BO97" i="3" s="1"/>
  <c r="BO98" i="3" s="1"/>
  <c r="BQ312" i="3"/>
  <c r="L45" i="5"/>
  <c r="M9" i="7"/>
  <c r="M2" i="7" s="1"/>
  <c r="L20" i="5"/>
  <c r="L60" i="5"/>
  <c r="BQ146" i="3"/>
  <c r="C17" i="7"/>
  <c r="L38" i="5"/>
  <c r="BM224" i="3"/>
  <c r="BQ47" i="3"/>
  <c r="BQ309" i="3"/>
  <c r="BQ156" i="3"/>
  <c r="BQ173" i="3"/>
  <c r="BQ332" i="3"/>
  <c r="BQ296" i="3"/>
  <c r="L35" i="5"/>
  <c r="L25" i="5"/>
  <c r="L30" i="5"/>
  <c r="B16" i="7"/>
  <c r="BQ254" i="3"/>
  <c r="BQ186" i="3"/>
  <c r="BQ104" i="3"/>
  <c r="BQ22" i="3"/>
  <c r="BM85" i="3"/>
  <c r="BQ88" i="3"/>
  <c r="BP130" i="3"/>
  <c r="D17" i="2"/>
  <c r="BQ342" i="3"/>
  <c r="BQ303" i="3"/>
  <c r="L43" i="5"/>
  <c r="L41" i="5"/>
  <c r="BQ266" i="3"/>
  <c r="BM186" i="3"/>
  <c r="BQ139" i="3"/>
  <c r="BQ99" i="3"/>
  <c r="BQ10" i="3"/>
  <c r="BQ53" i="3"/>
  <c r="K14" i="1"/>
  <c r="M14" i="1" s="1"/>
  <c r="Y1" i="5" a="1"/>
  <c r="Y1" i="5" s="1"/>
  <c r="BM42" i="3"/>
  <c r="CA37" i="3"/>
  <c r="CC37" i="3" s="1"/>
  <c r="CE37" i="3" s="1"/>
  <c r="BM54" i="3"/>
  <c r="BQ82" i="3"/>
  <c r="BQ355" i="3"/>
  <c r="BQ319" i="3"/>
  <c r="BQ247" i="3"/>
  <c r="BQ329" i="3"/>
  <c r="BQ293" i="3"/>
  <c r="L40" i="5"/>
  <c r="BQ65" i="3"/>
  <c r="BQ144" i="3"/>
  <c r="BQ74" i="3"/>
  <c r="BQ251" i="3"/>
  <c r="BM288" i="3"/>
  <c r="BM275" i="3"/>
  <c r="BQ166" i="3"/>
  <c r="BQ130" i="3"/>
  <c r="BQ239" i="3"/>
  <c r="BM274" i="3"/>
  <c r="BP76" i="3"/>
  <c r="CA45" i="3"/>
  <c r="CC45" i="3" s="1"/>
  <c r="CE45" i="3" s="1"/>
  <c r="BQ300" i="3"/>
  <c r="BM175" i="3"/>
  <c r="BP174" i="3"/>
  <c r="BQ154" i="3"/>
  <c r="BQ360" i="3"/>
  <c r="BM31" i="3"/>
  <c r="BQ29" i="3"/>
  <c r="BP96" i="3"/>
  <c r="BQ358" i="3"/>
  <c r="BQ351" i="3"/>
  <c r="BK188" i="3"/>
  <c r="BQ314" i="3"/>
  <c r="M28" i="5"/>
  <c r="N28" i="5" s="1"/>
  <c r="C16" i="7"/>
  <c r="BO29" i="3"/>
  <c r="BO30" i="3" s="1"/>
  <c r="BO31" i="3" s="1"/>
  <c r="BO32" i="3" s="1"/>
  <c r="BO33" i="3" s="1"/>
  <c r="BO34" i="3" s="1"/>
  <c r="BO35" i="3" s="1"/>
  <c r="BM6" i="3"/>
  <c r="BQ117" i="3"/>
  <c r="BQ111" i="3"/>
  <c r="BM218" i="3"/>
  <c r="BQ90" i="3"/>
  <c r="BM166" i="3"/>
  <c r="BQ184" i="3"/>
  <c r="BM134" i="3"/>
  <c r="BQ276" i="3"/>
  <c r="BM68" i="3"/>
  <c r="BQ84" i="3"/>
  <c r="BQ334" i="3"/>
  <c r="BQ327" i="3"/>
  <c r="BQ255" i="3"/>
  <c r="BQ219" i="3"/>
  <c r="L19" i="5"/>
  <c r="L59" i="5"/>
  <c r="L55" i="5"/>
  <c r="BQ17" i="3"/>
  <c r="BQ171" i="3"/>
  <c r="CD50" i="3"/>
  <c r="CA34" i="3"/>
  <c r="CC34" i="3" s="1"/>
  <c r="CE34" i="3" s="1"/>
  <c r="CA41" i="3"/>
  <c r="CC41" i="3" s="1"/>
  <c r="CE41" i="3" s="1"/>
  <c r="N13" i="1"/>
  <c r="BM263" i="3"/>
  <c r="BQ252" i="3"/>
  <c r="BQ136" i="3"/>
  <c r="BQ132" i="3"/>
  <c r="BM19" i="3"/>
  <c r="AC2" i="1" a="1"/>
  <c r="AC2" i="1" s="1"/>
  <c r="AA2" i="1"/>
  <c r="Z3" i="1"/>
  <c r="AG2" i="1"/>
  <c r="AB2" i="1" a="1"/>
  <c r="AB2" i="1" s="1"/>
  <c r="AD2" i="1" a="1"/>
  <c r="AD2" i="1" s="1"/>
  <c r="AF2" i="1"/>
  <c r="AO2" i="1" s="1"/>
  <c r="AE2" i="1" a="1"/>
  <c r="AE2" i="1" s="1"/>
  <c r="F2" i="1"/>
  <c r="F6" i="1"/>
  <c r="F8" i="1"/>
  <c r="AH3" i="1"/>
  <c r="F4" i="1"/>
  <c r="F10" i="1"/>
  <c r="F3" i="1"/>
  <c r="F9" i="1"/>
  <c r="F7" i="1"/>
  <c r="U21" i="1"/>
  <c r="AS2" i="1"/>
  <c r="AR2" i="1"/>
  <c r="AT2" i="1"/>
  <c r="AV2" i="1" a="1"/>
  <c r="AV2" i="1" s="1"/>
  <c r="AU2" i="1"/>
  <c r="AW2" i="1" a="1"/>
  <c r="AW2" i="1" s="1"/>
  <c r="AQ2" i="1"/>
  <c r="AP3" i="1"/>
  <c r="F5" i="1"/>
  <c r="F11" i="1"/>
  <c r="BM91" i="3"/>
  <c r="BQ91" i="3"/>
  <c r="BQ79" i="3"/>
  <c r="BM79" i="3"/>
  <c r="BP80" i="3"/>
  <c r="BP84" i="3"/>
  <c r="BP85" i="3"/>
  <c r="BM361" i="3"/>
  <c r="BQ361" i="3"/>
  <c r="BQ340" i="3"/>
  <c r="BM344" i="3"/>
  <c r="BQ344" i="3"/>
  <c r="BQ320" i="3"/>
  <c r="BQ284" i="3"/>
  <c r="BM284" i="3"/>
  <c r="BQ236" i="3"/>
  <c r="BM236" i="3"/>
  <c r="BQ38" i="3"/>
  <c r="BM38" i="3"/>
  <c r="BQ26" i="3"/>
  <c r="BM26" i="3"/>
  <c r="BQ336" i="3"/>
  <c r="CD49" i="3"/>
  <c r="CA39" i="3"/>
  <c r="CC39" i="3" s="1"/>
  <c r="CE39" i="3" s="1"/>
  <c r="BQ264" i="3"/>
  <c r="CD47" i="3"/>
  <c r="CA47" i="3"/>
  <c r="CC47" i="3" s="1"/>
  <c r="CE47" i="3" s="1"/>
  <c r="BQ317" i="3"/>
  <c r="BO148" i="3"/>
  <c r="BO149" i="3" s="1"/>
  <c r="BO150" i="3" s="1"/>
  <c r="BO151" i="3" s="1"/>
  <c r="BO152" i="3" s="1"/>
  <c r="BM148" i="3"/>
  <c r="BQ174" i="3"/>
  <c r="BM174" i="3"/>
  <c r="BQ167" i="3"/>
  <c r="BQ81" i="3"/>
  <c r="BM81" i="3"/>
  <c r="BQ60" i="3"/>
  <c r="BM60" i="3"/>
  <c r="BM325" i="3"/>
  <c r="BQ325" i="3"/>
  <c r="BQ324" i="3"/>
  <c r="BM324" i="3"/>
  <c r="BM347" i="3"/>
  <c r="BQ347" i="3"/>
  <c r="BQ323" i="3"/>
  <c r="BM323" i="3"/>
  <c r="BM311" i="3"/>
  <c r="BQ311" i="3"/>
  <c r="BQ299" i="3"/>
  <c r="BM299" i="3"/>
  <c r="BQ287" i="3"/>
  <c r="BM287" i="3"/>
  <c r="BQ240" i="3"/>
  <c r="BM240" i="3"/>
  <c r="BQ216" i="3"/>
  <c r="BM216" i="3"/>
  <c r="BQ215" i="3"/>
  <c r="BM215" i="3"/>
  <c r="BQ161" i="3"/>
  <c r="BM119" i="3"/>
  <c r="BQ119" i="3"/>
  <c r="M35" i="5"/>
  <c r="N35" i="5" s="1"/>
  <c r="BP157" i="3"/>
  <c r="BM181" i="3"/>
  <c r="M30" i="5"/>
  <c r="N30" i="5" s="1"/>
  <c r="BQ83" i="3"/>
  <c r="BP81" i="3"/>
  <c r="BM62" i="3"/>
  <c r="BQ62" i="3"/>
  <c r="BM328" i="3"/>
  <c r="BQ328" i="3"/>
  <c r="BQ313" i="3"/>
  <c r="BM313" i="3"/>
  <c r="BM301" i="3"/>
  <c r="BQ301" i="3"/>
  <c r="BQ289" i="3"/>
  <c r="BM289" i="3"/>
  <c r="BQ277" i="3"/>
  <c r="BM277" i="3"/>
  <c r="BQ265" i="3"/>
  <c r="BM265" i="3"/>
  <c r="BM241" i="3"/>
  <c r="BQ241" i="3"/>
  <c r="BQ221" i="3"/>
  <c r="BM221" i="3"/>
  <c r="BM56" i="3"/>
  <c r="BQ56" i="3"/>
  <c r="BM43" i="3"/>
  <c r="BO43" i="3"/>
  <c r="BO44" i="3" s="1"/>
  <c r="BO45" i="3" s="1"/>
  <c r="BO46" i="3" s="1"/>
  <c r="BO47" i="3" s="1"/>
  <c r="BO48" i="3" s="1"/>
  <c r="BO49" i="3" s="1"/>
  <c r="BM30" i="3"/>
  <c r="M21" i="5"/>
  <c r="N21" i="5" s="1"/>
  <c r="BQ18" i="3"/>
  <c r="BM28" i="3"/>
  <c r="BQ28" i="3"/>
  <c r="BQ359" i="3"/>
  <c r="CA53" i="3"/>
  <c r="CC53" i="3" s="1"/>
  <c r="CE53" i="3" s="1"/>
  <c r="CD53" i="3"/>
  <c r="BM87" i="3"/>
  <c r="BM80" i="3"/>
  <c r="BQ80" i="3"/>
  <c r="BM67" i="3"/>
  <c r="BQ67" i="3"/>
  <c r="BP67" i="3"/>
  <c r="BP71" i="3"/>
  <c r="BM364" i="3"/>
  <c r="BQ364" i="3"/>
  <c r="BQ354" i="3"/>
  <c r="BM354" i="3"/>
  <c r="BM310" i="3"/>
  <c r="BQ310" i="3"/>
  <c r="BM298" i="3"/>
  <c r="BQ298" i="3"/>
  <c r="BQ286" i="3"/>
  <c r="BM286" i="3"/>
  <c r="BM262" i="3"/>
  <c r="BQ262" i="3"/>
  <c r="BM238" i="3"/>
  <c r="BQ238" i="3"/>
  <c r="BQ226" i="3"/>
  <c r="BM226" i="3"/>
  <c r="BQ214" i="3"/>
  <c r="BM214" i="3"/>
  <c r="BM52" i="3"/>
  <c r="BQ52" i="3"/>
  <c r="M26" i="5"/>
  <c r="N26" i="5" s="1"/>
  <c r="BM40" i="3"/>
  <c r="BQ40" i="3"/>
  <c r="BQ27" i="3"/>
  <c r="BM27" i="3"/>
  <c r="BM15" i="3"/>
  <c r="BQ15" i="3"/>
  <c r="BO15" i="3"/>
  <c r="BO16" i="3" s="1"/>
  <c r="BO17" i="3" s="1"/>
  <c r="BO18" i="3" s="1"/>
  <c r="BO19" i="3" s="1"/>
  <c r="BO20" i="3" s="1"/>
  <c r="BO21" i="3" s="1"/>
  <c r="CD42" i="3"/>
  <c r="BO135" i="3"/>
  <c r="BO136" i="3" s="1"/>
  <c r="BO137" i="3" s="1"/>
  <c r="BO138" i="3" s="1"/>
  <c r="BO139" i="3" s="1"/>
  <c r="BO140" i="3" s="1"/>
  <c r="BP107" i="3"/>
  <c r="BQ41" i="3"/>
  <c r="BP120" i="3"/>
  <c r="BP112" i="3"/>
  <c r="BQ217" i="3"/>
  <c r="BM18" i="3"/>
  <c r="BM16" i="3"/>
  <c r="BQ346" i="3"/>
  <c r="CA42" i="3"/>
  <c r="CC42" i="3" s="1"/>
  <c r="CE42" i="3" s="1"/>
  <c r="BQ112" i="3"/>
  <c r="CA51" i="3"/>
  <c r="CC51" i="3" s="1"/>
  <c r="CE51" i="3" s="1"/>
  <c r="CD46" i="3"/>
  <c r="BQ339" i="3"/>
  <c r="CA50" i="3"/>
  <c r="CC50" i="3" s="1"/>
  <c r="CE50" i="3" s="1"/>
  <c r="BP91" i="3"/>
  <c r="BP72" i="3"/>
  <c r="BM273" i="3"/>
  <c r="BQ273" i="3"/>
  <c r="BM260" i="3"/>
  <c r="BQ260" i="3"/>
  <c r="CA40" i="3"/>
  <c r="CC40" i="3" s="1"/>
  <c r="CE40" i="3" s="1"/>
  <c r="BQ268" i="3"/>
  <c r="CD39" i="3"/>
  <c r="BM137" i="3"/>
  <c r="BQ137" i="3"/>
  <c r="N9" i="7"/>
  <c r="N2" i="7" s="1"/>
  <c r="BP77" i="3"/>
  <c r="BQ257" i="3"/>
  <c r="M25" i="5"/>
  <c r="N25" i="5" s="1"/>
  <c r="CD43" i="3"/>
  <c r="BP102" i="3"/>
  <c r="L18" i="5"/>
  <c r="BQ48" i="3"/>
  <c r="CA38" i="3"/>
  <c r="CC38" i="3" s="1"/>
  <c r="CE38" i="3" s="1"/>
  <c r="BQ348" i="3"/>
  <c r="L24" i="5"/>
  <c r="L37" i="5"/>
  <c r="K21" i="4"/>
  <c r="J21" i="4"/>
  <c r="B17" i="7"/>
  <c r="L56" i="5"/>
  <c r="L39" i="5"/>
  <c r="L64" i="5"/>
  <c r="BQ75" i="3"/>
  <c r="L13" i="1"/>
  <c r="M13" i="1"/>
  <c r="O13" i="1"/>
  <c r="CD14" i="3"/>
  <c r="BQ366" i="3"/>
  <c r="BM366" i="3"/>
  <c r="BM306" i="3"/>
  <c r="BQ306" i="3"/>
  <c r="BQ294" i="3"/>
  <c r="BM294" i="3"/>
  <c r="BQ282" i="3"/>
  <c r="BM282" i="3"/>
  <c r="BM258" i="3"/>
  <c r="BQ258" i="3"/>
  <c r="BQ4" i="3"/>
  <c r="M19" i="5"/>
  <c r="N19" i="5" s="1"/>
  <c r="CD48" i="3"/>
  <c r="CA43" i="3"/>
  <c r="CC43" i="3" s="1"/>
  <c r="CE43" i="3" s="1"/>
  <c r="CD33" i="3"/>
  <c r="L23" i="5"/>
  <c r="L5" i="5"/>
  <c r="L44" i="5"/>
  <c r="L27" i="5"/>
  <c r="BQ123" i="3"/>
  <c r="BO99" i="3"/>
  <c r="BO100" i="3" s="1"/>
  <c r="BO101" i="3" s="1"/>
  <c r="BO102" i="3" s="1"/>
  <c r="BO103" i="3" s="1"/>
  <c r="BO104" i="3" s="1"/>
  <c r="BO105" i="3" s="1"/>
  <c r="BM99" i="3"/>
  <c r="BQ269" i="3"/>
  <c r="BQ270" i="3"/>
  <c r="M21" i="4"/>
  <c r="P18" i="5"/>
  <c r="BO86" i="3"/>
  <c r="BO87" i="3" s="1"/>
  <c r="BO88" i="3" s="1"/>
  <c r="BO89" i="3" s="1"/>
  <c r="BO90" i="3" s="1"/>
  <c r="BO91" i="3" s="1"/>
  <c r="BM86" i="3"/>
  <c r="BP74" i="3"/>
  <c r="BQ291" i="3"/>
  <c r="BQ267" i="3"/>
  <c r="BQ278" i="3"/>
  <c r="BQ242" i="3"/>
  <c r="CD37" i="3"/>
  <c r="CD51" i="3"/>
  <c r="CA46" i="3"/>
  <c r="CC46" i="3" s="1"/>
  <c r="CE46" i="3" s="1"/>
  <c r="BQ279" i="3"/>
  <c r="BQ243" i="3"/>
  <c r="CA49" i="3"/>
  <c r="CC49" i="3" s="1"/>
  <c r="CE49" i="3" s="1"/>
  <c r="CD38" i="3"/>
  <c r="CD16" i="3"/>
  <c r="BO23" i="3"/>
  <c r="BO24" i="3" s="1"/>
  <c r="BO25" i="3" s="1"/>
  <c r="BO26" i="3" s="1"/>
  <c r="BO27" i="3" s="1"/>
  <c r="BO28" i="3" s="1"/>
  <c r="BQ335" i="3"/>
  <c r="BM167" i="3"/>
  <c r="CD24" i="3"/>
  <c r="BO169" i="3"/>
  <c r="BQ169" i="3"/>
  <c r="BM169" i="3"/>
  <c r="BQ160" i="3"/>
  <c r="M41" i="5"/>
  <c r="N41" i="5" s="1"/>
  <c r="S23" i="1"/>
  <c r="BP171" i="3"/>
  <c r="BQ163" i="3"/>
  <c r="BM163" i="3"/>
  <c r="BM160" i="3"/>
  <c r="BQ164" i="3"/>
  <c r="BP170" i="3"/>
  <c r="CA25" i="3"/>
  <c r="CC25" i="3" s="1"/>
  <c r="CE25" i="3" s="1"/>
  <c r="BO162" i="3"/>
  <c r="BO163" i="3" s="1"/>
  <c r="BO164" i="3" s="1"/>
  <c r="BO165" i="3" s="1"/>
  <c r="BO166" i="3" s="1"/>
  <c r="BO167" i="3" s="1"/>
  <c r="BO168" i="3" s="1"/>
  <c r="BM162" i="3"/>
  <c r="U22" i="1"/>
  <c r="BQ141" i="3"/>
  <c r="BP184" i="3"/>
  <c r="CA23" i="3"/>
  <c r="BP152" i="3"/>
  <c r="BP183" i="3"/>
  <c r="BM171" i="3"/>
  <c r="BP186" i="3"/>
  <c r="BM146" i="3"/>
  <c r="BP153" i="3"/>
  <c r="CD23" i="3"/>
  <c r="BP154" i="3"/>
  <c r="BQ109" i="3"/>
  <c r="CD17" i="3"/>
  <c r="BM101" i="3"/>
  <c r="BP105" i="3"/>
  <c r="BP99" i="3"/>
  <c r="CD35" i="3"/>
  <c r="BM272" i="3"/>
  <c r="BP93" i="3"/>
  <c r="BM90" i="3"/>
  <c r="CD34" i="3"/>
  <c r="BQ72" i="3"/>
  <c r="CA36" i="3"/>
  <c r="CC36" i="3" s="1"/>
  <c r="CE36" i="3" s="1"/>
  <c r="BQ307" i="3"/>
  <c r="BP66" i="3"/>
  <c r="BM59" i="3"/>
  <c r="BM320" i="3"/>
  <c r="BQ159" i="3"/>
  <c r="BM154" i="3"/>
  <c r="BQ149" i="3"/>
  <c r="BM115" i="3"/>
  <c r="BQ113" i="3"/>
  <c r="BP104" i="3"/>
  <c r="BQ101" i="3"/>
  <c r="BQ98" i="3"/>
  <c r="CA11" i="3"/>
  <c r="CC11" i="3" s="1"/>
  <c r="CE11" i="3" s="1"/>
  <c r="CA14" i="3"/>
  <c r="CC14" i="3" s="1"/>
  <c r="CE14" i="3" s="1"/>
  <c r="BP92" i="3"/>
  <c r="BP73" i="3"/>
  <c r="BM83" i="3"/>
  <c r="BM51" i="3"/>
  <c r="M27" i="5"/>
  <c r="N27" i="5" s="1"/>
  <c r="BM237" i="3"/>
  <c r="BQ50" i="3"/>
  <c r="BQ30" i="3"/>
  <c r="BM14" i="3"/>
  <c r="BM358" i="3"/>
  <c r="M44" i="5"/>
  <c r="N44" i="5" s="1"/>
  <c r="BO141" i="3"/>
  <c r="BO142" i="3" s="1"/>
  <c r="BO143" i="3" s="1"/>
  <c r="BO144" i="3" s="1"/>
  <c r="BO145" i="3" s="1"/>
  <c r="BO146" i="3" s="1"/>
  <c r="BO147" i="3" s="1"/>
  <c r="BP129" i="3"/>
  <c r="BQ103" i="3"/>
  <c r="BP98" i="3"/>
  <c r="M32" i="5"/>
  <c r="N32" i="5" s="1"/>
  <c r="BQ322" i="3"/>
  <c r="BP70" i="3"/>
  <c r="CD13" i="3"/>
  <c r="BP89" i="3"/>
  <c r="BM249" i="3"/>
  <c r="BP94" i="3"/>
  <c r="CD41" i="3"/>
  <c r="CA44" i="3"/>
  <c r="CC44" i="3" s="1"/>
  <c r="CE44" i="3" s="1"/>
  <c r="CA35" i="3"/>
  <c r="CC35" i="3" s="1"/>
  <c r="CE35" i="3" s="1"/>
  <c r="BQ343" i="3"/>
  <c r="BM50" i="3"/>
  <c r="BM321" i="3"/>
  <c r="BQ213" i="3"/>
  <c r="BM296" i="3"/>
  <c r="BQ281" i="3"/>
  <c r="BM242" i="3"/>
  <c r="BM309" i="3"/>
  <c r="BM25" i="3"/>
  <c r="BO184" i="3"/>
  <c r="BO185" i="3" s="1"/>
  <c r="BO186" i="3" s="1"/>
  <c r="BO187" i="3" s="1"/>
  <c r="BQ165" i="3"/>
  <c r="BO155" i="3"/>
  <c r="BO156" i="3" s="1"/>
  <c r="BO157" i="3" s="1"/>
  <c r="BO158" i="3" s="1"/>
  <c r="BO159" i="3" s="1"/>
  <c r="BO160" i="3" s="1"/>
  <c r="BO161" i="3" s="1"/>
  <c r="BP150" i="3"/>
  <c r="BP155" i="3"/>
  <c r="BP69" i="3"/>
  <c r="BP86" i="3"/>
  <c r="BP97" i="3"/>
  <c r="CD40" i="3"/>
  <c r="BQ225" i="3"/>
  <c r="BQ356" i="3"/>
  <c r="BQ308" i="3"/>
  <c r="BM340" i="3"/>
  <c r="BP83" i="3"/>
  <c r="BO51" i="3"/>
  <c r="BO52" i="3" s="1"/>
  <c r="BO53" i="3" s="1"/>
  <c r="BO54" i="3" s="1"/>
  <c r="BO55" i="3" s="1"/>
  <c r="BO56" i="3" s="1"/>
  <c r="BQ179" i="3"/>
  <c r="BP187" i="3"/>
  <c r="BP178" i="3"/>
  <c r="BP149" i="3"/>
  <c r="BO127" i="3"/>
  <c r="BO128" i="3" s="1"/>
  <c r="BO129" i="3" s="1"/>
  <c r="BO130" i="3" s="1"/>
  <c r="BO131" i="3" s="1"/>
  <c r="BO132" i="3" s="1"/>
  <c r="BO133" i="3" s="1"/>
  <c r="BP131" i="3"/>
  <c r="BQ108" i="3"/>
  <c r="BP101" i="3"/>
  <c r="BQ285" i="3"/>
  <c r="M22" i="5"/>
  <c r="N22" i="5" s="1"/>
  <c r="BQ229" i="3"/>
  <c r="BP78" i="3"/>
  <c r="CD36" i="3"/>
  <c r="CA52" i="3"/>
  <c r="CC52" i="3" s="1"/>
  <c r="CE52" i="3" s="1"/>
  <c r="BQ85" i="3"/>
  <c r="BQ9" i="3"/>
  <c r="BP176" i="3"/>
  <c r="BQ134" i="3"/>
  <c r="BQ125" i="3"/>
  <c r="BQ120" i="3"/>
  <c r="BQ118" i="3"/>
  <c r="M34" i="5"/>
  <c r="N34" i="5" s="1"/>
  <c r="BM112" i="3"/>
  <c r="BQ43" i="3"/>
  <c r="BP82" i="3"/>
  <c r="CA12" i="3"/>
  <c r="CC12" i="3" s="1"/>
  <c r="CE12" i="3" s="1"/>
  <c r="CA13" i="3"/>
  <c r="CC13" i="3" s="1"/>
  <c r="CE13" i="3" s="1"/>
  <c r="CD45" i="3"/>
  <c r="BQ228" i="3"/>
  <c r="BQ333" i="3"/>
  <c r="BM233" i="3"/>
  <c r="BP90" i="3"/>
  <c r="BQ250" i="3"/>
  <c r="CD52" i="3"/>
  <c r="BQ253" i="3"/>
  <c r="C17" i="2"/>
  <c r="BM332" i="3"/>
  <c r="BM213" i="3"/>
  <c r="BQ16" i="3"/>
  <c r="BM149" i="3"/>
  <c r="BQ148" i="3"/>
  <c r="BQ145" i="3"/>
  <c r="BM141" i="3"/>
  <c r="BP117" i="3"/>
  <c r="BQ100" i="3"/>
  <c r="BQ59" i="3"/>
  <c r="BP87" i="3"/>
  <c r="BP75" i="3"/>
  <c r="BQ92" i="3"/>
  <c r="CD44" i="3"/>
  <c r="BQ152" i="3"/>
  <c r="BP68" i="3"/>
  <c r="CD11" i="3"/>
  <c r="BP79" i="3"/>
  <c r="M29" i="5"/>
  <c r="N29" i="5" s="1"/>
  <c r="M31" i="5"/>
  <c r="N31" i="5" s="1"/>
  <c r="M23" i="5"/>
  <c r="N23" i="5" s="1"/>
  <c r="M20" i="5"/>
  <c r="N20" i="5" s="1"/>
  <c r="BP140" i="3"/>
  <c r="BP100" i="3"/>
  <c r="BP88" i="3"/>
  <c r="BQ66" i="3"/>
  <c r="BM72" i="3"/>
  <c r="BQ73" i="3"/>
  <c r="BP95" i="3"/>
  <c r="BQ261" i="3"/>
  <c r="CD12" i="3"/>
  <c r="BM37" i="3"/>
  <c r="BQ87" i="3"/>
  <c r="BQ51" i="3"/>
  <c r="Q25" i="1"/>
  <c r="BQ172" i="3"/>
  <c r="M43" i="5"/>
  <c r="N43" i="5" s="1"/>
  <c r="BM172" i="3"/>
  <c r="U23" i="1"/>
  <c r="T21" i="1"/>
  <c r="T22" i="1"/>
  <c r="T23" i="1"/>
  <c r="U24" i="1"/>
  <c r="S21" i="1"/>
  <c r="S22" i="1"/>
  <c r="T24" i="1"/>
  <c r="U25" i="1"/>
  <c r="Q21" i="1"/>
  <c r="T25" i="1"/>
  <c r="S24" i="1"/>
  <c r="Q24" i="1"/>
  <c r="S25" i="1"/>
  <c r="BP179" i="3"/>
  <c r="BQ178" i="3"/>
  <c r="BP182" i="3"/>
  <c r="BP181" i="3"/>
  <c r="CA27" i="3"/>
  <c r="CC27" i="3" s="1"/>
  <c r="CE27" i="3" s="1"/>
  <c r="BQ107" i="3"/>
  <c r="BM107" i="3"/>
  <c r="CD27" i="3"/>
  <c r="BQ180" i="3"/>
  <c r="BP185" i="3"/>
  <c r="BP180" i="3"/>
  <c r="BP175" i="3"/>
  <c r="BP173" i="3"/>
  <c r="BP169" i="3"/>
  <c r="BP165" i="3"/>
  <c r="BP136" i="3"/>
  <c r="BP172" i="3"/>
  <c r="BQ140" i="3"/>
  <c r="BM140" i="3"/>
  <c r="BQ182" i="3"/>
  <c r="BP177" i="3"/>
  <c r="CD19" i="3"/>
  <c r="BQ176" i="3"/>
  <c r="BP164" i="3"/>
  <c r="BP148" i="3"/>
  <c r="BP147" i="3"/>
  <c r="BP142" i="3"/>
  <c r="BP143" i="3"/>
  <c r="CD22" i="3"/>
  <c r="CA22" i="3"/>
  <c r="CC22" i="3" s="1"/>
  <c r="CE22" i="3" s="1"/>
  <c r="BJ104" i="3"/>
  <c r="BP158" i="3"/>
  <c r="CA21" i="3"/>
  <c r="CC21" i="3" s="1"/>
  <c r="CE21" i="3" s="1"/>
  <c r="BP141" i="3"/>
  <c r="CD21" i="3"/>
  <c r="BP139" i="3"/>
  <c r="BQ124" i="3"/>
  <c r="BM124" i="3"/>
  <c r="M36" i="5"/>
  <c r="N36" i="5" s="1"/>
  <c r="BQ177" i="3"/>
  <c r="BP168" i="3"/>
  <c r="BM156" i="3"/>
  <c r="BM182" i="3"/>
  <c r="BM176" i="3"/>
  <c r="CA26" i="3"/>
  <c r="BQ158" i="3"/>
  <c r="BP135" i="3"/>
  <c r="BQ131" i="3"/>
  <c r="BM131" i="3"/>
  <c r="M37" i="5"/>
  <c r="N37" i="5" s="1"/>
  <c r="BQ181" i="3"/>
  <c r="BO177" i="3"/>
  <c r="BO178" i="3" s="1"/>
  <c r="BO179" i="3" s="1"/>
  <c r="CD26" i="3"/>
  <c r="BP167" i="3"/>
  <c r="BP163" i="3"/>
  <c r="BQ143" i="3"/>
  <c r="BP144" i="3"/>
  <c r="BP145" i="3"/>
  <c r="BP124" i="3"/>
  <c r="BP127" i="3"/>
  <c r="BP126" i="3"/>
  <c r="BP128" i="3"/>
  <c r="BQ168" i="3"/>
  <c r="CD25" i="3"/>
  <c r="BP166" i="3"/>
  <c r="CA24" i="3"/>
  <c r="CC24" i="3" s="1"/>
  <c r="CE24" i="3" s="1"/>
  <c r="BM133" i="3"/>
  <c r="BQ133" i="3"/>
  <c r="BP122" i="3"/>
  <c r="BM152" i="3"/>
  <c r="BP160" i="3"/>
  <c r="BQ150" i="3"/>
  <c r="BP133" i="3"/>
  <c r="BQ121" i="3"/>
  <c r="BO121" i="3"/>
  <c r="BO122" i="3" s="1"/>
  <c r="BO123" i="3" s="1"/>
  <c r="BO124" i="3" s="1"/>
  <c r="BO125" i="3" s="1"/>
  <c r="BO126" i="3" s="1"/>
  <c r="CA17" i="3"/>
  <c r="CC17" i="3" s="1"/>
  <c r="CE17" i="3" s="1"/>
  <c r="BP161" i="3"/>
  <c r="BP151" i="3"/>
  <c r="BP134" i="3"/>
  <c r="BP138" i="3"/>
  <c r="BM125" i="3"/>
  <c r="BP123" i="3"/>
  <c r="BP121" i="3"/>
  <c r="BP119" i="3"/>
  <c r="BP118" i="3"/>
  <c r="BP111" i="3"/>
  <c r="BM130" i="3"/>
  <c r="BP113" i="3"/>
  <c r="BP110" i="3"/>
  <c r="BP159" i="3"/>
  <c r="BQ127" i="3"/>
  <c r="BO106" i="3"/>
  <c r="BO107" i="3" s="1"/>
  <c r="BO108" i="3" s="1"/>
  <c r="BO109" i="3" s="1"/>
  <c r="BO110" i="3" s="1"/>
  <c r="BO111" i="3" s="1"/>
  <c r="BO112" i="3" s="1"/>
  <c r="BQ106" i="3"/>
  <c r="BM106" i="3"/>
  <c r="BM102" i="3"/>
  <c r="BQ102" i="3"/>
  <c r="BM159" i="3"/>
  <c r="M38" i="5"/>
  <c r="N38" i="5" s="1"/>
  <c r="BM139" i="3"/>
  <c r="BP146" i="3"/>
  <c r="BP162" i="3"/>
  <c r="BQ155" i="3"/>
  <c r="BQ142" i="3"/>
  <c r="BP137" i="3"/>
  <c r="BQ135" i="3"/>
  <c r="BM126" i="3"/>
  <c r="BM121" i="3"/>
  <c r="CA18" i="3"/>
  <c r="CC18" i="3" s="1"/>
  <c r="CE18" i="3" s="1"/>
  <c r="BM103" i="3"/>
  <c r="BP156" i="3"/>
  <c r="M39" i="5"/>
  <c r="N39" i="5" s="1"/>
  <c r="BM142" i="3"/>
  <c r="CA20" i="3"/>
  <c r="CC20" i="3" s="1"/>
  <c r="CE20" i="3" s="1"/>
  <c r="CD20" i="3"/>
  <c r="BP132" i="3"/>
  <c r="CA19" i="3"/>
  <c r="CC19" i="3" s="1"/>
  <c r="CE19" i="3" s="1"/>
  <c r="BM144" i="3"/>
  <c r="BQ151" i="3"/>
  <c r="BQ129" i="3"/>
  <c r="BQ122" i="3"/>
  <c r="BQ110" i="3"/>
  <c r="BP114" i="3"/>
  <c r="BP116" i="3"/>
  <c r="BM105" i="3"/>
  <c r="BQ105" i="3"/>
  <c r="BM132" i="3"/>
  <c r="BM120" i="3"/>
  <c r="BP125" i="3"/>
  <c r="BQ116" i="3"/>
  <c r="BO114" i="3"/>
  <c r="BO115" i="3" s="1"/>
  <c r="BO116" i="3" s="1"/>
  <c r="BO117" i="3" s="1"/>
  <c r="BO118" i="3" s="1"/>
  <c r="BO119" i="3" s="1"/>
  <c r="BQ114" i="3"/>
  <c r="CA16" i="3"/>
  <c r="CC16" i="3" s="1"/>
  <c r="CE16" i="3" s="1"/>
  <c r="M33" i="5"/>
  <c r="N33" i="5" s="1"/>
  <c r="CD18" i="3"/>
  <c r="O20" i="5"/>
  <c r="P19" i="5"/>
  <c r="BM104" i="3"/>
  <c r="BP106" i="3"/>
  <c r="BQ115" i="3"/>
  <c r="BP109" i="3"/>
  <c r="BP115" i="3"/>
  <c r="BT3" i="3"/>
  <c r="BP108" i="3"/>
  <c r="BP103" i="3"/>
  <c r="CA15" i="3"/>
  <c r="CC15" i="3" s="1"/>
  <c r="CE15" i="3" s="1"/>
  <c r="CD15" i="3"/>
  <c r="BL189" i="3"/>
  <c r="B5" i="7" l="1"/>
  <c r="C12" i="7" s="1"/>
  <c r="B3" i="7" s="1"/>
  <c r="AK4" i="4"/>
  <c r="AL4" i="4" s="1"/>
  <c r="AM4" i="4" s="1"/>
  <c r="AP4" i="3"/>
  <c r="AO4" i="3" s="1"/>
  <c r="AS4" i="3" s="1"/>
  <c r="M42" i="5"/>
  <c r="N42" i="5" s="1"/>
  <c r="CC26" i="3"/>
  <c r="CE26" i="3" s="1"/>
  <c r="BM170" i="3"/>
  <c r="BO170" i="3"/>
  <c r="BO171" i="3" s="1"/>
  <c r="BO172" i="3" s="1"/>
  <c r="BO173" i="3" s="1"/>
  <c r="BO174" i="3" s="1"/>
  <c r="BO175" i="3" s="1"/>
  <c r="P3" i="3"/>
  <c r="T3" i="3" s="1"/>
  <c r="AJ7" i="4"/>
  <c r="F3" i="3"/>
  <c r="J3" i="3" s="1"/>
  <c r="R22" i="1"/>
  <c r="B7" i="7"/>
  <c r="B6" i="7" s="1"/>
  <c r="L4" i="4"/>
  <c r="O5" i="4"/>
  <c r="B12" i="7"/>
  <c r="B4" i="7" s="1"/>
  <c r="Q54" i="4"/>
  <c r="BQ153" i="3"/>
  <c r="CC23" i="3"/>
  <c r="CE23" i="3" s="1"/>
  <c r="M40" i="5"/>
  <c r="N40" i="5" s="1"/>
  <c r="BO153" i="3"/>
  <c r="BO154" i="3" s="1"/>
  <c r="K56" i="4"/>
  <c r="P55" i="4"/>
  <c r="M55" i="4"/>
  <c r="L55" i="4" s="1"/>
  <c r="N55" i="4"/>
  <c r="O55" i="4"/>
  <c r="Z3" i="3"/>
  <c r="AD3" i="3" s="1"/>
  <c r="AK3" i="4"/>
  <c r="AL3" i="4" s="1"/>
  <c r="AM3" i="4" s="1"/>
  <c r="AZ4" i="3"/>
  <c r="AY4" i="3" s="1"/>
  <c r="BC4" i="3" s="1"/>
  <c r="V4" i="3"/>
  <c r="V5" i="3" s="1"/>
  <c r="V6" i="3" s="1"/>
  <c r="V7" i="3" s="1"/>
  <c r="V8" i="3" s="1"/>
  <c r="V9" i="3" s="1"/>
  <c r="V10" i="3" s="1"/>
  <c r="K1" i="5"/>
  <c r="D8" i="7"/>
  <c r="M10" i="7"/>
  <c r="N10" i="7"/>
  <c r="R21" i="1"/>
  <c r="O1" i="5"/>
  <c r="R25" i="1"/>
  <c r="Q23" i="1"/>
  <c r="R24" i="1"/>
  <c r="R23" i="1"/>
  <c r="Q3" i="1"/>
  <c r="BM188" i="3"/>
  <c r="T5" i="1"/>
  <c r="BK189" i="3"/>
  <c r="BT5" i="3"/>
  <c r="BU6" i="3"/>
  <c r="BT6" i="3" s="1"/>
  <c r="K3" i="3"/>
  <c r="O3" i="3" s="1"/>
  <c r="Q6" i="1"/>
  <c r="M31" i="1"/>
  <c r="Q31" i="1" s="1"/>
  <c r="T6" i="1"/>
  <c r="AJ3" i="3"/>
  <c r="AN3" i="3" s="1"/>
  <c r="AT3" i="3"/>
  <c r="AX3" i="3" s="1"/>
  <c r="AF5" i="3"/>
  <c r="AE5" i="3" s="1"/>
  <c r="AI5" i="3" s="1"/>
  <c r="R36" i="1"/>
  <c r="Q11" i="1"/>
  <c r="J23" i="4"/>
  <c r="S30" i="1"/>
  <c r="M27" i="1"/>
  <c r="L27" i="1" s="1"/>
  <c r="Q2" i="1"/>
  <c r="R2" i="1" a="1"/>
  <c r="R2" i="1" s="1"/>
  <c r="V2" i="1" s="1"/>
  <c r="W2" i="1" s="1"/>
  <c r="R9" i="1" a="1"/>
  <c r="R9" i="1" s="1"/>
  <c r="V9" i="1" s="1"/>
  <c r="W9" i="1" s="1"/>
  <c r="T4" i="1"/>
  <c r="M29" i="1"/>
  <c r="L29" i="1" s="1"/>
  <c r="Q4" i="1"/>
  <c r="BN2" i="3"/>
  <c r="R37" i="1"/>
  <c r="R10" i="1" a="1"/>
  <c r="R10" i="1" s="1"/>
  <c r="V10" i="1" s="1"/>
  <c r="W10" i="1" s="1"/>
  <c r="Q10" i="1"/>
  <c r="BO39" i="3"/>
  <c r="BO40" i="3" s="1"/>
  <c r="BO41" i="3" s="1"/>
  <c r="BO42" i="3" s="1"/>
  <c r="R33" i="1"/>
  <c r="Q36" i="1"/>
  <c r="BQ39" i="3"/>
  <c r="BM39" i="3"/>
  <c r="CC7" i="3"/>
  <c r="CE7" i="3" s="1"/>
  <c r="R7" i="1" a="1"/>
  <c r="R7" i="1" s="1"/>
  <c r="V7" i="1" s="1"/>
  <c r="W7" i="1" s="1"/>
  <c r="Q7" i="1"/>
  <c r="P14" i="1"/>
  <c r="N14" i="1"/>
  <c r="R34" i="1"/>
  <c r="R35" i="1"/>
  <c r="P23" i="4"/>
  <c r="K23" i="4"/>
  <c r="T8" i="1"/>
  <c r="N22" i="4"/>
  <c r="R8" i="1" a="1"/>
  <c r="R8" i="1" s="1"/>
  <c r="V8" i="1" s="1"/>
  <c r="W8" i="1" s="1"/>
  <c r="M22" i="4"/>
  <c r="M23" i="4"/>
  <c r="P22" i="4"/>
  <c r="J22" i="4"/>
  <c r="K22" i="4"/>
  <c r="N23" i="4"/>
  <c r="AE3" i="3"/>
  <c r="AI3" i="3" s="1"/>
  <c r="R5" i="1" a="1"/>
  <c r="R5" i="1" s="1"/>
  <c r="V5" i="1" s="1"/>
  <c r="W5" i="1" s="1"/>
  <c r="Q5" i="1"/>
  <c r="K24" i="4"/>
  <c r="Q9" i="1"/>
  <c r="B10" i="7"/>
  <c r="BO188" i="3"/>
  <c r="BO189" i="3" s="1"/>
  <c r="S27" i="1"/>
  <c r="S28" i="1"/>
  <c r="M28" i="1"/>
  <c r="L28" i="1" s="1"/>
  <c r="S29" i="1"/>
  <c r="T3" i="1"/>
  <c r="T11" i="1"/>
  <c r="W13" i="1"/>
  <c r="BP188" i="3"/>
  <c r="AT4" i="3"/>
  <c r="AX4" i="3" s="1"/>
  <c r="AU5" i="3"/>
  <c r="AK5" i="3"/>
  <c r="AJ4" i="3"/>
  <c r="AN4" i="3" s="1"/>
  <c r="Q7" i="3"/>
  <c r="G5" i="3"/>
  <c r="L6" i="3"/>
  <c r="AA5" i="3"/>
  <c r="Z4" i="3"/>
  <c r="AD4" i="3" s="1"/>
  <c r="J24" i="4"/>
  <c r="J25" i="4"/>
  <c r="L26" i="4"/>
  <c r="M26" i="4" s="1"/>
  <c r="K25" i="4"/>
  <c r="M25" i="4"/>
  <c r="P24" i="4"/>
  <c r="B18" i="2"/>
  <c r="N24" i="4"/>
  <c r="A19" i="2"/>
  <c r="D18" i="2"/>
  <c r="M24" i="4"/>
  <c r="P25" i="4"/>
  <c r="BQ188" i="3"/>
  <c r="O14" i="1"/>
  <c r="K15" i="1"/>
  <c r="L14" i="1"/>
  <c r="L4" i="5"/>
  <c r="AO3" i="1"/>
  <c r="AH4" i="1"/>
  <c r="AM2" i="1" a="1"/>
  <c r="AM2" i="1" s="1"/>
  <c r="AL2" i="1" a="1"/>
  <c r="AL2" i="1" s="1"/>
  <c r="AJ2" i="1" a="1"/>
  <c r="AJ2" i="1" s="1"/>
  <c r="AA3" i="1"/>
  <c r="AC3" i="1"/>
  <c r="AB3" i="1"/>
  <c r="AG3" i="1"/>
  <c r="Z4" i="1"/>
  <c r="AE3" i="1"/>
  <c r="AF3" i="1"/>
  <c r="AD3" i="1"/>
  <c r="AT3" i="1"/>
  <c r="AV3" i="1" a="1"/>
  <c r="AV3" i="1" s="1"/>
  <c r="AR3" i="1"/>
  <c r="AS3" i="1"/>
  <c r="AU3" i="1"/>
  <c r="AQ3" i="1"/>
  <c r="AP4" i="1"/>
  <c r="AW3" i="1" a="1"/>
  <c r="AW3" i="1" s="1"/>
  <c r="AI2" i="1" a="1"/>
  <c r="AI2" i="1" s="1"/>
  <c r="AK2" i="1" a="1"/>
  <c r="AK2" i="1" s="1"/>
  <c r="BO180" i="3"/>
  <c r="BJ105" i="3"/>
  <c r="BL190" i="3"/>
  <c r="O21" i="5"/>
  <c r="P20" i="5"/>
  <c r="BM189" i="3"/>
  <c r="O30" i="1"/>
  <c r="L30" i="1"/>
  <c r="AP5" i="3" l="1"/>
  <c r="AP6" i="3" s="1"/>
  <c r="P4" i="3"/>
  <c r="T4" i="3" s="1"/>
  <c r="F4" i="3"/>
  <c r="J4" i="3" s="1"/>
  <c r="AZ5" i="3"/>
  <c r="AZ6" i="3" s="1"/>
  <c r="BK190" i="3"/>
  <c r="Q55" i="4"/>
  <c r="K57" i="4"/>
  <c r="N56" i="4"/>
  <c r="M56" i="4"/>
  <c r="L56" i="4" s="1"/>
  <c r="P56" i="4"/>
  <c r="O56" i="4"/>
  <c r="U4" i="3"/>
  <c r="Y4" i="3" s="1"/>
  <c r="AF6" i="3"/>
  <c r="AE6" i="3" s="1"/>
  <c r="AI6" i="3" s="1"/>
  <c r="BU7" i="3"/>
  <c r="BU8" i="3" s="1"/>
  <c r="L31" i="1"/>
  <c r="N31" i="1" s="1"/>
  <c r="O31" i="1"/>
  <c r="BQ189" i="3"/>
  <c r="BP189" i="3"/>
  <c r="BL191" i="3"/>
  <c r="BN3" i="3"/>
  <c r="K4" i="3"/>
  <c r="O4" i="3" s="1"/>
  <c r="O27" i="1"/>
  <c r="O29" i="1"/>
  <c r="Q29" i="1"/>
  <c r="O28" i="1"/>
  <c r="L27" i="4"/>
  <c r="N27" i="4" s="1"/>
  <c r="N26" i="4"/>
  <c r="P26" i="4"/>
  <c r="K26" i="4"/>
  <c r="AJ3" i="1" a="1"/>
  <c r="AJ3" i="1" s="1"/>
  <c r="P21" i="4"/>
  <c r="J26" i="4"/>
  <c r="B2" i="7"/>
  <c r="D2" i="7" s="1"/>
  <c r="AM3" i="1" a="1"/>
  <c r="AM3" i="1" s="1"/>
  <c r="AL3" i="1" a="1"/>
  <c r="AL3" i="1" s="1"/>
  <c r="AA6" i="3"/>
  <c r="Z5" i="3"/>
  <c r="AD5" i="3" s="1"/>
  <c r="L7" i="3"/>
  <c r="AK6" i="3"/>
  <c r="AJ5" i="3"/>
  <c r="AN5" i="3" s="1"/>
  <c r="V11" i="3"/>
  <c r="AT5" i="3"/>
  <c r="AX5" i="3" s="1"/>
  <c r="AU6" i="3"/>
  <c r="G6" i="3"/>
  <c r="Q8" i="3"/>
  <c r="B19" i="2"/>
  <c r="C19" i="2"/>
  <c r="A20" i="2"/>
  <c r="D19" i="2"/>
  <c r="O15" i="1"/>
  <c r="L15" i="1"/>
  <c r="K16" i="1"/>
  <c r="N15" i="1"/>
  <c r="P15" i="1"/>
  <c r="M15" i="1"/>
  <c r="AK3" i="1" a="1"/>
  <c r="AK3" i="1" s="1"/>
  <c r="AI3" i="1" a="1"/>
  <c r="AI3" i="1" s="1"/>
  <c r="AX3" i="1"/>
  <c r="AH5" i="1"/>
  <c r="AO4" i="1"/>
  <c r="AG4" i="1"/>
  <c r="AF4" i="1"/>
  <c r="Z5" i="1"/>
  <c r="AE4" i="1"/>
  <c r="AB4" i="1"/>
  <c r="AD4" i="1"/>
  <c r="AA4" i="1"/>
  <c r="AC4" i="1"/>
  <c r="AS4" i="1"/>
  <c r="AT4" i="1"/>
  <c r="AP5" i="1"/>
  <c r="AU4" i="1"/>
  <c r="AV4" i="1" a="1"/>
  <c r="AV4" i="1" s="1"/>
  <c r="AW4" i="1" a="1"/>
  <c r="AW4" i="1" s="1"/>
  <c r="AR4" i="1"/>
  <c r="AQ4" i="1"/>
  <c r="N30" i="1"/>
  <c r="N29" i="1"/>
  <c r="N27" i="1"/>
  <c r="BJ106" i="3"/>
  <c r="P21" i="5"/>
  <c r="O22" i="5"/>
  <c r="N28" i="1"/>
  <c r="BO181" i="3"/>
  <c r="BM190" i="3"/>
  <c r="BO190" i="3"/>
  <c r="AO5" i="3" l="1"/>
  <c r="AS5" i="3" s="1"/>
  <c r="BL192" i="3"/>
  <c r="BL193" i="3" s="1"/>
  <c r="P5" i="3"/>
  <c r="T5" i="3" s="1"/>
  <c r="F5" i="3"/>
  <c r="J5" i="3" s="1"/>
  <c r="BP190" i="3"/>
  <c r="AF7" i="3"/>
  <c r="AE7" i="3" s="1"/>
  <c r="AI7" i="3" s="1"/>
  <c r="AY5" i="3"/>
  <c r="BC5" i="3" s="1"/>
  <c r="BQ190" i="3"/>
  <c r="BK191" i="3"/>
  <c r="CD28" i="3"/>
  <c r="CA28" i="3"/>
  <c r="CC28" i="3" s="1"/>
  <c r="CE28" i="3" s="1"/>
  <c r="Q56" i="4"/>
  <c r="K58" i="4"/>
  <c r="O57" i="4"/>
  <c r="P57" i="4"/>
  <c r="M57" i="4"/>
  <c r="L57" i="4" s="1"/>
  <c r="N57" i="4"/>
  <c r="U5" i="3"/>
  <c r="U6" i="3" s="1"/>
  <c r="Y6" i="3" s="1"/>
  <c r="BT7" i="3"/>
  <c r="J27" i="4"/>
  <c r="BO191" i="3"/>
  <c r="BM191" i="3"/>
  <c r="K27" i="4"/>
  <c r="P27" i="4"/>
  <c r="BN4" i="3"/>
  <c r="K5" i="3"/>
  <c r="O5" i="3" s="1"/>
  <c r="L28" i="4"/>
  <c r="K28" i="4" s="1"/>
  <c r="AK4" i="1" a="1"/>
  <c r="AK4" i="1" s="1"/>
  <c r="M27" i="4"/>
  <c r="AP7" i="3"/>
  <c r="AO6" i="3"/>
  <c r="AS6" i="3" s="1"/>
  <c r="AZ7" i="3"/>
  <c r="AY6" i="3"/>
  <c r="BC6" i="3" s="1"/>
  <c r="AM4" i="1" a="1"/>
  <c r="AM4" i="1" s="1"/>
  <c r="AT6" i="3"/>
  <c r="AX6" i="3" s="1"/>
  <c r="AU7" i="3"/>
  <c r="AL4" i="1" a="1"/>
  <c r="AL4" i="1" s="1"/>
  <c r="Q9" i="3"/>
  <c r="V12" i="3"/>
  <c r="G7" i="3"/>
  <c r="AK7" i="3"/>
  <c r="AJ6" i="3"/>
  <c r="AN6" i="3" s="1"/>
  <c r="L8" i="3"/>
  <c r="AJ4" i="1" a="1"/>
  <c r="AJ4" i="1" s="1"/>
  <c r="AA7" i="3"/>
  <c r="Z6" i="3"/>
  <c r="AD6" i="3" s="1"/>
  <c r="C20" i="2"/>
  <c r="A21" i="2"/>
  <c r="D20" i="2"/>
  <c r="B20" i="2"/>
  <c r="L16" i="1"/>
  <c r="P16" i="1"/>
  <c r="N16" i="1"/>
  <c r="M16" i="1"/>
  <c r="K17" i="1"/>
  <c r="O16" i="1"/>
  <c r="AX4" i="1"/>
  <c r="AI4" i="1" a="1"/>
  <c r="AI4" i="1" s="1"/>
  <c r="AG5" i="1"/>
  <c r="AC5" i="1"/>
  <c r="AF5" i="1"/>
  <c r="Z6" i="1"/>
  <c r="AB5" i="1"/>
  <c r="AA5" i="1"/>
  <c r="AD5" i="1"/>
  <c r="AE5" i="1"/>
  <c r="AW5" i="1" a="1"/>
  <c r="AW5" i="1" s="1"/>
  <c r="AU5" i="1"/>
  <c r="AQ5" i="1"/>
  <c r="AR5" i="1"/>
  <c r="AT5" i="1"/>
  <c r="AS5" i="1"/>
  <c r="AK5" i="1" s="1" a="1"/>
  <c r="AK5" i="1" s="1"/>
  <c r="AP6" i="1"/>
  <c r="AV5" i="1" a="1"/>
  <c r="AV5" i="1" s="1"/>
  <c r="AH6" i="1"/>
  <c r="AO5" i="1"/>
  <c r="BU9" i="3"/>
  <c r="BT8" i="3"/>
  <c r="W14" i="1"/>
  <c r="P22" i="5"/>
  <c r="O23" i="5"/>
  <c r="BO182" i="3"/>
  <c r="BJ107" i="3"/>
  <c r="P6" i="3" l="1"/>
  <c r="T6" i="3" s="1"/>
  <c r="BM192" i="3"/>
  <c r="BL194" i="3"/>
  <c r="F6" i="3"/>
  <c r="J6" i="3" s="1"/>
  <c r="AF8" i="3"/>
  <c r="AF9" i="3" s="1"/>
  <c r="AM5" i="1" a="1"/>
  <c r="AM5" i="1" s="1"/>
  <c r="BM193" i="3"/>
  <c r="Y5" i="3"/>
  <c r="BN5" i="3" s="1"/>
  <c r="U7" i="3"/>
  <c r="Y7" i="3" s="1"/>
  <c r="AJ5" i="1" a="1"/>
  <c r="AJ5" i="1" s="1"/>
  <c r="M45" i="5"/>
  <c r="N45" i="5" s="1"/>
  <c r="BP191" i="3"/>
  <c r="BQ191" i="3"/>
  <c r="BK192" i="3"/>
  <c r="BO192" i="3"/>
  <c r="Q57" i="4"/>
  <c r="M58" i="4"/>
  <c r="L58" i="4" s="1"/>
  <c r="K59" i="4"/>
  <c r="N58" i="4"/>
  <c r="O58" i="4"/>
  <c r="P58" i="4"/>
  <c r="J28" i="4"/>
  <c r="L29" i="4"/>
  <c r="P29" i="4" s="1"/>
  <c r="N28" i="4"/>
  <c r="P28" i="4"/>
  <c r="K6" i="3"/>
  <c r="O6" i="3" s="1"/>
  <c r="M28" i="4"/>
  <c r="AL5" i="1" a="1"/>
  <c r="AL5" i="1" s="1"/>
  <c r="AP8" i="3"/>
  <c r="AO7" i="3"/>
  <c r="AS7" i="3" s="1"/>
  <c r="Q10" i="3"/>
  <c r="L9" i="3"/>
  <c r="AJ7" i="3"/>
  <c r="AN7" i="3" s="1"/>
  <c r="AK8" i="3"/>
  <c r="AT7" i="3"/>
  <c r="AX7" i="3" s="1"/>
  <c r="AU8" i="3"/>
  <c r="G8" i="3"/>
  <c r="AA8" i="3"/>
  <c r="Z7" i="3"/>
  <c r="AD7" i="3" s="1"/>
  <c r="AZ8" i="3"/>
  <c r="AY7" i="3"/>
  <c r="BC7" i="3" s="1"/>
  <c r="V13" i="3"/>
  <c r="D21" i="2"/>
  <c r="C21" i="2"/>
  <c r="B21" i="2"/>
  <c r="A22" i="2"/>
  <c r="M17" i="1"/>
  <c r="P17" i="1"/>
  <c r="O17" i="1"/>
  <c r="L17" i="1"/>
  <c r="K18" i="1"/>
  <c r="N17" i="1"/>
  <c r="AO6" i="1"/>
  <c r="AH7" i="1"/>
  <c r="Z7" i="1"/>
  <c r="AA6" i="1"/>
  <c r="AB6" i="1"/>
  <c r="AD6" i="1"/>
  <c r="AF6" i="1"/>
  <c r="AG6" i="1"/>
  <c r="AE6" i="1"/>
  <c r="AC6" i="1"/>
  <c r="AR6" i="1"/>
  <c r="AU6" i="1"/>
  <c r="AQ6" i="1"/>
  <c r="AT6" i="1"/>
  <c r="AV6" i="1" a="1"/>
  <c r="AV6" i="1" s="1"/>
  <c r="AP7" i="1"/>
  <c r="AS6" i="1"/>
  <c r="AW6" i="1" a="1"/>
  <c r="AW6" i="1" s="1"/>
  <c r="AI5" i="1" a="1"/>
  <c r="AI5" i="1" s="1"/>
  <c r="AX5" i="1"/>
  <c r="BT9" i="3"/>
  <c r="BU10" i="3"/>
  <c r="O24" i="5"/>
  <c r="P23" i="5"/>
  <c r="BJ108" i="3"/>
  <c r="BM194" i="3" l="1"/>
  <c r="P7" i="3"/>
  <c r="P8" i="3" s="1"/>
  <c r="BK193" i="3"/>
  <c r="BL195" i="3"/>
  <c r="AE8" i="3"/>
  <c r="AI8" i="3" s="1"/>
  <c r="F7" i="3"/>
  <c r="J7" i="3" s="1"/>
  <c r="AL6" i="1" a="1"/>
  <c r="AL6" i="1" s="1"/>
  <c r="BO193" i="3"/>
  <c r="U8" i="3"/>
  <c r="Y8" i="3" s="1"/>
  <c r="BQ192" i="3"/>
  <c r="BP192" i="3"/>
  <c r="Q58" i="4"/>
  <c r="M59" i="4"/>
  <c r="L59" i="4" s="1"/>
  <c r="P59" i="4"/>
  <c r="O59" i="4"/>
  <c r="K60" i="4"/>
  <c r="N59" i="4"/>
  <c r="M29" i="4"/>
  <c r="N29" i="4"/>
  <c r="J29" i="4"/>
  <c r="K29" i="4"/>
  <c r="L30" i="4"/>
  <c r="P30" i="4" s="1"/>
  <c r="BN6" i="3"/>
  <c r="K7" i="3"/>
  <c r="O7" i="3" s="1"/>
  <c r="AJ6" i="1" a="1"/>
  <c r="AJ6" i="1" s="1"/>
  <c r="AM6" i="1" a="1"/>
  <c r="AM6" i="1" s="1"/>
  <c r="AK6" i="1" a="1"/>
  <c r="AK6" i="1" s="1"/>
  <c r="AP9" i="3"/>
  <c r="AO8" i="3"/>
  <c r="AS8" i="3" s="1"/>
  <c r="AT8" i="3"/>
  <c r="AX8" i="3" s="1"/>
  <c r="AU9" i="3"/>
  <c r="V14" i="3"/>
  <c r="AK9" i="3"/>
  <c r="AJ8" i="3"/>
  <c r="AN8" i="3" s="1"/>
  <c r="AZ9" i="3"/>
  <c r="AY8" i="3"/>
  <c r="BC8" i="3" s="1"/>
  <c r="L10" i="3"/>
  <c r="Q11" i="3"/>
  <c r="AA9" i="3"/>
  <c r="Z8" i="3"/>
  <c r="AD8" i="3" s="1"/>
  <c r="G9" i="3"/>
  <c r="AF10" i="3"/>
  <c r="AE9" i="3"/>
  <c r="AI9" i="3" s="1"/>
  <c r="A23" i="2"/>
  <c r="D22" i="2"/>
  <c r="B22" i="2"/>
  <c r="C22" i="2"/>
  <c r="P18" i="1"/>
  <c r="N18" i="1"/>
  <c r="L18" i="1"/>
  <c r="M18" i="1"/>
  <c r="K19" i="1"/>
  <c r="O18" i="1"/>
  <c r="AQ7" i="1"/>
  <c r="AT7" i="1"/>
  <c r="AV7" i="1" a="1"/>
  <c r="AV7" i="1" s="1"/>
  <c r="AS7" i="1"/>
  <c r="AR7" i="1"/>
  <c r="AU7" i="1"/>
  <c r="AP8" i="1"/>
  <c r="AW7" i="1" a="1"/>
  <c r="AW7" i="1" s="1"/>
  <c r="AC7" i="1"/>
  <c r="AB7" i="1"/>
  <c r="AE7" i="1"/>
  <c r="AF7" i="1"/>
  <c r="AA7" i="1"/>
  <c r="AG7" i="1"/>
  <c r="Z8" i="1"/>
  <c r="AD7" i="1"/>
  <c r="AH8" i="1"/>
  <c r="AO7" i="1"/>
  <c r="AI6" i="1" a="1"/>
  <c r="AI6" i="1" s="1"/>
  <c r="AX6" i="1"/>
  <c r="P24" i="5"/>
  <c r="O25" i="5"/>
  <c r="BJ109" i="3"/>
  <c r="BT10" i="3"/>
  <c r="BU11" i="3"/>
  <c r="BL196" i="3" l="1"/>
  <c r="BL197" i="3" s="1"/>
  <c r="BK194" i="3"/>
  <c r="T7" i="3"/>
  <c r="BN7" i="3" s="1"/>
  <c r="F8" i="3"/>
  <c r="J8" i="3" s="1"/>
  <c r="BQ193" i="3"/>
  <c r="BK195" i="3"/>
  <c r="BM195" i="3"/>
  <c r="BP193" i="3"/>
  <c r="BO194" i="3"/>
  <c r="U9" i="3"/>
  <c r="Y9" i="3" s="1"/>
  <c r="M60" i="4"/>
  <c r="L60" i="4" s="1"/>
  <c r="K61" i="4"/>
  <c r="O60" i="4"/>
  <c r="N60" i="4"/>
  <c r="P60" i="4"/>
  <c r="Q59" i="4"/>
  <c r="J30" i="4"/>
  <c r="M30" i="4"/>
  <c r="K30" i="4"/>
  <c r="L31" i="4"/>
  <c r="K31" i="4" s="1"/>
  <c r="N30" i="4"/>
  <c r="K8" i="3"/>
  <c r="O8" i="3" s="1"/>
  <c r="AM7" i="1" a="1"/>
  <c r="AM7" i="1" s="1"/>
  <c r="AK7" i="1" a="1"/>
  <c r="AK7" i="1" s="1"/>
  <c r="AJ7" i="1" a="1"/>
  <c r="AJ7" i="1" s="1"/>
  <c r="T8" i="3"/>
  <c r="P9" i="3"/>
  <c r="AP10" i="3"/>
  <c r="AO9" i="3"/>
  <c r="AS9" i="3" s="1"/>
  <c r="AF11" i="3"/>
  <c r="AE10" i="3"/>
  <c r="AI10" i="3" s="1"/>
  <c r="AZ10" i="3"/>
  <c r="AY9" i="3"/>
  <c r="BC9" i="3" s="1"/>
  <c r="G10" i="3"/>
  <c r="AK10" i="3"/>
  <c r="AJ9" i="3"/>
  <c r="AN9" i="3" s="1"/>
  <c r="Z9" i="3"/>
  <c r="AD9" i="3" s="1"/>
  <c r="AA10" i="3"/>
  <c r="V15" i="3"/>
  <c r="Q12" i="3"/>
  <c r="AU10" i="3"/>
  <c r="AT9" i="3"/>
  <c r="AX9" i="3" s="1"/>
  <c r="L11" i="3"/>
  <c r="A24" i="2"/>
  <c r="D23" i="2"/>
  <c r="B23" i="2"/>
  <c r="C23" i="2"/>
  <c r="M19" i="1"/>
  <c r="L19" i="1"/>
  <c r="O19" i="1"/>
  <c r="P19" i="1"/>
  <c r="N19" i="1"/>
  <c r="AO8" i="1"/>
  <c r="AH9" i="1"/>
  <c r="AD8" i="1"/>
  <c r="AC8" i="1"/>
  <c r="AA8" i="1"/>
  <c r="AF8" i="1"/>
  <c r="Z9" i="1"/>
  <c r="AE8" i="1"/>
  <c r="AG8" i="1"/>
  <c r="AB8" i="1"/>
  <c r="AP9" i="1"/>
  <c r="AQ8" i="1"/>
  <c r="AU8" i="1"/>
  <c r="AR8" i="1"/>
  <c r="AV8" i="1" a="1"/>
  <c r="AV8" i="1" s="1"/>
  <c r="AS8" i="1"/>
  <c r="AK8" i="1" s="1" a="1"/>
  <c r="AK8" i="1" s="1"/>
  <c r="AW8" i="1" a="1"/>
  <c r="AW8" i="1" s="1"/>
  <c r="AT8" i="1"/>
  <c r="AL7" i="1" a="1"/>
  <c r="AL7" i="1" s="1"/>
  <c r="AI7" i="1" a="1"/>
  <c r="AI7" i="1" s="1"/>
  <c r="AX7" i="1"/>
  <c r="BJ110" i="3"/>
  <c r="P25" i="5"/>
  <c r="O26" i="5"/>
  <c r="BT11" i="3"/>
  <c r="BU12" i="3"/>
  <c r="BO195" i="3" l="1"/>
  <c r="BQ194" i="3"/>
  <c r="BM196" i="3"/>
  <c r="BP194" i="3"/>
  <c r="BO197" i="3"/>
  <c r="BM197" i="3"/>
  <c r="BL198" i="3"/>
  <c r="BP195" i="3"/>
  <c r="F9" i="3"/>
  <c r="J9" i="3" s="1"/>
  <c r="BQ195" i="3"/>
  <c r="BK196" i="3"/>
  <c r="U10" i="3"/>
  <c r="Y10" i="3" s="1"/>
  <c r="Q60" i="4"/>
  <c r="O61" i="4"/>
  <c r="K62" i="4"/>
  <c r="N61" i="4"/>
  <c r="M61" i="4"/>
  <c r="L61" i="4" s="1"/>
  <c r="P61" i="4"/>
  <c r="L32" i="4"/>
  <c r="L33" i="4" s="1"/>
  <c r="P31" i="4"/>
  <c r="N31" i="4"/>
  <c r="M31" i="4"/>
  <c r="J31" i="4"/>
  <c r="BN8" i="3"/>
  <c r="K9" i="3"/>
  <c r="O9" i="3" s="1"/>
  <c r="AL8" i="1" a="1"/>
  <c r="AL8" i="1" s="1"/>
  <c r="AM8" i="1" a="1"/>
  <c r="AM8" i="1" s="1"/>
  <c r="T9" i="3"/>
  <c r="P10" i="3"/>
  <c r="AP11" i="3"/>
  <c r="AO10" i="3"/>
  <c r="AS10" i="3" s="1"/>
  <c r="AJ8" i="1" a="1"/>
  <c r="AJ8" i="1" s="1"/>
  <c r="L12" i="3"/>
  <c r="AJ10" i="3"/>
  <c r="AN10" i="3" s="1"/>
  <c r="AK11" i="3"/>
  <c r="AU11" i="3"/>
  <c r="AT10" i="3"/>
  <c r="AX10" i="3" s="1"/>
  <c r="G11" i="3"/>
  <c r="Q13" i="3"/>
  <c r="AZ11" i="3"/>
  <c r="AY10" i="3"/>
  <c r="BC10" i="3" s="1"/>
  <c r="V16" i="3"/>
  <c r="Z10" i="3"/>
  <c r="AD10" i="3" s="1"/>
  <c r="AA11" i="3"/>
  <c r="AF12" i="3"/>
  <c r="AE11" i="3"/>
  <c r="AI11" i="3" s="1"/>
  <c r="W17" i="1"/>
  <c r="W18" i="1" s="1"/>
  <c r="C24" i="2"/>
  <c r="B24" i="2"/>
  <c r="A25" i="2"/>
  <c r="D24" i="2"/>
  <c r="AI8" i="1" a="1"/>
  <c r="AI8" i="1" s="1"/>
  <c r="AX8" i="1"/>
  <c r="AU9" i="1"/>
  <c r="AT9" i="1"/>
  <c r="AW9" i="1" a="1"/>
  <c r="AW9" i="1" s="1"/>
  <c r="AV9" i="1" a="1"/>
  <c r="AV9" i="1" s="1"/>
  <c r="AP10" i="1"/>
  <c r="AR9" i="1"/>
  <c r="AS9" i="1"/>
  <c r="AQ9" i="1"/>
  <c r="AA9" i="1"/>
  <c r="AC9" i="1"/>
  <c r="AB9" i="1"/>
  <c r="AG9" i="1"/>
  <c r="AE9" i="1"/>
  <c r="AD9" i="1"/>
  <c r="AF9" i="1"/>
  <c r="Z10" i="1"/>
  <c r="AO9" i="1"/>
  <c r="AH10" i="1"/>
  <c r="BT12" i="3"/>
  <c r="BU13" i="3"/>
  <c r="P26" i="5"/>
  <c r="O27" i="5"/>
  <c r="BJ111" i="3"/>
  <c r="O31" i="4" l="1"/>
  <c r="BO196" i="3"/>
  <c r="O30" i="4" s="1"/>
  <c r="BL199" i="3"/>
  <c r="BM199" i="3" s="1"/>
  <c r="BO198" i="3"/>
  <c r="BM198" i="3"/>
  <c r="BK197" i="3"/>
  <c r="F10" i="3"/>
  <c r="J10" i="3" s="1"/>
  <c r="BQ196" i="3"/>
  <c r="BP196" i="3"/>
  <c r="AM9" i="1" a="1"/>
  <c r="AM9" i="1" s="1"/>
  <c r="U11" i="3"/>
  <c r="U12" i="3" s="1"/>
  <c r="Y12" i="3" s="1"/>
  <c r="Q61" i="4"/>
  <c r="P62" i="4"/>
  <c r="K63" i="4"/>
  <c r="M62" i="4"/>
  <c r="L62" i="4" s="1"/>
  <c r="O62" i="4"/>
  <c r="N62" i="4"/>
  <c r="J32" i="4"/>
  <c r="N32" i="4"/>
  <c r="M32" i="4"/>
  <c r="K32" i="4"/>
  <c r="P32" i="4"/>
  <c r="O32" i="4" s="1"/>
  <c r="BN9" i="3"/>
  <c r="K10" i="3"/>
  <c r="O10" i="3" s="1"/>
  <c r="AJ9" i="1" a="1"/>
  <c r="AJ9" i="1" s="1"/>
  <c r="AL9" i="1" a="1"/>
  <c r="AL9" i="1" s="1"/>
  <c r="AK9" i="1" a="1"/>
  <c r="AK9" i="1" s="1"/>
  <c r="T10" i="3"/>
  <c r="P11" i="3"/>
  <c r="AO11" i="3"/>
  <c r="AS11" i="3" s="1"/>
  <c r="AP12" i="3"/>
  <c r="V17" i="3"/>
  <c r="AU12" i="3"/>
  <c r="AT11" i="3"/>
  <c r="AX11" i="3" s="1"/>
  <c r="Z11" i="3"/>
  <c r="AD11" i="3" s="1"/>
  <c r="AA12" i="3"/>
  <c r="G12" i="3"/>
  <c r="AK12" i="3"/>
  <c r="AJ11" i="3"/>
  <c r="AN11" i="3" s="1"/>
  <c r="AZ12" i="3"/>
  <c r="AY11" i="3"/>
  <c r="BC11" i="3" s="1"/>
  <c r="Q14" i="3"/>
  <c r="L13" i="3"/>
  <c r="AE12" i="3"/>
  <c r="AI12" i="3" s="1"/>
  <c r="AF13" i="3"/>
  <c r="A26" i="2"/>
  <c r="C25" i="2"/>
  <c r="D25" i="2"/>
  <c r="B25" i="2"/>
  <c r="AE10" i="1"/>
  <c r="AD10" i="1"/>
  <c r="AA10" i="1"/>
  <c r="AB10" i="1"/>
  <c r="Z11" i="1"/>
  <c r="AC10" i="1"/>
  <c r="AF10" i="1"/>
  <c r="AG10" i="1"/>
  <c r="AX9" i="1"/>
  <c r="AI9" i="1" a="1"/>
  <c r="AI9" i="1" s="1"/>
  <c r="AO10" i="1"/>
  <c r="AH11" i="1"/>
  <c r="AS10" i="1"/>
  <c r="AQ10" i="1"/>
  <c r="AT10" i="1"/>
  <c r="AR10" i="1"/>
  <c r="AU10" i="1"/>
  <c r="AV10" i="1" a="1"/>
  <c r="AV10" i="1" s="1"/>
  <c r="AW10" i="1" a="1"/>
  <c r="AW10" i="1" s="1"/>
  <c r="AP11" i="1"/>
  <c r="BT13" i="3"/>
  <c r="BU14" i="3"/>
  <c r="BJ112" i="3"/>
  <c r="P27" i="5"/>
  <c r="O28" i="5"/>
  <c r="L34" i="4"/>
  <c r="J33" i="4"/>
  <c r="M33" i="4"/>
  <c r="K33" i="4"/>
  <c r="P33" i="4"/>
  <c r="O33" i="4" s="1"/>
  <c r="N33" i="4"/>
  <c r="O28" i="4" l="1"/>
  <c r="O29" i="4"/>
  <c r="BO199" i="3"/>
  <c r="O27" i="4" s="1"/>
  <c r="BL200" i="3"/>
  <c r="CD29" i="3"/>
  <c r="AJ10" i="1" a="1"/>
  <c r="AJ10" i="1" s="1"/>
  <c r="AL10" i="1" a="1"/>
  <c r="AL10" i="1" s="1"/>
  <c r="F11" i="3"/>
  <c r="J11" i="3" s="1"/>
  <c r="CA29" i="3"/>
  <c r="CC29" i="3" s="1"/>
  <c r="CE29" i="3" s="1"/>
  <c r="BK198" i="3"/>
  <c r="BQ197" i="3"/>
  <c r="BP197" i="3"/>
  <c r="U13" i="3"/>
  <c r="Y13" i="3" s="1"/>
  <c r="Y11" i="3"/>
  <c r="Q62" i="4"/>
  <c r="P63" i="4"/>
  <c r="O63" i="4"/>
  <c r="N63" i="4"/>
  <c r="M63" i="4"/>
  <c r="L63" i="4" s="1"/>
  <c r="K64" i="4"/>
  <c r="BN10" i="3"/>
  <c r="K11" i="3"/>
  <c r="O11" i="3" s="1"/>
  <c r="AM10" i="1" a="1"/>
  <c r="AM10" i="1" s="1"/>
  <c r="AK10" i="1" a="1"/>
  <c r="AK10" i="1" s="1"/>
  <c r="T11" i="3"/>
  <c r="P12" i="3"/>
  <c r="AP13" i="3"/>
  <c r="AO12" i="3"/>
  <c r="AS12" i="3" s="1"/>
  <c r="G13" i="3"/>
  <c r="L14" i="3"/>
  <c r="AA13" i="3"/>
  <c r="Z12" i="3"/>
  <c r="AD12" i="3" s="1"/>
  <c r="Q15" i="3"/>
  <c r="AY12" i="3"/>
  <c r="BC12" i="3" s="1"/>
  <c r="AZ13" i="3"/>
  <c r="AU13" i="3"/>
  <c r="AT12" i="3"/>
  <c r="AX12" i="3" s="1"/>
  <c r="V18" i="3"/>
  <c r="AJ12" i="3"/>
  <c r="AN12" i="3" s="1"/>
  <c r="AK13" i="3"/>
  <c r="AF14" i="3"/>
  <c r="AE13" i="3"/>
  <c r="AI13" i="3" s="1"/>
  <c r="A27" i="2"/>
  <c r="B26" i="2"/>
  <c r="C26" i="2"/>
  <c r="D26" i="2"/>
  <c r="AO11" i="1"/>
  <c r="AH12" i="1"/>
  <c r="AW11" i="1" a="1"/>
  <c r="AW11" i="1" s="1"/>
  <c r="AP12" i="1"/>
  <c r="AR11" i="1"/>
  <c r="AT11" i="1"/>
  <c r="AU11" i="1"/>
  <c r="AQ11" i="1"/>
  <c r="AS11" i="1"/>
  <c r="AV11" i="1" a="1"/>
  <c r="AV11" i="1" s="1"/>
  <c r="AA11" i="1"/>
  <c r="AC11" i="1"/>
  <c r="AF11" i="1"/>
  <c r="AE11" i="1"/>
  <c r="AG11" i="1"/>
  <c r="AD11" i="1"/>
  <c r="AB11" i="1"/>
  <c r="Z12" i="1"/>
  <c r="AX10" i="1"/>
  <c r="AI10" i="1" a="1"/>
  <c r="AI10" i="1" s="1"/>
  <c r="M34" i="4"/>
  <c r="P34" i="4"/>
  <c r="O34" i="4" s="1"/>
  <c r="N34" i="4"/>
  <c r="L35" i="4"/>
  <c r="J34" i="4"/>
  <c r="K34" i="4"/>
  <c r="P28" i="5"/>
  <c r="O29" i="5"/>
  <c r="BJ113" i="3"/>
  <c r="BT14" i="3"/>
  <c r="BU15" i="3"/>
  <c r="BL201" i="3" l="1"/>
  <c r="BM200" i="3"/>
  <c r="BO200" i="3"/>
  <c r="O26" i="4" s="1"/>
  <c r="F12" i="3"/>
  <c r="J12" i="3" s="1"/>
  <c r="BP198" i="3"/>
  <c r="BK199" i="3"/>
  <c r="BV15" i="3" s="1"/>
  <c r="BQ198" i="3"/>
  <c r="M46" i="5"/>
  <c r="N46" i="5" s="1"/>
  <c r="U14" i="3"/>
  <c r="Y14" i="3" s="1"/>
  <c r="AM11" i="1" a="1"/>
  <c r="AM11" i="1" s="1"/>
  <c r="M64" i="4"/>
  <c r="L64" i="4" s="1"/>
  <c r="K65" i="4"/>
  <c r="O64" i="4"/>
  <c r="N64" i="4"/>
  <c r="P64" i="4"/>
  <c r="Q63" i="4"/>
  <c r="BN11" i="3"/>
  <c r="K12" i="3"/>
  <c r="O12" i="3" s="1"/>
  <c r="AK11" i="1" a="1"/>
  <c r="AK11" i="1" s="1"/>
  <c r="AL11" i="1" a="1"/>
  <c r="AL11" i="1" s="1"/>
  <c r="AJ11" i="1" a="1"/>
  <c r="AJ11" i="1" s="1"/>
  <c r="T12" i="3"/>
  <c r="P13" i="3"/>
  <c r="AO13" i="3"/>
  <c r="AS13" i="3" s="1"/>
  <c r="AP14" i="3"/>
  <c r="AE14" i="3"/>
  <c r="AI14" i="3" s="1"/>
  <c r="AF15" i="3"/>
  <c r="Q16" i="3"/>
  <c r="AJ13" i="3"/>
  <c r="AN13" i="3" s="1"/>
  <c r="AK14" i="3"/>
  <c r="Z13" i="3"/>
  <c r="AD13" i="3" s="1"/>
  <c r="AA14" i="3"/>
  <c r="L15" i="3"/>
  <c r="V19" i="3"/>
  <c r="AU14" i="3"/>
  <c r="AT13" i="3"/>
  <c r="AX13" i="3" s="1"/>
  <c r="AZ14" i="3"/>
  <c r="AY13" i="3"/>
  <c r="BC13" i="3" s="1"/>
  <c r="G14" i="3"/>
  <c r="B27" i="2"/>
  <c r="A28" i="2"/>
  <c r="C27" i="2"/>
  <c r="D27" i="2"/>
  <c r="AA12" i="1"/>
  <c r="AD12" i="1"/>
  <c r="Z13" i="1"/>
  <c r="AE12" i="1"/>
  <c r="AF12" i="1"/>
  <c r="AC12" i="1"/>
  <c r="AG12" i="1"/>
  <c r="AB12" i="1"/>
  <c r="AI11" i="1" a="1"/>
  <c r="AI11" i="1" s="1"/>
  <c r="AX11" i="1"/>
  <c r="AU12" i="1"/>
  <c r="AW12" i="1" a="1"/>
  <c r="AW12" i="1" s="1"/>
  <c r="AP13" i="1"/>
  <c r="AQ12" i="1"/>
  <c r="AT12" i="1"/>
  <c r="AS12" i="1"/>
  <c r="AV12" i="1" a="1"/>
  <c r="AV12" i="1" s="1"/>
  <c r="AR12" i="1"/>
  <c r="AO12" i="1"/>
  <c r="AH13" i="1"/>
  <c r="BU16" i="3"/>
  <c r="BT15" i="3"/>
  <c r="L36" i="4"/>
  <c r="K35" i="4"/>
  <c r="J35" i="4"/>
  <c r="M35" i="4"/>
  <c r="P35" i="4"/>
  <c r="O35" i="4" s="1"/>
  <c r="N35" i="4"/>
  <c r="BJ114" i="3"/>
  <c r="P29" i="5"/>
  <c r="O30" i="5"/>
  <c r="BL202" i="3" l="1"/>
  <c r="BM201" i="3"/>
  <c r="BO201" i="3"/>
  <c r="AM12" i="1" a="1"/>
  <c r="AM12" i="1" s="1"/>
  <c r="BK200" i="3"/>
  <c r="F13" i="3"/>
  <c r="J13" i="3" s="1"/>
  <c r="BQ199" i="3"/>
  <c r="BP199" i="3"/>
  <c r="U15" i="3"/>
  <c r="Y15" i="3" s="1"/>
  <c r="Q64" i="4"/>
  <c r="N65" i="4"/>
  <c r="K66" i="4"/>
  <c r="O65" i="4"/>
  <c r="P65" i="4"/>
  <c r="M65" i="4"/>
  <c r="L65" i="4" s="1"/>
  <c r="AK12" i="1" a="1"/>
  <c r="AK12" i="1" s="1"/>
  <c r="BN12" i="3"/>
  <c r="K13" i="3"/>
  <c r="O13" i="3" s="1"/>
  <c r="AJ12" i="1" a="1"/>
  <c r="AJ12" i="1" s="1"/>
  <c r="AL12" i="1" a="1"/>
  <c r="AL12" i="1" s="1"/>
  <c r="T13" i="3"/>
  <c r="P14" i="3"/>
  <c r="AP15" i="3"/>
  <c r="AO14" i="3"/>
  <c r="AS14" i="3" s="1"/>
  <c r="V20" i="3"/>
  <c r="L16" i="3"/>
  <c r="G15" i="3"/>
  <c r="AA15" i="3"/>
  <c r="Z14" i="3"/>
  <c r="AD14" i="3" s="1"/>
  <c r="AY14" i="3"/>
  <c r="BC14" i="3" s="1"/>
  <c r="AZ15" i="3"/>
  <c r="AK15" i="3"/>
  <c r="AJ14" i="3"/>
  <c r="AN14" i="3" s="1"/>
  <c r="AT14" i="3"/>
  <c r="AX14" i="3" s="1"/>
  <c r="AU15" i="3"/>
  <c r="Q17" i="3"/>
  <c r="AF16" i="3"/>
  <c r="AE15" i="3"/>
  <c r="AI15" i="3" s="1"/>
  <c r="D28" i="2"/>
  <c r="A29" i="2"/>
  <c r="C28" i="2"/>
  <c r="B28" i="2"/>
  <c r="AO13" i="1"/>
  <c r="AH14" i="1"/>
  <c r="AC13" i="1"/>
  <c r="AF13" i="1"/>
  <c r="AD13" i="1"/>
  <c r="Z14" i="1"/>
  <c r="AG13" i="1"/>
  <c r="AE13" i="1"/>
  <c r="AA13" i="1"/>
  <c r="AB13" i="1"/>
  <c r="AI12" i="1" a="1"/>
  <c r="AI12" i="1" s="1"/>
  <c r="AX12" i="1"/>
  <c r="AT13" i="1"/>
  <c r="AS13" i="1"/>
  <c r="AR13" i="1"/>
  <c r="AW13" i="1" a="1"/>
  <c r="AW13" i="1" s="1"/>
  <c r="AQ13" i="1"/>
  <c r="AV13" i="1" a="1"/>
  <c r="AV13" i="1" s="1"/>
  <c r="AU13" i="1"/>
  <c r="AP14" i="1"/>
  <c r="P36" i="4"/>
  <c r="O36" i="4" s="1"/>
  <c r="N36" i="4"/>
  <c r="L37" i="4"/>
  <c r="K36" i="4"/>
  <c r="J36" i="4"/>
  <c r="M36" i="4"/>
  <c r="P30" i="5"/>
  <c r="O31" i="5"/>
  <c r="BJ115" i="3"/>
  <c r="BU17" i="3"/>
  <c r="BT16" i="3"/>
  <c r="BX16" i="3"/>
  <c r="BW16" i="3" s="1"/>
  <c r="BV16" i="3"/>
  <c r="BX15" i="3" l="1"/>
  <c r="BW15" i="3" s="1"/>
  <c r="BV14" i="3"/>
  <c r="O25" i="4"/>
  <c r="BL203" i="3"/>
  <c r="BM202" i="3"/>
  <c r="BO202" i="3"/>
  <c r="O24" i="4" s="1"/>
  <c r="F14" i="3"/>
  <c r="J14" i="3" s="1"/>
  <c r="BQ200" i="3"/>
  <c r="BX14" i="3" s="1"/>
  <c r="BW14" i="3" s="1"/>
  <c r="BP200" i="3"/>
  <c r="BK201" i="3"/>
  <c r="BV13" i="3" s="1"/>
  <c r="U16" i="3"/>
  <c r="Y16" i="3" s="1"/>
  <c r="Q65" i="4"/>
  <c r="O66" i="4"/>
  <c r="P66" i="4"/>
  <c r="M66" i="4"/>
  <c r="L66" i="4" s="1"/>
  <c r="K67" i="4"/>
  <c r="N66" i="4"/>
  <c r="BN13" i="3"/>
  <c r="K14" i="3"/>
  <c r="O14" i="3" s="1"/>
  <c r="AM13" i="1" a="1"/>
  <c r="AM13" i="1" s="1"/>
  <c r="AJ13" i="1" a="1"/>
  <c r="AJ13" i="1" s="1"/>
  <c r="AL13" i="1" a="1"/>
  <c r="AL13" i="1" s="1"/>
  <c r="AK13" i="1" a="1"/>
  <c r="AK13" i="1" s="1"/>
  <c r="T14" i="3"/>
  <c r="P15" i="3"/>
  <c r="AO15" i="3"/>
  <c r="AS15" i="3" s="1"/>
  <c r="AP16" i="3"/>
  <c r="AE16" i="3"/>
  <c r="AI16" i="3" s="1"/>
  <c r="AF17" i="3"/>
  <c r="AA16" i="3"/>
  <c r="Z15" i="3"/>
  <c r="AD15" i="3" s="1"/>
  <c r="G16" i="3"/>
  <c r="Q18" i="3"/>
  <c r="AU16" i="3"/>
  <c r="AT15" i="3"/>
  <c r="AX15" i="3" s="1"/>
  <c r="L17" i="3"/>
  <c r="V21" i="3"/>
  <c r="AJ15" i="3"/>
  <c r="AN15" i="3" s="1"/>
  <c r="AK16" i="3"/>
  <c r="AZ16" i="3"/>
  <c r="AY15" i="3"/>
  <c r="BC15" i="3" s="1"/>
  <c r="A30" i="2"/>
  <c r="B29" i="2"/>
  <c r="C29" i="2"/>
  <c r="D29" i="2"/>
  <c r="AQ14" i="1"/>
  <c r="AU14" i="1"/>
  <c r="AR14" i="1"/>
  <c r="AT14" i="1"/>
  <c r="AV14" i="1" a="1"/>
  <c r="AV14" i="1" s="1"/>
  <c r="AP15" i="1"/>
  <c r="AW14" i="1" a="1"/>
  <c r="AW14" i="1" s="1"/>
  <c r="AS14" i="1"/>
  <c r="AA14" i="1"/>
  <c r="AB14" i="1"/>
  <c r="AG14" i="1"/>
  <c r="AF14" i="1"/>
  <c r="AC14" i="1"/>
  <c r="AE14" i="1"/>
  <c r="Z15" i="1"/>
  <c r="AD14" i="1"/>
  <c r="AX13" i="1"/>
  <c r="AI13" i="1" a="1"/>
  <c r="AI13" i="1" s="1"/>
  <c r="AH15" i="1"/>
  <c r="AO14" i="1"/>
  <c r="M37" i="4"/>
  <c r="P37" i="4"/>
  <c r="O37" i="4" s="1"/>
  <c r="J37" i="4"/>
  <c r="K37" i="4"/>
  <c r="L38" i="4"/>
  <c r="N37" i="4"/>
  <c r="BJ116" i="3"/>
  <c r="O32" i="5"/>
  <c r="P31" i="5"/>
  <c r="BU18" i="3"/>
  <c r="BT17" i="3"/>
  <c r="BV17" i="3"/>
  <c r="BX17" i="3"/>
  <c r="BW17" i="3" s="1"/>
  <c r="BM203" i="3" l="1"/>
  <c r="BL204" i="3"/>
  <c r="BO203" i="3"/>
  <c r="O23" i="4" s="1"/>
  <c r="BK202" i="3"/>
  <c r="BV12" i="3" s="1"/>
  <c r="F15" i="3"/>
  <c r="J15" i="3" s="1"/>
  <c r="BQ201" i="3"/>
  <c r="BX13" i="3" s="1"/>
  <c r="BW13" i="3" s="1"/>
  <c r="BP201" i="3"/>
  <c r="U17" i="3"/>
  <c r="Y17" i="3" s="1"/>
  <c r="M67" i="4"/>
  <c r="L67" i="4" s="1"/>
  <c r="K68" i="4"/>
  <c r="O67" i="4"/>
  <c r="N67" i="4"/>
  <c r="P67" i="4"/>
  <c r="Q66" i="4"/>
  <c r="BN14" i="3"/>
  <c r="K15" i="3"/>
  <c r="O15" i="3" s="1"/>
  <c r="AJ14" i="1" a="1"/>
  <c r="AJ14" i="1" s="1"/>
  <c r="AM14" i="1" a="1"/>
  <c r="AM14" i="1" s="1"/>
  <c r="AK14" i="1" a="1"/>
  <c r="AK14" i="1" s="1"/>
  <c r="T15" i="3"/>
  <c r="P16" i="3"/>
  <c r="AL14" i="1" a="1"/>
  <c r="AL14" i="1" s="1"/>
  <c r="AP17" i="3"/>
  <c r="AO16" i="3"/>
  <c r="AS16" i="3" s="1"/>
  <c r="AT16" i="3"/>
  <c r="AX16" i="3" s="1"/>
  <c r="AU17" i="3"/>
  <c r="Q19" i="3"/>
  <c r="AZ17" i="3"/>
  <c r="AY16" i="3"/>
  <c r="BC16" i="3" s="1"/>
  <c r="AK17" i="3"/>
  <c r="AJ16" i="3"/>
  <c r="AN16" i="3" s="1"/>
  <c r="G17" i="3"/>
  <c r="Z16" i="3"/>
  <c r="AD16" i="3" s="1"/>
  <c r="AA17" i="3"/>
  <c r="V22" i="3"/>
  <c r="L18" i="3"/>
  <c r="AF18" i="3"/>
  <c r="AE17" i="3"/>
  <c r="AI17" i="3" s="1"/>
  <c r="C30" i="2"/>
  <c r="D30" i="2"/>
  <c r="B30" i="2"/>
  <c r="A31" i="2"/>
  <c r="AG15" i="1"/>
  <c r="AB15" i="1"/>
  <c r="AE15" i="1"/>
  <c r="Z16" i="1"/>
  <c r="AC15" i="1"/>
  <c r="AD15" i="1"/>
  <c r="AF15" i="1"/>
  <c r="AA15" i="1"/>
  <c r="AO15" i="1"/>
  <c r="AH16" i="1"/>
  <c r="AP16" i="1"/>
  <c r="AT15" i="1"/>
  <c r="AR15" i="1"/>
  <c r="AW15" i="1" a="1"/>
  <c r="AW15" i="1" s="1"/>
  <c r="AV15" i="1" a="1"/>
  <c r="AV15" i="1" s="1"/>
  <c r="AQ15" i="1"/>
  <c r="AS15" i="1"/>
  <c r="AK15" i="1" s="1" a="1"/>
  <c r="AK15" i="1" s="1"/>
  <c r="AU15" i="1"/>
  <c r="AX14" i="1"/>
  <c r="AI14" i="1" a="1"/>
  <c r="AI14" i="1" s="1"/>
  <c r="BU19" i="3"/>
  <c r="BT18" i="3"/>
  <c r="BV18" i="3"/>
  <c r="BX18" i="3"/>
  <c r="BW18" i="3" s="1"/>
  <c r="P32" i="5"/>
  <c r="O33" i="5"/>
  <c r="BJ117" i="3"/>
  <c r="K38" i="4"/>
  <c r="L39" i="4"/>
  <c r="P38" i="4"/>
  <c r="O38" i="4" s="1"/>
  <c r="N38" i="4"/>
  <c r="M38" i="4"/>
  <c r="J38" i="4"/>
  <c r="BL205" i="3" l="1"/>
  <c r="BQ202" i="3"/>
  <c r="F16" i="3"/>
  <c r="J16" i="3" s="1"/>
  <c r="BP202" i="3"/>
  <c r="BO204" i="3"/>
  <c r="O22" i="4" s="1"/>
  <c r="BM204" i="3"/>
  <c r="BK203" i="3"/>
  <c r="AJ15" i="1" a="1"/>
  <c r="AJ15" i="1" s="1"/>
  <c r="U18" i="3"/>
  <c r="Y18" i="3" s="1"/>
  <c r="AM15" i="1" a="1"/>
  <c r="AM15" i="1" s="1"/>
  <c r="Q67" i="4"/>
  <c r="M68" i="4"/>
  <c r="L68" i="4" s="1"/>
  <c r="K69" i="4"/>
  <c r="O68" i="4"/>
  <c r="P68" i="4"/>
  <c r="N68" i="4"/>
  <c r="BN15" i="3"/>
  <c r="K16" i="3"/>
  <c r="O16" i="3" s="1"/>
  <c r="AL15" i="1" a="1"/>
  <c r="AL15" i="1" s="1"/>
  <c r="T16" i="3"/>
  <c r="P17" i="3"/>
  <c r="AP18" i="3"/>
  <c r="AO17" i="3"/>
  <c r="AS17" i="3" s="1"/>
  <c r="AF19" i="3"/>
  <c r="AE18" i="3"/>
  <c r="AI18" i="3" s="1"/>
  <c r="L19" i="3"/>
  <c r="AJ17" i="3"/>
  <c r="AN17" i="3" s="1"/>
  <c r="AK18" i="3"/>
  <c r="AZ18" i="3"/>
  <c r="AY17" i="3"/>
  <c r="BC17" i="3" s="1"/>
  <c r="Q20" i="3"/>
  <c r="AU18" i="3"/>
  <c r="AT17" i="3"/>
  <c r="AX17" i="3" s="1"/>
  <c r="Z17" i="3"/>
  <c r="AD17" i="3" s="1"/>
  <c r="AA18" i="3"/>
  <c r="G18" i="3"/>
  <c r="V23" i="3"/>
  <c r="D31" i="2"/>
  <c r="C31" i="2"/>
  <c r="B31" i="2"/>
  <c r="A32" i="2"/>
  <c r="AS16" i="1"/>
  <c r="AU16" i="1"/>
  <c r="AW16" i="1" a="1"/>
  <c r="AW16" i="1" s="1"/>
  <c r="AQ16" i="1"/>
  <c r="AT16" i="1"/>
  <c r="AV16" i="1" a="1"/>
  <c r="AV16" i="1" s="1"/>
  <c r="AR16" i="1"/>
  <c r="AP17" i="1"/>
  <c r="AO16" i="1"/>
  <c r="AH17" i="1"/>
  <c r="AX15" i="1"/>
  <c r="AI15" i="1" a="1"/>
  <c r="AI15" i="1" s="1"/>
  <c r="AC16" i="1"/>
  <c r="AG16" i="1"/>
  <c r="AF16" i="1"/>
  <c r="AA16" i="1"/>
  <c r="Z17" i="1"/>
  <c r="AB16" i="1"/>
  <c r="AE16" i="1"/>
  <c r="AD16" i="1"/>
  <c r="BJ118" i="3"/>
  <c r="P33" i="5"/>
  <c r="O34" i="5"/>
  <c r="N39" i="4"/>
  <c r="L40" i="4"/>
  <c r="P39" i="4"/>
  <c r="O39" i="4" s="1"/>
  <c r="J39" i="4"/>
  <c r="M39" i="4"/>
  <c r="K39" i="4"/>
  <c r="BU20" i="3"/>
  <c r="BT19" i="3"/>
  <c r="BV19" i="3"/>
  <c r="BX19" i="3"/>
  <c r="BW19" i="3" s="1"/>
  <c r="BV11" i="3" l="1"/>
  <c r="BX12" i="3"/>
  <c r="BW12" i="3" s="1"/>
  <c r="BL206" i="3"/>
  <c r="BM205" i="3"/>
  <c r="BO205" i="3"/>
  <c r="F17" i="3"/>
  <c r="J17" i="3" s="1"/>
  <c r="BQ203" i="3"/>
  <c r="BX11" i="3" s="1"/>
  <c r="BW11" i="3" s="1"/>
  <c r="BP203" i="3"/>
  <c r="BK204" i="3"/>
  <c r="BV10" i="3" s="1"/>
  <c r="AK16" i="1" a="1"/>
  <c r="AK16" i="1" s="1"/>
  <c r="U19" i="3"/>
  <c r="Y19" i="3" s="1"/>
  <c r="Q68" i="4"/>
  <c r="K70" i="4"/>
  <c r="M69" i="4"/>
  <c r="L69" i="4" s="1"/>
  <c r="O69" i="4"/>
  <c r="P69" i="4"/>
  <c r="N69" i="4"/>
  <c r="BN16" i="3"/>
  <c r="K17" i="3"/>
  <c r="O17" i="3" s="1"/>
  <c r="AJ16" i="1" a="1"/>
  <c r="AJ16" i="1" s="1"/>
  <c r="AM16" i="1" a="1"/>
  <c r="AM16" i="1" s="1"/>
  <c r="T17" i="3"/>
  <c r="P18" i="3"/>
  <c r="AL16" i="1" a="1"/>
  <c r="AL16" i="1" s="1"/>
  <c r="AP19" i="3"/>
  <c r="AO18" i="3"/>
  <c r="AS18" i="3" s="1"/>
  <c r="AZ19" i="3"/>
  <c r="AY18" i="3"/>
  <c r="BC18" i="3" s="1"/>
  <c r="V24" i="3"/>
  <c r="G19" i="3"/>
  <c r="AK19" i="3"/>
  <c r="AJ18" i="3"/>
  <c r="AN18" i="3" s="1"/>
  <c r="AA19" i="3"/>
  <c r="Z18" i="3"/>
  <c r="AD18" i="3" s="1"/>
  <c r="L20" i="3"/>
  <c r="AU19" i="3"/>
  <c r="AT18" i="3"/>
  <c r="AX18" i="3" s="1"/>
  <c r="Q21" i="3"/>
  <c r="AE19" i="3"/>
  <c r="AI19" i="3" s="1"/>
  <c r="AF20" i="3"/>
  <c r="A33" i="2"/>
  <c r="C32" i="2"/>
  <c r="B32" i="2"/>
  <c r="D32" i="2"/>
  <c r="AC17" i="1"/>
  <c r="AA17" i="1"/>
  <c r="AB17" i="1"/>
  <c r="Z18" i="1"/>
  <c r="AF17" i="1"/>
  <c r="AD17" i="1"/>
  <c r="AE17" i="1"/>
  <c r="AG17" i="1"/>
  <c r="AO17" i="1"/>
  <c r="AH18" i="1"/>
  <c r="AT17" i="1"/>
  <c r="AU17" i="1"/>
  <c r="AR17" i="1"/>
  <c r="AP18" i="1"/>
  <c r="AQ17" i="1"/>
  <c r="AS17" i="1"/>
  <c r="AV17" i="1" a="1"/>
  <c r="AV17" i="1" s="1"/>
  <c r="AW17" i="1" a="1"/>
  <c r="AW17" i="1" s="1"/>
  <c r="AI16" i="1" a="1"/>
  <c r="AI16" i="1" s="1"/>
  <c r="AX16" i="1"/>
  <c r="M40" i="4"/>
  <c r="P40" i="4"/>
  <c r="O40" i="4" s="1"/>
  <c r="J40" i="4"/>
  <c r="N40" i="4"/>
  <c r="K40" i="4"/>
  <c r="L41" i="4"/>
  <c r="BT20" i="3"/>
  <c r="BU21" i="3"/>
  <c r="BV20" i="3"/>
  <c r="BX20" i="3"/>
  <c r="BW20" i="3" s="1"/>
  <c r="P34" i="5"/>
  <c r="O35" i="5"/>
  <c r="BJ119" i="3"/>
  <c r="BM206" i="3" l="1"/>
  <c r="BO206" i="3"/>
  <c r="BK205" i="3"/>
  <c r="BV9" i="3" s="1"/>
  <c r="BL207" i="3"/>
  <c r="F18" i="3"/>
  <c r="J18" i="3" s="1"/>
  <c r="CA30" i="3"/>
  <c r="CC30" i="3" s="1"/>
  <c r="CE30" i="3" s="1"/>
  <c r="BQ204" i="3"/>
  <c r="BX10" i="3" s="1"/>
  <c r="BW10" i="3" s="1"/>
  <c r="BP204" i="3"/>
  <c r="CD30" i="3"/>
  <c r="AJ17" i="1" a="1"/>
  <c r="AJ17" i="1" s="1"/>
  <c r="AM17" i="1" a="1"/>
  <c r="AM17" i="1" s="1"/>
  <c r="U20" i="3"/>
  <c r="Y20" i="3" s="1"/>
  <c r="AL17" i="1" a="1"/>
  <c r="AL17" i="1" s="1"/>
  <c r="Q69" i="4"/>
  <c r="P70" i="4"/>
  <c r="M70" i="4"/>
  <c r="L70" i="4" s="1"/>
  <c r="K71" i="4"/>
  <c r="N70" i="4"/>
  <c r="O70" i="4"/>
  <c r="BN17" i="3"/>
  <c r="K18" i="3"/>
  <c r="O18" i="3" s="1"/>
  <c r="AK17" i="1" a="1"/>
  <c r="AK17" i="1" s="1"/>
  <c r="T18" i="3"/>
  <c r="P19" i="3"/>
  <c r="AP20" i="3"/>
  <c r="AO19" i="3"/>
  <c r="AS19" i="3" s="1"/>
  <c r="AJ19" i="3"/>
  <c r="AN19" i="3" s="1"/>
  <c r="AK20" i="3"/>
  <c r="Q22" i="3"/>
  <c r="G20" i="3"/>
  <c r="AU20" i="3"/>
  <c r="AT19" i="3"/>
  <c r="AX19" i="3" s="1"/>
  <c r="L21" i="3"/>
  <c r="V25" i="3"/>
  <c r="AA20" i="3"/>
  <c r="Z19" i="3"/>
  <c r="AD19" i="3" s="1"/>
  <c r="AY19" i="3"/>
  <c r="BC19" i="3" s="1"/>
  <c r="AZ20" i="3"/>
  <c r="AE20" i="3"/>
  <c r="AI20" i="3" s="1"/>
  <c r="AF21" i="3"/>
  <c r="B33" i="2"/>
  <c r="A34" i="2"/>
  <c r="D33" i="2"/>
  <c r="C33" i="2"/>
  <c r="AO18" i="1"/>
  <c r="AH19" i="1"/>
  <c r="AC18" i="1"/>
  <c r="Z19" i="1"/>
  <c r="AD18" i="1"/>
  <c r="AE18" i="1"/>
  <c r="AG18" i="1"/>
  <c r="AB18" i="1"/>
  <c r="AF18" i="1"/>
  <c r="AA18" i="1"/>
  <c r="AX17" i="1"/>
  <c r="AI17" i="1" a="1"/>
  <c r="AI17" i="1" s="1"/>
  <c r="AV18" i="1" a="1"/>
  <c r="AV18" i="1" s="1"/>
  <c r="AT18" i="1"/>
  <c r="AQ18" i="1"/>
  <c r="AR18" i="1"/>
  <c r="AU18" i="1"/>
  <c r="AP19" i="1"/>
  <c r="AW18" i="1" a="1"/>
  <c r="AW18" i="1" s="1"/>
  <c r="AS18" i="1"/>
  <c r="BU22" i="3"/>
  <c r="BT21" i="3"/>
  <c r="BV21" i="3"/>
  <c r="BX21" i="3"/>
  <c r="BW21" i="3" s="1"/>
  <c r="BJ120" i="3"/>
  <c r="N41" i="4"/>
  <c r="J41" i="4"/>
  <c r="P41" i="4"/>
  <c r="O41" i="4" s="1"/>
  <c r="L42" i="4"/>
  <c r="K41" i="4"/>
  <c r="M41" i="4"/>
  <c r="P35" i="5"/>
  <c r="O36" i="5"/>
  <c r="BK206" i="3" l="1"/>
  <c r="BP206" i="3" s="1"/>
  <c r="BL208" i="3"/>
  <c r="M47" i="5"/>
  <c r="N47" i="5" s="1"/>
  <c r="BQ205" i="3"/>
  <c r="BX9" i="3" s="1"/>
  <c r="BW9" i="3" s="1"/>
  <c r="BK207" i="3"/>
  <c r="BO207" i="3"/>
  <c r="BM207" i="3"/>
  <c r="BP205" i="3"/>
  <c r="F19" i="3"/>
  <c r="J19" i="3" s="1"/>
  <c r="AK18" i="1" a="1"/>
  <c r="AK18" i="1" s="1"/>
  <c r="AM18" i="1" a="1"/>
  <c r="AM18" i="1" s="1"/>
  <c r="U21" i="3"/>
  <c r="Y21" i="3" s="1"/>
  <c r="AL18" i="1" a="1"/>
  <c r="AL18" i="1" s="1"/>
  <c r="Q70" i="4"/>
  <c r="O71" i="4"/>
  <c r="P71" i="4"/>
  <c r="K72" i="4"/>
  <c r="N71" i="4"/>
  <c r="M71" i="4"/>
  <c r="L71" i="4" s="1"/>
  <c r="BN18" i="3"/>
  <c r="K19" i="3"/>
  <c r="O19" i="3" s="1"/>
  <c r="AJ18" i="1" a="1"/>
  <c r="AJ18" i="1" s="1"/>
  <c r="T19" i="3"/>
  <c r="P20" i="3"/>
  <c r="AO20" i="3"/>
  <c r="AS20" i="3" s="1"/>
  <c r="AP21" i="3"/>
  <c r="AT20" i="3"/>
  <c r="AX20" i="3" s="1"/>
  <c r="AU21" i="3"/>
  <c r="AY20" i="3"/>
  <c r="BC20" i="3" s="1"/>
  <c r="AZ21" i="3"/>
  <c r="G21" i="3"/>
  <c r="AA21" i="3"/>
  <c r="Z20" i="3"/>
  <c r="AD20" i="3" s="1"/>
  <c r="V26" i="3"/>
  <c r="Q23" i="3"/>
  <c r="L22" i="3"/>
  <c r="AJ20" i="3"/>
  <c r="AN20" i="3" s="1"/>
  <c r="AK21" i="3"/>
  <c r="AE21" i="3"/>
  <c r="AI21" i="3" s="1"/>
  <c r="AF22" i="3"/>
  <c r="D34" i="2"/>
  <c r="A35" i="2"/>
  <c r="B34" i="2"/>
  <c r="C34" i="2"/>
  <c r="AP20" i="1"/>
  <c r="AT19" i="1"/>
  <c r="AW19" i="1" a="1"/>
  <c r="AW19" i="1" s="1"/>
  <c r="AR19" i="1"/>
  <c r="AQ19" i="1"/>
  <c r="AU19" i="1"/>
  <c r="AS19" i="1"/>
  <c r="AV19" i="1" a="1"/>
  <c r="AV19" i="1" s="1"/>
  <c r="Z20" i="1"/>
  <c r="AA19" i="1"/>
  <c r="AF19" i="1"/>
  <c r="AG19" i="1"/>
  <c r="AD19" i="1"/>
  <c r="AE19" i="1"/>
  <c r="AC19" i="1"/>
  <c r="AB19" i="1"/>
  <c r="AX18" i="1"/>
  <c r="AI18" i="1" a="1"/>
  <c r="AI18" i="1" s="1"/>
  <c r="AO19" i="1"/>
  <c r="AH20" i="1"/>
  <c r="BJ121" i="3"/>
  <c r="O37" i="5"/>
  <c r="P36" i="5"/>
  <c r="M42" i="4"/>
  <c r="J42" i="4"/>
  <c r="L43" i="4"/>
  <c r="K42" i="4"/>
  <c r="P42" i="4"/>
  <c r="O42" i="4" s="1"/>
  <c r="N42" i="4"/>
  <c r="BU23" i="3"/>
  <c r="BT22" i="3"/>
  <c r="BV22" i="3"/>
  <c r="BX22" i="3"/>
  <c r="BW22" i="3" s="1"/>
  <c r="BV8" i="3" l="1"/>
  <c r="BV7" i="3"/>
  <c r="BQ206" i="3"/>
  <c r="BX8" i="3" s="1"/>
  <c r="BW8" i="3" s="1"/>
  <c r="BL209" i="3"/>
  <c r="BM209" i="3" s="1"/>
  <c r="BO208" i="3"/>
  <c r="BM208" i="3"/>
  <c r="BP207" i="3"/>
  <c r="F20" i="3"/>
  <c r="J20" i="3" s="1"/>
  <c r="BK208" i="3"/>
  <c r="BV6" i="3" s="1"/>
  <c r="BQ207" i="3"/>
  <c r="BX7" i="3" s="1"/>
  <c r="BW7" i="3" s="1"/>
  <c r="U22" i="3"/>
  <c r="Y22" i="3" s="1"/>
  <c r="Q71" i="4"/>
  <c r="M72" i="4"/>
  <c r="L72" i="4" s="1"/>
  <c r="K73" i="4"/>
  <c r="O72" i="4"/>
  <c r="N72" i="4"/>
  <c r="P72" i="4"/>
  <c r="AL19" i="1" a="1"/>
  <c r="AL19" i="1" s="1"/>
  <c r="BN19" i="3"/>
  <c r="K20" i="3"/>
  <c r="O20" i="3" s="1"/>
  <c r="AM19" i="1" a="1"/>
  <c r="AM19" i="1" s="1"/>
  <c r="AJ19" i="1" a="1"/>
  <c r="AJ19" i="1" s="1"/>
  <c r="T20" i="3"/>
  <c r="P21" i="3"/>
  <c r="AO21" i="3"/>
  <c r="AS21" i="3" s="1"/>
  <c r="AP22" i="3"/>
  <c r="AK19" i="1" a="1"/>
  <c r="AK19" i="1" s="1"/>
  <c r="AJ21" i="3"/>
  <c r="AN21" i="3" s="1"/>
  <c r="AK22" i="3"/>
  <c r="L23" i="3"/>
  <c r="AA22" i="3"/>
  <c r="Z21" i="3"/>
  <c r="AD21" i="3" s="1"/>
  <c r="G22" i="3"/>
  <c r="Q24" i="3"/>
  <c r="AY21" i="3"/>
  <c r="BC21" i="3" s="1"/>
  <c r="AZ22" i="3"/>
  <c r="V27" i="3"/>
  <c r="AU22" i="3"/>
  <c r="AT21" i="3"/>
  <c r="AX21" i="3" s="1"/>
  <c r="AE22" i="3"/>
  <c r="AI22" i="3" s="1"/>
  <c r="AF23" i="3"/>
  <c r="B35" i="2"/>
  <c r="C35" i="2"/>
  <c r="A36" i="2"/>
  <c r="D35" i="2"/>
  <c r="AH21" i="1"/>
  <c r="AO20" i="1"/>
  <c r="AE20" i="1"/>
  <c r="AC20" i="1"/>
  <c r="AF20" i="1"/>
  <c r="AD20" i="1"/>
  <c r="Z21" i="1"/>
  <c r="AG20" i="1"/>
  <c r="AA20" i="1"/>
  <c r="AB20" i="1"/>
  <c r="AX19" i="1"/>
  <c r="AI19" i="1" a="1"/>
  <c r="AI19" i="1" s="1"/>
  <c r="AT20" i="1"/>
  <c r="AS20" i="1"/>
  <c r="AQ20" i="1"/>
  <c r="AU20" i="1"/>
  <c r="AR20" i="1"/>
  <c r="AV20" i="1" a="1"/>
  <c r="AV20" i="1" s="1"/>
  <c r="AW20" i="1" a="1"/>
  <c r="AW20" i="1" s="1"/>
  <c r="AP21" i="1"/>
  <c r="M43" i="4"/>
  <c r="K43" i="4"/>
  <c r="N43" i="4"/>
  <c r="J43" i="4"/>
  <c r="L44" i="4"/>
  <c r="P43" i="4"/>
  <c r="O43" i="4" s="1"/>
  <c r="BV23" i="3"/>
  <c r="BU24" i="3"/>
  <c r="BX23" i="3"/>
  <c r="BW23" i="3" s="1"/>
  <c r="BT23" i="3"/>
  <c r="P37" i="5"/>
  <c r="O38" i="5"/>
  <c r="BJ122" i="3"/>
  <c r="BL210" i="3" l="1"/>
  <c r="BL211" i="3" s="1"/>
  <c r="BO211" i="3" s="1"/>
  <c r="BO209" i="3"/>
  <c r="BP208" i="3"/>
  <c r="BK209" i="3"/>
  <c r="BV5" i="3" s="1"/>
  <c r="F21" i="3"/>
  <c r="J21" i="3" s="1"/>
  <c r="BQ208" i="3"/>
  <c r="BX6" i="3" s="1"/>
  <c r="BW6" i="3" s="1"/>
  <c r="U23" i="3"/>
  <c r="Y23" i="3" s="1"/>
  <c r="AK20" i="1" a="1"/>
  <c r="AK20" i="1" s="1"/>
  <c r="Q72" i="4"/>
  <c r="P73" i="4"/>
  <c r="M73" i="4"/>
  <c r="L73" i="4" s="1"/>
  <c r="O73" i="4"/>
  <c r="N73" i="4"/>
  <c r="K74" i="4"/>
  <c r="AJ20" i="1" a="1"/>
  <c r="AJ20" i="1" s="1"/>
  <c r="AM20" i="1" a="1"/>
  <c r="AM20" i="1" s="1"/>
  <c r="BN20" i="3"/>
  <c r="AL20" i="1" a="1"/>
  <c r="AL20" i="1" s="1"/>
  <c r="K21" i="3"/>
  <c r="O21" i="3" s="1"/>
  <c r="T21" i="3"/>
  <c r="P22" i="3"/>
  <c r="AO22" i="3"/>
  <c r="AS22" i="3" s="1"/>
  <c r="AP23" i="3"/>
  <c r="AU23" i="3"/>
  <c r="AT22" i="3"/>
  <c r="AX22" i="3" s="1"/>
  <c r="V28" i="3"/>
  <c r="AA23" i="3"/>
  <c r="Z22" i="3"/>
  <c r="AD22" i="3" s="1"/>
  <c r="L24" i="3"/>
  <c r="AY22" i="3"/>
  <c r="BC22" i="3" s="1"/>
  <c r="AZ23" i="3"/>
  <c r="AJ22" i="3"/>
  <c r="AN22" i="3" s="1"/>
  <c r="AK23" i="3"/>
  <c r="Q25" i="3"/>
  <c r="AF24" i="3"/>
  <c r="AE23" i="3"/>
  <c r="AI23" i="3" s="1"/>
  <c r="G23" i="3"/>
  <c r="A37" i="2"/>
  <c r="B36" i="2"/>
  <c r="C36" i="2"/>
  <c r="D36" i="2"/>
  <c r="AI20" i="1" a="1"/>
  <c r="AI20" i="1" s="1"/>
  <c r="AX20" i="1"/>
  <c r="AR21" i="1"/>
  <c r="AV21" i="1" a="1"/>
  <c r="AV21" i="1" s="1"/>
  <c r="AU21" i="1"/>
  <c r="AP22" i="1"/>
  <c r="AS21" i="1"/>
  <c r="AQ21" i="1"/>
  <c r="AW21" i="1" a="1"/>
  <c r="AW21" i="1" s="1"/>
  <c r="AT21" i="1"/>
  <c r="AB21" i="1"/>
  <c r="AC21" i="1"/>
  <c r="AF21" i="1"/>
  <c r="Z22" i="1"/>
  <c r="AA21" i="1"/>
  <c r="AG21" i="1"/>
  <c r="AD21" i="1"/>
  <c r="AE21" i="1"/>
  <c r="AO21" i="1"/>
  <c r="AH22" i="1"/>
  <c r="BJ123" i="3"/>
  <c r="P38" i="5"/>
  <c r="O39" i="5"/>
  <c r="K44" i="4"/>
  <c r="L45" i="4"/>
  <c r="N44" i="4"/>
  <c r="P44" i="4"/>
  <c r="O44" i="4" s="1"/>
  <c r="M44" i="4"/>
  <c r="J44" i="4"/>
  <c r="BT24" i="3"/>
  <c r="BU25" i="3"/>
  <c r="BV24" i="3"/>
  <c r="BX24" i="3"/>
  <c r="BW24" i="3" s="1"/>
  <c r="W23" i="1" l="1" a="1"/>
  <c r="W23" i="1" s="1"/>
  <c r="BM210" i="3"/>
  <c r="BO210" i="3"/>
  <c r="BM211" i="3"/>
  <c r="BL212" i="3"/>
  <c r="L8" i="5" s="1"/>
  <c r="L7" i="5" s="1"/>
  <c r="L9" i="5" s="1"/>
  <c r="F22" i="3"/>
  <c r="J22" i="3" s="1"/>
  <c r="BK210" i="3"/>
  <c r="BQ209" i="3"/>
  <c r="BX5" i="3" s="1"/>
  <c r="BW5" i="3" s="1"/>
  <c r="BP209" i="3"/>
  <c r="U24" i="3"/>
  <c r="Y24" i="3" s="1"/>
  <c r="AK21" i="1" a="1"/>
  <c r="AK21" i="1" s="1"/>
  <c r="Q73" i="4"/>
  <c r="N74" i="4"/>
  <c r="M74" i="4"/>
  <c r="L74" i="4" s="1"/>
  <c r="K75" i="4"/>
  <c r="O74" i="4"/>
  <c r="P74" i="4"/>
  <c r="AJ21" i="1" a="1"/>
  <c r="AJ21" i="1" s="1"/>
  <c r="K22" i="3"/>
  <c r="O22" i="3" s="1"/>
  <c r="BN21" i="3"/>
  <c r="AM21" i="1" a="1"/>
  <c r="AM21" i="1" s="1"/>
  <c r="AL21" i="1" a="1"/>
  <c r="AL21" i="1" s="1"/>
  <c r="T22" i="3"/>
  <c r="P23" i="3"/>
  <c r="AP24" i="3"/>
  <c r="AO23" i="3"/>
  <c r="AS23" i="3" s="1"/>
  <c r="G24" i="3"/>
  <c r="L25" i="3"/>
  <c r="AE24" i="3"/>
  <c r="AI24" i="3" s="1"/>
  <c r="AF25" i="3"/>
  <c r="AA24" i="3"/>
  <c r="Z23" i="3"/>
  <c r="AD23" i="3" s="1"/>
  <c r="Q26" i="3"/>
  <c r="AJ23" i="3"/>
  <c r="AN23" i="3" s="1"/>
  <c r="AK24" i="3"/>
  <c r="V29" i="3"/>
  <c r="AY23" i="3"/>
  <c r="BC23" i="3" s="1"/>
  <c r="AZ24" i="3"/>
  <c r="AT23" i="3"/>
  <c r="AX23" i="3" s="1"/>
  <c r="AU24" i="3"/>
  <c r="B37" i="2"/>
  <c r="A38" i="2"/>
  <c r="D37" i="2"/>
  <c r="C37" i="2"/>
  <c r="AH23" i="1"/>
  <c r="AO22" i="1"/>
  <c r="AX21" i="1"/>
  <c r="AI21" i="1" a="1"/>
  <c r="AI21" i="1" s="1"/>
  <c r="AS22" i="1"/>
  <c r="AW22" i="1" a="1"/>
  <c r="AW22" i="1" s="1"/>
  <c r="AR22" i="1"/>
  <c r="AP23" i="1"/>
  <c r="AT22" i="1"/>
  <c r="AQ22" i="1"/>
  <c r="AU22" i="1"/>
  <c r="AV22" i="1" a="1"/>
  <c r="AV22" i="1" s="1"/>
  <c r="AC22" i="1"/>
  <c r="AB22" i="1"/>
  <c r="AA22" i="1"/>
  <c r="AD22" i="1"/>
  <c r="AE22" i="1"/>
  <c r="AG22" i="1"/>
  <c r="Z23" i="1"/>
  <c r="AF22" i="1"/>
  <c r="K45" i="4"/>
  <c r="M45" i="4"/>
  <c r="P45" i="4"/>
  <c r="O45" i="4" s="1"/>
  <c r="J45" i="4"/>
  <c r="L46" i="4"/>
  <c r="N45" i="4"/>
  <c r="BT25" i="3"/>
  <c r="BU26" i="3"/>
  <c r="BV25" i="3"/>
  <c r="BX25" i="3"/>
  <c r="BW25" i="3" s="1"/>
  <c r="P39" i="5"/>
  <c r="O40" i="5"/>
  <c r="BJ124" i="3"/>
  <c r="L14" i="5" l="1"/>
  <c r="BO212" i="3"/>
  <c r="O21" i="4" s="1"/>
  <c r="BM212" i="3"/>
  <c r="BV4" i="3"/>
  <c r="BK211" i="3"/>
  <c r="BP211" i="3" s="1"/>
  <c r="F23" i="3"/>
  <c r="J23" i="3" s="1"/>
  <c r="BQ210" i="3"/>
  <c r="BP210" i="3"/>
  <c r="U25" i="3"/>
  <c r="Y25" i="3" s="1"/>
  <c r="Q74" i="4"/>
  <c r="M75" i="4"/>
  <c r="L75" i="4" s="1"/>
  <c r="O75" i="4"/>
  <c r="N75" i="4"/>
  <c r="K76" i="4"/>
  <c r="P75" i="4"/>
  <c r="BN22" i="3"/>
  <c r="K23" i="3"/>
  <c r="O23" i="3" s="1"/>
  <c r="AK22" i="1" a="1"/>
  <c r="AK22" i="1" s="1"/>
  <c r="AL22" i="1" a="1"/>
  <c r="AL22" i="1" s="1"/>
  <c r="AM22" i="1" a="1"/>
  <c r="AM22" i="1" s="1"/>
  <c r="T23" i="3"/>
  <c r="P24" i="3"/>
  <c r="AJ22" i="1" a="1"/>
  <c r="AJ22" i="1" s="1"/>
  <c r="AO24" i="3"/>
  <c r="AS24" i="3" s="1"/>
  <c r="AP25" i="3"/>
  <c r="AZ25" i="3"/>
  <c r="AY24" i="3"/>
  <c r="BC24" i="3" s="1"/>
  <c r="Q27" i="3"/>
  <c r="Z24" i="3"/>
  <c r="AD24" i="3" s="1"/>
  <c r="AA25" i="3"/>
  <c r="AE25" i="3"/>
  <c r="AI25" i="3" s="1"/>
  <c r="AF26" i="3"/>
  <c r="L26" i="3"/>
  <c r="V30" i="3"/>
  <c r="G25" i="3"/>
  <c r="AK25" i="3"/>
  <c r="AJ24" i="3"/>
  <c r="AN24" i="3" s="1"/>
  <c r="AT24" i="3"/>
  <c r="AX24" i="3" s="1"/>
  <c r="AU25" i="3"/>
  <c r="D38" i="2"/>
  <c r="A39" i="2"/>
  <c r="C38" i="2"/>
  <c r="B38" i="2"/>
  <c r="AI22" i="1" a="1"/>
  <c r="AI22" i="1" s="1"/>
  <c r="AX22" i="1"/>
  <c r="AV23" i="1" a="1"/>
  <c r="AV23" i="1" s="1"/>
  <c r="AS23" i="1"/>
  <c r="AU23" i="1"/>
  <c r="AR23" i="1"/>
  <c r="AT23" i="1"/>
  <c r="AP24" i="1"/>
  <c r="AQ23" i="1"/>
  <c r="AW23" i="1" a="1"/>
  <c r="AW23" i="1" s="1"/>
  <c r="AB23" i="1"/>
  <c r="Z24" i="1"/>
  <c r="AC23" i="1"/>
  <c r="AA23" i="1"/>
  <c r="AG23" i="1"/>
  <c r="AD23" i="1"/>
  <c r="AF23" i="1"/>
  <c r="AE23" i="1"/>
  <c r="AO23" i="1"/>
  <c r="AH24" i="1"/>
  <c r="BJ125" i="3"/>
  <c r="P46" i="4"/>
  <c r="O46" i="4" s="1"/>
  <c r="L47" i="4"/>
  <c r="N46" i="4"/>
  <c r="M46" i="4"/>
  <c r="K46" i="4"/>
  <c r="J46" i="4"/>
  <c r="BU27" i="3"/>
  <c r="BT26" i="3"/>
  <c r="BV26" i="3"/>
  <c r="BX26" i="3"/>
  <c r="BW26" i="3" s="1"/>
  <c r="P40" i="5"/>
  <c r="O41" i="5"/>
  <c r="AX2" i="1" l="1"/>
  <c r="W24" i="1" a="1"/>
  <c r="W24" i="1" s="1"/>
  <c r="F24" i="3"/>
  <c r="J24" i="3" s="1"/>
  <c r="CA31" i="3"/>
  <c r="CC31" i="3" s="1"/>
  <c r="CE31" i="3" s="1"/>
  <c r="CD31" i="3"/>
  <c r="BK212" i="3"/>
  <c r="M66" i="5" s="1"/>
  <c r="N66" i="5" s="1"/>
  <c r="BX4" i="3"/>
  <c r="BW4" i="3" s="1"/>
  <c r="BV3" i="3"/>
  <c r="BV2" i="3" s="1"/>
  <c r="BQ211" i="3"/>
  <c r="BX3" i="3" s="1"/>
  <c r="U26" i="3"/>
  <c r="U27" i="3" s="1"/>
  <c r="Q75" i="4"/>
  <c r="M76" i="4"/>
  <c r="L76" i="4" s="1"/>
  <c r="P76" i="4"/>
  <c r="N76" i="4"/>
  <c r="K77" i="4"/>
  <c r="O76" i="4"/>
  <c r="BN23" i="3"/>
  <c r="K24" i="3"/>
  <c r="O24" i="3" s="1"/>
  <c r="AK23" i="1" a="1"/>
  <c r="AK23" i="1" s="1"/>
  <c r="AJ23" i="1" a="1"/>
  <c r="AJ23" i="1" s="1"/>
  <c r="T24" i="3"/>
  <c r="P25" i="3"/>
  <c r="AP26" i="3"/>
  <c r="AO25" i="3"/>
  <c r="AS25" i="3" s="1"/>
  <c r="AL23" i="1" a="1"/>
  <c r="AL23" i="1" s="1"/>
  <c r="AE26" i="3"/>
  <c r="AI26" i="3" s="1"/>
  <c r="AF27" i="3"/>
  <c r="AM23" i="1" a="1"/>
  <c r="AM23" i="1" s="1"/>
  <c r="AJ25" i="3"/>
  <c r="AN25" i="3" s="1"/>
  <c r="AK26" i="3"/>
  <c r="G26" i="3"/>
  <c r="AA26" i="3"/>
  <c r="Z25" i="3"/>
  <c r="AD25" i="3" s="1"/>
  <c r="V31" i="3"/>
  <c r="L27" i="3"/>
  <c r="Q28" i="3"/>
  <c r="AU26" i="3"/>
  <c r="AT25" i="3"/>
  <c r="AX25" i="3" s="1"/>
  <c r="AZ26" i="3"/>
  <c r="AY25" i="3"/>
  <c r="BC25" i="3" s="1"/>
  <c r="B39" i="2"/>
  <c r="C39" i="2"/>
  <c r="A40" i="2"/>
  <c r="D39" i="2"/>
  <c r="AA24" i="1"/>
  <c r="AD24" i="1"/>
  <c r="AG24" i="1"/>
  <c r="AB24" i="1"/>
  <c r="AE24" i="1"/>
  <c r="AF24" i="1"/>
  <c r="AC24" i="1"/>
  <c r="Z25" i="1"/>
  <c r="AI23" i="1" a="1"/>
  <c r="AI23" i="1" s="1"/>
  <c r="AX23" i="1"/>
  <c r="AO24" i="1"/>
  <c r="AH25" i="1"/>
  <c r="AW24" i="1" a="1"/>
  <c r="AW24" i="1" s="1"/>
  <c r="AU24" i="1"/>
  <c r="AQ24" i="1"/>
  <c r="AP25" i="1"/>
  <c r="AR24" i="1"/>
  <c r="AT24" i="1"/>
  <c r="AV24" i="1" a="1"/>
  <c r="AV24" i="1" s="1"/>
  <c r="AS24" i="1"/>
  <c r="N47" i="4"/>
  <c r="L48" i="4"/>
  <c r="J47" i="4"/>
  <c r="K47" i="4"/>
  <c r="M47" i="4"/>
  <c r="P47" i="4"/>
  <c r="O47" i="4" s="1"/>
  <c r="P41" i="5"/>
  <c r="O42" i="5"/>
  <c r="BT27" i="3"/>
  <c r="BU28" i="3"/>
  <c r="BV27" i="3"/>
  <c r="BX27" i="3"/>
  <c r="BW27" i="3" s="1"/>
  <c r="BJ126" i="3"/>
  <c r="F25" i="3" l="1"/>
  <c r="J25" i="3" s="1"/>
  <c r="AL24" i="1" a="1"/>
  <c r="AL24" i="1" s="1"/>
  <c r="AJ24" i="1" a="1"/>
  <c r="AJ24" i="1" s="1"/>
  <c r="M69" i="5"/>
  <c r="N69" i="5" s="1"/>
  <c r="M62" i="5"/>
  <c r="N62" i="5" s="1"/>
  <c r="M57" i="5"/>
  <c r="N57" i="5" s="1"/>
  <c r="M18" i="5"/>
  <c r="N18" i="5" s="1"/>
  <c r="M58" i="5"/>
  <c r="N58" i="5" s="1"/>
  <c r="L11" i="5"/>
  <c r="L12" i="5" s="1"/>
  <c r="M51" i="5"/>
  <c r="N51" i="5" s="1"/>
  <c r="M65" i="5"/>
  <c r="N65" i="5" s="1"/>
  <c r="M56" i="5"/>
  <c r="N56" i="5" s="1"/>
  <c r="M48" i="5"/>
  <c r="N48" i="5" s="1"/>
  <c r="M63" i="5"/>
  <c r="N63" i="5" s="1"/>
  <c r="M50" i="5"/>
  <c r="N50" i="5" s="1"/>
  <c r="M70" i="5"/>
  <c r="N70" i="5" s="1"/>
  <c r="BW3" i="3"/>
  <c r="BW2" i="3" s="1"/>
  <c r="BX2" i="3"/>
  <c r="CD32" i="3"/>
  <c r="CA32" i="3"/>
  <c r="CC32" i="3" s="1"/>
  <c r="CE32" i="3" s="1"/>
  <c r="M52" i="5"/>
  <c r="N52" i="5" s="1"/>
  <c r="M53" i="5"/>
  <c r="N53" i="5" s="1"/>
  <c r="BP212" i="3"/>
  <c r="M59" i="5"/>
  <c r="N59" i="5" s="1"/>
  <c r="L13" i="5"/>
  <c r="BQ212" i="3"/>
  <c r="M61" i="5"/>
  <c r="N61" i="5" s="1"/>
  <c r="M60" i="5"/>
  <c r="N60" i="5" s="1"/>
  <c r="M55" i="5"/>
  <c r="N55" i="5" s="1"/>
  <c r="M64" i="5"/>
  <c r="N64" i="5" s="1"/>
  <c r="M49" i="5"/>
  <c r="N49" i="5" s="1"/>
  <c r="M67" i="5"/>
  <c r="N67" i="5" s="1"/>
  <c r="M68" i="5"/>
  <c r="N68" i="5" s="1"/>
  <c r="M54" i="5"/>
  <c r="N54" i="5" s="1"/>
  <c r="AM24" i="1" a="1"/>
  <c r="AM24" i="1" s="1"/>
  <c r="Y26" i="3"/>
  <c r="Q76" i="4"/>
  <c r="O77" i="4"/>
  <c r="K78" i="4"/>
  <c r="M77" i="4"/>
  <c r="L77" i="4" s="1"/>
  <c r="N77" i="4"/>
  <c r="P77" i="4"/>
  <c r="AK24" i="1" a="1"/>
  <c r="AK24" i="1" s="1"/>
  <c r="BN24" i="3"/>
  <c r="K25" i="3"/>
  <c r="O25" i="3" s="1"/>
  <c r="T25" i="3"/>
  <c r="P26" i="3"/>
  <c r="AO26" i="3"/>
  <c r="AS26" i="3" s="1"/>
  <c r="AP27" i="3"/>
  <c r="AA27" i="3"/>
  <c r="Z26" i="3"/>
  <c r="AD26" i="3" s="1"/>
  <c r="AU27" i="3"/>
  <c r="AT26" i="3"/>
  <c r="AX26" i="3" s="1"/>
  <c r="F26" i="3"/>
  <c r="J26" i="3" s="1"/>
  <c r="G27" i="3"/>
  <c r="Q29" i="3"/>
  <c r="L28" i="3"/>
  <c r="AJ26" i="3"/>
  <c r="AN26" i="3" s="1"/>
  <c r="AK27" i="3"/>
  <c r="AF28" i="3"/>
  <c r="AE27" i="3"/>
  <c r="AI27" i="3" s="1"/>
  <c r="AY26" i="3"/>
  <c r="BC26" i="3" s="1"/>
  <c r="AZ27" i="3"/>
  <c r="V32" i="3"/>
  <c r="Y27" i="3"/>
  <c r="U28" i="3"/>
  <c r="B40" i="2"/>
  <c r="A41" i="2"/>
  <c r="C40" i="2"/>
  <c r="D40" i="2"/>
  <c r="AH26" i="1"/>
  <c r="AO25" i="1"/>
  <c r="AB25" i="1"/>
  <c r="AG25" i="1"/>
  <c r="AE25" i="1"/>
  <c r="Z26" i="1"/>
  <c r="AA25" i="1"/>
  <c r="AC25" i="1"/>
  <c r="AD25" i="1"/>
  <c r="AF25" i="1"/>
  <c r="AS25" i="1"/>
  <c r="AP26" i="1"/>
  <c r="AR25" i="1"/>
  <c r="AT25" i="1"/>
  <c r="AW25" i="1" a="1"/>
  <c r="AW25" i="1" s="1"/>
  <c r="AQ25" i="1"/>
  <c r="AV25" i="1" a="1"/>
  <c r="AV25" i="1" s="1"/>
  <c r="AU25" i="1"/>
  <c r="AI24" i="1" a="1"/>
  <c r="AI24" i="1" s="1"/>
  <c r="AX24" i="1"/>
  <c r="BT28" i="3"/>
  <c r="BU29" i="3"/>
  <c r="BV28" i="3"/>
  <c r="BX28" i="3"/>
  <c r="BW28" i="3" s="1"/>
  <c r="L49" i="4"/>
  <c r="P48" i="4"/>
  <c r="O48" i="4" s="1"/>
  <c r="N48" i="4"/>
  <c r="K48" i="4"/>
  <c r="M48" i="4"/>
  <c r="J48" i="4"/>
  <c r="BJ127" i="3"/>
  <c r="P42" i="5"/>
  <c r="O43" i="5"/>
  <c r="AJ25" i="1" l="1" a="1"/>
  <c r="AJ25" i="1" s="1"/>
  <c r="AM25" i="1" a="1"/>
  <c r="AM25" i="1" s="1"/>
  <c r="AL25" i="1" a="1"/>
  <c r="AL25" i="1" s="1"/>
  <c r="Q77" i="4"/>
  <c r="N78" i="4"/>
  <c r="K79" i="4"/>
  <c r="P78" i="4"/>
  <c r="O78" i="4"/>
  <c r="M78" i="4"/>
  <c r="L78" i="4" s="1"/>
  <c r="AK25" i="1" a="1"/>
  <c r="AK25" i="1" s="1"/>
  <c r="BN25" i="3"/>
  <c r="K26" i="3"/>
  <c r="O26" i="3" s="1"/>
  <c r="T26" i="3"/>
  <c r="P27" i="3"/>
  <c r="AO27" i="3"/>
  <c r="AS27" i="3" s="1"/>
  <c r="AP28" i="3"/>
  <c r="L29" i="3"/>
  <c r="V33" i="3"/>
  <c r="Q30" i="3"/>
  <c r="AZ28" i="3"/>
  <c r="AY27" i="3"/>
  <c r="BC27" i="3" s="1"/>
  <c r="G28" i="3"/>
  <c r="F27" i="3"/>
  <c r="J27" i="3" s="1"/>
  <c r="AF29" i="3"/>
  <c r="AE28" i="3"/>
  <c r="AI28" i="3" s="1"/>
  <c r="AU28" i="3"/>
  <c r="AT27" i="3"/>
  <c r="AX27" i="3" s="1"/>
  <c r="AJ27" i="3"/>
  <c r="AN27" i="3" s="1"/>
  <c r="AK28" i="3"/>
  <c r="Y28" i="3"/>
  <c r="U29" i="3"/>
  <c r="Z27" i="3"/>
  <c r="AD27" i="3" s="1"/>
  <c r="AA28" i="3"/>
  <c r="C41" i="2"/>
  <c r="B41" i="2"/>
  <c r="A42" i="2"/>
  <c r="D41" i="2"/>
  <c r="AT26" i="1"/>
  <c r="AW26" i="1" a="1"/>
  <c r="AW26" i="1" s="1"/>
  <c r="AV26" i="1" a="1"/>
  <c r="AV26" i="1" s="1"/>
  <c r="AR26" i="1"/>
  <c r="AS26" i="1"/>
  <c r="AP27" i="1"/>
  <c r="AQ26" i="1"/>
  <c r="AU26" i="1"/>
  <c r="AC26" i="1"/>
  <c r="AE26" i="1"/>
  <c r="AA26" i="1"/>
  <c r="AB26" i="1"/>
  <c r="Z27" i="1"/>
  <c r="AG26" i="1"/>
  <c r="AD26" i="1"/>
  <c r="AF26" i="1"/>
  <c r="AI25" i="1" a="1"/>
  <c r="AI25" i="1" s="1"/>
  <c r="AX25" i="1"/>
  <c r="AO26" i="1"/>
  <c r="AH27" i="1"/>
  <c r="L50" i="4"/>
  <c r="K49" i="4"/>
  <c r="J49" i="4"/>
  <c r="P49" i="4"/>
  <c r="O49" i="4" s="1"/>
  <c r="N49" i="4"/>
  <c r="M49" i="4"/>
  <c r="BU30" i="3"/>
  <c r="BT29" i="3"/>
  <c r="BV29" i="3"/>
  <c r="BX29" i="3"/>
  <c r="BW29" i="3" s="1"/>
  <c r="P43" i="5"/>
  <c r="O44" i="5"/>
  <c r="BJ128" i="3"/>
  <c r="AJ26" i="1" l="1" a="1"/>
  <c r="AJ26" i="1" s="1"/>
  <c r="Q78" i="4"/>
  <c r="M79" i="4"/>
  <c r="L79" i="4" s="1"/>
  <c r="P79" i="4"/>
  <c r="K80" i="4"/>
  <c r="O79" i="4"/>
  <c r="N79" i="4"/>
  <c r="BN26" i="3"/>
  <c r="K27" i="3"/>
  <c r="O27" i="3" s="1"/>
  <c r="AM26" i="1" a="1"/>
  <c r="AM26" i="1" s="1"/>
  <c r="AK26" i="1" a="1"/>
  <c r="AK26" i="1" s="1"/>
  <c r="T27" i="3"/>
  <c r="P28" i="3"/>
  <c r="AO28" i="3"/>
  <c r="AS28" i="3" s="1"/>
  <c r="AP29" i="3"/>
  <c r="G29" i="3"/>
  <c r="F28" i="3"/>
  <c r="J28" i="3" s="1"/>
  <c r="Y29" i="3"/>
  <c r="U30" i="3"/>
  <c r="AJ28" i="3"/>
  <c r="AN28" i="3" s="1"/>
  <c r="AK29" i="3"/>
  <c r="AZ29" i="3"/>
  <c r="AY28" i="3"/>
  <c r="BC28" i="3" s="1"/>
  <c r="Q31" i="3"/>
  <c r="V34" i="3"/>
  <c r="AU29" i="3"/>
  <c r="AT28" i="3"/>
  <c r="AX28" i="3" s="1"/>
  <c r="AF30" i="3"/>
  <c r="AE29" i="3"/>
  <c r="AI29" i="3" s="1"/>
  <c r="L30" i="3"/>
  <c r="AA29" i="3"/>
  <c r="Z28" i="3"/>
  <c r="AD28" i="3" s="1"/>
  <c r="B42" i="2"/>
  <c r="A43" i="2"/>
  <c r="C42" i="2"/>
  <c r="D42" i="2"/>
  <c r="AD27" i="1"/>
  <c r="AA27" i="1"/>
  <c r="AC27" i="1"/>
  <c r="AE27" i="1"/>
  <c r="AG27" i="1"/>
  <c r="AB27" i="1"/>
  <c r="AF27" i="1"/>
  <c r="Z28" i="1"/>
  <c r="AI26" i="1" a="1"/>
  <c r="AI26" i="1" s="1"/>
  <c r="AX26" i="1"/>
  <c r="AO27" i="1"/>
  <c r="AH28" i="1"/>
  <c r="AR27" i="1"/>
  <c r="AV27" i="1" a="1"/>
  <c r="AV27" i="1" s="1"/>
  <c r="AQ27" i="1"/>
  <c r="AT27" i="1"/>
  <c r="AP28" i="1"/>
  <c r="AU27" i="1"/>
  <c r="AM27" i="1" s="1" a="1"/>
  <c r="AM27" i="1" s="1"/>
  <c r="AW27" i="1" a="1"/>
  <c r="AW27" i="1" s="1"/>
  <c r="AS27" i="1"/>
  <c r="AL26" i="1" a="1"/>
  <c r="AL26" i="1" s="1"/>
  <c r="BU31" i="3"/>
  <c r="BT30" i="3"/>
  <c r="BX30" i="3"/>
  <c r="BW30" i="3" s="1"/>
  <c r="BV30" i="3"/>
  <c r="BJ129" i="3"/>
  <c r="P44" i="5"/>
  <c r="O45" i="5"/>
  <c r="M50" i="4"/>
  <c r="L51" i="4"/>
  <c r="N50" i="4"/>
  <c r="P50" i="4"/>
  <c r="O50" i="4" s="1"/>
  <c r="J50" i="4"/>
  <c r="K50" i="4"/>
  <c r="AK27" i="1" l="1" a="1"/>
  <c r="AK27" i="1" s="1"/>
  <c r="AL27" i="1" a="1"/>
  <c r="AL27" i="1" s="1"/>
  <c r="O80" i="4"/>
  <c r="N80" i="4"/>
  <c r="P80" i="4"/>
  <c r="K81" i="4"/>
  <c r="M80" i="4"/>
  <c r="L80" i="4" s="1"/>
  <c r="Q79" i="4"/>
  <c r="BN27" i="3"/>
  <c r="K28" i="3"/>
  <c r="O28" i="3" s="1"/>
  <c r="AJ27" i="1" a="1"/>
  <c r="AJ27" i="1" s="1"/>
  <c r="T28" i="3"/>
  <c r="P29" i="3"/>
  <c r="AO29" i="3"/>
  <c r="AS29" i="3" s="1"/>
  <c r="AP30" i="3"/>
  <c r="Q32" i="3"/>
  <c r="L31" i="3"/>
  <c r="AZ30" i="3"/>
  <c r="AY29" i="3"/>
  <c r="BC29" i="3" s="1"/>
  <c r="AF31" i="3"/>
  <c r="AE30" i="3"/>
  <c r="AI30" i="3" s="1"/>
  <c r="AJ29" i="3"/>
  <c r="AN29" i="3" s="1"/>
  <c r="AK30" i="3"/>
  <c r="AU30" i="3"/>
  <c r="AT29" i="3"/>
  <c r="AX29" i="3" s="1"/>
  <c r="Y30" i="3"/>
  <c r="U31" i="3"/>
  <c r="Z29" i="3"/>
  <c r="AD29" i="3" s="1"/>
  <c r="AA30" i="3"/>
  <c r="V35" i="3"/>
  <c r="G30" i="3"/>
  <c r="F29" i="3"/>
  <c r="J29" i="3" s="1"/>
  <c r="D43" i="2"/>
  <c r="B43" i="2"/>
  <c r="A44" i="2"/>
  <c r="C43" i="2"/>
  <c r="AH29" i="1"/>
  <c r="AO28" i="1"/>
  <c r="AD28" i="1"/>
  <c r="Z29" i="1"/>
  <c r="AB28" i="1"/>
  <c r="AA28" i="1"/>
  <c r="AE28" i="1"/>
  <c r="AG28" i="1"/>
  <c r="AC28" i="1"/>
  <c r="AF28" i="1"/>
  <c r="AS28" i="1"/>
  <c r="AT28" i="1"/>
  <c r="AL28" i="1" s="1" a="1"/>
  <c r="AL28" i="1" s="1"/>
  <c r="AQ28" i="1"/>
  <c r="AW28" i="1" a="1"/>
  <c r="AW28" i="1" s="1"/>
  <c r="AR28" i="1"/>
  <c r="AU28" i="1"/>
  <c r="AV28" i="1" a="1"/>
  <c r="AV28" i="1" s="1"/>
  <c r="AP29" i="1"/>
  <c r="AX27" i="1"/>
  <c r="AI27" i="1" a="1"/>
  <c r="AI27" i="1" s="1"/>
  <c r="BJ130" i="3"/>
  <c r="BU32" i="3"/>
  <c r="BT31" i="3"/>
  <c r="BV31" i="3"/>
  <c r="BX31" i="3"/>
  <c r="BW31" i="3" s="1"/>
  <c r="K51" i="4"/>
  <c r="M51" i="4"/>
  <c r="N51" i="4"/>
  <c r="J51" i="4"/>
  <c r="P51" i="4"/>
  <c r="O51" i="4" s="1"/>
  <c r="P45" i="5"/>
  <c r="O46" i="5"/>
  <c r="AJ28" i="1" l="1" a="1"/>
  <c r="AJ28" i="1" s="1"/>
  <c r="AM28" i="1" a="1"/>
  <c r="AM28" i="1" s="1"/>
  <c r="Q80" i="4"/>
  <c r="O81" i="4"/>
  <c r="N81" i="4"/>
  <c r="M81" i="4"/>
  <c r="L81" i="4" s="1"/>
  <c r="K82" i="4"/>
  <c r="P81" i="4"/>
  <c r="BN28" i="3"/>
  <c r="K29" i="3"/>
  <c r="O29" i="3" s="1"/>
  <c r="AK28" i="1" a="1"/>
  <c r="AK28" i="1" s="1"/>
  <c r="T29" i="3"/>
  <c r="P30" i="3"/>
  <c r="AP31" i="3"/>
  <c r="AO30" i="3"/>
  <c r="AS30" i="3" s="1"/>
  <c r="AU31" i="3"/>
  <c r="AT30" i="3"/>
  <c r="AX30" i="3" s="1"/>
  <c r="F30" i="3"/>
  <c r="J30" i="3" s="1"/>
  <c r="G31" i="3"/>
  <c r="AK31" i="3"/>
  <c r="AJ30" i="3"/>
  <c r="AN30" i="3" s="1"/>
  <c r="AF32" i="3"/>
  <c r="AE31" i="3"/>
  <c r="AI31" i="3" s="1"/>
  <c r="V36" i="3"/>
  <c r="AY30" i="3"/>
  <c r="BC30" i="3" s="1"/>
  <c r="AZ31" i="3"/>
  <c r="Z30" i="3"/>
  <c r="AD30" i="3" s="1"/>
  <c r="AA31" i="3"/>
  <c r="Y31" i="3"/>
  <c r="U32" i="3"/>
  <c r="L32" i="3"/>
  <c r="Q33" i="3"/>
  <c r="D44" i="2"/>
  <c r="C44" i="2"/>
  <c r="B44" i="2"/>
  <c r="A45" i="2"/>
  <c r="AU29" i="1"/>
  <c r="AT29" i="1"/>
  <c r="AW29" i="1" a="1"/>
  <c r="AW29" i="1" s="1"/>
  <c r="AS29" i="1"/>
  <c r="AQ29" i="1"/>
  <c r="AP30" i="1"/>
  <c r="AV29" i="1" a="1"/>
  <c r="AV29" i="1" s="1"/>
  <c r="AR29" i="1"/>
  <c r="AG29" i="1"/>
  <c r="AD29" i="1"/>
  <c r="AA29" i="1"/>
  <c r="AB29" i="1"/>
  <c r="Z30" i="1"/>
  <c r="AC29" i="1"/>
  <c r="AE29" i="1"/>
  <c r="AF29" i="1"/>
  <c r="AX28" i="1"/>
  <c r="AI28" i="1" a="1"/>
  <c r="AI28" i="1" s="1"/>
  <c r="AH30" i="1"/>
  <c r="AO29" i="1"/>
  <c r="P46" i="5"/>
  <c r="O47" i="5"/>
  <c r="BT32" i="3"/>
  <c r="BU33" i="3"/>
  <c r="BV32" i="3"/>
  <c r="BX32" i="3"/>
  <c r="BW32" i="3" s="1"/>
  <c r="BJ131" i="3"/>
  <c r="AJ29" i="1" l="1" a="1"/>
  <c r="AJ29" i="1" s="1"/>
  <c r="AL29" i="1" a="1"/>
  <c r="AL29" i="1" s="1"/>
  <c r="BN29" i="3"/>
  <c r="Q81" i="4"/>
  <c r="AK29" i="1" a="1"/>
  <c r="AK29" i="1" s="1"/>
  <c r="P82" i="4"/>
  <c r="O82" i="4"/>
  <c r="N82" i="4"/>
  <c r="M82" i="4"/>
  <c r="L82" i="4" s="1"/>
  <c r="K83" i="4"/>
  <c r="K30" i="3"/>
  <c r="O30" i="3" s="1"/>
  <c r="T30" i="3"/>
  <c r="P31" i="3"/>
  <c r="AP32" i="3"/>
  <c r="AO31" i="3"/>
  <c r="AS31" i="3" s="1"/>
  <c r="L33" i="3"/>
  <c r="AF33" i="3"/>
  <c r="AE32" i="3"/>
  <c r="AI32" i="3" s="1"/>
  <c r="Y32" i="3"/>
  <c r="U33" i="3"/>
  <c r="Z31" i="3"/>
  <c r="AD31" i="3" s="1"/>
  <c r="AA32" i="3"/>
  <c r="AJ31" i="3"/>
  <c r="AN31" i="3" s="1"/>
  <c r="AK32" i="3"/>
  <c r="G32" i="3"/>
  <c r="F31" i="3"/>
  <c r="J31" i="3" s="1"/>
  <c r="AZ32" i="3"/>
  <c r="AY31" i="3"/>
  <c r="BC31" i="3" s="1"/>
  <c r="V37" i="3"/>
  <c r="Q34" i="3"/>
  <c r="AT31" i="3"/>
  <c r="AX31" i="3" s="1"/>
  <c r="AU32" i="3"/>
  <c r="C45" i="2"/>
  <c r="B45" i="2"/>
  <c r="D45" i="2"/>
  <c r="A46" i="2"/>
  <c r="AO30" i="1"/>
  <c r="AH31" i="1"/>
  <c r="AW30" i="1" a="1"/>
  <c r="AW30" i="1" s="1"/>
  <c r="AP31" i="1"/>
  <c r="AQ30" i="1"/>
  <c r="AV30" i="1" a="1"/>
  <c r="AV30" i="1" s="1"/>
  <c r="AS30" i="1"/>
  <c r="AU30" i="1"/>
  <c r="AT30" i="1"/>
  <c r="AR30" i="1"/>
  <c r="AX29" i="1"/>
  <c r="AI29" i="1" a="1"/>
  <c r="AI29" i="1" s="1"/>
  <c r="AE30" i="1"/>
  <c r="AA30" i="1"/>
  <c r="AD30" i="1"/>
  <c r="AG30" i="1"/>
  <c r="Z31" i="1"/>
  <c r="AC30" i="1"/>
  <c r="AF30" i="1"/>
  <c r="AB30" i="1"/>
  <c r="AM29" i="1" a="1"/>
  <c r="AM29" i="1" s="1"/>
  <c r="P47" i="5"/>
  <c r="O48" i="5"/>
  <c r="P48" i="5" s="1"/>
  <c r="Q48" i="5" s="1"/>
  <c r="BJ132" i="3"/>
  <c r="BV33" i="3"/>
  <c r="BX33" i="3"/>
  <c r="BW33" i="3" s="1"/>
  <c r="BU34" i="3"/>
  <c r="BT33" i="3"/>
  <c r="AJ30" i="1" l="1" a="1"/>
  <c r="AJ30" i="1" s="1"/>
  <c r="AL30" i="1" a="1"/>
  <c r="AL30" i="1" s="1"/>
  <c r="O83" i="4"/>
  <c r="K84" i="4"/>
  <c r="P83" i="4"/>
  <c r="N83" i="4"/>
  <c r="M83" i="4"/>
  <c r="L83" i="4" s="1"/>
  <c r="Q82" i="4"/>
  <c r="BN30" i="3"/>
  <c r="K31" i="3"/>
  <c r="O31" i="3" s="1"/>
  <c r="AK30" i="1" a="1"/>
  <c r="AK30" i="1" s="1"/>
  <c r="T31" i="3"/>
  <c r="P32" i="3"/>
  <c r="AP33" i="3"/>
  <c r="AO32" i="3"/>
  <c r="AS32" i="3" s="1"/>
  <c r="AK33" i="3"/>
  <c r="AJ32" i="3"/>
  <c r="AN32" i="3" s="1"/>
  <c r="Q35" i="3"/>
  <c r="Z32" i="3"/>
  <c r="AD32" i="3" s="1"/>
  <c r="AA33" i="3"/>
  <c r="V38" i="3"/>
  <c r="Y33" i="3"/>
  <c r="U34" i="3"/>
  <c r="AZ33" i="3"/>
  <c r="AY32" i="3"/>
  <c r="BC32" i="3" s="1"/>
  <c r="AE33" i="3"/>
  <c r="AI33" i="3" s="1"/>
  <c r="AF34" i="3"/>
  <c r="G33" i="3"/>
  <c r="F32" i="3"/>
  <c r="J32" i="3" s="1"/>
  <c r="AM30" i="1" a="1"/>
  <c r="AM30" i="1" s="1"/>
  <c r="AT32" i="3"/>
  <c r="AX32" i="3" s="1"/>
  <c r="AU33" i="3"/>
  <c r="L34" i="3"/>
  <c r="C46" i="2"/>
  <c r="D46" i="2"/>
  <c r="A47" i="2"/>
  <c r="B46" i="2"/>
  <c r="AI30" i="1" a="1"/>
  <c r="AI30" i="1" s="1"/>
  <c r="AX30" i="1"/>
  <c r="AD31" i="1"/>
  <c r="AG31" i="1"/>
  <c r="AF31" i="1"/>
  <c r="Z32" i="1"/>
  <c r="AC31" i="1"/>
  <c r="AE31" i="1"/>
  <c r="AA31" i="1"/>
  <c r="AB31" i="1"/>
  <c r="AW31" i="1" a="1"/>
  <c r="AW31" i="1" s="1"/>
  <c r="AQ31" i="1"/>
  <c r="AR31" i="1"/>
  <c r="AT31" i="1"/>
  <c r="AV31" i="1" a="1"/>
  <c r="AV31" i="1" s="1"/>
  <c r="AP32" i="1"/>
  <c r="AS31" i="1"/>
  <c r="AK31" i="1" s="1" a="1"/>
  <c r="AK31" i="1" s="1"/>
  <c r="AU31" i="1"/>
  <c r="AH32" i="1"/>
  <c r="AO31" i="1"/>
  <c r="Q47" i="5"/>
  <c r="Q46" i="5" s="1"/>
  <c r="Q45" i="5" s="1"/>
  <c r="Q44" i="5" s="1"/>
  <c r="Q43" i="5" s="1"/>
  <c r="Q42" i="5" s="1"/>
  <c r="Q41" i="5" s="1"/>
  <c r="Q40" i="5" s="1"/>
  <c r="Q39" i="5" s="1"/>
  <c r="Q38" i="5" s="1"/>
  <c r="Q37" i="5" s="1"/>
  <c r="Q36" i="5" s="1"/>
  <c r="Q35" i="5" s="1"/>
  <c r="Q34" i="5" s="1"/>
  <c r="Q33" i="5" s="1"/>
  <c r="Q32" i="5" s="1"/>
  <c r="Q31" i="5" s="1"/>
  <c r="Q30" i="5" s="1"/>
  <c r="Q29" i="5" s="1"/>
  <c r="Q28" i="5" s="1"/>
  <c r="Q27" i="5" s="1"/>
  <c r="Q26" i="5" s="1"/>
  <c r="Q25" i="5" s="1"/>
  <c r="Q24" i="5" s="1"/>
  <c r="Q23" i="5" s="1"/>
  <c r="Q22" i="5" s="1"/>
  <c r="Q21" i="5" s="1"/>
  <c r="Q20" i="5" s="1"/>
  <c r="Q19" i="5" s="1"/>
  <c r="Q18" i="5" s="1"/>
  <c r="BT34" i="3"/>
  <c r="BU35" i="3"/>
  <c r="BX34" i="3"/>
  <c r="BW34" i="3" s="1"/>
  <c r="BV34" i="3"/>
  <c r="BJ133" i="3"/>
  <c r="AL31" i="1" l="1" a="1"/>
  <c r="AL31" i="1" s="1"/>
  <c r="AJ31" i="1" a="1"/>
  <c r="AJ31" i="1" s="1"/>
  <c r="Q83" i="4"/>
  <c r="N84" i="4"/>
  <c r="M84" i="4"/>
  <c r="L84" i="4" s="1"/>
  <c r="O84" i="4"/>
  <c r="K85" i="4"/>
  <c r="P84" i="4"/>
  <c r="K32" i="3"/>
  <c r="O32" i="3" s="1"/>
  <c r="BN31" i="3"/>
  <c r="AM31" i="1" a="1"/>
  <c r="AM31" i="1" s="1"/>
  <c r="T32" i="3"/>
  <c r="P33" i="3"/>
  <c r="AP34" i="3"/>
  <c r="AO33" i="3"/>
  <c r="AS33" i="3" s="1"/>
  <c r="AU34" i="3"/>
  <c r="AT33" i="3"/>
  <c r="AX33" i="3" s="1"/>
  <c r="V39" i="3"/>
  <c r="F33" i="3"/>
  <c r="J33" i="3" s="1"/>
  <c r="G34" i="3"/>
  <c r="AF35" i="3"/>
  <c r="AE34" i="3"/>
  <c r="AI34" i="3" s="1"/>
  <c r="Z33" i="3"/>
  <c r="AD33" i="3" s="1"/>
  <c r="AA34" i="3"/>
  <c r="AZ34" i="3"/>
  <c r="AY33" i="3"/>
  <c r="BC33" i="3" s="1"/>
  <c r="Q36" i="3"/>
  <c r="Y34" i="3"/>
  <c r="U35" i="3"/>
  <c r="L35" i="3"/>
  <c r="AJ33" i="3"/>
  <c r="AN33" i="3" s="1"/>
  <c r="AK34" i="3"/>
  <c r="A48" i="2"/>
  <c r="B47" i="2"/>
  <c r="D47" i="2"/>
  <c r="C47" i="2"/>
  <c r="AX31" i="1"/>
  <c r="AI31" i="1" a="1"/>
  <c r="AI31" i="1" s="1"/>
  <c r="AH33" i="1"/>
  <c r="AO32" i="1"/>
  <c r="AF32" i="1"/>
  <c r="AD32" i="1"/>
  <c r="AC32" i="1"/>
  <c r="AB32" i="1"/>
  <c r="Z33" i="1"/>
  <c r="AG32" i="1"/>
  <c r="AE32" i="1"/>
  <c r="AA32" i="1"/>
  <c r="AW32" i="1" a="1"/>
  <c r="AW32" i="1" s="1"/>
  <c r="AU32" i="1"/>
  <c r="AP33" i="1"/>
  <c r="AR32" i="1"/>
  <c r="AT32" i="1"/>
  <c r="AV32" i="1" a="1"/>
  <c r="AV32" i="1" s="1"/>
  <c r="AQ32" i="1"/>
  <c r="AS32" i="1"/>
  <c r="BV35" i="3"/>
  <c r="BU36" i="3"/>
  <c r="BT35" i="3"/>
  <c r="BX35" i="3"/>
  <c r="BW35" i="3" s="1"/>
  <c r="BJ134" i="3"/>
  <c r="AK32" i="1" l="1" a="1"/>
  <c r="AK32" i="1" s="1"/>
  <c r="AJ32" i="1" a="1"/>
  <c r="AJ32" i="1" s="1"/>
  <c r="AL32" i="1" a="1"/>
  <c r="AL32" i="1" s="1"/>
  <c r="Q84" i="4"/>
  <c r="O85" i="4"/>
  <c r="P85" i="4"/>
  <c r="N85" i="4"/>
  <c r="M85" i="4"/>
  <c r="L85" i="4" s="1"/>
  <c r="K86" i="4"/>
  <c r="BN32" i="3"/>
  <c r="K33" i="3"/>
  <c r="O33" i="3" s="1"/>
  <c r="AM32" i="1" a="1"/>
  <c r="AM32" i="1" s="1"/>
  <c r="T33" i="3"/>
  <c r="P34" i="3"/>
  <c r="AP35" i="3"/>
  <c r="AO34" i="3"/>
  <c r="AS34" i="3" s="1"/>
  <c r="L36" i="3"/>
  <c r="AF36" i="3"/>
  <c r="AE35" i="3"/>
  <c r="AI35" i="3" s="1"/>
  <c r="G35" i="3"/>
  <c r="F34" i="3"/>
  <c r="J34" i="3" s="1"/>
  <c r="Y35" i="3"/>
  <c r="U36" i="3"/>
  <c r="Q37" i="3"/>
  <c r="V40" i="3"/>
  <c r="AY34" i="3"/>
  <c r="BC34" i="3" s="1"/>
  <c r="AZ35" i="3"/>
  <c r="AA35" i="3"/>
  <c r="Z34" i="3"/>
  <c r="AD34" i="3" s="1"/>
  <c r="AJ34" i="3"/>
  <c r="AN34" i="3" s="1"/>
  <c r="AK35" i="3"/>
  <c r="AT34" i="3"/>
  <c r="AX34" i="3" s="1"/>
  <c r="AU35" i="3"/>
  <c r="A49" i="2"/>
  <c r="C48" i="2"/>
  <c r="B48" i="2"/>
  <c r="D48" i="2"/>
  <c r="AF33" i="1"/>
  <c r="AC33" i="1"/>
  <c r="AB33" i="1"/>
  <c r="AA33" i="1"/>
  <c r="Z34" i="1"/>
  <c r="AE33" i="1"/>
  <c r="AG33" i="1"/>
  <c r="AD33" i="1"/>
  <c r="AI32" i="1" a="1"/>
  <c r="AI32" i="1" s="1"/>
  <c r="AX32" i="1"/>
  <c r="AV33" i="1" a="1"/>
  <c r="AV33" i="1" s="1"/>
  <c r="AW33" i="1" a="1"/>
  <c r="AW33" i="1" s="1"/>
  <c r="AQ33" i="1"/>
  <c r="AS33" i="1"/>
  <c r="AK33" i="1" s="1" a="1"/>
  <c r="AK33" i="1" s="1"/>
  <c r="AP34" i="1"/>
  <c r="AR33" i="1"/>
  <c r="AT33" i="1"/>
  <c r="AU33" i="1"/>
  <c r="AM33" i="1" s="1" a="1"/>
  <c r="AM33" i="1" s="1"/>
  <c r="AO33" i="1"/>
  <c r="AH34" i="1"/>
  <c r="BJ135" i="3"/>
  <c r="BU37" i="3"/>
  <c r="BT36" i="3"/>
  <c r="BX36" i="3"/>
  <c r="BW36" i="3" s="1"/>
  <c r="BV36" i="3"/>
  <c r="AL33" i="1" l="1" a="1"/>
  <c r="AL33" i="1" s="1"/>
  <c r="AJ33" i="1" a="1"/>
  <c r="AJ33" i="1" s="1"/>
  <c r="O86" i="4"/>
  <c r="M86" i="4"/>
  <c r="L86" i="4" s="1"/>
  <c r="N86" i="4"/>
  <c r="K87" i="4"/>
  <c r="P86" i="4"/>
  <c r="Q85" i="4"/>
  <c r="BN33" i="3"/>
  <c r="K34" i="3"/>
  <c r="O34" i="3" s="1"/>
  <c r="T34" i="3"/>
  <c r="P35" i="3"/>
  <c r="AO35" i="3"/>
  <c r="AS35" i="3" s="1"/>
  <c r="AP36" i="3"/>
  <c r="AK36" i="3"/>
  <c r="AJ35" i="3"/>
  <c r="AN35" i="3" s="1"/>
  <c r="Q38" i="3"/>
  <c r="Y36" i="3"/>
  <c r="U37" i="3"/>
  <c r="Z35" i="3"/>
  <c r="AD35" i="3" s="1"/>
  <c r="AA36" i="3"/>
  <c r="AZ36" i="3"/>
  <c r="AY35" i="3"/>
  <c r="BC35" i="3" s="1"/>
  <c r="G36" i="3"/>
  <c r="F35" i="3"/>
  <c r="J35" i="3" s="1"/>
  <c r="AE36" i="3"/>
  <c r="AI36" i="3" s="1"/>
  <c r="AF37" i="3"/>
  <c r="V41" i="3"/>
  <c r="AU36" i="3"/>
  <c r="AT35" i="3"/>
  <c r="AX35" i="3" s="1"/>
  <c r="L37" i="3"/>
  <c r="C49" i="2"/>
  <c r="B49" i="2"/>
  <c r="D49" i="2"/>
  <c r="A50" i="2"/>
  <c r="AO34" i="1"/>
  <c r="AH35" i="1"/>
  <c r="Z35" i="1"/>
  <c r="AD34" i="1"/>
  <c r="AA34" i="1"/>
  <c r="AB34" i="1"/>
  <c r="AE34" i="1"/>
  <c r="AF34" i="1"/>
  <c r="AC34" i="1"/>
  <c r="AG34" i="1"/>
  <c r="AV34" i="1" a="1"/>
  <c r="AV34" i="1" s="1"/>
  <c r="AU34" i="1"/>
  <c r="AW34" i="1" a="1"/>
  <c r="AW34" i="1" s="1"/>
  <c r="AP35" i="1"/>
  <c r="AS34" i="1"/>
  <c r="AQ34" i="1"/>
  <c r="AT34" i="1"/>
  <c r="AL34" i="1" s="1" a="1"/>
  <c r="AL34" i="1" s="1"/>
  <c r="AR34" i="1"/>
  <c r="AJ34" i="1" s="1" a="1"/>
  <c r="AJ34" i="1" s="1"/>
  <c r="AI33" i="1" a="1"/>
  <c r="AI33" i="1" s="1"/>
  <c r="AX33" i="1"/>
  <c r="BT37" i="3"/>
  <c r="BU38" i="3"/>
  <c r="BX37" i="3"/>
  <c r="BW37" i="3" s="1"/>
  <c r="BV37" i="3"/>
  <c r="BJ136" i="3"/>
  <c r="BN34" i="3" l="1"/>
  <c r="AM34" i="1" a="1"/>
  <c r="AM34" i="1" s="1"/>
  <c r="Q86" i="4"/>
  <c r="M87" i="4"/>
  <c r="L87" i="4" s="1"/>
  <c r="N87" i="4"/>
  <c r="O87" i="4"/>
  <c r="K88" i="4"/>
  <c r="P87" i="4"/>
  <c r="K35" i="3"/>
  <c r="O35" i="3" s="1"/>
  <c r="AK34" i="1" a="1"/>
  <c r="AK34" i="1" s="1"/>
  <c r="T35" i="3"/>
  <c r="P36" i="3"/>
  <c r="AO36" i="3"/>
  <c r="AS36" i="3" s="1"/>
  <c r="AP37" i="3"/>
  <c r="L38" i="3"/>
  <c r="AZ37" i="3"/>
  <c r="AY36" i="3"/>
  <c r="BC36" i="3" s="1"/>
  <c r="AU37" i="3"/>
  <c r="AT36" i="3"/>
  <c r="AX36" i="3" s="1"/>
  <c r="V42" i="3"/>
  <c r="AA37" i="3"/>
  <c r="Z36" i="3"/>
  <c r="AD36" i="3" s="1"/>
  <c r="AF38" i="3"/>
  <c r="AE37" i="3"/>
  <c r="AI37" i="3" s="1"/>
  <c r="Y37" i="3"/>
  <c r="U38" i="3"/>
  <c r="Q39" i="3"/>
  <c r="F36" i="3"/>
  <c r="J36" i="3" s="1"/>
  <c r="G37" i="3"/>
  <c r="AJ36" i="3"/>
  <c r="AN36" i="3" s="1"/>
  <c r="AK37" i="3"/>
  <c r="D50" i="2"/>
  <c r="A51" i="2"/>
  <c r="B50" i="2"/>
  <c r="C50" i="2"/>
  <c r="AX34" i="1"/>
  <c r="AI34" i="1" a="1"/>
  <c r="AI34" i="1" s="1"/>
  <c r="AE35" i="1"/>
  <c r="Z36" i="1"/>
  <c r="AG35" i="1"/>
  <c r="AD35" i="1"/>
  <c r="AB35" i="1"/>
  <c r="AA35" i="1"/>
  <c r="AC35" i="1"/>
  <c r="AF35" i="1"/>
  <c r="AR35" i="1"/>
  <c r="AJ35" i="1" s="1" a="1"/>
  <c r="AJ35" i="1" s="1"/>
  <c r="AS35" i="1"/>
  <c r="AK35" i="1" s="1" a="1"/>
  <c r="AK35" i="1" s="1"/>
  <c r="AW35" i="1" a="1"/>
  <c r="AW35" i="1" s="1"/>
  <c r="AP36" i="1"/>
  <c r="AU35" i="1"/>
  <c r="AV35" i="1" a="1"/>
  <c r="AV35" i="1" s="1"/>
  <c r="AQ35" i="1"/>
  <c r="AT35" i="1"/>
  <c r="AL35" i="1" s="1" a="1"/>
  <c r="AL35" i="1" s="1"/>
  <c r="AH36" i="1"/>
  <c r="AO35" i="1"/>
  <c r="BJ137" i="3"/>
  <c r="BT38" i="3"/>
  <c r="BX38" i="3"/>
  <c r="BW38" i="3" s="1"/>
  <c r="BU39" i="3"/>
  <c r="BV38" i="3"/>
  <c r="AM35" i="1" l="1" a="1"/>
  <c r="AM35" i="1" s="1"/>
  <c r="BN35" i="3"/>
  <c r="Q87" i="4"/>
  <c r="K89" i="4"/>
  <c r="N88" i="4"/>
  <c r="O88" i="4"/>
  <c r="M88" i="4"/>
  <c r="L88" i="4" s="1"/>
  <c r="P88" i="4"/>
  <c r="K36" i="3"/>
  <c r="O36" i="3" s="1"/>
  <c r="T36" i="3"/>
  <c r="P37" i="3"/>
  <c r="AP38" i="3"/>
  <c r="AO37" i="3"/>
  <c r="AS37" i="3" s="1"/>
  <c r="V43" i="3"/>
  <c r="G38" i="3"/>
  <c r="F37" i="3"/>
  <c r="J37" i="3" s="1"/>
  <c r="Q40" i="3"/>
  <c r="Y38" i="3"/>
  <c r="U39" i="3"/>
  <c r="AU38" i="3"/>
  <c r="AT37" i="3"/>
  <c r="AX37" i="3" s="1"/>
  <c r="AY37" i="3"/>
  <c r="BC37" i="3" s="1"/>
  <c r="AZ38" i="3"/>
  <c r="AF39" i="3"/>
  <c r="AE38" i="3"/>
  <c r="AI38" i="3" s="1"/>
  <c r="AJ37" i="3"/>
  <c r="AN37" i="3" s="1"/>
  <c r="AK38" i="3"/>
  <c r="AA38" i="3"/>
  <c r="Z37" i="3"/>
  <c r="AD37" i="3" s="1"/>
  <c r="L39" i="3"/>
  <c r="C51" i="2"/>
  <c r="A52" i="2"/>
  <c r="B51" i="2"/>
  <c r="D51" i="2"/>
  <c r="AO36" i="1"/>
  <c r="AH37" i="1"/>
  <c r="AI35" i="1" a="1"/>
  <c r="AI35" i="1" s="1"/>
  <c r="AX35" i="1"/>
  <c r="AB36" i="1"/>
  <c r="Z37" i="1"/>
  <c r="AC36" i="1"/>
  <c r="AG36" i="1"/>
  <c r="AF36" i="1"/>
  <c r="AA36" i="1"/>
  <c r="AD36" i="1"/>
  <c r="AE36" i="1"/>
  <c r="AQ36" i="1"/>
  <c r="AU36" i="1"/>
  <c r="AV36" i="1" a="1"/>
  <c r="AV36" i="1" s="1"/>
  <c r="AP37" i="1"/>
  <c r="AS36" i="1"/>
  <c r="AT36" i="1"/>
  <c r="AW36" i="1" a="1"/>
  <c r="AW36" i="1" s="1"/>
  <c r="AR36" i="1"/>
  <c r="AJ36" i="1" s="1" a="1"/>
  <c r="AJ36" i="1" s="1"/>
  <c r="BV39" i="3"/>
  <c r="BX39" i="3"/>
  <c r="BW39" i="3" s="1"/>
  <c r="BT39" i="3"/>
  <c r="BU40" i="3"/>
  <c r="BJ138" i="3"/>
  <c r="AM36" i="1" l="1" a="1"/>
  <c r="AM36" i="1" s="1"/>
  <c r="AK36" i="1" a="1"/>
  <c r="AK36" i="1" s="1"/>
  <c r="Q88" i="4"/>
  <c r="AL36" i="1" a="1"/>
  <c r="AL36" i="1" s="1"/>
  <c r="N89" i="4"/>
  <c r="K90" i="4"/>
  <c r="O89" i="4"/>
  <c r="P89" i="4"/>
  <c r="M89" i="4"/>
  <c r="L89" i="4" s="1"/>
  <c r="BN36" i="3"/>
  <c r="K37" i="3"/>
  <c r="O37" i="3" s="1"/>
  <c r="T37" i="3"/>
  <c r="P38" i="3"/>
  <c r="AP39" i="3"/>
  <c r="AO38" i="3"/>
  <c r="AS38" i="3" s="1"/>
  <c r="L40" i="3"/>
  <c r="Y39" i="3"/>
  <c r="U40" i="3"/>
  <c r="Z38" i="3"/>
  <c r="AD38" i="3" s="1"/>
  <c r="AA39" i="3"/>
  <c r="AK39" i="3"/>
  <c r="AJ38" i="3"/>
  <c r="AN38" i="3" s="1"/>
  <c r="Q41" i="3"/>
  <c r="AE39" i="3"/>
  <c r="AI39" i="3" s="1"/>
  <c r="AF40" i="3"/>
  <c r="AZ39" i="3"/>
  <c r="AY38" i="3"/>
  <c r="BC38" i="3" s="1"/>
  <c r="F38" i="3"/>
  <c r="J38" i="3" s="1"/>
  <c r="G39" i="3"/>
  <c r="V44" i="3"/>
  <c r="AT38" i="3"/>
  <c r="AX38" i="3" s="1"/>
  <c r="AU39" i="3"/>
  <c r="C52" i="2"/>
  <c r="A53" i="2"/>
  <c r="D52" i="2"/>
  <c r="B52" i="2"/>
  <c r="AF37" i="1"/>
  <c r="AA37" i="1"/>
  <c r="Z38" i="1"/>
  <c r="AG37" i="1"/>
  <c r="AE37" i="1"/>
  <c r="AB37" i="1"/>
  <c r="AD37" i="1"/>
  <c r="AC37" i="1"/>
  <c r="AW37" i="1" a="1"/>
  <c r="AW37" i="1" s="1"/>
  <c r="AV37" i="1" a="1"/>
  <c r="AV37" i="1" s="1"/>
  <c r="AR37" i="1"/>
  <c r="AJ37" i="1" s="1" a="1"/>
  <c r="AJ37" i="1" s="1"/>
  <c r="AS37" i="1"/>
  <c r="AK37" i="1" s="1" a="1"/>
  <c r="AK37" i="1" s="1"/>
  <c r="AQ37" i="1"/>
  <c r="AP38" i="1"/>
  <c r="AU37" i="1"/>
  <c r="AT37" i="1"/>
  <c r="AO37" i="1"/>
  <c r="AH38" i="1"/>
  <c r="AI36" i="1" a="1"/>
  <c r="AI36" i="1" s="1"/>
  <c r="AX36" i="1"/>
  <c r="BJ139" i="3"/>
  <c r="BT40" i="3"/>
  <c r="BX40" i="3"/>
  <c r="BW40" i="3" s="1"/>
  <c r="BU41" i="3"/>
  <c r="BV40" i="3"/>
  <c r="AL37" i="1" l="1" a="1"/>
  <c r="AL37" i="1" s="1"/>
  <c r="AM37" i="1" a="1"/>
  <c r="AM37" i="1" s="1"/>
  <c r="BN37" i="3"/>
  <c r="Q89" i="4"/>
  <c r="P90" i="4"/>
  <c r="N90" i="4"/>
  <c r="K91" i="4"/>
  <c r="M90" i="4"/>
  <c r="L90" i="4" s="1"/>
  <c r="O90" i="4"/>
  <c r="K38" i="3"/>
  <c r="O38" i="3" s="1"/>
  <c r="T38" i="3"/>
  <c r="P39" i="3"/>
  <c r="AO39" i="3"/>
  <c r="AS39" i="3" s="1"/>
  <c r="AP40" i="3"/>
  <c r="V45" i="3"/>
  <c r="Q42" i="3"/>
  <c r="AJ39" i="3"/>
  <c r="AN39" i="3" s="1"/>
  <c r="AK40" i="3"/>
  <c r="F39" i="3"/>
  <c r="J39" i="3" s="1"/>
  <c r="G40" i="3"/>
  <c r="Z39" i="3"/>
  <c r="AD39" i="3" s="1"/>
  <c r="AA40" i="3"/>
  <c r="Y40" i="3"/>
  <c r="U41" i="3"/>
  <c r="AZ40" i="3"/>
  <c r="AY39" i="3"/>
  <c r="BC39" i="3" s="1"/>
  <c r="AF41" i="3"/>
  <c r="AE40" i="3"/>
  <c r="AI40" i="3" s="1"/>
  <c r="L41" i="3"/>
  <c r="AU40" i="3"/>
  <c r="AT39" i="3"/>
  <c r="AX39" i="3" s="1"/>
  <c r="C53" i="2"/>
  <c r="D53" i="2"/>
  <c r="B53" i="2"/>
  <c r="A54" i="2"/>
  <c r="AH39" i="1"/>
  <c r="AO38" i="1"/>
  <c r="AB38" i="1"/>
  <c r="AA38" i="1"/>
  <c r="AC38" i="1"/>
  <c r="AD38" i="1"/>
  <c r="Z39" i="1"/>
  <c r="AG38" i="1"/>
  <c r="AF38" i="1"/>
  <c r="AE38" i="1"/>
  <c r="AU38" i="1"/>
  <c r="AM38" i="1" s="1" a="1"/>
  <c r="AM38" i="1" s="1"/>
  <c r="AT38" i="1"/>
  <c r="AV38" i="1" a="1"/>
  <c r="AV38" i="1" s="1"/>
  <c r="AP39" i="1"/>
  <c r="AW38" i="1" a="1"/>
  <c r="AW38" i="1" s="1"/>
  <c r="AQ38" i="1"/>
  <c r="AS38" i="1"/>
  <c r="AK38" i="1" s="1" a="1"/>
  <c r="AK38" i="1" s="1"/>
  <c r="AR38" i="1"/>
  <c r="AX37" i="1"/>
  <c r="AI37" i="1" a="1"/>
  <c r="AI37" i="1" s="1"/>
  <c r="BT41" i="3"/>
  <c r="BV41" i="3"/>
  <c r="BU42" i="3"/>
  <c r="BX41" i="3"/>
  <c r="BW41" i="3" s="1"/>
  <c r="BJ140" i="3"/>
  <c r="AL38" i="1" l="1" a="1"/>
  <c r="AL38" i="1" s="1"/>
  <c r="AJ38" i="1" a="1"/>
  <c r="AJ38" i="1" s="1"/>
  <c r="BN38" i="3"/>
  <c r="M91" i="4"/>
  <c r="L91" i="4" s="1"/>
  <c r="N91" i="4"/>
  <c r="O91" i="4"/>
  <c r="K92" i="4"/>
  <c r="P91" i="4"/>
  <c r="Q90" i="4"/>
  <c r="K39" i="3"/>
  <c r="O39" i="3" s="1"/>
  <c r="T39" i="3"/>
  <c r="P40" i="3"/>
  <c r="AO40" i="3"/>
  <c r="AS40" i="3" s="1"/>
  <c r="AP41" i="3"/>
  <c r="AU41" i="3"/>
  <c r="AT40" i="3"/>
  <c r="AX40" i="3" s="1"/>
  <c r="AA41" i="3"/>
  <c r="Z40" i="3"/>
  <c r="AD40" i="3" s="1"/>
  <c r="L42" i="3"/>
  <c r="G41" i="3"/>
  <c r="F40" i="3"/>
  <c r="J40" i="3" s="1"/>
  <c r="AF42" i="3"/>
  <c r="AE41" i="3"/>
  <c r="AI41" i="3" s="1"/>
  <c r="AJ40" i="3"/>
  <c r="AN40" i="3" s="1"/>
  <c r="AK41" i="3"/>
  <c r="AZ41" i="3"/>
  <c r="AY40" i="3"/>
  <c r="BC40" i="3" s="1"/>
  <c r="Y41" i="3"/>
  <c r="U42" i="3"/>
  <c r="Q43" i="3"/>
  <c r="V46" i="3"/>
  <c r="B54" i="2"/>
  <c r="A55" i="2"/>
  <c r="D54" i="2"/>
  <c r="C54" i="2"/>
  <c r="AI38" i="1" a="1"/>
  <c r="AI38" i="1" s="1"/>
  <c r="AX38" i="1"/>
  <c r="AF39" i="1"/>
  <c r="AD39" i="1"/>
  <c r="AG39" i="1"/>
  <c r="AA39" i="1"/>
  <c r="AC39" i="1"/>
  <c r="Z40" i="1"/>
  <c r="AE39" i="1"/>
  <c r="AB39" i="1"/>
  <c r="AQ39" i="1"/>
  <c r="AP40" i="1"/>
  <c r="AR39" i="1"/>
  <c r="AS39" i="1"/>
  <c r="AV39" i="1" a="1"/>
  <c r="AV39" i="1" s="1"/>
  <c r="AT39" i="1"/>
  <c r="AL39" i="1" s="1" a="1"/>
  <c r="AL39" i="1" s="1"/>
  <c r="AW39" i="1" a="1"/>
  <c r="AW39" i="1" s="1"/>
  <c r="AU39" i="1"/>
  <c r="AO39" i="1"/>
  <c r="AH40" i="1"/>
  <c r="BJ141" i="3"/>
  <c r="BU43" i="3"/>
  <c r="BT42" i="3"/>
  <c r="BX42" i="3"/>
  <c r="BW42" i="3" s="1"/>
  <c r="BV42" i="3"/>
  <c r="AK39" i="1" l="1" a="1"/>
  <c r="AK39" i="1" s="1"/>
  <c r="AM39" i="1" a="1"/>
  <c r="AM39" i="1" s="1"/>
  <c r="Q91" i="4"/>
  <c r="O92" i="4"/>
  <c r="K93" i="4"/>
  <c r="P92" i="4"/>
  <c r="M92" i="4"/>
  <c r="L92" i="4" s="1"/>
  <c r="N92" i="4"/>
  <c r="BN39" i="3"/>
  <c r="K40" i="3"/>
  <c r="O40" i="3" s="1"/>
  <c r="AJ39" i="1" a="1"/>
  <c r="AJ39" i="1" s="1"/>
  <c r="T40" i="3"/>
  <c r="P41" i="3"/>
  <c r="AO41" i="3"/>
  <c r="AS41" i="3" s="1"/>
  <c r="AP42" i="3"/>
  <c r="V47" i="3"/>
  <c r="AF43" i="3"/>
  <c r="AE42" i="3"/>
  <c r="AI42" i="3" s="1"/>
  <c r="Q44" i="3"/>
  <c r="F41" i="3"/>
  <c r="J41" i="3" s="1"/>
  <c r="G42" i="3"/>
  <c r="Y42" i="3"/>
  <c r="U43" i="3"/>
  <c r="L43" i="3"/>
  <c r="AY41" i="3"/>
  <c r="BC41" i="3" s="1"/>
  <c r="AZ42" i="3"/>
  <c r="AA42" i="3"/>
  <c r="Z41" i="3"/>
  <c r="AD41" i="3" s="1"/>
  <c r="AJ41" i="3"/>
  <c r="AN41" i="3" s="1"/>
  <c r="AK42" i="3"/>
  <c r="AT41" i="3"/>
  <c r="AX41" i="3" s="1"/>
  <c r="AU42" i="3"/>
  <c r="C55" i="2"/>
  <c r="D55" i="2"/>
  <c r="A56" i="2"/>
  <c r="B55" i="2"/>
  <c r="AP41" i="1"/>
  <c r="AT40" i="1"/>
  <c r="AQ40" i="1"/>
  <c r="AW40" i="1" a="1"/>
  <c r="AW40" i="1" s="1"/>
  <c r="AR40" i="1"/>
  <c r="AV40" i="1" a="1"/>
  <c r="AV40" i="1" s="1"/>
  <c r="AS40" i="1"/>
  <c r="AU40" i="1"/>
  <c r="AX39" i="1"/>
  <c r="AI39" i="1" a="1"/>
  <c r="AI39" i="1" s="1"/>
  <c r="AO40" i="1"/>
  <c r="AH41" i="1"/>
  <c r="AF40" i="1"/>
  <c r="AB40" i="1"/>
  <c r="Z41" i="1"/>
  <c r="AA40" i="1"/>
  <c r="AD40" i="1"/>
  <c r="AE40" i="1"/>
  <c r="AG40" i="1"/>
  <c r="AC40" i="1"/>
  <c r="BU44" i="3"/>
  <c r="BT43" i="3"/>
  <c r="BV43" i="3"/>
  <c r="BX43" i="3"/>
  <c r="BW43" i="3" s="1"/>
  <c r="BJ142" i="3"/>
  <c r="AL40" i="1" l="1" a="1"/>
  <c r="AL40" i="1" s="1"/>
  <c r="AJ40" i="1" a="1"/>
  <c r="AJ40" i="1" s="1"/>
  <c r="AM40" i="1" a="1"/>
  <c r="AM40" i="1" s="1"/>
  <c r="Q92" i="4"/>
  <c r="O93" i="4"/>
  <c r="K94" i="4"/>
  <c r="N93" i="4"/>
  <c r="M93" i="4"/>
  <c r="L93" i="4" s="1"/>
  <c r="P93" i="4"/>
  <c r="BN40" i="3"/>
  <c r="K41" i="3"/>
  <c r="T41" i="3"/>
  <c r="P42" i="3"/>
  <c r="AP43" i="3"/>
  <c r="AO42" i="3"/>
  <c r="AS42" i="3" s="1"/>
  <c r="G43" i="3"/>
  <c r="F42" i="3"/>
  <c r="J42" i="3" s="1"/>
  <c r="AK43" i="3"/>
  <c r="AJ42" i="3"/>
  <c r="AN42" i="3" s="1"/>
  <c r="Q45" i="3"/>
  <c r="AA43" i="3"/>
  <c r="Z42" i="3"/>
  <c r="AD42" i="3" s="1"/>
  <c r="AZ43" i="3"/>
  <c r="AY42" i="3"/>
  <c r="BC42" i="3" s="1"/>
  <c r="AF44" i="3"/>
  <c r="AE43" i="3"/>
  <c r="AI43" i="3" s="1"/>
  <c r="L44" i="3"/>
  <c r="Y43" i="3"/>
  <c r="U44" i="3"/>
  <c r="AT42" i="3"/>
  <c r="AX42" i="3" s="1"/>
  <c r="AU43" i="3"/>
  <c r="V48" i="3"/>
  <c r="A57" i="2"/>
  <c r="B56" i="2"/>
  <c r="D56" i="2"/>
  <c r="C56" i="2"/>
  <c r="AH42" i="1"/>
  <c r="AO41" i="1"/>
  <c r="AK40" i="1" a="1"/>
  <c r="AK40" i="1" s="1"/>
  <c r="AI40" i="1" a="1"/>
  <c r="AI40" i="1" s="1"/>
  <c r="AX40" i="1"/>
  <c r="Z42" i="1"/>
  <c r="AC41" i="1"/>
  <c r="AD41" i="1"/>
  <c r="AA41" i="1"/>
  <c r="AF41" i="1"/>
  <c r="AE41" i="1"/>
  <c r="AB41" i="1"/>
  <c r="AG41" i="1"/>
  <c r="AS41" i="1"/>
  <c r="AV41" i="1" a="1"/>
  <c r="AV41" i="1" s="1"/>
  <c r="AT41" i="1"/>
  <c r="AP42" i="1"/>
  <c r="AU41" i="1"/>
  <c r="AR41" i="1"/>
  <c r="AW41" i="1" a="1"/>
  <c r="AW41" i="1" s="1"/>
  <c r="AQ41" i="1"/>
  <c r="BJ143" i="3"/>
  <c r="BT44" i="3"/>
  <c r="BU45" i="3"/>
  <c r="BX44" i="3"/>
  <c r="BW44" i="3" s="1"/>
  <c r="BV44" i="3"/>
  <c r="AK41" i="1" l="1" a="1"/>
  <c r="AK41" i="1" s="1"/>
  <c r="AJ41" i="1" a="1"/>
  <c r="AJ41" i="1" s="1"/>
  <c r="AM41" i="1" a="1"/>
  <c r="AM41" i="1" s="1"/>
  <c r="AL41" i="1" a="1"/>
  <c r="AL41" i="1" s="1"/>
  <c r="Q93" i="4"/>
  <c r="K95" i="4"/>
  <c r="O94" i="4"/>
  <c r="M94" i="4"/>
  <c r="L94" i="4" s="1"/>
  <c r="N94" i="4"/>
  <c r="P94" i="4"/>
  <c r="O41" i="3"/>
  <c r="BN41" i="3" s="1"/>
  <c r="K42" i="3"/>
  <c r="T42" i="3"/>
  <c r="P43" i="3"/>
  <c r="AP44" i="3"/>
  <c r="AO43" i="3"/>
  <c r="AS43" i="3" s="1"/>
  <c r="V49" i="3"/>
  <c r="AT43" i="3"/>
  <c r="AX43" i="3" s="1"/>
  <c r="AU44" i="3"/>
  <c r="AY43" i="3"/>
  <c r="BC43" i="3" s="1"/>
  <c r="AZ44" i="3"/>
  <c r="Y44" i="3"/>
  <c r="U45" i="3"/>
  <c r="Z43" i="3"/>
  <c r="AD43" i="3" s="1"/>
  <c r="AA44" i="3"/>
  <c r="Q46" i="3"/>
  <c r="L45" i="3"/>
  <c r="AJ43" i="3"/>
  <c r="AN43" i="3" s="1"/>
  <c r="AK44" i="3"/>
  <c r="AF45" i="3"/>
  <c r="AE44" i="3"/>
  <c r="AI44" i="3" s="1"/>
  <c r="F43" i="3"/>
  <c r="J43" i="3" s="1"/>
  <c r="G44" i="3"/>
  <c r="B57" i="2"/>
  <c r="D57" i="2"/>
  <c r="C57" i="2"/>
  <c r="A58" i="2"/>
  <c r="AX41" i="1"/>
  <c r="AI41" i="1" a="1"/>
  <c r="AI41" i="1" s="1"/>
  <c r="AC42" i="1"/>
  <c r="AE42" i="1"/>
  <c r="AB42" i="1"/>
  <c r="AG42" i="1"/>
  <c r="Z43" i="1"/>
  <c r="AA42" i="1"/>
  <c r="AF42" i="1"/>
  <c r="AD42" i="1"/>
  <c r="AQ42" i="1"/>
  <c r="AT42" i="1"/>
  <c r="AW42" i="1" a="1"/>
  <c r="AW42" i="1" s="1"/>
  <c r="AV42" i="1" a="1"/>
  <c r="AV42" i="1" s="1"/>
  <c r="AU42" i="1"/>
  <c r="AR42" i="1"/>
  <c r="AJ42" i="1" s="1" a="1"/>
  <c r="AJ42" i="1" s="1"/>
  <c r="AS42" i="1"/>
  <c r="AK42" i="1" s="1" a="1"/>
  <c r="AK42" i="1" s="1"/>
  <c r="AP43" i="1"/>
  <c r="AO42" i="1"/>
  <c r="AH43" i="1"/>
  <c r="BT45" i="3"/>
  <c r="BU46" i="3"/>
  <c r="BV45" i="3"/>
  <c r="BX45" i="3"/>
  <c r="BW45" i="3" s="1"/>
  <c r="BJ144" i="3"/>
  <c r="AL42" i="1" l="1" a="1"/>
  <c r="AL42" i="1" s="1"/>
  <c r="AM42" i="1" a="1"/>
  <c r="AM42" i="1" s="1"/>
  <c r="Q94" i="4"/>
  <c r="M95" i="4"/>
  <c r="L95" i="4" s="1"/>
  <c r="N95" i="4"/>
  <c r="K96" i="4"/>
  <c r="P95" i="4"/>
  <c r="O95" i="4"/>
  <c r="O42" i="3"/>
  <c r="BN42" i="3" s="1"/>
  <c r="K43" i="3"/>
  <c r="T43" i="3"/>
  <c r="P44" i="3"/>
  <c r="AP45" i="3"/>
  <c r="AO44" i="3"/>
  <c r="AS44" i="3" s="1"/>
  <c r="F44" i="3"/>
  <c r="J44" i="3" s="1"/>
  <c r="G45" i="3"/>
  <c r="Y45" i="3"/>
  <c r="U46" i="3"/>
  <c r="AY44" i="3"/>
  <c r="BC44" i="3" s="1"/>
  <c r="AZ45" i="3"/>
  <c r="AF46" i="3"/>
  <c r="AE45" i="3"/>
  <c r="AI45" i="3" s="1"/>
  <c r="AJ44" i="3"/>
  <c r="AN44" i="3" s="1"/>
  <c r="AK45" i="3"/>
  <c r="AU45" i="3"/>
  <c r="AT44" i="3"/>
  <c r="AX44" i="3" s="1"/>
  <c r="L46" i="3"/>
  <c r="Q47" i="3"/>
  <c r="V50" i="3"/>
  <c r="AA45" i="3"/>
  <c r="Z44" i="3"/>
  <c r="AD44" i="3" s="1"/>
  <c r="C58" i="2"/>
  <c r="A59" i="2"/>
  <c r="D58" i="2"/>
  <c r="B58" i="2"/>
  <c r="AI42" i="1" a="1"/>
  <c r="AI42" i="1" s="1"/>
  <c r="AX42" i="1"/>
  <c r="AO43" i="1"/>
  <c r="AH44" i="1"/>
  <c r="AB43" i="1"/>
  <c r="AE43" i="1"/>
  <c r="AG43" i="1"/>
  <c r="AF43" i="1"/>
  <c r="AC43" i="1"/>
  <c r="AD43" i="1"/>
  <c r="AA43" i="1"/>
  <c r="Z44" i="1"/>
  <c r="AV43" i="1" a="1"/>
  <c r="AV43" i="1" s="1"/>
  <c r="AU43" i="1"/>
  <c r="AQ43" i="1"/>
  <c r="AP44" i="1"/>
  <c r="AS43" i="1"/>
  <c r="AR43" i="1"/>
  <c r="AJ43" i="1" s="1" a="1"/>
  <c r="AJ43" i="1" s="1"/>
  <c r="AW43" i="1" a="1"/>
  <c r="AW43" i="1" s="1"/>
  <c r="AT43" i="1"/>
  <c r="AL43" i="1" s="1" a="1"/>
  <c r="AL43" i="1" s="1"/>
  <c r="BX46" i="3"/>
  <c r="BW46" i="3" s="1"/>
  <c r="BU47" i="3"/>
  <c r="BT46" i="3"/>
  <c r="BV46" i="3"/>
  <c r="BJ145" i="3"/>
  <c r="AM43" i="1" l="1" a="1"/>
  <c r="AM43" i="1" s="1"/>
  <c r="Q95" i="4"/>
  <c r="O96" i="4"/>
  <c r="K97" i="4"/>
  <c r="P96" i="4"/>
  <c r="N96" i="4"/>
  <c r="M96" i="4"/>
  <c r="L96" i="4" s="1"/>
  <c r="O43" i="3"/>
  <c r="BN43" i="3" s="1"/>
  <c r="K44" i="3"/>
  <c r="AK43" i="1" a="1"/>
  <c r="AK43" i="1" s="1"/>
  <c r="T44" i="3"/>
  <c r="P45" i="3"/>
  <c r="AO45" i="3"/>
  <c r="AS45" i="3" s="1"/>
  <c r="AP46" i="3"/>
  <c r="AA46" i="3"/>
  <c r="Z45" i="3"/>
  <c r="AD45" i="3" s="1"/>
  <c r="AJ45" i="3"/>
  <c r="AN45" i="3" s="1"/>
  <c r="AK46" i="3"/>
  <c r="V51" i="3"/>
  <c r="Q48" i="3"/>
  <c r="AE46" i="3"/>
  <c r="AI46" i="3" s="1"/>
  <c r="AF47" i="3"/>
  <c r="AZ46" i="3"/>
  <c r="AY45" i="3"/>
  <c r="BC45" i="3" s="1"/>
  <c r="Y46" i="3"/>
  <c r="U47" i="3"/>
  <c r="L47" i="3"/>
  <c r="G46" i="3"/>
  <c r="F45" i="3"/>
  <c r="J45" i="3" s="1"/>
  <c r="AU46" i="3"/>
  <c r="AT45" i="3"/>
  <c r="AX45" i="3" s="1"/>
  <c r="A60" i="2"/>
  <c r="D59" i="2"/>
  <c r="B59" i="2"/>
  <c r="C59" i="2"/>
  <c r="AA44" i="1"/>
  <c r="AB44" i="1"/>
  <c r="AD44" i="1"/>
  <c r="AF44" i="1"/>
  <c r="Z45" i="1"/>
  <c r="AE44" i="1"/>
  <c r="AG44" i="1"/>
  <c r="AC44" i="1"/>
  <c r="AU44" i="1"/>
  <c r="AW44" i="1" a="1"/>
  <c r="AW44" i="1" s="1"/>
  <c r="AR44" i="1"/>
  <c r="AQ44" i="1"/>
  <c r="AP45" i="1"/>
  <c r="AT44" i="1"/>
  <c r="AV44" i="1" a="1"/>
  <c r="AV44" i="1" s="1"/>
  <c r="AS44" i="1"/>
  <c r="AH45" i="1"/>
  <c r="AO44" i="1"/>
  <c r="AX43" i="1"/>
  <c r="AI43" i="1" a="1"/>
  <c r="AI43" i="1" s="1"/>
  <c r="BJ146" i="3"/>
  <c r="BU48" i="3"/>
  <c r="BT47" i="3"/>
  <c r="BV47" i="3"/>
  <c r="BX47" i="3"/>
  <c r="BW47" i="3" s="1"/>
  <c r="AK44" i="1" l="1" a="1"/>
  <c r="AK44" i="1" s="1"/>
  <c r="AL44" i="1" a="1"/>
  <c r="AL44" i="1" s="1"/>
  <c r="AM44" i="1" a="1"/>
  <c r="AM44" i="1" s="1"/>
  <c r="AJ44" i="1" a="1"/>
  <c r="AJ44" i="1" s="1"/>
  <c r="Q96" i="4"/>
  <c r="M97" i="4"/>
  <c r="L97" i="4" s="1"/>
  <c r="O97" i="4"/>
  <c r="K98" i="4"/>
  <c r="P97" i="4"/>
  <c r="N97" i="4"/>
  <c r="O44" i="3"/>
  <c r="BN44" i="3" s="1"/>
  <c r="K45" i="3"/>
  <c r="T45" i="3"/>
  <c r="P46" i="3"/>
  <c r="AO46" i="3"/>
  <c r="AS46" i="3" s="1"/>
  <c r="AP47" i="3"/>
  <c r="AU47" i="3"/>
  <c r="AT46" i="3"/>
  <c r="AX46" i="3" s="1"/>
  <c r="AY46" i="3"/>
  <c r="BC46" i="3" s="1"/>
  <c r="AZ47" i="3"/>
  <c r="AE47" i="3"/>
  <c r="AI47" i="3" s="1"/>
  <c r="AF48" i="3"/>
  <c r="F46" i="3"/>
  <c r="J46" i="3" s="1"/>
  <c r="G47" i="3"/>
  <c r="Q49" i="3"/>
  <c r="L48" i="3"/>
  <c r="V52" i="3"/>
  <c r="Y47" i="3"/>
  <c r="U48" i="3"/>
  <c r="AK47" i="3"/>
  <c r="AJ46" i="3"/>
  <c r="AN46" i="3" s="1"/>
  <c r="AA47" i="3"/>
  <c r="Z46" i="3"/>
  <c r="AD46" i="3" s="1"/>
  <c r="D60" i="2"/>
  <c r="A61" i="2"/>
  <c r="B60" i="2"/>
  <c r="C60" i="2"/>
  <c r="AX44" i="1"/>
  <c r="AI44" i="1" a="1"/>
  <c r="AI44" i="1" s="1"/>
  <c r="AO45" i="1"/>
  <c r="AH46" i="1"/>
  <c r="AD45" i="1"/>
  <c r="AA45" i="1"/>
  <c r="AB45" i="1"/>
  <c r="AF45" i="1"/>
  <c r="AC45" i="1"/>
  <c r="Z46" i="1"/>
  <c r="AG45" i="1"/>
  <c r="AE45" i="1"/>
  <c r="AU45" i="1"/>
  <c r="AW45" i="1" a="1"/>
  <c r="AW45" i="1" s="1"/>
  <c r="AT45" i="1"/>
  <c r="AP46" i="1"/>
  <c r="AS45" i="1"/>
  <c r="AV45" i="1" a="1"/>
  <c r="AV45" i="1" s="1"/>
  <c r="AQ45" i="1"/>
  <c r="AR45" i="1"/>
  <c r="AJ45" i="1" s="1" a="1"/>
  <c r="AJ45" i="1" s="1"/>
  <c r="BT48" i="3"/>
  <c r="BU49" i="3"/>
  <c r="BV48" i="3"/>
  <c r="BX48" i="3"/>
  <c r="BW48" i="3" s="1"/>
  <c r="BJ147" i="3"/>
  <c r="AL45" i="1" l="1" a="1"/>
  <c r="AL45" i="1" s="1"/>
  <c r="AM45" i="1" a="1"/>
  <c r="AM45" i="1" s="1"/>
  <c r="Q97" i="4"/>
  <c r="P98" i="4"/>
  <c r="O98" i="4"/>
  <c r="K99" i="4"/>
  <c r="M98" i="4"/>
  <c r="L98" i="4" s="1"/>
  <c r="N98" i="4"/>
  <c r="O45" i="3"/>
  <c r="BN45" i="3" s="1"/>
  <c r="K46" i="3"/>
  <c r="AK45" i="1" a="1"/>
  <c r="AK45" i="1" s="1"/>
  <c r="T46" i="3"/>
  <c r="P47" i="3"/>
  <c r="AP48" i="3"/>
  <c r="AO47" i="3"/>
  <c r="AS47" i="3" s="1"/>
  <c r="AA48" i="3"/>
  <c r="Z47" i="3"/>
  <c r="AD47" i="3" s="1"/>
  <c r="L49" i="3"/>
  <c r="Q50" i="3"/>
  <c r="F47" i="3"/>
  <c r="J47" i="3" s="1"/>
  <c r="G48" i="3"/>
  <c r="AJ47" i="3"/>
  <c r="AN47" i="3" s="1"/>
  <c r="AK48" i="3"/>
  <c r="Y48" i="3"/>
  <c r="U49" i="3"/>
  <c r="AF49" i="3"/>
  <c r="AE48" i="3"/>
  <c r="AI48" i="3" s="1"/>
  <c r="AZ48" i="3"/>
  <c r="AY47" i="3"/>
  <c r="BC47" i="3" s="1"/>
  <c r="V53" i="3"/>
  <c r="AU48" i="3"/>
  <c r="AT47" i="3"/>
  <c r="AX47" i="3" s="1"/>
  <c r="A62" i="2"/>
  <c r="D61" i="2"/>
  <c r="C61" i="2"/>
  <c r="B61" i="2"/>
  <c r="AA46" i="1"/>
  <c r="AD46" i="1"/>
  <c r="AE46" i="1"/>
  <c r="AB46" i="1"/>
  <c r="AG46" i="1"/>
  <c r="AC46" i="1"/>
  <c r="Z47" i="1"/>
  <c r="AF46" i="1"/>
  <c r="AI45" i="1" a="1"/>
  <c r="AI45" i="1" s="1"/>
  <c r="AX45" i="1"/>
  <c r="AU46" i="1"/>
  <c r="AM46" i="1" s="1" a="1"/>
  <c r="AM46" i="1" s="1"/>
  <c r="AQ46" i="1"/>
  <c r="AV46" i="1" a="1"/>
  <c r="AV46" i="1" s="1"/>
  <c r="AW46" i="1" a="1"/>
  <c r="AW46" i="1" s="1"/>
  <c r="AP47" i="1"/>
  <c r="AS46" i="1"/>
  <c r="AK46" i="1" s="1" a="1"/>
  <c r="AK46" i="1" s="1"/>
  <c r="AR46" i="1"/>
  <c r="AJ46" i="1" s="1" a="1"/>
  <c r="AJ46" i="1" s="1"/>
  <c r="AT46" i="1"/>
  <c r="AH47" i="1"/>
  <c r="AO46" i="1"/>
  <c r="BX49" i="3"/>
  <c r="BW49" i="3" s="1"/>
  <c r="BV49" i="3"/>
  <c r="BT49" i="3"/>
  <c r="BU50" i="3"/>
  <c r="BJ148" i="3"/>
  <c r="AL46" i="1" l="1" a="1"/>
  <c r="AL46" i="1" s="1"/>
  <c r="Q98" i="4"/>
  <c r="M99" i="4"/>
  <c r="L99" i="4" s="1"/>
  <c r="N99" i="4"/>
  <c r="P99" i="4"/>
  <c r="O99" i="4"/>
  <c r="K100" i="4"/>
  <c r="O46" i="3"/>
  <c r="BN46" i="3" s="1"/>
  <c r="K47" i="3"/>
  <c r="T47" i="3"/>
  <c r="P48" i="3"/>
  <c r="AO48" i="3"/>
  <c r="AS48" i="3" s="1"/>
  <c r="AP49" i="3"/>
  <c r="AU49" i="3"/>
  <c r="AT48" i="3"/>
  <c r="AX48" i="3" s="1"/>
  <c r="F48" i="3"/>
  <c r="J48" i="3" s="1"/>
  <c r="G49" i="3"/>
  <c r="V54" i="3"/>
  <c r="AY48" i="3"/>
  <c r="BC48" i="3" s="1"/>
  <c r="AZ49" i="3"/>
  <c r="Q51" i="3"/>
  <c r="AE49" i="3"/>
  <c r="AI49" i="3" s="1"/>
  <c r="AF50" i="3"/>
  <c r="L50" i="3"/>
  <c r="Y49" i="3"/>
  <c r="U50" i="3"/>
  <c r="AJ48" i="3"/>
  <c r="AN48" i="3" s="1"/>
  <c r="AK49" i="3"/>
  <c r="AA49" i="3"/>
  <c r="Z48" i="3"/>
  <c r="AD48" i="3" s="1"/>
  <c r="A63" i="2"/>
  <c r="B62" i="2"/>
  <c r="D62" i="2"/>
  <c r="C62" i="2"/>
  <c r="AX46" i="1"/>
  <c r="AI46" i="1" a="1"/>
  <c r="AI46" i="1" s="1"/>
  <c r="AH48" i="1"/>
  <c r="AO47" i="1"/>
  <c r="AB47" i="1"/>
  <c r="AA47" i="1"/>
  <c r="AC47" i="1"/>
  <c r="AG47" i="1"/>
  <c r="Z48" i="1"/>
  <c r="AE47" i="1"/>
  <c r="AD47" i="1"/>
  <c r="AF47" i="1"/>
  <c r="AT47" i="1"/>
  <c r="AL47" i="1" s="1" a="1"/>
  <c r="AL47" i="1" s="1"/>
  <c r="AU47" i="1"/>
  <c r="AV47" i="1" a="1"/>
  <c r="AV47" i="1" s="1"/>
  <c r="AQ47" i="1"/>
  <c r="AR47" i="1"/>
  <c r="AJ47" i="1" s="1" a="1"/>
  <c r="AJ47" i="1" s="1"/>
  <c r="AS47" i="1"/>
  <c r="AP48" i="1"/>
  <c r="AW47" i="1" a="1"/>
  <c r="AW47" i="1" s="1"/>
  <c r="BJ149" i="3"/>
  <c r="BV50" i="3"/>
  <c r="BU51" i="3"/>
  <c r="BX50" i="3"/>
  <c r="BW50" i="3" s="1"/>
  <c r="BT50" i="3"/>
  <c r="AK47" i="1" l="1" a="1"/>
  <c r="AK47" i="1" s="1"/>
  <c r="AM47" i="1" a="1"/>
  <c r="AM47" i="1" s="1"/>
  <c r="Q99" i="4"/>
  <c r="K101" i="4"/>
  <c r="M100" i="4"/>
  <c r="L100" i="4" s="1"/>
  <c r="P100" i="4"/>
  <c r="O100" i="4"/>
  <c r="N100" i="4"/>
  <c r="O47" i="3"/>
  <c r="BN47" i="3" s="1"/>
  <c r="K48" i="3"/>
  <c r="T48" i="3"/>
  <c r="P49" i="3"/>
  <c r="AP50" i="3"/>
  <c r="AO49" i="3"/>
  <c r="AS49" i="3" s="1"/>
  <c r="Z49" i="3"/>
  <c r="AD49" i="3" s="1"/>
  <c r="AA50" i="3"/>
  <c r="AJ49" i="3"/>
  <c r="AN49" i="3" s="1"/>
  <c r="AK50" i="3"/>
  <c r="Y50" i="3"/>
  <c r="U51" i="3"/>
  <c r="V55" i="3"/>
  <c r="L51" i="3"/>
  <c r="AF51" i="3"/>
  <c r="AE50" i="3"/>
  <c r="AI50" i="3" s="1"/>
  <c r="G50" i="3"/>
  <c r="F49" i="3"/>
  <c r="J49" i="3" s="1"/>
  <c r="Q52" i="3"/>
  <c r="P51" i="3"/>
  <c r="T51" i="3" s="1"/>
  <c r="AY49" i="3"/>
  <c r="BC49" i="3" s="1"/>
  <c r="AZ50" i="3"/>
  <c r="AU50" i="3"/>
  <c r="AT49" i="3"/>
  <c r="AX49" i="3" s="1"/>
  <c r="B63" i="2"/>
  <c r="A64" i="2"/>
  <c r="D63" i="2"/>
  <c r="C63" i="2"/>
  <c r="AA48" i="1"/>
  <c r="AD48" i="1"/>
  <c r="AC48" i="1"/>
  <c r="AB48" i="1"/>
  <c r="AF48" i="1"/>
  <c r="Z49" i="1"/>
  <c r="AE48" i="1"/>
  <c r="AG48" i="1"/>
  <c r="AR48" i="1"/>
  <c r="AJ48" i="1" s="1" a="1"/>
  <c r="AJ48" i="1" s="1"/>
  <c r="AQ48" i="1"/>
  <c r="AS48" i="1"/>
  <c r="AK48" i="1" s="1" a="1"/>
  <c r="AK48" i="1" s="1"/>
  <c r="AV48" i="1" a="1"/>
  <c r="AV48" i="1" s="1"/>
  <c r="AP49" i="1"/>
  <c r="AW48" i="1" a="1"/>
  <c r="AW48" i="1" s="1"/>
  <c r="AU48" i="1"/>
  <c r="AM48" i="1" s="1" a="1"/>
  <c r="AM48" i="1" s="1"/>
  <c r="AT48" i="1"/>
  <c r="AL48" i="1" s="1" a="1"/>
  <c r="AL48" i="1" s="1"/>
  <c r="AI47" i="1" a="1"/>
  <c r="AI47" i="1" s="1"/>
  <c r="AX47" i="1"/>
  <c r="AO48" i="1"/>
  <c r="AH49" i="1"/>
  <c r="BJ150" i="3"/>
  <c r="BU52" i="3"/>
  <c r="BV51" i="3"/>
  <c r="BX51" i="3"/>
  <c r="BW51" i="3" s="1"/>
  <c r="BT51" i="3"/>
  <c r="Q100" i="4" l="1"/>
  <c r="P101" i="4"/>
  <c r="K102" i="4"/>
  <c r="M101" i="4"/>
  <c r="L101" i="4" s="1"/>
  <c r="O101" i="4"/>
  <c r="N101" i="4"/>
  <c r="O48" i="3"/>
  <c r="BN48" i="3" s="1"/>
  <c r="K49" i="3"/>
  <c r="T49" i="3"/>
  <c r="P50" i="3"/>
  <c r="T50" i="3" s="1"/>
  <c r="AP51" i="3"/>
  <c r="AO50" i="3"/>
  <c r="AS50" i="3" s="1"/>
  <c r="AU51" i="3"/>
  <c r="AT50" i="3"/>
  <c r="AX50" i="3" s="1"/>
  <c r="V56" i="3"/>
  <c r="AY50" i="3"/>
  <c r="BC50" i="3" s="1"/>
  <c r="AZ51" i="3"/>
  <c r="Y51" i="3"/>
  <c r="U52" i="3"/>
  <c r="Q53" i="3"/>
  <c r="P52" i="3"/>
  <c r="T52" i="3" s="1"/>
  <c r="G51" i="3"/>
  <c r="F50" i="3"/>
  <c r="J50" i="3" s="1"/>
  <c r="AJ50" i="3"/>
  <c r="AN50" i="3" s="1"/>
  <c r="AK51" i="3"/>
  <c r="AF52" i="3"/>
  <c r="AE51" i="3"/>
  <c r="AI51" i="3" s="1"/>
  <c r="Z50" i="3"/>
  <c r="AD50" i="3" s="1"/>
  <c r="AA51" i="3"/>
  <c r="L52" i="3"/>
  <c r="B64" i="2"/>
  <c r="D64" i="2"/>
  <c r="A65" i="2"/>
  <c r="C64" i="2"/>
  <c r="AX48" i="1"/>
  <c r="AI48" i="1" a="1"/>
  <c r="AI48" i="1" s="1"/>
  <c r="AH50" i="1"/>
  <c r="AO49" i="1"/>
  <c r="AG49" i="1"/>
  <c r="Z50" i="1"/>
  <c r="AC49" i="1"/>
  <c r="AE49" i="1"/>
  <c r="AA49" i="1"/>
  <c r="AF49" i="1"/>
  <c r="AD49" i="1"/>
  <c r="AB49" i="1"/>
  <c r="AP50" i="1"/>
  <c r="AT49" i="1"/>
  <c r="AL49" i="1" s="1" a="1"/>
  <c r="AL49" i="1" s="1"/>
  <c r="AR49" i="1"/>
  <c r="AW49" i="1" a="1"/>
  <c r="AW49" i="1" s="1"/>
  <c r="AS49" i="1"/>
  <c r="AU49" i="1"/>
  <c r="AQ49" i="1"/>
  <c r="AV49" i="1" a="1"/>
  <c r="AV49" i="1" s="1"/>
  <c r="BJ151" i="3"/>
  <c r="BU53" i="3"/>
  <c r="BV52" i="3"/>
  <c r="BT52" i="3"/>
  <c r="BX52" i="3"/>
  <c r="BW52" i="3" s="1"/>
  <c r="AM49" i="1" l="1" a="1"/>
  <c r="AM49" i="1" s="1"/>
  <c r="AJ49" i="1" a="1"/>
  <c r="AJ49" i="1" s="1"/>
  <c r="AK49" i="1" a="1"/>
  <c r="AK49" i="1" s="1"/>
  <c r="P102" i="4"/>
  <c r="M102" i="4"/>
  <c r="L102" i="4" s="1"/>
  <c r="K103" i="4"/>
  <c r="N102" i="4"/>
  <c r="O102" i="4"/>
  <c r="Q101" i="4"/>
  <c r="O49" i="3"/>
  <c r="BN49" i="3" s="1"/>
  <c r="K50" i="3"/>
  <c r="AO51" i="3"/>
  <c r="AS51" i="3" s="1"/>
  <c r="AP52" i="3"/>
  <c r="Z51" i="3"/>
  <c r="AD51" i="3" s="1"/>
  <c r="AA52" i="3"/>
  <c r="P53" i="3"/>
  <c r="T53" i="3" s="1"/>
  <c r="Q54" i="3"/>
  <c r="Y52" i="3"/>
  <c r="U53" i="3"/>
  <c r="AE52" i="3"/>
  <c r="AI52" i="3" s="1"/>
  <c r="AF53" i="3"/>
  <c r="AK52" i="3"/>
  <c r="AJ51" i="3"/>
  <c r="AN51" i="3" s="1"/>
  <c r="AY51" i="3"/>
  <c r="BC51" i="3" s="1"/>
  <c r="AZ52" i="3"/>
  <c r="F51" i="3"/>
  <c r="J51" i="3" s="1"/>
  <c r="G52" i="3"/>
  <c r="V57" i="3"/>
  <c r="L53" i="3"/>
  <c r="AU52" i="3"/>
  <c r="AT51" i="3"/>
  <c r="AX51" i="3" s="1"/>
  <c r="B65" i="2"/>
  <c r="C65" i="2"/>
  <c r="D65" i="2"/>
  <c r="A66" i="2"/>
  <c r="AX49" i="1"/>
  <c r="AI49" i="1" a="1"/>
  <c r="AI49" i="1" s="1"/>
  <c r="AA50" i="1"/>
  <c r="AG50" i="1"/>
  <c r="AB50" i="1"/>
  <c r="AC50" i="1"/>
  <c r="Z51" i="1"/>
  <c r="AE50" i="1"/>
  <c r="AD50" i="1"/>
  <c r="AF50" i="1"/>
  <c r="AH51" i="1"/>
  <c r="AO50" i="1"/>
  <c r="AP51" i="1"/>
  <c r="AU50" i="1"/>
  <c r="AQ50" i="1"/>
  <c r="AW50" i="1" a="1"/>
  <c r="AW50" i="1" s="1"/>
  <c r="AR50" i="1"/>
  <c r="AJ50" i="1" s="1" a="1"/>
  <c r="AJ50" i="1" s="1"/>
  <c r="AS50" i="1"/>
  <c r="AK50" i="1" s="1" a="1"/>
  <c r="AK50" i="1" s="1"/>
  <c r="AV50" i="1" a="1"/>
  <c r="AV50" i="1" s="1"/>
  <c r="AT50" i="1"/>
  <c r="AL50" i="1" s="1" a="1"/>
  <c r="AL50" i="1" s="1"/>
  <c r="BU54" i="3"/>
  <c r="BX53" i="3"/>
  <c r="BW53" i="3" s="1"/>
  <c r="BT53" i="3"/>
  <c r="BV53" i="3"/>
  <c r="BJ152" i="3"/>
  <c r="AM50" i="1" l="1" a="1"/>
  <c r="AM50" i="1" s="1"/>
  <c r="O103" i="4"/>
  <c r="N103" i="4"/>
  <c r="P103" i="4"/>
  <c r="K104" i="4"/>
  <c r="M103" i="4"/>
  <c r="L103" i="4" s="1"/>
  <c r="Q102" i="4"/>
  <c r="O50" i="3"/>
  <c r="BN50" i="3" s="1"/>
  <c r="K51" i="3"/>
  <c r="AP53" i="3"/>
  <c r="AO52" i="3"/>
  <c r="AS52" i="3" s="1"/>
  <c r="AU53" i="3"/>
  <c r="AT52" i="3"/>
  <c r="AX52" i="3" s="1"/>
  <c r="AY52" i="3"/>
  <c r="BC52" i="3" s="1"/>
  <c r="AZ53" i="3"/>
  <c r="AK53" i="3"/>
  <c r="AJ52" i="3"/>
  <c r="AN52" i="3" s="1"/>
  <c r="L54" i="3"/>
  <c r="AE53" i="3"/>
  <c r="AI53" i="3" s="1"/>
  <c r="AF54" i="3"/>
  <c r="V58" i="3"/>
  <c r="Y53" i="3"/>
  <c r="U54" i="3"/>
  <c r="Q55" i="3"/>
  <c r="P54" i="3"/>
  <c r="T54" i="3" s="1"/>
  <c r="G53" i="3"/>
  <c r="F52" i="3"/>
  <c r="J52" i="3" s="1"/>
  <c r="AA53" i="3"/>
  <c r="Z52" i="3"/>
  <c r="AD52" i="3" s="1"/>
  <c r="C66" i="2"/>
  <c r="B66" i="2"/>
  <c r="D66" i="2"/>
  <c r="A67" i="2"/>
  <c r="AO51" i="1"/>
  <c r="AH52" i="1"/>
  <c r="AB51" i="1"/>
  <c r="Z52" i="1"/>
  <c r="AA51" i="1"/>
  <c r="AG51" i="1"/>
  <c r="AC51" i="1"/>
  <c r="AF51" i="1"/>
  <c r="AE51" i="1"/>
  <c r="AD51" i="1"/>
  <c r="AX50" i="1"/>
  <c r="AI50" i="1" a="1"/>
  <c r="AI50" i="1" s="1"/>
  <c r="AR51" i="1"/>
  <c r="AJ51" i="1" s="1" a="1"/>
  <c r="AJ51" i="1" s="1"/>
  <c r="AS51" i="1"/>
  <c r="AK51" i="1" s="1" a="1"/>
  <c r="AK51" i="1" s="1"/>
  <c r="AQ51" i="1"/>
  <c r="AV51" i="1" a="1"/>
  <c r="AV51" i="1" s="1"/>
  <c r="AP52" i="1"/>
  <c r="AT51" i="1"/>
  <c r="AW51" i="1" a="1"/>
  <c r="AW51" i="1" s="1"/>
  <c r="AU51" i="1"/>
  <c r="AM51" i="1" s="1" a="1"/>
  <c r="AM51" i="1" s="1"/>
  <c r="BJ153" i="3"/>
  <c r="BT54" i="3"/>
  <c r="BX54" i="3"/>
  <c r="BW54" i="3" s="1"/>
  <c r="BV54" i="3"/>
  <c r="BU55" i="3"/>
  <c r="AL51" i="1" l="1" a="1"/>
  <c r="AL51" i="1" s="1"/>
  <c r="Q103" i="4"/>
  <c r="O104" i="4"/>
  <c r="P104" i="4"/>
  <c r="M104" i="4"/>
  <c r="L104" i="4" s="1"/>
  <c r="N104" i="4"/>
  <c r="K105" i="4"/>
  <c r="O51" i="3"/>
  <c r="BN51" i="3" s="1"/>
  <c r="K52" i="3"/>
  <c r="AP54" i="3"/>
  <c r="AO53" i="3"/>
  <c r="AS53" i="3" s="1"/>
  <c r="AA54" i="3"/>
  <c r="Z53" i="3"/>
  <c r="AD53" i="3" s="1"/>
  <c r="L55" i="3"/>
  <c r="G54" i="3"/>
  <c r="F53" i="3"/>
  <c r="J53" i="3" s="1"/>
  <c r="AJ53" i="3"/>
  <c r="AN53" i="3" s="1"/>
  <c r="AK54" i="3"/>
  <c r="P55" i="3"/>
  <c r="T55" i="3" s="1"/>
  <c r="Q56" i="3"/>
  <c r="Y54" i="3"/>
  <c r="U55" i="3"/>
  <c r="V59" i="3"/>
  <c r="AZ54" i="3"/>
  <c r="AY53" i="3"/>
  <c r="BC53" i="3" s="1"/>
  <c r="AF55" i="3"/>
  <c r="AE54" i="3"/>
  <c r="AI54" i="3" s="1"/>
  <c r="AU54" i="3"/>
  <c r="AT53" i="3"/>
  <c r="AX53" i="3" s="1"/>
  <c r="C67" i="2"/>
  <c r="A68" i="2"/>
  <c r="B67" i="2"/>
  <c r="D67" i="2"/>
  <c r="AU52" i="1"/>
  <c r="AS52" i="1"/>
  <c r="AP53" i="1"/>
  <c r="AV52" i="1" a="1"/>
  <c r="AV52" i="1" s="1"/>
  <c r="AR52" i="1"/>
  <c r="AQ52" i="1"/>
  <c r="AW52" i="1" a="1"/>
  <c r="AW52" i="1" s="1"/>
  <c r="AT52" i="1"/>
  <c r="AB52" i="1"/>
  <c r="AA52" i="1"/>
  <c r="AC52" i="1"/>
  <c r="AD52" i="1"/>
  <c r="AG52" i="1"/>
  <c r="AF52" i="1"/>
  <c r="AE52" i="1"/>
  <c r="Z53" i="1"/>
  <c r="AI51" i="1" a="1"/>
  <c r="AI51" i="1" s="1"/>
  <c r="AX51" i="1"/>
  <c r="AO52" i="1"/>
  <c r="AH53" i="1"/>
  <c r="BX55" i="3"/>
  <c r="BW55" i="3" s="1"/>
  <c r="BV55" i="3"/>
  <c r="BT55" i="3"/>
  <c r="BU56" i="3"/>
  <c r="BJ154" i="3"/>
  <c r="AM52" i="1" l="1" a="1"/>
  <c r="AM52" i="1" s="1"/>
  <c r="AL52" i="1" a="1"/>
  <c r="AL52" i="1" s="1"/>
  <c r="AJ52" i="1" a="1"/>
  <c r="AJ52" i="1" s="1"/>
  <c r="N105" i="4"/>
  <c r="O105" i="4"/>
  <c r="M105" i="4"/>
  <c r="L105" i="4" s="1"/>
  <c r="P105" i="4"/>
  <c r="Q104" i="4"/>
  <c r="O52" i="3"/>
  <c r="BN52" i="3" s="1"/>
  <c r="K53" i="3"/>
  <c r="AK52" i="1" a="1"/>
  <c r="AK52" i="1" s="1"/>
  <c r="AP55" i="3"/>
  <c r="AO54" i="3"/>
  <c r="AS54" i="3" s="1"/>
  <c r="AU55" i="3"/>
  <c r="AT54" i="3"/>
  <c r="AX54" i="3" s="1"/>
  <c r="Q57" i="3"/>
  <c r="P56" i="3"/>
  <c r="T56" i="3" s="1"/>
  <c r="AE55" i="3"/>
  <c r="AI55" i="3" s="1"/>
  <c r="AF56" i="3"/>
  <c r="AJ54" i="3"/>
  <c r="AN54" i="3" s="1"/>
  <c r="AK55" i="3"/>
  <c r="AY54" i="3"/>
  <c r="BC54" i="3" s="1"/>
  <c r="AZ55" i="3"/>
  <c r="G55" i="3"/>
  <c r="F54" i="3"/>
  <c r="J54" i="3" s="1"/>
  <c r="V60" i="3"/>
  <c r="L56" i="3"/>
  <c r="Y55" i="3"/>
  <c r="U56" i="3"/>
  <c r="Z54" i="3"/>
  <c r="AD54" i="3" s="1"/>
  <c r="AA55" i="3"/>
  <c r="A69" i="2"/>
  <c r="D68" i="2"/>
  <c r="C68" i="2"/>
  <c r="B68" i="2"/>
  <c r="AH54" i="1"/>
  <c r="AO53" i="1"/>
  <c r="AX52" i="1"/>
  <c r="AI52" i="1" a="1"/>
  <c r="AI52" i="1" s="1"/>
  <c r="AB53" i="1"/>
  <c r="AD53" i="1"/>
  <c r="Z54" i="1"/>
  <c r="AA53" i="1"/>
  <c r="AC53" i="1"/>
  <c r="AF53" i="1"/>
  <c r="AE53" i="1"/>
  <c r="AG53" i="1"/>
  <c r="AV53" i="1" a="1"/>
  <c r="AV53" i="1" s="1"/>
  <c r="AS53" i="1"/>
  <c r="AQ53" i="1"/>
  <c r="AU53" i="1"/>
  <c r="AP54" i="1"/>
  <c r="AW53" i="1" a="1"/>
  <c r="AW53" i="1" s="1"/>
  <c r="AR53" i="1"/>
  <c r="AJ53" i="1" s="1" a="1"/>
  <c r="AJ53" i="1" s="1"/>
  <c r="AT53" i="1"/>
  <c r="AL53" i="1" s="1" a="1"/>
  <c r="AL53" i="1" s="1"/>
  <c r="BJ155" i="3"/>
  <c r="BT56" i="3"/>
  <c r="BX56" i="3"/>
  <c r="BW56" i="3" s="1"/>
  <c r="BV56" i="3"/>
  <c r="BU57" i="3"/>
  <c r="AK53" i="1" l="1" a="1"/>
  <c r="AK53" i="1" s="1"/>
  <c r="AM53" i="1" a="1"/>
  <c r="AM53" i="1" s="1"/>
  <c r="Q105" i="4"/>
  <c r="O53" i="3"/>
  <c r="BN53" i="3" s="1"/>
  <c r="K54" i="3"/>
  <c r="AO55" i="3"/>
  <c r="AS55" i="3" s="1"/>
  <c r="AP56" i="3"/>
  <c r="Y56" i="3"/>
  <c r="U57" i="3"/>
  <c r="AY55" i="3"/>
  <c r="BC55" i="3" s="1"/>
  <c r="AZ56" i="3"/>
  <c r="AK56" i="3"/>
  <c r="AJ55" i="3"/>
  <c r="AN55" i="3" s="1"/>
  <c r="L57" i="3"/>
  <c r="AE56" i="3"/>
  <c r="AI56" i="3" s="1"/>
  <c r="AF57" i="3"/>
  <c r="V61" i="3"/>
  <c r="Q58" i="3"/>
  <c r="P57" i="3"/>
  <c r="T57" i="3" s="1"/>
  <c r="Z55" i="3"/>
  <c r="AD55" i="3" s="1"/>
  <c r="AA56" i="3"/>
  <c r="G56" i="3"/>
  <c r="F55" i="3"/>
  <c r="J55" i="3" s="1"/>
  <c r="AT55" i="3"/>
  <c r="AX55" i="3" s="1"/>
  <c r="AU56" i="3"/>
  <c r="C69" i="2"/>
  <c r="D69" i="2"/>
  <c r="B69" i="2"/>
  <c r="A70" i="2"/>
  <c r="Z55" i="1"/>
  <c r="AE54" i="1"/>
  <c r="AB54" i="1"/>
  <c r="AG54" i="1"/>
  <c r="AA54" i="1"/>
  <c r="AD54" i="1"/>
  <c r="AC54" i="1"/>
  <c r="AF54" i="1"/>
  <c r="AP55" i="1"/>
  <c r="AQ54" i="1"/>
  <c r="AU54" i="1"/>
  <c r="AR54" i="1"/>
  <c r="AV54" i="1" a="1"/>
  <c r="AV54" i="1" s="1"/>
  <c r="AS54" i="1"/>
  <c r="AT54" i="1"/>
  <c r="AL54" i="1" s="1" a="1"/>
  <c r="AL54" i="1" s="1"/>
  <c r="AW54" i="1" a="1"/>
  <c r="AW54" i="1" s="1"/>
  <c r="AI53" i="1" a="1"/>
  <c r="AI53" i="1" s="1"/>
  <c r="AX53" i="1"/>
  <c r="AO54" i="1"/>
  <c r="AH55" i="1"/>
  <c r="BV57" i="3"/>
  <c r="BX57" i="3"/>
  <c r="BW57" i="3" s="1"/>
  <c r="BT57" i="3"/>
  <c r="BU58" i="3"/>
  <c r="BJ156" i="3"/>
  <c r="AJ54" i="1" l="1" a="1"/>
  <c r="AJ54" i="1" s="1"/>
  <c r="AM54" i="1" a="1"/>
  <c r="AM54" i="1" s="1"/>
  <c r="AK54" i="1" a="1"/>
  <c r="AK54" i="1" s="1"/>
  <c r="O54" i="3"/>
  <c r="BN54" i="3" s="1"/>
  <c r="K55" i="3"/>
  <c r="AO56" i="3"/>
  <c r="AS56" i="3" s="1"/>
  <c r="AP57" i="3"/>
  <c r="L58" i="3"/>
  <c r="F56" i="3"/>
  <c r="J56" i="3" s="1"/>
  <c r="G57" i="3"/>
  <c r="Z56" i="3"/>
  <c r="AD56" i="3" s="1"/>
  <c r="AA57" i="3"/>
  <c r="AJ56" i="3"/>
  <c r="AN56" i="3" s="1"/>
  <c r="AK57" i="3"/>
  <c r="P58" i="3"/>
  <c r="T58" i="3" s="1"/>
  <c r="Q59" i="3"/>
  <c r="AZ57" i="3"/>
  <c r="AY56" i="3"/>
  <c r="BC56" i="3" s="1"/>
  <c r="V62" i="3"/>
  <c r="Y57" i="3"/>
  <c r="U58" i="3"/>
  <c r="AT56" i="3"/>
  <c r="AX56" i="3" s="1"/>
  <c r="AU57" i="3"/>
  <c r="AE57" i="3"/>
  <c r="AI57" i="3" s="1"/>
  <c r="AF58" i="3"/>
  <c r="C70" i="2"/>
  <c r="B70" i="2"/>
  <c r="A71" i="2"/>
  <c r="D70" i="2"/>
  <c r="AI54" i="1" a="1"/>
  <c r="AI54" i="1" s="1"/>
  <c r="AX54" i="1"/>
  <c r="AP56" i="1"/>
  <c r="AW55" i="1" a="1"/>
  <c r="AW55" i="1" s="1"/>
  <c r="AT55" i="1"/>
  <c r="AV55" i="1" a="1"/>
  <c r="AV55" i="1" s="1"/>
  <c r="AS55" i="1"/>
  <c r="AQ55" i="1"/>
  <c r="AR55" i="1"/>
  <c r="AU55" i="1"/>
  <c r="AH56" i="1"/>
  <c r="AO55" i="1"/>
  <c r="AE55" i="1"/>
  <c r="AA55" i="1"/>
  <c r="Z56" i="1"/>
  <c r="AB55" i="1"/>
  <c r="AG55" i="1"/>
  <c r="AF55" i="1"/>
  <c r="AD55" i="1"/>
  <c r="AC55" i="1"/>
  <c r="BU59" i="3"/>
  <c r="BV58" i="3"/>
  <c r="BX58" i="3"/>
  <c r="BW58" i="3" s="1"/>
  <c r="BT58" i="3"/>
  <c r="BJ157" i="3"/>
  <c r="AM55" i="1" l="1" a="1"/>
  <c r="AM55" i="1" s="1"/>
  <c r="AL55" i="1" a="1"/>
  <c r="AL55" i="1" s="1"/>
  <c r="AJ55" i="1" a="1"/>
  <c r="AJ55" i="1" s="1"/>
  <c r="O55" i="3"/>
  <c r="BN55" i="3" s="1"/>
  <c r="K56" i="3"/>
  <c r="AO57" i="3"/>
  <c r="AS57" i="3" s="1"/>
  <c r="AP58" i="3"/>
  <c r="AU58" i="3"/>
  <c r="AT57" i="3"/>
  <c r="AX57" i="3" s="1"/>
  <c r="AK58" i="3"/>
  <c r="AJ57" i="3"/>
  <c r="AN57" i="3" s="1"/>
  <c r="Y58" i="3"/>
  <c r="U59" i="3"/>
  <c r="AA58" i="3"/>
  <c r="Z57" i="3"/>
  <c r="AD57" i="3" s="1"/>
  <c r="V63" i="3"/>
  <c r="F57" i="3"/>
  <c r="J57" i="3" s="1"/>
  <c r="G58" i="3"/>
  <c r="AY57" i="3"/>
  <c r="BC57" i="3" s="1"/>
  <c r="AZ58" i="3"/>
  <c r="L59" i="3"/>
  <c r="AF59" i="3"/>
  <c r="AE58" i="3"/>
  <c r="AI58" i="3" s="1"/>
  <c r="Q60" i="3"/>
  <c r="P59" i="3"/>
  <c r="T59" i="3" s="1"/>
  <c r="B71" i="2"/>
  <c r="C71" i="2"/>
  <c r="D71" i="2"/>
  <c r="A72" i="2"/>
  <c r="AO56" i="1"/>
  <c r="AH57" i="1"/>
  <c r="AX55" i="1"/>
  <c r="AI55" i="1" a="1"/>
  <c r="AI55" i="1" s="1"/>
  <c r="AK55" i="1" a="1"/>
  <c r="AK55" i="1" s="1"/>
  <c r="AR56" i="1"/>
  <c r="AJ56" i="1" s="1" a="1"/>
  <c r="AJ56" i="1" s="1"/>
  <c r="AP57" i="1"/>
  <c r="AT56" i="1"/>
  <c r="AL56" i="1" s="1" a="1"/>
  <c r="AL56" i="1" s="1"/>
  <c r="AU56" i="1"/>
  <c r="AQ56" i="1"/>
  <c r="AS56" i="1"/>
  <c r="AV56" i="1" a="1"/>
  <c r="AV56" i="1" s="1"/>
  <c r="AW56" i="1" a="1"/>
  <c r="AW56" i="1" s="1"/>
  <c r="AC56" i="1"/>
  <c r="AA56" i="1"/>
  <c r="AE56" i="1"/>
  <c r="Z57" i="1"/>
  <c r="AG56" i="1"/>
  <c r="AB56" i="1"/>
  <c r="AD56" i="1"/>
  <c r="AF56" i="1"/>
  <c r="BJ158" i="3"/>
  <c r="BT59" i="3"/>
  <c r="BX59" i="3"/>
  <c r="BW59" i="3" s="1"/>
  <c r="BU60" i="3"/>
  <c r="BV59" i="3"/>
  <c r="AN55" i="1" l="1"/>
  <c r="AM56" i="1" a="1"/>
  <c r="AM56" i="1" s="1"/>
  <c r="AK56" i="1" a="1"/>
  <c r="AK56" i="1" s="1"/>
  <c r="O56" i="3"/>
  <c r="BN56" i="3" s="1"/>
  <c r="K57" i="3"/>
  <c r="AP59" i="3"/>
  <c r="AO58" i="3"/>
  <c r="AS58" i="3" s="1"/>
  <c r="Q61" i="3"/>
  <c r="P60" i="3"/>
  <c r="T60" i="3" s="1"/>
  <c r="AE59" i="3"/>
  <c r="AI59" i="3" s="1"/>
  <c r="AF60" i="3"/>
  <c r="Z58" i="3"/>
  <c r="AD58" i="3" s="1"/>
  <c r="AA59" i="3"/>
  <c r="L60" i="3"/>
  <c r="Y59" i="3"/>
  <c r="U60" i="3"/>
  <c r="AZ59" i="3"/>
  <c r="AY58" i="3"/>
  <c r="BC58" i="3" s="1"/>
  <c r="AJ58" i="3"/>
  <c r="AN58" i="3" s="1"/>
  <c r="AK59" i="3"/>
  <c r="G59" i="3"/>
  <c r="F58" i="3"/>
  <c r="J58" i="3" s="1"/>
  <c r="V64" i="3"/>
  <c r="AU59" i="3"/>
  <c r="AT58" i="3"/>
  <c r="AX58" i="3" s="1"/>
  <c r="C72" i="2"/>
  <c r="D72" i="2"/>
  <c r="A73" i="2"/>
  <c r="B72" i="2"/>
  <c r="AX56" i="1"/>
  <c r="AN56" i="1" s="1"/>
  <c r="AI56" i="1" a="1"/>
  <c r="AI56" i="1" s="1"/>
  <c r="AR57" i="1"/>
  <c r="AQ57" i="1"/>
  <c r="AS57" i="1"/>
  <c r="AU57" i="1"/>
  <c r="AM57" i="1" s="1" a="1"/>
  <c r="AM57" i="1" s="1"/>
  <c r="AT57" i="1"/>
  <c r="AL57" i="1" s="1" a="1"/>
  <c r="AL57" i="1" s="1"/>
  <c r="AV57" i="1" a="1"/>
  <c r="AV57" i="1" s="1"/>
  <c r="AP58" i="1"/>
  <c r="AW57" i="1" a="1"/>
  <c r="AW57" i="1" s="1"/>
  <c r="AA57" i="1"/>
  <c r="AB57" i="1"/>
  <c r="AC57" i="1"/>
  <c r="AE57" i="1"/>
  <c r="AG57" i="1"/>
  <c r="AD57" i="1"/>
  <c r="Z58" i="1"/>
  <c r="AF57" i="1"/>
  <c r="AO57" i="1"/>
  <c r="AH58" i="1"/>
  <c r="BX60" i="3"/>
  <c r="BW60" i="3" s="1"/>
  <c r="BT60" i="3"/>
  <c r="BV60" i="3"/>
  <c r="BU61" i="3"/>
  <c r="BJ159" i="3"/>
  <c r="AN54" i="1" l="1"/>
  <c r="AK57" i="1" a="1"/>
  <c r="AK57" i="1" s="1"/>
  <c r="O57" i="3"/>
  <c r="BN57" i="3" s="1"/>
  <c r="K58" i="3"/>
  <c r="AJ57" i="1" a="1"/>
  <c r="AJ57" i="1" s="1"/>
  <c r="AO59" i="3"/>
  <c r="AS59" i="3" s="1"/>
  <c r="AP60" i="3"/>
  <c r="AU60" i="3"/>
  <c r="AT59" i="3"/>
  <c r="AX59" i="3" s="1"/>
  <c r="AY59" i="3"/>
  <c r="BC59" i="3" s="1"/>
  <c r="AZ60" i="3"/>
  <c r="V65" i="3"/>
  <c r="Y60" i="3"/>
  <c r="U61" i="3"/>
  <c r="L61" i="3"/>
  <c r="AA60" i="3"/>
  <c r="Z59" i="3"/>
  <c r="AD59" i="3" s="1"/>
  <c r="G60" i="3"/>
  <c r="F59" i="3"/>
  <c r="J59" i="3" s="1"/>
  <c r="AF61" i="3"/>
  <c r="AE60" i="3"/>
  <c r="AI60" i="3" s="1"/>
  <c r="AK60" i="3"/>
  <c r="AJ59" i="3"/>
  <c r="AN59" i="3" s="1"/>
  <c r="P61" i="3"/>
  <c r="T61" i="3" s="1"/>
  <c r="Q62" i="3"/>
  <c r="A74" i="2"/>
  <c r="B73" i="2"/>
  <c r="D73" i="2"/>
  <c r="C73" i="2"/>
  <c r="AA58" i="1"/>
  <c r="AG58" i="1"/>
  <c r="AD58" i="1"/>
  <c r="AF58" i="1"/>
  <c r="Z59" i="1"/>
  <c r="AE58" i="1"/>
  <c r="AB58" i="1"/>
  <c r="AC58" i="1"/>
  <c r="AO58" i="1"/>
  <c r="AH59" i="1"/>
  <c r="AR58" i="1"/>
  <c r="AT58" i="1"/>
  <c r="AL58" i="1" s="1" a="1"/>
  <c r="AL58" i="1" s="1"/>
  <c r="AW58" i="1" a="1"/>
  <c r="AW58" i="1" s="1"/>
  <c r="AQ58" i="1"/>
  <c r="AP59" i="1"/>
  <c r="AS58" i="1"/>
  <c r="AV58" i="1" a="1"/>
  <c r="AV58" i="1" s="1"/>
  <c r="AU58" i="1"/>
  <c r="AI57" i="1" a="1"/>
  <c r="AI57" i="1" s="1"/>
  <c r="AX57" i="1"/>
  <c r="AN57" i="1" s="1"/>
  <c r="BJ160" i="3"/>
  <c r="BV61" i="3"/>
  <c r="BX61" i="3"/>
  <c r="BW61" i="3" s="1"/>
  <c r="BU62" i="3"/>
  <c r="BT61" i="3"/>
  <c r="AN53" i="1" l="1"/>
  <c r="AM58" i="1" a="1"/>
  <c r="AM58" i="1" s="1"/>
  <c r="AJ58" i="1" a="1"/>
  <c r="AJ58" i="1" s="1"/>
  <c r="O58" i="3"/>
  <c r="BN58" i="3" s="1"/>
  <c r="K59" i="3"/>
  <c r="AK58" i="1" a="1"/>
  <c r="AK58" i="1" s="1"/>
  <c r="AP61" i="3"/>
  <c r="AO60" i="3"/>
  <c r="AS60" i="3" s="1"/>
  <c r="AK61" i="3"/>
  <c r="AJ60" i="3"/>
  <c r="AN60" i="3" s="1"/>
  <c r="Y61" i="3"/>
  <c r="U62" i="3"/>
  <c r="AE61" i="3"/>
  <c r="AI61" i="3" s="1"/>
  <c r="AF62" i="3"/>
  <c r="V66" i="3"/>
  <c r="F60" i="3"/>
  <c r="J60" i="3" s="1"/>
  <c r="G61" i="3"/>
  <c r="AY60" i="3"/>
  <c r="BC60" i="3" s="1"/>
  <c r="AZ61" i="3"/>
  <c r="AA61" i="3"/>
  <c r="Z60" i="3"/>
  <c r="AD60" i="3" s="1"/>
  <c r="P62" i="3"/>
  <c r="T62" i="3" s="1"/>
  <c r="Q63" i="3"/>
  <c r="L62" i="3"/>
  <c r="AT60" i="3"/>
  <c r="AX60" i="3" s="1"/>
  <c r="AU61" i="3"/>
  <c r="B74" i="2"/>
  <c r="D74" i="2"/>
  <c r="C74" i="2"/>
  <c r="A75" i="2"/>
  <c r="AO59" i="1"/>
  <c r="AH60" i="1"/>
  <c r="AC59" i="1"/>
  <c r="AF59" i="1"/>
  <c r="AG59" i="1"/>
  <c r="AB59" i="1"/>
  <c r="AD59" i="1"/>
  <c r="Z60" i="1"/>
  <c r="AE59" i="1"/>
  <c r="AA59" i="1"/>
  <c r="AP60" i="1"/>
  <c r="AU59" i="1"/>
  <c r="AQ59" i="1"/>
  <c r="AV59" i="1" a="1"/>
  <c r="AV59" i="1" s="1"/>
  <c r="AT59" i="1"/>
  <c r="AR59" i="1"/>
  <c r="AS59" i="1"/>
  <c r="AW59" i="1" a="1"/>
  <c r="AW59" i="1" s="1"/>
  <c r="AX58" i="1"/>
  <c r="AN58" i="1" s="1"/>
  <c r="AI58" i="1" a="1"/>
  <c r="AI58" i="1" s="1"/>
  <c r="BV62" i="3"/>
  <c r="BX62" i="3"/>
  <c r="BW62" i="3" s="1"/>
  <c r="BT62" i="3"/>
  <c r="BJ161" i="3"/>
  <c r="AN52" i="1" l="1"/>
  <c r="AL59" i="1" a="1"/>
  <c r="AL59" i="1" s="1"/>
  <c r="AK59" i="1" a="1"/>
  <c r="AK59" i="1" s="1"/>
  <c r="AM59" i="1" a="1"/>
  <c r="AM59" i="1" s="1"/>
  <c r="AJ59" i="1" a="1"/>
  <c r="AJ59" i="1" s="1"/>
  <c r="O59" i="3"/>
  <c r="BN59" i="3" s="1"/>
  <c r="K60" i="3"/>
  <c r="AP62" i="3"/>
  <c r="AO61" i="3"/>
  <c r="AS61" i="3" s="1"/>
  <c r="L63" i="3"/>
  <c r="P63" i="3"/>
  <c r="T63" i="3" s="1"/>
  <c r="Q64" i="3"/>
  <c r="V67" i="3"/>
  <c r="AF63" i="3"/>
  <c r="AE62" i="3"/>
  <c r="AI62" i="3" s="1"/>
  <c r="AA62" i="3"/>
  <c r="Z61" i="3"/>
  <c r="AD61" i="3" s="1"/>
  <c r="Y62" i="3"/>
  <c r="U63" i="3"/>
  <c r="AZ62" i="3"/>
  <c r="AY61" i="3"/>
  <c r="BC61" i="3" s="1"/>
  <c r="AK62" i="3"/>
  <c r="AJ61" i="3"/>
  <c r="AN61" i="3" s="1"/>
  <c r="F61" i="3"/>
  <c r="J61" i="3" s="1"/>
  <c r="G62" i="3"/>
  <c r="AU62" i="3"/>
  <c r="AT61" i="3"/>
  <c r="AX61" i="3" s="1"/>
  <c r="B75" i="2"/>
  <c r="A76" i="2"/>
  <c r="C75" i="2"/>
  <c r="D75" i="2"/>
  <c r="AV60" i="1" a="1"/>
  <c r="AV60" i="1" s="1"/>
  <c r="AR60" i="1"/>
  <c r="AS60" i="1"/>
  <c r="AP61" i="1"/>
  <c r="AQ60" i="1"/>
  <c r="AT60" i="1"/>
  <c r="AW60" i="1" a="1"/>
  <c r="AW60" i="1" s="1"/>
  <c r="AU60" i="1"/>
  <c r="AM60" i="1" s="1" a="1"/>
  <c r="AM60" i="1" s="1"/>
  <c r="AA60" i="1"/>
  <c r="AG60" i="1"/>
  <c r="AE60" i="1"/>
  <c r="AC60" i="1"/>
  <c r="AF60" i="1"/>
  <c r="Z61" i="1"/>
  <c r="AD60" i="1"/>
  <c r="AB60" i="1"/>
  <c r="AX59" i="1"/>
  <c r="AN59" i="1" s="1"/>
  <c r="AI59" i="1" a="1"/>
  <c r="AI59" i="1" s="1"/>
  <c r="AH61" i="1"/>
  <c r="AO60" i="1"/>
  <c r="BJ162" i="3"/>
  <c r="AN51" i="1" l="1"/>
  <c r="AJ60" i="1" a="1"/>
  <c r="AJ60" i="1" s="1"/>
  <c r="AK60" i="1" a="1"/>
  <c r="AK60" i="1" s="1"/>
  <c r="O60" i="3"/>
  <c r="BN60" i="3" s="1"/>
  <c r="K61" i="3"/>
  <c r="AL60" i="1" a="1"/>
  <c r="AL60" i="1" s="1"/>
  <c r="AO62" i="3"/>
  <c r="AS62" i="3" s="1"/>
  <c r="AP63" i="3"/>
  <c r="AT62" i="3"/>
  <c r="AX62" i="3" s="1"/>
  <c r="AU63" i="3"/>
  <c r="AA63" i="3"/>
  <c r="Z62" i="3"/>
  <c r="AD62" i="3" s="1"/>
  <c r="G63" i="3"/>
  <c r="F62" i="3"/>
  <c r="J62" i="3" s="1"/>
  <c r="AE63" i="3"/>
  <c r="AI63" i="3" s="1"/>
  <c r="AF64" i="3"/>
  <c r="V68" i="3"/>
  <c r="AK63" i="3"/>
  <c r="AJ62" i="3"/>
  <c r="AN62" i="3" s="1"/>
  <c r="P64" i="3"/>
  <c r="T64" i="3" s="1"/>
  <c r="Q65" i="3"/>
  <c r="AZ63" i="3"/>
  <c r="AY62" i="3"/>
  <c r="BC62" i="3" s="1"/>
  <c r="Y63" i="3"/>
  <c r="U64" i="3"/>
  <c r="L64" i="3"/>
  <c r="C76" i="2"/>
  <c r="B76" i="2"/>
  <c r="A77" i="2"/>
  <c r="D76" i="2"/>
  <c r="AG61" i="1"/>
  <c r="Z62" i="1"/>
  <c r="AC61" i="1"/>
  <c r="AE61" i="1"/>
  <c r="AB61" i="1"/>
  <c r="AA61" i="1"/>
  <c r="AF61" i="1"/>
  <c r="AD61" i="1"/>
  <c r="AO61" i="1"/>
  <c r="AH62" i="1"/>
  <c r="AI60" i="1" a="1"/>
  <c r="AI60" i="1" s="1"/>
  <c r="AX60" i="1"/>
  <c r="AN60" i="1" s="1"/>
  <c r="AR61" i="1"/>
  <c r="AU61" i="1"/>
  <c r="AT61" i="1"/>
  <c r="AQ61" i="1"/>
  <c r="AV61" i="1" a="1"/>
  <c r="AV61" i="1" s="1"/>
  <c r="AP62" i="1"/>
  <c r="AW61" i="1" a="1"/>
  <c r="AW61" i="1" s="1"/>
  <c r="AS61" i="1"/>
  <c r="BJ163" i="3"/>
  <c r="AK61" i="1" l="1" a="1"/>
  <c r="AK61" i="1" s="1"/>
  <c r="AN50" i="1"/>
  <c r="AM61" i="1" a="1"/>
  <c r="AM61" i="1" s="1"/>
  <c r="AJ61" i="1" a="1"/>
  <c r="AJ61" i="1" s="1"/>
  <c r="AL61" i="1" a="1"/>
  <c r="AL61" i="1" s="1"/>
  <c r="O61" i="3"/>
  <c r="BN61" i="3" s="1"/>
  <c r="K62" i="3"/>
  <c r="AP64" i="3"/>
  <c r="AO63" i="3"/>
  <c r="AS63" i="3" s="1"/>
  <c r="Y64" i="3"/>
  <c r="U65" i="3"/>
  <c r="AE64" i="3"/>
  <c r="AI64" i="3" s="1"/>
  <c r="AF65" i="3"/>
  <c r="AY63" i="3"/>
  <c r="BC63" i="3" s="1"/>
  <c r="AZ64" i="3"/>
  <c r="G64" i="3"/>
  <c r="F63" i="3"/>
  <c r="J63" i="3" s="1"/>
  <c r="Z63" i="3"/>
  <c r="AD63" i="3" s="1"/>
  <c r="AA64" i="3"/>
  <c r="Q66" i="3"/>
  <c r="P65" i="3"/>
  <c r="T65" i="3" s="1"/>
  <c r="AJ63" i="3"/>
  <c r="AN63" i="3" s="1"/>
  <c r="AK64" i="3"/>
  <c r="AT63" i="3"/>
  <c r="AX63" i="3" s="1"/>
  <c r="AU64" i="3"/>
  <c r="L65" i="3"/>
  <c r="V69" i="3"/>
  <c r="A78" i="2"/>
  <c r="B77" i="2"/>
  <c r="C77" i="2"/>
  <c r="D77" i="2"/>
  <c r="AO62" i="1"/>
  <c r="AH63" i="1"/>
  <c r="AW62" i="1" a="1"/>
  <c r="AW62" i="1" s="1"/>
  <c r="AS62" i="1"/>
  <c r="AV62" i="1" a="1"/>
  <c r="AV62" i="1" s="1"/>
  <c r="AQ62" i="1"/>
  <c r="AT62" i="1"/>
  <c r="AU62" i="1"/>
  <c r="AM62" i="1" s="1" a="1"/>
  <c r="AM62" i="1" s="1"/>
  <c r="AR62" i="1"/>
  <c r="AP63" i="1"/>
  <c r="AI61" i="1" a="1"/>
  <c r="AI61" i="1" s="1"/>
  <c r="AX61" i="1"/>
  <c r="AN61" i="1" s="1"/>
  <c r="AE62" i="1"/>
  <c r="AD62" i="1"/>
  <c r="AF62" i="1"/>
  <c r="AA62" i="1"/>
  <c r="AB62" i="1"/>
  <c r="AC62" i="1"/>
  <c r="AG62" i="1"/>
  <c r="Z63" i="1"/>
  <c r="BJ164" i="3"/>
  <c r="AN49" i="1" l="1"/>
  <c r="AL62" i="1" a="1"/>
  <c r="AL62" i="1" s="1"/>
  <c r="AJ62" i="1" a="1"/>
  <c r="AJ62" i="1" s="1"/>
  <c r="O62" i="3"/>
  <c r="BN62" i="3" s="1"/>
  <c r="K63" i="3"/>
  <c r="AP65" i="3"/>
  <c r="AO64" i="3"/>
  <c r="AS64" i="3" s="1"/>
  <c r="Z64" i="3"/>
  <c r="AD64" i="3" s="1"/>
  <c r="AA65" i="3"/>
  <c r="V70" i="3"/>
  <c r="K65" i="3"/>
  <c r="O65" i="3" s="1"/>
  <c r="L66" i="3"/>
  <c r="AT64" i="3"/>
  <c r="AX64" i="3" s="1"/>
  <c r="AU65" i="3"/>
  <c r="G65" i="3"/>
  <c r="F64" i="3"/>
  <c r="J64" i="3" s="1"/>
  <c r="AY64" i="3"/>
  <c r="BC64" i="3" s="1"/>
  <c r="AZ65" i="3"/>
  <c r="AK65" i="3"/>
  <c r="AJ64" i="3"/>
  <c r="AN64" i="3" s="1"/>
  <c r="AE65" i="3"/>
  <c r="AI65" i="3" s="1"/>
  <c r="AF66" i="3"/>
  <c r="Y65" i="3"/>
  <c r="U66" i="3"/>
  <c r="P66" i="3"/>
  <c r="T66" i="3" s="1"/>
  <c r="Q67" i="3"/>
  <c r="A79" i="2"/>
  <c r="B78" i="2"/>
  <c r="D78" i="2"/>
  <c r="C78" i="2"/>
  <c r="AS63" i="1"/>
  <c r="AV63" i="1" a="1"/>
  <c r="AV63" i="1" s="1"/>
  <c r="AW63" i="1" a="1"/>
  <c r="AW63" i="1" s="1"/>
  <c r="AP64" i="1"/>
  <c r="AT63" i="1"/>
  <c r="AL63" i="1" s="1" a="1"/>
  <c r="AL63" i="1" s="1"/>
  <c r="AU63" i="1"/>
  <c r="AM63" i="1" s="1" a="1"/>
  <c r="AM63" i="1" s="1"/>
  <c r="AR63" i="1"/>
  <c r="AQ63" i="1"/>
  <c r="AI62" i="1" a="1"/>
  <c r="AI62" i="1" s="1"/>
  <c r="AX62" i="1"/>
  <c r="AN62" i="1" s="1"/>
  <c r="AK62" i="1" a="1"/>
  <c r="AK62" i="1" s="1"/>
  <c r="AH64" i="1"/>
  <c r="AO63" i="1"/>
  <c r="AC63" i="1"/>
  <c r="AG63" i="1"/>
  <c r="AB63" i="1"/>
  <c r="AD63" i="1"/>
  <c r="AA63" i="1"/>
  <c r="AE63" i="1"/>
  <c r="AF63" i="1"/>
  <c r="Z64" i="1"/>
  <c r="BJ165" i="3"/>
  <c r="AN48" i="1" l="1"/>
  <c r="AJ63" i="1" a="1"/>
  <c r="AJ63" i="1" s="1"/>
  <c r="O63" i="3"/>
  <c r="BN63" i="3" s="1"/>
  <c r="K64" i="3"/>
  <c r="O64" i="3" s="1"/>
  <c r="BN64" i="3" s="1"/>
  <c r="AP66" i="3"/>
  <c r="AO65" i="3"/>
  <c r="AS65" i="3" s="1"/>
  <c r="Y66" i="3"/>
  <c r="U67" i="3"/>
  <c r="G66" i="3"/>
  <c r="F65" i="3"/>
  <c r="J65" i="3" s="1"/>
  <c r="AF67" i="3"/>
  <c r="AE66" i="3"/>
  <c r="AI66" i="3" s="1"/>
  <c r="AU66" i="3"/>
  <c r="AT65" i="3"/>
  <c r="AX65" i="3" s="1"/>
  <c r="L67" i="3"/>
  <c r="K66" i="3"/>
  <c r="O66" i="3" s="1"/>
  <c r="AJ65" i="3"/>
  <c r="AN65" i="3" s="1"/>
  <c r="AK66" i="3"/>
  <c r="V71" i="3"/>
  <c r="AY65" i="3"/>
  <c r="BC65" i="3" s="1"/>
  <c r="AZ66" i="3"/>
  <c r="Z65" i="3"/>
  <c r="AD65" i="3" s="1"/>
  <c r="AA66" i="3"/>
  <c r="P67" i="3"/>
  <c r="T67" i="3" s="1"/>
  <c r="Q68" i="3"/>
  <c r="B79" i="2"/>
  <c r="C79" i="2"/>
  <c r="D79" i="2"/>
  <c r="A80" i="2"/>
  <c r="AO64" i="1"/>
  <c r="AH65" i="1"/>
  <c r="AF64" i="1"/>
  <c r="AA64" i="1"/>
  <c r="AC64" i="1"/>
  <c r="AB64" i="1"/>
  <c r="AG64" i="1"/>
  <c r="Z65" i="1"/>
  <c r="AD64" i="1"/>
  <c r="AE64" i="1"/>
  <c r="AI63" i="1" a="1"/>
  <c r="AI63" i="1" s="1"/>
  <c r="AX63" i="1"/>
  <c r="AN63" i="1" s="1"/>
  <c r="AS64" i="1"/>
  <c r="AV64" i="1" a="1"/>
  <c r="AV64" i="1" s="1"/>
  <c r="AQ64" i="1"/>
  <c r="AU64" i="1"/>
  <c r="AM64" i="1" s="1" a="1"/>
  <c r="AM64" i="1" s="1"/>
  <c r="AT64" i="1"/>
  <c r="AP65" i="1"/>
  <c r="AR64" i="1"/>
  <c r="AJ64" i="1" s="1" a="1"/>
  <c r="AJ64" i="1" s="1"/>
  <c r="AW64" i="1" a="1"/>
  <c r="AW64" i="1" s="1"/>
  <c r="AK63" i="1" a="1"/>
  <c r="AK63" i="1" s="1"/>
  <c r="BJ166" i="3"/>
  <c r="AN47" i="1" l="1"/>
  <c r="AL64" i="1" a="1"/>
  <c r="AL64" i="1" s="1"/>
  <c r="AK64" i="1" a="1"/>
  <c r="AK64" i="1" s="1"/>
  <c r="AO66" i="3"/>
  <c r="AS66" i="3" s="1"/>
  <c r="AP67" i="3"/>
  <c r="Q69" i="3"/>
  <c r="P68" i="3"/>
  <c r="T68" i="3" s="1"/>
  <c r="Z66" i="3"/>
  <c r="AD66" i="3" s="1"/>
  <c r="AA67" i="3"/>
  <c r="L68" i="3"/>
  <c r="K67" i="3"/>
  <c r="O67" i="3" s="1"/>
  <c r="AY66" i="3"/>
  <c r="BC66" i="3" s="1"/>
  <c r="AZ67" i="3"/>
  <c r="AU67" i="3"/>
  <c r="AT66" i="3"/>
  <c r="AX66" i="3" s="1"/>
  <c r="BN65" i="3"/>
  <c r="AF68" i="3"/>
  <c r="AE67" i="3"/>
  <c r="AI67" i="3" s="1"/>
  <c r="V72" i="3"/>
  <c r="F66" i="3"/>
  <c r="J66" i="3" s="1"/>
  <c r="G67" i="3"/>
  <c r="Y67" i="3"/>
  <c r="U68" i="3"/>
  <c r="AJ66" i="3"/>
  <c r="AN66" i="3" s="1"/>
  <c r="AK67" i="3"/>
  <c r="B80" i="2"/>
  <c r="D80" i="2"/>
  <c r="A81" i="2"/>
  <c r="C80" i="2"/>
  <c r="AB65" i="1"/>
  <c r="AG65" i="1"/>
  <c r="AC65" i="1"/>
  <c r="AF65" i="1"/>
  <c r="Z66" i="1"/>
  <c r="AD65" i="1"/>
  <c r="AA65" i="1"/>
  <c r="AE65" i="1"/>
  <c r="AV65" i="1" a="1"/>
  <c r="AV65" i="1" s="1"/>
  <c r="AS65" i="1"/>
  <c r="AP66" i="1"/>
  <c r="AW65" i="1" a="1"/>
  <c r="AW65" i="1" s="1"/>
  <c r="AU65" i="1"/>
  <c r="AR65" i="1"/>
  <c r="AJ65" i="1" s="1" a="1"/>
  <c r="AJ65" i="1" s="1"/>
  <c r="AQ65" i="1"/>
  <c r="AT65" i="1"/>
  <c r="AX64" i="1"/>
  <c r="AN64" i="1" s="1"/>
  <c r="AI64" i="1" a="1"/>
  <c r="AI64" i="1" s="1"/>
  <c r="AO65" i="1"/>
  <c r="AH66" i="1"/>
  <c r="BJ167" i="3"/>
  <c r="AN46" i="1" l="1"/>
  <c r="AM65" i="1" a="1"/>
  <c r="AM65" i="1" s="1"/>
  <c r="AL65" i="1" a="1"/>
  <c r="AL65" i="1" s="1"/>
  <c r="AK65" i="1" a="1"/>
  <c r="AK65" i="1" s="1"/>
  <c r="AP68" i="3"/>
  <c r="AO67" i="3"/>
  <c r="AS67" i="3" s="1"/>
  <c r="AE68" i="3"/>
  <c r="AI68" i="3" s="1"/>
  <c r="AF69" i="3"/>
  <c r="Y68" i="3"/>
  <c r="U69" i="3"/>
  <c r="AU68" i="3"/>
  <c r="AT67" i="3"/>
  <c r="AX67" i="3" s="1"/>
  <c r="AZ68" i="3"/>
  <c r="AY67" i="3"/>
  <c r="BC67" i="3" s="1"/>
  <c r="G68" i="3"/>
  <c r="F67" i="3"/>
  <c r="J67" i="3" s="1"/>
  <c r="BN66" i="3"/>
  <c r="L69" i="3"/>
  <c r="K68" i="3"/>
  <c r="O68" i="3" s="1"/>
  <c r="V73" i="3"/>
  <c r="Z67" i="3"/>
  <c r="AD67" i="3" s="1"/>
  <c r="AA68" i="3"/>
  <c r="AK68" i="3"/>
  <c r="AJ67" i="3"/>
  <c r="AN67" i="3" s="1"/>
  <c r="Q70" i="3"/>
  <c r="P69" i="3"/>
  <c r="T69" i="3" s="1"/>
  <c r="C81" i="2"/>
  <c r="B81" i="2"/>
  <c r="D81" i="2"/>
  <c r="A82" i="2"/>
  <c r="AR66" i="1"/>
  <c r="AU66" i="1"/>
  <c r="AW66" i="1" a="1"/>
  <c r="AW66" i="1" s="1"/>
  <c r="AQ66" i="1"/>
  <c r="AT66" i="1"/>
  <c r="AL66" i="1" s="1" a="1"/>
  <c r="AL66" i="1" s="1"/>
  <c r="AV66" i="1" a="1"/>
  <c r="AV66" i="1" s="1"/>
  <c r="AP67" i="1"/>
  <c r="AS66" i="1"/>
  <c r="AH67" i="1"/>
  <c r="AO66" i="1"/>
  <c r="AB66" i="1"/>
  <c r="AD66" i="1"/>
  <c r="AC66" i="1"/>
  <c r="AF66" i="1"/>
  <c r="AG66" i="1"/>
  <c r="AE66" i="1"/>
  <c r="Z67" i="1"/>
  <c r="AA66" i="1"/>
  <c r="AX65" i="1"/>
  <c r="AN65" i="1" s="1"/>
  <c r="AI65" i="1" a="1"/>
  <c r="AI65" i="1" s="1"/>
  <c r="BJ168" i="3"/>
  <c r="AN45" i="1" l="1"/>
  <c r="AM66" i="1" a="1"/>
  <c r="AM66" i="1" s="1"/>
  <c r="AJ66" i="1" a="1"/>
  <c r="AJ66" i="1" s="1"/>
  <c r="AK66" i="1" a="1"/>
  <c r="AK66" i="1" s="1"/>
  <c r="AO68" i="3"/>
  <c r="AS68" i="3" s="1"/>
  <c r="AP69" i="3"/>
  <c r="Q71" i="3"/>
  <c r="P70" i="3"/>
  <c r="T70" i="3" s="1"/>
  <c r="G69" i="3"/>
  <c r="F68" i="3"/>
  <c r="J68" i="3" s="1"/>
  <c r="AK69" i="3"/>
  <c r="AJ68" i="3"/>
  <c r="AN68" i="3" s="1"/>
  <c r="BN67" i="3"/>
  <c r="Z68" i="3"/>
  <c r="AD68" i="3" s="1"/>
  <c r="AA69" i="3"/>
  <c r="AZ69" i="3"/>
  <c r="AY68" i="3"/>
  <c r="BC68" i="3" s="1"/>
  <c r="V74" i="3"/>
  <c r="AT68" i="3"/>
  <c r="AX68" i="3" s="1"/>
  <c r="AU69" i="3"/>
  <c r="Y69" i="3"/>
  <c r="U70" i="3"/>
  <c r="L70" i="3"/>
  <c r="K69" i="3"/>
  <c r="O69" i="3" s="1"/>
  <c r="AF70" i="3"/>
  <c r="AE69" i="3"/>
  <c r="AI69" i="3" s="1"/>
  <c r="B82" i="2"/>
  <c r="A83" i="2"/>
  <c r="C82" i="2"/>
  <c r="D82" i="2"/>
  <c r="Z68" i="1"/>
  <c r="AA67" i="1"/>
  <c r="AE67" i="1"/>
  <c r="AF67" i="1"/>
  <c r="AB67" i="1"/>
  <c r="AD67" i="1"/>
  <c r="AC67" i="1"/>
  <c r="AG67" i="1"/>
  <c r="AO67" i="1"/>
  <c r="AH68" i="1"/>
  <c r="AT67" i="1"/>
  <c r="AR67" i="1"/>
  <c r="AQ67" i="1"/>
  <c r="AU67" i="1"/>
  <c r="AM67" i="1" s="1" a="1"/>
  <c r="AM67" i="1" s="1"/>
  <c r="AS67" i="1"/>
  <c r="AV67" i="1" a="1"/>
  <c r="AV67" i="1" s="1"/>
  <c r="AW67" i="1" a="1"/>
  <c r="AW67" i="1" s="1"/>
  <c r="AP68" i="1"/>
  <c r="AI66" i="1" a="1"/>
  <c r="AI66" i="1" s="1"/>
  <c r="AX66" i="1"/>
  <c r="AN66" i="1" s="1"/>
  <c r="BJ169" i="3"/>
  <c r="AN44" i="1" l="1"/>
  <c r="AJ67" i="1" a="1"/>
  <c r="AJ67" i="1" s="1"/>
  <c r="AL67" i="1" a="1"/>
  <c r="AL67" i="1" s="1"/>
  <c r="AK67" i="1" a="1"/>
  <c r="AK67" i="1" s="1"/>
  <c r="AO69" i="3"/>
  <c r="AS69" i="3" s="1"/>
  <c r="AP70" i="3"/>
  <c r="AE70" i="3"/>
  <c r="AI70" i="3" s="1"/>
  <c r="AF71" i="3"/>
  <c r="BN68" i="3"/>
  <c r="AZ70" i="3"/>
  <c r="AY69" i="3"/>
  <c r="BC69" i="3" s="1"/>
  <c r="L71" i="3"/>
  <c r="K70" i="3"/>
  <c r="O70" i="3" s="1"/>
  <c r="AA70" i="3"/>
  <c r="Z69" i="3"/>
  <c r="AD69" i="3" s="1"/>
  <c r="Y70" i="3"/>
  <c r="U71" i="3"/>
  <c r="AJ69" i="3"/>
  <c r="AN69" i="3" s="1"/>
  <c r="AK70" i="3"/>
  <c r="AU70" i="3"/>
  <c r="AT69" i="3"/>
  <c r="AX69" i="3" s="1"/>
  <c r="V75" i="3"/>
  <c r="G70" i="3"/>
  <c r="F69" i="3"/>
  <c r="J69" i="3" s="1"/>
  <c r="P71" i="3"/>
  <c r="T71" i="3" s="1"/>
  <c r="Q72" i="3"/>
  <c r="C83" i="2"/>
  <c r="A84" i="2"/>
  <c r="B83" i="2"/>
  <c r="D83" i="2"/>
  <c r="AH69" i="1"/>
  <c r="AO68" i="1"/>
  <c r="AS68" i="1"/>
  <c r="AQ68" i="1"/>
  <c r="AU68" i="1"/>
  <c r="AM68" i="1" s="1" a="1"/>
  <c r="AM68" i="1" s="1"/>
  <c r="AW68" i="1" a="1"/>
  <c r="AW68" i="1" s="1"/>
  <c r="AT68" i="1"/>
  <c r="AL68" i="1" s="1" a="1"/>
  <c r="AL68" i="1" s="1"/>
  <c r="AP69" i="1"/>
  <c r="AV68" i="1" a="1"/>
  <c r="AV68" i="1" s="1"/>
  <c r="AR68" i="1"/>
  <c r="AX67" i="1"/>
  <c r="AN67" i="1" s="1"/>
  <c r="AI67" i="1" a="1"/>
  <c r="AI67" i="1" s="1"/>
  <c r="AD68" i="1"/>
  <c r="AC68" i="1"/>
  <c r="AB68" i="1"/>
  <c r="AF68" i="1"/>
  <c r="AG68" i="1"/>
  <c r="AA68" i="1"/>
  <c r="Z69" i="1"/>
  <c r="AE68" i="1"/>
  <c r="BJ170" i="3"/>
  <c r="AN43" i="1" l="1"/>
  <c r="AJ68" i="1" a="1"/>
  <c r="AJ68" i="1" s="1"/>
  <c r="AK68" i="1" a="1"/>
  <c r="AK68" i="1" s="1"/>
  <c r="AO70" i="3"/>
  <c r="AS70" i="3" s="1"/>
  <c r="AP71" i="3"/>
  <c r="Y71" i="3"/>
  <c r="U72" i="3"/>
  <c r="F70" i="3"/>
  <c r="J70" i="3" s="1"/>
  <c r="G71" i="3"/>
  <c r="AA71" i="3"/>
  <c r="Z70" i="3"/>
  <c r="AD70" i="3" s="1"/>
  <c r="K71" i="3"/>
  <c r="O71" i="3" s="1"/>
  <c r="L72" i="3"/>
  <c r="V76" i="3"/>
  <c r="BN69" i="3"/>
  <c r="AU71" i="3"/>
  <c r="AT70" i="3"/>
  <c r="AX70" i="3" s="1"/>
  <c r="AZ71" i="3"/>
  <c r="AY70" i="3"/>
  <c r="BC70" i="3" s="1"/>
  <c r="AJ70" i="3"/>
  <c r="AN70" i="3" s="1"/>
  <c r="AK71" i="3"/>
  <c r="AF72" i="3"/>
  <c r="AE71" i="3"/>
  <c r="AI71" i="3" s="1"/>
  <c r="P72" i="3"/>
  <c r="T72" i="3" s="1"/>
  <c r="Q73" i="3"/>
  <c r="C84" i="2"/>
  <c r="B84" i="2"/>
  <c r="A85" i="2"/>
  <c r="D84" i="2"/>
  <c r="AP70" i="1"/>
  <c r="AS69" i="1"/>
  <c r="AU69" i="1"/>
  <c r="AM69" i="1" s="1" a="1"/>
  <c r="AM69" i="1" s="1"/>
  <c r="AR69" i="1"/>
  <c r="AJ69" i="1" s="1" a="1"/>
  <c r="AJ69" i="1" s="1"/>
  <c r="AV69" i="1" a="1"/>
  <c r="AV69" i="1" s="1"/>
  <c r="AQ69" i="1"/>
  <c r="AT69" i="1"/>
  <c r="AL69" i="1" s="1" a="1"/>
  <c r="AL69" i="1" s="1"/>
  <c r="AW69" i="1" a="1"/>
  <c r="AW69" i="1" s="1"/>
  <c r="AF69" i="1"/>
  <c r="AA69" i="1"/>
  <c r="AB69" i="1"/>
  <c r="AE69" i="1"/>
  <c r="AG69" i="1"/>
  <c r="AD69" i="1"/>
  <c r="AC69" i="1"/>
  <c r="Z70" i="1"/>
  <c r="AI68" i="1" a="1"/>
  <c r="AI68" i="1" s="1"/>
  <c r="AX68" i="1"/>
  <c r="AN68" i="1" s="1"/>
  <c r="AO69" i="1"/>
  <c r="AH70" i="1"/>
  <c r="BJ171" i="3"/>
  <c r="AN42" i="1" l="1"/>
  <c r="AK69" i="1" a="1"/>
  <c r="AK69" i="1" s="1"/>
  <c r="AO71" i="3"/>
  <c r="AS71" i="3" s="1"/>
  <c r="AP72" i="3"/>
  <c r="P73" i="3"/>
  <c r="T73" i="3" s="1"/>
  <c r="Q74" i="3"/>
  <c r="U76" i="3"/>
  <c r="Y76" i="3" s="1"/>
  <c r="V77" i="3"/>
  <c r="L73" i="3"/>
  <c r="K72" i="3"/>
  <c r="O72" i="3" s="1"/>
  <c r="AE72" i="3"/>
  <c r="AI72" i="3" s="1"/>
  <c r="AF73" i="3"/>
  <c r="AK72" i="3"/>
  <c r="AJ71" i="3"/>
  <c r="AN71" i="3" s="1"/>
  <c r="AA72" i="3"/>
  <c r="Z71" i="3"/>
  <c r="AD71" i="3" s="1"/>
  <c r="BN70" i="3"/>
  <c r="F71" i="3"/>
  <c r="J71" i="3" s="1"/>
  <c r="G72" i="3"/>
  <c r="AZ72" i="3"/>
  <c r="AY71" i="3"/>
  <c r="BC71" i="3" s="1"/>
  <c r="AU72" i="3"/>
  <c r="AT71" i="3"/>
  <c r="AX71" i="3" s="1"/>
  <c r="Y72" i="3"/>
  <c r="U73" i="3"/>
  <c r="C85" i="2"/>
  <c r="A86" i="2"/>
  <c r="B85" i="2"/>
  <c r="D85" i="2"/>
  <c r="AA70" i="1"/>
  <c r="AE70" i="1"/>
  <c r="AD70" i="1"/>
  <c r="AG70" i="1"/>
  <c r="AB70" i="1"/>
  <c r="Z71" i="1"/>
  <c r="AC70" i="1"/>
  <c r="AF70" i="1"/>
  <c r="AO70" i="1"/>
  <c r="AH71" i="1"/>
  <c r="AI69" i="1" a="1"/>
  <c r="AI69" i="1" s="1"/>
  <c r="AX69" i="1"/>
  <c r="AN69" i="1" s="1"/>
  <c r="AW70" i="1" a="1"/>
  <c r="AW70" i="1" s="1"/>
  <c r="AR70" i="1"/>
  <c r="AJ70" i="1" s="1" a="1"/>
  <c r="AJ70" i="1" s="1"/>
  <c r="AP71" i="1"/>
  <c r="AV70" i="1" a="1"/>
  <c r="AV70" i="1" s="1"/>
  <c r="AS70" i="1"/>
  <c r="AK70" i="1" s="1" a="1"/>
  <c r="AK70" i="1" s="1"/>
  <c r="AT70" i="1"/>
  <c r="AL70" i="1" s="1" a="1"/>
  <c r="AL70" i="1" s="1"/>
  <c r="AQ70" i="1"/>
  <c r="AU70" i="1"/>
  <c r="AM70" i="1" s="1" a="1"/>
  <c r="AM70" i="1" s="1"/>
  <c r="BJ172" i="3"/>
  <c r="AN41" i="1" l="1"/>
  <c r="AP73" i="3"/>
  <c r="AO72" i="3"/>
  <c r="AS72" i="3" s="1"/>
  <c r="AJ72" i="3"/>
  <c r="AN72" i="3" s="1"/>
  <c r="AK73" i="3"/>
  <c r="AF74" i="3"/>
  <c r="AE73" i="3"/>
  <c r="AI73" i="3" s="1"/>
  <c r="AU73" i="3"/>
  <c r="AT72" i="3"/>
  <c r="AX72" i="3" s="1"/>
  <c r="BN71" i="3"/>
  <c r="AZ73" i="3"/>
  <c r="AY72" i="3"/>
  <c r="BC72" i="3" s="1"/>
  <c r="L74" i="3"/>
  <c r="K73" i="3"/>
  <c r="O73" i="3" s="1"/>
  <c r="G73" i="3"/>
  <c r="F72" i="3"/>
  <c r="J72" i="3" s="1"/>
  <c r="U77" i="3"/>
  <c r="Y77" i="3" s="1"/>
  <c r="V78" i="3"/>
  <c r="P74" i="3"/>
  <c r="T74" i="3" s="1"/>
  <c r="Q75" i="3"/>
  <c r="AA73" i="3"/>
  <c r="Z72" i="3"/>
  <c r="AD72" i="3" s="1"/>
  <c r="Y73" i="3"/>
  <c r="U74" i="3"/>
  <c r="B86" i="2"/>
  <c r="A87" i="2"/>
  <c r="D86" i="2"/>
  <c r="C86" i="2"/>
  <c r="AO71" i="1"/>
  <c r="AH72" i="1"/>
  <c r="AI70" i="1" a="1"/>
  <c r="AI70" i="1" s="1"/>
  <c r="AX70" i="1"/>
  <c r="AN70" i="1" s="1"/>
  <c r="AD71" i="1"/>
  <c r="AE71" i="1"/>
  <c r="AC71" i="1"/>
  <c r="AF71" i="1"/>
  <c r="AB71" i="1"/>
  <c r="AG71" i="1"/>
  <c r="AA71" i="1"/>
  <c r="Z72" i="1"/>
  <c r="AP72" i="1"/>
  <c r="AT71" i="1"/>
  <c r="AL71" i="1" s="1" a="1"/>
  <c r="AL71" i="1" s="1"/>
  <c r="AR71" i="1"/>
  <c r="AV71" i="1" a="1"/>
  <c r="AV71" i="1" s="1"/>
  <c r="AQ71" i="1"/>
  <c r="AS71" i="1"/>
  <c r="AW71" i="1" a="1"/>
  <c r="AW71" i="1" s="1"/>
  <c r="AU71" i="1"/>
  <c r="AM71" i="1" s="1" a="1"/>
  <c r="AM71" i="1" s="1"/>
  <c r="BJ173" i="3"/>
  <c r="AN40" i="1" l="1"/>
  <c r="AK71" i="1" a="1"/>
  <c r="AK71" i="1" s="1"/>
  <c r="AJ71" i="1" a="1"/>
  <c r="AJ71" i="1" s="1"/>
  <c r="AP74" i="3"/>
  <c r="AO73" i="3"/>
  <c r="AS73" i="3" s="1"/>
  <c r="Y74" i="3"/>
  <c r="U75" i="3"/>
  <c r="Y75" i="3" s="1"/>
  <c r="K74" i="3"/>
  <c r="O74" i="3" s="1"/>
  <c r="L75" i="3"/>
  <c r="BN72" i="3"/>
  <c r="Z73" i="3"/>
  <c r="AD73" i="3" s="1"/>
  <c r="AA74" i="3"/>
  <c r="AY73" i="3"/>
  <c r="BC73" i="3" s="1"/>
  <c r="AZ74" i="3"/>
  <c r="Q76" i="3"/>
  <c r="P75" i="3"/>
  <c r="T75" i="3" s="1"/>
  <c r="U78" i="3"/>
  <c r="Y78" i="3" s="1"/>
  <c r="V79" i="3"/>
  <c r="AU74" i="3"/>
  <c r="AT73" i="3"/>
  <c r="AX73" i="3" s="1"/>
  <c r="AE74" i="3"/>
  <c r="AI74" i="3" s="1"/>
  <c r="AF75" i="3"/>
  <c r="AJ73" i="3"/>
  <c r="AN73" i="3" s="1"/>
  <c r="AK74" i="3"/>
  <c r="F73" i="3"/>
  <c r="J73" i="3" s="1"/>
  <c r="G74" i="3"/>
  <c r="D87" i="2"/>
  <c r="B87" i="2"/>
  <c r="A88" i="2"/>
  <c r="C87" i="2"/>
  <c r="AI71" i="1" a="1"/>
  <c r="AI71" i="1" s="1"/>
  <c r="AX71" i="1"/>
  <c r="AN71" i="1" s="1"/>
  <c r="AR72" i="1"/>
  <c r="AW72" i="1" a="1"/>
  <c r="AW72" i="1" s="1"/>
  <c r="AV72" i="1" a="1"/>
  <c r="AV72" i="1" s="1"/>
  <c r="AS72" i="1"/>
  <c r="AU72" i="1"/>
  <c r="AT72" i="1"/>
  <c r="AP73" i="1"/>
  <c r="AQ72" i="1"/>
  <c r="AO72" i="1"/>
  <c r="AH73" i="1"/>
  <c r="AB72" i="1"/>
  <c r="AC72" i="1"/>
  <c r="AF72" i="1"/>
  <c r="AG72" i="1"/>
  <c r="AE72" i="1"/>
  <c r="AA72" i="1"/>
  <c r="Z73" i="1"/>
  <c r="AD72" i="1"/>
  <c r="BJ174" i="3"/>
  <c r="AN39" i="1" l="1"/>
  <c r="AM72" i="1" a="1"/>
  <c r="AM72" i="1" s="1"/>
  <c r="AK72" i="1" a="1"/>
  <c r="AK72" i="1" s="1"/>
  <c r="AJ72" i="1" a="1"/>
  <c r="AJ72" i="1" s="1"/>
  <c r="AL72" i="1" a="1"/>
  <c r="AL72" i="1" s="1"/>
  <c r="AP75" i="3"/>
  <c r="AO74" i="3"/>
  <c r="AS74" i="3" s="1"/>
  <c r="AY74" i="3"/>
  <c r="BC74" i="3" s="1"/>
  <c r="AZ75" i="3"/>
  <c r="AK75" i="3"/>
  <c r="AJ74" i="3"/>
  <c r="AN74" i="3" s="1"/>
  <c r="BN73" i="3"/>
  <c r="AA75" i="3"/>
  <c r="Z74" i="3"/>
  <c r="AD74" i="3" s="1"/>
  <c r="AE75" i="3"/>
  <c r="AI75" i="3" s="1"/>
  <c r="AF76" i="3"/>
  <c r="P76" i="3"/>
  <c r="T76" i="3" s="1"/>
  <c r="Q77" i="3"/>
  <c r="K75" i="3"/>
  <c r="O75" i="3" s="1"/>
  <c r="L76" i="3"/>
  <c r="AU75" i="3"/>
  <c r="AT74" i="3"/>
  <c r="AX74" i="3" s="1"/>
  <c r="V80" i="3"/>
  <c r="U79" i="3"/>
  <c r="Y79" i="3" s="1"/>
  <c r="G75" i="3"/>
  <c r="F74" i="3"/>
  <c r="J74" i="3" s="1"/>
  <c r="D88" i="2"/>
  <c r="A89" i="2"/>
  <c r="B88" i="2"/>
  <c r="C88" i="2"/>
  <c r="AF73" i="1"/>
  <c r="Z74" i="1"/>
  <c r="AE73" i="1"/>
  <c r="AA73" i="1"/>
  <c r="AD73" i="1"/>
  <c r="AB73" i="1"/>
  <c r="AC73" i="1"/>
  <c r="AG73" i="1"/>
  <c r="AH74" i="1"/>
  <c r="AO73" i="1"/>
  <c r="AX72" i="1"/>
  <c r="AN72" i="1" s="1"/>
  <c r="AI72" i="1" a="1"/>
  <c r="AI72" i="1" s="1"/>
  <c r="AP74" i="1"/>
  <c r="AU73" i="1"/>
  <c r="AM73" i="1" s="1" a="1"/>
  <c r="AM73" i="1" s="1"/>
  <c r="AW73" i="1" a="1"/>
  <c r="AW73" i="1" s="1"/>
  <c r="AT73" i="1"/>
  <c r="AL73" i="1" s="1" a="1"/>
  <c r="AL73" i="1" s="1"/>
  <c r="AS73" i="1"/>
  <c r="AR73" i="1"/>
  <c r="AJ73" i="1" s="1" a="1"/>
  <c r="AJ73" i="1" s="1"/>
  <c r="AQ73" i="1"/>
  <c r="AV73" i="1" a="1"/>
  <c r="AV73" i="1" s="1"/>
  <c r="BJ175" i="3"/>
  <c r="AN38" i="1" l="1"/>
  <c r="AK73" i="1" a="1"/>
  <c r="AK73" i="1" s="1"/>
  <c r="AP76" i="3"/>
  <c r="AO75" i="3"/>
  <c r="AS75" i="3" s="1"/>
  <c r="P77" i="3"/>
  <c r="T77" i="3" s="1"/>
  <c r="Q78" i="3"/>
  <c r="AE76" i="3"/>
  <c r="AI76" i="3" s="1"/>
  <c r="AF77" i="3"/>
  <c r="G76" i="3"/>
  <c r="F75" i="3"/>
  <c r="J75" i="3" s="1"/>
  <c r="Z75" i="3"/>
  <c r="AD75" i="3" s="1"/>
  <c r="AA76" i="3"/>
  <c r="U80" i="3"/>
  <c r="Y80" i="3" s="1"/>
  <c r="V81" i="3"/>
  <c r="AJ75" i="3"/>
  <c r="AN75" i="3" s="1"/>
  <c r="AK76" i="3"/>
  <c r="AU76" i="3"/>
  <c r="AT75" i="3"/>
  <c r="AX75" i="3" s="1"/>
  <c r="AY75" i="3"/>
  <c r="BC75" i="3" s="1"/>
  <c r="AZ76" i="3"/>
  <c r="K76" i="3"/>
  <c r="O76" i="3" s="1"/>
  <c r="L77" i="3"/>
  <c r="BN74" i="3"/>
  <c r="C89" i="2"/>
  <c r="A90" i="2"/>
  <c r="B89" i="2"/>
  <c r="D89" i="2"/>
  <c r="AH75" i="1"/>
  <c r="AO74" i="1"/>
  <c r="AX73" i="1"/>
  <c r="AN73" i="1" s="1"/>
  <c r="AI73" i="1" a="1"/>
  <c r="AI73" i="1" s="1"/>
  <c r="AP75" i="1"/>
  <c r="AR74" i="1"/>
  <c r="AT74" i="1"/>
  <c r="AV74" i="1" a="1"/>
  <c r="AV74" i="1" s="1"/>
  <c r="AQ74" i="1"/>
  <c r="AS74" i="1"/>
  <c r="AK74" i="1" s="1" a="1"/>
  <c r="AK74" i="1" s="1"/>
  <c r="AW74" i="1" a="1"/>
  <c r="AW74" i="1" s="1"/>
  <c r="AU74" i="1"/>
  <c r="AM74" i="1" s="1" a="1"/>
  <c r="AM74" i="1" s="1"/>
  <c r="AG74" i="1"/>
  <c r="AC74" i="1"/>
  <c r="AE74" i="1"/>
  <c r="AB74" i="1"/>
  <c r="AF74" i="1"/>
  <c r="AD74" i="1"/>
  <c r="AA74" i="1"/>
  <c r="Z75" i="1"/>
  <c r="BJ176" i="3"/>
  <c r="AN37" i="1" l="1"/>
  <c r="AJ74" i="1" a="1"/>
  <c r="AJ74" i="1" s="1"/>
  <c r="AL74" i="1" a="1"/>
  <c r="AL74" i="1" s="1"/>
  <c r="AP77" i="3"/>
  <c r="AO76" i="3"/>
  <c r="AS76" i="3" s="1"/>
  <c r="AA77" i="3"/>
  <c r="Z76" i="3"/>
  <c r="AD76" i="3" s="1"/>
  <c r="L78" i="3"/>
  <c r="K77" i="3"/>
  <c r="O77" i="3" s="1"/>
  <c r="AY76" i="3"/>
  <c r="BC76" i="3" s="1"/>
  <c r="AZ77" i="3"/>
  <c r="BN75" i="3"/>
  <c r="F76" i="3"/>
  <c r="J76" i="3" s="1"/>
  <c r="G77" i="3"/>
  <c r="AF78" i="3"/>
  <c r="AE77" i="3"/>
  <c r="AI77" i="3" s="1"/>
  <c r="AT76" i="3"/>
  <c r="AX76" i="3" s="1"/>
  <c r="AU77" i="3"/>
  <c r="AJ76" i="3"/>
  <c r="AN76" i="3" s="1"/>
  <c r="AK77" i="3"/>
  <c r="P78" i="3"/>
  <c r="T78" i="3" s="1"/>
  <c r="Q79" i="3"/>
  <c r="U81" i="3"/>
  <c r="Y81" i="3" s="1"/>
  <c r="V82" i="3"/>
  <c r="B90" i="2"/>
  <c r="D90" i="2"/>
  <c r="C90" i="2"/>
  <c r="A91" i="2"/>
  <c r="AX74" i="1"/>
  <c r="AN74" i="1" s="1"/>
  <c r="AI74" i="1" a="1"/>
  <c r="AI74" i="1" s="1"/>
  <c r="AQ75" i="1"/>
  <c r="AT75" i="1"/>
  <c r="AR75" i="1"/>
  <c r="AJ75" i="1" s="1" a="1"/>
  <c r="AJ75" i="1" s="1"/>
  <c r="AS75" i="1"/>
  <c r="AV75" i="1" a="1"/>
  <c r="AV75" i="1" s="1"/>
  <c r="AU75" i="1"/>
  <c r="AM75" i="1" s="1" a="1"/>
  <c r="AM75" i="1" s="1"/>
  <c r="AW75" i="1" a="1"/>
  <c r="AW75" i="1" s="1"/>
  <c r="AP76" i="1"/>
  <c r="AA75" i="1"/>
  <c r="AE75" i="1"/>
  <c r="AG75" i="1"/>
  <c r="AB75" i="1"/>
  <c r="AC75" i="1"/>
  <c r="AF75" i="1"/>
  <c r="Z76" i="1"/>
  <c r="AD75" i="1"/>
  <c r="AO75" i="1"/>
  <c r="AH76" i="1"/>
  <c r="BJ177" i="3"/>
  <c r="AN36" i="1" l="1"/>
  <c r="AL75" i="1" a="1"/>
  <c r="AL75" i="1" s="1"/>
  <c r="AK75" i="1" a="1"/>
  <c r="AK75" i="1" s="1"/>
  <c r="AO77" i="3"/>
  <c r="AS77" i="3" s="1"/>
  <c r="AP78" i="3"/>
  <c r="U82" i="3"/>
  <c r="Y82" i="3" s="1"/>
  <c r="V83" i="3"/>
  <c r="AF79" i="3"/>
  <c r="AE78" i="3"/>
  <c r="AI78" i="3" s="1"/>
  <c r="G78" i="3"/>
  <c r="F77" i="3"/>
  <c r="J77" i="3" s="1"/>
  <c r="P79" i="3"/>
  <c r="T79" i="3" s="1"/>
  <c r="Q80" i="3"/>
  <c r="AY77" i="3"/>
  <c r="BC77" i="3" s="1"/>
  <c r="AZ78" i="3"/>
  <c r="BN76" i="3"/>
  <c r="L79" i="3"/>
  <c r="K78" i="3"/>
  <c r="O78" i="3" s="1"/>
  <c r="AT77" i="3"/>
  <c r="AX77" i="3" s="1"/>
  <c r="AU78" i="3"/>
  <c r="AK78" i="3"/>
  <c r="AJ77" i="3"/>
  <c r="AN77" i="3" s="1"/>
  <c r="AA78" i="3"/>
  <c r="Z77" i="3"/>
  <c r="AD77" i="3" s="1"/>
  <c r="A92" i="2"/>
  <c r="B91" i="2"/>
  <c r="D91" i="2"/>
  <c r="C91" i="2"/>
  <c r="AW76" i="1" a="1"/>
  <c r="AW76" i="1" s="1"/>
  <c r="AQ76" i="1"/>
  <c r="AV76" i="1" a="1"/>
  <c r="AV76" i="1" s="1"/>
  <c r="AR76" i="1"/>
  <c r="AJ76" i="1" s="1" a="1"/>
  <c r="AJ76" i="1" s="1"/>
  <c r="AP77" i="1"/>
  <c r="AS76" i="1"/>
  <c r="AT76" i="1"/>
  <c r="AL76" i="1" s="1" a="1"/>
  <c r="AL76" i="1" s="1"/>
  <c r="AU76" i="1"/>
  <c r="AM76" i="1" s="1" a="1"/>
  <c r="AM76" i="1" s="1"/>
  <c r="AC76" i="1"/>
  <c r="AD76" i="1"/>
  <c r="AE76" i="1"/>
  <c r="AB76" i="1"/>
  <c r="AF76" i="1"/>
  <c r="AA76" i="1"/>
  <c r="Z77" i="1"/>
  <c r="AG76" i="1"/>
  <c r="AI75" i="1" a="1"/>
  <c r="AI75" i="1" s="1"/>
  <c r="AX75" i="1"/>
  <c r="AN75" i="1" s="1"/>
  <c r="AO76" i="1"/>
  <c r="AH77" i="1"/>
  <c r="BJ178" i="3"/>
  <c r="AN35" i="1" l="1"/>
  <c r="AK76" i="1" a="1"/>
  <c r="AK76" i="1" s="1"/>
  <c r="AP79" i="3"/>
  <c r="AO78" i="3"/>
  <c r="AS78" i="3" s="1"/>
  <c r="AZ79" i="3"/>
  <c r="AY78" i="3"/>
  <c r="BC78" i="3" s="1"/>
  <c r="BN77" i="3"/>
  <c r="Z78" i="3"/>
  <c r="AD78" i="3" s="1"/>
  <c r="AA79" i="3"/>
  <c r="Q81" i="3"/>
  <c r="P80" i="3"/>
  <c r="T80" i="3" s="1"/>
  <c r="AJ78" i="3"/>
  <c r="AN78" i="3" s="1"/>
  <c r="AK79" i="3"/>
  <c r="AU79" i="3"/>
  <c r="AT78" i="3"/>
  <c r="AX78" i="3" s="1"/>
  <c r="F78" i="3"/>
  <c r="J78" i="3" s="1"/>
  <c r="G79" i="3"/>
  <c r="K79" i="3"/>
  <c r="O79" i="3" s="1"/>
  <c r="L80" i="3"/>
  <c r="AE79" i="3"/>
  <c r="AI79" i="3" s="1"/>
  <c r="AF80" i="3"/>
  <c r="V84" i="3"/>
  <c r="U83" i="3"/>
  <c r="Y83" i="3" s="1"/>
  <c r="B92" i="2"/>
  <c r="A93" i="2"/>
  <c r="C92" i="2"/>
  <c r="D92" i="2"/>
  <c r="AC77" i="1"/>
  <c r="AF77" i="1"/>
  <c r="AG77" i="1"/>
  <c r="Z78" i="1"/>
  <c r="AB77" i="1"/>
  <c r="AE77" i="1"/>
  <c r="AA77" i="1"/>
  <c r="AD77" i="1"/>
  <c r="AH78" i="1"/>
  <c r="AO77" i="1"/>
  <c r="AP78" i="1"/>
  <c r="AQ77" i="1"/>
  <c r="AV77" i="1" a="1"/>
  <c r="AV77" i="1" s="1"/>
  <c r="AW77" i="1" a="1"/>
  <c r="AW77" i="1" s="1"/>
  <c r="AR77" i="1"/>
  <c r="AJ77" i="1" s="1" a="1"/>
  <c r="AJ77" i="1" s="1"/>
  <c r="AU77" i="1"/>
  <c r="AS77" i="1"/>
  <c r="AT77" i="1"/>
  <c r="AL77" i="1" s="1" a="1"/>
  <c r="AL77" i="1" s="1"/>
  <c r="AI76" i="1" a="1"/>
  <c r="AI76" i="1" s="1"/>
  <c r="AX76" i="1"/>
  <c r="AN76" i="1" s="1"/>
  <c r="BJ179" i="3"/>
  <c r="AN34" i="1" l="1"/>
  <c r="AK77" i="1" a="1"/>
  <c r="AK77" i="1" s="1"/>
  <c r="AM77" i="1" a="1"/>
  <c r="AM77" i="1" s="1"/>
  <c r="AP80" i="3"/>
  <c r="AO79" i="3"/>
  <c r="AS79" i="3" s="1"/>
  <c r="AT79" i="3"/>
  <c r="AX79" i="3" s="1"/>
  <c r="AU80" i="3"/>
  <c r="AJ79" i="3"/>
  <c r="AN79" i="3" s="1"/>
  <c r="AK80" i="3"/>
  <c r="U84" i="3"/>
  <c r="Y84" i="3" s="1"/>
  <c r="V85" i="3"/>
  <c r="AE80" i="3"/>
  <c r="AI80" i="3" s="1"/>
  <c r="AF81" i="3"/>
  <c r="Q82" i="3"/>
  <c r="P81" i="3"/>
  <c r="T81" i="3" s="1"/>
  <c r="Z79" i="3"/>
  <c r="AD79" i="3" s="1"/>
  <c r="AA80" i="3"/>
  <c r="L81" i="3"/>
  <c r="K80" i="3"/>
  <c r="O80" i="3" s="1"/>
  <c r="BN78" i="3"/>
  <c r="G80" i="3"/>
  <c r="F79" i="3"/>
  <c r="J79" i="3" s="1"/>
  <c r="AZ80" i="3"/>
  <c r="AY79" i="3"/>
  <c r="BC79" i="3" s="1"/>
  <c r="C93" i="2"/>
  <c r="D93" i="2"/>
  <c r="B93" i="2"/>
  <c r="A94" i="2"/>
  <c r="AW78" i="1" a="1"/>
  <c r="AW78" i="1" s="1"/>
  <c r="AT78" i="1"/>
  <c r="AL78" i="1" s="1" a="1"/>
  <c r="AL78" i="1" s="1"/>
  <c r="AU78" i="1"/>
  <c r="AM78" i="1" s="1" a="1"/>
  <c r="AM78" i="1" s="1"/>
  <c r="AQ78" i="1"/>
  <c r="AV78" i="1" a="1"/>
  <c r="AV78" i="1" s="1"/>
  <c r="AP79" i="1"/>
  <c r="AR78" i="1"/>
  <c r="AS78" i="1"/>
  <c r="AO78" i="1"/>
  <c r="AH79" i="1"/>
  <c r="Z79" i="1"/>
  <c r="AE78" i="1"/>
  <c r="AF78" i="1"/>
  <c r="AC78" i="1"/>
  <c r="AD78" i="1"/>
  <c r="AB78" i="1"/>
  <c r="AG78" i="1"/>
  <c r="AA78" i="1"/>
  <c r="AI77" i="1" a="1"/>
  <c r="AI77" i="1" s="1"/>
  <c r="AX77" i="1"/>
  <c r="AN77" i="1" s="1"/>
  <c r="BJ180" i="3"/>
  <c r="AN33" i="1" l="1"/>
  <c r="AJ78" i="1" a="1"/>
  <c r="AJ78" i="1" s="1"/>
  <c r="AK78" i="1" a="1"/>
  <c r="AK78" i="1" s="1"/>
  <c r="AO80" i="3"/>
  <c r="AS80" i="3" s="1"/>
  <c r="AP81" i="3"/>
  <c r="P82" i="3"/>
  <c r="T82" i="3" s="1"/>
  <c r="Q83" i="3"/>
  <c r="BN79" i="3"/>
  <c r="AF82" i="3"/>
  <c r="AE81" i="3"/>
  <c r="AI81" i="3" s="1"/>
  <c r="AZ81" i="3"/>
  <c r="AY80" i="3"/>
  <c r="BC80" i="3" s="1"/>
  <c r="V86" i="3"/>
  <c r="U85" i="3"/>
  <c r="Y85" i="3" s="1"/>
  <c r="G81" i="3"/>
  <c r="F80" i="3"/>
  <c r="J80" i="3" s="1"/>
  <c r="AJ80" i="3"/>
  <c r="AN80" i="3" s="1"/>
  <c r="AK81" i="3"/>
  <c r="K81" i="3"/>
  <c r="O81" i="3" s="1"/>
  <c r="L82" i="3"/>
  <c r="AT80" i="3"/>
  <c r="AX80" i="3" s="1"/>
  <c r="AU81" i="3"/>
  <c r="AA81" i="3"/>
  <c r="Z80" i="3"/>
  <c r="AD80" i="3" s="1"/>
  <c r="A95" i="2"/>
  <c r="D94" i="2"/>
  <c r="B94" i="2"/>
  <c r="C94" i="2"/>
  <c r="AG79" i="1"/>
  <c r="AD79" i="1"/>
  <c r="AE79" i="1"/>
  <c r="AF79" i="1"/>
  <c r="AA79" i="1"/>
  <c r="AC79" i="1"/>
  <c r="Z80" i="1"/>
  <c r="AB79" i="1"/>
  <c r="AO79" i="1"/>
  <c r="AH80" i="1"/>
  <c r="AW79" i="1" a="1"/>
  <c r="AW79" i="1" s="1"/>
  <c r="AV79" i="1" a="1"/>
  <c r="AV79" i="1" s="1"/>
  <c r="AP80" i="1"/>
  <c r="AS79" i="1"/>
  <c r="AT79" i="1"/>
  <c r="AL79" i="1" s="1" a="1"/>
  <c r="AL79" i="1" s="1"/>
  <c r="AU79" i="1"/>
  <c r="AM79" i="1" s="1" a="1"/>
  <c r="AM79" i="1" s="1"/>
  <c r="AR79" i="1"/>
  <c r="AQ79" i="1"/>
  <c r="AI78" i="1" a="1"/>
  <c r="AI78" i="1" s="1"/>
  <c r="AX78" i="1"/>
  <c r="AN78" i="1" s="1"/>
  <c r="BJ181" i="3"/>
  <c r="AN32" i="1" l="1"/>
  <c r="AJ79" i="1" a="1"/>
  <c r="AJ79" i="1" s="1"/>
  <c r="AK79" i="1" a="1"/>
  <c r="AK79" i="1" s="1"/>
  <c r="AO81" i="3"/>
  <c r="AS81" i="3" s="1"/>
  <c r="AP82" i="3"/>
  <c r="G82" i="3"/>
  <c r="F81" i="3"/>
  <c r="J81" i="3" s="1"/>
  <c r="Z81" i="3"/>
  <c r="AD81" i="3" s="1"/>
  <c r="AA82" i="3"/>
  <c r="V87" i="3"/>
  <c r="U86" i="3"/>
  <c r="Y86" i="3" s="1"/>
  <c r="AU82" i="3"/>
  <c r="AT81" i="3"/>
  <c r="AX81" i="3" s="1"/>
  <c r="BN80" i="3"/>
  <c r="AZ82" i="3"/>
  <c r="AY81" i="3"/>
  <c r="BC81" i="3" s="1"/>
  <c r="L83" i="3"/>
  <c r="K82" i="3"/>
  <c r="O82" i="3" s="1"/>
  <c r="AF83" i="3"/>
  <c r="AE82" i="3"/>
  <c r="AI82" i="3" s="1"/>
  <c r="AJ81" i="3"/>
  <c r="AN81" i="3" s="1"/>
  <c r="AK82" i="3"/>
  <c r="Q84" i="3"/>
  <c r="P83" i="3"/>
  <c r="T83" i="3" s="1"/>
  <c r="A96" i="2"/>
  <c r="C95" i="2"/>
  <c r="B95" i="2"/>
  <c r="D95" i="2"/>
  <c r="AO80" i="1"/>
  <c r="AH81" i="1"/>
  <c r="AX79" i="1"/>
  <c r="AN79" i="1" s="1"/>
  <c r="AI79" i="1" a="1"/>
  <c r="AI79" i="1" s="1"/>
  <c r="AG80" i="1"/>
  <c r="Z81" i="1"/>
  <c r="AA80" i="1"/>
  <c r="AB80" i="1"/>
  <c r="AF80" i="1"/>
  <c r="AC80" i="1"/>
  <c r="AD80" i="1"/>
  <c r="AE80" i="1"/>
  <c r="AV80" i="1" a="1"/>
  <c r="AV80" i="1" s="1"/>
  <c r="AR80" i="1"/>
  <c r="AJ80" i="1" s="1" a="1"/>
  <c r="AJ80" i="1" s="1"/>
  <c r="AS80" i="1"/>
  <c r="AW80" i="1" a="1"/>
  <c r="AW80" i="1" s="1"/>
  <c r="AT80" i="1"/>
  <c r="AL80" i="1" s="1" a="1"/>
  <c r="AL80" i="1" s="1"/>
  <c r="AU80" i="1"/>
  <c r="AM80" i="1" s="1" a="1"/>
  <c r="AM80" i="1" s="1"/>
  <c r="AP81" i="1"/>
  <c r="AQ80" i="1"/>
  <c r="BJ182" i="3"/>
  <c r="AN31" i="1" l="1"/>
  <c r="AK80" i="1" a="1"/>
  <c r="AK80" i="1" s="1"/>
  <c r="AP83" i="3"/>
  <c r="AO82" i="3"/>
  <c r="AS82" i="3" s="1"/>
  <c r="AU83" i="3"/>
  <c r="AT82" i="3"/>
  <c r="AX82" i="3" s="1"/>
  <c r="P84" i="3"/>
  <c r="T84" i="3" s="1"/>
  <c r="Q85" i="3"/>
  <c r="AJ82" i="3"/>
  <c r="AN82" i="3" s="1"/>
  <c r="AK83" i="3"/>
  <c r="V88" i="3"/>
  <c r="U87" i="3"/>
  <c r="Y87" i="3" s="1"/>
  <c r="AA83" i="3"/>
  <c r="Z82" i="3"/>
  <c r="AD82" i="3" s="1"/>
  <c r="AF84" i="3"/>
  <c r="AE83" i="3"/>
  <c r="AI83" i="3" s="1"/>
  <c r="K83" i="3"/>
  <c r="O83" i="3" s="1"/>
  <c r="L84" i="3"/>
  <c r="BN81" i="3"/>
  <c r="AY82" i="3"/>
  <c r="BC82" i="3" s="1"/>
  <c r="AZ83" i="3"/>
  <c r="F82" i="3"/>
  <c r="J82" i="3" s="1"/>
  <c r="G83" i="3"/>
  <c r="A97" i="2"/>
  <c r="D96" i="2"/>
  <c r="B96" i="2"/>
  <c r="C96" i="2"/>
  <c r="AI80" i="1" a="1"/>
  <c r="AI80" i="1" s="1"/>
  <c r="AX80" i="1"/>
  <c r="AN80" i="1" s="1"/>
  <c r="AT81" i="1"/>
  <c r="AW81" i="1" a="1"/>
  <c r="AW81" i="1" s="1"/>
  <c r="AQ81" i="1"/>
  <c r="AU81" i="1"/>
  <c r="AM81" i="1" s="1" a="1"/>
  <c r="AM81" i="1" s="1"/>
  <c r="AV81" i="1" a="1"/>
  <c r="AV81" i="1" s="1"/>
  <c r="AS81" i="1"/>
  <c r="AP82" i="1"/>
  <c r="AR81" i="1"/>
  <c r="AD81" i="1"/>
  <c r="AB81" i="1"/>
  <c r="AE81" i="1"/>
  <c r="AF81" i="1"/>
  <c r="AA81" i="1"/>
  <c r="AC81" i="1"/>
  <c r="Z82" i="1"/>
  <c r="AG81" i="1"/>
  <c r="AO81" i="1"/>
  <c r="AH82" i="1"/>
  <c r="BJ183" i="3"/>
  <c r="AN30" i="1" l="1"/>
  <c r="AK81" i="1" a="1"/>
  <c r="AK81" i="1" s="1"/>
  <c r="AJ81" i="1" a="1"/>
  <c r="AJ81" i="1" s="1"/>
  <c r="AL81" i="1" a="1"/>
  <c r="AL81" i="1" s="1"/>
  <c r="AP84" i="3"/>
  <c r="AO83" i="3"/>
  <c r="AS83" i="3" s="1"/>
  <c r="AE84" i="3"/>
  <c r="AI84" i="3" s="1"/>
  <c r="AF85" i="3"/>
  <c r="G84" i="3"/>
  <c r="F83" i="3"/>
  <c r="J83" i="3" s="1"/>
  <c r="AA84" i="3"/>
  <c r="Z83" i="3"/>
  <c r="AD83" i="3" s="1"/>
  <c r="AZ84" i="3"/>
  <c r="AY83" i="3"/>
  <c r="BC83" i="3" s="1"/>
  <c r="BN82" i="3"/>
  <c r="U88" i="3"/>
  <c r="Y88" i="3" s="1"/>
  <c r="V89" i="3"/>
  <c r="AJ83" i="3"/>
  <c r="AN83" i="3" s="1"/>
  <c r="AK84" i="3"/>
  <c r="Q86" i="3"/>
  <c r="P85" i="3"/>
  <c r="T85" i="3" s="1"/>
  <c r="K84" i="3"/>
  <c r="O84" i="3" s="1"/>
  <c r="L85" i="3"/>
  <c r="AT83" i="3"/>
  <c r="AX83" i="3" s="1"/>
  <c r="AU84" i="3"/>
  <c r="A98" i="2"/>
  <c r="B97" i="2"/>
  <c r="D97" i="2"/>
  <c r="C97" i="2"/>
  <c r="AU82" i="1"/>
  <c r="AW82" i="1" a="1"/>
  <c r="AW82" i="1" s="1"/>
  <c r="AV82" i="1" a="1"/>
  <c r="AV82" i="1" s="1"/>
  <c r="AS82" i="1"/>
  <c r="AP83" i="1"/>
  <c r="AR82" i="1"/>
  <c r="AQ82" i="1"/>
  <c r="AT82" i="1"/>
  <c r="AI81" i="1" a="1"/>
  <c r="AI81" i="1" s="1"/>
  <c r="AX81" i="1"/>
  <c r="AN81" i="1" s="1"/>
  <c r="AE82" i="1"/>
  <c r="AA82" i="1"/>
  <c r="AD82" i="1"/>
  <c r="AB82" i="1"/>
  <c r="AC82" i="1"/>
  <c r="AF82" i="1"/>
  <c r="AG82" i="1"/>
  <c r="Z83" i="1"/>
  <c r="AH83" i="1"/>
  <c r="AO82" i="1"/>
  <c r="BJ184" i="3"/>
  <c r="AN29" i="1" l="1"/>
  <c r="AJ82" i="1" a="1"/>
  <c r="AJ82" i="1" s="1"/>
  <c r="AK82" i="1" a="1"/>
  <c r="AK82" i="1" s="1"/>
  <c r="AL82" i="1" a="1"/>
  <c r="AL82" i="1" s="1"/>
  <c r="AM82" i="1" a="1"/>
  <c r="AM82" i="1" s="1"/>
  <c r="AP85" i="3"/>
  <c r="AO84" i="3"/>
  <c r="AS84" i="3" s="1"/>
  <c r="V90" i="3"/>
  <c r="U89" i="3"/>
  <c r="Y89" i="3" s="1"/>
  <c r="AU85" i="3"/>
  <c r="AT84" i="3"/>
  <c r="AX84" i="3" s="1"/>
  <c r="K85" i="3"/>
  <c r="O85" i="3" s="1"/>
  <c r="L86" i="3"/>
  <c r="BN83" i="3"/>
  <c r="AY84" i="3"/>
  <c r="BC84" i="3" s="1"/>
  <c r="AZ85" i="3"/>
  <c r="P86" i="3"/>
  <c r="T86" i="3" s="1"/>
  <c r="Q87" i="3"/>
  <c r="Z84" i="3"/>
  <c r="AD84" i="3" s="1"/>
  <c r="AA85" i="3"/>
  <c r="AJ84" i="3"/>
  <c r="AN84" i="3" s="1"/>
  <c r="AK85" i="3"/>
  <c r="F84" i="3"/>
  <c r="J84" i="3" s="1"/>
  <c r="G85" i="3"/>
  <c r="AE85" i="3"/>
  <c r="AI85" i="3" s="1"/>
  <c r="AF86" i="3"/>
  <c r="D98" i="2"/>
  <c r="A99" i="2"/>
  <c r="C98" i="2"/>
  <c r="B98" i="2"/>
  <c r="AX82" i="1"/>
  <c r="AN82" i="1" s="1"/>
  <c r="AI82" i="1" a="1"/>
  <c r="AI82" i="1" s="1"/>
  <c r="AH84" i="1"/>
  <c r="AO83" i="1"/>
  <c r="AF83" i="1"/>
  <c r="Z84" i="1"/>
  <c r="AA83" i="1"/>
  <c r="AD83" i="1"/>
  <c r="AB83" i="1"/>
  <c r="AG83" i="1"/>
  <c r="AC83" i="1"/>
  <c r="AE83" i="1"/>
  <c r="AT83" i="1"/>
  <c r="AW83" i="1" a="1"/>
  <c r="AW83" i="1" s="1"/>
  <c r="AV83" i="1" a="1"/>
  <c r="AV83" i="1" s="1"/>
  <c r="AQ83" i="1"/>
  <c r="AR83" i="1"/>
  <c r="AJ83" i="1" s="1" a="1"/>
  <c r="AJ83" i="1" s="1"/>
  <c r="AP84" i="1"/>
  <c r="AS83" i="1"/>
  <c r="AU83" i="1"/>
  <c r="BJ185" i="3"/>
  <c r="AN28" i="1" l="1"/>
  <c r="AK83" i="1" a="1"/>
  <c r="AK83" i="1" s="1"/>
  <c r="AL83" i="1" a="1"/>
  <c r="AL83" i="1" s="1"/>
  <c r="AM83" i="1" a="1"/>
  <c r="AM83" i="1" s="1"/>
  <c r="AO85" i="3"/>
  <c r="AS85" i="3" s="1"/>
  <c r="AP86" i="3"/>
  <c r="Q88" i="3"/>
  <c r="P87" i="3"/>
  <c r="T87" i="3" s="1"/>
  <c r="AF87" i="3"/>
  <c r="AE86" i="3"/>
  <c r="AI86" i="3" s="1"/>
  <c r="AZ86" i="3"/>
  <c r="AY85" i="3"/>
  <c r="BC85" i="3" s="1"/>
  <c r="G86" i="3"/>
  <c r="F85" i="3"/>
  <c r="J85" i="3" s="1"/>
  <c r="BN84" i="3"/>
  <c r="K86" i="3"/>
  <c r="O86" i="3" s="1"/>
  <c r="L87" i="3"/>
  <c r="AJ85" i="3"/>
  <c r="AN85" i="3" s="1"/>
  <c r="AK86" i="3"/>
  <c r="AT85" i="3"/>
  <c r="AX85" i="3" s="1"/>
  <c r="AU86" i="3"/>
  <c r="AA86" i="3"/>
  <c r="Z85" i="3"/>
  <c r="AD85" i="3" s="1"/>
  <c r="U90" i="3"/>
  <c r="Y90" i="3" s="1"/>
  <c r="V91" i="3"/>
  <c r="D99" i="2"/>
  <c r="C99" i="2"/>
  <c r="A100" i="2"/>
  <c r="B99" i="2"/>
  <c r="AV84" i="1" a="1"/>
  <c r="AV84" i="1" s="1"/>
  <c r="AU84" i="1"/>
  <c r="AW84" i="1" a="1"/>
  <c r="AW84" i="1" s="1"/>
  <c r="AS84" i="1"/>
  <c r="AR84" i="1"/>
  <c r="AT84" i="1"/>
  <c r="AP85" i="1"/>
  <c r="AQ84" i="1"/>
  <c r="AA84" i="1"/>
  <c r="AF84" i="1"/>
  <c r="AG84" i="1"/>
  <c r="AD84" i="1"/>
  <c r="Z85" i="1"/>
  <c r="AC84" i="1"/>
  <c r="AE84" i="1"/>
  <c r="AB84" i="1"/>
  <c r="AI83" i="1" a="1"/>
  <c r="AI83" i="1" s="1"/>
  <c r="AX83" i="1"/>
  <c r="AN83" i="1" s="1"/>
  <c r="AO84" i="1"/>
  <c r="AH85" i="1"/>
  <c r="BJ186" i="3"/>
  <c r="AN27" i="1" l="1"/>
  <c r="AJ84" i="1" a="1"/>
  <c r="AJ84" i="1" s="1"/>
  <c r="AL84" i="1" a="1"/>
  <c r="AL84" i="1" s="1"/>
  <c r="AM84" i="1" a="1"/>
  <c r="AM84" i="1" s="1"/>
  <c r="AO86" i="3"/>
  <c r="AS86" i="3" s="1"/>
  <c r="AP87" i="3"/>
  <c r="L88" i="3"/>
  <c r="K87" i="3"/>
  <c r="O87" i="3" s="1"/>
  <c r="U91" i="3"/>
  <c r="Y91" i="3" s="1"/>
  <c r="V92" i="3"/>
  <c r="AA87" i="3"/>
  <c r="Z86" i="3"/>
  <c r="AD86" i="3" s="1"/>
  <c r="G87" i="3"/>
  <c r="F86" i="3"/>
  <c r="J86" i="3" s="1"/>
  <c r="AT86" i="3"/>
  <c r="AX86" i="3" s="1"/>
  <c r="AU87" i="3"/>
  <c r="BN85" i="3"/>
  <c r="AZ87" i="3"/>
  <c r="AY86" i="3"/>
  <c r="BC86" i="3" s="1"/>
  <c r="AE87" i="3"/>
  <c r="AI87" i="3" s="1"/>
  <c r="AF88" i="3"/>
  <c r="AK87" i="3"/>
  <c r="AJ86" i="3"/>
  <c r="AN86" i="3" s="1"/>
  <c r="Q89" i="3"/>
  <c r="P88" i="3"/>
  <c r="T88" i="3" s="1"/>
  <c r="C100" i="2"/>
  <c r="D100" i="2"/>
  <c r="A101" i="2"/>
  <c r="B100" i="2"/>
  <c r="AI84" i="1" a="1"/>
  <c r="AI84" i="1" s="1"/>
  <c r="AX84" i="1"/>
  <c r="AN84" i="1" s="1"/>
  <c r="AF85" i="1"/>
  <c r="Z86" i="1"/>
  <c r="AB85" i="1"/>
  <c r="AC85" i="1"/>
  <c r="AE85" i="1"/>
  <c r="AA85" i="1"/>
  <c r="AG85" i="1"/>
  <c r="AD85" i="1"/>
  <c r="AH86" i="1"/>
  <c r="AO85" i="1"/>
  <c r="AW85" i="1" a="1"/>
  <c r="AW85" i="1" s="1"/>
  <c r="AU85" i="1"/>
  <c r="AM85" i="1" s="1" a="1"/>
  <c r="AM85" i="1" s="1"/>
  <c r="AQ85" i="1"/>
  <c r="AT85" i="1"/>
  <c r="AL85" i="1" s="1" a="1"/>
  <c r="AL85" i="1" s="1"/>
  <c r="AR85" i="1"/>
  <c r="AJ85" i="1" s="1" a="1"/>
  <c r="AJ85" i="1" s="1"/>
  <c r="AP86" i="1"/>
  <c r="AS85" i="1"/>
  <c r="AK85" i="1" s="1" a="1"/>
  <c r="AK85" i="1" s="1"/>
  <c r="AV85" i="1" a="1"/>
  <c r="AV85" i="1" s="1"/>
  <c r="AK84" i="1" a="1"/>
  <c r="AK84" i="1" s="1"/>
  <c r="BJ187" i="3"/>
  <c r="AN26" i="1" l="1"/>
  <c r="AP88" i="3"/>
  <c r="AO87" i="3"/>
  <c r="AS87" i="3" s="1"/>
  <c r="AU88" i="3"/>
  <c r="AT87" i="3"/>
  <c r="AX87" i="3" s="1"/>
  <c r="P89" i="3"/>
  <c r="T89" i="3" s="1"/>
  <c r="Q90" i="3"/>
  <c r="G88" i="3"/>
  <c r="F87" i="3"/>
  <c r="J87" i="3" s="1"/>
  <c r="AJ87" i="3"/>
  <c r="AN87" i="3" s="1"/>
  <c r="AK88" i="3"/>
  <c r="AF89" i="3"/>
  <c r="AE88" i="3"/>
  <c r="AI88" i="3" s="1"/>
  <c r="Z87" i="3"/>
  <c r="AD87" i="3" s="1"/>
  <c r="AA88" i="3"/>
  <c r="V93" i="3"/>
  <c r="U92" i="3"/>
  <c r="Y92" i="3" s="1"/>
  <c r="BN86" i="3"/>
  <c r="AY87" i="3"/>
  <c r="BC87" i="3" s="1"/>
  <c r="AZ88" i="3"/>
  <c r="K88" i="3"/>
  <c r="O88" i="3" s="1"/>
  <c r="L89" i="3"/>
  <c r="A102" i="2"/>
  <c r="B101" i="2"/>
  <c r="C101" i="2"/>
  <c r="D101" i="2"/>
  <c r="AR86" i="1"/>
  <c r="AJ86" i="1" s="1" a="1"/>
  <c r="AJ86" i="1" s="1"/>
  <c r="AQ86" i="1"/>
  <c r="AP87" i="1"/>
  <c r="AW86" i="1" a="1"/>
  <c r="AW86" i="1" s="1"/>
  <c r="AU86" i="1"/>
  <c r="AT86" i="1"/>
  <c r="AS86" i="1"/>
  <c r="AV86" i="1" a="1"/>
  <c r="AV86" i="1" s="1"/>
  <c r="AI85" i="1" a="1"/>
  <c r="AI85" i="1" s="1"/>
  <c r="AX85" i="1"/>
  <c r="AN85" i="1" s="1"/>
  <c r="AG86" i="1"/>
  <c r="AE86" i="1"/>
  <c r="AA86" i="1"/>
  <c r="AC86" i="1"/>
  <c r="AB86" i="1"/>
  <c r="AD86" i="1"/>
  <c r="AF86" i="1"/>
  <c r="Z87" i="1"/>
  <c r="AH87" i="1"/>
  <c r="AO86" i="1"/>
  <c r="BJ188" i="3"/>
  <c r="BJ189" i="3" s="1"/>
  <c r="BJ190" i="3" s="1"/>
  <c r="BJ191" i="3" s="1"/>
  <c r="BJ192" i="3" s="1"/>
  <c r="BJ193" i="3" s="1"/>
  <c r="BJ194" i="3" s="1"/>
  <c r="BJ195" i="3" s="1"/>
  <c r="BJ196" i="3" s="1"/>
  <c r="BJ197" i="3" s="1"/>
  <c r="BJ198" i="3" s="1"/>
  <c r="BJ199" i="3" s="1"/>
  <c r="BJ200" i="3" s="1"/>
  <c r="BJ201" i="3" s="1"/>
  <c r="BJ202" i="3" s="1"/>
  <c r="BJ203" i="3" s="1"/>
  <c r="BJ204" i="3" s="1"/>
  <c r="BJ205" i="3" s="1"/>
  <c r="BJ206" i="3" s="1"/>
  <c r="BJ207" i="3" s="1"/>
  <c r="BJ208" i="3" s="1"/>
  <c r="BJ209" i="3" s="1"/>
  <c r="BJ210" i="3" s="1"/>
  <c r="BJ211" i="3" s="1"/>
  <c r="BJ212" i="3" s="1"/>
  <c r="AN25" i="1" l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L86" i="1" a="1"/>
  <c r="AL86" i="1" s="1"/>
  <c r="AM86" i="1" a="1"/>
  <c r="AM86" i="1" s="1"/>
  <c r="AN8" i="1"/>
  <c r="AN7" i="1"/>
  <c r="AN6" i="1"/>
  <c r="AN5" i="1"/>
  <c r="AN4" i="1"/>
  <c r="AN3" i="1"/>
  <c r="AP89" i="3"/>
  <c r="AO88" i="3"/>
  <c r="AS88" i="3" s="1"/>
  <c r="K89" i="3"/>
  <c r="O89" i="3" s="1"/>
  <c r="L90" i="3"/>
  <c r="AF90" i="3"/>
  <c r="AE89" i="3"/>
  <c r="AI89" i="3" s="1"/>
  <c r="AZ89" i="3"/>
  <c r="AY88" i="3"/>
  <c r="BC88" i="3" s="1"/>
  <c r="AJ88" i="3"/>
  <c r="AN88" i="3" s="1"/>
  <c r="AK89" i="3"/>
  <c r="BN87" i="3"/>
  <c r="U93" i="3"/>
  <c r="Y93" i="3" s="1"/>
  <c r="V94" i="3"/>
  <c r="G89" i="3"/>
  <c r="F88" i="3"/>
  <c r="J88" i="3" s="1"/>
  <c r="P90" i="3"/>
  <c r="T90" i="3" s="1"/>
  <c r="Q91" i="3"/>
  <c r="Z88" i="3"/>
  <c r="AD88" i="3" s="1"/>
  <c r="AA89" i="3"/>
  <c r="AU89" i="3"/>
  <c r="AT88" i="3"/>
  <c r="AX88" i="3" s="1"/>
  <c r="B102" i="2"/>
  <c r="D102" i="2"/>
  <c r="C102" i="2"/>
  <c r="A103" i="2"/>
  <c r="AN2" i="1"/>
  <c r="AO87" i="1"/>
  <c r="AH88" i="1"/>
  <c r="AK86" i="1" a="1"/>
  <c r="AK86" i="1" s="1"/>
  <c r="AB87" i="1"/>
  <c r="AF87" i="1"/>
  <c r="Z88" i="1"/>
  <c r="AG87" i="1"/>
  <c r="AA87" i="1"/>
  <c r="AE87" i="1"/>
  <c r="AC87" i="1"/>
  <c r="AD87" i="1"/>
  <c r="AP88" i="1"/>
  <c r="AR87" i="1"/>
  <c r="AJ87" i="1" s="1" a="1"/>
  <c r="AJ87" i="1" s="1"/>
  <c r="AW87" i="1" a="1"/>
  <c r="AW87" i="1" s="1"/>
  <c r="AS87" i="1"/>
  <c r="AV87" i="1" a="1"/>
  <c r="AV87" i="1" s="1"/>
  <c r="AU87" i="1"/>
  <c r="AQ87" i="1"/>
  <c r="AT87" i="1"/>
  <c r="AL87" i="1" s="1" a="1"/>
  <c r="AL87" i="1" s="1"/>
  <c r="AI86" i="1" a="1"/>
  <c r="AI86" i="1" s="1"/>
  <c r="AX86" i="1"/>
  <c r="AN86" i="1" s="1"/>
  <c r="AM87" i="1" l="1" a="1"/>
  <c r="AM87" i="1" s="1"/>
  <c r="AK87" i="1" a="1"/>
  <c r="AK87" i="1" s="1"/>
  <c r="AP90" i="3"/>
  <c r="AO89" i="3"/>
  <c r="AS89" i="3" s="1"/>
  <c r="U94" i="3"/>
  <c r="Y94" i="3" s="1"/>
  <c r="V95" i="3"/>
  <c r="AU90" i="3"/>
  <c r="AT89" i="3"/>
  <c r="AX89" i="3" s="1"/>
  <c r="AA90" i="3"/>
  <c r="Z89" i="3"/>
  <c r="AD89" i="3" s="1"/>
  <c r="AK90" i="3"/>
  <c r="AJ89" i="3"/>
  <c r="AN89" i="3" s="1"/>
  <c r="BN88" i="3"/>
  <c r="P91" i="3"/>
  <c r="T91" i="3" s="1"/>
  <c r="Q92" i="3"/>
  <c r="AZ90" i="3"/>
  <c r="AY89" i="3"/>
  <c r="BC89" i="3" s="1"/>
  <c r="AF91" i="3"/>
  <c r="AE90" i="3"/>
  <c r="AI90" i="3" s="1"/>
  <c r="G90" i="3"/>
  <c r="F89" i="3"/>
  <c r="J89" i="3" s="1"/>
  <c r="L91" i="3"/>
  <c r="K90" i="3"/>
  <c r="O90" i="3" s="1"/>
  <c r="D103" i="2"/>
  <c r="C103" i="2"/>
  <c r="A104" i="2"/>
  <c r="B103" i="2"/>
  <c r="AX87" i="1"/>
  <c r="AN87" i="1" s="1"/>
  <c r="AI87" i="1" a="1"/>
  <c r="AI87" i="1" s="1"/>
  <c r="AB88" i="1"/>
  <c r="AE88" i="1"/>
  <c r="Z89" i="1"/>
  <c r="AG88" i="1"/>
  <c r="AF88" i="1"/>
  <c r="AA88" i="1"/>
  <c r="AD88" i="1"/>
  <c r="AC88" i="1"/>
  <c r="AO88" i="1"/>
  <c r="AH89" i="1"/>
  <c r="AS88" i="1"/>
  <c r="AT88" i="1"/>
  <c r="AQ88" i="1"/>
  <c r="AR88" i="1"/>
  <c r="AU88" i="1"/>
  <c r="AM88" i="1" s="1" a="1"/>
  <c r="AM88" i="1" s="1"/>
  <c r="AW88" i="1" a="1"/>
  <c r="AW88" i="1" s="1"/>
  <c r="AP89" i="1"/>
  <c r="AV88" i="1" a="1"/>
  <c r="AV88" i="1" s="1"/>
  <c r="AJ88" i="1" l="1" a="1"/>
  <c r="AJ88" i="1" s="1"/>
  <c r="AL88" i="1" a="1"/>
  <c r="AL88" i="1" s="1"/>
  <c r="AK88" i="1" a="1"/>
  <c r="AK88" i="1" s="1"/>
  <c r="AP91" i="3"/>
  <c r="AO90" i="3"/>
  <c r="AS90" i="3" s="1"/>
  <c r="K91" i="3"/>
  <c r="O91" i="3" s="1"/>
  <c r="L92" i="3"/>
  <c r="AJ90" i="3"/>
  <c r="AN90" i="3" s="1"/>
  <c r="AK91" i="3"/>
  <c r="G91" i="3"/>
  <c r="F90" i="3"/>
  <c r="J90" i="3" s="1"/>
  <c r="AA91" i="3"/>
  <c r="Z90" i="3"/>
  <c r="AD90" i="3" s="1"/>
  <c r="AF92" i="3"/>
  <c r="AE91" i="3"/>
  <c r="AI91" i="3" s="1"/>
  <c r="BN89" i="3"/>
  <c r="AT90" i="3"/>
  <c r="AX90" i="3" s="1"/>
  <c r="AU91" i="3"/>
  <c r="AY90" i="3"/>
  <c r="BC90" i="3" s="1"/>
  <c r="AZ91" i="3"/>
  <c r="Q93" i="3"/>
  <c r="P92" i="3"/>
  <c r="T92" i="3" s="1"/>
  <c r="U95" i="3"/>
  <c r="Y95" i="3" s="1"/>
  <c r="V96" i="3"/>
  <c r="D104" i="2"/>
  <c r="B104" i="2"/>
  <c r="A105" i="2"/>
  <c r="C104" i="2"/>
  <c r="AO89" i="1"/>
  <c r="AH90" i="1"/>
  <c r="AX88" i="1"/>
  <c r="AN88" i="1" s="1"/>
  <c r="AI88" i="1" a="1"/>
  <c r="AI88" i="1" s="1"/>
  <c r="AT89" i="1"/>
  <c r="AR89" i="1"/>
  <c r="AJ89" i="1" s="1" a="1"/>
  <c r="AJ89" i="1" s="1"/>
  <c r="AU89" i="1"/>
  <c r="AM89" i="1" s="1" a="1"/>
  <c r="AM89" i="1" s="1"/>
  <c r="AS89" i="1"/>
  <c r="AP90" i="1"/>
  <c r="AW89" i="1" a="1"/>
  <c r="AW89" i="1" s="1"/>
  <c r="AV89" i="1" a="1"/>
  <c r="AV89" i="1" s="1"/>
  <c r="AQ89" i="1"/>
  <c r="Z90" i="1"/>
  <c r="AC89" i="1"/>
  <c r="AF89" i="1"/>
  <c r="AE89" i="1"/>
  <c r="AG89" i="1"/>
  <c r="AD89" i="1"/>
  <c r="AA89" i="1"/>
  <c r="AB89" i="1"/>
  <c r="AK89" i="1" l="1" a="1"/>
  <c r="AK89" i="1" s="1"/>
  <c r="AL89" i="1" a="1"/>
  <c r="AL89" i="1" s="1"/>
  <c r="AP92" i="3"/>
  <c r="AO91" i="3"/>
  <c r="AS91" i="3" s="1"/>
  <c r="AF93" i="3"/>
  <c r="AE92" i="3"/>
  <c r="AI92" i="3" s="1"/>
  <c r="V97" i="3"/>
  <c r="U96" i="3"/>
  <c r="Y96" i="3" s="1"/>
  <c r="AA92" i="3"/>
  <c r="Z91" i="3"/>
  <c r="AD91" i="3" s="1"/>
  <c r="G92" i="3"/>
  <c r="F91" i="3"/>
  <c r="J91" i="3" s="1"/>
  <c r="AJ91" i="3"/>
  <c r="AN91" i="3" s="1"/>
  <c r="AK92" i="3"/>
  <c r="P93" i="3"/>
  <c r="T93" i="3" s="1"/>
  <c r="Q94" i="3"/>
  <c r="AY91" i="3"/>
  <c r="BC91" i="3" s="1"/>
  <c r="AZ92" i="3"/>
  <c r="BN90" i="3"/>
  <c r="AU92" i="3"/>
  <c r="AT91" i="3"/>
  <c r="AX91" i="3" s="1"/>
  <c r="L93" i="3"/>
  <c r="K92" i="3"/>
  <c r="O92" i="3" s="1"/>
  <c r="C105" i="2"/>
  <c r="A106" i="2"/>
  <c r="B105" i="2"/>
  <c r="D105" i="2"/>
  <c r="AV90" i="1" a="1"/>
  <c r="AV90" i="1" s="1"/>
  <c r="AT90" i="1"/>
  <c r="AQ90" i="1"/>
  <c r="AW90" i="1" a="1"/>
  <c r="AW90" i="1" s="1"/>
  <c r="AP91" i="1"/>
  <c r="AR90" i="1"/>
  <c r="AS90" i="1"/>
  <c r="AU90" i="1"/>
  <c r="AM90" i="1" s="1" a="1"/>
  <c r="AM90" i="1" s="1"/>
  <c r="AA90" i="1"/>
  <c r="Z91" i="1"/>
  <c r="AB90" i="1"/>
  <c r="AE90" i="1"/>
  <c r="AG90" i="1"/>
  <c r="AD90" i="1"/>
  <c r="AC90" i="1"/>
  <c r="AF90" i="1"/>
  <c r="AH91" i="1"/>
  <c r="AO90" i="1"/>
  <c r="AI89" i="1" a="1"/>
  <c r="AI89" i="1" s="1"/>
  <c r="AX89" i="1"/>
  <c r="AN89" i="1" s="1"/>
  <c r="AL90" i="1" l="1" a="1"/>
  <c r="AL90" i="1" s="1"/>
  <c r="AJ90" i="1" a="1"/>
  <c r="AJ90" i="1" s="1"/>
  <c r="AP93" i="3"/>
  <c r="AO92" i="3"/>
  <c r="AS92" i="3" s="1"/>
  <c r="AJ92" i="3"/>
  <c r="AN92" i="3" s="1"/>
  <c r="AK93" i="3"/>
  <c r="K93" i="3"/>
  <c r="O93" i="3" s="1"/>
  <c r="L94" i="3"/>
  <c r="F92" i="3"/>
  <c r="J92" i="3" s="1"/>
  <c r="G93" i="3"/>
  <c r="AT92" i="3"/>
  <c r="AX92" i="3" s="1"/>
  <c r="AU93" i="3"/>
  <c r="Z92" i="3"/>
  <c r="AD92" i="3" s="1"/>
  <c r="AA93" i="3"/>
  <c r="AZ93" i="3"/>
  <c r="AY92" i="3"/>
  <c r="BC92" i="3" s="1"/>
  <c r="BN91" i="3"/>
  <c r="V98" i="3"/>
  <c r="U97" i="3"/>
  <c r="Y97" i="3" s="1"/>
  <c r="P94" i="3"/>
  <c r="T94" i="3" s="1"/>
  <c r="Q95" i="3"/>
  <c r="AE93" i="3"/>
  <c r="AI93" i="3" s="1"/>
  <c r="AF94" i="3"/>
  <c r="D106" i="2"/>
  <c r="C106" i="2"/>
  <c r="B106" i="2"/>
  <c r="A107" i="2"/>
  <c r="AG91" i="1"/>
  <c r="AD91" i="1"/>
  <c r="AA91" i="1"/>
  <c r="Z92" i="1"/>
  <c r="AB91" i="1"/>
  <c r="AE91" i="1"/>
  <c r="AF91" i="1"/>
  <c r="AC91" i="1"/>
  <c r="AK90" i="1" a="1"/>
  <c r="AK90" i="1" s="1"/>
  <c r="AO91" i="1"/>
  <c r="AH92" i="1"/>
  <c r="AQ91" i="1"/>
  <c r="AR91" i="1"/>
  <c r="AW91" i="1" a="1"/>
  <c r="AW91" i="1" s="1"/>
  <c r="AS91" i="1"/>
  <c r="AU91" i="1"/>
  <c r="AT91" i="1"/>
  <c r="AL91" i="1" s="1" a="1"/>
  <c r="AL91" i="1" s="1"/>
  <c r="AP92" i="1"/>
  <c r="AV91" i="1" a="1"/>
  <c r="AV91" i="1" s="1"/>
  <c r="AI90" i="1" a="1"/>
  <c r="AI90" i="1" s="1"/>
  <c r="AX90" i="1"/>
  <c r="AN90" i="1" s="1"/>
  <c r="AM91" i="1" l="1" a="1"/>
  <c r="AM91" i="1" s="1"/>
  <c r="AJ91" i="1" a="1"/>
  <c r="AJ91" i="1" s="1"/>
  <c r="AK91" i="1" a="1"/>
  <c r="AK91" i="1" s="1"/>
  <c r="AO93" i="3"/>
  <c r="AS93" i="3" s="1"/>
  <c r="AP94" i="3"/>
  <c r="AF95" i="3"/>
  <c r="AE94" i="3"/>
  <c r="AI94" i="3" s="1"/>
  <c r="AT93" i="3"/>
  <c r="AX93" i="3" s="1"/>
  <c r="AU94" i="3"/>
  <c r="Q96" i="3"/>
  <c r="P95" i="3"/>
  <c r="T95" i="3" s="1"/>
  <c r="F93" i="3"/>
  <c r="J93" i="3" s="1"/>
  <c r="G94" i="3"/>
  <c r="L95" i="3"/>
  <c r="K94" i="3"/>
  <c r="O94" i="3" s="1"/>
  <c r="U98" i="3"/>
  <c r="Y98" i="3" s="1"/>
  <c r="V99" i="3"/>
  <c r="BN92" i="3"/>
  <c r="AZ94" i="3"/>
  <c r="AY93" i="3"/>
  <c r="BC93" i="3" s="1"/>
  <c r="AJ93" i="3"/>
  <c r="AN93" i="3" s="1"/>
  <c r="AK94" i="3"/>
  <c r="AA94" i="3"/>
  <c r="Z93" i="3"/>
  <c r="AD93" i="3" s="1"/>
  <c r="A108" i="2"/>
  <c r="B107" i="2"/>
  <c r="D107" i="2"/>
  <c r="C107" i="2"/>
  <c r="AO92" i="1"/>
  <c r="AH93" i="1"/>
  <c r="AU92" i="1"/>
  <c r="AW92" i="1" a="1"/>
  <c r="AW92" i="1" s="1"/>
  <c r="AS92" i="1"/>
  <c r="AP93" i="1"/>
  <c r="AT92" i="1"/>
  <c r="AQ92" i="1"/>
  <c r="AV92" i="1" a="1"/>
  <c r="AV92" i="1" s="1"/>
  <c r="AR92" i="1"/>
  <c r="AJ92" i="1" s="1" a="1"/>
  <c r="AJ92" i="1" s="1"/>
  <c r="Z93" i="1"/>
  <c r="AG92" i="1"/>
  <c r="AD92" i="1"/>
  <c r="AA92" i="1"/>
  <c r="AB92" i="1"/>
  <c r="AF92" i="1"/>
  <c r="AC92" i="1"/>
  <c r="AE92" i="1"/>
  <c r="AX91" i="1"/>
  <c r="AN91" i="1" s="1"/>
  <c r="AI91" i="1" a="1"/>
  <c r="AI91" i="1" s="1"/>
  <c r="AM92" i="1" l="1" a="1"/>
  <c r="AM92" i="1" s="1"/>
  <c r="AL92" i="1" a="1"/>
  <c r="AL92" i="1" s="1"/>
  <c r="AP95" i="3"/>
  <c r="AO94" i="3"/>
  <c r="AS94" i="3" s="1"/>
  <c r="Z94" i="3"/>
  <c r="AD94" i="3" s="1"/>
  <c r="AA95" i="3"/>
  <c r="K95" i="3"/>
  <c r="O95" i="3" s="1"/>
  <c r="L96" i="3"/>
  <c r="AJ94" i="3"/>
  <c r="AN94" i="3" s="1"/>
  <c r="AK95" i="3"/>
  <c r="G95" i="3"/>
  <c r="F94" i="3"/>
  <c r="J94" i="3" s="1"/>
  <c r="AZ95" i="3"/>
  <c r="AY94" i="3"/>
  <c r="BC94" i="3" s="1"/>
  <c r="Q97" i="3"/>
  <c r="P96" i="3"/>
  <c r="T96" i="3" s="1"/>
  <c r="AU95" i="3"/>
  <c r="AT94" i="3"/>
  <c r="AX94" i="3" s="1"/>
  <c r="BN93" i="3"/>
  <c r="V100" i="3"/>
  <c r="U99" i="3"/>
  <c r="Y99" i="3" s="1"/>
  <c r="AE95" i="3"/>
  <c r="AI95" i="3" s="1"/>
  <c r="AF96" i="3"/>
  <c r="C108" i="2"/>
  <c r="D108" i="2"/>
  <c r="A109" i="2"/>
  <c r="B108" i="2"/>
  <c r="AI92" i="1" a="1"/>
  <c r="AI92" i="1" s="1"/>
  <c r="AX92" i="1"/>
  <c r="AN92" i="1" s="1"/>
  <c r="AQ93" i="1"/>
  <c r="AU93" i="1"/>
  <c r="AM93" i="1" s="1" a="1"/>
  <c r="AM93" i="1" s="1"/>
  <c r="AT93" i="1"/>
  <c r="AR93" i="1"/>
  <c r="AJ93" i="1" s="1" a="1"/>
  <c r="AJ93" i="1" s="1"/>
  <c r="AV93" i="1" a="1"/>
  <c r="AV93" i="1" s="1"/>
  <c r="AW93" i="1" a="1"/>
  <c r="AW93" i="1" s="1"/>
  <c r="AS93" i="1"/>
  <c r="AK93" i="1" s="1" a="1"/>
  <c r="AK93" i="1" s="1"/>
  <c r="AP94" i="1"/>
  <c r="AK92" i="1" a="1"/>
  <c r="AK92" i="1" s="1"/>
  <c r="AH94" i="1"/>
  <c r="AO93" i="1"/>
  <c r="AF93" i="1"/>
  <c r="AC93" i="1"/>
  <c r="AA93" i="1"/>
  <c r="Z94" i="1"/>
  <c r="AE93" i="1"/>
  <c r="AB93" i="1"/>
  <c r="AG93" i="1"/>
  <c r="AD93" i="1"/>
  <c r="AL93" i="1" l="1" a="1"/>
  <c r="AL93" i="1" s="1"/>
  <c r="AP96" i="3"/>
  <c r="AO95" i="3"/>
  <c r="AS95" i="3" s="1"/>
  <c r="AE96" i="3"/>
  <c r="AI96" i="3" s="1"/>
  <c r="AF97" i="3"/>
  <c r="BN94" i="3"/>
  <c r="AY95" i="3"/>
  <c r="BC95" i="3" s="1"/>
  <c r="AZ96" i="3"/>
  <c r="F95" i="3"/>
  <c r="J95" i="3" s="1"/>
  <c r="G96" i="3"/>
  <c r="U100" i="3"/>
  <c r="Y100" i="3" s="1"/>
  <c r="V101" i="3"/>
  <c r="AK96" i="3"/>
  <c r="AJ95" i="3"/>
  <c r="AN95" i="3" s="1"/>
  <c r="AU96" i="3"/>
  <c r="AT95" i="3"/>
  <c r="AX95" i="3" s="1"/>
  <c r="K96" i="3"/>
  <c r="O96" i="3" s="1"/>
  <c r="L97" i="3"/>
  <c r="Q98" i="3"/>
  <c r="P97" i="3"/>
  <c r="T97" i="3" s="1"/>
  <c r="AA96" i="3"/>
  <c r="Z95" i="3"/>
  <c r="AD95" i="3" s="1"/>
  <c r="A110" i="2"/>
  <c r="D109" i="2"/>
  <c r="C109" i="2"/>
  <c r="B109" i="2"/>
  <c r="AC94" i="1"/>
  <c r="AG94" i="1"/>
  <c r="AF94" i="1"/>
  <c r="AE94" i="1"/>
  <c r="AA94" i="1"/>
  <c r="AB94" i="1"/>
  <c r="Z95" i="1"/>
  <c r="AD94" i="1"/>
  <c r="AO94" i="1"/>
  <c r="AH95" i="1"/>
  <c r="AR94" i="1"/>
  <c r="AJ94" i="1" s="1" a="1"/>
  <c r="AJ94" i="1" s="1"/>
  <c r="AP95" i="1"/>
  <c r="AV94" i="1" a="1"/>
  <c r="AV94" i="1" s="1"/>
  <c r="AQ94" i="1"/>
  <c r="AU94" i="1"/>
  <c r="AM94" i="1" s="1" a="1"/>
  <c r="AM94" i="1" s="1"/>
  <c r="AS94" i="1"/>
  <c r="AK94" i="1" s="1" a="1"/>
  <c r="AK94" i="1" s="1"/>
  <c r="AW94" i="1" a="1"/>
  <c r="AW94" i="1" s="1"/>
  <c r="AT94" i="1"/>
  <c r="AX93" i="1"/>
  <c r="AN93" i="1" s="1"/>
  <c r="AI93" i="1" a="1"/>
  <c r="AI93" i="1" s="1"/>
  <c r="AL94" i="1" l="1" a="1"/>
  <c r="AL94" i="1" s="1"/>
  <c r="AO96" i="3"/>
  <c r="AS96" i="3" s="1"/>
  <c r="AP97" i="3"/>
  <c r="AJ96" i="3"/>
  <c r="AN96" i="3" s="1"/>
  <c r="AK97" i="3"/>
  <c r="U101" i="3"/>
  <c r="Y101" i="3" s="1"/>
  <c r="V102" i="3"/>
  <c r="Z96" i="3"/>
  <c r="AD96" i="3" s="1"/>
  <c r="AA97" i="3"/>
  <c r="G97" i="3"/>
  <c r="F96" i="3"/>
  <c r="J96" i="3" s="1"/>
  <c r="P98" i="3"/>
  <c r="T98" i="3" s="1"/>
  <c r="Q99" i="3"/>
  <c r="K97" i="3"/>
  <c r="O97" i="3" s="1"/>
  <c r="L98" i="3"/>
  <c r="AZ97" i="3"/>
  <c r="AY96" i="3"/>
  <c r="BC96" i="3" s="1"/>
  <c r="BN95" i="3"/>
  <c r="AU97" i="3"/>
  <c r="AT96" i="3"/>
  <c r="AX96" i="3" s="1"/>
  <c r="AF98" i="3"/>
  <c r="AE97" i="3"/>
  <c r="AI97" i="3" s="1"/>
  <c r="D110" i="2"/>
  <c r="B110" i="2"/>
  <c r="C110" i="2"/>
  <c r="A111" i="2"/>
  <c r="AH96" i="1"/>
  <c r="AO95" i="1"/>
  <c r="AG95" i="1"/>
  <c r="AD95" i="1"/>
  <c r="Z96" i="1"/>
  <c r="AF95" i="1"/>
  <c r="AA95" i="1"/>
  <c r="AE95" i="1"/>
  <c r="AC95" i="1"/>
  <c r="AB95" i="1"/>
  <c r="AX94" i="1"/>
  <c r="AN94" i="1" s="1"/>
  <c r="AI94" i="1" a="1"/>
  <c r="AI94" i="1" s="1"/>
  <c r="AU95" i="1"/>
  <c r="AT95" i="1"/>
  <c r="AL95" i="1" s="1" a="1"/>
  <c r="AL95" i="1" s="1"/>
  <c r="AP96" i="1"/>
  <c r="AS95" i="1"/>
  <c r="AV95" i="1" a="1"/>
  <c r="AV95" i="1" s="1"/>
  <c r="AQ95" i="1"/>
  <c r="AR95" i="1"/>
  <c r="AJ95" i="1" s="1" a="1"/>
  <c r="AJ95" i="1" s="1"/>
  <c r="AW95" i="1" a="1"/>
  <c r="AW95" i="1" s="1"/>
  <c r="AM95" i="1" l="1" a="1"/>
  <c r="AM95" i="1" s="1"/>
  <c r="AK95" i="1" a="1"/>
  <c r="AK95" i="1" s="1"/>
  <c r="AO97" i="3"/>
  <c r="AS97" i="3" s="1"/>
  <c r="AP98" i="3"/>
  <c r="AF99" i="3"/>
  <c r="AE98" i="3"/>
  <c r="AI98" i="3" s="1"/>
  <c r="F97" i="3"/>
  <c r="J97" i="3" s="1"/>
  <c r="G98" i="3"/>
  <c r="Z97" i="3"/>
  <c r="AD97" i="3" s="1"/>
  <c r="AA98" i="3"/>
  <c r="AT97" i="3"/>
  <c r="AX97" i="3" s="1"/>
  <c r="AU98" i="3"/>
  <c r="BN96" i="3"/>
  <c r="V103" i="3"/>
  <c r="U102" i="3"/>
  <c r="Y102" i="3" s="1"/>
  <c r="AY97" i="3"/>
  <c r="BC97" i="3" s="1"/>
  <c r="AZ98" i="3"/>
  <c r="L99" i="3"/>
  <c r="K98" i="3"/>
  <c r="O98" i="3" s="1"/>
  <c r="Q100" i="3"/>
  <c r="P99" i="3"/>
  <c r="T99" i="3" s="1"/>
  <c r="AK98" i="3"/>
  <c r="AJ97" i="3"/>
  <c r="AN97" i="3" s="1"/>
  <c r="A112" i="2"/>
  <c r="C111" i="2"/>
  <c r="B111" i="2"/>
  <c r="D111" i="2"/>
  <c r="AI95" i="1" a="1"/>
  <c r="AI95" i="1" s="1"/>
  <c r="AX95" i="1"/>
  <c r="AN95" i="1" s="1"/>
  <c r="AC96" i="1"/>
  <c r="AF96" i="1"/>
  <c r="Z97" i="1"/>
  <c r="AG96" i="1"/>
  <c r="AD96" i="1"/>
  <c r="AE96" i="1"/>
  <c r="AA96" i="1"/>
  <c r="AB96" i="1"/>
  <c r="AQ96" i="1"/>
  <c r="AU96" i="1"/>
  <c r="AS96" i="1"/>
  <c r="AT96" i="1"/>
  <c r="AP97" i="1"/>
  <c r="AV96" i="1" a="1"/>
  <c r="AV96" i="1" s="1"/>
  <c r="AR96" i="1"/>
  <c r="AJ96" i="1" s="1" a="1"/>
  <c r="AJ96" i="1" s="1"/>
  <c r="AW96" i="1" a="1"/>
  <c r="AW96" i="1" s="1"/>
  <c r="AO96" i="1"/>
  <c r="AH97" i="1"/>
  <c r="AL96" i="1" l="1" a="1"/>
  <c r="AL96" i="1" s="1"/>
  <c r="AM96" i="1" a="1"/>
  <c r="AM96" i="1" s="1"/>
  <c r="AK96" i="1" a="1"/>
  <c r="AK96" i="1" s="1"/>
  <c r="AO98" i="3"/>
  <c r="AS98" i="3" s="1"/>
  <c r="AP99" i="3"/>
  <c r="U103" i="3"/>
  <c r="Y103" i="3" s="1"/>
  <c r="V104" i="3"/>
  <c r="AK99" i="3"/>
  <c r="AJ98" i="3"/>
  <c r="AN98" i="3" s="1"/>
  <c r="AU99" i="3"/>
  <c r="AT98" i="3"/>
  <c r="AX98" i="3" s="1"/>
  <c r="P100" i="3"/>
  <c r="T100" i="3" s="1"/>
  <c r="Q101" i="3"/>
  <c r="Z98" i="3"/>
  <c r="AD98" i="3" s="1"/>
  <c r="AA99" i="3"/>
  <c r="L100" i="3"/>
  <c r="K99" i="3"/>
  <c r="O99" i="3" s="1"/>
  <c r="G99" i="3"/>
  <c r="F98" i="3"/>
  <c r="J98" i="3" s="1"/>
  <c r="AY98" i="3"/>
  <c r="BC98" i="3" s="1"/>
  <c r="AZ99" i="3"/>
  <c r="BN97" i="3"/>
  <c r="AF100" i="3"/>
  <c r="AE99" i="3"/>
  <c r="AI99" i="3" s="1"/>
  <c r="D112" i="2"/>
  <c r="A113" i="2"/>
  <c r="B112" i="2"/>
  <c r="C112" i="2"/>
  <c r="AH98" i="1"/>
  <c r="AO97" i="1"/>
  <c r="AX96" i="1"/>
  <c r="AN96" i="1" s="1"/>
  <c r="AI96" i="1" a="1"/>
  <c r="AI96" i="1" s="1"/>
  <c r="Z98" i="1"/>
  <c r="AA97" i="1"/>
  <c r="AE97" i="1"/>
  <c r="AF97" i="1"/>
  <c r="AG97" i="1"/>
  <c r="AB97" i="1"/>
  <c r="AC97" i="1"/>
  <c r="AD97" i="1"/>
  <c r="AV97" i="1" a="1"/>
  <c r="AV97" i="1" s="1"/>
  <c r="AU97" i="1"/>
  <c r="AM97" i="1" s="1" a="1"/>
  <c r="AM97" i="1" s="1"/>
  <c r="AP98" i="1"/>
  <c r="AQ97" i="1"/>
  <c r="AS97" i="1"/>
  <c r="AT97" i="1"/>
  <c r="AL97" i="1" s="1" a="1"/>
  <c r="AL97" i="1" s="1"/>
  <c r="AR97" i="1"/>
  <c r="AJ97" i="1" s="1" a="1"/>
  <c r="AJ97" i="1" s="1"/>
  <c r="AW97" i="1" a="1"/>
  <c r="AW97" i="1" s="1"/>
  <c r="AK97" i="1" l="1" a="1"/>
  <c r="AK97" i="1" s="1"/>
  <c r="AP100" i="3"/>
  <c r="AO99" i="3"/>
  <c r="AS99" i="3" s="1"/>
  <c r="AA100" i="3"/>
  <c r="Z99" i="3"/>
  <c r="AD99" i="3" s="1"/>
  <c r="Q102" i="3"/>
  <c r="P101" i="3"/>
  <c r="T101" i="3" s="1"/>
  <c r="AE100" i="3"/>
  <c r="AI100" i="3" s="1"/>
  <c r="AF101" i="3"/>
  <c r="AY99" i="3"/>
  <c r="BC99" i="3" s="1"/>
  <c r="AZ100" i="3"/>
  <c r="BN98" i="3"/>
  <c r="AU100" i="3"/>
  <c r="AT99" i="3"/>
  <c r="AX99" i="3" s="1"/>
  <c r="G100" i="3"/>
  <c r="F99" i="3"/>
  <c r="J99" i="3" s="1"/>
  <c r="AJ99" i="3"/>
  <c r="AN99" i="3" s="1"/>
  <c r="AK100" i="3"/>
  <c r="U104" i="3"/>
  <c r="Y104" i="3" s="1"/>
  <c r="V105" i="3"/>
  <c r="K100" i="3"/>
  <c r="O100" i="3" s="1"/>
  <c r="L101" i="3"/>
  <c r="D113" i="2"/>
  <c r="A114" i="2"/>
  <c r="B113" i="2"/>
  <c r="C113" i="2"/>
  <c r="AB98" i="1"/>
  <c r="AF98" i="1"/>
  <c r="Z99" i="1"/>
  <c r="AD98" i="1"/>
  <c r="AE98" i="1"/>
  <c r="AC98" i="1"/>
  <c r="AG98" i="1"/>
  <c r="AA98" i="1"/>
  <c r="AX97" i="1"/>
  <c r="AN97" i="1" s="1"/>
  <c r="AI97" i="1" a="1"/>
  <c r="AI97" i="1" s="1"/>
  <c r="AV98" i="1" a="1"/>
  <c r="AV98" i="1" s="1"/>
  <c r="AS98" i="1"/>
  <c r="AT98" i="1"/>
  <c r="AW98" i="1" a="1"/>
  <c r="AW98" i="1" s="1"/>
  <c r="AQ98" i="1"/>
  <c r="AU98" i="1"/>
  <c r="AM98" i="1" s="1" a="1"/>
  <c r="AM98" i="1" s="1"/>
  <c r="AR98" i="1"/>
  <c r="AJ98" i="1" s="1" a="1"/>
  <c r="AJ98" i="1" s="1"/>
  <c r="AP99" i="1"/>
  <c r="AH99" i="1"/>
  <c r="AO98" i="1"/>
  <c r="AL98" i="1" l="1" a="1"/>
  <c r="AL98" i="1" s="1"/>
  <c r="AK98" i="1" a="1"/>
  <c r="AK98" i="1" s="1"/>
  <c r="AO100" i="3"/>
  <c r="AS100" i="3" s="1"/>
  <c r="AP101" i="3"/>
  <c r="F100" i="3"/>
  <c r="J100" i="3" s="1"/>
  <c r="G101" i="3"/>
  <c r="AT100" i="3"/>
  <c r="AX100" i="3" s="1"/>
  <c r="AU101" i="3"/>
  <c r="L102" i="3"/>
  <c r="K101" i="3"/>
  <c r="O101" i="3" s="1"/>
  <c r="AY100" i="3"/>
  <c r="BC100" i="3" s="1"/>
  <c r="AZ101" i="3"/>
  <c r="BN99" i="3"/>
  <c r="U105" i="3"/>
  <c r="Y105" i="3" s="1"/>
  <c r="V106" i="3"/>
  <c r="AE101" i="3"/>
  <c r="AI101" i="3" s="1"/>
  <c r="AF102" i="3"/>
  <c r="AK101" i="3"/>
  <c r="AJ100" i="3"/>
  <c r="AN100" i="3" s="1"/>
  <c r="P102" i="3"/>
  <c r="T102" i="3" s="1"/>
  <c r="Q103" i="3"/>
  <c r="Z100" i="3"/>
  <c r="AD100" i="3" s="1"/>
  <c r="AA101" i="3"/>
  <c r="D114" i="2"/>
  <c r="C114" i="2"/>
  <c r="B114" i="2"/>
  <c r="A115" i="2"/>
  <c r="AH100" i="1"/>
  <c r="AO99" i="1"/>
  <c r="AT99" i="1"/>
  <c r="AL99" i="1" s="1" a="1"/>
  <c r="AL99" i="1" s="1"/>
  <c r="AU99" i="1"/>
  <c r="AW99" i="1" a="1"/>
  <c r="AW99" i="1" s="1"/>
  <c r="AV99" i="1" a="1"/>
  <c r="AV99" i="1" s="1"/>
  <c r="AS99" i="1"/>
  <c r="AP100" i="1"/>
  <c r="AQ99" i="1"/>
  <c r="AR99" i="1"/>
  <c r="AJ99" i="1" s="1" a="1"/>
  <c r="AJ99" i="1" s="1"/>
  <c r="AI98" i="1" a="1"/>
  <c r="AI98" i="1" s="1"/>
  <c r="AX98" i="1"/>
  <c r="AA99" i="1"/>
  <c r="AB99" i="1"/>
  <c r="AG99" i="1"/>
  <c r="AD99" i="1"/>
  <c r="AE99" i="1"/>
  <c r="AF99" i="1"/>
  <c r="Z100" i="1"/>
  <c r="AC99" i="1"/>
  <c r="AN98" i="1"/>
  <c r="AM99" i="1" l="1" a="1"/>
  <c r="AM99" i="1" s="1"/>
  <c r="AK99" i="1" a="1"/>
  <c r="AK99" i="1" s="1"/>
  <c r="AP102" i="3"/>
  <c r="AO101" i="3"/>
  <c r="AS101" i="3" s="1"/>
  <c r="Z101" i="3"/>
  <c r="AD101" i="3" s="1"/>
  <c r="AA102" i="3"/>
  <c r="AY101" i="3"/>
  <c r="BC101" i="3" s="1"/>
  <c r="AZ102" i="3"/>
  <c r="BN100" i="3"/>
  <c r="P103" i="3"/>
  <c r="T103" i="3" s="1"/>
  <c r="Q104" i="3"/>
  <c r="L103" i="3"/>
  <c r="K102" i="3"/>
  <c r="O102" i="3" s="1"/>
  <c r="AT101" i="3"/>
  <c r="AX101" i="3" s="1"/>
  <c r="AU102" i="3"/>
  <c r="AJ101" i="3"/>
  <c r="AN101" i="3" s="1"/>
  <c r="AK102" i="3"/>
  <c r="AE102" i="3"/>
  <c r="AI102" i="3" s="1"/>
  <c r="AF103" i="3"/>
  <c r="U106" i="3"/>
  <c r="Y106" i="3" s="1"/>
  <c r="V107" i="3"/>
  <c r="G102" i="3"/>
  <c r="F101" i="3"/>
  <c r="J101" i="3" s="1"/>
  <c r="D115" i="2"/>
  <c r="B115" i="2"/>
  <c r="A116" i="2"/>
  <c r="C115" i="2"/>
  <c r="AI99" i="1" a="1"/>
  <c r="AI99" i="1" s="1"/>
  <c r="AX99" i="1"/>
  <c r="AU100" i="1"/>
  <c r="AS100" i="1"/>
  <c r="AT100" i="1"/>
  <c r="AL100" i="1" s="1" a="1"/>
  <c r="AL100" i="1" s="1"/>
  <c r="AR100" i="1"/>
  <c r="AJ100" i="1" s="1" a="1"/>
  <c r="AJ100" i="1" s="1"/>
  <c r="AW100" i="1" a="1"/>
  <c r="AW100" i="1" s="1"/>
  <c r="AV100" i="1" a="1"/>
  <c r="AV100" i="1" s="1"/>
  <c r="AP101" i="1"/>
  <c r="AQ100" i="1"/>
  <c r="AE100" i="1"/>
  <c r="AB100" i="1"/>
  <c r="Z101" i="1"/>
  <c r="AF100" i="1"/>
  <c r="AG100" i="1"/>
  <c r="AD100" i="1"/>
  <c r="AC100" i="1"/>
  <c r="AA100" i="1"/>
  <c r="AN99" i="1"/>
  <c r="AH101" i="1"/>
  <c r="AO100" i="1"/>
  <c r="AM100" i="1" l="1" a="1"/>
  <c r="AM100" i="1" s="1"/>
  <c r="AK100" i="1" a="1"/>
  <c r="AK100" i="1" s="1"/>
  <c r="AP103" i="3"/>
  <c r="AO102" i="3"/>
  <c r="AS102" i="3" s="1"/>
  <c r="AU103" i="3"/>
  <c r="AT102" i="3"/>
  <c r="AX102" i="3" s="1"/>
  <c r="F102" i="3"/>
  <c r="J102" i="3" s="1"/>
  <c r="G103" i="3"/>
  <c r="U107" i="3"/>
  <c r="Y107" i="3" s="1"/>
  <c r="V108" i="3"/>
  <c r="K103" i="3"/>
  <c r="O103" i="3" s="1"/>
  <c r="L104" i="3"/>
  <c r="P104" i="3"/>
  <c r="T104" i="3" s="1"/>
  <c r="Q105" i="3"/>
  <c r="AY102" i="3"/>
  <c r="BC102" i="3" s="1"/>
  <c r="AZ103" i="3"/>
  <c r="AE103" i="3"/>
  <c r="AI103" i="3" s="1"/>
  <c r="AF104" i="3"/>
  <c r="BN101" i="3"/>
  <c r="AA103" i="3"/>
  <c r="Z102" i="3"/>
  <c r="AD102" i="3" s="1"/>
  <c r="AK103" i="3"/>
  <c r="AJ102" i="3"/>
  <c r="AN102" i="3" s="1"/>
  <c r="A117" i="2"/>
  <c r="B116" i="2"/>
  <c r="D116" i="2"/>
  <c r="C116" i="2"/>
  <c r="AI100" i="1" a="1"/>
  <c r="AI100" i="1" s="1"/>
  <c r="AX100" i="1"/>
  <c r="AN100" i="1" s="1"/>
  <c r="AS101" i="1"/>
  <c r="AU101" i="1"/>
  <c r="AM101" i="1" s="1" a="1"/>
  <c r="AM101" i="1" s="1"/>
  <c r="AP102" i="1"/>
  <c r="AV101" i="1" a="1"/>
  <c r="AV101" i="1" s="1"/>
  <c r="AQ101" i="1"/>
  <c r="AR101" i="1"/>
  <c r="AJ101" i="1" s="1" a="1"/>
  <c r="AJ101" i="1" s="1"/>
  <c r="AT101" i="1"/>
  <c r="AW101" i="1" a="1"/>
  <c r="AW101" i="1" s="1"/>
  <c r="AO101" i="1"/>
  <c r="AH102" i="1"/>
  <c r="AB101" i="1"/>
  <c r="AC101" i="1"/>
  <c r="AF101" i="1"/>
  <c r="AA101" i="1"/>
  <c r="AE101" i="1"/>
  <c r="AG101" i="1"/>
  <c r="Z102" i="1"/>
  <c r="AD101" i="1"/>
  <c r="AL101" i="1" l="1" a="1"/>
  <c r="AL101" i="1" s="1"/>
  <c r="AK101" i="1" a="1"/>
  <c r="AK101" i="1" s="1"/>
  <c r="AO103" i="3"/>
  <c r="AS103" i="3" s="1"/>
  <c r="AP104" i="3"/>
  <c r="P105" i="3"/>
  <c r="T105" i="3" s="1"/>
  <c r="Q106" i="3"/>
  <c r="AJ103" i="3"/>
  <c r="AN103" i="3" s="1"/>
  <c r="AK104" i="3"/>
  <c r="K104" i="3"/>
  <c r="O104" i="3" s="1"/>
  <c r="L105" i="3"/>
  <c r="Z103" i="3"/>
  <c r="AD103" i="3" s="1"/>
  <c r="AA104" i="3"/>
  <c r="V109" i="3"/>
  <c r="U108" i="3"/>
  <c r="Y108" i="3" s="1"/>
  <c r="AF105" i="3"/>
  <c r="AE104" i="3"/>
  <c r="AI104" i="3" s="1"/>
  <c r="AZ104" i="3"/>
  <c r="AY103" i="3"/>
  <c r="BC103" i="3" s="1"/>
  <c r="F103" i="3"/>
  <c r="J103" i="3" s="1"/>
  <c r="G104" i="3"/>
  <c r="BN102" i="3"/>
  <c r="AT103" i="3"/>
  <c r="AX103" i="3" s="1"/>
  <c r="AU104" i="3"/>
  <c r="B117" i="2"/>
  <c r="A118" i="2"/>
  <c r="D117" i="2"/>
  <c r="C117" i="2"/>
  <c r="AH103" i="1"/>
  <c r="AO102" i="1"/>
  <c r="AX101" i="1"/>
  <c r="AN101" i="1" s="1"/>
  <c r="AI101" i="1" a="1"/>
  <c r="AI101" i="1" s="1"/>
  <c r="AS102" i="1"/>
  <c r="AU102" i="1"/>
  <c r="AM102" i="1" s="1" a="1"/>
  <c r="AM102" i="1" s="1"/>
  <c r="AT102" i="1"/>
  <c r="AW102" i="1" a="1"/>
  <c r="AW102" i="1" s="1"/>
  <c r="AP103" i="1"/>
  <c r="AV102" i="1" a="1"/>
  <c r="AV102" i="1" s="1"/>
  <c r="AR102" i="1"/>
  <c r="AJ102" i="1" s="1" a="1"/>
  <c r="AJ102" i="1" s="1"/>
  <c r="AQ102" i="1"/>
  <c r="AA102" i="1"/>
  <c r="AB102" i="1"/>
  <c r="AG102" i="1"/>
  <c r="Z103" i="1"/>
  <c r="AD102" i="1"/>
  <c r="AF102" i="1"/>
  <c r="AE102" i="1"/>
  <c r="AC102" i="1"/>
  <c r="AL102" i="1" l="1" a="1"/>
  <c r="AL102" i="1" s="1"/>
  <c r="AK102" i="1" a="1"/>
  <c r="AK102" i="1" s="1"/>
  <c r="AO104" i="3"/>
  <c r="AS104" i="3" s="1"/>
  <c r="AP105" i="3"/>
  <c r="AE105" i="3"/>
  <c r="AI105" i="3" s="1"/>
  <c r="AF106" i="3"/>
  <c r="AT104" i="3"/>
  <c r="AX104" i="3" s="1"/>
  <c r="AU105" i="3"/>
  <c r="V110" i="3"/>
  <c r="U109" i="3"/>
  <c r="Y109" i="3" s="1"/>
  <c r="AA105" i="3"/>
  <c r="Z104" i="3"/>
  <c r="AD104" i="3" s="1"/>
  <c r="F104" i="3"/>
  <c r="J104" i="3" s="1"/>
  <c r="G105" i="3"/>
  <c r="K105" i="3"/>
  <c r="O105" i="3" s="1"/>
  <c r="L106" i="3"/>
  <c r="AJ104" i="3"/>
  <c r="AN104" i="3" s="1"/>
  <c r="AK105" i="3"/>
  <c r="BN103" i="3"/>
  <c r="Q107" i="3"/>
  <c r="P106" i="3"/>
  <c r="T106" i="3" s="1"/>
  <c r="AZ105" i="3"/>
  <c r="AY104" i="3"/>
  <c r="BC104" i="3" s="1"/>
  <c r="C118" i="2"/>
  <c r="D118" i="2"/>
  <c r="A119" i="2"/>
  <c r="B118" i="2"/>
  <c r="AV103" i="1" a="1"/>
  <c r="AV103" i="1" s="1"/>
  <c r="AQ103" i="1"/>
  <c r="AW103" i="1" a="1"/>
  <c r="AW103" i="1" s="1"/>
  <c r="AR103" i="1"/>
  <c r="AT103" i="1"/>
  <c r="AL103" i="1" s="1" a="1"/>
  <c r="AL103" i="1" s="1"/>
  <c r="AP104" i="1"/>
  <c r="AS103" i="1"/>
  <c r="AU103" i="1"/>
  <c r="AM103" i="1" s="1" a="1"/>
  <c r="AM103" i="1" s="1"/>
  <c r="AG103" i="1"/>
  <c r="AA103" i="1"/>
  <c r="AF103" i="1"/>
  <c r="AE103" i="1"/>
  <c r="AC103" i="1"/>
  <c r="Z104" i="1"/>
  <c r="AD103" i="1"/>
  <c r="AB103" i="1"/>
  <c r="AI102" i="1" a="1"/>
  <c r="AI102" i="1" s="1"/>
  <c r="AX102" i="1"/>
  <c r="AN102" i="1" s="1"/>
  <c r="AH104" i="1"/>
  <c r="AO103" i="1"/>
  <c r="AJ103" i="1" l="1" a="1"/>
  <c r="AJ103" i="1" s="1"/>
  <c r="AK103" i="1" a="1"/>
  <c r="AK103" i="1" s="1"/>
  <c r="AO105" i="3"/>
  <c r="AS105" i="3" s="1"/>
  <c r="AP106" i="3"/>
  <c r="BN104" i="3"/>
  <c r="AZ106" i="3"/>
  <c r="AY105" i="3"/>
  <c r="BC105" i="3" s="1"/>
  <c r="AA106" i="3"/>
  <c r="Z105" i="3"/>
  <c r="AD105" i="3" s="1"/>
  <c r="P107" i="3"/>
  <c r="T107" i="3" s="1"/>
  <c r="Q108" i="3"/>
  <c r="V111" i="3"/>
  <c r="U110" i="3"/>
  <c r="Y110" i="3" s="1"/>
  <c r="AJ105" i="3"/>
  <c r="AN105" i="3" s="1"/>
  <c r="AK106" i="3"/>
  <c r="K106" i="3"/>
  <c r="O106" i="3" s="1"/>
  <c r="L107" i="3"/>
  <c r="AT105" i="3"/>
  <c r="AX105" i="3" s="1"/>
  <c r="AU106" i="3"/>
  <c r="G106" i="3"/>
  <c r="F105" i="3"/>
  <c r="J105" i="3" s="1"/>
  <c r="AE106" i="3"/>
  <c r="AI106" i="3" s="1"/>
  <c r="AF107" i="3"/>
  <c r="D119" i="2"/>
  <c r="B119" i="2"/>
  <c r="A120" i="2"/>
  <c r="C119" i="2"/>
  <c r="AH105" i="1"/>
  <c r="AO104" i="1"/>
  <c r="AP105" i="1"/>
  <c r="AR104" i="1"/>
  <c r="AJ104" i="1" s="1" a="1"/>
  <c r="AJ104" i="1" s="1"/>
  <c r="AS104" i="1"/>
  <c r="AW104" i="1" a="1"/>
  <c r="AW104" i="1" s="1"/>
  <c r="AQ104" i="1"/>
  <c r="AU104" i="1"/>
  <c r="AV104" i="1" a="1"/>
  <c r="AV104" i="1" s="1"/>
  <c r="AT104" i="1"/>
  <c r="AC104" i="1"/>
  <c r="AG104" i="1"/>
  <c r="AD104" i="1"/>
  <c r="AA104" i="1"/>
  <c r="Z105" i="1"/>
  <c r="AF104" i="1"/>
  <c r="AE104" i="1"/>
  <c r="AB104" i="1"/>
  <c r="AI103" i="1" a="1"/>
  <c r="AI103" i="1" s="1"/>
  <c r="AX103" i="1"/>
  <c r="AN103" i="1" s="1"/>
  <c r="AM104" i="1" l="1" a="1"/>
  <c r="AM104" i="1" s="1"/>
  <c r="AL104" i="1" a="1"/>
  <c r="AL104" i="1" s="1"/>
  <c r="AK104" i="1" a="1"/>
  <c r="AK104" i="1" s="1"/>
  <c r="AP107" i="3"/>
  <c r="AO106" i="3"/>
  <c r="AS106" i="3" s="1"/>
  <c r="AK107" i="3"/>
  <c r="AJ106" i="3"/>
  <c r="AN106" i="3" s="1"/>
  <c r="AF108" i="3"/>
  <c r="AE107" i="3"/>
  <c r="AI107" i="3" s="1"/>
  <c r="U111" i="3"/>
  <c r="Y111" i="3" s="1"/>
  <c r="V112" i="3"/>
  <c r="F106" i="3"/>
  <c r="J106" i="3" s="1"/>
  <c r="G107" i="3"/>
  <c r="P108" i="3"/>
  <c r="T108" i="3" s="1"/>
  <c r="Q109" i="3"/>
  <c r="AT106" i="3"/>
  <c r="AX106" i="3" s="1"/>
  <c r="AU107" i="3"/>
  <c r="L108" i="3"/>
  <c r="K107" i="3"/>
  <c r="O107" i="3" s="1"/>
  <c r="Z106" i="3"/>
  <c r="AD106" i="3" s="1"/>
  <c r="AA107" i="3"/>
  <c r="BN105" i="3"/>
  <c r="AY106" i="3"/>
  <c r="BC106" i="3" s="1"/>
  <c r="AZ107" i="3"/>
  <c r="C120" i="2"/>
  <c r="B120" i="2"/>
  <c r="D120" i="2"/>
  <c r="A121" i="2"/>
  <c r="AX104" i="1"/>
  <c r="AN104" i="1" s="1"/>
  <c r="AI104" i="1" a="1"/>
  <c r="AI104" i="1" s="1"/>
  <c r="AB105" i="1"/>
  <c r="AE105" i="1"/>
  <c r="AA105" i="1"/>
  <c r="Z106" i="1"/>
  <c r="AD105" i="1"/>
  <c r="AF105" i="1"/>
  <c r="AG105" i="1"/>
  <c r="AC105" i="1"/>
  <c r="AV105" i="1" a="1"/>
  <c r="AV105" i="1" s="1"/>
  <c r="AS105" i="1"/>
  <c r="AR105" i="1"/>
  <c r="AJ105" i="1" s="1" a="1"/>
  <c r="AJ105" i="1" s="1"/>
  <c r="AQ105" i="1"/>
  <c r="AT105" i="1"/>
  <c r="AL105" i="1" s="1" a="1"/>
  <c r="AL105" i="1" s="1"/>
  <c r="AU105" i="1"/>
  <c r="AM105" i="1" s="1" a="1"/>
  <c r="AM105" i="1" s="1"/>
  <c r="AW105" i="1" a="1"/>
  <c r="AW105" i="1" s="1"/>
  <c r="AP106" i="1"/>
  <c r="AH106" i="1"/>
  <c r="AO105" i="1"/>
  <c r="AK105" i="1" l="1" a="1"/>
  <c r="AK105" i="1" s="1"/>
  <c r="AO107" i="3"/>
  <c r="AS107" i="3" s="1"/>
  <c r="AP108" i="3"/>
  <c r="P109" i="3"/>
  <c r="T109" i="3" s="1"/>
  <c r="Q110" i="3"/>
  <c r="F107" i="3"/>
  <c r="J107" i="3" s="1"/>
  <c r="G108" i="3"/>
  <c r="AY107" i="3"/>
  <c r="BC107" i="3" s="1"/>
  <c r="AZ108" i="3"/>
  <c r="BN106" i="3"/>
  <c r="U112" i="3"/>
  <c r="Y112" i="3" s="1"/>
  <c r="V113" i="3"/>
  <c r="AA108" i="3"/>
  <c r="Z107" i="3"/>
  <c r="AD107" i="3" s="1"/>
  <c r="L109" i="3"/>
  <c r="K108" i="3"/>
  <c r="O108" i="3" s="1"/>
  <c r="AF109" i="3"/>
  <c r="AE108" i="3"/>
  <c r="AI108" i="3" s="1"/>
  <c r="AU108" i="3"/>
  <c r="AT107" i="3"/>
  <c r="AX107" i="3" s="1"/>
  <c r="AK108" i="3"/>
  <c r="AJ107" i="3"/>
  <c r="AN107" i="3" s="1"/>
  <c r="C121" i="2"/>
  <c r="A122" i="2"/>
  <c r="B121" i="2"/>
  <c r="D121" i="2"/>
  <c r="AO106" i="1"/>
  <c r="AH107" i="1"/>
  <c r="AS106" i="1"/>
  <c r="AR106" i="1"/>
  <c r="AJ106" i="1" s="1" a="1"/>
  <c r="AJ106" i="1" s="1"/>
  <c r="AP107" i="1"/>
  <c r="AW106" i="1" a="1"/>
  <c r="AW106" i="1" s="1"/>
  <c r="AU106" i="1"/>
  <c r="AQ106" i="1"/>
  <c r="AV106" i="1" a="1"/>
  <c r="AV106" i="1" s="1"/>
  <c r="AT106" i="1"/>
  <c r="AL106" i="1" s="1" a="1"/>
  <c r="AL106" i="1" s="1"/>
  <c r="AA106" i="1"/>
  <c r="AB106" i="1"/>
  <c r="AF106" i="1"/>
  <c r="Z107" i="1"/>
  <c r="AE106" i="1"/>
  <c r="AD106" i="1"/>
  <c r="AC106" i="1"/>
  <c r="AG106" i="1"/>
  <c r="AX105" i="1"/>
  <c r="AN105" i="1" s="1"/>
  <c r="AI105" i="1" a="1"/>
  <c r="AI105" i="1" s="1"/>
  <c r="AM106" i="1" l="1" a="1"/>
  <c r="AM106" i="1" s="1"/>
  <c r="AK106" i="1" a="1"/>
  <c r="AK106" i="1" s="1"/>
  <c r="AO108" i="3"/>
  <c r="AS108" i="3" s="1"/>
  <c r="AP109" i="3"/>
  <c r="AJ108" i="3"/>
  <c r="AN108" i="3" s="1"/>
  <c r="AK109" i="3"/>
  <c r="AY108" i="3"/>
  <c r="BC108" i="3" s="1"/>
  <c r="AZ109" i="3"/>
  <c r="AT108" i="3"/>
  <c r="AX108" i="3" s="1"/>
  <c r="AU109" i="3"/>
  <c r="BN107" i="3"/>
  <c r="G109" i="3"/>
  <c r="F108" i="3"/>
  <c r="J108" i="3" s="1"/>
  <c r="AF110" i="3"/>
  <c r="AE109" i="3"/>
  <c r="AI109" i="3" s="1"/>
  <c r="L110" i="3"/>
  <c r="K109" i="3"/>
  <c r="O109" i="3" s="1"/>
  <c r="AA109" i="3"/>
  <c r="Z108" i="3"/>
  <c r="AD108" i="3" s="1"/>
  <c r="Q111" i="3"/>
  <c r="P110" i="3"/>
  <c r="T110" i="3" s="1"/>
  <c r="V114" i="3"/>
  <c r="U113" i="3"/>
  <c r="Y113" i="3" s="1"/>
  <c r="C122" i="2"/>
  <c r="A123" i="2"/>
  <c r="D122" i="2"/>
  <c r="B122" i="2"/>
  <c r="AX106" i="1"/>
  <c r="AN106" i="1" s="1"/>
  <c r="AI106" i="1" a="1"/>
  <c r="AI106" i="1" s="1"/>
  <c r="AT107" i="1"/>
  <c r="AL107" i="1" s="1" a="1"/>
  <c r="AL107" i="1" s="1"/>
  <c r="AP108" i="1"/>
  <c r="AS107" i="1"/>
  <c r="AU107" i="1"/>
  <c r="AM107" i="1" s="1" a="1"/>
  <c r="AM107" i="1" s="1"/>
  <c r="AQ107" i="1"/>
  <c r="AW107" i="1" a="1"/>
  <c r="AW107" i="1" s="1"/>
  <c r="AV107" i="1" a="1"/>
  <c r="AV107" i="1" s="1"/>
  <c r="AR107" i="1"/>
  <c r="AJ107" i="1" s="1" a="1"/>
  <c r="AJ107" i="1" s="1"/>
  <c r="AC107" i="1"/>
  <c r="AD107" i="1"/>
  <c r="AA107" i="1"/>
  <c r="AG107" i="1"/>
  <c r="AE107" i="1"/>
  <c r="AB107" i="1"/>
  <c r="Z108" i="1"/>
  <c r="AF107" i="1"/>
  <c r="AO107" i="1"/>
  <c r="AH108" i="1"/>
  <c r="AK107" i="1" l="1" a="1"/>
  <c r="AK107" i="1" s="1"/>
  <c r="AO109" i="3"/>
  <c r="AS109" i="3" s="1"/>
  <c r="AP110" i="3"/>
  <c r="AF111" i="3"/>
  <c r="AE110" i="3"/>
  <c r="AI110" i="3" s="1"/>
  <c r="V115" i="3"/>
  <c r="U114" i="3"/>
  <c r="Y114" i="3" s="1"/>
  <c r="F109" i="3"/>
  <c r="J109" i="3" s="1"/>
  <c r="G110" i="3"/>
  <c r="Q112" i="3"/>
  <c r="P111" i="3"/>
  <c r="T111" i="3" s="1"/>
  <c r="AT109" i="3"/>
  <c r="AX109" i="3" s="1"/>
  <c r="AU110" i="3"/>
  <c r="Z109" i="3"/>
  <c r="AD109" i="3" s="1"/>
  <c r="AA110" i="3"/>
  <c r="AZ110" i="3"/>
  <c r="AY109" i="3"/>
  <c r="BC109" i="3" s="1"/>
  <c r="BN108" i="3"/>
  <c r="AK110" i="3"/>
  <c r="AJ109" i="3"/>
  <c r="AN109" i="3" s="1"/>
  <c r="K110" i="3"/>
  <c r="O110" i="3" s="1"/>
  <c r="L111" i="3"/>
  <c r="A124" i="2"/>
  <c r="C123" i="2"/>
  <c r="B123" i="2"/>
  <c r="D123" i="2"/>
  <c r="AH109" i="1"/>
  <c r="AO108" i="1"/>
  <c r="AX107" i="1"/>
  <c r="AN107" i="1" s="1"/>
  <c r="AI107" i="1" a="1"/>
  <c r="AI107" i="1" s="1"/>
  <c r="AG108" i="1"/>
  <c r="AD108" i="1"/>
  <c r="AF108" i="1"/>
  <c r="AA108" i="1"/>
  <c r="AE108" i="1"/>
  <c r="AC108" i="1"/>
  <c r="Z109" i="1"/>
  <c r="AB108" i="1"/>
  <c r="AQ108" i="1"/>
  <c r="AP109" i="1"/>
  <c r="AR108" i="1"/>
  <c r="AJ108" i="1" s="1" a="1"/>
  <c r="AJ108" i="1" s="1"/>
  <c r="AS108" i="1"/>
  <c r="AV108" i="1" a="1"/>
  <c r="AV108" i="1" s="1"/>
  <c r="AW108" i="1" a="1"/>
  <c r="AW108" i="1" s="1"/>
  <c r="AU108" i="1"/>
  <c r="AM108" i="1" s="1" a="1"/>
  <c r="AM108" i="1" s="1"/>
  <c r="AT108" i="1"/>
  <c r="AK108" i="1" l="1" a="1"/>
  <c r="AK108" i="1" s="1"/>
  <c r="AL108" i="1" a="1"/>
  <c r="AL108" i="1" s="1"/>
  <c r="AO110" i="3"/>
  <c r="AS110" i="3" s="1"/>
  <c r="AP111" i="3"/>
  <c r="AT110" i="3"/>
  <c r="AX110" i="3" s="1"/>
  <c r="AU111" i="3"/>
  <c r="K111" i="3"/>
  <c r="O111" i="3" s="1"/>
  <c r="L112" i="3"/>
  <c r="P112" i="3"/>
  <c r="T112" i="3" s="1"/>
  <c r="Q113" i="3"/>
  <c r="AK111" i="3"/>
  <c r="AJ110" i="3"/>
  <c r="AN110" i="3" s="1"/>
  <c r="G111" i="3"/>
  <c r="F110" i="3"/>
  <c r="J110" i="3" s="1"/>
  <c r="BN109" i="3"/>
  <c r="AZ111" i="3"/>
  <c r="AY110" i="3"/>
  <c r="BC110" i="3" s="1"/>
  <c r="U115" i="3"/>
  <c r="Y115" i="3" s="1"/>
  <c r="V116" i="3"/>
  <c r="AA111" i="3"/>
  <c r="Z110" i="3"/>
  <c r="AD110" i="3" s="1"/>
  <c r="AE111" i="3"/>
  <c r="AI111" i="3" s="1"/>
  <c r="AF112" i="3"/>
  <c r="B124" i="2"/>
  <c r="D124" i="2"/>
  <c r="C124" i="2"/>
  <c r="A125" i="2"/>
  <c r="Z110" i="1"/>
  <c r="AD109" i="1"/>
  <c r="AA109" i="1"/>
  <c r="AC109" i="1"/>
  <c r="AF109" i="1"/>
  <c r="AG109" i="1"/>
  <c r="AB109" i="1"/>
  <c r="AE109" i="1"/>
  <c r="AV109" i="1" a="1"/>
  <c r="AV109" i="1" s="1"/>
  <c r="AU109" i="1"/>
  <c r="AQ109" i="1"/>
  <c r="AW109" i="1" a="1"/>
  <c r="AW109" i="1" s="1"/>
  <c r="AS109" i="1"/>
  <c r="AP110" i="1"/>
  <c r="AT109" i="1"/>
  <c r="AL109" i="1" s="1" a="1"/>
  <c r="AL109" i="1" s="1"/>
  <c r="AR109" i="1"/>
  <c r="AJ109" i="1" s="1" a="1"/>
  <c r="AJ109" i="1" s="1"/>
  <c r="AX108" i="1"/>
  <c r="AN108" i="1" s="1"/>
  <c r="AI108" i="1" a="1"/>
  <c r="AI108" i="1" s="1"/>
  <c r="AO109" i="1"/>
  <c r="AH110" i="1"/>
  <c r="AK109" i="1" l="1" a="1"/>
  <c r="AK109" i="1" s="1"/>
  <c r="AM109" i="1" a="1"/>
  <c r="AM109" i="1" s="1"/>
  <c r="AO111" i="3"/>
  <c r="AS111" i="3" s="1"/>
  <c r="AP112" i="3"/>
  <c r="AE112" i="3"/>
  <c r="AI112" i="3" s="1"/>
  <c r="AF113" i="3"/>
  <c r="F111" i="3"/>
  <c r="J111" i="3" s="1"/>
  <c r="G112" i="3"/>
  <c r="AA112" i="3"/>
  <c r="Z111" i="3"/>
  <c r="AD111" i="3" s="1"/>
  <c r="U116" i="3"/>
  <c r="Y116" i="3" s="1"/>
  <c r="V117" i="3"/>
  <c r="AJ111" i="3"/>
  <c r="AN111" i="3" s="1"/>
  <c r="AK112" i="3"/>
  <c r="P113" i="3"/>
  <c r="T113" i="3" s="1"/>
  <c r="Q114" i="3"/>
  <c r="BN110" i="3"/>
  <c r="K112" i="3"/>
  <c r="O112" i="3" s="1"/>
  <c r="L113" i="3"/>
  <c r="AY111" i="3"/>
  <c r="BC111" i="3" s="1"/>
  <c r="AZ112" i="3"/>
  <c r="AU112" i="3"/>
  <c r="AT111" i="3"/>
  <c r="AX111" i="3" s="1"/>
  <c r="C125" i="2"/>
  <c r="A126" i="2"/>
  <c r="D125" i="2"/>
  <c r="B125" i="2"/>
  <c r="AH111" i="1"/>
  <c r="AO110" i="1"/>
  <c r="AI109" i="1" a="1"/>
  <c r="AI109" i="1" s="1"/>
  <c r="AX109" i="1"/>
  <c r="AN109" i="1" s="1"/>
  <c r="AT110" i="1"/>
  <c r="AL110" i="1" s="1" a="1"/>
  <c r="AL110" i="1" s="1"/>
  <c r="AQ110" i="1"/>
  <c r="AS110" i="1"/>
  <c r="AP111" i="1"/>
  <c r="AU110" i="1"/>
  <c r="AV110" i="1" a="1"/>
  <c r="AV110" i="1" s="1"/>
  <c r="AW110" i="1" a="1"/>
  <c r="AW110" i="1" s="1"/>
  <c r="AR110" i="1"/>
  <c r="AB110" i="1"/>
  <c r="AF110" i="1"/>
  <c r="AC110" i="1"/>
  <c r="AD110" i="1"/>
  <c r="Z111" i="1"/>
  <c r="AG110" i="1"/>
  <c r="AE110" i="1"/>
  <c r="AA110" i="1"/>
  <c r="AK110" i="1" l="1" a="1"/>
  <c r="AK110" i="1" s="1"/>
  <c r="AJ110" i="1" a="1"/>
  <c r="AJ110" i="1" s="1"/>
  <c r="AM110" i="1" a="1"/>
  <c r="AM110" i="1" s="1"/>
  <c r="AO112" i="3"/>
  <c r="AS112" i="3" s="1"/>
  <c r="AP113" i="3"/>
  <c r="AJ112" i="3"/>
  <c r="AN112" i="3" s="1"/>
  <c r="AK113" i="3"/>
  <c r="U117" i="3"/>
  <c r="Y117" i="3" s="1"/>
  <c r="V118" i="3"/>
  <c r="AT112" i="3"/>
  <c r="AX112" i="3" s="1"/>
  <c r="AU113" i="3"/>
  <c r="AY112" i="3"/>
  <c r="BC112" i="3" s="1"/>
  <c r="AZ113" i="3"/>
  <c r="BN111" i="3"/>
  <c r="AA113" i="3"/>
  <c r="Z112" i="3"/>
  <c r="AD112" i="3" s="1"/>
  <c r="L114" i="3"/>
  <c r="K113" i="3"/>
  <c r="O113" i="3" s="1"/>
  <c r="F112" i="3"/>
  <c r="J112" i="3" s="1"/>
  <c r="G113" i="3"/>
  <c r="P114" i="3"/>
  <c r="T114" i="3" s="1"/>
  <c r="Q115" i="3"/>
  <c r="AE113" i="3"/>
  <c r="AI113" i="3" s="1"/>
  <c r="AF114" i="3"/>
  <c r="A127" i="2"/>
  <c r="C126" i="2"/>
  <c r="D126" i="2"/>
  <c r="B126" i="2"/>
  <c r="AV111" i="1" a="1"/>
  <c r="AV111" i="1" s="1"/>
  <c r="AT111" i="1"/>
  <c r="AL111" i="1" s="1" a="1"/>
  <c r="AL111" i="1" s="1"/>
  <c r="AR111" i="1"/>
  <c r="AP112" i="1"/>
  <c r="AU111" i="1"/>
  <c r="AW111" i="1" a="1"/>
  <c r="AW111" i="1" s="1"/>
  <c r="AQ111" i="1"/>
  <c r="AS111" i="1"/>
  <c r="AI110" i="1" a="1"/>
  <c r="AI110" i="1" s="1"/>
  <c r="AX110" i="1"/>
  <c r="AN110" i="1" s="1"/>
  <c r="AD111" i="1"/>
  <c r="AB111" i="1"/>
  <c r="AC111" i="1"/>
  <c r="AF111" i="1"/>
  <c r="AA111" i="1"/>
  <c r="AE111" i="1"/>
  <c r="AG111" i="1"/>
  <c r="Z112" i="1"/>
  <c r="AH112" i="1"/>
  <c r="AO111" i="1"/>
  <c r="AJ111" i="1" l="1" a="1"/>
  <c r="AJ111" i="1" s="1"/>
  <c r="AK111" i="1" a="1"/>
  <c r="AK111" i="1" s="1"/>
  <c r="AM111" i="1" a="1"/>
  <c r="AM111" i="1" s="1"/>
  <c r="AP114" i="3"/>
  <c r="AO113" i="3"/>
  <c r="AS113" i="3" s="1"/>
  <c r="AE114" i="3"/>
  <c r="AI114" i="3" s="1"/>
  <c r="AF115" i="3"/>
  <c r="AY113" i="3"/>
  <c r="BC113" i="3" s="1"/>
  <c r="AZ114" i="3"/>
  <c r="BN112" i="3"/>
  <c r="Q116" i="3"/>
  <c r="P115" i="3"/>
  <c r="T115" i="3" s="1"/>
  <c r="AU114" i="3"/>
  <c r="AT113" i="3"/>
  <c r="AX113" i="3" s="1"/>
  <c r="F113" i="3"/>
  <c r="J113" i="3" s="1"/>
  <c r="G114" i="3"/>
  <c r="U118" i="3"/>
  <c r="Y118" i="3" s="1"/>
  <c r="V119" i="3"/>
  <c r="K114" i="3"/>
  <c r="O114" i="3" s="1"/>
  <c r="L115" i="3"/>
  <c r="AK114" i="3"/>
  <c r="AJ113" i="3"/>
  <c r="AN113" i="3" s="1"/>
  <c r="Z113" i="3"/>
  <c r="AD113" i="3" s="1"/>
  <c r="AA114" i="3"/>
  <c r="C127" i="2"/>
  <c r="D127" i="2"/>
  <c r="A128" i="2"/>
  <c r="B127" i="2"/>
  <c r="AO112" i="1"/>
  <c r="AH113" i="1"/>
  <c r="AC112" i="1"/>
  <c r="AE112" i="1"/>
  <c r="Z113" i="1"/>
  <c r="AB112" i="1"/>
  <c r="AA112" i="1"/>
  <c r="AF112" i="1"/>
  <c r="AG112" i="1"/>
  <c r="AD112" i="1"/>
  <c r="AX111" i="1"/>
  <c r="AN111" i="1" s="1"/>
  <c r="AI111" i="1" a="1"/>
  <c r="AI111" i="1" s="1"/>
  <c r="AR112" i="1"/>
  <c r="AJ112" i="1" s="1" a="1"/>
  <c r="AJ112" i="1" s="1"/>
  <c r="AQ112" i="1"/>
  <c r="AT112" i="1"/>
  <c r="AU112" i="1"/>
  <c r="AM112" i="1" s="1" a="1"/>
  <c r="AM112" i="1" s="1"/>
  <c r="AP113" i="1"/>
  <c r="AV112" i="1" a="1"/>
  <c r="AV112" i="1" s="1"/>
  <c r="AS112" i="1"/>
  <c r="AK112" i="1" s="1" a="1"/>
  <c r="AK112" i="1" s="1"/>
  <c r="AW112" i="1" a="1"/>
  <c r="AW112" i="1" s="1"/>
  <c r="AL112" i="1" l="1" a="1"/>
  <c r="AL112" i="1" s="1"/>
  <c r="AP115" i="3"/>
  <c r="AO114" i="3"/>
  <c r="AS114" i="3" s="1"/>
  <c r="G115" i="3"/>
  <c r="F114" i="3"/>
  <c r="J114" i="3" s="1"/>
  <c r="AA115" i="3"/>
  <c r="Z114" i="3"/>
  <c r="AD114" i="3" s="1"/>
  <c r="AJ114" i="3"/>
  <c r="AN114" i="3" s="1"/>
  <c r="AK115" i="3"/>
  <c r="AU115" i="3"/>
  <c r="AT114" i="3"/>
  <c r="AX114" i="3" s="1"/>
  <c r="Q117" i="3"/>
  <c r="P116" i="3"/>
  <c r="T116" i="3" s="1"/>
  <c r="L116" i="3"/>
  <c r="K115" i="3"/>
  <c r="O115" i="3" s="1"/>
  <c r="AY114" i="3"/>
  <c r="BC114" i="3" s="1"/>
  <c r="AZ115" i="3"/>
  <c r="BN113" i="3"/>
  <c r="U119" i="3"/>
  <c r="Y119" i="3" s="1"/>
  <c r="V120" i="3"/>
  <c r="AE115" i="3"/>
  <c r="AI115" i="3" s="1"/>
  <c r="AF116" i="3"/>
  <c r="A129" i="2"/>
  <c r="D128" i="2"/>
  <c r="B128" i="2"/>
  <c r="C128" i="2"/>
  <c r="AW113" i="1" a="1"/>
  <c r="AW113" i="1" s="1"/>
  <c r="AP114" i="1"/>
  <c r="AU113" i="1"/>
  <c r="AR113" i="1"/>
  <c r="AQ113" i="1"/>
  <c r="AT113" i="1"/>
  <c r="AS113" i="1"/>
  <c r="AV113" i="1" a="1"/>
  <c r="AV113" i="1" s="1"/>
  <c r="AA113" i="1"/>
  <c r="AB113" i="1"/>
  <c r="AC113" i="1"/>
  <c r="AD113" i="1"/>
  <c r="AF113" i="1"/>
  <c r="AG113" i="1"/>
  <c r="Z114" i="1"/>
  <c r="AE113" i="1"/>
  <c r="AI112" i="1" a="1"/>
  <c r="AI112" i="1" s="1"/>
  <c r="AX112" i="1"/>
  <c r="AN112" i="1" s="1"/>
  <c r="AO113" i="1"/>
  <c r="AH114" i="1"/>
  <c r="AL113" i="1" l="1" a="1"/>
  <c r="AL113" i="1" s="1"/>
  <c r="AJ113" i="1" a="1"/>
  <c r="AJ113" i="1" s="1"/>
  <c r="AK113" i="1" a="1"/>
  <c r="AK113" i="1" s="1"/>
  <c r="AO115" i="3"/>
  <c r="AS115" i="3" s="1"/>
  <c r="AP116" i="3"/>
  <c r="Q118" i="3"/>
  <c r="P117" i="3"/>
  <c r="T117" i="3" s="1"/>
  <c r="AE116" i="3"/>
  <c r="AI116" i="3" s="1"/>
  <c r="AF117" i="3"/>
  <c r="U120" i="3"/>
  <c r="Y120" i="3" s="1"/>
  <c r="V121" i="3"/>
  <c r="AU116" i="3"/>
  <c r="AT115" i="3"/>
  <c r="AX115" i="3" s="1"/>
  <c r="AJ115" i="3"/>
  <c r="AN115" i="3" s="1"/>
  <c r="AK116" i="3"/>
  <c r="AY115" i="3"/>
  <c r="BC115" i="3" s="1"/>
  <c r="AZ116" i="3"/>
  <c r="BN114" i="3"/>
  <c r="Z115" i="3"/>
  <c r="AD115" i="3" s="1"/>
  <c r="AA116" i="3"/>
  <c r="K116" i="3"/>
  <c r="O116" i="3" s="1"/>
  <c r="L117" i="3"/>
  <c r="F115" i="3"/>
  <c r="J115" i="3" s="1"/>
  <c r="G116" i="3"/>
  <c r="C129" i="2"/>
  <c r="B129" i="2"/>
  <c r="A130" i="2"/>
  <c r="D129" i="2"/>
  <c r="AD114" i="1"/>
  <c r="AF114" i="1"/>
  <c r="AC114" i="1"/>
  <c r="AE114" i="1"/>
  <c r="Z115" i="1"/>
  <c r="AA114" i="1"/>
  <c r="AB114" i="1"/>
  <c r="AG114" i="1"/>
  <c r="AH115" i="1"/>
  <c r="AO114" i="1"/>
  <c r="AI113" i="1" a="1"/>
  <c r="AI113" i="1" s="1"/>
  <c r="AX113" i="1"/>
  <c r="AN113" i="1" s="1"/>
  <c r="AM113" i="1" a="1"/>
  <c r="AM113" i="1" s="1"/>
  <c r="AT114" i="1"/>
  <c r="AL114" i="1" s="1" a="1"/>
  <c r="AL114" i="1" s="1"/>
  <c r="AS114" i="1"/>
  <c r="AK114" i="1" s="1" a="1"/>
  <c r="AK114" i="1" s="1"/>
  <c r="AR114" i="1"/>
  <c r="AJ114" i="1" s="1" a="1"/>
  <c r="AJ114" i="1" s="1"/>
  <c r="AU114" i="1"/>
  <c r="AM114" i="1" s="1" a="1"/>
  <c r="AM114" i="1" s="1"/>
  <c r="AW114" i="1" a="1"/>
  <c r="AW114" i="1" s="1"/>
  <c r="AP115" i="1"/>
  <c r="AV114" i="1" a="1"/>
  <c r="AV114" i="1" s="1"/>
  <c r="AQ114" i="1"/>
  <c r="AP117" i="3" l="1"/>
  <c r="AO116" i="3"/>
  <c r="AS116" i="3" s="1"/>
  <c r="F116" i="3"/>
  <c r="J116" i="3" s="1"/>
  <c r="G117" i="3"/>
  <c r="AT116" i="3"/>
  <c r="AX116" i="3" s="1"/>
  <c r="AU117" i="3"/>
  <c r="L118" i="3"/>
  <c r="K117" i="3"/>
  <c r="O117" i="3" s="1"/>
  <c r="U121" i="3"/>
  <c r="Y121" i="3" s="1"/>
  <c r="V122" i="3"/>
  <c r="AA117" i="3"/>
  <c r="Z116" i="3"/>
  <c r="AD116" i="3" s="1"/>
  <c r="AE117" i="3"/>
  <c r="AI117" i="3" s="1"/>
  <c r="AF118" i="3"/>
  <c r="AY116" i="3"/>
  <c r="BC116" i="3" s="1"/>
  <c r="AZ117" i="3"/>
  <c r="BN115" i="3"/>
  <c r="AK117" i="3"/>
  <c r="AJ116" i="3"/>
  <c r="AN116" i="3" s="1"/>
  <c r="P118" i="3"/>
  <c r="T118" i="3" s="1"/>
  <c r="Q119" i="3"/>
  <c r="D130" i="2"/>
  <c r="A131" i="2"/>
  <c r="B130" i="2"/>
  <c r="C130" i="2"/>
  <c r="AX114" i="1"/>
  <c r="AI114" i="1" a="1"/>
  <c r="AI114" i="1" s="1"/>
  <c r="AH116" i="1"/>
  <c r="AO115" i="1"/>
  <c r="AU115" i="1"/>
  <c r="AS115" i="1"/>
  <c r="AP116" i="1"/>
  <c r="AT115" i="1"/>
  <c r="AL115" i="1" s="1" a="1"/>
  <c r="AL115" i="1" s="1"/>
  <c r="AV115" i="1" a="1"/>
  <c r="AV115" i="1" s="1"/>
  <c r="AW115" i="1" a="1"/>
  <c r="AW115" i="1" s="1"/>
  <c r="AQ115" i="1"/>
  <c r="AR115" i="1"/>
  <c r="AJ115" i="1" s="1" a="1"/>
  <c r="AJ115" i="1" s="1"/>
  <c r="AE115" i="1"/>
  <c r="AA115" i="1"/>
  <c r="AD115" i="1"/>
  <c r="AF115" i="1"/>
  <c r="AG115" i="1"/>
  <c r="Z116" i="1"/>
  <c r="AB115" i="1"/>
  <c r="AC115" i="1"/>
  <c r="AN114" i="1"/>
  <c r="AK115" i="1" l="1" a="1"/>
  <c r="AK115" i="1" s="1"/>
  <c r="AM115" i="1" a="1"/>
  <c r="AM115" i="1" s="1"/>
  <c r="AP118" i="3"/>
  <c r="AO117" i="3"/>
  <c r="AS117" i="3" s="1"/>
  <c r="P119" i="3"/>
  <c r="T119" i="3" s="1"/>
  <c r="Q120" i="3"/>
  <c r="AA118" i="3"/>
  <c r="Z117" i="3"/>
  <c r="AD117" i="3" s="1"/>
  <c r="U122" i="3"/>
  <c r="Y122" i="3" s="1"/>
  <c r="V123" i="3"/>
  <c r="AK118" i="3"/>
  <c r="AJ117" i="3"/>
  <c r="AN117" i="3" s="1"/>
  <c r="AZ118" i="3"/>
  <c r="AY117" i="3"/>
  <c r="BC117" i="3" s="1"/>
  <c r="K118" i="3"/>
  <c r="O118" i="3" s="1"/>
  <c r="L119" i="3"/>
  <c r="BN116" i="3"/>
  <c r="AU118" i="3"/>
  <c r="AT117" i="3"/>
  <c r="AX117" i="3" s="1"/>
  <c r="AF119" i="3"/>
  <c r="AE118" i="3"/>
  <c r="AI118" i="3" s="1"/>
  <c r="G118" i="3"/>
  <c r="F117" i="3"/>
  <c r="J117" i="3" s="1"/>
  <c r="B131" i="2"/>
  <c r="D131" i="2"/>
  <c r="C131" i="2"/>
  <c r="A132" i="2"/>
  <c r="AX115" i="1"/>
  <c r="AN115" i="1" s="1"/>
  <c r="AI115" i="1" a="1"/>
  <c r="AI115" i="1" s="1"/>
  <c r="AU116" i="1"/>
  <c r="AW116" i="1" a="1"/>
  <c r="AW116" i="1" s="1"/>
  <c r="AR116" i="1"/>
  <c r="AJ116" i="1" s="1" a="1"/>
  <c r="AJ116" i="1" s="1"/>
  <c r="AP117" i="1"/>
  <c r="AQ116" i="1"/>
  <c r="AV116" i="1" a="1"/>
  <c r="AV116" i="1" s="1"/>
  <c r="AT116" i="1"/>
  <c r="AL116" i="1" s="1" a="1"/>
  <c r="AL116" i="1" s="1"/>
  <c r="AS116" i="1"/>
  <c r="AG116" i="1"/>
  <c r="AE116" i="1"/>
  <c r="AC116" i="1"/>
  <c r="AB116" i="1"/>
  <c r="Z117" i="1"/>
  <c r="AA116" i="1"/>
  <c r="AF116" i="1"/>
  <c r="AD116" i="1"/>
  <c r="AH117" i="1"/>
  <c r="AO116" i="1"/>
  <c r="AK116" i="1" l="1" a="1"/>
  <c r="AK116" i="1" s="1"/>
  <c r="AM116" i="1" a="1"/>
  <c r="AM116" i="1" s="1"/>
  <c r="AP119" i="3"/>
  <c r="AO118" i="3"/>
  <c r="AS118" i="3" s="1"/>
  <c r="BN117" i="3"/>
  <c r="AZ119" i="3"/>
  <c r="AY118" i="3"/>
  <c r="BC118" i="3" s="1"/>
  <c r="AK119" i="3"/>
  <c r="AJ118" i="3"/>
  <c r="AN118" i="3" s="1"/>
  <c r="F118" i="3"/>
  <c r="J118" i="3" s="1"/>
  <c r="G119" i="3"/>
  <c r="V124" i="3"/>
  <c r="U123" i="3"/>
  <c r="Y123" i="3" s="1"/>
  <c r="AE119" i="3"/>
  <c r="AI119" i="3" s="1"/>
  <c r="AF120" i="3"/>
  <c r="AU119" i="3"/>
  <c r="AT118" i="3"/>
  <c r="AX118" i="3" s="1"/>
  <c r="Z118" i="3"/>
  <c r="AD118" i="3" s="1"/>
  <c r="AA119" i="3"/>
  <c r="Q121" i="3"/>
  <c r="P120" i="3"/>
  <c r="T120" i="3" s="1"/>
  <c r="K119" i="3"/>
  <c r="O119" i="3" s="1"/>
  <c r="L120" i="3"/>
  <c r="B132" i="2"/>
  <c r="A133" i="2"/>
  <c r="C132" i="2"/>
  <c r="D132" i="2"/>
  <c r="AI116" i="1" a="1"/>
  <c r="AI116" i="1" s="1"/>
  <c r="AX116" i="1"/>
  <c r="AN116" i="1" s="1"/>
  <c r="AH118" i="1"/>
  <c r="AO117" i="1"/>
  <c r="AU117" i="1"/>
  <c r="AW117" i="1" a="1"/>
  <c r="AW117" i="1" s="1"/>
  <c r="AV117" i="1" a="1"/>
  <c r="AV117" i="1" s="1"/>
  <c r="AS117" i="1"/>
  <c r="AK117" i="1" s="1" a="1"/>
  <c r="AK117" i="1" s="1"/>
  <c r="AP118" i="1"/>
  <c r="AQ117" i="1"/>
  <c r="AT117" i="1"/>
  <c r="AL117" i="1" s="1" a="1"/>
  <c r="AL117" i="1" s="1"/>
  <c r="AR117" i="1"/>
  <c r="AJ117" i="1" s="1" a="1"/>
  <c r="AJ117" i="1" s="1"/>
  <c r="Z118" i="1"/>
  <c r="AC117" i="1"/>
  <c r="AG117" i="1"/>
  <c r="AF117" i="1"/>
  <c r="AE117" i="1"/>
  <c r="AB117" i="1"/>
  <c r="AD117" i="1"/>
  <c r="AA117" i="1"/>
  <c r="AM117" i="1" l="1" a="1"/>
  <c r="AM117" i="1" s="1"/>
  <c r="AO119" i="3"/>
  <c r="AS119" i="3" s="1"/>
  <c r="AP120" i="3"/>
  <c r="K120" i="3"/>
  <c r="O120" i="3" s="1"/>
  <c r="L121" i="3"/>
  <c r="U124" i="3"/>
  <c r="Y124" i="3" s="1"/>
  <c r="V125" i="3"/>
  <c r="F119" i="3"/>
  <c r="J119" i="3" s="1"/>
  <c r="G120" i="3"/>
  <c r="P121" i="3"/>
  <c r="T121" i="3" s="1"/>
  <c r="Q122" i="3"/>
  <c r="Z119" i="3"/>
  <c r="AD119" i="3" s="1"/>
  <c r="AA120" i="3"/>
  <c r="AJ119" i="3"/>
  <c r="AN119" i="3" s="1"/>
  <c r="AK120" i="3"/>
  <c r="BN118" i="3"/>
  <c r="AT119" i="3"/>
  <c r="AX119" i="3" s="1"/>
  <c r="AU120" i="3"/>
  <c r="AZ120" i="3"/>
  <c r="AY119" i="3"/>
  <c r="BC119" i="3" s="1"/>
  <c r="AE120" i="3"/>
  <c r="AI120" i="3" s="1"/>
  <c r="AF121" i="3"/>
  <c r="D133" i="2"/>
  <c r="A134" i="2"/>
  <c r="C133" i="2"/>
  <c r="B133" i="2"/>
  <c r="AI117" i="1" a="1"/>
  <c r="AI117" i="1" s="1"/>
  <c r="AX117" i="1"/>
  <c r="AN117" i="1" s="1"/>
  <c r="AS118" i="1"/>
  <c r="AK118" i="1" s="1" a="1"/>
  <c r="AK118" i="1" s="1"/>
  <c r="AV118" i="1" a="1"/>
  <c r="AV118" i="1" s="1"/>
  <c r="AR118" i="1"/>
  <c r="AJ118" i="1" s="1" a="1"/>
  <c r="AJ118" i="1" s="1"/>
  <c r="AQ118" i="1"/>
  <c r="AT118" i="1"/>
  <c r="AU118" i="1"/>
  <c r="AP119" i="1"/>
  <c r="AW118" i="1" a="1"/>
  <c r="AW118" i="1" s="1"/>
  <c r="AH119" i="1"/>
  <c r="AO118" i="1"/>
  <c r="AA118" i="1"/>
  <c r="AC118" i="1"/>
  <c r="AD118" i="1"/>
  <c r="AG118" i="1"/>
  <c r="AE118" i="1"/>
  <c r="Z119" i="1"/>
  <c r="AF118" i="1"/>
  <c r="AB118" i="1"/>
  <c r="AL118" i="1" l="1" a="1"/>
  <c r="AL118" i="1" s="1"/>
  <c r="AM118" i="1" a="1"/>
  <c r="AM118" i="1" s="1"/>
  <c r="AP121" i="3"/>
  <c r="AO120" i="3"/>
  <c r="AS120" i="3" s="1"/>
  <c r="Q123" i="3"/>
  <c r="P122" i="3"/>
  <c r="T122" i="3" s="1"/>
  <c r="AF122" i="3"/>
  <c r="AE121" i="3"/>
  <c r="AI121" i="3" s="1"/>
  <c r="BN119" i="3"/>
  <c r="G121" i="3"/>
  <c r="F120" i="3"/>
  <c r="J120" i="3" s="1"/>
  <c r="AU121" i="3"/>
  <c r="AT120" i="3"/>
  <c r="AX120" i="3" s="1"/>
  <c r="V126" i="3"/>
  <c r="U125" i="3"/>
  <c r="Y125" i="3" s="1"/>
  <c r="AZ121" i="3"/>
  <c r="AY120" i="3"/>
  <c r="BC120" i="3" s="1"/>
  <c r="AK121" i="3"/>
  <c r="AJ120" i="3"/>
  <c r="AN120" i="3" s="1"/>
  <c r="K121" i="3"/>
  <c r="O121" i="3" s="1"/>
  <c r="L122" i="3"/>
  <c r="Z120" i="3"/>
  <c r="AD120" i="3" s="1"/>
  <c r="AA121" i="3"/>
  <c r="B134" i="2"/>
  <c r="C134" i="2"/>
  <c r="A135" i="2"/>
  <c r="D134" i="2"/>
  <c r="AH120" i="1"/>
  <c r="AO119" i="1"/>
  <c r="AG119" i="1"/>
  <c r="AF119" i="1"/>
  <c r="AE119" i="1"/>
  <c r="AC119" i="1"/>
  <c r="Z120" i="1"/>
  <c r="AD119" i="1"/>
  <c r="AA119" i="1"/>
  <c r="AB119" i="1"/>
  <c r="AQ119" i="1"/>
  <c r="AP120" i="1"/>
  <c r="AT119" i="1"/>
  <c r="AL119" i="1" s="1" a="1"/>
  <c r="AL119" i="1" s="1"/>
  <c r="AU119" i="1"/>
  <c r="AM119" i="1" s="1" a="1"/>
  <c r="AM119" i="1" s="1"/>
  <c r="AS119" i="1"/>
  <c r="AW119" i="1" a="1"/>
  <c r="AW119" i="1" s="1"/>
  <c r="AV119" i="1" a="1"/>
  <c r="AV119" i="1" s="1"/>
  <c r="AR119" i="1"/>
  <c r="AJ119" i="1" s="1" a="1"/>
  <c r="AJ119" i="1" s="1"/>
  <c r="AX118" i="1"/>
  <c r="AN118" i="1" s="1"/>
  <c r="AI118" i="1" a="1"/>
  <c r="AI118" i="1" s="1"/>
  <c r="AK119" i="1" l="1" a="1"/>
  <c r="AK119" i="1" s="1"/>
  <c r="AO121" i="3"/>
  <c r="AS121" i="3" s="1"/>
  <c r="AP122" i="3"/>
  <c r="AA122" i="3"/>
  <c r="Z121" i="3"/>
  <c r="AD121" i="3" s="1"/>
  <c r="AU122" i="3"/>
  <c r="AT121" i="3"/>
  <c r="AX121" i="3" s="1"/>
  <c r="K122" i="3"/>
  <c r="O122" i="3" s="1"/>
  <c r="L123" i="3"/>
  <c r="F121" i="3"/>
  <c r="J121" i="3" s="1"/>
  <c r="G122" i="3"/>
  <c r="AJ121" i="3"/>
  <c r="AN121" i="3" s="1"/>
  <c r="AK122" i="3"/>
  <c r="BN120" i="3"/>
  <c r="AF123" i="3"/>
  <c r="AE122" i="3"/>
  <c r="AI122" i="3" s="1"/>
  <c r="AZ122" i="3"/>
  <c r="AY121" i="3"/>
  <c r="BC121" i="3" s="1"/>
  <c r="P123" i="3"/>
  <c r="T123" i="3" s="1"/>
  <c r="Q124" i="3"/>
  <c r="V127" i="3"/>
  <c r="U126" i="3"/>
  <c r="Y126" i="3" s="1"/>
  <c r="A136" i="2"/>
  <c r="C135" i="2"/>
  <c r="B135" i="2"/>
  <c r="D135" i="2"/>
  <c r="AX119" i="1"/>
  <c r="AN119" i="1" s="1"/>
  <c r="AI119" i="1" a="1"/>
  <c r="AI119" i="1" s="1"/>
  <c r="Z121" i="1"/>
  <c r="AG120" i="1"/>
  <c r="AD120" i="1"/>
  <c r="AE120" i="1"/>
  <c r="AA120" i="1"/>
  <c r="AB120" i="1"/>
  <c r="AF120" i="1"/>
  <c r="AC120" i="1"/>
  <c r="AS120" i="1"/>
  <c r="AP121" i="1"/>
  <c r="AT120" i="1"/>
  <c r="AQ120" i="1"/>
  <c r="AW120" i="1" a="1"/>
  <c r="AW120" i="1" s="1"/>
  <c r="AR120" i="1"/>
  <c r="AJ120" i="1" s="1" a="1"/>
  <c r="AJ120" i="1" s="1"/>
  <c r="AU120" i="1"/>
  <c r="AM120" i="1" s="1" a="1"/>
  <c r="AM120" i="1" s="1"/>
  <c r="AV120" i="1" a="1"/>
  <c r="AV120" i="1" s="1"/>
  <c r="AH121" i="1"/>
  <c r="AO120" i="1"/>
  <c r="AK120" i="1" l="1" a="1"/>
  <c r="AK120" i="1" s="1"/>
  <c r="AL120" i="1" a="1"/>
  <c r="AL120" i="1" s="1"/>
  <c r="AP123" i="3"/>
  <c r="AO122" i="3"/>
  <c r="AS122" i="3" s="1"/>
  <c r="AJ122" i="3"/>
  <c r="AN122" i="3" s="1"/>
  <c r="AK123" i="3"/>
  <c r="F122" i="3"/>
  <c r="J122" i="3" s="1"/>
  <c r="G123" i="3"/>
  <c r="U127" i="3"/>
  <c r="Y127" i="3" s="1"/>
  <c r="V128" i="3"/>
  <c r="P124" i="3"/>
  <c r="T124" i="3" s="1"/>
  <c r="Q125" i="3"/>
  <c r="K123" i="3"/>
  <c r="O123" i="3" s="1"/>
  <c r="L124" i="3"/>
  <c r="BN121" i="3"/>
  <c r="AY122" i="3"/>
  <c r="BC122" i="3" s="1"/>
  <c r="AZ123" i="3"/>
  <c r="AU123" i="3"/>
  <c r="AT122" i="3"/>
  <c r="AX122" i="3" s="1"/>
  <c r="AF124" i="3"/>
  <c r="AE123" i="3"/>
  <c r="AI123" i="3" s="1"/>
  <c r="Z122" i="3"/>
  <c r="AD122" i="3" s="1"/>
  <c r="AA123" i="3"/>
  <c r="A137" i="2"/>
  <c r="B136" i="2"/>
  <c r="C136" i="2"/>
  <c r="D136" i="2"/>
  <c r="AO121" i="1"/>
  <c r="AH122" i="1"/>
  <c r="Z122" i="1"/>
  <c r="AB121" i="1"/>
  <c r="AC121" i="1"/>
  <c r="AA121" i="1"/>
  <c r="AF121" i="1"/>
  <c r="AD121" i="1"/>
  <c r="AG121" i="1"/>
  <c r="AE121" i="1"/>
  <c r="AX120" i="1"/>
  <c r="AN120" i="1" s="1"/>
  <c r="AI120" i="1" a="1"/>
  <c r="AI120" i="1" s="1"/>
  <c r="AW121" i="1" a="1"/>
  <c r="AW121" i="1" s="1"/>
  <c r="AU121" i="1"/>
  <c r="AT121" i="1"/>
  <c r="AL121" i="1" s="1" a="1"/>
  <c r="AL121" i="1" s="1"/>
  <c r="AV121" i="1" a="1"/>
  <c r="AV121" i="1" s="1"/>
  <c r="AR121" i="1"/>
  <c r="AJ121" i="1" s="1" a="1"/>
  <c r="AJ121" i="1" s="1"/>
  <c r="AS121" i="1"/>
  <c r="AK121" i="1" s="1" a="1"/>
  <c r="AK121" i="1" s="1"/>
  <c r="AP122" i="1"/>
  <c r="AQ121" i="1"/>
  <c r="AM121" i="1" l="1" a="1"/>
  <c r="AM121" i="1" s="1"/>
  <c r="AO123" i="3"/>
  <c r="AS123" i="3" s="1"/>
  <c r="AP124" i="3"/>
  <c r="P125" i="3"/>
  <c r="T125" i="3" s="1"/>
  <c r="Q126" i="3"/>
  <c r="AA124" i="3"/>
  <c r="Z123" i="3"/>
  <c r="AD123" i="3" s="1"/>
  <c r="V129" i="3"/>
  <c r="U128" i="3"/>
  <c r="Y128" i="3" s="1"/>
  <c r="AE124" i="3"/>
  <c r="AI124" i="3" s="1"/>
  <c r="AF125" i="3"/>
  <c r="G124" i="3"/>
  <c r="F123" i="3"/>
  <c r="J123" i="3" s="1"/>
  <c r="AT123" i="3"/>
  <c r="AX123" i="3" s="1"/>
  <c r="AU124" i="3"/>
  <c r="AZ124" i="3"/>
  <c r="AY123" i="3"/>
  <c r="BC123" i="3" s="1"/>
  <c r="BN122" i="3"/>
  <c r="L125" i="3"/>
  <c r="K124" i="3"/>
  <c r="O124" i="3" s="1"/>
  <c r="AK124" i="3"/>
  <c r="AJ123" i="3"/>
  <c r="AN123" i="3" s="1"/>
  <c r="C137" i="2"/>
  <c r="D137" i="2"/>
  <c r="A138" i="2"/>
  <c r="B137" i="2"/>
  <c r="AX121" i="1"/>
  <c r="AI121" i="1" a="1"/>
  <c r="AI121" i="1" s="1"/>
  <c r="AV122" i="1" a="1"/>
  <c r="AV122" i="1" s="1"/>
  <c r="AU122" i="1"/>
  <c r="AP123" i="1"/>
  <c r="AT122" i="1"/>
  <c r="AL122" i="1" s="1" a="1"/>
  <c r="AL122" i="1" s="1"/>
  <c r="AQ122" i="1"/>
  <c r="AS122" i="1"/>
  <c r="AK122" i="1" s="1" a="1"/>
  <c r="AK122" i="1" s="1"/>
  <c r="AR122" i="1"/>
  <c r="AJ122" i="1" s="1" a="1"/>
  <c r="AJ122" i="1" s="1"/>
  <c r="AW122" i="1" a="1"/>
  <c r="AW122" i="1" s="1"/>
  <c r="Z123" i="1"/>
  <c r="AE122" i="1"/>
  <c r="AF122" i="1"/>
  <c r="AB122" i="1"/>
  <c r="AD122" i="1"/>
  <c r="AC122" i="1"/>
  <c r="AG122" i="1"/>
  <c r="AA122" i="1"/>
  <c r="AN121" i="1"/>
  <c r="AH123" i="1"/>
  <c r="AO122" i="1"/>
  <c r="AM122" i="1" l="1" a="1"/>
  <c r="AM122" i="1" s="1"/>
  <c r="AO124" i="3"/>
  <c r="AS124" i="3" s="1"/>
  <c r="AP125" i="3"/>
  <c r="AJ124" i="3"/>
  <c r="AN124" i="3" s="1"/>
  <c r="AK125" i="3"/>
  <c r="F124" i="3"/>
  <c r="J124" i="3" s="1"/>
  <c r="G125" i="3"/>
  <c r="AF126" i="3"/>
  <c r="AE125" i="3"/>
  <c r="AI125" i="3" s="1"/>
  <c r="L126" i="3"/>
  <c r="K125" i="3"/>
  <c r="O125" i="3" s="1"/>
  <c r="V130" i="3"/>
  <c r="U129" i="3"/>
  <c r="Y129" i="3" s="1"/>
  <c r="BN123" i="3"/>
  <c r="AZ125" i="3"/>
  <c r="AY124" i="3"/>
  <c r="BC124" i="3" s="1"/>
  <c r="AA125" i="3"/>
  <c r="Z124" i="3"/>
  <c r="AD124" i="3" s="1"/>
  <c r="AU125" i="3"/>
  <c r="AT124" i="3"/>
  <c r="AX124" i="3" s="1"/>
  <c r="Q127" i="3"/>
  <c r="P126" i="3"/>
  <c r="T126" i="3" s="1"/>
  <c r="C138" i="2"/>
  <c r="A139" i="2"/>
  <c r="D138" i="2"/>
  <c r="B138" i="2"/>
  <c r="AD123" i="1"/>
  <c r="AG123" i="1"/>
  <c r="Z124" i="1"/>
  <c r="AC123" i="1"/>
  <c r="AB123" i="1"/>
  <c r="AA123" i="1"/>
  <c r="AE123" i="1"/>
  <c r="AF123" i="1"/>
  <c r="AX122" i="1"/>
  <c r="AN122" i="1" s="1"/>
  <c r="AI122" i="1" a="1"/>
  <c r="AI122" i="1" s="1"/>
  <c r="AU123" i="1"/>
  <c r="AM123" i="1" s="1" a="1"/>
  <c r="AM123" i="1" s="1"/>
  <c r="AT123" i="1"/>
  <c r="AR123" i="1"/>
  <c r="AJ123" i="1" s="1" a="1"/>
  <c r="AJ123" i="1" s="1"/>
  <c r="AW123" i="1" a="1"/>
  <c r="AW123" i="1" s="1"/>
  <c r="AQ123" i="1"/>
  <c r="AV123" i="1" a="1"/>
  <c r="AV123" i="1" s="1"/>
  <c r="AS123" i="1"/>
  <c r="AK123" i="1" s="1" a="1"/>
  <c r="AK123" i="1" s="1"/>
  <c r="AP124" i="1"/>
  <c r="AO123" i="1"/>
  <c r="AH124" i="1"/>
  <c r="AL123" i="1" l="1" a="1"/>
  <c r="AL123" i="1" s="1"/>
  <c r="AP126" i="3"/>
  <c r="AO125" i="3"/>
  <c r="AS125" i="3" s="1"/>
  <c r="U130" i="3"/>
  <c r="Y130" i="3" s="1"/>
  <c r="V131" i="3"/>
  <c r="Q128" i="3"/>
  <c r="P127" i="3"/>
  <c r="T127" i="3" s="1"/>
  <c r="AU126" i="3"/>
  <c r="AT125" i="3"/>
  <c r="AX125" i="3" s="1"/>
  <c r="L127" i="3"/>
  <c r="K126" i="3"/>
  <c r="O126" i="3" s="1"/>
  <c r="Z125" i="3"/>
  <c r="AD125" i="3" s="1"/>
  <c r="AA126" i="3"/>
  <c r="AF127" i="3"/>
  <c r="AE126" i="3"/>
  <c r="AI126" i="3" s="1"/>
  <c r="BN124" i="3"/>
  <c r="AY125" i="3"/>
  <c r="BC125" i="3" s="1"/>
  <c r="AZ126" i="3"/>
  <c r="F125" i="3"/>
  <c r="J125" i="3" s="1"/>
  <c r="G126" i="3"/>
  <c r="AJ125" i="3"/>
  <c r="AN125" i="3" s="1"/>
  <c r="AK126" i="3"/>
  <c r="A140" i="2"/>
  <c r="C139" i="2"/>
  <c r="B139" i="2"/>
  <c r="D139" i="2"/>
  <c r="AO124" i="1"/>
  <c r="AH125" i="1"/>
  <c r="AV124" i="1" a="1"/>
  <c r="AV124" i="1" s="1"/>
  <c r="AW124" i="1" a="1"/>
  <c r="AW124" i="1" s="1"/>
  <c r="AT124" i="1"/>
  <c r="AL124" i="1" s="1" a="1"/>
  <c r="AL124" i="1" s="1"/>
  <c r="AP125" i="1"/>
  <c r="AR124" i="1"/>
  <c r="AJ124" i="1" s="1" a="1"/>
  <c r="AJ124" i="1" s="1"/>
  <c r="AU124" i="1"/>
  <c r="AS124" i="1"/>
  <c r="AK124" i="1" s="1" a="1"/>
  <c r="AK124" i="1" s="1"/>
  <c r="AQ124" i="1"/>
  <c r="AX123" i="1"/>
  <c r="AN123" i="1" s="1"/>
  <c r="AI123" i="1" a="1"/>
  <c r="AI123" i="1" s="1"/>
  <c r="AG124" i="1"/>
  <c r="AD124" i="1"/>
  <c r="Z125" i="1"/>
  <c r="AB124" i="1"/>
  <c r="AA124" i="1"/>
  <c r="AC124" i="1"/>
  <c r="AF124" i="1"/>
  <c r="AE124" i="1"/>
  <c r="AM124" i="1" l="1" a="1"/>
  <c r="AM124" i="1" s="1"/>
  <c r="AO126" i="3"/>
  <c r="AS126" i="3" s="1"/>
  <c r="AP127" i="3"/>
  <c r="AJ126" i="3"/>
  <c r="AN126" i="3" s="1"/>
  <c r="AK127" i="3"/>
  <c r="K127" i="3"/>
  <c r="O127" i="3" s="1"/>
  <c r="L128" i="3"/>
  <c r="G127" i="3"/>
  <c r="F126" i="3"/>
  <c r="J126" i="3" s="1"/>
  <c r="AT126" i="3"/>
  <c r="AX126" i="3" s="1"/>
  <c r="AU127" i="3"/>
  <c r="AZ127" i="3"/>
  <c r="AY126" i="3"/>
  <c r="BC126" i="3" s="1"/>
  <c r="Q129" i="3"/>
  <c r="P128" i="3"/>
  <c r="T128" i="3" s="1"/>
  <c r="BN125" i="3"/>
  <c r="AF128" i="3"/>
  <c r="AE127" i="3"/>
  <c r="AI127" i="3" s="1"/>
  <c r="V132" i="3"/>
  <c r="U131" i="3"/>
  <c r="Y131" i="3" s="1"/>
  <c r="AA127" i="3"/>
  <c r="Z126" i="3"/>
  <c r="AD126" i="3" s="1"/>
  <c r="A141" i="2"/>
  <c r="C140" i="2"/>
  <c r="D140" i="2"/>
  <c r="B140" i="2"/>
  <c r="AX124" i="1"/>
  <c r="AN124" i="1" s="1"/>
  <c r="AI124" i="1" a="1"/>
  <c r="AI124" i="1" s="1"/>
  <c r="AP126" i="1"/>
  <c r="AQ125" i="1"/>
  <c r="AV125" i="1" a="1"/>
  <c r="AV125" i="1" s="1"/>
  <c r="AU125" i="1"/>
  <c r="AS125" i="1"/>
  <c r="AK125" i="1" s="1" a="1"/>
  <c r="AK125" i="1" s="1"/>
  <c r="AT125" i="1"/>
  <c r="AL125" i="1" s="1" a="1"/>
  <c r="AL125" i="1" s="1"/>
  <c r="AR125" i="1"/>
  <c r="AW125" i="1" a="1"/>
  <c r="AW125" i="1" s="1"/>
  <c r="AE125" i="1"/>
  <c r="AF125" i="1"/>
  <c r="AC125" i="1"/>
  <c r="AG125" i="1"/>
  <c r="AA125" i="1"/>
  <c r="AD125" i="1"/>
  <c r="Z126" i="1"/>
  <c r="AB125" i="1"/>
  <c r="AO125" i="1"/>
  <c r="AH126" i="1"/>
  <c r="AM125" i="1" l="1" a="1"/>
  <c r="AM125" i="1" s="1"/>
  <c r="AJ125" i="1" a="1"/>
  <c r="AJ125" i="1" s="1"/>
  <c r="AP128" i="3"/>
  <c r="AO127" i="3"/>
  <c r="AS127" i="3" s="1"/>
  <c r="P129" i="3"/>
  <c r="T129" i="3" s="1"/>
  <c r="Q130" i="3"/>
  <c r="BN126" i="3"/>
  <c r="AA128" i="3"/>
  <c r="Z127" i="3"/>
  <c r="AD127" i="3" s="1"/>
  <c r="AY127" i="3"/>
  <c r="BC127" i="3" s="1"/>
  <c r="AZ128" i="3"/>
  <c r="AU128" i="3"/>
  <c r="AT127" i="3"/>
  <c r="AX127" i="3" s="1"/>
  <c r="F127" i="3"/>
  <c r="J127" i="3" s="1"/>
  <c r="G128" i="3"/>
  <c r="AE128" i="3"/>
  <c r="AI128" i="3" s="1"/>
  <c r="AF129" i="3"/>
  <c r="K128" i="3"/>
  <c r="O128" i="3" s="1"/>
  <c r="L129" i="3"/>
  <c r="AK128" i="3"/>
  <c r="AJ127" i="3"/>
  <c r="AN127" i="3" s="1"/>
  <c r="U132" i="3"/>
  <c r="Y132" i="3" s="1"/>
  <c r="V133" i="3"/>
  <c r="D141" i="2"/>
  <c r="C141" i="2"/>
  <c r="B141" i="2"/>
  <c r="A142" i="2"/>
  <c r="AI125" i="1" a="1"/>
  <c r="AI125" i="1" s="1"/>
  <c r="AX125" i="1"/>
  <c r="AN125" i="1" s="1"/>
  <c r="AO126" i="1"/>
  <c r="AH127" i="1"/>
  <c r="AV126" i="1" a="1"/>
  <c r="AV126" i="1" s="1"/>
  <c r="AU126" i="1"/>
  <c r="AQ126" i="1"/>
  <c r="AR126" i="1"/>
  <c r="AS126" i="1"/>
  <c r="AK126" i="1" s="1" a="1"/>
  <c r="AK126" i="1" s="1"/>
  <c r="AT126" i="1"/>
  <c r="AL126" i="1" s="1" a="1"/>
  <c r="AL126" i="1" s="1"/>
  <c r="AP127" i="1"/>
  <c r="AW126" i="1" a="1"/>
  <c r="AW126" i="1" s="1"/>
  <c r="AC126" i="1"/>
  <c r="AG126" i="1"/>
  <c r="AE126" i="1"/>
  <c r="AD126" i="1"/>
  <c r="AF126" i="1"/>
  <c r="AA126" i="1"/>
  <c r="Z127" i="1"/>
  <c r="AB126" i="1"/>
  <c r="AM126" i="1" l="1" a="1"/>
  <c r="AM126" i="1" s="1"/>
  <c r="AJ126" i="1" a="1"/>
  <c r="AJ126" i="1" s="1"/>
  <c r="AO128" i="3"/>
  <c r="AS128" i="3" s="1"/>
  <c r="AP129" i="3"/>
  <c r="F128" i="3"/>
  <c r="J128" i="3" s="1"/>
  <c r="G129" i="3"/>
  <c r="V134" i="3"/>
  <c r="U133" i="3"/>
  <c r="Y133" i="3" s="1"/>
  <c r="AT128" i="3"/>
  <c r="AX128" i="3" s="1"/>
  <c r="AU129" i="3"/>
  <c r="AK129" i="3"/>
  <c r="AJ128" i="3"/>
  <c r="AN128" i="3" s="1"/>
  <c r="AY128" i="3"/>
  <c r="BC128" i="3" s="1"/>
  <c r="AZ129" i="3"/>
  <c r="L130" i="3"/>
  <c r="K129" i="3"/>
  <c r="O129" i="3" s="1"/>
  <c r="BN127" i="3"/>
  <c r="Z128" i="3"/>
  <c r="AD128" i="3" s="1"/>
  <c r="AA129" i="3"/>
  <c r="AF130" i="3"/>
  <c r="AE129" i="3"/>
  <c r="AI129" i="3" s="1"/>
  <c r="Q131" i="3"/>
  <c r="P130" i="3"/>
  <c r="T130" i="3" s="1"/>
  <c r="A143" i="2"/>
  <c r="B142" i="2"/>
  <c r="C142" i="2"/>
  <c r="D142" i="2"/>
  <c r="AX126" i="1"/>
  <c r="AN126" i="1" s="1"/>
  <c r="AI126" i="1" a="1"/>
  <c r="AI126" i="1" s="1"/>
  <c r="AH128" i="1"/>
  <c r="AO127" i="1"/>
  <c r="Z128" i="1"/>
  <c r="AC127" i="1"/>
  <c r="AE127" i="1"/>
  <c r="AA127" i="1"/>
  <c r="AD127" i="1"/>
  <c r="AB127" i="1"/>
  <c r="AG127" i="1"/>
  <c r="AF127" i="1"/>
  <c r="AW127" i="1" a="1"/>
  <c r="AW127" i="1" s="1"/>
  <c r="AR127" i="1"/>
  <c r="AT127" i="1"/>
  <c r="AS127" i="1"/>
  <c r="AQ127" i="1"/>
  <c r="AU127" i="1"/>
  <c r="AV127" i="1" a="1"/>
  <c r="AV127" i="1" s="1"/>
  <c r="AP128" i="1"/>
  <c r="AJ127" i="1" l="1" a="1"/>
  <c r="AJ127" i="1" s="1"/>
  <c r="AM127" i="1" a="1"/>
  <c r="AM127" i="1" s="1"/>
  <c r="AK127" i="1" a="1"/>
  <c r="AK127" i="1" s="1"/>
  <c r="AL127" i="1" a="1"/>
  <c r="AL127" i="1" s="1"/>
  <c r="AP130" i="3"/>
  <c r="AO129" i="3"/>
  <c r="AS129" i="3" s="1"/>
  <c r="AY129" i="3"/>
  <c r="BC129" i="3" s="1"/>
  <c r="AZ130" i="3"/>
  <c r="BN128" i="3"/>
  <c r="P131" i="3"/>
  <c r="T131" i="3" s="1"/>
  <c r="Q132" i="3"/>
  <c r="AJ129" i="3"/>
  <c r="AN129" i="3" s="1"/>
  <c r="AK130" i="3"/>
  <c r="AF131" i="3"/>
  <c r="AE130" i="3"/>
  <c r="AI130" i="3" s="1"/>
  <c r="AU130" i="3"/>
  <c r="AT129" i="3"/>
  <c r="AX129" i="3" s="1"/>
  <c r="Z129" i="3"/>
  <c r="AD129" i="3" s="1"/>
  <c r="AA130" i="3"/>
  <c r="U134" i="3"/>
  <c r="Y134" i="3" s="1"/>
  <c r="V135" i="3"/>
  <c r="F129" i="3"/>
  <c r="J129" i="3" s="1"/>
  <c r="G130" i="3"/>
  <c r="L131" i="3"/>
  <c r="K130" i="3"/>
  <c r="O130" i="3" s="1"/>
  <c r="D143" i="2"/>
  <c r="A144" i="2"/>
  <c r="B143" i="2"/>
  <c r="C143" i="2"/>
  <c r="AT128" i="1"/>
  <c r="AL128" i="1" s="1" a="1"/>
  <c r="AL128" i="1" s="1"/>
  <c r="AR128" i="1"/>
  <c r="AQ128" i="1"/>
  <c r="AS128" i="1"/>
  <c r="AU128" i="1"/>
  <c r="AW128" i="1" a="1"/>
  <c r="AW128" i="1" s="1"/>
  <c r="AP129" i="1"/>
  <c r="AV128" i="1" a="1"/>
  <c r="AV128" i="1" s="1"/>
  <c r="AX127" i="1"/>
  <c r="AI127" i="1" a="1"/>
  <c r="AI127" i="1" s="1"/>
  <c r="AC128" i="1"/>
  <c r="AG128" i="1"/>
  <c r="AD128" i="1"/>
  <c r="Z129" i="1"/>
  <c r="AF128" i="1"/>
  <c r="AA128" i="1"/>
  <c r="AE128" i="1"/>
  <c r="AB128" i="1"/>
  <c r="AO128" i="1"/>
  <c r="AH129" i="1"/>
  <c r="AN127" i="1"/>
  <c r="AM128" i="1" l="1" a="1"/>
  <c r="AM128" i="1" s="1"/>
  <c r="AK128" i="1" a="1"/>
  <c r="AK128" i="1" s="1"/>
  <c r="AJ128" i="1" a="1"/>
  <c r="AJ128" i="1" s="1"/>
  <c r="AP131" i="3"/>
  <c r="AO130" i="3"/>
  <c r="AS130" i="3" s="1"/>
  <c r="AT130" i="3"/>
  <c r="AX130" i="3" s="1"/>
  <c r="AU131" i="3"/>
  <c r="L132" i="3"/>
  <c r="K131" i="3"/>
  <c r="O131" i="3" s="1"/>
  <c r="F130" i="3"/>
  <c r="J130" i="3" s="1"/>
  <c r="G131" i="3"/>
  <c r="AE131" i="3"/>
  <c r="AI131" i="3" s="1"/>
  <c r="AF132" i="3"/>
  <c r="AK131" i="3"/>
  <c r="AJ130" i="3"/>
  <c r="AN130" i="3" s="1"/>
  <c r="U135" i="3"/>
  <c r="Y135" i="3" s="1"/>
  <c r="V136" i="3"/>
  <c r="P132" i="3"/>
  <c r="T132" i="3" s="1"/>
  <c r="Q133" i="3"/>
  <c r="Z130" i="3"/>
  <c r="AD130" i="3" s="1"/>
  <c r="AA131" i="3"/>
  <c r="AZ131" i="3"/>
  <c r="AY130" i="3"/>
  <c r="BC130" i="3" s="1"/>
  <c r="BN129" i="3"/>
  <c r="B144" i="2"/>
  <c r="D144" i="2"/>
  <c r="C144" i="2"/>
  <c r="A145" i="2"/>
  <c r="AG129" i="1"/>
  <c r="AE129" i="1"/>
  <c r="AC129" i="1"/>
  <c r="AF129" i="1"/>
  <c r="Z130" i="1"/>
  <c r="AA129" i="1"/>
  <c r="AD129" i="1"/>
  <c r="AB129" i="1"/>
  <c r="AH130" i="1"/>
  <c r="AO129" i="1"/>
  <c r="AV129" i="1" a="1"/>
  <c r="AV129" i="1" s="1"/>
  <c r="AU129" i="1"/>
  <c r="AP130" i="1"/>
  <c r="AT129" i="1"/>
  <c r="AQ129" i="1"/>
  <c r="AS129" i="1"/>
  <c r="AK129" i="1" s="1" a="1"/>
  <c r="AK129" i="1" s="1"/>
  <c r="AR129" i="1"/>
  <c r="AW129" i="1" a="1"/>
  <c r="AW129" i="1" s="1"/>
  <c r="AX128" i="1"/>
  <c r="AN128" i="1" s="1"/>
  <c r="AI128" i="1" a="1"/>
  <c r="AI128" i="1" s="1"/>
  <c r="AL129" i="1" l="1" a="1"/>
  <c r="AL129" i="1" s="1"/>
  <c r="AM129" i="1" a="1"/>
  <c r="AM129" i="1" s="1"/>
  <c r="AJ129" i="1" a="1"/>
  <c r="AJ129" i="1" s="1"/>
  <c r="AP132" i="3"/>
  <c r="AO131" i="3"/>
  <c r="AS131" i="3" s="1"/>
  <c r="AK132" i="3"/>
  <c r="AJ131" i="3"/>
  <c r="AN131" i="3" s="1"/>
  <c r="AE132" i="3"/>
  <c r="AI132" i="3" s="1"/>
  <c r="AF133" i="3"/>
  <c r="BN130" i="3"/>
  <c r="AY131" i="3"/>
  <c r="BC131" i="3" s="1"/>
  <c r="AZ132" i="3"/>
  <c r="F131" i="3"/>
  <c r="J131" i="3" s="1"/>
  <c r="G132" i="3"/>
  <c r="AA132" i="3"/>
  <c r="Z131" i="3"/>
  <c r="AD131" i="3" s="1"/>
  <c r="Q134" i="3"/>
  <c r="P133" i="3"/>
  <c r="T133" i="3" s="1"/>
  <c r="K132" i="3"/>
  <c r="O132" i="3" s="1"/>
  <c r="L133" i="3"/>
  <c r="V137" i="3"/>
  <c r="U136" i="3"/>
  <c r="Y136" i="3" s="1"/>
  <c r="AT131" i="3"/>
  <c r="AX131" i="3" s="1"/>
  <c r="AU132" i="3"/>
  <c r="C145" i="2"/>
  <c r="A146" i="2"/>
  <c r="D145" i="2"/>
  <c r="B145" i="2"/>
  <c r="AH131" i="1"/>
  <c r="AO130" i="1"/>
  <c r="AA130" i="1"/>
  <c r="AB130" i="1"/>
  <c r="Z131" i="1"/>
  <c r="AD130" i="1"/>
  <c r="AF130" i="1"/>
  <c r="AG130" i="1"/>
  <c r="AC130" i="1"/>
  <c r="AE130" i="1"/>
  <c r="AI129" i="1" a="1"/>
  <c r="AI129" i="1" s="1"/>
  <c r="AX129" i="1"/>
  <c r="AN129" i="1" s="1"/>
  <c r="AS130" i="1"/>
  <c r="AW130" i="1" a="1"/>
  <c r="AW130" i="1" s="1"/>
  <c r="AQ130" i="1"/>
  <c r="AT130" i="1"/>
  <c r="AL130" i="1" s="1" a="1"/>
  <c r="AL130" i="1" s="1"/>
  <c r="AR130" i="1"/>
  <c r="AV130" i="1" a="1"/>
  <c r="AV130" i="1" s="1"/>
  <c r="AU130" i="1"/>
  <c r="AP131" i="1"/>
  <c r="AM130" i="1" l="1" a="1"/>
  <c r="AM130" i="1" s="1"/>
  <c r="AJ130" i="1" a="1"/>
  <c r="AJ130" i="1" s="1"/>
  <c r="AK130" i="1" a="1"/>
  <c r="AK130" i="1" s="1"/>
  <c r="AO132" i="3"/>
  <c r="AS132" i="3" s="1"/>
  <c r="AP133" i="3"/>
  <c r="AA133" i="3"/>
  <c r="Z132" i="3"/>
  <c r="AD132" i="3" s="1"/>
  <c r="AT132" i="3"/>
  <c r="AX132" i="3" s="1"/>
  <c r="AU133" i="3"/>
  <c r="F132" i="3"/>
  <c r="J132" i="3" s="1"/>
  <c r="G133" i="3"/>
  <c r="AZ133" i="3"/>
  <c r="AY132" i="3"/>
  <c r="BC132" i="3" s="1"/>
  <c r="BN131" i="3"/>
  <c r="U137" i="3"/>
  <c r="Y137" i="3" s="1"/>
  <c r="V138" i="3"/>
  <c r="L134" i="3"/>
  <c r="K133" i="3"/>
  <c r="O133" i="3" s="1"/>
  <c r="AF134" i="3"/>
  <c r="AE133" i="3"/>
  <c r="AI133" i="3" s="1"/>
  <c r="P134" i="3"/>
  <c r="T134" i="3" s="1"/>
  <c r="Q135" i="3"/>
  <c r="AK133" i="3"/>
  <c r="AJ132" i="3"/>
  <c r="AN132" i="3" s="1"/>
  <c r="A147" i="2"/>
  <c r="B146" i="2"/>
  <c r="D146" i="2"/>
  <c r="C146" i="2"/>
  <c r="AS131" i="1"/>
  <c r="AK131" i="1" s="1" a="1"/>
  <c r="AK131" i="1" s="1"/>
  <c r="AT131" i="1"/>
  <c r="AR131" i="1"/>
  <c r="AQ131" i="1"/>
  <c r="AV131" i="1" a="1"/>
  <c r="AV131" i="1" s="1"/>
  <c r="AU131" i="1"/>
  <c r="AM131" i="1" s="1" a="1"/>
  <c r="AM131" i="1" s="1"/>
  <c r="AW131" i="1" a="1"/>
  <c r="AW131" i="1" s="1"/>
  <c r="AP132" i="1"/>
  <c r="Z132" i="1"/>
  <c r="AF131" i="1"/>
  <c r="AG131" i="1"/>
  <c r="AE131" i="1"/>
  <c r="AC131" i="1"/>
  <c r="AA131" i="1"/>
  <c r="AB131" i="1"/>
  <c r="AD131" i="1"/>
  <c r="AI130" i="1" a="1"/>
  <c r="AI130" i="1" s="1"/>
  <c r="AX130" i="1"/>
  <c r="AN130" i="1" s="1"/>
  <c r="AO131" i="1"/>
  <c r="AH132" i="1"/>
  <c r="AJ131" i="1" l="1" a="1"/>
  <c r="AJ131" i="1" s="1"/>
  <c r="AL131" i="1" a="1"/>
  <c r="AL131" i="1" s="1"/>
  <c r="AO133" i="3"/>
  <c r="AS133" i="3" s="1"/>
  <c r="AP134" i="3"/>
  <c r="K134" i="3"/>
  <c r="O134" i="3" s="1"/>
  <c r="L135" i="3"/>
  <c r="BN132" i="3"/>
  <c r="AK134" i="3"/>
  <c r="AJ133" i="3"/>
  <c r="AN133" i="3" s="1"/>
  <c r="AZ134" i="3"/>
  <c r="AY133" i="3"/>
  <c r="BC133" i="3" s="1"/>
  <c r="P135" i="3"/>
  <c r="T135" i="3" s="1"/>
  <c r="Q136" i="3"/>
  <c r="G134" i="3"/>
  <c r="F133" i="3"/>
  <c r="J133" i="3" s="1"/>
  <c r="AF135" i="3"/>
  <c r="AE134" i="3"/>
  <c r="AI134" i="3" s="1"/>
  <c r="AU134" i="3"/>
  <c r="AT133" i="3"/>
  <c r="AX133" i="3" s="1"/>
  <c r="U138" i="3"/>
  <c r="Y138" i="3" s="1"/>
  <c r="V139" i="3"/>
  <c r="Z133" i="3"/>
  <c r="AD133" i="3" s="1"/>
  <c r="AA134" i="3"/>
  <c r="C147" i="2"/>
  <c r="B147" i="2"/>
  <c r="D147" i="2"/>
  <c r="A148" i="2"/>
  <c r="AO132" i="1"/>
  <c r="AH133" i="1"/>
  <c r="AA132" i="1"/>
  <c r="AG132" i="1"/>
  <c r="Z133" i="1"/>
  <c r="AE132" i="1"/>
  <c r="AF132" i="1"/>
  <c r="AB132" i="1"/>
  <c r="AD132" i="1"/>
  <c r="AC132" i="1"/>
  <c r="AQ132" i="1"/>
  <c r="AP133" i="1"/>
  <c r="AS132" i="1"/>
  <c r="AW132" i="1" a="1"/>
  <c r="AW132" i="1" s="1"/>
  <c r="AU132" i="1"/>
  <c r="AM132" i="1" s="1" a="1"/>
  <c r="AM132" i="1" s="1"/>
  <c r="AV132" i="1" a="1"/>
  <c r="AV132" i="1" s="1"/>
  <c r="AT132" i="1"/>
  <c r="AR132" i="1"/>
  <c r="AJ132" i="1" s="1" a="1"/>
  <c r="AJ132" i="1" s="1"/>
  <c r="AX131" i="1"/>
  <c r="AN131" i="1" s="1"/>
  <c r="AI131" i="1" a="1"/>
  <c r="AI131" i="1" s="1"/>
  <c r="AL132" i="1" l="1" a="1"/>
  <c r="AL132" i="1" s="1"/>
  <c r="AK132" i="1" a="1"/>
  <c r="AK132" i="1" s="1"/>
  <c r="AP135" i="3"/>
  <c r="AO134" i="3"/>
  <c r="AS134" i="3" s="1"/>
  <c r="G135" i="3"/>
  <c r="F134" i="3"/>
  <c r="J134" i="3" s="1"/>
  <c r="Z134" i="3"/>
  <c r="AD134" i="3" s="1"/>
  <c r="AA135" i="3"/>
  <c r="Q137" i="3"/>
  <c r="P136" i="3"/>
  <c r="T136" i="3" s="1"/>
  <c r="V140" i="3"/>
  <c r="U139" i="3"/>
  <c r="Y139" i="3" s="1"/>
  <c r="BN133" i="3"/>
  <c r="AY134" i="3"/>
  <c r="BC134" i="3" s="1"/>
  <c r="AZ135" i="3"/>
  <c r="AJ134" i="3"/>
  <c r="AN134" i="3" s="1"/>
  <c r="AK135" i="3"/>
  <c r="AT134" i="3"/>
  <c r="AX134" i="3" s="1"/>
  <c r="AU135" i="3"/>
  <c r="L136" i="3"/>
  <c r="K135" i="3"/>
  <c r="O135" i="3" s="1"/>
  <c r="AF136" i="3"/>
  <c r="AE135" i="3"/>
  <c r="AI135" i="3" s="1"/>
  <c r="C148" i="2"/>
  <c r="B148" i="2"/>
  <c r="A149" i="2"/>
  <c r="D148" i="2"/>
  <c r="AI132" i="1" a="1"/>
  <c r="AI132" i="1" s="1"/>
  <c r="AX132" i="1"/>
  <c r="AS133" i="1"/>
  <c r="AW133" i="1" a="1"/>
  <c r="AW133" i="1" s="1"/>
  <c r="AQ133" i="1"/>
  <c r="AV133" i="1" a="1"/>
  <c r="AV133" i="1" s="1"/>
  <c r="AR133" i="1"/>
  <c r="AJ133" i="1" s="1" a="1"/>
  <c r="AJ133" i="1" s="1"/>
  <c r="AU133" i="1"/>
  <c r="AP134" i="1"/>
  <c r="AT133" i="1"/>
  <c r="AL133" i="1" s="1" a="1"/>
  <c r="AL133" i="1" s="1"/>
  <c r="AC133" i="1"/>
  <c r="AB133" i="1"/>
  <c r="AD133" i="1"/>
  <c r="AF133" i="1"/>
  <c r="AA133" i="1"/>
  <c r="AG133" i="1"/>
  <c r="Z134" i="1"/>
  <c r="AE133" i="1"/>
  <c r="AN132" i="1"/>
  <c r="AO133" i="1"/>
  <c r="AH134" i="1"/>
  <c r="AM133" i="1" l="1" a="1"/>
  <c r="AM133" i="1" s="1"/>
  <c r="AO135" i="3"/>
  <c r="AS135" i="3" s="1"/>
  <c r="AP136" i="3"/>
  <c r="V141" i="3"/>
  <c r="U140" i="3"/>
  <c r="Y140" i="3" s="1"/>
  <c r="AE136" i="3"/>
  <c r="AI136" i="3" s="1"/>
  <c r="AF137" i="3"/>
  <c r="L137" i="3"/>
  <c r="K136" i="3"/>
  <c r="O136" i="3" s="1"/>
  <c r="P137" i="3"/>
  <c r="T137" i="3" s="1"/>
  <c r="Q138" i="3"/>
  <c r="AT135" i="3"/>
  <c r="AX135" i="3" s="1"/>
  <c r="AU136" i="3"/>
  <c r="Z135" i="3"/>
  <c r="AD135" i="3" s="1"/>
  <c r="AA136" i="3"/>
  <c r="G136" i="3"/>
  <c r="F135" i="3"/>
  <c r="J135" i="3" s="1"/>
  <c r="AZ136" i="3"/>
  <c r="AY135" i="3"/>
  <c r="BC135" i="3" s="1"/>
  <c r="AJ135" i="3"/>
  <c r="AN135" i="3" s="1"/>
  <c r="AK136" i="3"/>
  <c r="BN134" i="3"/>
  <c r="A150" i="2"/>
  <c r="C149" i="2"/>
  <c r="B149" i="2"/>
  <c r="D149" i="2"/>
  <c r="AO134" i="1"/>
  <c r="AH135" i="1"/>
  <c r="AS134" i="1"/>
  <c r="AW134" i="1" a="1"/>
  <c r="AW134" i="1" s="1"/>
  <c r="AQ134" i="1"/>
  <c r="AV134" i="1" a="1"/>
  <c r="AV134" i="1" s="1"/>
  <c r="AR134" i="1"/>
  <c r="AJ134" i="1" s="1" a="1"/>
  <c r="AJ134" i="1" s="1"/>
  <c r="AP135" i="1"/>
  <c r="AU134" i="1"/>
  <c r="AT134" i="1"/>
  <c r="AL134" i="1" s="1" a="1"/>
  <c r="AL134" i="1" s="1"/>
  <c r="AX133" i="1"/>
  <c r="AN133" i="1" s="1"/>
  <c r="AI133" i="1" a="1"/>
  <c r="AI133" i="1" s="1"/>
  <c r="AK133" i="1" a="1"/>
  <c r="AK133" i="1" s="1"/>
  <c r="AB134" i="1"/>
  <c r="AD134" i="1"/>
  <c r="AA134" i="1"/>
  <c r="AE134" i="1"/>
  <c r="Z135" i="1"/>
  <c r="AF134" i="1"/>
  <c r="AG134" i="1"/>
  <c r="AC134" i="1"/>
  <c r="AM134" i="1" l="1" a="1"/>
  <c r="AM134" i="1" s="1"/>
  <c r="AP137" i="3"/>
  <c r="AO136" i="3"/>
  <c r="AS136" i="3" s="1"/>
  <c r="AT136" i="3"/>
  <c r="AX136" i="3" s="1"/>
  <c r="AU137" i="3"/>
  <c r="P138" i="3"/>
  <c r="T138" i="3" s="1"/>
  <c r="Q139" i="3"/>
  <c r="AK137" i="3"/>
  <c r="AJ136" i="3"/>
  <c r="AN136" i="3" s="1"/>
  <c r="BN135" i="3"/>
  <c r="K137" i="3"/>
  <c r="O137" i="3" s="1"/>
  <c r="L138" i="3"/>
  <c r="AY136" i="3"/>
  <c r="BC136" i="3" s="1"/>
  <c r="AZ137" i="3"/>
  <c r="AE137" i="3"/>
  <c r="AI137" i="3" s="1"/>
  <c r="AF138" i="3"/>
  <c r="G137" i="3"/>
  <c r="F136" i="3"/>
  <c r="J136" i="3" s="1"/>
  <c r="AA137" i="3"/>
  <c r="Z136" i="3"/>
  <c r="AD136" i="3" s="1"/>
  <c r="V142" i="3"/>
  <c r="U141" i="3"/>
  <c r="Y141" i="3" s="1"/>
  <c r="C150" i="2"/>
  <c r="D150" i="2"/>
  <c r="A151" i="2"/>
  <c r="B150" i="2"/>
  <c r="AS135" i="1"/>
  <c r="AU135" i="1"/>
  <c r="AM135" i="1" s="1" a="1"/>
  <c r="AM135" i="1" s="1"/>
  <c r="AW135" i="1" a="1"/>
  <c r="AW135" i="1" s="1"/>
  <c r="AR135" i="1"/>
  <c r="AV135" i="1" a="1"/>
  <c r="AV135" i="1" s="1"/>
  <c r="AP136" i="1"/>
  <c r="AT135" i="1"/>
  <c r="AL135" i="1" s="1" a="1"/>
  <c r="AL135" i="1" s="1"/>
  <c r="AQ135" i="1"/>
  <c r="AI134" i="1" a="1"/>
  <c r="AI134" i="1" s="1"/>
  <c r="AX134" i="1"/>
  <c r="AN134" i="1" s="1"/>
  <c r="Z136" i="1"/>
  <c r="AD135" i="1"/>
  <c r="AE135" i="1"/>
  <c r="AC135" i="1"/>
  <c r="AG135" i="1"/>
  <c r="AF135" i="1"/>
  <c r="AB135" i="1"/>
  <c r="AA135" i="1"/>
  <c r="AK134" i="1" a="1"/>
  <c r="AK134" i="1" s="1"/>
  <c r="AH136" i="1"/>
  <c r="AO135" i="1"/>
  <c r="AJ135" i="1" l="1" a="1"/>
  <c r="AJ135" i="1" s="1"/>
  <c r="AO137" i="3"/>
  <c r="AS137" i="3" s="1"/>
  <c r="AP138" i="3"/>
  <c r="BN136" i="3"/>
  <c r="K138" i="3"/>
  <c r="O138" i="3" s="1"/>
  <c r="L139" i="3"/>
  <c r="U142" i="3"/>
  <c r="Y142" i="3" s="1"/>
  <c r="V143" i="3"/>
  <c r="Z137" i="3"/>
  <c r="AD137" i="3" s="1"/>
  <c r="AA138" i="3"/>
  <c r="AJ137" i="3"/>
  <c r="AN137" i="3" s="1"/>
  <c r="AK138" i="3"/>
  <c r="Q140" i="3"/>
  <c r="P139" i="3"/>
  <c r="T139" i="3" s="1"/>
  <c r="AU138" i="3"/>
  <c r="AT137" i="3"/>
  <c r="AX137" i="3" s="1"/>
  <c r="AF139" i="3"/>
  <c r="AE138" i="3"/>
  <c r="AI138" i="3" s="1"/>
  <c r="G138" i="3"/>
  <c r="F137" i="3"/>
  <c r="J137" i="3" s="1"/>
  <c r="AY137" i="3"/>
  <c r="BC137" i="3" s="1"/>
  <c r="AZ138" i="3"/>
  <c r="C151" i="2"/>
  <c r="A152" i="2"/>
  <c r="B151" i="2"/>
  <c r="D151" i="2"/>
  <c r="AE136" i="1"/>
  <c r="AC136" i="1"/>
  <c r="AA136" i="1"/>
  <c r="AB136" i="1"/>
  <c r="AF136" i="1"/>
  <c r="AD136" i="1"/>
  <c r="AG136" i="1"/>
  <c r="Z137" i="1"/>
  <c r="AO136" i="1"/>
  <c r="AH137" i="1"/>
  <c r="AI135" i="1" a="1"/>
  <c r="AI135" i="1" s="1"/>
  <c r="AX135" i="1"/>
  <c r="AS136" i="1"/>
  <c r="AP137" i="1"/>
  <c r="AW136" i="1" a="1"/>
  <c r="AW136" i="1" s="1"/>
  <c r="AR136" i="1"/>
  <c r="AJ136" i="1" s="1" a="1"/>
  <c r="AJ136" i="1" s="1"/>
  <c r="AT136" i="1"/>
  <c r="AL136" i="1" s="1" a="1"/>
  <c r="AL136" i="1" s="1"/>
  <c r="AQ136" i="1"/>
  <c r="AV136" i="1" a="1"/>
  <c r="AV136" i="1" s="1"/>
  <c r="AU136" i="1"/>
  <c r="AM136" i="1" s="1" a="1"/>
  <c r="AM136" i="1" s="1"/>
  <c r="AN135" i="1"/>
  <c r="AK135" i="1" a="1"/>
  <c r="AK135" i="1" s="1"/>
  <c r="AK136" i="1" l="1" a="1"/>
  <c r="AK136" i="1" s="1"/>
  <c r="AP139" i="3"/>
  <c r="AO138" i="3"/>
  <c r="AS138" i="3" s="1"/>
  <c r="P140" i="3"/>
  <c r="T140" i="3" s="1"/>
  <c r="Q141" i="3"/>
  <c r="AK139" i="3"/>
  <c r="AJ138" i="3"/>
  <c r="AN138" i="3" s="1"/>
  <c r="AY138" i="3"/>
  <c r="BC138" i="3" s="1"/>
  <c r="AZ139" i="3"/>
  <c r="BN137" i="3"/>
  <c r="AA139" i="3"/>
  <c r="Z138" i="3"/>
  <c r="AD138" i="3" s="1"/>
  <c r="U143" i="3"/>
  <c r="Y143" i="3" s="1"/>
  <c r="V144" i="3"/>
  <c r="F138" i="3"/>
  <c r="J138" i="3" s="1"/>
  <c r="G139" i="3"/>
  <c r="AE139" i="3"/>
  <c r="AI139" i="3" s="1"/>
  <c r="AF140" i="3"/>
  <c r="L140" i="3"/>
  <c r="K139" i="3"/>
  <c r="O139" i="3" s="1"/>
  <c r="AT138" i="3"/>
  <c r="AX138" i="3" s="1"/>
  <c r="AU139" i="3"/>
  <c r="C152" i="2"/>
  <c r="B152" i="2"/>
  <c r="A153" i="2"/>
  <c r="D152" i="2"/>
  <c r="AO137" i="1"/>
  <c r="AH138" i="1"/>
  <c r="Z138" i="1"/>
  <c r="AD137" i="1"/>
  <c r="AE137" i="1"/>
  <c r="AF137" i="1"/>
  <c r="AA137" i="1"/>
  <c r="AC137" i="1"/>
  <c r="AG137" i="1"/>
  <c r="AB137" i="1"/>
  <c r="AI136" i="1" a="1"/>
  <c r="AI136" i="1" s="1"/>
  <c r="AX136" i="1"/>
  <c r="AN136" i="1" s="1"/>
  <c r="AR137" i="1"/>
  <c r="AQ137" i="1"/>
  <c r="AV137" i="1" a="1"/>
  <c r="AV137" i="1" s="1"/>
  <c r="AP138" i="1"/>
  <c r="AT137" i="1"/>
  <c r="AL137" i="1" s="1" a="1"/>
  <c r="AL137" i="1" s="1"/>
  <c r="AU137" i="1"/>
  <c r="AM137" i="1" s="1" a="1"/>
  <c r="AM137" i="1" s="1"/>
  <c r="AW137" i="1" a="1"/>
  <c r="AW137" i="1" s="1"/>
  <c r="AS137" i="1"/>
  <c r="AK137" i="1" s="1" a="1"/>
  <c r="AK137" i="1" s="1"/>
  <c r="AJ137" i="1" l="1" a="1"/>
  <c r="AJ137" i="1" s="1"/>
  <c r="AP140" i="3"/>
  <c r="AO139" i="3"/>
  <c r="AS139" i="3" s="1"/>
  <c r="AU140" i="3"/>
  <c r="AT139" i="3"/>
  <c r="AX139" i="3" s="1"/>
  <c r="AA140" i="3"/>
  <c r="Z139" i="3"/>
  <c r="AD139" i="3" s="1"/>
  <c r="K140" i="3"/>
  <c r="O140" i="3" s="1"/>
  <c r="L141" i="3"/>
  <c r="AY139" i="3"/>
  <c r="BC139" i="3" s="1"/>
  <c r="AZ140" i="3"/>
  <c r="AE140" i="3"/>
  <c r="AI140" i="3" s="1"/>
  <c r="AF141" i="3"/>
  <c r="BN138" i="3"/>
  <c r="G140" i="3"/>
  <c r="F139" i="3"/>
  <c r="J139" i="3" s="1"/>
  <c r="AJ139" i="3"/>
  <c r="AN139" i="3" s="1"/>
  <c r="AK140" i="3"/>
  <c r="V145" i="3"/>
  <c r="U144" i="3"/>
  <c r="Y144" i="3" s="1"/>
  <c r="P141" i="3"/>
  <c r="T141" i="3" s="1"/>
  <c r="Q142" i="3"/>
  <c r="C153" i="2"/>
  <c r="A154" i="2"/>
  <c r="B153" i="2"/>
  <c r="D153" i="2"/>
  <c r="AX137" i="1"/>
  <c r="AN137" i="1" s="1"/>
  <c r="AI137" i="1" a="1"/>
  <c r="AI137" i="1" s="1"/>
  <c r="AE138" i="1"/>
  <c r="AB138" i="1"/>
  <c r="AG138" i="1"/>
  <c r="AF138" i="1"/>
  <c r="AC138" i="1"/>
  <c r="Z139" i="1"/>
  <c r="AA138" i="1"/>
  <c r="AD138" i="1"/>
  <c r="AH139" i="1"/>
  <c r="AO138" i="1"/>
  <c r="AT138" i="1"/>
  <c r="AQ138" i="1"/>
  <c r="AS138" i="1"/>
  <c r="AK138" i="1" s="1" a="1"/>
  <c r="AK138" i="1" s="1"/>
  <c r="AR138" i="1"/>
  <c r="AJ138" i="1" s="1" a="1"/>
  <c r="AJ138" i="1" s="1"/>
  <c r="AU138" i="1"/>
  <c r="AM138" i="1" s="1" a="1"/>
  <c r="AM138" i="1" s="1"/>
  <c r="AW138" i="1" a="1"/>
  <c r="AW138" i="1" s="1"/>
  <c r="AV138" i="1" a="1"/>
  <c r="AV138" i="1" s="1"/>
  <c r="AP139" i="1"/>
  <c r="AL138" i="1" l="1" a="1"/>
  <c r="AL138" i="1" s="1"/>
  <c r="AP141" i="3"/>
  <c r="AO140" i="3"/>
  <c r="AS140" i="3" s="1"/>
  <c r="F140" i="3"/>
  <c r="J140" i="3" s="1"/>
  <c r="G141" i="3"/>
  <c r="P142" i="3"/>
  <c r="T142" i="3" s="1"/>
  <c r="Q143" i="3"/>
  <c r="AE141" i="3"/>
  <c r="AI141" i="3" s="1"/>
  <c r="AF142" i="3"/>
  <c r="V146" i="3"/>
  <c r="U145" i="3"/>
  <c r="Y145" i="3" s="1"/>
  <c r="AZ141" i="3"/>
  <c r="AY140" i="3"/>
  <c r="BC140" i="3" s="1"/>
  <c r="BN139" i="3"/>
  <c r="L142" i="3"/>
  <c r="K141" i="3"/>
  <c r="O141" i="3" s="1"/>
  <c r="AJ140" i="3"/>
  <c r="AN140" i="3" s="1"/>
  <c r="AK141" i="3"/>
  <c r="AA141" i="3"/>
  <c r="Z140" i="3"/>
  <c r="AD140" i="3" s="1"/>
  <c r="AU141" i="3"/>
  <c r="AT140" i="3"/>
  <c r="AX140" i="3" s="1"/>
  <c r="D154" i="2"/>
  <c r="C154" i="2"/>
  <c r="A155" i="2"/>
  <c r="B154" i="2"/>
  <c r="AO139" i="1"/>
  <c r="AH140" i="1"/>
  <c r="AW139" i="1" a="1"/>
  <c r="AW139" i="1" s="1"/>
  <c r="AP140" i="1"/>
  <c r="AR139" i="1"/>
  <c r="AJ139" i="1" s="1" a="1"/>
  <c r="AJ139" i="1" s="1"/>
  <c r="AQ139" i="1"/>
  <c r="AS139" i="1"/>
  <c r="AU139" i="1"/>
  <c r="AM139" i="1" s="1" a="1"/>
  <c r="AM139" i="1" s="1"/>
  <c r="AV139" i="1" a="1"/>
  <c r="AV139" i="1" s="1"/>
  <c r="AT139" i="1"/>
  <c r="AL139" i="1" s="1" a="1"/>
  <c r="AL139" i="1" s="1"/>
  <c r="AF139" i="1"/>
  <c r="AB139" i="1"/>
  <c r="Z140" i="1"/>
  <c r="AG139" i="1"/>
  <c r="AA139" i="1"/>
  <c r="AD139" i="1"/>
  <c r="AE139" i="1"/>
  <c r="AC139" i="1"/>
  <c r="AI138" i="1" a="1"/>
  <c r="AI138" i="1" s="1"/>
  <c r="AX138" i="1"/>
  <c r="AN138" i="1" s="1"/>
  <c r="AK139" i="1" l="1" a="1"/>
  <c r="AK139" i="1" s="1"/>
  <c r="AP142" i="3"/>
  <c r="AO141" i="3"/>
  <c r="AS141" i="3" s="1"/>
  <c r="BN140" i="3"/>
  <c r="AZ142" i="3"/>
  <c r="AY141" i="3"/>
  <c r="BC141" i="3" s="1"/>
  <c r="AU142" i="3"/>
  <c r="AT141" i="3"/>
  <c r="AX141" i="3" s="1"/>
  <c r="Z141" i="3"/>
  <c r="AD141" i="3" s="1"/>
  <c r="AA142" i="3"/>
  <c r="V147" i="3"/>
  <c r="U146" i="3"/>
  <c r="Y146" i="3" s="1"/>
  <c r="AK142" i="3"/>
  <c r="AJ141" i="3"/>
  <c r="AN141" i="3" s="1"/>
  <c r="AE142" i="3"/>
  <c r="AI142" i="3" s="1"/>
  <c r="AF143" i="3"/>
  <c r="Q144" i="3"/>
  <c r="P143" i="3"/>
  <c r="T143" i="3" s="1"/>
  <c r="L143" i="3"/>
  <c r="K142" i="3"/>
  <c r="O142" i="3" s="1"/>
  <c r="G142" i="3"/>
  <c r="F141" i="3"/>
  <c r="J141" i="3" s="1"/>
  <c r="A156" i="2"/>
  <c r="B155" i="2"/>
  <c r="C155" i="2"/>
  <c r="D155" i="2"/>
  <c r="AI139" i="1" a="1"/>
  <c r="AI139" i="1" s="1"/>
  <c r="AX139" i="1"/>
  <c r="AQ140" i="1"/>
  <c r="AU140" i="1"/>
  <c r="AM140" i="1" s="1" a="1"/>
  <c r="AM140" i="1" s="1"/>
  <c r="AR140" i="1"/>
  <c r="AJ140" i="1" s="1" a="1"/>
  <c r="AJ140" i="1" s="1"/>
  <c r="AS140" i="1"/>
  <c r="AV140" i="1" a="1"/>
  <c r="AV140" i="1" s="1"/>
  <c r="AW140" i="1" a="1"/>
  <c r="AW140" i="1" s="1"/>
  <c r="AT140" i="1"/>
  <c r="AL140" i="1" s="1" a="1"/>
  <c r="AL140" i="1" s="1"/>
  <c r="AP141" i="1"/>
  <c r="AN139" i="1"/>
  <c r="AO140" i="1"/>
  <c r="AH141" i="1"/>
  <c r="AB140" i="1"/>
  <c r="AF140" i="1"/>
  <c r="AG140" i="1"/>
  <c r="AC140" i="1"/>
  <c r="Z141" i="1"/>
  <c r="AD140" i="1"/>
  <c r="AE140" i="1"/>
  <c r="AA140" i="1"/>
  <c r="AK140" i="1" l="1" a="1"/>
  <c r="AK140" i="1" s="1"/>
  <c r="AO142" i="3"/>
  <c r="AS142" i="3" s="1"/>
  <c r="AP143" i="3"/>
  <c r="AJ142" i="3"/>
  <c r="AN142" i="3" s="1"/>
  <c r="AK143" i="3"/>
  <c r="G143" i="3"/>
  <c r="F142" i="3"/>
  <c r="J142" i="3" s="1"/>
  <c r="U147" i="3"/>
  <c r="Y147" i="3" s="1"/>
  <c r="V148" i="3"/>
  <c r="Z142" i="3"/>
  <c r="AD142" i="3" s="1"/>
  <c r="AA143" i="3"/>
  <c r="L144" i="3"/>
  <c r="K143" i="3"/>
  <c r="O143" i="3" s="1"/>
  <c r="AT142" i="3"/>
  <c r="AX142" i="3" s="1"/>
  <c r="AU143" i="3"/>
  <c r="Q145" i="3"/>
  <c r="P144" i="3"/>
  <c r="T144" i="3" s="1"/>
  <c r="BN141" i="3"/>
  <c r="AE143" i="3"/>
  <c r="AI143" i="3" s="1"/>
  <c r="AF144" i="3"/>
  <c r="AY142" i="3"/>
  <c r="BC142" i="3" s="1"/>
  <c r="AZ143" i="3"/>
  <c r="D156" i="2"/>
  <c r="B156" i="2"/>
  <c r="C156" i="2"/>
  <c r="A157" i="2"/>
  <c r="AS141" i="1"/>
  <c r="AQ141" i="1"/>
  <c r="AV141" i="1" a="1"/>
  <c r="AV141" i="1" s="1"/>
  <c r="AW141" i="1" a="1"/>
  <c r="AW141" i="1" s="1"/>
  <c r="AU141" i="1"/>
  <c r="AM141" i="1" s="1" a="1"/>
  <c r="AM141" i="1" s="1"/>
  <c r="AT141" i="1"/>
  <c r="AR141" i="1"/>
  <c r="AP142" i="1"/>
  <c r="AI140" i="1" a="1"/>
  <c r="AI140" i="1" s="1"/>
  <c r="AX140" i="1"/>
  <c r="AN140" i="1" s="1"/>
  <c r="AA141" i="1"/>
  <c r="AG141" i="1"/>
  <c r="Z142" i="1"/>
  <c r="AF141" i="1"/>
  <c r="AD141" i="1"/>
  <c r="AC141" i="1"/>
  <c r="AE141" i="1"/>
  <c r="AB141" i="1"/>
  <c r="AH142" i="1"/>
  <c r="AO141" i="1"/>
  <c r="AL141" i="1" l="1" a="1"/>
  <c r="AL141" i="1" s="1"/>
  <c r="AJ141" i="1" a="1"/>
  <c r="AJ141" i="1" s="1"/>
  <c r="AK141" i="1" a="1"/>
  <c r="AK141" i="1" s="1"/>
  <c r="AO143" i="3"/>
  <c r="AS143" i="3" s="1"/>
  <c r="AP144" i="3"/>
  <c r="AA144" i="3"/>
  <c r="Z143" i="3"/>
  <c r="AD143" i="3" s="1"/>
  <c r="AY143" i="3"/>
  <c r="BC143" i="3" s="1"/>
  <c r="AZ144" i="3"/>
  <c r="BN142" i="3"/>
  <c r="AF145" i="3"/>
  <c r="AE144" i="3"/>
  <c r="AI144" i="3" s="1"/>
  <c r="V149" i="3"/>
  <c r="U148" i="3"/>
  <c r="Y148" i="3" s="1"/>
  <c r="AU144" i="3"/>
  <c r="AT143" i="3"/>
  <c r="AX143" i="3" s="1"/>
  <c r="G144" i="3"/>
  <c r="F143" i="3"/>
  <c r="J143" i="3" s="1"/>
  <c r="AJ143" i="3"/>
  <c r="AN143" i="3" s="1"/>
  <c r="AK144" i="3"/>
  <c r="P145" i="3"/>
  <c r="T145" i="3" s="1"/>
  <c r="Q146" i="3"/>
  <c r="L145" i="3"/>
  <c r="K144" i="3"/>
  <c r="O144" i="3" s="1"/>
  <c r="C157" i="2"/>
  <c r="B157" i="2"/>
  <c r="D157" i="2"/>
  <c r="A158" i="2"/>
  <c r="AF142" i="1"/>
  <c r="AD142" i="1"/>
  <c r="AE142" i="1"/>
  <c r="AB142" i="1"/>
  <c r="Z143" i="1"/>
  <c r="AC142" i="1"/>
  <c r="AG142" i="1"/>
  <c r="AA142" i="1"/>
  <c r="AH143" i="1"/>
  <c r="AO142" i="1"/>
  <c r="AP143" i="1"/>
  <c r="AQ142" i="1"/>
  <c r="AR142" i="1"/>
  <c r="AJ142" i="1" s="1" a="1"/>
  <c r="AJ142" i="1" s="1"/>
  <c r="AW142" i="1" a="1"/>
  <c r="AW142" i="1" s="1"/>
  <c r="AU142" i="1"/>
  <c r="AM142" i="1" s="1" a="1"/>
  <c r="AM142" i="1" s="1"/>
  <c r="AT142" i="1"/>
  <c r="AL142" i="1" s="1" a="1"/>
  <c r="AL142" i="1" s="1"/>
  <c r="AS142" i="1"/>
  <c r="AV142" i="1" a="1"/>
  <c r="AV142" i="1" s="1"/>
  <c r="AX141" i="1"/>
  <c r="AN141" i="1" s="1"/>
  <c r="AI141" i="1" a="1"/>
  <c r="AI141" i="1" s="1"/>
  <c r="AK142" i="1" l="1" a="1"/>
  <c r="AK142" i="1" s="1"/>
  <c r="AP145" i="3"/>
  <c r="AO144" i="3"/>
  <c r="AS144" i="3" s="1"/>
  <c r="K145" i="3"/>
  <c r="O145" i="3" s="1"/>
  <c r="L146" i="3"/>
  <c r="P146" i="3"/>
  <c r="T146" i="3" s="1"/>
  <c r="Q147" i="3"/>
  <c r="U149" i="3"/>
  <c r="Y149" i="3" s="1"/>
  <c r="V150" i="3"/>
  <c r="AK145" i="3"/>
  <c r="AJ144" i="3"/>
  <c r="AN144" i="3" s="1"/>
  <c r="AF146" i="3"/>
  <c r="AE145" i="3"/>
  <c r="AI145" i="3" s="1"/>
  <c r="AZ145" i="3"/>
  <c r="AY144" i="3"/>
  <c r="BC144" i="3" s="1"/>
  <c r="F144" i="3"/>
  <c r="J144" i="3" s="1"/>
  <c r="G145" i="3"/>
  <c r="BN143" i="3"/>
  <c r="AT144" i="3"/>
  <c r="AX144" i="3" s="1"/>
  <c r="AU145" i="3"/>
  <c r="AA145" i="3"/>
  <c r="Z144" i="3"/>
  <c r="AD144" i="3" s="1"/>
  <c r="D158" i="2"/>
  <c r="A159" i="2"/>
  <c r="C158" i="2"/>
  <c r="B158" i="2"/>
  <c r="AP144" i="1"/>
  <c r="AR143" i="1"/>
  <c r="AV143" i="1" a="1"/>
  <c r="AV143" i="1" s="1"/>
  <c r="AQ143" i="1"/>
  <c r="AU143" i="1"/>
  <c r="AM143" i="1" s="1" a="1"/>
  <c r="AM143" i="1" s="1"/>
  <c r="AW143" i="1" a="1"/>
  <c r="AW143" i="1" s="1"/>
  <c r="AS143" i="1"/>
  <c r="AT143" i="1"/>
  <c r="AL143" i="1" s="1" a="1"/>
  <c r="AL143" i="1" s="1"/>
  <c r="AX142" i="1"/>
  <c r="AI142" i="1" a="1"/>
  <c r="AI142" i="1" s="1"/>
  <c r="AO143" i="1"/>
  <c r="AH144" i="1"/>
  <c r="AG143" i="1"/>
  <c r="AF143" i="1"/>
  <c r="Z144" i="1"/>
  <c r="AA143" i="1"/>
  <c r="AE143" i="1"/>
  <c r="AD143" i="1"/>
  <c r="AC143" i="1"/>
  <c r="AB143" i="1"/>
  <c r="AN142" i="1"/>
  <c r="AJ143" i="1" l="1" a="1"/>
  <c r="AJ143" i="1" s="1"/>
  <c r="AK143" i="1" a="1"/>
  <c r="AK143" i="1" s="1"/>
  <c r="AP146" i="3"/>
  <c r="AO145" i="3"/>
  <c r="AS145" i="3" s="1"/>
  <c r="AE146" i="3"/>
  <c r="AI146" i="3" s="1"/>
  <c r="AF147" i="3"/>
  <c r="AA146" i="3"/>
  <c r="Z145" i="3"/>
  <c r="AD145" i="3" s="1"/>
  <c r="AJ145" i="3"/>
  <c r="AN145" i="3" s="1"/>
  <c r="AK146" i="3"/>
  <c r="AU146" i="3"/>
  <c r="AT145" i="3"/>
  <c r="AX145" i="3" s="1"/>
  <c r="V151" i="3"/>
  <c r="U150" i="3"/>
  <c r="Y150" i="3" s="1"/>
  <c r="F145" i="3"/>
  <c r="J145" i="3" s="1"/>
  <c r="G146" i="3"/>
  <c r="Q148" i="3"/>
  <c r="P147" i="3"/>
  <c r="T147" i="3" s="1"/>
  <c r="K146" i="3"/>
  <c r="O146" i="3" s="1"/>
  <c r="L147" i="3"/>
  <c r="BN144" i="3"/>
  <c r="AY145" i="3"/>
  <c r="BC145" i="3" s="1"/>
  <c r="AZ146" i="3"/>
  <c r="D159" i="2"/>
  <c r="A160" i="2"/>
  <c r="B159" i="2"/>
  <c r="C159" i="2"/>
  <c r="AO144" i="1"/>
  <c r="AH145" i="1"/>
  <c r="AI143" i="1" a="1"/>
  <c r="AI143" i="1" s="1"/>
  <c r="AX143" i="1"/>
  <c r="AN143" i="1" s="1"/>
  <c r="Z145" i="1"/>
  <c r="AC144" i="1"/>
  <c r="AF144" i="1"/>
  <c r="AE144" i="1"/>
  <c r="AA144" i="1"/>
  <c r="AD144" i="1"/>
  <c r="AG144" i="1"/>
  <c r="AB144" i="1"/>
  <c r="AP145" i="1"/>
  <c r="AT144" i="1"/>
  <c r="AL144" i="1" s="1" a="1"/>
  <c r="AL144" i="1" s="1"/>
  <c r="AQ144" i="1"/>
  <c r="AS144" i="1"/>
  <c r="AK144" i="1" s="1" a="1"/>
  <c r="AK144" i="1" s="1"/>
  <c r="AR144" i="1"/>
  <c r="AJ144" i="1" s="1" a="1"/>
  <c r="AJ144" i="1" s="1"/>
  <c r="AV144" i="1" a="1"/>
  <c r="AV144" i="1" s="1"/>
  <c r="AW144" i="1" a="1"/>
  <c r="AW144" i="1" s="1"/>
  <c r="AU144" i="1"/>
  <c r="AM144" i="1" s="1" a="1"/>
  <c r="AM144" i="1" s="1"/>
  <c r="AP147" i="3" l="1"/>
  <c r="AO146" i="3"/>
  <c r="AS146" i="3" s="1"/>
  <c r="U151" i="3"/>
  <c r="Y151" i="3" s="1"/>
  <c r="V152" i="3"/>
  <c r="AY146" i="3"/>
  <c r="BC146" i="3" s="1"/>
  <c r="AZ147" i="3"/>
  <c r="BN145" i="3"/>
  <c r="AT146" i="3"/>
  <c r="AX146" i="3" s="1"/>
  <c r="AU147" i="3"/>
  <c r="L148" i="3"/>
  <c r="K147" i="3"/>
  <c r="O147" i="3" s="1"/>
  <c r="AK147" i="3"/>
  <c r="AJ146" i="3"/>
  <c r="AN146" i="3" s="1"/>
  <c r="Q149" i="3"/>
  <c r="P148" i="3"/>
  <c r="T148" i="3" s="1"/>
  <c r="AA147" i="3"/>
  <c r="Z146" i="3"/>
  <c r="AD146" i="3" s="1"/>
  <c r="AF148" i="3"/>
  <c r="AE147" i="3"/>
  <c r="AI147" i="3" s="1"/>
  <c r="F146" i="3"/>
  <c r="J146" i="3" s="1"/>
  <c r="G147" i="3"/>
  <c r="C160" i="2"/>
  <c r="D160" i="2"/>
  <c r="A161" i="2"/>
  <c r="B160" i="2"/>
  <c r="Z146" i="1"/>
  <c r="AE145" i="1"/>
  <c r="AC145" i="1"/>
  <c r="AG145" i="1"/>
  <c r="AB145" i="1"/>
  <c r="AA145" i="1"/>
  <c r="AD145" i="1"/>
  <c r="AF145" i="1"/>
  <c r="AX144" i="1"/>
  <c r="AN144" i="1" s="1"/>
  <c r="AI144" i="1" a="1"/>
  <c r="AI144" i="1" s="1"/>
  <c r="AT145" i="1"/>
  <c r="AL145" i="1" s="1" a="1"/>
  <c r="AL145" i="1" s="1"/>
  <c r="AU145" i="1"/>
  <c r="AR145" i="1"/>
  <c r="AQ145" i="1"/>
  <c r="AW145" i="1" a="1"/>
  <c r="AW145" i="1" s="1"/>
  <c r="AP146" i="1"/>
  <c r="AS145" i="1"/>
  <c r="AK145" i="1" s="1" a="1"/>
  <c r="AK145" i="1" s="1"/>
  <c r="AV145" i="1" a="1"/>
  <c r="AV145" i="1" s="1"/>
  <c r="AH146" i="1"/>
  <c r="AO145" i="1"/>
  <c r="AM145" i="1" l="1" a="1"/>
  <c r="AM145" i="1" s="1"/>
  <c r="AJ145" i="1" a="1"/>
  <c r="AJ145" i="1" s="1"/>
  <c r="AP148" i="3"/>
  <c r="AO147" i="3"/>
  <c r="AS147" i="3" s="1"/>
  <c r="G148" i="3"/>
  <c r="F147" i="3"/>
  <c r="J147" i="3" s="1"/>
  <c r="K148" i="3"/>
  <c r="O148" i="3" s="1"/>
  <c r="L149" i="3"/>
  <c r="AT147" i="3"/>
  <c r="AX147" i="3" s="1"/>
  <c r="AU148" i="3"/>
  <c r="AE148" i="3"/>
  <c r="AI148" i="3" s="1"/>
  <c r="AF149" i="3"/>
  <c r="AZ148" i="3"/>
  <c r="AY147" i="3"/>
  <c r="BC147" i="3" s="1"/>
  <c r="BN146" i="3"/>
  <c r="Z147" i="3"/>
  <c r="AD147" i="3" s="1"/>
  <c r="AA148" i="3"/>
  <c r="U152" i="3"/>
  <c r="Y152" i="3" s="1"/>
  <c r="V153" i="3"/>
  <c r="P149" i="3"/>
  <c r="T149" i="3" s="1"/>
  <c r="Q150" i="3"/>
  <c r="AJ147" i="3"/>
  <c r="AN147" i="3" s="1"/>
  <c r="AK148" i="3"/>
  <c r="D161" i="2"/>
  <c r="B161" i="2"/>
  <c r="C161" i="2"/>
  <c r="A162" i="2"/>
  <c r="AO146" i="1"/>
  <c r="AH147" i="1"/>
  <c r="AW146" i="1" a="1"/>
  <c r="AW146" i="1" s="1"/>
  <c r="AR146" i="1"/>
  <c r="AU146" i="1"/>
  <c r="AM146" i="1" s="1" a="1"/>
  <c r="AM146" i="1" s="1"/>
  <c r="AP147" i="1"/>
  <c r="AQ146" i="1"/>
  <c r="AV146" i="1" a="1"/>
  <c r="AV146" i="1" s="1"/>
  <c r="AT146" i="1"/>
  <c r="AL146" i="1" s="1" a="1"/>
  <c r="AL146" i="1" s="1"/>
  <c r="AS146" i="1"/>
  <c r="AX145" i="1"/>
  <c r="AN145" i="1" s="1"/>
  <c r="AI145" i="1" a="1"/>
  <c r="AI145" i="1" s="1"/>
  <c r="AE146" i="1"/>
  <c r="AF146" i="1"/>
  <c r="Z147" i="1"/>
  <c r="AA146" i="1"/>
  <c r="AC146" i="1"/>
  <c r="AD146" i="1"/>
  <c r="AB146" i="1"/>
  <c r="AG146" i="1"/>
  <c r="AJ146" i="1" l="1" a="1"/>
  <c r="AJ146" i="1" s="1"/>
  <c r="AK146" i="1" a="1"/>
  <c r="AK146" i="1" s="1"/>
  <c r="AO148" i="3"/>
  <c r="AS148" i="3" s="1"/>
  <c r="AP149" i="3"/>
  <c r="AJ148" i="3"/>
  <c r="AN148" i="3" s="1"/>
  <c r="AK149" i="3"/>
  <c r="BN147" i="3"/>
  <c r="AZ149" i="3"/>
  <c r="AY148" i="3"/>
  <c r="BC148" i="3" s="1"/>
  <c r="AF150" i="3"/>
  <c r="AE149" i="3"/>
  <c r="AI149" i="3" s="1"/>
  <c r="Q151" i="3"/>
  <c r="P150" i="3"/>
  <c r="T150" i="3" s="1"/>
  <c r="AT148" i="3"/>
  <c r="AX148" i="3" s="1"/>
  <c r="AU149" i="3"/>
  <c r="U153" i="3"/>
  <c r="Y153" i="3" s="1"/>
  <c r="V154" i="3"/>
  <c r="K149" i="3"/>
  <c r="O149" i="3" s="1"/>
  <c r="L150" i="3"/>
  <c r="Z148" i="3"/>
  <c r="AD148" i="3" s="1"/>
  <c r="AA149" i="3"/>
  <c r="F148" i="3"/>
  <c r="J148" i="3" s="1"/>
  <c r="G149" i="3"/>
  <c r="D162" i="2"/>
  <c r="C162" i="2"/>
  <c r="B162" i="2"/>
  <c r="A163" i="2"/>
  <c r="AX146" i="1"/>
  <c r="AN146" i="1" s="1"/>
  <c r="AI146" i="1" a="1"/>
  <c r="AI146" i="1" s="1"/>
  <c r="AS147" i="1"/>
  <c r="AQ147" i="1"/>
  <c r="AU147" i="1"/>
  <c r="AM147" i="1" s="1" a="1"/>
  <c r="AM147" i="1" s="1"/>
  <c r="AR147" i="1"/>
  <c r="AJ147" i="1" s="1" a="1"/>
  <c r="AJ147" i="1" s="1"/>
  <c r="AV147" i="1" a="1"/>
  <c r="AV147" i="1" s="1"/>
  <c r="AP148" i="1"/>
  <c r="AT147" i="1"/>
  <c r="AL147" i="1" s="1" a="1"/>
  <c r="AL147" i="1" s="1"/>
  <c r="AW147" i="1" a="1"/>
  <c r="AW147" i="1" s="1"/>
  <c r="AA147" i="1"/>
  <c r="AG147" i="1"/>
  <c r="AD147" i="1"/>
  <c r="AB147" i="1"/>
  <c r="Z148" i="1"/>
  <c r="AF147" i="1"/>
  <c r="AE147" i="1"/>
  <c r="AC147" i="1"/>
  <c r="AO147" i="1"/>
  <c r="AH148" i="1"/>
  <c r="AK147" i="1" l="1" a="1"/>
  <c r="AK147" i="1" s="1"/>
  <c r="AP150" i="3"/>
  <c r="AO149" i="3"/>
  <c r="AS149" i="3" s="1"/>
  <c r="F149" i="3"/>
  <c r="J149" i="3" s="1"/>
  <c r="G150" i="3"/>
  <c r="Q152" i="3"/>
  <c r="P151" i="3"/>
  <c r="T151" i="3" s="1"/>
  <c r="AA150" i="3"/>
  <c r="Z149" i="3"/>
  <c r="AD149" i="3" s="1"/>
  <c r="L151" i="3"/>
  <c r="K150" i="3"/>
  <c r="O150" i="3" s="1"/>
  <c r="AE150" i="3"/>
  <c r="AI150" i="3" s="1"/>
  <c r="AF151" i="3"/>
  <c r="BN148" i="3"/>
  <c r="V155" i="3"/>
  <c r="U154" i="3"/>
  <c r="Y154" i="3" s="1"/>
  <c r="AZ150" i="3"/>
  <c r="AY149" i="3"/>
  <c r="BC149" i="3" s="1"/>
  <c r="AJ149" i="3"/>
  <c r="AN149" i="3" s="1"/>
  <c r="AK150" i="3"/>
  <c r="AT149" i="3"/>
  <c r="AX149" i="3" s="1"/>
  <c r="AU150" i="3"/>
  <c r="A164" i="2"/>
  <c r="D163" i="2"/>
  <c r="C163" i="2"/>
  <c r="B163" i="2"/>
  <c r="AO148" i="1"/>
  <c r="AH149" i="1"/>
  <c r="AW148" i="1" a="1"/>
  <c r="AW148" i="1" s="1"/>
  <c r="AU148" i="1"/>
  <c r="AM148" i="1" s="1" a="1"/>
  <c r="AM148" i="1" s="1"/>
  <c r="AQ148" i="1"/>
  <c r="AP149" i="1"/>
  <c r="AS148" i="1"/>
  <c r="AR148" i="1"/>
  <c r="AT148" i="1"/>
  <c r="AL148" i="1" s="1" a="1"/>
  <c r="AL148" i="1" s="1"/>
  <c r="AV148" i="1" a="1"/>
  <c r="AV148" i="1" s="1"/>
  <c r="AI147" i="1" a="1"/>
  <c r="AI147" i="1" s="1"/>
  <c r="AX147" i="1"/>
  <c r="AN147" i="1" s="1"/>
  <c r="AF148" i="1"/>
  <c r="AD148" i="1"/>
  <c r="AA148" i="1"/>
  <c r="Z149" i="1"/>
  <c r="AE148" i="1"/>
  <c r="AG148" i="1"/>
  <c r="AC148" i="1"/>
  <c r="AB148" i="1"/>
  <c r="AK148" i="1" l="1" a="1"/>
  <c r="AK148" i="1" s="1"/>
  <c r="AJ148" i="1" a="1"/>
  <c r="AJ148" i="1" s="1"/>
  <c r="AP151" i="3"/>
  <c r="AO150" i="3"/>
  <c r="AS150" i="3" s="1"/>
  <c r="AU151" i="3"/>
  <c r="AT150" i="3"/>
  <c r="AX150" i="3" s="1"/>
  <c r="L152" i="3"/>
  <c r="K151" i="3"/>
  <c r="O151" i="3" s="1"/>
  <c r="AJ150" i="3"/>
  <c r="AN150" i="3" s="1"/>
  <c r="AK151" i="3"/>
  <c r="BN149" i="3"/>
  <c r="AZ151" i="3"/>
  <c r="AY150" i="3"/>
  <c r="BC150" i="3" s="1"/>
  <c r="AA151" i="3"/>
  <c r="Z150" i="3"/>
  <c r="AD150" i="3" s="1"/>
  <c r="P152" i="3"/>
  <c r="T152" i="3" s="1"/>
  <c r="Q153" i="3"/>
  <c r="U155" i="3"/>
  <c r="Y155" i="3" s="1"/>
  <c r="V156" i="3"/>
  <c r="G151" i="3"/>
  <c r="F150" i="3"/>
  <c r="J150" i="3" s="1"/>
  <c r="AF152" i="3"/>
  <c r="AE151" i="3"/>
  <c r="AI151" i="3" s="1"/>
  <c r="C164" i="2"/>
  <c r="D164" i="2"/>
  <c r="B164" i="2"/>
  <c r="A165" i="2"/>
  <c r="AP150" i="1"/>
  <c r="AV149" i="1" a="1"/>
  <c r="AV149" i="1" s="1"/>
  <c r="AR149" i="1"/>
  <c r="AJ149" i="1" s="1" a="1"/>
  <c r="AJ149" i="1" s="1"/>
  <c r="AQ149" i="1"/>
  <c r="AU149" i="1"/>
  <c r="AM149" i="1" s="1" a="1"/>
  <c r="AM149" i="1" s="1"/>
  <c r="AT149" i="1"/>
  <c r="AL149" i="1" s="1" a="1"/>
  <c r="AL149" i="1" s="1"/>
  <c r="AS149" i="1"/>
  <c r="AW149" i="1" a="1"/>
  <c r="AW149" i="1" s="1"/>
  <c r="AI148" i="1" a="1"/>
  <c r="AI148" i="1" s="1"/>
  <c r="AX148" i="1"/>
  <c r="AN148" i="1" s="1"/>
  <c r="AG149" i="1"/>
  <c r="AB149" i="1"/>
  <c r="Z150" i="1"/>
  <c r="AF149" i="1"/>
  <c r="AD149" i="1"/>
  <c r="AE149" i="1"/>
  <c r="AA149" i="1"/>
  <c r="AC149" i="1"/>
  <c r="AH150" i="1"/>
  <c r="AO149" i="1"/>
  <c r="AK149" i="1" l="1" a="1"/>
  <c r="AK149" i="1" s="1"/>
  <c r="AO151" i="3"/>
  <c r="AS151" i="3" s="1"/>
  <c r="AP152" i="3"/>
  <c r="Z151" i="3"/>
  <c r="AD151" i="3" s="1"/>
  <c r="AA152" i="3"/>
  <c r="BN150" i="3"/>
  <c r="AE152" i="3"/>
  <c r="AI152" i="3" s="1"/>
  <c r="AF153" i="3"/>
  <c r="AY151" i="3"/>
  <c r="BC151" i="3" s="1"/>
  <c r="AZ152" i="3"/>
  <c r="F151" i="3"/>
  <c r="J151" i="3" s="1"/>
  <c r="G152" i="3"/>
  <c r="U156" i="3"/>
  <c r="Y156" i="3" s="1"/>
  <c r="V157" i="3"/>
  <c r="AJ151" i="3"/>
  <c r="AN151" i="3" s="1"/>
  <c r="AK152" i="3"/>
  <c r="Q154" i="3"/>
  <c r="P153" i="3"/>
  <c r="T153" i="3" s="1"/>
  <c r="L153" i="3"/>
  <c r="K152" i="3"/>
  <c r="O152" i="3" s="1"/>
  <c r="AU152" i="3"/>
  <c r="AT151" i="3"/>
  <c r="AX151" i="3" s="1"/>
  <c r="D165" i="2"/>
  <c r="A166" i="2"/>
  <c r="B165" i="2"/>
  <c r="C165" i="2"/>
  <c r="AH151" i="1"/>
  <c r="AO150" i="1"/>
  <c r="AX149" i="1"/>
  <c r="AN149" i="1" s="1"/>
  <c r="AI149" i="1" a="1"/>
  <c r="AI149" i="1" s="1"/>
  <c r="AA150" i="1"/>
  <c r="Z151" i="1"/>
  <c r="AF150" i="1"/>
  <c r="AB150" i="1"/>
  <c r="AD150" i="1"/>
  <c r="AE150" i="1"/>
  <c r="AC150" i="1"/>
  <c r="AG150" i="1"/>
  <c r="AS150" i="1"/>
  <c r="AP151" i="1"/>
  <c r="AW150" i="1" a="1"/>
  <c r="AW150" i="1" s="1"/>
  <c r="AT150" i="1"/>
  <c r="AL150" i="1" s="1" a="1"/>
  <c r="AL150" i="1" s="1"/>
  <c r="AU150" i="1"/>
  <c r="AM150" i="1" s="1" a="1"/>
  <c r="AM150" i="1" s="1"/>
  <c r="AR150" i="1"/>
  <c r="AQ150" i="1"/>
  <c r="AV150" i="1" a="1"/>
  <c r="AV150" i="1" s="1"/>
  <c r="AJ150" i="1" l="1" a="1"/>
  <c r="AJ150" i="1" s="1"/>
  <c r="AK150" i="1" a="1"/>
  <c r="AK150" i="1" s="1"/>
  <c r="AP153" i="3"/>
  <c r="AO152" i="3"/>
  <c r="AS152" i="3" s="1"/>
  <c r="AT152" i="3"/>
  <c r="AX152" i="3" s="1"/>
  <c r="AU153" i="3"/>
  <c r="G153" i="3"/>
  <c r="F152" i="3"/>
  <c r="J152" i="3" s="1"/>
  <c r="L154" i="3"/>
  <c r="K153" i="3"/>
  <c r="O153" i="3" s="1"/>
  <c r="AZ153" i="3"/>
  <c r="AY152" i="3"/>
  <c r="BC152" i="3" s="1"/>
  <c r="Q155" i="3"/>
  <c r="P154" i="3"/>
  <c r="T154" i="3" s="1"/>
  <c r="BN151" i="3"/>
  <c r="AK153" i="3"/>
  <c r="AJ152" i="3"/>
  <c r="AN152" i="3" s="1"/>
  <c r="AE153" i="3"/>
  <c r="AI153" i="3" s="1"/>
  <c r="AF154" i="3"/>
  <c r="V158" i="3"/>
  <c r="U157" i="3"/>
  <c r="Y157" i="3" s="1"/>
  <c r="AA153" i="3"/>
  <c r="Z152" i="3"/>
  <c r="AD152" i="3" s="1"/>
  <c r="B166" i="2"/>
  <c r="D166" i="2"/>
  <c r="C166" i="2"/>
  <c r="A167" i="2"/>
  <c r="AX150" i="1"/>
  <c r="AN150" i="1" s="1"/>
  <c r="AI150" i="1" a="1"/>
  <c r="AI150" i="1" s="1"/>
  <c r="AE151" i="1"/>
  <c r="Z152" i="1"/>
  <c r="AB151" i="1"/>
  <c r="AG151" i="1"/>
  <c r="AF151" i="1"/>
  <c r="AA151" i="1"/>
  <c r="AD151" i="1"/>
  <c r="AC151" i="1"/>
  <c r="AT151" i="1"/>
  <c r="AL151" i="1" s="1" a="1"/>
  <c r="AL151" i="1" s="1"/>
  <c r="AR151" i="1"/>
  <c r="AW151" i="1" a="1"/>
  <c r="AW151" i="1" s="1"/>
  <c r="AQ151" i="1"/>
  <c r="AV151" i="1" a="1"/>
  <c r="AV151" i="1" s="1"/>
  <c r="AP152" i="1"/>
  <c r="AU151" i="1"/>
  <c r="AM151" i="1" s="1" a="1"/>
  <c r="AM151" i="1" s="1"/>
  <c r="AS151" i="1"/>
  <c r="AH152" i="1"/>
  <c r="AO151" i="1"/>
  <c r="AK151" i="1" l="1" a="1"/>
  <c r="AK151" i="1" s="1"/>
  <c r="AJ151" i="1" a="1"/>
  <c r="AJ151" i="1" s="1"/>
  <c r="AP154" i="3"/>
  <c r="AO153" i="3"/>
  <c r="AS153" i="3" s="1"/>
  <c r="Q156" i="3"/>
  <c r="P155" i="3"/>
  <c r="T155" i="3" s="1"/>
  <c r="BN152" i="3"/>
  <c r="Z153" i="3"/>
  <c r="AD153" i="3" s="1"/>
  <c r="AA154" i="3"/>
  <c r="AY153" i="3"/>
  <c r="BC153" i="3" s="1"/>
  <c r="AZ154" i="3"/>
  <c r="K154" i="3"/>
  <c r="O154" i="3" s="1"/>
  <c r="L155" i="3"/>
  <c r="U158" i="3"/>
  <c r="Y158" i="3" s="1"/>
  <c r="V159" i="3"/>
  <c r="AF155" i="3"/>
  <c r="AE154" i="3"/>
  <c r="AI154" i="3" s="1"/>
  <c r="F153" i="3"/>
  <c r="J153" i="3" s="1"/>
  <c r="G154" i="3"/>
  <c r="AU154" i="3"/>
  <c r="AT153" i="3"/>
  <c r="AX153" i="3" s="1"/>
  <c r="AK154" i="3"/>
  <c r="AJ153" i="3"/>
  <c r="AN153" i="3" s="1"/>
  <c r="B167" i="2"/>
  <c r="A168" i="2"/>
  <c r="D167" i="2"/>
  <c r="C167" i="2"/>
  <c r="AO152" i="1"/>
  <c r="AH153" i="1"/>
  <c r="AV152" i="1" a="1"/>
  <c r="AV152" i="1" s="1"/>
  <c r="AT152" i="1"/>
  <c r="AL152" i="1" s="1" a="1"/>
  <c r="AL152" i="1" s="1"/>
  <c r="AQ152" i="1"/>
  <c r="AW152" i="1" a="1"/>
  <c r="AW152" i="1" s="1"/>
  <c r="AP153" i="1"/>
  <c r="AS152" i="1"/>
  <c r="AU152" i="1"/>
  <c r="AR152" i="1"/>
  <c r="AJ152" i="1" s="1" a="1"/>
  <c r="AJ152" i="1" s="1"/>
  <c r="Z153" i="1"/>
  <c r="AG152" i="1"/>
  <c r="AC152" i="1"/>
  <c r="AB152" i="1"/>
  <c r="AF152" i="1"/>
  <c r="AD152" i="1"/>
  <c r="AE152" i="1"/>
  <c r="AA152" i="1"/>
  <c r="AX151" i="1"/>
  <c r="AI151" i="1" a="1"/>
  <c r="AI151" i="1" s="1"/>
  <c r="AN151" i="1"/>
  <c r="AM152" i="1" l="1" a="1"/>
  <c r="AM152" i="1" s="1"/>
  <c r="AK152" i="1" a="1"/>
  <c r="AK152" i="1" s="1"/>
  <c r="AP155" i="3"/>
  <c r="AO154" i="3"/>
  <c r="AS154" i="3" s="1"/>
  <c r="U159" i="3"/>
  <c r="Y159" i="3" s="1"/>
  <c r="V160" i="3"/>
  <c r="L156" i="3"/>
  <c r="K155" i="3"/>
  <c r="O155" i="3" s="1"/>
  <c r="AJ154" i="3"/>
  <c r="AN154" i="3" s="1"/>
  <c r="AK155" i="3"/>
  <c r="AZ155" i="3"/>
  <c r="AY154" i="3"/>
  <c r="BC154" i="3" s="1"/>
  <c r="AU155" i="3"/>
  <c r="AT154" i="3"/>
  <c r="AX154" i="3" s="1"/>
  <c r="BN153" i="3"/>
  <c r="F154" i="3"/>
  <c r="J154" i="3" s="1"/>
  <c r="G155" i="3"/>
  <c r="Z154" i="3"/>
  <c r="AD154" i="3" s="1"/>
  <c r="AA155" i="3"/>
  <c r="AF156" i="3"/>
  <c r="AE155" i="3"/>
  <c r="AI155" i="3" s="1"/>
  <c r="P156" i="3"/>
  <c r="T156" i="3" s="1"/>
  <c r="Q157" i="3"/>
  <c r="A169" i="2"/>
  <c r="B168" i="2"/>
  <c r="C168" i="2"/>
  <c r="D168" i="2"/>
  <c r="AE153" i="1"/>
  <c r="AD153" i="1"/>
  <c r="AF153" i="1"/>
  <c r="AB153" i="1"/>
  <c r="AA153" i="1"/>
  <c r="AG153" i="1"/>
  <c r="AC153" i="1"/>
  <c r="Z154" i="1"/>
  <c r="AV153" i="1" a="1"/>
  <c r="AV153" i="1" s="1"/>
  <c r="AW153" i="1" a="1"/>
  <c r="AW153" i="1" s="1"/>
  <c r="AU153" i="1"/>
  <c r="AM153" i="1" s="1" a="1"/>
  <c r="AM153" i="1" s="1"/>
  <c r="AT153" i="1"/>
  <c r="AL153" i="1" s="1" a="1"/>
  <c r="AL153" i="1" s="1"/>
  <c r="AQ153" i="1"/>
  <c r="AP154" i="1"/>
  <c r="AR153" i="1"/>
  <c r="AJ153" i="1" s="1" a="1"/>
  <c r="AJ153" i="1" s="1"/>
  <c r="AS153" i="1"/>
  <c r="AX152" i="1"/>
  <c r="AN152" i="1" s="1"/>
  <c r="AI152" i="1" a="1"/>
  <c r="AI152" i="1" s="1"/>
  <c r="AH154" i="1"/>
  <c r="AO153" i="1"/>
  <c r="AK153" i="1" l="1" a="1"/>
  <c r="AK153" i="1" s="1"/>
  <c r="AO155" i="3"/>
  <c r="AS155" i="3" s="1"/>
  <c r="AP156" i="3"/>
  <c r="AT155" i="3"/>
  <c r="AX155" i="3" s="1"/>
  <c r="AU156" i="3"/>
  <c r="P157" i="3"/>
  <c r="T157" i="3" s="1"/>
  <c r="Q158" i="3"/>
  <c r="BN154" i="3"/>
  <c r="AY155" i="3"/>
  <c r="BC155" i="3" s="1"/>
  <c r="AZ156" i="3"/>
  <c r="AJ155" i="3"/>
  <c r="AN155" i="3" s="1"/>
  <c r="AK156" i="3"/>
  <c r="AF157" i="3"/>
  <c r="AE156" i="3"/>
  <c r="AI156" i="3" s="1"/>
  <c r="AA156" i="3"/>
  <c r="Z155" i="3"/>
  <c r="AD155" i="3" s="1"/>
  <c r="K156" i="3"/>
  <c r="O156" i="3" s="1"/>
  <c r="L157" i="3"/>
  <c r="F155" i="3"/>
  <c r="J155" i="3" s="1"/>
  <c r="G156" i="3"/>
  <c r="V161" i="3"/>
  <c r="U160" i="3"/>
  <c r="Y160" i="3" s="1"/>
  <c r="A170" i="2"/>
  <c r="B169" i="2"/>
  <c r="C169" i="2"/>
  <c r="D169" i="2"/>
  <c r="AO154" i="1"/>
  <c r="AH155" i="1"/>
  <c r="AB154" i="1"/>
  <c r="AE154" i="1"/>
  <c r="AG154" i="1"/>
  <c r="AF154" i="1"/>
  <c r="AA154" i="1"/>
  <c r="AC154" i="1"/>
  <c r="AD154" i="1"/>
  <c r="Z155" i="1"/>
  <c r="AR154" i="1"/>
  <c r="AJ154" i="1" s="1" a="1"/>
  <c r="AJ154" i="1" s="1"/>
  <c r="AV154" i="1" a="1"/>
  <c r="AV154" i="1" s="1"/>
  <c r="AS154" i="1"/>
  <c r="AP155" i="1"/>
  <c r="AU154" i="1"/>
  <c r="AM154" i="1" s="1" a="1"/>
  <c r="AM154" i="1" s="1"/>
  <c r="AQ154" i="1"/>
  <c r="AW154" i="1" a="1"/>
  <c r="AW154" i="1" s="1"/>
  <c r="AT154" i="1"/>
  <c r="AL154" i="1" s="1" a="1"/>
  <c r="AL154" i="1" s="1"/>
  <c r="AX153" i="1"/>
  <c r="AN153" i="1" s="1"/>
  <c r="AI153" i="1" a="1"/>
  <c r="AI153" i="1" s="1"/>
  <c r="AK154" i="1" l="1" a="1"/>
  <c r="AK154" i="1" s="1"/>
  <c r="AP157" i="3"/>
  <c r="AO156" i="3"/>
  <c r="AS156" i="3" s="1"/>
  <c r="AA157" i="3"/>
  <c r="Z156" i="3"/>
  <c r="AD156" i="3" s="1"/>
  <c r="AE157" i="3"/>
  <c r="AI157" i="3" s="1"/>
  <c r="AF158" i="3"/>
  <c r="U161" i="3"/>
  <c r="Y161" i="3" s="1"/>
  <c r="V162" i="3"/>
  <c r="AK157" i="3"/>
  <c r="AJ156" i="3"/>
  <c r="AN156" i="3" s="1"/>
  <c r="AY156" i="3"/>
  <c r="BC156" i="3" s="1"/>
  <c r="AZ157" i="3"/>
  <c r="BN155" i="3"/>
  <c r="G157" i="3"/>
  <c r="F156" i="3"/>
  <c r="J156" i="3" s="1"/>
  <c r="Q159" i="3"/>
  <c r="P158" i="3"/>
  <c r="T158" i="3" s="1"/>
  <c r="K157" i="3"/>
  <c r="O157" i="3" s="1"/>
  <c r="L158" i="3"/>
  <c r="AT156" i="3"/>
  <c r="AX156" i="3" s="1"/>
  <c r="AU157" i="3"/>
  <c r="D170" i="2"/>
  <c r="C170" i="2"/>
  <c r="A171" i="2"/>
  <c r="B170" i="2"/>
  <c r="AA155" i="1"/>
  <c r="AE155" i="1"/>
  <c r="AD155" i="1"/>
  <c r="Z156" i="1"/>
  <c r="AC155" i="1"/>
  <c r="AG155" i="1"/>
  <c r="AF155" i="1"/>
  <c r="AB155" i="1"/>
  <c r="AX154" i="1"/>
  <c r="AN154" i="1" s="1"/>
  <c r="AI154" i="1" a="1"/>
  <c r="AI154" i="1" s="1"/>
  <c r="AR155" i="1"/>
  <c r="AV155" i="1" a="1"/>
  <c r="AV155" i="1" s="1"/>
  <c r="AP156" i="1"/>
  <c r="AT155" i="1"/>
  <c r="AL155" i="1" s="1" a="1"/>
  <c r="AL155" i="1" s="1"/>
  <c r="AS155" i="1"/>
  <c r="AQ155" i="1"/>
  <c r="AU155" i="1"/>
  <c r="AM155" i="1" s="1" a="1"/>
  <c r="AM155" i="1" s="1"/>
  <c r="AW155" i="1" a="1"/>
  <c r="AW155" i="1" s="1"/>
  <c r="AH156" i="1"/>
  <c r="AO155" i="1"/>
  <c r="AJ155" i="1" l="1" a="1"/>
  <c r="AJ155" i="1" s="1"/>
  <c r="AK155" i="1" a="1"/>
  <c r="AK155" i="1" s="1"/>
  <c r="AP158" i="3"/>
  <c r="AO157" i="3"/>
  <c r="AS157" i="3" s="1"/>
  <c r="BN156" i="3"/>
  <c r="AT157" i="3"/>
  <c r="AX157" i="3" s="1"/>
  <c r="AU158" i="3"/>
  <c r="K158" i="3"/>
  <c r="O158" i="3" s="1"/>
  <c r="L159" i="3"/>
  <c r="AJ157" i="3"/>
  <c r="AN157" i="3" s="1"/>
  <c r="AK158" i="3"/>
  <c r="U162" i="3"/>
  <c r="Y162" i="3" s="1"/>
  <c r="V163" i="3"/>
  <c r="P159" i="3"/>
  <c r="T159" i="3" s="1"/>
  <c r="Q160" i="3"/>
  <c r="G158" i="3"/>
  <c r="F157" i="3"/>
  <c r="J157" i="3" s="1"/>
  <c r="AE158" i="3"/>
  <c r="AI158" i="3" s="1"/>
  <c r="AF159" i="3"/>
  <c r="AY157" i="3"/>
  <c r="BC157" i="3" s="1"/>
  <c r="AZ158" i="3"/>
  <c r="AA158" i="3"/>
  <c r="Z157" i="3"/>
  <c r="AD157" i="3" s="1"/>
  <c r="A172" i="2"/>
  <c r="B171" i="2"/>
  <c r="D171" i="2"/>
  <c r="C171" i="2"/>
  <c r="AX155" i="1"/>
  <c r="AN155" i="1" s="1"/>
  <c r="AI155" i="1" a="1"/>
  <c r="AI155" i="1" s="1"/>
  <c r="AO156" i="1"/>
  <c r="AH157" i="1"/>
  <c r="AF156" i="1"/>
  <c r="AC156" i="1"/>
  <c r="AG156" i="1"/>
  <c r="Z157" i="1"/>
  <c r="AE156" i="1"/>
  <c r="AD156" i="1"/>
  <c r="AA156" i="1"/>
  <c r="AB156" i="1"/>
  <c r="AR156" i="1"/>
  <c r="AS156" i="1"/>
  <c r="AK156" i="1" s="1" a="1"/>
  <c r="AK156" i="1" s="1"/>
  <c r="AQ156" i="1"/>
  <c r="AW156" i="1" a="1"/>
  <c r="AW156" i="1" s="1"/>
  <c r="AU156" i="1"/>
  <c r="AM156" i="1" s="1" a="1"/>
  <c r="AM156" i="1" s="1"/>
  <c r="AV156" i="1" a="1"/>
  <c r="AV156" i="1" s="1"/>
  <c r="AP157" i="1"/>
  <c r="AT156" i="1"/>
  <c r="AL156" i="1" s="1" a="1"/>
  <c r="AL156" i="1" s="1"/>
  <c r="AJ156" i="1" l="1" a="1"/>
  <c r="AJ156" i="1" s="1"/>
  <c r="AO158" i="3"/>
  <c r="AS158" i="3" s="1"/>
  <c r="AP159" i="3"/>
  <c r="U163" i="3"/>
  <c r="Y163" i="3" s="1"/>
  <c r="V164" i="3"/>
  <c r="AA159" i="3"/>
  <c r="Z158" i="3"/>
  <c r="AD158" i="3" s="1"/>
  <c r="AZ159" i="3"/>
  <c r="AY158" i="3"/>
  <c r="BC158" i="3" s="1"/>
  <c r="AK159" i="3"/>
  <c r="AJ158" i="3"/>
  <c r="AN158" i="3" s="1"/>
  <c r="BN157" i="3"/>
  <c r="AE159" i="3"/>
  <c r="AI159" i="3" s="1"/>
  <c r="AF160" i="3"/>
  <c r="K159" i="3"/>
  <c r="O159" i="3" s="1"/>
  <c r="L160" i="3"/>
  <c r="F158" i="3"/>
  <c r="J158" i="3" s="1"/>
  <c r="G159" i="3"/>
  <c r="AT158" i="3"/>
  <c r="AX158" i="3" s="1"/>
  <c r="AU159" i="3"/>
  <c r="Q161" i="3"/>
  <c r="P160" i="3"/>
  <c r="T160" i="3" s="1"/>
  <c r="C172" i="2"/>
  <c r="A173" i="2"/>
  <c r="B172" i="2"/>
  <c r="D172" i="2"/>
  <c r="AB157" i="1"/>
  <c r="AA157" i="1"/>
  <c r="AG157" i="1"/>
  <c r="AE157" i="1"/>
  <c r="AF157" i="1"/>
  <c r="AC157" i="1"/>
  <c r="Z158" i="1"/>
  <c r="AD157" i="1"/>
  <c r="AQ157" i="1"/>
  <c r="AW157" i="1" a="1"/>
  <c r="AW157" i="1" s="1"/>
  <c r="AR157" i="1"/>
  <c r="AJ157" i="1" s="1" a="1"/>
  <c r="AJ157" i="1" s="1"/>
  <c r="AP158" i="1"/>
  <c r="AS157" i="1"/>
  <c r="AV157" i="1" a="1"/>
  <c r="AV157" i="1" s="1"/>
  <c r="AU157" i="1"/>
  <c r="AM157" i="1" s="1" a="1"/>
  <c r="AM157" i="1" s="1"/>
  <c r="AT157" i="1"/>
  <c r="AL157" i="1" s="1" a="1"/>
  <c r="AL157" i="1" s="1"/>
  <c r="AX156" i="1"/>
  <c r="AN156" i="1" s="1"/>
  <c r="AI156" i="1" a="1"/>
  <c r="AI156" i="1" s="1"/>
  <c r="AH158" i="1"/>
  <c r="AO157" i="1"/>
  <c r="AK157" i="1" l="1" a="1"/>
  <c r="AK157" i="1" s="1"/>
  <c r="AP160" i="3"/>
  <c r="AO159" i="3"/>
  <c r="AS159" i="3" s="1"/>
  <c r="AE160" i="3"/>
  <c r="AI160" i="3" s="1"/>
  <c r="AF161" i="3"/>
  <c r="P161" i="3"/>
  <c r="T161" i="3" s="1"/>
  <c r="Q162" i="3"/>
  <c r="AU160" i="3"/>
  <c r="AT159" i="3"/>
  <c r="AX159" i="3" s="1"/>
  <c r="AK160" i="3"/>
  <c r="AJ159" i="3"/>
  <c r="AN159" i="3" s="1"/>
  <c r="BN158" i="3"/>
  <c r="AY159" i="3"/>
  <c r="BC159" i="3" s="1"/>
  <c r="AZ160" i="3"/>
  <c r="G160" i="3"/>
  <c r="F159" i="3"/>
  <c r="J159" i="3" s="1"/>
  <c r="AA160" i="3"/>
  <c r="Z159" i="3"/>
  <c r="AD159" i="3" s="1"/>
  <c r="L161" i="3"/>
  <c r="K160" i="3"/>
  <c r="O160" i="3" s="1"/>
  <c r="V165" i="3"/>
  <c r="U164" i="3"/>
  <c r="Y164" i="3" s="1"/>
  <c r="C173" i="2"/>
  <c r="A174" i="2"/>
  <c r="D173" i="2"/>
  <c r="B173" i="2"/>
  <c r="AR158" i="1"/>
  <c r="AS158" i="1"/>
  <c r="AQ158" i="1"/>
  <c r="AV158" i="1" a="1"/>
  <c r="AV158" i="1" s="1"/>
  <c r="AU158" i="1"/>
  <c r="AM158" i="1" s="1" a="1"/>
  <c r="AM158" i="1" s="1"/>
  <c r="AT158" i="1"/>
  <c r="AP159" i="1"/>
  <c r="AW158" i="1" a="1"/>
  <c r="AW158" i="1" s="1"/>
  <c r="AX157" i="1"/>
  <c r="AN157" i="1" s="1"/>
  <c r="AI157" i="1" a="1"/>
  <c r="AI157" i="1" s="1"/>
  <c r="AO158" i="1"/>
  <c r="AH159" i="1"/>
  <c r="AA158" i="1"/>
  <c r="AG158" i="1"/>
  <c r="Z159" i="1"/>
  <c r="AE158" i="1"/>
  <c r="AD158" i="1"/>
  <c r="AB158" i="1"/>
  <c r="AF158" i="1"/>
  <c r="AC158" i="1"/>
  <c r="AK158" i="1" l="1" a="1"/>
  <c r="AK158" i="1" s="1"/>
  <c r="AL158" i="1" a="1"/>
  <c r="AL158" i="1" s="1"/>
  <c r="AJ158" i="1" a="1"/>
  <c r="AJ158" i="1" s="1"/>
  <c r="AO160" i="3"/>
  <c r="AS160" i="3" s="1"/>
  <c r="AP161" i="3"/>
  <c r="BN159" i="3"/>
  <c r="V166" i="3"/>
  <c r="U165" i="3"/>
  <c r="Y165" i="3" s="1"/>
  <c r="L162" i="3"/>
  <c r="K161" i="3"/>
  <c r="O161" i="3" s="1"/>
  <c r="AJ160" i="3"/>
  <c r="AN160" i="3" s="1"/>
  <c r="AK161" i="3"/>
  <c r="AA161" i="3"/>
  <c r="Z160" i="3"/>
  <c r="AD160" i="3" s="1"/>
  <c r="AT160" i="3"/>
  <c r="AX160" i="3" s="1"/>
  <c r="AU161" i="3"/>
  <c r="P162" i="3"/>
  <c r="T162" i="3" s="1"/>
  <c r="Q163" i="3"/>
  <c r="AF162" i="3"/>
  <c r="AE161" i="3"/>
  <c r="AI161" i="3" s="1"/>
  <c r="G161" i="3"/>
  <c r="F160" i="3"/>
  <c r="J160" i="3" s="1"/>
  <c r="AY160" i="3"/>
  <c r="BC160" i="3" s="1"/>
  <c r="AZ161" i="3"/>
  <c r="D174" i="2"/>
  <c r="C174" i="2"/>
  <c r="B174" i="2"/>
  <c r="A175" i="2"/>
  <c r="AO159" i="1"/>
  <c r="AH160" i="1"/>
  <c r="AD159" i="1"/>
  <c r="AE159" i="1"/>
  <c r="AC159" i="1"/>
  <c r="AG159" i="1"/>
  <c r="AB159" i="1"/>
  <c r="Z160" i="1"/>
  <c r="AA159" i="1"/>
  <c r="AF159" i="1"/>
  <c r="AT159" i="1"/>
  <c r="AL159" i="1" s="1" a="1"/>
  <c r="AL159" i="1" s="1"/>
  <c r="AW159" i="1" a="1"/>
  <c r="AW159" i="1" s="1"/>
  <c r="AS159" i="1"/>
  <c r="AK159" i="1" s="1" a="1"/>
  <c r="AK159" i="1" s="1"/>
  <c r="AU159" i="1"/>
  <c r="AM159" i="1" s="1" a="1"/>
  <c r="AM159" i="1" s="1"/>
  <c r="AR159" i="1"/>
  <c r="AJ159" i="1" s="1" a="1"/>
  <c r="AJ159" i="1" s="1"/>
  <c r="AQ159" i="1"/>
  <c r="AP160" i="1"/>
  <c r="AV159" i="1" a="1"/>
  <c r="AV159" i="1" s="1"/>
  <c r="AI158" i="1" a="1"/>
  <c r="AI158" i="1" s="1"/>
  <c r="AX158" i="1"/>
  <c r="AN158" i="1" s="1"/>
  <c r="AP162" i="3" l="1"/>
  <c r="AO161" i="3"/>
  <c r="AS161" i="3" s="1"/>
  <c r="AY161" i="3"/>
  <c r="BC161" i="3" s="1"/>
  <c r="AZ162" i="3"/>
  <c r="AA162" i="3"/>
  <c r="Z161" i="3"/>
  <c r="AD161" i="3" s="1"/>
  <c r="BN160" i="3"/>
  <c r="AJ161" i="3"/>
  <c r="AN161" i="3" s="1"/>
  <c r="AK162" i="3"/>
  <c r="G162" i="3"/>
  <c r="F161" i="3"/>
  <c r="J161" i="3" s="1"/>
  <c r="K162" i="3"/>
  <c r="O162" i="3" s="1"/>
  <c r="L163" i="3"/>
  <c r="AF163" i="3"/>
  <c r="AE162" i="3"/>
  <c r="AI162" i="3" s="1"/>
  <c r="P163" i="3"/>
  <c r="T163" i="3" s="1"/>
  <c r="Q164" i="3"/>
  <c r="AU162" i="3"/>
  <c r="AT161" i="3"/>
  <c r="AX161" i="3" s="1"/>
  <c r="V167" i="3"/>
  <c r="U166" i="3"/>
  <c r="Y166" i="3" s="1"/>
  <c r="C175" i="2"/>
  <c r="D175" i="2"/>
  <c r="B175" i="2"/>
  <c r="A176" i="2"/>
  <c r="AA160" i="1"/>
  <c r="AB160" i="1"/>
  <c r="Z161" i="1"/>
  <c r="AD160" i="1"/>
  <c r="AC160" i="1"/>
  <c r="AF160" i="1"/>
  <c r="AE160" i="1"/>
  <c r="AG160" i="1"/>
  <c r="AR160" i="1"/>
  <c r="AJ160" i="1" s="1" a="1"/>
  <c r="AJ160" i="1" s="1"/>
  <c r="AV160" i="1" a="1"/>
  <c r="AV160" i="1" s="1"/>
  <c r="AP161" i="1"/>
  <c r="AS160" i="1"/>
  <c r="AQ160" i="1"/>
  <c r="AW160" i="1" a="1"/>
  <c r="AW160" i="1" s="1"/>
  <c r="AT160" i="1"/>
  <c r="AL160" i="1" s="1" a="1"/>
  <c r="AL160" i="1" s="1"/>
  <c r="AU160" i="1"/>
  <c r="AM160" i="1" s="1" a="1"/>
  <c r="AM160" i="1" s="1"/>
  <c r="AX159" i="1"/>
  <c r="AN159" i="1" s="1"/>
  <c r="AI159" i="1" a="1"/>
  <c r="AI159" i="1" s="1"/>
  <c r="AO160" i="1"/>
  <c r="AH161" i="1"/>
  <c r="AK160" i="1" l="1" a="1"/>
  <c r="AK160" i="1" s="1"/>
  <c r="AP163" i="3"/>
  <c r="AO162" i="3"/>
  <c r="AS162" i="3" s="1"/>
  <c r="L164" i="3"/>
  <c r="K163" i="3"/>
  <c r="O163" i="3" s="1"/>
  <c r="V168" i="3"/>
  <c r="U167" i="3"/>
  <c r="Y167" i="3" s="1"/>
  <c r="F162" i="3"/>
  <c r="J162" i="3" s="1"/>
  <c r="G163" i="3"/>
  <c r="AT162" i="3"/>
  <c r="AX162" i="3" s="1"/>
  <c r="AU163" i="3"/>
  <c r="AK163" i="3"/>
  <c r="AJ162" i="3"/>
  <c r="AN162" i="3" s="1"/>
  <c r="Q165" i="3"/>
  <c r="P164" i="3"/>
  <c r="T164" i="3" s="1"/>
  <c r="Z162" i="3"/>
  <c r="AD162" i="3" s="1"/>
  <c r="AA163" i="3"/>
  <c r="AZ163" i="3"/>
  <c r="AY162" i="3"/>
  <c r="BC162" i="3" s="1"/>
  <c r="AE163" i="3"/>
  <c r="AI163" i="3" s="1"/>
  <c r="AF164" i="3"/>
  <c r="BN161" i="3"/>
  <c r="D176" i="2"/>
  <c r="B176" i="2"/>
  <c r="C176" i="2"/>
  <c r="A177" i="2"/>
  <c r="AV161" i="1" a="1"/>
  <c r="AV161" i="1" s="1"/>
  <c r="AQ161" i="1"/>
  <c r="AR161" i="1"/>
  <c r="AJ161" i="1" s="1" a="1"/>
  <c r="AJ161" i="1" s="1"/>
  <c r="AT161" i="1"/>
  <c r="AL161" i="1" s="1" a="1"/>
  <c r="AL161" i="1" s="1"/>
  <c r="AS161" i="1"/>
  <c r="AK161" i="1" s="1" a="1"/>
  <c r="AK161" i="1" s="1"/>
  <c r="AU161" i="1"/>
  <c r="AP162" i="1"/>
  <c r="AW161" i="1" a="1"/>
  <c r="AW161" i="1" s="1"/>
  <c r="AO161" i="1"/>
  <c r="AH162" i="1"/>
  <c r="AG161" i="1"/>
  <c r="AB161" i="1"/>
  <c r="AC161" i="1"/>
  <c r="AA161" i="1"/>
  <c r="Z162" i="1"/>
  <c r="AD161" i="1"/>
  <c r="AE161" i="1"/>
  <c r="AF161" i="1"/>
  <c r="AI160" i="1" a="1"/>
  <c r="AI160" i="1" s="1"/>
  <c r="AX160" i="1"/>
  <c r="AN160" i="1" s="1"/>
  <c r="AM161" i="1" l="1" a="1"/>
  <c r="AM161" i="1" s="1"/>
  <c r="AP164" i="3"/>
  <c r="AO163" i="3"/>
  <c r="AS163" i="3" s="1"/>
  <c r="AK164" i="3"/>
  <c r="AJ163" i="3"/>
  <c r="AN163" i="3" s="1"/>
  <c r="AE164" i="3"/>
  <c r="AI164" i="3" s="1"/>
  <c r="AF165" i="3"/>
  <c r="AU164" i="3"/>
  <c r="AT163" i="3"/>
  <c r="AX163" i="3" s="1"/>
  <c r="BN162" i="3"/>
  <c r="AY163" i="3"/>
  <c r="BC163" i="3" s="1"/>
  <c r="AZ164" i="3"/>
  <c r="G164" i="3"/>
  <c r="F163" i="3"/>
  <c r="J163" i="3" s="1"/>
  <c r="Z163" i="3"/>
  <c r="AD163" i="3" s="1"/>
  <c r="AA164" i="3"/>
  <c r="U168" i="3"/>
  <c r="Y168" i="3" s="1"/>
  <c r="V169" i="3"/>
  <c r="P165" i="3"/>
  <c r="T165" i="3" s="1"/>
  <c r="Q166" i="3"/>
  <c r="K164" i="3"/>
  <c r="O164" i="3" s="1"/>
  <c r="L165" i="3"/>
  <c r="C177" i="2"/>
  <c r="B177" i="2"/>
  <c r="D177" i="2"/>
  <c r="A178" i="2"/>
  <c r="AH163" i="1"/>
  <c r="AO162" i="1"/>
  <c r="AF162" i="1"/>
  <c r="AG162" i="1"/>
  <c r="AA162" i="1"/>
  <c r="Z163" i="1"/>
  <c r="AB162" i="1"/>
  <c r="AE162" i="1"/>
  <c r="AD162" i="1"/>
  <c r="AC162" i="1"/>
  <c r="AT162" i="1"/>
  <c r="AL162" i="1" s="1" a="1"/>
  <c r="AL162" i="1" s="1"/>
  <c r="AU162" i="1"/>
  <c r="AM162" i="1" s="1" a="1"/>
  <c r="AM162" i="1" s="1"/>
  <c r="AQ162" i="1"/>
  <c r="AV162" i="1" a="1"/>
  <c r="AV162" i="1" s="1"/>
  <c r="AW162" i="1" a="1"/>
  <c r="AW162" i="1" s="1"/>
  <c r="AR162" i="1"/>
  <c r="AJ162" i="1" s="1" a="1"/>
  <c r="AJ162" i="1" s="1"/>
  <c r="AP163" i="1"/>
  <c r="AS162" i="1"/>
  <c r="AK162" i="1" s="1" a="1"/>
  <c r="AK162" i="1" s="1"/>
  <c r="AI161" i="1" a="1"/>
  <c r="AI161" i="1" s="1"/>
  <c r="AX161" i="1"/>
  <c r="AN161" i="1" s="1"/>
  <c r="AP165" i="3" l="1"/>
  <c r="AO164" i="3"/>
  <c r="AS164" i="3" s="1"/>
  <c r="K165" i="3"/>
  <c r="O165" i="3" s="1"/>
  <c r="L166" i="3"/>
  <c r="F164" i="3"/>
  <c r="J164" i="3" s="1"/>
  <c r="G165" i="3"/>
  <c r="P166" i="3"/>
  <c r="T166" i="3" s="1"/>
  <c r="Q167" i="3"/>
  <c r="AY164" i="3"/>
  <c r="BC164" i="3" s="1"/>
  <c r="AZ165" i="3"/>
  <c r="BN163" i="3"/>
  <c r="V170" i="3"/>
  <c r="U169" i="3"/>
  <c r="Y169" i="3" s="1"/>
  <c r="AU165" i="3"/>
  <c r="AT164" i="3"/>
  <c r="AX164" i="3" s="1"/>
  <c r="AE165" i="3"/>
  <c r="AI165" i="3" s="1"/>
  <c r="AF166" i="3"/>
  <c r="AA165" i="3"/>
  <c r="Z164" i="3"/>
  <c r="AD164" i="3" s="1"/>
  <c r="AK165" i="3"/>
  <c r="AJ164" i="3"/>
  <c r="AN164" i="3" s="1"/>
  <c r="D178" i="2"/>
  <c r="B178" i="2"/>
  <c r="A179" i="2"/>
  <c r="C178" i="2"/>
  <c r="Z164" i="1"/>
  <c r="AB163" i="1"/>
  <c r="AC163" i="1"/>
  <c r="AA163" i="1"/>
  <c r="AF163" i="1"/>
  <c r="AD163" i="1"/>
  <c r="AE163" i="1"/>
  <c r="AG163" i="1"/>
  <c r="AP164" i="1"/>
  <c r="AW163" i="1" a="1"/>
  <c r="AW163" i="1" s="1"/>
  <c r="AT163" i="1"/>
  <c r="AL163" i="1" s="1" a="1"/>
  <c r="AL163" i="1" s="1"/>
  <c r="AV163" i="1" a="1"/>
  <c r="AV163" i="1" s="1"/>
  <c r="AU163" i="1"/>
  <c r="AR163" i="1"/>
  <c r="AJ163" i="1" s="1" a="1"/>
  <c r="AJ163" i="1" s="1"/>
  <c r="AS163" i="1"/>
  <c r="AK163" i="1" s="1" a="1"/>
  <c r="AK163" i="1" s="1"/>
  <c r="AQ163" i="1"/>
  <c r="AX162" i="1"/>
  <c r="AN162" i="1" s="1"/>
  <c r="AI162" i="1" a="1"/>
  <c r="AI162" i="1" s="1"/>
  <c r="AO163" i="1"/>
  <c r="AH164" i="1"/>
  <c r="AM163" i="1" l="1" a="1"/>
  <c r="AM163" i="1" s="1"/>
  <c r="AP166" i="3"/>
  <c r="AO165" i="3"/>
  <c r="AS165" i="3" s="1"/>
  <c r="V171" i="3"/>
  <c r="U170" i="3"/>
  <c r="Y170" i="3" s="1"/>
  <c r="AJ165" i="3"/>
  <c r="AN165" i="3" s="1"/>
  <c r="AK166" i="3"/>
  <c r="AZ166" i="3"/>
  <c r="AY165" i="3"/>
  <c r="BC165" i="3" s="1"/>
  <c r="Z165" i="3"/>
  <c r="AD165" i="3" s="1"/>
  <c r="AA166" i="3"/>
  <c r="BN164" i="3"/>
  <c r="P167" i="3"/>
  <c r="T167" i="3" s="1"/>
  <c r="Q168" i="3"/>
  <c r="AE166" i="3"/>
  <c r="AI166" i="3" s="1"/>
  <c r="AF167" i="3"/>
  <c r="F165" i="3"/>
  <c r="J165" i="3" s="1"/>
  <c r="G166" i="3"/>
  <c r="AT165" i="3"/>
  <c r="AX165" i="3" s="1"/>
  <c r="AU166" i="3"/>
  <c r="K166" i="3"/>
  <c r="O166" i="3" s="1"/>
  <c r="L167" i="3"/>
  <c r="B179" i="2"/>
  <c r="C179" i="2"/>
  <c r="A180" i="2"/>
  <c r="D179" i="2"/>
  <c r="AH165" i="1"/>
  <c r="AO164" i="1"/>
  <c r="AR164" i="1"/>
  <c r="AJ164" i="1" s="1" a="1"/>
  <c r="AJ164" i="1" s="1"/>
  <c r="AW164" i="1" a="1"/>
  <c r="AW164" i="1" s="1"/>
  <c r="AU164" i="1"/>
  <c r="AQ164" i="1"/>
  <c r="AT164" i="1"/>
  <c r="AL164" i="1" s="1" a="1"/>
  <c r="AL164" i="1" s="1"/>
  <c r="AV164" i="1" a="1"/>
  <c r="AV164" i="1" s="1"/>
  <c r="AP165" i="1"/>
  <c r="AS164" i="1"/>
  <c r="AK164" i="1" s="1" a="1"/>
  <c r="AK164" i="1" s="1"/>
  <c r="AX163" i="1"/>
  <c r="AN163" i="1" s="1"/>
  <c r="AI163" i="1" a="1"/>
  <c r="AI163" i="1" s="1"/>
  <c r="AD164" i="1"/>
  <c r="AF164" i="1"/>
  <c r="AB164" i="1"/>
  <c r="AE164" i="1"/>
  <c r="Z165" i="1"/>
  <c r="AG164" i="1"/>
  <c r="AA164" i="1"/>
  <c r="AC164" i="1"/>
  <c r="AM164" i="1" l="1" a="1"/>
  <c r="AM164" i="1" s="1"/>
  <c r="AO166" i="3"/>
  <c r="AS166" i="3" s="1"/>
  <c r="AP167" i="3"/>
  <c r="K167" i="3"/>
  <c r="O167" i="3" s="1"/>
  <c r="L168" i="3"/>
  <c r="AU167" i="3"/>
  <c r="AT166" i="3"/>
  <c r="AX166" i="3" s="1"/>
  <c r="Z166" i="3"/>
  <c r="AD166" i="3" s="1"/>
  <c r="AA167" i="3"/>
  <c r="F166" i="3"/>
  <c r="J166" i="3" s="1"/>
  <c r="G167" i="3"/>
  <c r="BN165" i="3"/>
  <c r="AZ167" i="3"/>
  <c r="AY166" i="3"/>
  <c r="BC166" i="3" s="1"/>
  <c r="AJ166" i="3"/>
  <c r="AN166" i="3" s="1"/>
  <c r="AK167" i="3"/>
  <c r="AF168" i="3"/>
  <c r="AE167" i="3"/>
  <c r="AI167" i="3" s="1"/>
  <c r="P168" i="3"/>
  <c r="T168" i="3" s="1"/>
  <c r="Q169" i="3"/>
  <c r="V172" i="3"/>
  <c r="U171" i="3"/>
  <c r="Y171" i="3" s="1"/>
  <c r="A181" i="2"/>
  <c r="D180" i="2"/>
  <c r="C180" i="2"/>
  <c r="B180" i="2"/>
  <c r="AT165" i="1"/>
  <c r="AU165" i="1"/>
  <c r="AM165" i="1" s="1" a="1"/>
  <c r="AM165" i="1" s="1"/>
  <c r="AW165" i="1" a="1"/>
  <c r="AW165" i="1" s="1"/>
  <c r="AQ165" i="1"/>
  <c r="AV165" i="1" a="1"/>
  <c r="AV165" i="1" s="1"/>
  <c r="AS165" i="1"/>
  <c r="AR165" i="1"/>
  <c r="AJ165" i="1" s="1" a="1"/>
  <c r="AJ165" i="1" s="1"/>
  <c r="AP166" i="1"/>
  <c r="AX164" i="1"/>
  <c r="AN164" i="1" s="1"/>
  <c r="AI164" i="1" a="1"/>
  <c r="AI164" i="1" s="1"/>
  <c r="AE165" i="1"/>
  <c r="AG165" i="1"/>
  <c r="AF165" i="1"/>
  <c r="AC165" i="1"/>
  <c r="AA165" i="1"/>
  <c r="Z166" i="1"/>
  <c r="AB165" i="1"/>
  <c r="AD165" i="1"/>
  <c r="AH166" i="1"/>
  <c r="AO165" i="1"/>
  <c r="AK165" i="1" l="1" a="1"/>
  <c r="AK165" i="1" s="1"/>
  <c r="AL165" i="1" a="1"/>
  <c r="AL165" i="1" s="1"/>
  <c r="AP168" i="3"/>
  <c r="AO167" i="3"/>
  <c r="AS167" i="3" s="1"/>
  <c r="F167" i="3"/>
  <c r="J167" i="3" s="1"/>
  <c r="G168" i="3"/>
  <c r="U172" i="3"/>
  <c r="Y172" i="3" s="1"/>
  <c r="V173" i="3"/>
  <c r="Q170" i="3"/>
  <c r="P169" i="3"/>
  <c r="T169" i="3" s="1"/>
  <c r="AA168" i="3"/>
  <c r="Z167" i="3"/>
  <c r="AD167" i="3" s="1"/>
  <c r="AE168" i="3"/>
  <c r="AI168" i="3" s="1"/>
  <c r="AF169" i="3"/>
  <c r="AT167" i="3"/>
  <c r="AX167" i="3" s="1"/>
  <c r="AU168" i="3"/>
  <c r="AK168" i="3"/>
  <c r="AJ167" i="3"/>
  <c r="AN167" i="3" s="1"/>
  <c r="L169" i="3"/>
  <c r="K168" i="3"/>
  <c r="O168" i="3" s="1"/>
  <c r="BN166" i="3"/>
  <c r="AY167" i="3"/>
  <c r="BC167" i="3" s="1"/>
  <c r="AZ168" i="3"/>
  <c r="A182" i="2"/>
  <c r="D181" i="2"/>
  <c r="C181" i="2"/>
  <c r="B181" i="2"/>
  <c r="AF166" i="1"/>
  <c r="AC166" i="1"/>
  <c r="AA166" i="1"/>
  <c r="AG166" i="1"/>
  <c r="AE166" i="1"/>
  <c r="AD166" i="1"/>
  <c r="AB166" i="1"/>
  <c r="Z167" i="1"/>
  <c r="AH167" i="1"/>
  <c r="AO166" i="1"/>
  <c r="AQ166" i="1"/>
  <c r="AR166" i="1"/>
  <c r="AS166" i="1"/>
  <c r="AK166" i="1" s="1" a="1"/>
  <c r="AK166" i="1" s="1"/>
  <c r="AU166" i="1"/>
  <c r="AV166" i="1" a="1"/>
  <c r="AV166" i="1" s="1"/>
  <c r="AP167" i="1"/>
  <c r="AT166" i="1"/>
  <c r="AW166" i="1" a="1"/>
  <c r="AW166" i="1" s="1"/>
  <c r="AX165" i="1"/>
  <c r="AN165" i="1" s="1"/>
  <c r="AI165" i="1" a="1"/>
  <c r="AI165" i="1" s="1"/>
  <c r="AJ166" i="1" l="1" a="1"/>
  <c r="AJ166" i="1" s="1"/>
  <c r="AL166" i="1" a="1"/>
  <c r="AL166" i="1" s="1"/>
  <c r="AM166" i="1" a="1"/>
  <c r="AM166" i="1" s="1"/>
  <c r="AP169" i="3"/>
  <c r="AO168" i="3"/>
  <c r="AS168" i="3" s="1"/>
  <c r="AE169" i="3"/>
  <c r="AI169" i="3" s="1"/>
  <c r="AF170" i="3"/>
  <c r="AY168" i="3"/>
  <c r="BC168" i="3" s="1"/>
  <c r="AZ169" i="3"/>
  <c r="AA169" i="3"/>
  <c r="Z168" i="3"/>
  <c r="AD168" i="3" s="1"/>
  <c r="BN167" i="3"/>
  <c r="Q171" i="3"/>
  <c r="P170" i="3"/>
  <c r="T170" i="3" s="1"/>
  <c r="U173" i="3"/>
  <c r="Y173" i="3" s="1"/>
  <c r="V174" i="3"/>
  <c r="AJ168" i="3"/>
  <c r="AN168" i="3" s="1"/>
  <c r="AK169" i="3"/>
  <c r="K169" i="3"/>
  <c r="O169" i="3" s="1"/>
  <c r="L170" i="3"/>
  <c r="AU169" i="3"/>
  <c r="AT168" i="3"/>
  <c r="AX168" i="3" s="1"/>
  <c r="G169" i="3"/>
  <c r="F168" i="3"/>
  <c r="J168" i="3" s="1"/>
  <c r="A183" i="2"/>
  <c r="C182" i="2"/>
  <c r="D182" i="2"/>
  <c r="B182" i="2"/>
  <c r="AI166" i="1" a="1"/>
  <c r="AI166" i="1" s="1"/>
  <c r="AX166" i="1"/>
  <c r="AN166" i="1" s="1"/>
  <c r="AO167" i="1"/>
  <c r="AH168" i="1"/>
  <c r="AD167" i="1"/>
  <c r="AB167" i="1"/>
  <c r="AC167" i="1"/>
  <c r="AF167" i="1"/>
  <c r="AA167" i="1"/>
  <c r="AG167" i="1"/>
  <c r="AE167" i="1"/>
  <c r="Z168" i="1"/>
  <c r="AP168" i="1"/>
  <c r="AV167" i="1" a="1"/>
  <c r="AV167" i="1" s="1"/>
  <c r="AR167" i="1"/>
  <c r="AJ167" i="1" s="1" a="1"/>
  <c r="AJ167" i="1" s="1"/>
  <c r="AW167" i="1" a="1"/>
  <c r="AW167" i="1" s="1"/>
  <c r="AS167" i="1"/>
  <c r="AK167" i="1" s="1" a="1"/>
  <c r="AK167" i="1" s="1"/>
  <c r="AU167" i="1"/>
  <c r="AT167" i="1"/>
  <c r="AL167" i="1" s="1" a="1"/>
  <c r="AL167" i="1" s="1"/>
  <c r="AQ167" i="1"/>
  <c r="AM167" i="1" l="1" a="1"/>
  <c r="AM167" i="1" s="1"/>
  <c r="AP170" i="3"/>
  <c r="AO169" i="3"/>
  <c r="AS169" i="3" s="1"/>
  <c r="P171" i="3"/>
  <c r="T171" i="3" s="1"/>
  <c r="Q172" i="3"/>
  <c r="G170" i="3"/>
  <c r="F169" i="3"/>
  <c r="J169" i="3" s="1"/>
  <c r="AU170" i="3"/>
  <c r="AT169" i="3"/>
  <c r="AX169" i="3" s="1"/>
  <c r="AA170" i="3"/>
  <c r="Z169" i="3"/>
  <c r="AD169" i="3" s="1"/>
  <c r="L171" i="3"/>
  <c r="K170" i="3"/>
  <c r="O170" i="3" s="1"/>
  <c r="AZ170" i="3"/>
  <c r="AY169" i="3"/>
  <c r="BC169" i="3" s="1"/>
  <c r="BN168" i="3"/>
  <c r="AK170" i="3"/>
  <c r="AJ169" i="3"/>
  <c r="AN169" i="3" s="1"/>
  <c r="AF171" i="3"/>
  <c r="AE170" i="3"/>
  <c r="AI170" i="3" s="1"/>
  <c r="U174" i="3"/>
  <c r="Y174" i="3" s="1"/>
  <c r="V175" i="3"/>
  <c r="D183" i="2"/>
  <c r="C183" i="2"/>
  <c r="A184" i="2"/>
  <c r="B183" i="2"/>
  <c r="AF168" i="1"/>
  <c r="AD168" i="1"/>
  <c r="Z169" i="1"/>
  <c r="AE168" i="1"/>
  <c r="AA168" i="1"/>
  <c r="AG168" i="1"/>
  <c r="AB168" i="1"/>
  <c r="AC168" i="1"/>
  <c r="AX167" i="1"/>
  <c r="AI167" i="1" a="1"/>
  <c r="AI167" i="1" s="1"/>
  <c r="AO168" i="1"/>
  <c r="AH169" i="1"/>
  <c r="AS168" i="1"/>
  <c r="AQ168" i="1"/>
  <c r="AP169" i="1"/>
  <c r="AR168" i="1"/>
  <c r="AJ168" i="1" s="1" a="1"/>
  <c r="AJ168" i="1" s="1"/>
  <c r="AV168" i="1" a="1"/>
  <c r="AV168" i="1" s="1"/>
  <c r="AU168" i="1"/>
  <c r="AM168" i="1" s="1" a="1"/>
  <c r="AM168" i="1" s="1"/>
  <c r="AW168" i="1" a="1"/>
  <c r="AW168" i="1" s="1"/>
  <c r="AT168" i="1"/>
  <c r="AL168" i="1" s="1" a="1"/>
  <c r="AL168" i="1" s="1"/>
  <c r="AN167" i="1"/>
  <c r="AK168" i="1" l="1" a="1"/>
  <c r="AK168" i="1" s="1"/>
  <c r="AP171" i="3"/>
  <c r="AO170" i="3"/>
  <c r="AS170" i="3" s="1"/>
  <c r="AY170" i="3"/>
  <c r="BC170" i="3" s="1"/>
  <c r="AZ171" i="3"/>
  <c r="V176" i="3"/>
  <c r="U175" i="3"/>
  <c r="Y175" i="3" s="1"/>
  <c r="K171" i="3"/>
  <c r="O171" i="3" s="1"/>
  <c r="L172" i="3"/>
  <c r="Z170" i="3"/>
  <c r="AD170" i="3" s="1"/>
  <c r="AA171" i="3"/>
  <c r="AF172" i="3"/>
  <c r="AE171" i="3"/>
  <c r="AI171" i="3" s="1"/>
  <c r="AU171" i="3"/>
  <c r="AT170" i="3"/>
  <c r="AX170" i="3" s="1"/>
  <c r="F170" i="3"/>
  <c r="J170" i="3" s="1"/>
  <c r="G171" i="3"/>
  <c r="AJ170" i="3"/>
  <c r="AN170" i="3" s="1"/>
  <c r="AK171" i="3"/>
  <c r="Q173" i="3"/>
  <c r="P172" i="3"/>
  <c r="T172" i="3" s="1"/>
  <c r="BN169" i="3"/>
  <c r="A185" i="2"/>
  <c r="B184" i="2"/>
  <c r="C184" i="2"/>
  <c r="D184" i="2"/>
  <c r="AH170" i="1"/>
  <c r="AO169" i="1"/>
  <c r="AU169" i="1"/>
  <c r="AV169" i="1" a="1"/>
  <c r="AV169" i="1" s="1"/>
  <c r="AS169" i="1"/>
  <c r="AK169" i="1" s="1" a="1"/>
  <c r="AK169" i="1" s="1"/>
  <c r="AT169" i="1"/>
  <c r="AL169" i="1" s="1" a="1"/>
  <c r="AL169" i="1" s="1"/>
  <c r="AW169" i="1" a="1"/>
  <c r="AW169" i="1" s="1"/>
  <c r="AR169" i="1"/>
  <c r="AJ169" i="1" s="1" a="1"/>
  <c r="AJ169" i="1" s="1"/>
  <c r="AQ169" i="1"/>
  <c r="AP170" i="1"/>
  <c r="AE169" i="1"/>
  <c r="AG169" i="1"/>
  <c r="AD169" i="1"/>
  <c r="AB169" i="1"/>
  <c r="AA169" i="1"/>
  <c r="AC169" i="1"/>
  <c r="AF169" i="1"/>
  <c r="Z170" i="1"/>
  <c r="AI168" i="1" a="1"/>
  <c r="AI168" i="1" s="1"/>
  <c r="AX168" i="1"/>
  <c r="AN168" i="1" s="1"/>
  <c r="AM169" i="1" l="1" a="1"/>
  <c r="AM169" i="1" s="1"/>
  <c r="AP172" i="3"/>
  <c r="AO171" i="3"/>
  <c r="AS171" i="3" s="1"/>
  <c r="AU172" i="3"/>
  <c r="AT171" i="3"/>
  <c r="AX171" i="3" s="1"/>
  <c r="AE172" i="3"/>
  <c r="AI172" i="3" s="1"/>
  <c r="AF173" i="3"/>
  <c r="Q174" i="3"/>
  <c r="P173" i="3"/>
  <c r="T173" i="3" s="1"/>
  <c r="Z171" i="3"/>
  <c r="AD171" i="3" s="1"/>
  <c r="AA172" i="3"/>
  <c r="AJ171" i="3"/>
  <c r="AN171" i="3" s="1"/>
  <c r="AK172" i="3"/>
  <c r="K172" i="3"/>
  <c r="O172" i="3" s="1"/>
  <c r="L173" i="3"/>
  <c r="G172" i="3"/>
  <c r="F171" i="3"/>
  <c r="J171" i="3" s="1"/>
  <c r="V177" i="3"/>
  <c r="U176" i="3"/>
  <c r="Y176" i="3" s="1"/>
  <c r="AY171" i="3"/>
  <c r="BC171" i="3" s="1"/>
  <c r="AZ172" i="3"/>
  <c r="BN170" i="3"/>
  <c r="D185" i="2"/>
  <c r="C185" i="2"/>
  <c r="A186" i="2"/>
  <c r="B185" i="2"/>
  <c r="AU170" i="1"/>
  <c r="AV170" i="1" a="1"/>
  <c r="AV170" i="1" s="1"/>
  <c r="AW170" i="1" a="1"/>
  <c r="AW170" i="1" s="1"/>
  <c r="AR170" i="1"/>
  <c r="AJ170" i="1" s="1" a="1"/>
  <c r="AJ170" i="1" s="1"/>
  <c r="AQ170" i="1"/>
  <c r="AP171" i="1"/>
  <c r="AS170" i="1"/>
  <c r="AT170" i="1"/>
  <c r="AL170" i="1" s="1" a="1"/>
  <c r="AL170" i="1" s="1"/>
  <c r="AI169" i="1" a="1"/>
  <c r="AI169" i="1" s="1"/>
  <c r="AX169" i="1"/>
  <c r="AN169" i="1" s="1"/>
  <c r="AG170" i="1"/>
  <c r="AE170" i="1"/>
  <c r="AB170" i="1"/>
  <c r="AC170" i="1"/>
  <c r="Z171" i="1"/>
  <c r="AF170" i="1"/>
  <c r="AA170" i="1"/>
  <c r="AD170" i="1"/>
  <c r="AH171" i="1"/>
  <c r="AO170" i="1"/>
  <c r="AK170" i="1" l="1" a="1"/>
  <c r="AK170" i="1" s="1"/>
  <c r="AM170" i="1" a="1"/>
  <c r="AM170" i="1" s="1"/>
  <c r="AP173" i="3"/>
  <c r="AO172" i="3"/>
  <c r="AS172" i="3" s="1"/>
  <c r="K173" i="3"/>
  <c r="O173" i="3" s="1"/>
  <c r="L174" i="3"/>
  <c r="AZ173" i="3"/>
  <c r="AY172" i="3"/>
  <c r="BC172" i="3" s="1"/>
  <c r="AK173" i="3"/>
  <c r="AJ172" i="3"/>
  <c r="AN172" i="3" s="1"/>
  <c r="BN171" i="3"/>
  <c r="Z172" i="3"/>
  <c r="AD172" i="3" s="1"/>
  <c r="AA173" i="3"/>
  <c r="P174" i="3"/>
  <c r="T174" i="3" s="1"/>
  <c r="Q175" i="3"/>
  <c r="V178" i="3"/>
  <c r="U177" i="3"/>
  <c r="Y177" i="3" s="1"/>
  <c r="AF174" i="3"/>
  <c r="AE173" i="3"/>
  <c r="AI173" i="3" s="1"/>
  <c r="G173" i="3"/>
  <c r="F172" i="3"/>
  <c r="J172" i="3" s="1"/>
  <c r="AT172" i="3"/>
  <c r="AX172" i="3" s="1"/>
  <c r="AU173" i="3"/>
  <c r="C186" i="2"/>
  <c r="D186" i="2"/>
  <c r="A187" i="2"/>
  <c r="B186" i="2"/>
  <c r="AO171" i="1"/>
  <c r="AH172" i="1"/>
  <c r="AW171" i="1" a="1"/>
  <c r="AW171" i="1" s="1"/>
  <c r="AU171" i="1"/>
  <c r="AT171" i="1"/>
  <c r="AL171" i="1" s="1" a="1"/>
  <c r="AL171" i="1" s="1"/>
  <c r="AQ171" i="1"/>
  <c r="AP172" i="1"/>
  <c r="AR171" i="1"/>
  <c r="AJ171" i="1" s="1" a="1"/>
  <c r="AJ171" i="1" s="1"/>
  <c r="AV171" i="1" a="1"/>
  <c r="AV171" i="1" s="1"/>
  <c r="AS171" i="1"/>
  <c r="AK171" i="1" s="1" a="1"/>
  <c r="AK171" i="1" s="1"/>
  <c r="AI170" i="1" a="1"/>
  <c r="AI170" i="1" s="1"/>
  <c r="AX170" i="1"/>
  <c r="AG171" i="1"/>
  <c r="AD171" i="1"/>
  <c r="AB171" i="1"/>
  <c r="AE171" i="1"/>
  <c r="AC171" i="1"/>
  <c r="Z172" i="1"/>
  <c r="AA171" i="1"/>
  <c r="AF171" i="1"/>
  <c r="AN170" i="1"/>
  <c r="AM171" i="1" l="1" a="1"/>
  <c r="AM171" i="1" s="1"/>
  <c r="AP174" i="3"/>
  <c r="AO173" i="3"/>
  <c r="AS173" i="3" s="1"/>
  <c r="AT173" i="3"/>
  <c r="AX173" i="3" s="1"/>
  <c r="AU174" i="3"/>
  <c r="Z173" i="3"/>
  <c r="AD173" i="3" s="1"/>
  <c r="AA174" i="3"/>
  <c r="F173" i="3"/>
  <c r="J173" i="3" s="1"/>
  <c r="G174" i="3"/>
  <c r="AE174" i="3"/>
  <c r="AI174" i="3" s="1"/>
  <c r="AF175" i="3"/>
  <c r="AK174" i="3"/>
  <c r="AJ173" i="3"/>
  <c r="AN173" i="3" s="1"/>
  <c r="BN172" i="3"/>
  <c r="AZ174" i="3"/>
  <c r="AY173" i="3"/>
  <c r="BC173" i="3" s="1"/>
  <c r="V179" i="3"/>
  <c r="U178" i="3"/>
  <c r="Y178" i="3" s="1"/>
  <c r="L175" i="3"/>
  <c r="K174" i="3"/>
  <c r="O174" i="3" s="1"/>
  <c r="Q176" i="3"/>
  <c r="P175" i="3"/>
  <c r="T175" i="3" s="1"/>
  <c r="A188" i="2"/>
  <c r="C187" i="2"/>
  <c r="D187" i="2"/>
  <c r="B187" i="2"/>
  <c r="AR172" i="1"/>
  <c r="AJ172" i="1" s="1" a="1"/>
  <c r="AJ172" i="1" s="1"/>
  <c r="AU172" i="1"/>
  <c r="AS172" i="1"/>
  <c r="AK172" i="1" s="1" a="1"/>
  <c r="AK172" i="1" s="1"/>
  <c r="AQ172" i="1"/>
  <c r="AW172" i="1" a="1"/>
  <c r="AW172" i="1" s="1"/>
  <c r="AV172" i="1" a="1"/>
  <c r="AV172" i="1" s="1"/>
  <c r="AT172" i="1"/>
  <c r="AL172" i="1" s="1" a="1"/>
  <c r="AL172" i="1" s="1"/>
  <c r="AP173" i="1"/>
  <c r="AX171" i="1"/>
  <c r="AN171" i="1" s="1"/>
  <c r="AI171" i="1" a="1"/>
  <c r="AI171" i="1" s="1"/>
  <c r="AB172" i="1"/>
  <c r="Z173" i="1"/>
  <c r="AC172" i="1"/>
  <c r="AF172" i="1"/>
  <c r="AE172" i="1"/>
  <c r="AA172" i="1"/>
  <c r="AD172" i="1"/>
  <c r="AG172" i="1"/>
  <c r="AH173" i="1"/>
  <c r="AO172" i="1"/>
  <c r="AM172" i="1" l="1" a="1"/>
  <c r="AM172" i="1" s="1"/>
  <c r="AO174" i="3"/>
  <c r="AS174" i="3" s="1"/>
  <c r="AP175" i="3"/>
  <c r="AJ174" i="3"/>
  <c r="AN174" i="3" s="1"/>
  <c r="AK175" i="3"/>
  <c r="AF176" i="3"/>
  <c r="AE175" i="3"/>
  <c r="AI175" i="3" s="1"/>
  <c r="P176" i="3"/>
  <c r="T176" i="3" s="1"/>
  <c r="Q177" i="3"/>
  <c r="K175" i="3"/>
  <c r="O175" i="3" s="1"/>
  <c r="L176" i="3"/>
  <c r="F174" i="3"/>
  <c r="J174" i="3" s="1"/>
  <c r="G175" i="3"/>
  <c r="Z174" i="3"/>
  <c r="AD174" i="3" s="1"/>
  <c r="AA175" i="3"/>
  <c r="BN173" i="3"/>
  <c r="AY174" i="3"/>
  <c r="BC174" i="3" s="1"/>
  <c r="AZ175" i="3"/>
  <c r="AU175" i="3"/>
  <c r="AT174" i="3"/>
  <c r="AX174" i="3" s="1"/>
  <c r="U179" i="3"/>
  <c r="Y179" i="3" s="1"/>
  <c r="V180" i="3"/>
  <c r="A189" i="2"/>
  <c r="C188" i="2"/>
  <c r="B188" i="2"/>
  <c r="D188" i="2"/>
  <c r="AB173" i="1"/>
  <c r="Z174" i="1"/>
  <c r="AC173" i="1"/>
  <c r="AA173" i="1"/>
  <c r="AE173" i="1"/>
  <c r="AD173" i="1"/>
  <c r="AF173" i="1"/>
  <c r="AG173" i="1"/>
  <c r="AO173" i="1"/>
  <c r="AH174" i="1"/>
  <c r="AU173" i="1"/>
  <c r="AM173" i="1" s="1" a="1"/>
  <c r="AM173" i="1" s="1"/>
  <c r="AR173" i="1"/>
  <c r="AJ173" i="1" s="1" a="1"/>
  <c r="AJ173" i="1" s="1"/>
  <c r="AS173" i="1"/>
  <c r="AK173" i="1" s="1" a="1"/>
  <c r="AK173" i="1" s="1"/>
  <c r="AW173" i="1" a="1"/>
  <c r="AW173" i="1" s="1"/>
  <c r="AP174" i="1"/>
  <c r="AV173" i="1" a="1"/>
  <c r="AV173" i="1" s="1"/>
  <c r="AT173" i="1"/>
  <c r="AL173" i="1" s="1" a="1"/>
  <c r="AL173" i="1" s="1"/>
  <c r="AQ173" i="1"/>
  <c r="AX172" i="1"/>
  <c r="AN172" i="1" s="1"/>
  <c r="AI172" i="1" a="1"/>
  <c r="AI172" i="1" s="1"/>
  <c r="AP176" i="3" l="1"/>
  <c r="AO175" i="3"/>
  <c r="AS175" i="3" s="1"/>
  <c r="U180" i="3"/>
  <c r="Y180" i="3" s="1"/>
  <c r="V181" i="3"/>
  <c r="F175" i="3"/>
  <c r="J175" i="3" s="1"/>
  <c r="G176" i="3"/>
  <c r="K176" i="3"/>
  <c r="O176" i="3" s="1"/>
  <c r="L177" i="3"/>
  <c r="AU176" i="3"/>
  <c r="AT175" i="3"/>
  <c r="AX175" i="3" s="1"/>
  <c r="Q178" i="3"/>
  <c r="P177" i="3"/>
  <c r="T177" i="3" s="1"/>
  <c r="AY175" i="3"/>
  <c r="BC175" i="3" s="1"/>
  <c r="AZ176" i="3"/>
  <c r="BN174" i="3"/>
  <c r="AE176" i="3"/>
  <c r="AI176" i="3" s="1"/>
  <c r="AF177" i="3"/>
  <c r="AJ175" i="3"/>
  <c r="AN175" i="3" s="1"/>
  <c r="AK176" i="3"/>
  <c r="AA176" i="3"/>
  <c r="Z175" i="3"/>
  <c r="AD175" i="3" s="1"/>
  <c r="A190" i="2"/>
  <c r="D189" i="2"/>
  <c r="C189" i="2"/>
  <c r="B189" i="2"/>
  <c r="AH175" i="1"/>
  <c r="AO174" i="1"/>
  <c r="AX173" i="1"/>
  <c r="AN173" i="1" s="1"/>
  <c r="AI173" i="1" a="1"/>
  <c r="AI173" i="1" s="1"/>
  <c r="AV174" i="1" a="1"/>
  <c r="AV174" i="1" s="1"/>
  <c r="AR174" i="1"/>
  <c r="AJ174" i="1" s="1" a="1"/>
  <c r="AJ174" i="1" s="1"/>
  <c r="AQ174" i="1"/>
  <c r="AS174" i="1"/>
  <c r="AK174" i="1" s="1" a="1"/>
  <c r="AK174" i="1" s="1"/>
  <c r="AW174" i="1" a="1"/>
  <c r="AW174" i="1" s="1"/>
  <c r="AT174" i="1"/>
  <c r="AL174" i="1" s="1" a="1"/>
  <c r="AL174" i="1" s="1"/>
  <c r="AU174" i="1"/>
  <c r="AP175" i="1"/>
  <c r="AF174" i="1"/>
  <c r="AB174" i="1"/>
  <c r="AD174" i="1"/>
  <c r="AA174" i="1"/>
  <c r="Z175" i="1"/>
  <c r="AC174" i="1"/>
  <c r="AE174" i="1"/>
  <c r="AG174" i="1"/>
  <c r="AM174" i="1" l="1" a="1"/>
  <c r="AM174" i="1" s="1"/>
  <c r="AP177" i="3"/>
  <c r="AO176" i="3"/>
  <c r="AS176" i="3" s="1"/>
  <c r="Q179" i="3"/>
  <c r="P178" i="3"/>
  <c r="T178" i="3" s="1"/>
  <c r="AA177" i="3"/>
  <c r="Z176" i="3"/>
  <c r="AD176" i="3" s="1"/>
  <c r="AJ176" i="3"/>
  <c r="AN176" i="3" s="1"/>
  <c r="AK177" i="3"/>
  <c r="AT176" i="3"/>
  <c r="AX176" i="3" s="1"/>
  <c r="AU177" i="3"/>
  <c r="L178" i="3"/>
  <c r="K177" i="3"/>
  <c r="O177" i="3" s="1"/>
  <c r="AF178" i="3"/>
  <c r="AE177" i="3"/>
  <c r="AI177" i="3" s="1"/>
  <c r="F176" i="3"/>
  <c r="J176" i="3" s="1"/>
  <c r="G177" i="3"/>
  <c r="AZ177" i="3"/>
  <c r="AY176" i="3"/>
  <c r="BC176" i="3" s="1"/>
  <c r="BN175" i="3"/>
  <c r="U181" i="3"/>
  <c r="Y181" i="3" s="1"/>
  <c r="V182" i="3"/>
  <c r="B190" i="2"/>
  <c r="C190" i="2"/>
  <c r="A191" i="2"/>
  <c r="D190" i="2"/>
  <c r="AQ175" i="1"/>
  <c r="AV175" i="1" a="1"/>
  <c r="AV175" i="1" s="1"/>
  <c r="AT175" i="1"/>
  <c r="AL175" i="1" s="1" a="1"/>
  <c r="AL175" i="1" s="1"/>
  <c r="AW175" i="1" a="1"/>
  <c r="AW175" i="1" s="1"/>
  <c r="AU175" i="1"/>
  <c r="AP176" i="1"/>
  <c r="AR175" i="1"/>
  <c r="AJ175" i="1" s="1" a="1"/>
  <c r="AJ175" i="1" s="1"/>
  <c r="AS175" i="1"/>
  <c r="AX174" i="1"/>
  <c r="AN174" i="1" s="1"/>
  <c r="AI174" i="1" a="1"/>
  <c r="AI174" i="1" s="1"/>
  <c r="AB175" i="1"/>
  <c r="AE175" i="1"/>
  <c r="AA175" i="1"/>
  <c r="AF175" i="1"/>
  <c r="AD175" i="1"/>
  <c r="AC175" i="1"/>
  <c r="AG175" i="1"/>
  <c r="Z176" i="1"/>
  <c r="AO175" i="1"/>
  <c r="AH176" i="1"/>
  <c r="AM175" i="1" l="1" a="1"/>
  <c r="AM175" i="1" s="1"/>
  <c r="AK175" i="1" a="1"/>
  <c r="AK175" i="1" s="1"/>
  <c r="AO177" i="3"/>
  <c r="AS177" i="3" s="1"/>
  <c r="AP178" i="3"/>
  <c r="AE178" i="3"/>
  <c r="AI178" i="3" s="1"/>
  <c r="AF179" i="3"/>
  <c r="V183" i="3"/>
  <c r="U182" i="3"/>
  <c r="Y182" i="3" s="1"/>
  <c r="K178" i="3"/>
  <c r="O178" i="3" s="1"/>
  <c r="L179" i="3"/>
  <c r="AU178" i="3"/>
  <c r="AT177" i="3"/>
  <c r="AX177" i="3" s="1"/>
  <c r="AK178" i="3"/>
  <c r="AJ177" i="3"/>
  <c r="AN177" i="3" s="1"/>
  <c r="BN176" i="3"/>
  <c r="AY177" i="3"/>
  <c r="BC177" i="3" s="1"/>
  <c r="AZ178" i="3"/>
  <c r="Z177" i="3"/>
  <c r="AD177" i="3" s="1"/>
  <c r="AA178" i="3"/>
  <c r="F177" i="3"/>
  <c r="J177" i="3" s="1"/>
  <c r="G178" i="3"/>
  <c r="Q180" i="3"/>
  <c r="P179" i="3"/>
  <c r="T179" i="3" s="1"/>
  <c r="B191" i="2"/>
  <c r="A192" i="2"/>
  <c r="D191" i="2"/>
  <c r="C191" i="2"/>
  <c r="AO176" i="1"/>
  <c r="AH177" i="1"/>
  <c r="AE176" i="1"/>
  <c r="AB176" i="1"/>
  <c r="AG176" i="1"/>
  <c r="AC176" i="1"/>
  <c r="AA176" i="1"/>
  <c r="AD176" i="1"/>
  <c r="Z177" i="1"/>
  <c r="AF176" i="1"/>
  <c r="AU176" i="1"/>
  <c r="AT176" i="1"/>
  <c r="AW176" i="1" a="1"/>
  <c r="AW176" i="1" s="1"/>
  <c r="AP177" i="1"/>
  <c r="AV176" i="1" a="1"/>
  <c r="AV176" i="1" s="1"/>
  <c r="AS176" i="1"/>
  <c r="AK176" i="1" s="1" a="1"/>
  <c r="AK176" i="1" s="1"/>
  <c r="AR176" i="1"/>
  <c r="AJ176" i="1" s="1" a="1"/>
  <c r="AJ176" i="1" s="1"/>
  <c r="AQ176" i="1"/>
  <c r="AI175" i="1" a="1"/>
  <c r="AI175" i="1" s="1"/>
  <c r="AX175" i="1"/>
  <c r="AN175" i="1" s="1"/>
  <c r="AL176" i="1" l="1" a="1"/>
  <c r="AL176" i="1" s="1"/>
  <c r="AM176" i="1" a="1"/>
  <c r="AM176" i="1" s="1"/>
  <c r="AO178" i="3"/>
  <c r="AS178" i="3" s="1"/>
  <c r="AP179" i="3"/>
  <c r="AJ178" i="3"/>
  <c r="AN178" i="3" s="1"/>
  <c r="AK179" i="3"/>
  <c r="Q181" i="3"/>
  <c r="P180" i="3"/>
  <c r="T180" i="3" s="1"/>
  <c r="AU179" i="3"/>
  <c r="AT178" i="3"/>
  <c r="AX178" i="3" s="1"/>
  <c r="L180" i="3"/>
  <c r="K179" i="3"/>
  <c r="O179" i="3" s="1"/>
  <c r="F178" i="3"/>
  <c r="J178" i="3" s="1"/>
  <c r="G179" i="3"/>
  <c r="Z178" i="3"/>
  <c r="AD178" i="3" s="1"/>
  <c r="AA179" i="3"/>
  <c r="V184" i="3"/>
  <c r="U183" i="3"/>
  <c r="Y183" i="3" s="1"/>
  <c r="AZ179" i="3"/>
  <c r="AY178" i="3"/>
  <c r="BC178" i="3" s="1"/>
  <c r="BN177" i="3"/>
  <c r="AE179" i="3"/>
  <c r="AI179" i="3" s="1"/>
  <c r="AF180" i="3"/>
  <c r="A193" i="2"/>
  <c r="D192" i="2"/>
  <c r="C192" i="2"/>
  <c r="B192" i="2"/>
  <c r="AA177" i="1"/>
  <c r="AC177" i="1"/>
  <c r="Z178" i="1"/>
  <c r="AG177" i="1"/>
  <c r="AF177" i="1"/>
  <c r="AE177" i="1"/>
  <c r="AB177" i="1"/>
  <c r="AD177" i="1"/>
  <c r="AX176" i="1"/>
  <c r="AI176" i="1" a="1"/>
  <c r="AI176" i="1" s="1"/>
  <c r="AS177" i="1"/>
  <c r="AK177" i="1" s="1" a="1"/>
  <c r="AK177" i="1" s="1"/>
  <c r="AR177" i="1"/>
  <c r="AJ177" i="1" s="1" a="1"/>
  <c r="AJ177" i="1" s="1"/>
  <c r="AV177" i="1" a="1"/>
  <c r="AV177" i="1" s="1"/>
  <c r="AP178" i="1"/>
  <c r="AQ177" i="1"/>
  <c r="AW177" i="1" a="1"/>
  <c r="AW177" i="1" s="1"/>
  <c r="AU177" i="1"/>
  <c r="AM177" i="1" s="1" a="1"/>
  <c r="AM177" i="1" s="1"/>
  <c r="AT177" i="1"/>
  <c r="AL177" i="1" s="1" a="1"/>
  <c r="AL177" i="1" s="1"/>
  <c r="AO177" i="1"/>
  <c r="AH178" i="1"/>
  <c r="AN176" i="1"/>
  <c r="AO179" i="3" l="1"/>
  <c r="AS179" i="3" s="1"/>
  <c r="AP180" i="3"/>
  <c r="AF181" i="3"/>
  <c r="AE180" i="3"/>
  <c r="AI180" i="3" s="1"/>
  <c r="F179" i="3"/>
  <c r="J179" i="3" s="1"/>
  <c r="G180" i="3"/>
  <c r="K180" i="3"/>
  <c r="O180" i="3" s="1"/>
  <c r="L181" i="3"/>
  <c r="BN178" i="3"/>
  <c r="AY179" i="3"/>
  <c r="BC179" i="3" s="1"/>
  <c r="AZ180" i="3"/>
  <c r="AT179" i="3"/>
  <c r="AX179" i="3" s="1"/>
  <c r="AU180" i="3"/>
  <c r="P181" i="3"/>
  <c r="T181" i="3" s="1"/>
  <c r="Q182" i="3"/>
  <c r="U184" i="3"/>
  <c r="Y184" i="3" s="1"/>
  <c r="V185" i="3"/>
  <c r="AK180" i="3"/>
  <c r="AJ179" i="3"/>
  <c r="AN179" i="3" s="1"/>
  <c r="AA180" i="3"/>
  <c r="Z179" i="3"/>
  <c r="AD179" i="3" s="1"/>
  <c r="B193" i="2"/>
  <c r="C193" i="2"/>
  <c r="A194" i="2"/>
  <c r="D193" i="2"/>
  <c r="AO178" i="1"/>
  <c r="AH179" i="1"/>
  <c r="AI177" i="1" a="1"/>
  <c r="AI177" i="1" s="1"/>
  <c r="AX177" i="1"/>
  <c r="AN177" i="1" s="1"/>
  <c r="Z179" i="1"/>
  <c r="AG178" i="1"/>
  <c r="AB178" i="1"/>
  <c r="AC178" i="1"/>
  <c r="AE178" i="1"/>
  <c r="AF178" i="1"/>
  <c r="AA178" i="1"/>
  <c r="AD178" i="1"/>
  <c r="AV178" i="1" a="1"/>
  <c r="AV178" i="1" s="1"/>
  <c r="AR178" i="1"/>
  <c r="AJ178" i="1" s="1" a="1"/>
  <c r="AJ178" i="1" s="1"/>
  <c r="AU178" i="1"/>
  <c r="AS178" i="1"/>
  <c r="AK178" i="1" s="1" a="1"/>
  <c r="AK178" i="1" s="1"/>
  <c r="AP179" i="1"/>
  <c r="AQ178" i="1"/>
  <c r="AT178" i="1"/>
  <c r="AL178" i="1" s="1" a="1"/>
  <c r="AL178" i="1" s="1"/>
  <c r="AW178" i="1" a="1"/>
  <c r="AW178" i="1" s="1"/>
  <c r="AM178" i="1" l="1" a="1"/>
  <c r="AM178" i="1" s="1"/>
  <c r="AO180" i="3"/>
  <c r="AS180" i="3" s="1"/>
  <c r="AP181" i="3"/>
  <c r="AZ181" i="3"/>
  <c r="AY180" i="3"/>
  <c r="BC180" i="3" s="1"/>
  <c r="BN179" i="3"/>
  <c r="Z180" i="3"/>
  <c r="AD180" i="3" s="1"/>
  <c r="AA181" i="3"/>
  <c r="L182" i="3"/>
  <c r="K181" i="3"/>
  <c r="O181" i="3" s="1"/>
  <c r="AJ180" i="3"/>
  <c r="AN180" i="3" s="1"/>
  <c r="AK181" i="3"/>
  <c r="V186" i="3"/>
  <c r="U185" i="3"/>
  <c r="Y185" i="3" s="1"/>
  <c r="P182" i="3"/>
  <c r="T182" i="3" s="1"/>
  <c r="Q183" i="3"/>
  <c r="F180" i="3"/>
  <c r="J180" i="3" s="1"/>
  <c r="G181" i="3"/>
  <c r="AU181" i="3"/>
  <c r="AT180" i="3"/>
  <c r="AX180" i="3" s="1"/>
  <c r="AF182" i="3"/>
  <c r="AE181" i="3"/>
  <c r="AI181" i="3" s="1"/>
  <c r="A195" i="2"/>
  <c r="D194" i="2"/>
  <c r="C194" i="2"/>
  <c r="B194" i="2"/>
  <c r="AI178" i="1" a="1"/>
  <c r="AI178" i="1" s="1"/>
  <c r="AX178" i="1"/>
  <c r="AN178" i="1" s="1"/>
  <c r="AR179" i="1"/>
  <c r="AJ179" i="1" s="1" a="1"/>
  <c r="AJ179" i="1" s="1"/>
  <c r="AV179" i="1" a="1"/>
  <c r="AV179" i="1" s="1"/>
  <c r="AT179" i="1"/>
  <c r="AU179" i="1"/>
  <c r="AS179" i="1"/>
  <c r="AK179" i="1" s="1" a="1"/>
  <c r="AK179" i="1" s="1"/>
  <c r="AW179" i="1" a="1"/>
  <c r="AW179" i="1" s="1"/>
  <c r="AQ179" i="1"/>
  <c r="AP180" i="1"/>
  <c r="AD179" i="1"/>
  <c r="AF179" i="1"/>
  <c r="AE179" i="1"/>
  <c r="Z180" i="1"/>
  <c r="AB179" i="1"/>
  <c r="AC179" i="1"/>
  <c r="AG179" i="1"/>
  <c r="AA179" i="1"/>
  <c r="AO179" i="1"/>
  <c r="AH180" i="1"/>
  <c r="AL179" i="1" l="1" a="1"/>
  <c r="AL179" i="1" s="1"/>
  <c r="AM179" i="1" a="1"/>
  <c r="AM179" i="1" s="1"/>
  <c r="AO181" i="3"/>
  <c r="AS181" i="3" s="1"/>
  <c r="AP182" i="3"/>
  <c r="Q184" i="3"/>
  <c r="P183" i="3"/>
  <c r="T183" i="3" s="1"/>
  <c r="AE182" i="3"/>
  <c r="AI182" i="3" s="1"/>
  <c r="AF183" i="3"/>
  <c r="U186" i="3"/>
  <c r="Y186" i="3" s="1"/>
  <c r="V187" i="3"/>
  <c r="AK182" i="3"/>
  <c r="AJ181" i="3"/>
  <c r="AN181" i="3" s="1"/>
  <c r="AU182" i="3"/>
  <c r="AT181" i="3"/>
  <c r="AX181" i="3" s="1"/>
  <c r="G182" i="3"/>
  <c r="F181" i="3"/>
  <c r="J181" i="3" s="1"/>
  <c r="L183" i="3"/>
  <c r="K182" i="3"/>
  <c r="O182" i="3" s="1"/>
  <c r="AA182" i="3"/>
  <c r="Z181" i="3"/>
  <c r="AD181" i="3" s="1"/>
  <c r="BN180" i="3"/>
  <c r="AZ182" i="3"/>
  <c r="AY181" i="3"/>
  <c r="BC181" i="3" s="1"/>
  <c r="C195" i="2"/>
  <c r="D195" i="2"/>
  <c r="B195" i="2"/>
  <c r="A196" i="2"/>
  <c r="AO180" i="1"/>
  <c r="AH181" i="1"/>
  <c r="AR180" i="1"/>
  <c r="AJ180" i="1" s="1" a="1"/>
  <c r="AJ180" i="1" s="1"/>
  <c r="AV180" i="1" a="1"/>
  <c r="AV180" i="1" s="1"/>
  <c r="AT180" i="1"/>
  <c r="AL180" i="1" s="1" a="1"/>
  <c r="AL180" i="1" s="1"/>
  <c r="AQ180" i="1"/>
  <c r="AP181" i="1"/>
  <c r="AS180" i="1"/>
  <c r="AK180" i="1" s="1" a="1"/>
  <c r="AK180" i="1" s="1"/>
  <c r="AW180" i="1" a="1"/>
  <c r="AW180" i="1" s="1"/>
  <c r="AU180" i="1"/>
  <c r="AI179" i="1" a="1"/>
  <c r="AI179" i="1" s="1"/>
  <c r="AX179" i="1"/>
  <c r="AN179" i="1" s="1"/>
  <c r="AD180" i="1"/>
  <c r="AB180" i="1"/>
  <c r="AA180" i="1"/>
  <c r="AC180" i="1"/>
  <c r="AG180" i="1"/>
  <c r="Z181" i="1"/>
  <c r="AE180" i="1"/>
  <c r="AF180" i="1"/>
  <c r="AM180" i="1" l="1" a="1"/>
  <c r="AM180" i="1" s="1"/>
  <c r="AO182" i="3"/>
  <c r="AS182" i="3" s="1"/>
  <c r="AP183" i="3"/>
  <c r="F182" i="3"/>
  <c r="J182" i="3" s="1"/>
  <c r="G183" i="3"/>
  <c r="BN181" i="3"/>
  <c r="AY182" i="3"/>
  <c r="BC182" i="3" s="1"/>
  <c r="AZ183" i="3"/>
  <c r="AT182" i="3"/>
  <c r="AX182" i="3" s="1"/>
  <c r="AU183" i="3"/>
  <c r="AJ182" i="3"/>
  <c r="AN182" i="3" s="1"/>
  <c r="AK183" i="3"/>
  <c r="V188" i="3"/>
  <c r="U187" i="3"/>
  <c r="Y187" i="3" s="1"/>
  <c r="Z182" i="3"/>
  <c r="AD182" i="3" s="1"/>
  <c r="AA183" i="3"/>
  <c r="AF184" i="3"/>
  <c r="AE183" i="3"/>
  <c r="AI183" i="3" s="1"/>
  <c r="L184" i="3"/>
  <c r="K183" i="3"/>
  <c r="O183" i="3" s="1"/>
  <c r="P184" i="3"/>
  <c r="T184" i="3" s="1"/>
  <c r="Q185" i="3"/>
  <c r="B196" i="2"/>
  <c r="D196" i="2"/>
  <c r="A197" i="2"/>
  <c r="C196" i="2"/>
  <c r="AD181" i="1"/>
  <c r="AC181" i="1"/>
  <c r="AF181" i="1"/>
  <c r="AB181" i="1"/>
  <c r="Z182" i="1"/>
  <c r="AG181" i="1"/>
  <c r="AE181" i="1"/>
  <c r="AA181" i="1"/>
  <c r="AQ181" i="1"/>
  <c r="AS181" i="1"/>
  <c r="AK181" i="1" s="1" a="1"/>
  <c r="AK181" i="1" s="1"/>
  <c r="AW181" i="1" a="1"/>
  <c r="AW181" i="1" s="1"/>
  <c r="AU181" i="1"/>
  <c r="AV181" i="1" a="1"/>
  <c r="AV181" i="1" s="1"/>
  <c r="AT181" i="1"/>
  <c r="AL181" i="1" s="1" a="1"/>
  <c r="AL181" i="1" s="1"/>
  <c r="AR181" i="1"/>
  <c r="AJ181" i="1" s="1" a="1"/>
  <c r="AJ181" i="1" s="1"/>
  <c r="AP182" i="1"/>
  <c r="AX180" i="1"/>
  <c r="AN180" i="1" s="1"/>
  <c r="AI180" i="1" a="1"/>
  <c r="AI180" i="1" s="1"/>
  <c r="AH182" i="1"/>
  <c r="AO181" i="1"/>
  <c r="AM181" i="1" l="1" a="1"/>
  <c r="AM181" i="1" s="1"/>
  <c r="AP184" i="3"/>
  <c r="AO183" i="3"/>
  <c r="AS183" i="3" s="1"/>
  <c r="Q186" i="3"/>
  <c r="P185" i="3"/>
  <c r="T185" i="3" s="1"/>
  <c r="AK184" i="3"/>
  <c r="AJ183" i="3"/>
  <c r="AN183" i="3" s="1"/>
  <c r="K184" i="3"/>
  <c r="O184" i="3" s="1"/>
  <c r="L185" i="3"/>
  <c r="AU184" i="3"/>
  <c r="AT183" i="3"/>
  <c r="AX183" i="3" s="1"/>
  <c r="AE184" i="3"/>
  <c r="AI184" i="3" s="1"/>
  <c r="AF185" i="3"/>
  <c r="AZ184" i="3"/>
  <c r="AY183" i="3"/>
  <c r="BC183" i="3" s="1"/>
  <c r="AA184" i="3"/>
  <c r="Z183" i="3"/>
  <c r="AD183" i="3" s="1"/>
  <c r="BN182" i="3"/>
  <c r="U188" i="3"/>
  <c r="V189" i="3"/>
  <c r="G184" i="3"/>
  <c r="F183" i="3"/>
  <c r="J183" i="3" s="1"/>
  <c r="A198" i="2"/>
  <c r="D197" i="2"/>
  <c r="B197" i="2"/>
  <c r="C197" i="2"/>
  <c r="AI181" i="1" a="1"/>
  <c r="AI181" i="1" s="1"/>
  <c r="AX181" i="1"/>
  <c r="AN181" i="1" s="1"/>
  <c r="AQ182" i="1"/>
  <c r="AW182" i="1" a="1"/>
  <c r="AW182" i="1" s="1"/>
  <c r="AP183" i="1"/>
  <c r="AT182" i="1"/>
  <c r="AL182" i="1" s="1" a="1"/>
  <c r="AL182" i="1" s="1"/>
  <c r="AU182" i="1"/>
  <c r="AM182" i="1" s="1" a="1"/>
  <c r="AM182" i="1" s="1"/>
  <c r="AR182" i="1"/>
  <c r="AJ182" i="1" s="1" a="1"/>
  <c r="AJ182" i="1" s="1"/>
  <c r="AV182" i="1" a="1"/>
  <c r="AV182" i="1" s="1"/>
  <c r="AS182" i="1"/>
  <c r="AK182" i="1" s="1" a="1"/>
  <c r="AK182" i="1" s="1"/>
  <c r="AO182" i="1"/>
  <c r="AH183" i="1"/>
  <c r="AE182" i="1"/>
  <c r="AA182" i="1"/>
  <c r="AD182" i="1"/>
  <c r="AC182" i="1"/>
  <c r="AB182" i="1"/>
  <c r="AF182" i="1"/>
  <c r="Z183" i="1"/>
  <c r="AG182" i="1"/>
  <c r="AO184" i="3" l="1"/>
  <c r="AS184" i="3" s="1"/>
  <c r="AP185" i="3"/>
  <c r="F184" i="3"/>
  <c r="J184" i="3" s="1"/>
  <c r="G185" i="3"/>
  <c r="AT184" i="3"/>
  <c r="AX184" i="3" s="1"/>
  <c r="AU185" i="3"/>
  <c r="AE185" i="3"/>
  <c r="AI185" i="3" s="1"/>
  <c r="AF186" i="3"/>
  <c r="U189" i="3"/>
  <c r="Y189" i="3" s="1"/>
  <c r="V190" i="3"/>
  <c r="K185" i="3"/>
  <c r="O185" i="3" s="1"/>
  <c r="L186" i="3"/>
  <c r="Y188" i="3"/>
  <c r="AJ184" i="3"/>
  <c r="AN184" i="3" s="1"/>
  <c r="AK185" i="3"/>
  <c r="AA185" i="3"/>
  <c r="Z184" i="3"/>
  <c r="AD184" i="3" s="1"/>
  <c r="BN183" i="3"/>
  <c r="AY184" i="3"/>
  <c r="BC184" i="3" s="1"/>
  <c r="AZ185" i="3"/>
  <c r="Q187" i="3"/>
  <c r="P186" i="3"/>
  <c r="T186" i="3" s="1"/>
  <c r="C198" i="2"/>
  <c r="B198" i="2"/>
  <c r="A199" i="2"/>
  <c r="D198" i="2"/>
  <c r="AF183" i="1"/>
  <c r="Z184" i="1"/>
  <c r="AB183" i="1"/>
  <c r="AE183" i="1"/>
  <c r="AA183" i="1"/>
  <c r="AD183" i="1"/>
  <c r="AG183" i="1"/>
  <c r="AC183" i="1"/>
  <c r="AV183" i="1" a="1"/>
  <c r="AV183" i="1" s="1"/>
  <c r="AR183" i="1"/>
  <c r="AJ183" i="1" s="1" a="1"/>
  <c r="AJ183" i="1" s="1"/>
  <c r="AT183" i="1"/>
  <c r="AL183" i="1" s="1" a="1"/>
  <c r="AL183" i="1" s="1"/>
  <c r="AP184" i="1"/>
  <c r="AW183" i="1" a="1"/>
  <c r="AW183" i="1" s="1"/>
  <c r="AS183" i="1"/>
  <c r="AU183" i="1"/>
  <c r="AQ183" i="1"/>
  <c r="AX182" i="1"/>
  <c r="AN182" i="1" s="1"/>
  <c r="AI182" i="1" a="1"/>
  <c r="AI182" i="1" s="1"/>
  <c r="AO183" i="1"/>
  <c r="AH184" i="1"/>
  <c r="AM183" i="1" l="1" a="1"/>
  <c r="AM183" i="1" s="1"/>
  <c r="AK183" i="1" a="1"/>
  <c r="AK183" i="1" s="1"/>
  <c r="AO185" i="3"/>
  <c r="AS185" i="3" s="1"/>
  <c r="AP186" i="3"/>
  <c r="K186" i="3"/>
  <c r="O186" i="3" s="1"/>
  <c r="L187" i="3"/>
  <c r="Z185" i="3"/>
  <c r="AD185" i="3" s="1"/>
  <c r="AA186" i="3"/>
  <c r="V191" i="3"/>
  <c r="U190" i="3"/>
  <c r="Y190" i="3" s="1"/>
  <c r="AK186" i="3"/>
  <c r="AJ185" i="3"/>
  <c r="AN185" i="3" s="1"/>
  <c r="AE186" i="3"/>
  <c r="AI186" i="3" s="1"/>
  <c r="AF187" i="3"/>
  <c r="AT185" i="3"/>
  <c r="AX185" i="3" s="1"/>
  <c r="AU186" i="3"/>
  <c r="Q188" i="3"/>
  <c r="P187" i="3"/>
  <c r="T187" i="3" s="1"/>
  <c r="AZ186" i="3"/>
  <c r="AY185" i="3"/>
  <c r="BC185" i="3" s="1"/>
  <c r="G186" i="3"/>
  <c r="F185" i="3"/>
  <c r="J185" i="3" s="1"/>
  <c r="BN184" i="3"/>
  <c r="A200" i="2"/>
  <c r="B199" i="2"/>
  <c r="C199" i="2"/>
  <c r="D199" i="2"/>
  <c r="AO184" i="1"/>
  <c r="AH185" i="1"/>
  <c r="AS184" i="1"/>
  <c r="AK184" i="1" s="1" a="1"/>
  <c r="AK184" i="1" s="1"/>
  <c r="AP185" i="1"/>
  <c r="AV184" i="1" a="1"/>
  <c r="AV184" i="1" s="1"/>
  <c r="AQ184" i="1"/>
  <c r="AU184" i="1"/>
  <c r="AT184" i="1"/>
  <c r="AL184" i="1" s="1" a="1"/>
  <c r="AL184" i="1" s="1"/>
  <c r="AW184" i="1" a="1"/>
  <c r="AW184" i="1" s="1"/>
  <c r="AR184" i="1"/>
  <c r="AJ184" i="1" s="1" a="1"/>
  <c r="AJ184" i="1" s="1"/>
  <c r="AX183" i="1"/>
  <c r="AN183" i="1" s="1"/>
  <c r="AI183" i="1" a="1"/>
  <c r="AI183" i="1" s="1"/>
  <c r="AD184" i="1"/>
  <c r="AC184" i="1"/>
  <c r="AB184" i="1"/>
  <c r="AG184" i="1"/>
  <c r="Z185" i="1"/>
  <c r="AA184" i="1"/>
  <c r="AF184" i="1"/>
  <c r="AE184" i="1"/>
  <c r="AM184" i="1" l="1" a="1"/>
  <c r="AM184" i="1" s="1"/>
  <c r="AO186" i="3"/>
  <c r="AS186" i="3" s="1"/>
  <c r="AP187" i="3"/>
  <c r="AJ186" i="3"/>
  <c r="AN186" i="3" s="1"/>
  <c r="AK187" i="3"/>
  <c r="F186" i="3"/>
  <c r="G187" i="3"/>
  <c r="BN185" i="3"/>
  <c r="U191" i="3"/>
  <c r="Y191" i="3" s="1"/>
  <c r="V192" i="3"/>
  <c r="AZ187" i="3"/>
  <c r="AY186" i="3"/>
  <c r="BC186" i="3" s="1"/>
  <c r="P188" i="3"/>
  <c r="Q189" i="3"/>
  <c r="AA187" i="3"/>
  <c r="Z186" i="3"/>
  <c r="AD186" i="3" s="1"/>
  <c r="AU187" i="3"/>
  <c r="AT186" i="3"/>
  <c r="AX186" i="3" s="1"/>
  <c r="L188" i="3"/>
  <c r="K187" i="3"/>
  <c r="O187" i="3" s="1"/>
  <c r="AF188" i="3"/>
  <c r="AE187" i="3"/>
  <c r="AI187" i="3" s="1"/>
  <c r="C200" i="2"/>
  <c r="D200" i="2"/>
  <c r="B200" i="2"/>
  <c r="A201" i="2"/>
  <c r="AX184" i="1"/>
  <c r="AN184" i="1" s="1"/>
  <c r="AI184" i="1" a="1"/>
  <c r="AI184" i="1" s="1"/>
  <c r="AA185" i="1"/>
  <c r="AG185" i="1"/>
  <c r="AF185" i="1"/>
  <c r="Z186" i="1"/>
  <c r="AB185" i="1"/>
  <c r="AC185" i="1"/>
  <c r="AD185" i="1"/>
  <c r="AE185" i="1"/>
  <c r="AU185" i="1"/>
  <c r="AQ185" i="1"/>
  <c r="AS185" i="1"/>
  <c r="AK185" i="1" s="1" a="1"/>
  <c r="AK185" i="1" s="1"/>
  <c r="AR185" i="1"/>
  <c r="AJ185" i="1" s="1" a="1"/>
  <c r="AJ185" i="1" s="1"/>
  <c r="AV185" i="1" a="1"/>
  <c r="AV185" i="1" s="1"/>
  <c r="AW185" i="1" a="1"/>
  <c r="AW185" i="1" s="1"/>
  <c r="AT185" i="1"/>
  <c r="AL185" i="1" s="1" a="1"/>
  <c r="AL185" i="1" s="1"/>
  <c r="AP186" i="1"/>
  <c r="AO185" i="1"/>
  <c r="AH186" i="1"/>
  <c r="AM185" i="1" l="1" a="1"/>
  <c r="AM185" i="1" s="1"/>
  <c r="AO187" i="3"/>
  <c r="AS187" i="3" s="1"/>
  <c r="AP188" i="3"/>
  <c r="AE188" i="3"/>
  <c r="AF189" i="3"/>
  <c r="AY187" i="3"/>
  <c r="BC187" i="3" s="1"/>
  <c r="AZ188" i="3"/>
  <c r="U192" i="3"/>
  <c r="Y192" i="3" s="1"/>
  <c r="V193" i="3"/>
  <c r="K188" i="3"/>
  <c r="L189" i="3"/>
  <c r="AT187" i="3"/>
  <c r="AX187" i="3" s="1"/>
  <c r="AU188" i="3"/>
  <c r="J186" i="3"/>
  <c r="BN186" i="3" s="1"/>
  <c r="AA188" i="3"/>
  <c r="Z187" i="3"/>
  <c r="AD187" i="3" s="1"/>
  <c r="F187" i="3"/>
  <c r="J187" i="3" s="1"/>
  <c r="G188" i="3"/>
  <c r="Q190" i="3"/>
  <c r="P189" i="3"/>
  <c r="T189" i="3" s="1"/>
  <c r="T188" i="3"/>
  <c r="AJ187" i="3"/>
  <c r="AN187" i="3" s="1"/>
  <c r="AK188" i="3"/>
  <c r="C201" i="2"/>
  <c r="B201" i="2"/>
  <c r="A202" i="2"/>
  <c r="D201" i="2"/>
  <c r="AH187" i="1"/>
  <c r="AO186" i="1"/>
  <c r="AR186" i="1"/>
  <c r="AU186" i="1"/>
  <c r="AQ186" i="1"/>
  <c r="AV186" i="1" a="1"/>
  <c r="AV186" i="1" s="1"/>
  <c r="AW186" i="1" a="1"/>
  <c r="AW186" i="1" s="1"/>
  <c r="AT186" i="1"/>
  <c r="AL186" i="1" s="1" a="1"/>
  <c r="AL186" i="1" s="1"/>
  <c r="AS186" i="1"/>
  <c r="AK186" i="1" s="1" a="1"/>
  <c r="AK186" i="1" s="1"/>
  <c r="AP187" i="1"/>
  <c r="AA186" i="1"/>
  <c r="AE186" i="1"/>
  <c r="AD186" i="1"/>
  <c r="AC186" i="1"/>
  <c r="AG186" i="1"/>
  <c r="Z187" i="1"/>
  <c r="AF186" i="1"/>
  <c r="AB186" i="1"/>
  <c r="AX185" i="1"/>
  <c r="AN185" i="1" s="1"/>
  <c r="AI185" i="1" a="1"/>
  <c r="AI185" i="1" s="1"/>
  <c r="AM186" i="1" l="1" a="1"/>
  <c r="AM186" i="1" s="1"/>
  <c r="AJ186" i="1" a="1"/>
  <c r="AJ186" i="1" s="1"/>
  <c r="AO188" i="3"/>
  <c r="AP189" i="3"/>
  <c r="L190" i="3"/>
  <c r="K189" i="3"/>
  <c r="O189" i="3" s="1"/>
  <c r="O188" i="3"/>
  <c r="V194" i="3"/>
  <c r="U193" i="3"/>
  <c r="Y193" i="3" s="1"/>
  <c r="Q191" i="3"/>
  <c r="P190" i="3"/>
  <c r="T190" i="3" s="1"/>
  <c r="F188" i="3"/>
  <c r="G189" i="3"/>
  <c r="AY188" i="3"/>
  <c r="AZ189" i="3"/>
  <c r="BN187" i="3"/>
  <c r="Z188" i="3"/>
  <c r="AA189" i="3"/>
  <c r="AJ188" i="3"/>
  <c r="AK189" i="3"/>
  <c r="AU189" i="3"/>
  <c r="AT188" i="3"/>
  <c r="AE189" i="3"/>
  <c r="AI189" i="3" s="1"/>
  <c r="AF190" i="3"/>
  <c r="AI188" i="3"/>
  <c r="B202" i="2"/>
  <c r="C202" i="2"/>
  <c r="A203" i="2"/>
  <c r="D202" i="2"/>
  <c r="AV187" i="1" a="1"/>
  <c r="AV187" i="1" s="1"/>
  <c r="AQ187" i="1"/>
  <c r="AR187" i="1"/>
  <c r="AS187" i="1"/>
  <c r="AK187" i="1" s="1" a="1"/>
  <c r="AK187" i="1" s="1"/>
  <c r="AU187" i="1"/>
  <c r="AW187" i="1" a="1"/>
  <c r="AW187" i="1" s="1"/>
  <c r="AT187" i="1"/>
  <c r="AL187" i="1" s="1" a="1"/>
  <c r="AL187" i="1" s="1"/>
  <c r="AP188" i="1"/>
  <c r="AX186" i="1"/>
  <c r="AN186" i="1" s="1"/>
  <c r="AI186" i="1" a="1"/>
  <c r="AI186" i="1" s="1"/>
  <c r="AF187" i="1"/>
  <c r="AD187" i="1"/>
  <c r="AG187" i="1"/>
  <c r="AC187" i="1"/>
  <c r="AE187" i="1"/>
  <c r="AA187" i="1"/>
  <c r="AB187" i="1"/>
  <c r="Z188" i="1"/>
  <c r="AO187" i="1"/>
  <c r="AH188" i="1"/>
  <c r="AJ187" i="1" l="1" a="1"/>
  <c r="AJ187" i="1" s="1"/>
  <c r="AP190" i="3"/>
  <c r="AO189" i="3"/>
  <c r="AS189" i="3" s="1"/>
  <c r="AS188" i="3"/>
  <c r="Q192" i="3"/>
  <c r="P191" i="3"/>
  <c r="T191" i="3" s="1"/>
  <c r="AE190" i="3"/>
  <c r="AI190" i="3" s="1"/>
  <c r="AF191" i="3"/>
  <c r="U194" i="3"/>
  <c r="Y194" i="3" s="1"/>
  <c r="V195" i="3"/>
  <c r="AM187" i="1" a="1"/>
  <c r="AM187" i="1" s="1"/>
  <c r="AX188" i="3"/>
  <c r="AU190" i="3"/>
  <c r="AT189" i="3"/>
  <c r="AX189" i="3" s="1"/>
  <c r="AK190" i="3"/>
  <c r="AJ189" i="3"/>
  <c r="AN189" i="3" s="1"/>
  <c r="AY189" i="3"/>
  <c r="BC189" i="3" s="1"/>
  <c r="AZ190" i="3"/>
  <c r="AN188" i="3"/>
  <c r="BC188" i="3"/>
  <c r="J188" i="3"/>
  <c r="F189" i="3"/>
  <c r="J189" i="3" s="1"/>
  <c r="G190" i="3"/>
  <c r="AA190" i="3"/>
  <c r="Z189" i="3"/>
  <c r="AD189" i="3" s="1"/>
  <c r="AD188" i="3"/>
  <c r="L191" i="3"/>
  <c r="K190" i="3"/>
  <c r="O190" i="3" s="1"/>
  <c r="D203" i="2"/>
  <c r="B203" i="2"/>
  <c r="A204" i="2"/>
  <c r="C203" i="2"/>
  <c r="AO188" i="1"/>
  <c r="AH189" i="1"/>
  <c r="AE188" i="1"/>
  <c r="AA188" i="1"/>
  <c r="AF188" i="1"/>
  <c r="AD188" i="1"/>
  <c r="AC188" i="1"/>
  <c r="AG188" i="1"/>
  <c r="AB188" i="1"/>
  <c r="Z189" i="1"/>
  <c r="AR188" i="1"/>
  <c r="AJ188" i="1" s="1" a="1"/>
  <c r="AJ188" i="1" s="1"/>
  <c r="AV188" i="1" a="1"/>
  <c r="AV188" i="1" s="1"/>
  <c r="AT188" i="1"/>
  <c r="AL188" i="1" s="1" a="1"/>
  <c r="AL188" i="1" s="1"/>
  <c r="AW188" i="1" a="1"/>
  <c r="AW188" i="1" s="1"/>
  <c r="AS188" i="1"/>
  <c r="AK188" i="1" s="1" a="1"/>
  <c r="AK188" i="1" s="1"/>
  <c r="AU188" i="1"/>
  <c r="AQ188" i="1"/>
  <c r="AP189" i="1"/>
  <c r="AI187" i="1" a="1"/>
  <c r="AI187" i="1" s="1"/>
  <c r="AX187" i="1"/>
  <c r="AN187" i="1" s="1"/>
  <c r="AM188" i="1" l="1" a="1"/>
  <c r="AM188" i="1" s="1"/>
  <c r="AO190" i="3"/>
  <c r="AS190" i="3" s="1"/>
  <c r="AP191" i="3"/>
  <c r="L192" i="3"/>
  <c r="K191" i="3"/>
  <c r="O191" i="3" s="1"/>
  <c r="G191" i="3"/>
  <c r="F190" i="3"/>
  <c r="J190" i="3" s="1"/>
  <c r="AK191" i="3"/>
  <c r="AJ190" i="3"/>
  <c r="AN190" i="3" s="1"/>
  <c r="U195" i="3"/>
  <c r="Y195" i="3" s="1"/>
  <c r="V196" i="3"/>
  <c r="AE191" i="3"/>
  <c r="AI191" i="3" s="1"/>
  <c r="AF192" i="3"/>
  <c r="BN188" i="3"/>
  <c r="P192" i="3"/>
  <c r="T192" i="3" s="1"/>
  <c r="Q193" i="3"/>
  <c r="AT190" i="3"/>
  <c r="AU191" i="3"/>
  <c r="AA191" i="3"/>
  <c r="Z190" i="3"/>
  <c r="AD190" i="3" s="1"/>
  <c r="AY190" i="3"/>
  <c r="BC190" i="3" s="1"/>
  <c r="AZ191" i="3"/>
  <c r="BN189" i="3"/>
  <c r="D204" i="2"/>
  <c r="B204" i="2"/>
  <c r="A205" i="2"/>
  <c r="C204" i="2"/>
  <c r="AC189" i="1"/>
  <c r="AA189" i="1"/>
  <c r="AD189" i="1"/>
  <c r="AG189" i="1"/>
  <c r="Z190" i="1"/>
  <c r="AB189" i="1"/>
  <c r="AF189" i="1"/>
  <c r="AE189" i="1"/>
  <c r="AQ189" i="1"/>
  <c r="AS189" i="1"/>
  <c r="AK189" i="1" s="1" a="1"/>
  <c r="AK189" i="1" s="1"/>
  <c r="AT189" i="1"/>
  <c r="AL189" i="1" s="1" a="1"/>
  <c r="AL189" i="1" s="1"/>
  <c r="AP190" i="1"/>
  <c r="AW189" i="1" a="1"/>
  <c r="AW189" i="1" s="1"/>
  <c r="AR189" i="1"/>
  <c r="AJ189" i="1" s="1" a="1"/>
  <c r="AJ189" i="1" s="1"/>
  <c r="AV189" i="1" a="1"/>
  <c r="AV189" i="1" s="1"/>
  <c r="AU189" i="1"/>
  <c r="AI188" i="1" a="1"/>
  <c r="AI188" i="1" s="1"/>
  <c r="AX188" i="1"/>
  <c r="AN188" i="1" s="1"/>
  <c r="AH190" i="1"/>
  <c r="AO189" i="1"/>
  <c r="AM189" i="1" l="1" a="1"/>
  <c r="AM189" i="1" s="1"/>
  <c r="AX190" i="3"/>
  <c r="BN190" i="3" s="1"/>
  <c r="AP192" i="3"/>
  <c r="AO191" i="3"/>
  <c r="AK192" i="3"/>
  <c r="AJ191" i="3"/>
  <c r="AN191" i="3" s="1"/>
  <c r="F191" i="3"/>
  <c r="J191" i="3" s="1"/>
  <c r="G192" i="3"/>
  <c r="AE192" i="3"/>
  <c r="AI192" i="3" s="1"/>
  <c r="AF193" i="3"/>
  <c r="K192" i="3"/>
  <c r="O192" i="3" s="1"/>
  <c r="L193" i="3"/>
  <c r="AY191" i="3"/>
  <c r="BC191" i="3" s="1"/>
  <c r="AZ192" i="3"/>
  <c r="P193" i="3"/>
  <c r="T193" i="3" s="1"/>
  <c r="Q194" i="3"/>
  <c r="Z191" i="3"/>
  <c r="AD191" i="3" s="1"/>
  <c r="AA192" i="3"/>
  <c r="U196" i="3"/>
  <c r="Y196" i="3" s="1"/>
  <c r="V197" i="3"/>
  <c r="AT191" i="3"/>
  <c r="AX191" i="3" s="1"/>
  <c r="AU192" i="3"/>
  <c r="C205" i="2"/>
  <c r="D205" i="2"/>
  <c r="A206" i="2"/>
  <c r="B205" i="2"/>
  <c r="AI189" i="1" a="1"/>
  <c r="AI189" i="1" s="1"/>
  <c r="AX189" i="1"/>
  <c r="AN189" i="1" s="1"/>
  <c r="AO190" i="1"/>
  <c r="AH191" i="1"/>
  <c r="AT190" i="1"/>
  <c r="AW190" i="1" a="1"/>
  <c r="AW190" i="1" s="1"/>
  <c r="AU190" i="1"/>
  <c r="AV190" i="1" a="1"/>
  <c r="AV190" i="1" s="1"/>
  <c r="AS190" i="1"/>
  <c r="AK190" i="1" s="1" a="1"/>
  <c r="AK190" i="1" s="1"/>
  <c r="AP191" i="1"/>
  <c r="AR190" i="1"/>
  <c r="AJ190" i="1" s="1" a="1"/>
  <c r="AJ190" i="1" s="1"/>
  <c r="AQ190" i="1"/>
  <c r="AC190" i="1"/>
  <c r="AG190" i="1"/>
  <c r="AA190" i="1"/>
  <c r="AE190" i="1"/>
  <c r="AF190" i="1"/>
  <c r="AD190" i="1"/>
  <c r="AB190" i="1"/>
  <c r="Z191" i="1"/>
  <c r="AL190" i="1" l="1" a="1"/>
  <c r="AL190" i="1" s="1"/>
  <c r="AS191" i="3"/>
  <c r="BN191" i="3" s="1"/>
  <c r="AO192" i="3"/>
  <c r="AS192" i="3" s="1"/>
  <c r="AP193" i="3"/>
  <c r="AE193" i="3"/>
  <c r="AI193" i="3" s="1"/>
  <c r="AF194" i="3"/>
  <c r="AM190" i="1" a="1"/>
  <c r="AM190" i="1" s="1"/>
  <c r="G193" i="3"/>
  <c r="F192" i="3"/>
  <c r="J192" i="3" s="1"/>
  <c r="AU193" i="3"/>
  <c r="AT192" i="3"/>
  <c r="AX192" i="3" s="1"/>
  <c r="AY192" i="3"/>
  <c r="BC192" i="3" s="1"/>
  <c r="AZ193" i="3"/>
  <c r="L194" i="3"/>
  <c r="K193" i="3"/>
  <c r="O193" i="3" s="1"/>
  <c r="U197" i="3"/>
  <c r="Y197" i="3" s="1"/>
  <c r="V198" i="3"/>
  <c r="AJ192" i="3"/>
  <c r="AK193" i="3"/>
  <c r="AA193" i="3"/>
  <c r="Z192" i="3"/>
  <c r="AD192" i="3" s="1"/>
  <c r="P194" i="3"/>
  <c r="T194" i="3" s="1"/>
  <c r="Q195" i="3"/>
  <c r="D206" i="2"/>
  <c r="A207" i="2"/>
  <c r="C206" i="2"/>
  <c r="B206" i="2"/>
  <c r="AS191" i="1"/>
  <c r="AR191" i="1"/>
  <c r="AV191" i="1" a="1"/>
  <c r="AV191" i="1" s="1"/>
  <c r="AQ191" i="1"/>
  <c r="AU191" i="1"/>
  <c r="AW191" i="1" a="1"/>
  <c r="AW191" i="1" s="1"/>
  <c r="AT191" i="1"/>
  <c r="AL191" i="1" s="1" a="1"/>
  <c r="AL191" i="1" s="1"/>
  <c r="AP192" i="1"/>
  <c r="AG191" i="1"/>
  <c r="AA191" i="1"/>
  <c r="AF191" i="1"/>
  <c r="AE191" i="1"/>
  <c r="Z192" i="1"/>
  <c r="AB191" i="1"/>
  <c r="AD191" i="1"/>
  <c r="AC191" i="1"/>
  <c r="AO191" i="1"/>
  <c r="AH192" i="1"/>
  <c r="AI190" i="1" a="1"/>
  <c r="AI190" i="1" s="1"/>
  <c r="AX190" i="1"/>
  <c r="AN190" i="1" s="1"/>
  <c r="AM191" i="1" l="1" a="1"/>
  <c r="AM191" i="1" s="1"/>
  <c r="AN192" i="3"/>
  <c r="BN192" i="3" s="1"/>
  <c r="AJ191" i="1" a="1"/>
  <c r="AJ191" i="1" s="1"/>
  <c r="AP194" i="3"/>
  <c r="AO193" i="3"/>
  <c r="AS193" i="3" s="1"/>
  <c r="AZ194" i="3"/>
  <c r="AY193" i="3"/>
  <c r="BC193" i="3" s="1"/>
  <c r="AK191" i="1" a="1"/>
  <c r="AK191" i="1" s="1"/>
  <c r="AT193" i="3"/>
  <c r="AX193" i="3" s="1"/>
  <c r="AU194" i="3"/>
  <c r="Z193" i="3"/>
  <c r="AD193" i="3" s="1"/>
  <c r="AA194" i="3"/>
  <c r="AK194" i="3"/>
  <c r="AJ193" i="3"/>
  <c r="AN193" i="3" s="1"/>
  <c r="G194" i="3"/>
  <c r="F193" i="3"/>
  <c r="J193" i="3" s="1"/>
  <c r="U198" i="3"/>
  <c r="Y198" i="3" s="1"/>
  <c r="V199" i="3"/>
  <c r="Q196" i="3"/>
  <c r="P195" i="3"/>
  <c r="T195" i="3" s="1"/>
  <c r="AE194" i="3"/>
  <c r="AI194" i="3" s="1"/>
  <c r="AF195" i="3"/>
  <c r="K194" i="3"/>
  <c r="L195" i="3"/>
  <c r="C207" i="2"/>
  <c r="A208" i="2"/>
  <c r="D207" i="2"/>
  <c r="B207" i="2"/>
  <c r="AE192" i="1"/>
  <c r="AF192" i="1"/>
  <c r="AC192" i="1"/>
  <c r="AG192" i="1"/>
  <c r="AA192" i="1"/>
  <c r="AB192" i="1"/>
  <c r="Z193" i="1"/>
  <c r="AD192" i="1"/>
  <c r="AR192" i="1"/>
  <c r="AJ192" i="1" s="1" a="1"/>
  <c r="AJ192" i="1" s="1"/>
  <c r="AU192" i="1"/>
  <c r="AW192" i="1" a="1"/>
  <c r="AW192" i="1" s="1"/>
  <c r="AS192" i="1"/>
  <c r="AK192" i="1" s="1" a="1"/>
  <c r="AK192" i="1" s="1"/>
  <c r="AV192" i="1" a="1"/>
  <c r="AV192" i="1" s="1"/>
  <c r="AP193" i="1"/>
  <c r="AQ192" i="1"/>
  <c r="AT192" i="1"/>
  <c r="AL192" i="1" s="1" a="1"/>
  <c r="AL192" i="1" s="1"/>
  <c r="AO192" i="1"/>
  <c r="AH193" i="1"/>
  <c r="AX191" i="1"/>
  <c r="AN191" i="1" s="1"/>
  <c r="AI191" i="1" a="1"/>
  <c r="AI191" i="1" s="1"/>
  <c r="O194" i="3" l="1"/>
  <c r="AM192" i="1" a="1"/>
  <c r="AM192" i="1" s="1"/>
  <c r="BN193" i="3"/>
  <c r="AP195" i="3"/>
  <c r="AO194" i="3"/>
  <c r="AS194" i="3" s="1"/>
  <c r="F194" i="3"/>
  <c r="J194" i="3" s="1"/>
  <c r="G195" i="3"/>
  <c r="AE195" i="3"/>
  <c r="AI195" i="3" s="1"/>
  <c r="AF196" i="3"/>
  <c r="AJ194" i="3"/>
  <c r="AN194" i="3" s="1"/>
  <c r="AK195" i="3"/>
  <c r="AA195" i="3"/>
  <c r="Z194" i="3"/>
  <c r="AD194" i="3" s="1"/>
  <c r="P196" i="3"/>
  <c r="T196" i="3" s="1"/>
  <c r="Q197" i="3"/>
  <c r="AU195" i="3"/>
  <c r="AT194" i="3"/>
  <c r="AX194" i="3" s="1"/>
  <c r="V200" i="3"/>
  <c r="U199" i="3"/>
  <c r="Y199" i="3" s="1"/>
  <c r="L196" i="3"/>
  <c r="K195" i="3"/>
  <c r="O195" i="3" s="1"/>
  <c r="AY194" i="3"/>
  <c r="BC194" i="3" s="1"/>
  <c r="AZ195" i="3"/>
  <c r="D208" i="2"/>
  <c r="C208" i="2"/>
  <c r="A209" i="2"/>
  <c r="B208" i="2"/>
  <c r="AH194" i="1"/>
  <c r="AO193" i="1"/>
  <c r="AE193" i="1"/>
  <c r="AF193" i="1"/>
  <c r="AB193" i="1"/>
  <c r="AA193" i="1"/>
  <c r="Z194" i="1"/>
  <c r="AC193" i="1"/>
  <c r="AD193" i="1"/>
  <c r="AG193" i="1"/>
  <c r="AI192" i="1" a="1"/>
  <c r="AI192" i="1" s="1"/>
  <c r="AX192" i="1"/>
  <c r="AN192" i="1" s="1"/>
  <c r="AR193" i="1"/>
  <c r="AT193" i="1"/>
  <c r="AV193" i="1" a="1"/>
  <c r="AV193" i="1" s="1"/>
  <c r="AW193" i="1" a="1"/>
  <c r="AW193" i="1" s="1"/>
  <c r="AU193" i="1"/>
  <c r="AM193" i="1" s="1" a="1"/>
  <c r="AM193" i="1" s="1"/>
  <c r="AQ193" i="1"/>
  <c r="AS193" i="1"/>
  <c r="AP194" i="1"/>
  <c r="AK193" i="1" l="1" a="1"/>
  <c r="AK193" i="1" s="1"/>
  <c r="AL193" i="1" a="1"/>
  <c r="AL193" i="1" s="1"/>
  <c r="BN194" i="3"/>
  <c r="AJ193" i="1" a="1"/>
  <c r="AJ193" i="1" s="1"/>
  <c r="AO195" i="3"/>
  <c r="AS195" i="3" s="1"/>
  <c r="AP196" i="3"/>
  <c r="AT195" i="3"/>
  <c r="AX195" i="3" s="1"/>
  <c r="AU196" i="3"/>
  <c r="Q198" i="3"/>
  <c r="P197" i="3"/>
  <c r="T197" i="3" s="1"/>
  <c r="AY195" i="3"/>
  <c r="BC195" i="3" s="1"/>
  <c r="AZ196" i="3"/>
  <c r="AA196" i="3"/>
  <c r="Z195" i="3"/>
  <c r="AD195" i="3" s="1"/>
  <c r="L197" i="3"/>
  <c r="K196" i="3"/>
  <c r="O196" i="3" s="1"/>
  <c r="AK196" i="3"/>
  <c r="AJ195" i="3"/>
  <c r="AN195" i="3" s="1"/>
  <c r="AF197" i="3"/>
  <c r="AE196" i="3"/>
  <c r="AI196" i="3" s="1"/>
  <c r="F195" i="3"/>
  <c r="J195" i="3" s="1"/>
  <c r="G196" i="3"/>
  <c r="U200" i="3"/>
  <c r="Y200" i="3" s="1"/>
  <c r="V201" i="3"/>
  <c r="C209" i="2"/>
  <c r="A210" i="2"/>
  <c r="B209" i="2"/>
  <c r="D209" i="2"/>
  <c r="AT194" i="1"/>
  <c r="AU194" i="1"/>
  <c r="AS194" i="1"/>
  <c r="AQ194" i="1"/>
  <c r="AR194" i="1"/>
  <c r="AJ194" i="1" s="1" a="1"/>
  <c r="AJ194" i="1" s="1"/>
  <c r="AP195" i="1"/>
  <c r="AV194" i="1" a="1"/>
  <c r="AV194" i="1" s="1"/>
  <c r="AW194" i="1" a="1"/>
  <c r="AW194" i="1" s="1"/>
  <c r="AA194" i="1"/>
  <c r="Z195" i="1"/>
  <c r="AE194" i="1"/>
  <c r="AG194" i="1"/>
  <c r="AB194" i="1"/>
  <c r="AF194" i="1"/>
  <c r="AD194" i="1"/>
  <c r="AC194" i="1"/>
  <c r="AI193" i="1" a="1"/>
  <c r="AI193" i="1" s="1"/>
  <c r="AX193" i="1"/>
  <c r="AN193" i="1" s="1"/>
  <c r="AO194" i="1"/>
  <c r="AH195" i="1"/>
  <c r="BN195" i="3" l="1"/>
  <c r="AM194" i="1" a="1"/>
  <c r="AM194" i="1" s="1"/>
  <c r="AL194" i="1" a="1"/>
  <c r="AL194" i="1" s="1"/>
  <c r="AK194" i="1" a="1"/>
  <c r="AK194" i="1" s="1"/>
  <c r="AP197" i="3"/>
  <c r="AO196" i="3"/>
  <c r="AS196" i="3" s="1"/>
  <c r="AK197" i="3"/>
  <c r="AJ196" i="3"/>
  <c r="AN196" i="3" s="1"/>
  <c r="U201" i="3"/>
  <c r="Y201" i="3" s="1"/>
  <c r="V202" i="3"/>
  <c r="L198" i="3"/>
  <c r="K197" i="3"/>
  <c r="O197" i="3" s="1"/>
  <c r="F196" i="3"/>
  <c r="J196" i="3" s="1"/>
  <c r="G197" i="3"/>
  <c r="Z196" i="3"/>
  <c r="AD196" i="3" s="1"/>
  <c r="AA197" i="3"/>
  <c r="AY196" i="3"/>
  <c r="BC196" i="3" s="1"/>
  <c r="AZ197" i="3"/>
  <c r="AF198" i="3"/>
  <c r="AE197" i="3"/>
  <c r="AI197" i="3" s="1"/>
  <c r="Q199" i="3"/>
  <c r="P198" i="3"/>
  <c r="T198" i="3" s="1"/>
  <c r="AU197" i="3"/>
  <c r="AT196" i="3"/>
  <c r="A211" i="2"/>
  <c r="D210" i="2"/>
  <c r="C210" i="2"/>
  <c r="B210" i="2"/>
  <c r="AE195" i="1"/>
  <c r="Z196" i="1"/>
  <c r="AD195" i="1"/>
  <c r="AB195" i="1"/>
  <c r="AC195" i="1"/>
  <c r="AF195" i="1"/>
  <c r="AA195" i="1"/>
  <c r="AG195" i="1"/>
  <c r="AO195" i="1"/>
  <c r="AH196" i="1"/>
  <c r="AS195" i="1"/>
  <c r="AP196" i="1"/>
  <c r="AV195" i="1" a="1"/>
  <c r="AV195" i="1" s="1"/>
  <c r="AR195" i="1"/>
  <c r="AJ195" i="1" s="1" a="1"/>
  <c r="AJ195" i="1" s="1"/>
  <c r="AU195" i="1"/>
  <c r="AT195" i="1"/>
  <c r="AL195" i="1" s="1" a="1"/>
  <c r="AL195" i="1" s="1"/>
  <c r="AW195" i="1" a="1"/>
  <c r="AW195" i="1" s="1"/>
  <c r="AQ195" i="1"/>
  <c r="AI194" i="1" a="1"/>
  <c r="AI194" i="1" s="1"/>
  <c r="AX194" i="1"/>
  <c r="AN194" i="1" s="1"/>
  <c r="AM195" i="1" l="1" a="1"/>
  <c r="AM195" i="1" s="1"/>
  <c r="AK195" i="1" a="1"/>
  <c r="AK195" i="1" s="1"/>
  <c r="AX196" i="3"/>
  <c r="BN196" i="3" s="1"/>
  <c r="AO197" i="3"/>
  <c r="AS197" i="3" s="1"/>
  <c r="AP198" i="3"/>
  <c r="AA198" i="3"/>
  <c r="Z197" i="3"/>
  <c r="AD197" i="3" s="1"/>
  <c r="AU198" i="3"/>
  <c r="AT197" i="3"/>
  <c r="AX197" i="3" s="1"/>
  <c r="F197" i="3"/>
  <c r="J197" i="3" s="1"/>
  <c r="G198" i="3"/>
  <c r="K198" i="3"/>
  <c r="O198" i="3" s="1"/>
  <c r="L199" i="3"/>
  <c r="Q200" i="3"/>
  <c r="P199" i="3"/>
  <c r="T199" i="3" s="1"/>
  <c r="U202" i="3"/>
  <c r="Y202" i="3" s="1"/>
  <c r="V203" i="3"/>
  <c r="AF199" i="3"/>
  <c r="AE198" i="3"/>
  <c r="AI198" i="3" s="1"/>
  <c r="AZ198" i="3"/>
  <c r="AY197" i="3"/>
  <c r="BC197" i="3" s="1"/>
  <c r="AK198" i="3"/>
  <c r="AJ197" i="3"/>
  <c r="AN197" i="3" s="1"/>
  <c r="D211" i="2"/>
  <c r="B211" i="2"/>
  <c r="A212" i="2"/>
  <c r="C211" i="2"/>
  <c r="AO196" i="1"/>
  <c r="AH197" i="1"/>
  <c r="AX195" i="1"/>
  <c r="AN195" i="1" s="1"/>
  <c r="AI195" i="1" a="1"/>
  <c r="AI195" i="1" s="1"/>
  <c r="AB196" i="1"/>
  <c r="AD196" i="1"/>
  <c r="Z197" i="1"/>
  <c r="AC196" i="1"/>
  <c r="AA196" i="1"/>
  <c r="AF196" i="1"/>
  <c r="AG196" i="1"/>
  <c r="AE196" i="1"/>
  <c r="AQ196" i="1"/>
  <c r="AW196" i="1" a="1"/>
  <c r="AW196" i="1" s="1"/>
  <c r="AT196" i="1"/>
  <c r="AL196" i="1" s="1" a="1"/>
  <c r="AL196" i="1" s="1"/>
  <c r="AP197" i="1"/>
  <c r="AR196" i="1"/>
  <c r="AJ196" i="1" s="1" a="1"/>
  <c r="AJ196" i="1" s="1"/>
  <c r="AS196" i="1"/>
  <c r="AK196" i="1" s="1" a="1"/>
  <c r="AK196" i="1" s="1"/>
  <c r="AV196" i="1" a="1"/>
  <c r="AV196" i="1" s="1"/>
  <c r="AU196" i="1"/>
  <c r="AM196" i="1" s="1" a="1"/>
  <c r="AM196" i="1" s="1"/>
  <c r="BN197" i="3" l="1"/>
  <c r="AP199" i="3"/>
  <c r="AO198" i="3"/>
  <c r="AS198" i="3" s="1"/>
  <c r="Q201" i="3"/>
  <c r="P200" i="3"/>
  <c r="L200" i="3"/>
  <c r="K199" i="3"/>
  <c r="O199" i="3" s="1"/>
  <c r="AJ198" i="3"/>
  <c r="AN198" i="3" s="1"/>
  <c r="AK199" i="3"/>
  <c r="AY198" i="3"/>
  <c r="BC198" i="3" s="1"/>
  <c r="AZ199" i="3"/>
  <c r="F198" i="3"/>
  <c r="G199" i="3"/>
  <c r="AE199" i="3"/>
  <c r="AI199" i="3" s="1"/>
  <c r="AF200" i="3"/>
  <c r="U203" i="3"/>
  <c r="Y203" i="3" s="1"/>
  <c r="V204" i="3"/>
  <c r="AU199" i="3"/>
  <c r="AT198" i="3"/>
  <c r="AX198" i="3" s="1"/>
  <c r="Z198" i="3"/>
  <c r="AD198" i="3" s="1"/>
  <c r="AA199" i="3"/>
  <c r="A213" i="2"/>
  <c r="D212" i="2"/>
  <c r="C212" i="2"/>
  <c r="B212" i="2"/>
  <c r="AE197" i="1"/>
  <c r="AF197" i="1"/>
  <c r="AB197" i="1"/>
  <c r="Z198" i="1"/>
  <c r="AA197" i="1"/>
  <c r="AC197" i="1"/>
  <c r="AD197" i="1"/>
  <c r="AG197" i="1"/>
  <c r="AP198" i="1"/>
  <c r="AS197" i="1"/>
  <c r="AR197" i="1"/>
  <c r="AT197" i="1"/>
  <c r="AL197" i="1" s="1" a="1"/>
  <c r="AL197" i="1" s="1"/>
  <c r="AW197" i="1" a="1"/>
  <c r="AW197" i="1" s="1"/>
  <c r="AU197" i="1"/>
  <c r="AM197" i="1" s="1" a="1"/>
  <c r="AM197" i="1" s="1"/>
  <c r="AQ197" i="1"/>
  <c r="AV197" i="1" a="1"/>
  <c r="AV197" i="1" s="1"/>
  <c r="AX196" i="1"/>
  <c r="AN196" i="1" s="1"/>
  <c r="AI196" i="1" a="1"/>
  <c r="AI196" i="1" s="1"/>
  <c r="AH198" i="1"/>
  <c r="AO197" i="1"/>
  <c r="AJ197" i="1" l="1" a="1"/>
  <c r="AJ197" i="1" s="1"/>
  <c r="T200" i="3"/>
  <c r="J198" i="3"/>
  <c r="BN198" i="3" s="1"/>
  <c r="AK197" i="1" a="1"/>
  <c r="AK197" i="1" s="1"/>
  <c r="AO199" i="3"/>
  <c r="AS199" i="3" s="1"/>
  <c r="AP200" i="3"/>
  <c r="F199" i="3"/>
  <c r="J199" i="3" s="1"/>
  <c r="G200" i="3"/>
  <c r="AA200" i="3"/>
  <c r="Z199" i="3"/>
  <c r="AD199" i="3" s="1"/>
  <c r="AY199" i="3"/>
  <c r="BC199" i="3" s="1"/>
  <c r="AZ200" i="3"/>
  <c r="AU200" i="3"/>
  <c r="AT199" i="3"/>
  <c r="AX199" i="3" s="1"/>
  <c r="AK200" i="3"/>
  <c r="AJ199" i="3"/>
  <c r="AN199" i="3" s="1"/>
  <c r="U204" i="3"/>
  <c r="Y204" i="3" s="1"/>
  <c r="V205" i="3"/>
  <c r="AF201" i="3"/>
  <c r="AE200" i="3"/>
  <c r="AI200" i="3" s="1"/>
  <c r="K200" i="3"/>
  <c r="O200" i="3" s="1"/>
  <c r="L201" i="3"/>
  <c r="Q202" i="3"/>
  <c r="P201" i="3"/>
  <c r="T201" i="3" s="1"/>
  <c r="C213" i="2"/>
  <c r="A214" i="2"/>
  <c r="D213" i="2"/>
  <c r="B213" i="2"/>
  <c r="AS198" i="1"/>
  <c r="AR198" i="1"/>
  <c r="AJ198" i="1" s="1" a="1"/>
  <c r="AJ198" i="1" s="1"/>
  <c r="AU198" i="1"/>
  <c r="AQ198" i="1"/>
  <c r="AW198" i="1" a="1"/>
  <c r="AW198" i="1" s="1"/>
  <c r="AV198" i="1" a="1"/>
  <c r="AV198" i="1" s="1"/>
  <c r="AP199" i="1"/>
  <c r="AT198" i="1"/>
  <c r="AO198" i="1"/>
  <c r="AH199" i="1"/>
  <c r="AC198" i="1"/>
  <c r="AB198" i="1"/>
  <c r="Z199" i="1"/>
  <c r="AG198" i="1"/>
  <c r="AF198" i="1"/>
  <c r="AE198" i="1"/>
  <c r="AA198" i="1"/>
  <c r="AD198" i="1"/>
  <c r="AI197" i="1" a="1"/>
  <c r="AI197" i="1" s="1"/>
  <c r="AX197" i="1"/>
  <c r="AN197" i="1" s="1"/>
  <c r="AM198" i="1" l="1" a="1"/>
  <c r="AM198" i="1" s="1"/>
  <c r="AK198" i="1" a="1"/>
  <c r="AK198" i="1" s="1"/>
  <c r="BN199" i="3"/>
  <c r="AL198" i="1" a="1"/>
  <c r="AL198" i="1" s="1"/>
  <c r="AP201" i="3"/>
  <c r="AO200" i="3"/>
  <c r="AS200" i="3" s="1"/>
  <c r="AJ200" i="3"/>
  <c r="AN200" i="3" s="1"/>
  <c r="AK201" i="3"/>
  <c r="P202" i="3"/>
  <c r="T202" i="3" s="1"/>
  <c r="Q203" i="3"/>
  <c r="K201" i="3"/>
  <c r="O201" i="3" s="1"/>
  <c r="L202" i="3"/>
  <c r="AT200" i="3"/>
  <c r="AX200" i="3" s="1"/>
  <c r="AU201" i="3"/>
  <c r="AY200" i="3"/>
  <c r="BC200" i="3" s="1"/>
  <c r="AZ201" i="3"/>
  <c r="AE201" i="3"/>
  <c r="AI201" i="3" s="1"/>
  <c r="AF202" i="3"/>
  <c r="AA201" i="3"/>
  <c r="Z200" i="3"/>
  <c r="AD200" i="3" s="1"/>
  <c r="U205" i="3"/>
  <c r="Y205" i="3" s="1"/>
  <c r="V206" i="3"/>
  <c r="G201" i="3"/>
  <c r="F200" i="3"/>
  <c r="J200" i="3" s="1"/>
  <c r="C214" i="2"/>
  <c r="B214" i="2"/>
  <c r="A215" i="2"/>
  <c r="D214" i="2"/>
  <c r="AE199" i="1"/>
  <c r="AG199" i="1"/>
  <c r="AD199" i="1"/>
  <c r="Z200" i="1"/>
  <c r="AB199" i="1"/>
  <c r="AC199" i="1"/>
  <c r="AF199" i="1"/>
  <c r="AA199" i="1"/>
  <c r="AH200" i="1"/>
  <c r="AO199" i="1"/>
  <c r="AV199" i="1" a="1"/>
  <c r="AV199" i="1" s="1"/>
  <c r="AU199" i="1"/>
  <c r="AW199" i="1" a="1"/>
  <c r="AW199" i="1" s="1"/>
  <c r="AT199" i="1"/>
  <c r="AL199" i="1" s="1" a="1"/>
  <c r="AL199" i="1" s="1"/>
  <c r="AP200" i="1"/>
  <c r="AQ199" i="1"/>
  <c r="AS199" i="1"/>
  <c r="AK199" i="1" s="1" a="1"/>
  <c r="AK199" i="1" s="1"/>
  <c r="AR199" i="1"/>
  <c r="AJ199" i="1" s="1" a="1"/>
  <c r="AJ199" i="1" s="1"/>
  <c r="AX198" i="1"/>
  <c r="AN198" i="1" s="1"/>
  <c r="AI198" i="1" a="1"/>
  <c r="AI198" i="1" s="1"/>
  <c r="AM199" i="1" l="1" a="1"/>
  <c r="AM199" i="1" s="1"/>
  <c r="BN200" i="3"/>
  <c r="AO201" i="3"/>
  <c r="AS201" i="3" s="1"/>
  <c r="AP202" i="3"/>
  <c r="AZ202" i="3"/>
  <c r="AY201" i="3"/>
  <c r="BC201" i="3" s="1"/>
  <c r="AT201" i="3"/>
  <c r="AX201" i="3" s="1"/>
  <c r="AU202" i="3"/>
  <c r="F201" i="3"/>
  <c r="G202" i="3"/>
  <c r="K202" i="3"/>
  <c r="O202" i="3" s="1"/>
  <c r="L203" i="3"/>
  <c r="U206" i="3"/>
  <c r="Y206" i="3" s="1"/>
  <c r="V207" i="3"/>
  <c r="Q204" i="3"/>
  <c r="P203" i="3"/>
  <c r="T203" i="3" s="1"/>
  <c r="Z201" i="3"/>
  <c r="AD201" i="3" s="1"/>
  <c r="AA202" i="3"/>
  <c r="AE202" i="3"/>
  <c r="AI202" i="3" s="1"/>
  <c r="AF203" i="3"/>
  <c r="AK202" i="3"/>
  <c r="AJ201" i="3"/>
  <c r="AN201" i="3" s="1"/>
  <c r="B215" i="2"/>
  <c r="C215" i="2"/>
  <c r="A216" i="2"/>
  <c r="D215" i="2"/>
  <c r="AO200" i="1"/>
  <c r="AH201" i="1"/>
  <c r="AI199" i="1" a="1"/>
  <c r="AI199" i="1" s="1"/>
  <c r="AX199" i="1"/>
  <c r="AN199" i="1" s="1"/>
  <c r="AQ200" i="1"/>
  <c r="AV200" i="1" a="1"/>
  <c r="AV200" i="1" s="1"/>
  <c r="AS200" i="1"/>
  <c r="AK200" i="1" s="1" a="1"/>
  <c r="AK200" i="1" s="1"/>
  <c r="AU200" i="1"/>
  <c r="AW200" i="1" a="1"/>
  <c r="AW200" i="1" s="1"/>
  <c r="AP201" i="1"/>
  <c r="AR200" i="1"/>
  <c r="AJ200" i="1" s="1" a="1"/>
  <c r="AJ200" i="1" s="1"/>
  <c r="AT200" i="1"/>
  <c r="AL200" i="1" s="1" a="1"/>
  <c r="AL200" i="1" s="1"/>
  <c r="AE200" i="1"/>
  <c r="Z201" i="1"/>
  <c r="AD200" i="1"/>
  <c r="AB200" i="1"/>
  <c r="AF200" i="1"/>
  <c r="AC200" i="1"/>
  <c r="AG200" i="1"/>
  <c r="AA200" i="1"/>
  <c r="AM200" i="1" l="1" a="1"/>
  <c r="AM200" i="1" s="1"/>
  <c r="J201" i="3"/>
  <c r="BN201" i="3" s="1"/>
  <c r="AP203" i="3"/>
  <c r="AO202" i="3"/>
  <c r="AS202" i="3" s="1"/>
  <c r="U207" i="3"/>
  <c r="Y207" i="3" s="1"/>
  <c r="V208" i="3"/>
  <c r="AJ202" i="3"/>
  <c r="AN202" i="3" s="1"/>
  <c r="AK203" i="3"/>
  <c r="K203" i="3"/>
  <c r="O203" i="3" s="1"/>
  <c r="L204" i="3"/>
  <c r="AE203" i="3"/>
  <c r="AI203" i="3" s="1"/>
  <c r="AF204" i="3"/>
  <c r="F202" i="3"/>
  <c r="J202" i="3" s="1"/>
  <c r="G203" i="3"/>
  <c r="AA203" i="3"/>
  <c r="Z202" i="3"/>
  <c r="AD202" i="3" s="1"/>
  <c r="AT202" i="3"/>
  <c r="AX202" i="3" s="1"/>
  <c r="AU203" i="3"/>
  <c r="P204" i="3"/>
  <c r="T204" i="3" s="1"/>
  <c r="Q205" i="3"/>
  <c r="AZ203" i="3"/>
  <c r="AY202" i="3"/>
  <c r="BC202" i="3" s="1"/>
  <c r="B216" i="2"/>
  <c r="C216" i="2"/>
  <c r="A217" i="2"/>
  <c r="D216" i="2"/>
  <c r="AR201" i="1"/>
  <c r="AS201" i="1"/>
  <c r="AK201" i="1" s="1" a="1"/>
  <c r="AK201" i="1" s="1"/>
  <c r="AP202" i="1"/>
  <c r="AV201" i="1" a="1"/>
  <c r="AV201" i="1" s="1"/>
  <c r="AW201" i="1" a="1"/>
  <c r="AW201" i="1" s="1"/>
  <c r="AT201" i="1"/>
  <c r="AL201" i="1" s="1" a="1"/>
  <c r="AL201" i="1" s="1"/>
  <c r="AU201" i="1"/>
  <c r="AM201" i="1" s="1" a="1"/>
  <c r="AM201" i="1" s="1"/>
  <c r="AQ201" i="1"/>
  <c r="AI200" i="1" a="1"/>
  <c r="AI200" i="1" s="1"/>
  <c r="AX200" i="1"/>
  <c r="AN200" i="1" s="1"/>
  <c r="AD201" i="1"/>
  <c r="Z202" i="1"/>
  <c r="AF201" i="1"/>
  <c r="AG201" i="1"/>
  <c r="AB201" i="1"/>
  <c r="AA201" i="1"/>
  <c r="AC201" i="1"/>
  <c r="AE201" i="1"/>
  <c r="AH202" i="1"/>
  <c r="AO201" i="1"/>
  <c r="BN202" i="3" l="1"/>
  <c r="AJ201" i="1" a="1"/>
  <c r="AJ201" i="1" s="1"/>
  <c r="AO203" i="3"/>
  <c r="AS203" i="3" s="1"/>
  <c r="AP204" i="3"/>
  <c r="F203" i="3"/>
  <c r="J203" i="3" s="1"/>
  <c r="G204" i="3"/>
  <c r="AY203" i="3"/>
  <c r="BC203" i="3" s="1"/>
  <c r="AZ204" i="3"/>
  <c r="AE204" i="3"/>
  <c r="AI204" i="3" s="1"/>
  <c r="AF205" i="3"/>
  <c r="Q206" i="3"/>
  <c r="P205" i="3"/>
  <c r="T205" i="3" s="1"/>
  <c r="L205" i="3"/>
  <c r="K204" i="3"/>
  <c r="AT203" i="3"/>
  <c r="AX203" i="3" s="1"/>
  <c r="AU204" i="3"/>
  <c r="AJ203" i="3"/>
  <c r="AN203" i="3" s="1"/>
  <c r="AK204" i="3"/>
  <c r="Z203" i="3"/>
  <c r="AD203" i="3" s="1"/>
  <c r="AA204" i="3"/>
  <c r="V209" i="3"/>
  <c r="U208" i="3"/>
  <c r="Y208" i="3" s="1"/>
  <c r="B217" i="2"/>
  <c r="A218" i="2"/>
  <c r="C217" i="2"/>
  <c r="D217" i="2"/>
  <c r="AE202" i="1"/>
  <c r="AB202" i="1"/>
  <c r="AD202" i="1"/>
  <c r="AF202" i="1"/>
  <c r="AC202" i="1"/>
  <c r="Z203" i="1"/>
  <c r="AA202" i="1"/>
  <c r="AG202" i="1"/>
  <c r="AI201" i="1" a="1"/>
  <c r="AI201" i="1" s="1"/>
  <c r="AX201" i="1"/>
  <c r="AN201" i="1" s="1"/>
  <c r="AH203" i="1"/>
  <c r="AO202" i="1"/>
  <c r="AS202" i="1"/>
  <c r="AP203" i="1"/>
  <c r="AQ202" i="1"/>
  <c r="AR202" i="1"/>
  <c r="AJ202" i="1" s="1" a="1"/>
  <c r="AJ202" i="1" s="1"/>
  <c r="AU202" i="1"/>
  <c r="AM202" i="1" s="1" a="1"/>
  <c r="AM202" i="1" s="1"/>
  <c r="AV202" i="1" a="1"/>
  <c r="AV202" i="1" s="1"/>
  <c r="AT202" i="1"/>
  <c r="AL202" i="1" s="1" a="1"/>
  <c r="AL202" i="1" s="1"/>
  <c r="AW202" i="1" a="1"/>
  <c r="AW202" i="1" s="1"/>
  <c r="O204" i="3" l="1"/>
  <c r="BN203" i="3"/>
  <c r="AK202" i="1" a="1"/>
  <c r="AK202" i="1" s="1"/>
  <c r="AP205" i="3"/>
  <c r="AO204" i="3"/>
  <c r="AS204" i="3" s="1"/>
  <c r="AU205" i="3"/>
  <c r="AT204" i="3"/>
  <c r="AX204" i="3" s="1"/>
  <c r="L206" i="3"/>
  <c r="K205" i="3"/>
  <c r="O205" i="3" s="1"/>
  <c r="P206" i="3"/>
  <c r="T206" i="3" s="1"/>
  <c r="Q207" i="3"/>
  <c r="AF206" i="3"/>
  <c r="AE205" i="3"/>
  <c r="AI205" i="3" s="1"/>
  <c r="V210" i="3"/>
  <c r="U209" i="3"/>
  <c r="Y209" i="3" s="1"/>
  <c r="Z204" i="3"/>
  <c r="AD204" i="3" s="1"/>
  <c r="AA205" i="3"/>
  <c r="AZ205" i="3"/>
  <c r="AY204" i="3"/>
  <c r="BC204" i="3" s="1"/>
  <c r="AJ204" i="3"/>
  <c r="AN204" i="3" s="1"/>
  <c r="AK205" i="3"/>
  <c r="F204" i="3"/>
  <c r="J204" i="3" s="1"/>
  <c r="G205" i="3"/>
  <c r="A219" i="2"/>
  <c r="D218" i="2"/>
  <c r="B218" i="2"/>
  <c r="C218" i="2"/>
  <c r="AH204" i="1"/>
  <c r="AO203" i="1"/>
  <c r="AE203" i="1"/>
  <c r="AG203" i="1"/>
  <c r="AF203" i="1"/>
  <c r="AC203" i="1"/>
  <c r="AB203" i="1"/>
  <c r="AA203" i="1"/>
  <c r="Z204" i="1"/>
  <c r="AD203" i="1"/>
  <c r="AX202" i="1"/>
  <c r="AN202" i="1" s="1"/>
  <c r="AI202" i="1" a="1"/>
  <c r="AI202" i="1" s="1"/>
  <c r="AT203" i="1"/>
  <c r="AU203" i="1"/>
  <c r="AM203" i="1" s="1" a="1"/>
  <c r="AM203" i="1" s="1"/>
  <c r="AS203" i="1"/>
  <c r="AK203" i="1" s="1" a="1"/>
  <c r="AK203" i="1" s="1"/>
  <c r="AV203" i="1" a="1"/>
  <c r="AV203" i="1" s="1"/>
  <c r="AR203" i="1"/>
  <c r="AJ203" i="1" s="1" a="1"/>
  <c r="AJ203" i="1" s="1"/>
  <c r="AW203" i="1" a="1"/>
  <c r="AW203" i="1" s="1"/>
  <c r="AP204" i="1"/>
  <c r="AQ203" i="1"/>
  <c r="BN204" i="3" l="1"/>
  <c r="AL203" i="1" a="1"/>
  <c r="AL203" i="1" s="1"/>
  <c r="AP206" i="3"/>
  <c r="AO205" i="3"/>
  <c r="AS205" i="3" s="1"/>
  <c r="U210" i="3"/>
  <c r="Y210" i="3" s="1"/>
  <c r="V211" i="3"/>
  <c r="G206" i="3"/>
  <c r="F205" i="3"/>
  <c r="J205" i="3" s="1"/>
  <c r="AF207" i="3"/>
  <c r="AE206" i="3"/>
  <c r="AI206" i="3" s="1"/>
  <c r="Q208" i="3"/>
  <c r="P207" i="3"/>
  <c r="T207" i="3" s="1"/>
  <c r="AJ205" i="3"/>
  <c r="AN205" i="3" s="1"/>
  <c r="AK206" i="3"/>
  <c r="AZ206" i="3"/>
  <c r="AY205" i="3"/>
  <c r="AA206" i="3"/>
  <c r="Z205" i="3"/>
  <c r="AD205" i="3" s="1"/>
  <c r="L207" i="3"/>
  <c r="K206" i="3"/>
  <c r="O206" i="3" s="1"/>
  <c r="AU206" i="3"/>
  <c r="AT205" i="3"/>
  <c r="AX205" i="3" s="1"/>
  <c r="A220" i="2"/>
  <c r="C219" i="2"/>
  <c r="D219" i="2"/>
  <c r="B219" i="2"/>
  <c r="AD204" i="1"/>
  <c r="AE204" i="1"/>
  <c r="AG204" i="1"/>
  <c r="AA204" i="1"/>
  <c r="AC204" i="1"/>
  <c r="Z205" i="1"/>
  <c r="AF204" i="1"/>
  <c r="AB204" i="1"/>
  <c r="AX203" i="1"/>
  <c r="AN203" i="1" s="1"/>
  <c r="AI203" i="1" a="1"/>
  <c r="AI203" i="1" s="1"/>
  <c r="AR204" i="1"/>
  <c r="AJ204" i="1" s="1" a="1"/>
  <c r="AJ204" i="1" s="1"/>
  <c r="AW204" i="1" a="1"/>
  <c r="AW204" i="1" s="1"/>
  <c r="AU204" i="1"/>
  <c r="AM204" i="1" s="1" a="1"/>
  <c r="AM204" i="1" s="1"/>
  <c r="AV204" i="1" a="1"/>
  <c r="AV204" i="1" s="1"/>
  <c r="AQ204" i="1"/>
  <c r="AT204" i="1"/>
  <c r="AL204" i="1" s="1" a="1"/>
  <c r="AL204" i="1" s="1"/>
  <c r="AS204" i="1"/>
  <c r="AK204" i="1" s="1" a="1"/>
  <c r="AK204" i="1" s="1"/>
  <c r="AP205" i="1"/>
  <c r="AH205" i="1"/>
  <c r="AO204" i="1"/>
  <c r="BC205" i="3" l="1"/>
  <c r="BN205" i="3" s="1"/>
  <c r="AP207" i="3"/>
  <c r="AO206" i="3"/>
  <c r="AS206" i="3" s="1"/>
  <c r="AJ206" i="3"/>
  <c r="AN206" i="3" s="1"/>
  <c r="AK207" i="3"/>
  <c r="AU207" i="3"/>
  <c r="AT206" i="3"/>
  <c r="AX206" i="3" s="1"/>
  <c r="P208" i="3"/>
  <c r="T208" i="3" s="1"/>
  <c r="Q209" i="3"/>
  <c r="K207" i="3"/>
  <c r="O207" i="3" s="1"/>
  <c r="L208" i="3"/>
  <c r="AE207" i="3"/>
  <c r="AI207" i="3" s="1"/>
  <c r="AF208" i="3"/>
  <c r="Z206" i="3"/>
  <c r="AD206" i="3" s="1"/>
  <c r="AA207" i="3"/>
  <c r="G207" i="3"/>
  <c r="F206" i="3"/>
  <c r="J206" i="3" s="1"/>
  <c r="AZ207" i="3"/>
  <c r="AY206" i="3"/>
  <c r="BC206" i="3" s="1"/>
  <c r="U211" i="3"/>
  <c r="Y211" i="3" s="1"/>
  <c r="V212" i="3"/>
  <c r="C220" i="2"/>
  <c r="D220" i="2"/>
  <c r="B220" i="2"/>
  <c r="A221" i="2"/>
  <c r="AO205" i="1"/>
  <c r="AH206" i="1"/>
  <c r="AS205" i="1"/>
  <c r="AK205" i="1" s="1" a="1"/>
  <c r="AK205" i="1" s="1"/>
  <c r="AT205" i="1"/>
  <c r="AL205" i="1" s="1" a="1"/>
  <c r="AL205" i="1" s="1"/>
  <c r="AP206" i="1"/>
  <c r="AW205" i="1" a="1"/>
  <c r="AW205" i="1" s="1"/>
  <c r="AQ205" i="1"/>
  <c r="AR205" i="1"/>
  <c r="AJ205" i="1" s="1" a="1"/>
  <c r="AJ205" i="1" s="1"/>
  <c r="AV205" i="1" a="1"/>
  <c r="AV205" i="1" s="1"/>
  <c r="AU205" i="1"/>
  <c r="AA205" i="1"/>
  <c r="AE205" i="1"/>
  <c r="AF205" i="1"/>
  <c r="AC205" i="1"/>
  <c r="AD205" i="1"/>
  <c r="Z206" i="1"/>
  <c r="AB205" i="1"/>
  <c r="AG205" i="1"/>
  <c r="AX204" i="1"/>
  <c r="AN204" i="1" s="1"/>
  <c r="AI204" i="1" a="1"/>
  <c r="AI204" i="1" s="1"/>
  <c r="B5" i="1" l="1" a="1"/>
  <c r="B5" i="1" s="1"/>
  <c r="K5" i="1" s="1"/>
  <c r="AM205" i="1" a="1"/>
  <c r="AM205" i="1" s="1"/>
  <c r="BN206" i="3"/>
  <c r="AO207" i="3"/>
  <c r="AS207" i="3" s="1"/>
  <c r="AP208" i="3"/>
  <c r="Z207" i="3"/>
  <c r="AD207" i="3" s="1"/>
  <c r="AA208" i="3"/>
  <c r="AF209" i="3"/>
  <c r="AE208" i="3"/>
  <c r="AI208" i="3" s="1"/>
  <c r="L209" i="3"/>
  <c r="K208" i="3"/>
  <c r="O208" i="3" s="1"/>
  <c r="V213" i="3"/>
  <c r="U212" i="3"/>
  <c r="Y212" i="3" s="1"/>
  <c r="Q210" i="3"/>
  <c r="P209" i="3"/>
  <c r="T209" i="3" s="1"/>
  <c r="AZ208" i="3"/>
  <c r="AY207" i="3"/>
  <c r="AT207" i="3"/>
  <c r="AX207" i="3" s="1"/>
  <c r="AU208" i="3"/>
  <c r="G208" i="3"/>
  <c r="F207" i="3"/>
  <c r="J207" i="3" s="1"/>
  <c r="AK208" i="3"/>
  <c r="AJ207" i="3"/>
  <c r="AN207" i="3" s="1"/>
  <c r="D221" i="2"/>
  <c r="B221" i="2"/>
  <c r="A222" i="2"/>
  <c r="C221" i="2"/>
  <c r="AI205" i="1" a="1"/>
  <c r="AI205" i="1" s="1"/>
  <c r="AX205" i="1"/>
  <c r="AN205" i="1" s="1"/>
  <c r="AT206" i="1"/>
  <c r="AV206" i="1" a="1"/>
  <c r="AV206" i="1" s="1"/>
  <c r="AW206" i="1" a="1"/>
  <c r="AW206" i="1" s="1"/>
  <c r="AS206" i="1"/>
  <c r="AQ206" i="1"/>
  <c r="AP207" i="1"/>
  <c r="AR206" i="1"/>
  <c r="AU206" i="1"/>
  <c r="AM206" i="1" s="1" a="1"/>
  <c r="AM206" i="1" s="1"/>
  <c r="AF206" i="1"/>
  <c r="AA206" i="1"/>
  <c r="AC206" i="1"/>
  <c r="AE206" i="1"/>
  <c r="AB206" i="1"/>
  <c r="Z207" i="1"/>
  <c r="AG206" i="1"/>
  <c r="AD206" i="1"/>
  <c r="AH207" i="1"/>
  <c r="AO206" i="1"/>
  <c r="M5" i="1" l="1"/>
  <c r="P30" i="1" s="1"/>
  <c r="P5" i="1"/>
  <c r="N5" i="1"/>
  <c r="Q30" i="1" s="1"/>
  <c r="BC207" i="3"/>
  <c r="BN207" i="3" s="1"/>
  <c r="AJ206" i="1" a="1"/>
  <c r="AJ206" i="1" s="1"/>
  <c r="AK206" i="1" a="1"/>
  <c r="AK206" i="1" s="1"/>
  <c r="AL206" i="1" a="1"/>
  <c r="AL206" i="1" s="1"/>
  <c r="AP209" i="3"/>
  <c r="AO208" i="3"/>
  <c r="AS208" i="3" s="1"/>
  <c r="Q211" i="3"/>
  <c r="P210" i="3"/>
  <c r="T210" i="3" s="1"/>
  <c r="AK209" i="3"/>
  <c r="AJ208" i="3"/>
  <c r="AN208" i="3" s="1"/>
  <c r="V214" i="3"/>
  <c r="U213" i="3"/>
  <c r="Y213" i="3" s="1"/>
  <c r="L210" i="3"/>
  <c r="K209" i="3"/>
  <c r="O209" i="3" s="1"/>
  <c r="F208" i="3"/>
  <c r="J208" i="3" s="1"/>
  <c r="G209" i="3"/>
  <c r="AT208" i="3"/>
  <c r="AX208" i="3" s="1"/>
  <c r="AU209" i="3"/>
  <c r="AF210" i="3"/>
  <c r="AE209" i="3"/>
  <c r="AI209" i="3" s="1"/>
  <c r="AZ209" i="3"/>
  <c r="AY208" i="3"/>
  <c r="BC208" i="3" s="1"/>
  <c r="AA209" i="3"/>
  <c r="Z208" i="3"/>
  <c r="AD208" i="3" s="1"/>
  <c r="C222" i="2"/>
  <c r="D222" i="2"/>
  <c r="B222" i="2"/>
  <c r="A223" i="2"/>
  <c r="AH208" i="1"/>
  <c r="AO207" i="1"/>
  <c r="AV207" i="1" a="1"/>
  <c r="AV207" i="1" s="1"/>
  <c r="AS207" i="1"/>
  <c r="AU207" i="1"/>
  <c r="AQ207" i="1"/>
  <c r="AP208" i="1"/>
  <c r="AR207" i="1"/>
  <c r="AT207" i="1"/>
  <c r="AL207" i="1" s="1" a="1"/>
  <c r="AL207" i="1" s="1"/>
  <c r="AW207" i="1" a="1"/>
  <c r="AW207" i="1" s="1"/>
  <c r="AI206" i="1" a="1"/>
  <c r="AI206" i="1" s="1"/>
  <c r="AX206" i="1"/>
  <c r="AN206" i="1" s="1"/>
  <c r="AD207" i="1"/>
  <c r="AC207" i="1"/>
  <c r="Z208" i="1"/>
  <c r="AG207" i="1"/>
  <c r="AF207" i="1"/>
  <c r="AE207" i="1"/>
  <c r="AB207" i="1"/>
  <c r="AA207" i="1"/>
  <c r="G5" i="1" l="1"/>
  <c r="H5" i="1" s="1"/>
  <c r="U30" i="1"/>
  <c r="L5" i="1" s="1"/>
  <c r="R30" i="1"/>
  <c r="BN208" i="3"/>
  <c r="AJ207" i="1" a="1"/>
  <c r="AJ207" i="1" s="1"/>
  <c r="AK207" i="1" a="1"/>
  <c r="AK207" i="1" s="1"/>
  <c r="AM207" i="1" a="1"/>
  <c r="AM207" i="1" s="1"/>
  <c r="AO209" i="3"/>
  <c r="AS209" i="3" s="1"/>
  <c r="AP210" i="3"/>
  <c r="G210" i="3"/>
  <c r="F209" i="3"/>
  <c r="J209" i="3" s="1"/>
  <c r="Z209" i="3"/>
  <c r="AD209" i="3" s="1"/>
  <c r="AA210" i="3"/>
  <c r="K210" i="3"/>
  <c r="O210" i="3" s="1"/>
  <c r="L211" i="3"/>
  <c r="AZ210" i="3"/>
  <c r="AY209" i="3"/>
  <c r="BC209" i="3" s="1"/>
  <c r="AF211" i="3"/>
  <c r="AE210" i="3"/>
  <c r="AI210" i="3" s="1"/>
  <c r="V215" i="3"/>
  <c r="U214" i="3"/>
  <c r="Y214" i="3" s="1"/>
  <c r="AT209" i="3"/>
  <c r="AX209" i="3" s="1"/>
  <c r="AU210" i="3"/>
  <c r="AJ209" i="3"/>
  <c r="AN209" i="3" s="1"/>
  <c r="AK210" i="3"/>
  <c r="Q212" i="3"/>
  <c r="P211" i="3"/>
  <c r="T211" i="3" s="1"/>
  <c r="A224" i="2"/>
  <c r="B223" i="2"/>
  <c r="D223" i="2"/>
  <c r="C223" i="2"/>
  <c r="AU208" i="1"/>
  <c r="AR208" i="1"/>
  <c r="AV208" i="1" a="1"/>
  <c r="AV208" i="1" s="1"/>
  <c r="AP209" i="1"/>
  <c r="AQ208" i="1"/>
  <c r="AT208" i="1"/>
  <c r="AW208" i="1" a="1"/>
  <c r="AW208" i="1" s="1"/>
  <c r="AS208" i="1"/>
  <c r="AI207" i="1" a="1"/>
  <c r="AI207" i="1" s="1"/>
  <c r="AX207" i="1"/>
  <c r="AN207" i="1" s="1"/>
  <c r="Z209" i="1"/>
  <c r="AC208" i="1"/>
  <c r="AA208" i="1"/>
  <c r="AG208" i="1"/>
  <c r="AB208" i="1"/>
  <c r="AF208" i="1"/>
  <c r="AE208" i="1"/>
  <c r="AD208" i="1"/>
  <c r="AH209" i="1"/>
  <c r="AO208" i="1"/>
  <c r="B4" i="1" l="1" a="1"/>
  <c r="B4" i="1" s="1"/>
  <c r="M4" i="1" s="1"/>
  <c r="P29" i="1" s="1"/>
  <c r="U29" i="1" s="1"/>
  <c r="L4" i="1" s="1"/>
  <c r="BN209" i="3"/>
  <c r="AK208" i="1" a="1"/>
  <c r="AK208" i="1" s="1"/>
  <c r="AL208" i="1" a="1"/>
  <c r="AL208" i="1" s="1"/>
  <c r="AM208" i="1" a="1"/>
  <c r="AM208" i="1" s="1"/>
  <c r="AJ208" i="1" a="1"/>
  <c r="AJ208" i="1" s="1"/>
  <c r="AP211" i="3"/>
  <c r="AO210" i="3"/>
  <c r="U215" i="3"/>
  <c r="Y215" i="3" s="1"/>
  <c r="V216" i="3"/>
  <c r="AE211" i="3"/>
  <c r="AI211" i="3" s="1"/>
  <c r="AF212" i="3"/>
  <c r="P212" i="3"/>
  <c r="T212" i="3" s="1"/>
  <c r="Q213" i="3"/>
  <c r="AZ211" i="3"/>
  <c r="AY210" i="3"/>
  <c r="BC210" i="3" s="1"/>
  <c r="L212" i="3"/>
  <c r="K211" i="3"/>
  <c r="O211" i="3" s="1"/>
  <c r="AK211" i="3"/>
  <c r="AJ210" i="3"/>
  <c r="AN210" i="3" s="1"/>
  <c r="AA211" i="3"/>
  <c r="Z210" i="3"/>
  <c r="AD210" i="3" s="1"/>
  <c r="AT210" i="3"/>
  <c r="AX210" i="3" s="1"/>
  <c r="AU211" i="3"/>
  <c r="F210" i="3"/>
  <c r="J210" i="3" s="1"/>
  <c r="G211" i="3"/>
  <c r="B224" i="2"/>
  <c r="C224" i="2"/>
  <c r="A225" i="2"/>
  <c r="D224" i="2"/>
  <c r="AO209" i="1"/>
  <c r="AH210" i="1"/>
  <c r="Z210" i="1"/>
  <c r="AG209" i="1"/>
  <c r="AA209" i="1"/>
  <c r="AB209" i="1"/>
  <c r="AF209" i="1"/>
  <c r="AD209" i="1"/>
  <c r="AE209" i="1"/>
  <c r="AC209" i="1"/>
  <c r="AI208" i="1" a="1"/>
  <c r="AI208" i="1" s="1"/>
  <c r="AX208" i="1"/>
  <c r="AN208" i="1" s="1"/>
  <c r="AU209" i="1"/>
  <c r="AM209" i="1" s="1" a="1"/>
  <c r="AM209" i="1" s="1"/>
  <c r="AR209" i="1"/>
  <c r="AJ209" i="1" s="1" a="1"/>
  <c r="AJ209" i="1" s="1"/>
  <c r="AW209" i="1" a="1"/>
  <c r="AW209" i="1" s="1"/>
  <c r="AV209" i="1" a="1"/>
  <c r="AV209" i="1" s="1"/>
  <c r="AT209" i="1"/>
  <c r="AL209" i="1" s="1" a="1"/>
  <c r="AL209" i="1" s="1"/>
  <c r="AQ209" i="1"/>
  <c r="AP210" i="1"/>
  <c r="AS209" i="1"/>
  <c r="AK209" i="1" s="1" a="1"/>
  <c r="AK209" i="1" s="1"/>
  <c r="G4" i="1" l="1"/>
  <c r="H4" i="1" s="1"/>
  <c r="P4" i="1"/>
  <c r="B3" i="1" a="1"/>
  <c r="B3" i="1" s="1"/>
  <c r="P3" i="1" s="1"/>
  <c r="R29" i="1"/>
  <c r="K4" i="1"/>
  <c r="N4" i="1"/>
  <c r="B7" i="1" a="1"/>
  <c r="B7" i="1" s="1"/>
  <c r="L7" i="1" s="1"/>
  <c r="AS210" i="3"/>
  <c r="BN210" i="3" s="1"/>
  <c r="AO211" i="3"/>
  <c r="AS211" i="3" s="1"/>
  <c r="AP212" i="3"/>
  <c r="L213" i="3"/>
  <c r="K212" i="3"/>
  <c r="O212" i="3" s="1"/>
  <c r="F211" i="3"/>
  <c r="B2" i="1" s="1" a="1"/>
  <c r="B2" i="1" s="1"/>
  <c r="K2" i="1" s="1"/>
  <c r="G212" i="3"/>
  <c r="AY211" i="3"/>
  <c r="BC211" i="3" s="1"/>
  <c r="AZ212" i="3"/>
  <c r="AU212" i="3"/>
  <c r="AT211" i="3"/>
  <c r="AX211" i="3" s="1"/>
  <c r="Q214" i="3"/>
  <c r="P213" i="3"/>
  <c r="T213" i="3" s="1"/>
  <c r="AF213" i="3"/>
  <c r="AE212" i="3"/>
  <c r="AI212" i="3" s="1"/>
  <c r="AA212" i="3"/>
  <c r="Z211" i="3"/>
  <c r="AD211" i="3" s="1"/>
  <c r="V217" i="3"/>
  <c r="U216" i="3"/>
  <c r="Y216" i="3" s="1"/>
  <c r="AJ211" i="3"/>
  <c r="AN211" i="3" s="1"/>
  <c r="AK212" i="3"/>
  <c r="C225" i="2"/>
  <c r="B225" i="2"/>
  <c r="A226" i="2"/>
  <c r="D225" i="2"/>
  <c r="AS210" i="1"/>
  <c r="AQ210" i="1"/>
  <c r="AV210" i="1" a="1"/>
  <c r="AV210" i="1" s="1"/>
  <c r="AU210" i="1"/>
  <c r="AR210" i="1"/>
  <c r="AP211" i="1"/>
  <c r="AW210" i="1" a="1"/>
  <c r="AW210" i="1" s="1"/>
  <c r="AT210" i="1"/>
  <c r="AL210" i="1" s="1" a="1"/>
  <c r="AL210" i="1" s="1"/>
  <c r="AI209" i="1" a="1"/>
  <c r="AI209" i="1" s="1"/>
  <c r="AX209" i="1"/>
  <c r="AN209" i="1" s="1"/>
  <c r="AD210" i="1"/>
  <c r="AC210" i="1"/>
  <c r="AE210" i="1"/>
  <c r="AA210" i="1"/>
  <c r="AF210" i="1"/>
  <c r="AB210" i="1"/>
  <c r="Z211" i="1"/>
  <c r="AG210" i="1"/>
  <c r="AO210" i="1"/>
  <c r="AH211" i="1"/>
  <c r="K3" i="1" l="1"/>
  <c r="B8" i="1" a="1"/>
  <c r="B8" i="1" s="1"/>
  <c r="L8" i="1" s="1"/>
  <c r="N3" i="1"/>
  <c r="Q28" i="1" s="1"/>
  <c r="B11" i="1" a="1"/>
  <c r="B11" i="1" s="1"/>
  <c r="P11" i="1" s="1"/>
  <c r="M3" i="1"/>
  <c r="P28" i="1" s="1"/>
  <c r="B10" i="1" a="1"/>
  <c r="B10" i="1" s="1"/>
  <c r="K10" i="1" s="1"/>
  <c r="K7" i="1"/>
  <c r="M7" i="1"/>
  <c r="G7" i="1" s="1"/>
  <c r="H7" i="1" s="1"/>
  <c r="B6" i="1" a="1"/>
  <c r="B6" i="1" s="1"/>
  <c r="P6" i="1" s="1"/>
  <c r="P7" i="1"/>
  <c r="B9" i="1" a="1"/>
  <c r="B9" i="1" s="1"/>
  <c r="K9" i="1" s="1"/>
  <c r="N7" i="1"/>
  <c r="N2" i="1"/>
  <c r="Q27" i="1" s="1"/>
  <c r="P2" i="1"/>
  <c r="M2" i="1"/>
  <c r="P27" i="1" s="1"/>
  <c r="J211" i="3"/>
  <c r="BN211" i="3" s="1"/>
  <c r="Q2" i="2"/>
  <c r="AJ210" i="1" a="1"/>
  <c r="AJ210" i="1" s="1"/>
  <c r="AM210" i="1" a="1"/>
  <c r="AM210" i="1" s="1"/>
  <c r="AK210" i="1" a="1"/>
  <c r="AK210" i="1" s="1"/>
  <c r="AP213" i="3"/>
  <c r="AO212" i="3"/>
  <c r="AS212" i="3" s="1"/>
  <c r="Q215" i="3"/>
  <c r="P214" i="3"/>
  <c r="T214" i="3" s="1"/>
  <c r="AK213" i="3"/>
  <c r="AJ212" i="3"/>
  <c r="AN212" i="3" s="1"/>
  <c r="AT212" i="3"/>
  <c r="AX212" i="3" s="1"/>
  <c r="AU213" i="3"/>
  <c r="AZ213" i="3"/>
  <c r="AY212" i="3"/>
  <c r="BC212" i="3" s="1"/>
  <c r="V218" i="3"/>
  <c r="U217" i="3"/>
  <c r="Y217" i="3" s="1"/>
  <c r="F212" i="3"/>
  <c r="J212" i="3" s="1"/>
  <c r="G213" i="3"/>
  <c r="Z212" i="3"/>
  <c r="AD212" i="3" s="1"/>
  <c r="AA213" i="3"/>
  <c r="AF214" i="3"/>
  <c r="AE213" i="3"/>
  <c r="AI213" i="3" s="1"/>
  <c r="K213" i="3"/>
  <c r="O213" i="3" s="1"/>
  <c r="L214" i="3"/>
  <c r="D226" i="2"/>
  <c r="A227" i="2"/>
  <c r="B226" i="2"/>
  <c r="C226" i="2"/>
  <c r="AB211" i="1"/>
  <c r="Z212" i="1"/>
  <c r="AG211" i="1"/>
  <c r="AF211" i="1"/>
  <c r="AD211" i="1"/>
  <c r="AA211" i="1"/>
  <c r="AC211" i="1"/>
  <c r="AE211" i="1"/>
  <c r="AH212" i="1"/>
  <c r="AO211" i="1"/>
  <c r="AT211" i="1"/>
  <c r="AW211" i="1" a="1"/>
  <c r="AW211" i="1" s="1"/>
  <c r="AU211" i="1"/>
  <c r="AQ211" i="1"/>
  <c r="AR211" i="1"/>
  <c r="AP212" i="1"/>
  <c r="AS211" i="1"/>
  <c r="AV211" i="1" a="1"/>
  <c r="AV211" i="1" s="1"/>
  <c r="AI210" i="1" a="1"/>
  <c r="AI210" i="1" s="1"/>
  <c r="AX210" i="1"/>
  <c r="AN210" i="1" s="1"/>
  <c r="R28" i="1" l="1"/>
  <c r="G3" i="1"/>
  <c r="H3" i="1" s="1"/>
  <c r="K8" i="1"/>
  <c r="M6" i="1"/>
  <c r="G6" i="1" s="1"/>
  <c r="H6" i="1" s="1"/>
  <c r="M8" i="1"/>
  <c r="G8" i="1" s="1"/>
  <c r="H8" i="1" s="1"/>
  <c r="K6" i="1"/>
  <c r="P8" i="1"/>
  <c r="U28" i="1"/>
  <c r="L3" i="1" s="1"/>
  <c r="M10" i="1"/>
  <c r="G10" i="1" s="1"/>
  <c r="H10" i="1" s="1"/>
  <c r="L11" i="1"/>
  <c r="N10" i="1"/>
  <c r="K11" i="1"/>
  <c r="N8" i="1"/>
  <c r="M11" i="1"/>
  <c r="G11" i="1" s="1"/>
  <c r="H11" i="1" s="1"/>
  <c r="N11" i="1"/>
  <c r="M9" i="1"/>
  <c r="G9" i="1" s="1"/>
  <c r="H9" i="1" s="1"/>
  <c r="N6" i="1"/>
  <c r="N9" i="1"/>
  <c r="P9" i="1"/>
  <c r="L10" i="1"/>
  <c r="L9" i="1"/>
  <c r="P10" i="1"/>
  <c r="P31" i="1"/>
  <c r="R31" i="1" s="1"/>
  <c r="R27" i="1"/>
  <c r="U27" i="1"/>
  <c r="L2" i="1" s="1"/>
  <c r="G2" i="1"/>
  <c r="H2" i="1" s="1"/>
  <c r="BN212" i="3"/>
  <c r="AL211" i="1" a="1"/>
  <c r="AL211" i="1" s="1"/>
  <c r="AK211" i="1" a="1"/>
  <c r="AK211" i="1" s="1"/>
  <c r="AJ211" i="1" a="1"/>
  <c r="AJ211" i="1" s="1"/>
  <c r="AM211" i="1" a="1"/>
  <c r="AM211" i="1" s="1"/>
  <c r="AP214" i="3"/>
  <c r="AO213" i="3"/>
  <c r="AS213" i="3" s="1"/>
  <c r="V219" i="3"/>
  <c r="U218" i="3"/>
  <c r="Y218" i="3" s="1"/>
  <c r="K214" i="3"/>
  <c r="O214" i="3" s="1"/>
  <c r="L215" i="3"/>
  <c r="AZ214" i="3"/>
  <c r="AY213" i="3"/>
  <c r="BC213" i="3" s="1"/>
  <c r="AF215" i="3"/>
  <c r="AE214" i="3"/>
  <c r="AI214" i="3" s="1"/>
  <c r="Z213" i="3"/>
  <c r="AD213" i="3" s="1"/>
  <c r="AA214" i="3"/>
  <c r="AT213" i="3"/>
  <c r="AX213" i="3" s="1"/>
  <c r="AU214" i="3"/>
  <c r="F213" i="3"/>
  <c r="J213" i="3" s="1"/>
  <c r="G214" i="3"/>
  <c r="AK214" i="3"/>
  <c r="AJ213" i="3"/>
  <c r="AN213" i="3" s="1"/>
  <c r="Q216" i="3"/>
  <c r="P215" i="3"/>
  <c r="T215" i="3" s="1"/>
  <c r="D227" i="2"/>
  <c r="C227" i="2"/>
  <c r="B227" i="2"/>
  <c r="A228" i="2"/>
  <c r="AN212" i="1"/>
  <c r="AO212" i="1"/>
  <c r="AH213" i="1"/>
  <c r="AS212" i="1"/>
  <c r="AK212" i="1" s="1" a="1"/>
  <c r="AK212" i="1" s="1"/>
  <c r="AT212" i="1"/>
  <c r="AL212" i="1" s="1" a="1"/>
  <c r="AL212" i="1" s="1"/>
  <c r="AU212" i="1"/>
  <c r="AP213" i="1"/>
  <c r="AQ212" i="1"/>
  <c r="AW212" i="1" a="1"/>
  <c r="AW212" i="1" s="1"/>
  <c r="AR212" i="1"/>
  <c r="AV212" i="1" a="1"/>
  <c r="AV212" i="1" s="1"/>
  <c r="AI211" i="1" a="1"/>
  <c r="AI211" i="1" s="1"/>
  <c r="AX211" i="1"/>
  <c r="AN211" i="1" s="1"/>
  <c r="AD212" i="1"/>
  <c r="AA212" i="1"/>
  <c r="AB212" i="1"/>
  <c r="Z213" i="1"/>
  <c r="AG212" i="1"/>
  <c r="AE212" i="1"/>
  <c r="AF212" i="1"/>
  <c r="AC212" i="1"/>
  <c r="W20" i="1" l="1"/>
  <c r="W21" i="1" s="1"/>
  <c r="W15" i="1"/>
  <c r="W16" i="1" s="1"/>
  <c r="B9" i="7"/>
  <c r="B8" i="7" s="1"/>
  <c r="D5" i="7"/>
  <c r="D9" i="7" s="1"/>
  <c r="U31" i="1"/>
  <c r="L6" i="1" s="1"/>
  <c r="W19" i="1"/>
  <c r="D12" i="7"/>
  <c r="D6" i="7"/>
  <c r="D10" i="7"/>
  <c r="AM212" i="1" a="1"/>
  <c r="AM212" i="1" s="1"/>
  <c r="AJ212" i="1" a="1"/>
  <c r="AJ212" i="1" s="1"/>
  <c r="AO214" i="3"/>
  <c r="AS214" i="3" s="1"/>
  <c r="AP215" i="3"/>
  <c r="AF216" i="3"/>
  <c r="AE215" i="3"/>
  <c r="AI215" i="3" s="1"/>
  <c r="P216" i="3"/>
  <c r="T216" i="3" s="1"/>
  <c r="Q217" i="3"/>
  <c r="AK215" i="3"/>
  <c r="AJ214" i="3"/>
  <c r="AN214" i="3" s="1"/>
  <c r="AZ215" i="3"/>
  <c r="AY214" i="3"/>
  <c r="BC214" i="3" s="1"/>
  <c r="F214" i="3"/>
  <c r="J214" i="3" s="1"/>
  <c r="G215" i="3"/>
  <c r="K215" i="3"/>
  <c r="O215" i="3" s="1"/>
  <c r="L216" i="3"/>
  <c r="AU215" i="3"/>
  <c r="AT214" i="3"/>
  <c r="AX214" i="3" s="1"/>
  <c r="Z214" i="3"/>
  <c r="AD214" i="3" s="1"/>
  <c r="AA215" i="3"/>
  <c r="U219" i="3"/>
  <c r="Y219" i="3" s="1"/>
  <c r="V220" i="3"/>
  <c r="A229" i="2"/>
  <c r="D228" i="2"/>
  <c r="C228" i="2"/>
  <c r="B228" i="2"/>
  <c r="AX212" i="1"/>
  <c r="AI212" i="1" a="1"/>
  <c r="AI212" i="1" s="1"/>
  <c r="AV213" i="1" a="1"/>
  <c r="AV213" i="1" s="1"/>
  <c r="AT213" i="1"/>
  <c r="AU213" i="1"/>
  <c r="AM213" i="1" s="1" a="1"/>
  <c r="AM213" i="1" s="1"/>
  <c r="AP214" i="1"/>
  <c r="AS213" i="1"/>
  <c r="AR213" i="1"/>
  <c r="AJ213" i="1" s="1" a="1"/>
  <c r="AJ213" i="1" s="1"/>
  <c r="AQ213" i="1"/>
  <c r="AW213" i="1" a="1"/>
  <c r="AW213" i="1" s="1"/>
  <c r="AO213" i="1"/>
  <c r="AH214" i="1"/>
  <c r="AN213" i="1"/>
  <c r="Z214" i="1"/>
  <c r="AE213" i="1"/>
  <c r="AG213" i="1"/>
  <c r="AF213" i="1"/>
  <c r="AB213" i="1"/>
  <c r="AA213" i="1"/>
  <c r="AD213" i="1"/>
  <c r="AC213" i="1"/>
  <c r="AK213" i="1" l="1" a="1"/>
  <c r="AK213" i="1" s="1"/>
  <c r="AL213" i="1" a="1"/>
  <c r="AL213" i="1" s="1"/>
  <c r="AO215" i="3"/>
  <c r="AS215" i="3" s="1"/>
  <c r="AP216" i="3"/>
  <c r="F215" i="3"/>
  <c r="J215" i="3" s="1"/>
  <c r="G216" i="3"/>
  <c r="V221" i="3"/>
  <c r="U220" i="3"/>
  <c r="Y220" i="3" s="1"/>
  <c r="AZ216" i="3"/>
  <c r="AY215" i="3"/>
  <c r="BC215" i="3" s="1"/>
  <c r="AA216" i="3"/>
  <c r="Z215" i="3"/>
  <c r="AD215" i="3" s="1"/>
  <c r="AJ215" i="3"/>
  <c r="AN215" i="3" s="1"/>
  <c r="AK216" i="3"/>
  <c r="AT215" i="3"/>
  <c r="AX215" i="3" s="1"/>
  <c r="AU216" i="3"/>
  <c r="Q218" i="3"/>
  <c r="P217" i="3"/>
  <c r="T217" i="3" s="1"/>
  <c r="K216" i="3"/>
  <c r="O216" i="3" s="1"/>
  <c r="L217" i="3"/>
  <c r="AE216" i="3"/>
  <c r="AI216" i="3" s="1"/>
  <c r="AF217" i="3"/>
  <c r="C229" i="2"/>
  <c r="A230" i="2"/>
  <c r="D229" i="2"/>
  <c r="B229" i="2"/>
  <c r="AO214" i="1"/>
  <c r="AN214" i="1"/>
  <c r="AH215" i="1"/>
  <c r="AI213" i="1" a="1"/>
  <c r="AI213" i="1" s="1"/>
  <c r="AX213" i="1"/>
  <c r="AR214" i="1"/>
  <c r="AJ214" i="1" s="1" a="1"/>
  <c r="AJ214" i="1" s="1"/>
  <c r="AV214" i="1" a="1"/>
  <c r="AV214" i="1" s="1"/>
  <c r="AP215" i="1"/>
  <c r="AQ214" i="1"/>
  <c r="AU214" i="1"/>
  <c r="AM214" i="1" s="1" a="1"/>
  <c r="AM214" i="1" s="1"/>
  <c r="AS214" i="1"/>
  <c r="AW214" i="1" a="1"/>
  <c r="AW214" i="1" s="1"/>
  <c r="AT214" i="1"/>
  <c r="AC214" i="1"/>
  <c r="AF214" i="1"/>
  <c r="AD214" i="1"/>
  <c r="AB214" i="1"/>
  <c r="AG214" i="1"/>
  <c r="Z215" i="1"/>
  <c r="AE214" i="1"/>
  <c r="AA214" i="1"/>
  <c r="AK214" i="1" l="1" a="1"/>
  <c r="AK214" i="1" s="1"/>
  <c r="AL214" i="1" a="1"/>
  <c r="AL214" i="1" s="1"/>
  <c r="AO216" i="3"/>
  <c r="AS216" i="3" s="1"/>
  <c r="AP217" i="3"/>
  <c r="AK217" i="3"/>
  <c r="AJ216" i="3"/>
  <c r="AN216" i="3" s="1"/>
  <c r="AF218" i="3"/>
  <c r="AE217" i="3"/>
  <c r="AI217" i="3" s="1"/>
  <c r="AA217" i="3"/>
  <c r="Z216" i="3"/>
  <c r="AD216" i="3" s="1"/>
  <c r="K217" i="3"/>
  <c r="O217" i="3" s="1"/>
  <c r="L218" i="3"/>
  <c r="AY216" i="3"/>
  <c r="BC216" i="3" s="1"/>
  <c r="AZ217" i="3"/>
  <c r="Q219" i="3"/>
  <c r="P218" i="3"/>
  <c r="T218" i="3" s="1"/>
  <c r="AT216" i="3"/>
  <c r="AX216" i="3" s="1"/>
  <c r="AU217" i="3"/>
  <c r="U221" i="3"/>
  <c r="Y221" i="3" s="1"/>
  <c r="V222" i="3"/>
  <c r="F216" i="3"/>
  <c r="J216" i="3" s="1"/>
  <c r="G217" i="3"/>
  <c r="D230" i="2"/>
  <c r="A231" i="2"/>
  <c r="C230" i="2"/>
  <c r="B230" i="2"/>
  <c r="AX214" i="1"/>
  <c r="AI214" i="1" a="1"/>
  <c r="AI214" i="1" s="1"/>
  <c r="AP216" i="1"/>
  <c r="AV215" i="1" a="1"/>
  <c r="AV215" i="1" s="1"/>
  <c r="AS215" i="1"/>
  <c r="AK215" i="1" s="1" a="1"/>
  <c r="AK215" i="1" s="1"/>
  <c r="AT215" i="1"/>
  <c r="AL215" i="1" s="1" a="1"/>
  <c r="AL215" i="1" s="1"/>
  <c r="AR215" i="1"/>
  <c r="AQ215" i="1"/>
  <c r="AW215" i="1" a="1"/>
  <c r="AW215" i="1" s="1"/>
  <c r="AU215" i="1"/>
  <c r="AM215" i="1" s="1" a="1"/>
  <c r="AM215" i="1" s="1"/>
  <c r="AF215" i="1"/>
  <c r="AC215" i="1"/>
  <c r="AA215" i="1"/>
  <c r="AD215" i="1"/>
  <c r="Z216" i="1"/>
  <c r="AE215" i="1"/>
  <c r="AG215" i="1"/>
  <c r="AB215" i="1"/>
  <c r="AO215" i="1"/>
  <c r="AN215" i="1"/>
  <c r="AH216" i="1"/>
  <c r="AJ215" i="1" l="1" a="1"/>
  <c r="AJ215" i="1" s="1"/>
  <c r="AP218" i="3"/>
  <c r="AO217" i="3"/>
  <c r="AS217" i="3" s="1"/>
  <c r="P219" i="3"/>
  <c r="T219" i="3" s="1"/>
  <c r="Q220" i="3"/>
  <c r="AY217" i="3"/>
  <c r="BC217" i="3" s="1"/>
  <c r="AZ218" i="3"/>
  <c r="F217" i="3"/>
  <c r="J217" i="3" s="1"/>
  <c r="G218" i="3"/>
  <c r="K218" i="3"/>
  <c r="O218" i="3" s="1"/>
  <c r="L219" i="3"/>
  <c r="Z217" i="3"/>
  <c r="AD217" i="3" s="1"/>
  <c r="AA218" i="3"/>
  <c r="V223" i="3"/>
  <c r="U222" i="3"/>
  <c r="Y222" i="3" s="1"/>
  <c r="AE218" i="3"/>
  <c r="AI218" i="3" s="1"/>
  <c r="AF219" i="3"/>
  <c r="AU218" i="3"/>
  <c r="AT217" i="3"/>
  <c r="AX217" i="3" s="1"/>
  <c r="AJ217" i="3"/>
  <c r="AN217" i="3" s="1"/>
  <c r="AK218" i="3"/>
  <c r="A232" i="2"/>
  <c r="B231" i="2"/>
  <c r="D231" i="2"/>
  <c r="C231" i="2"/>
  <c r="AN216" i="1"/>
  <c r="AO216" i="1"/>
  <c r="AH217" i="1"/>
  <c r="AI215" i="1" a="1"/>
  <c r="AI215" i="1" s="1"/>
  <c r="AX215" i="1"/>
  <c r="AA216" i="1"/>
  <c r="AD216" i="1"/>
  <c r="AC216" i="1"/>
  <c r="AG216" i="1"/>
  <c r="AF216" i="1"/>
  <c r="AB216" i="1"/>
  <c r="AE216" i="1"/>
  <c r="Z217" i="1"/>
  <c r="AQ216" i="1"/>
  <c r="AP217" i="1"/>
  <c r="AT216" i="1"/>
  <c r="AL216" i="1" s="1" a="1"/>
  <c r="AL216" i="1" s="1"/>
  <c r="AU216" i="1"/>
  <c r="AS216" i="1"/>
  <c r="AK216" i="1" s="1" a="1"/>
  <c r="AK216" i="1" s="1"/>
  <c r="AV216" i="1" a="1"/>
  <c r="AV216" i="1" s="1"/>
  <c r="AW216" i="1" a="1"/>
  <c r="AW216" i="1" s="1"/>
  <c r="AR216" i="1"/>
  <c r="AJ216" i="1" l="1" a="1"/>
  <c r="AJ216" i="1" s="1"/>
  <c r="AM216" i="1" a="1"/>
  <c r="AM216" i="1" s="1"/>
  <c r="AP219" i="3"/>
  <c r="AO218" i="3"/>
  <c r="AS218" i="3" s="1"/>
  <c r="L220" i="3"/>
  <c r="K219" i="3"/>
  <c r="O219" i="3" s="1"/>
  <c r="AK219" i="3"/>
  <c r="AJ218" i="3"/>
  <c r="AN218" i="3" s="1"/>
  <c r="F218" i="3"/>
  <c r="J218" i="3" s="1"/>
  <c r="G219" i="3"/>
  <c r="AU219" i="3"/>
  <c r="AT218" i="3"/>
  <c r="AX218" i="3" s="1"/>
  <c r="AE219" i="3"/>
  <c r="AI219" i="3" s="1"/>
  <c r="AF220" i="3"/>
  <c r="AY218" i="3"/>
  <c r="BC218" i="3" s="1"/>
  <c r="AZ219" i="3"/>
  <c r="V224" i="3"/>
  <c r="U223" i="3"/>
  <c r="Y223" i="3" s="1"/>
  <c r="P220" i="3"/>
  <c r="T220" i="3" s="1"/>
  <c r="Q221" i="3"/>
  <c r="Z218" i="3"/>
  <c r="AD218" i="3" s="1"/>
  <c r="AA219" i="3"/>
  <c r="B232" i="2"/>
  <c r="A233" i="2"/>
  <c r="D232" i="2"/>
  <c r="C232" i="2"/>
  <c r="AQ217" i="1"/>
  <c r="AS217" i="1"/>
  <c r="AP218" i="1"/>
  <c r="AV217" i="1" a="1"/>
  <c r="AV217" i="1" s="1"/>
  <c r="AW217" i="1" a="1"/>
  <c r="AW217" i="1" s="1"/>
  <c r="AU217" i="1"/>
  <c r="AT217" i="1"/>
  <c r="AL217" i="1" s="1" a="1"/>
  <c r="AL217" i="1" s="1"/>
  <c r="AR217" i="1"/>
  <c r="AJ217" i="1" s="1" a="1"/>
  <c r="AJ217" i="1" s="1"/>
  <c r="AH218" i="1"/>
  <c r="AN217" i="1"/>
  <c r="AO217" i="1"/>
  <c r="AI216" i="1" a="1"/>
  <c r="AI216" i="1" s="1"/>
  <c r="AX216" i="1"/>
  <c r="AE217" i="1"/>
  <c r="AG217" i="1"/>
  <c r="AB217" i="1"/>
  <c r="AF217" i="1"/>
  <c r="Z218" i="1"/>
  <c r="AD217" i="1"/>
  <c r="AC217" i="1"/>
  <c r="AA217" i="1"/>
  <c r="AM217" i="1" l="1" a="1"/>
  <c r="AM217" i="1" s="1"/>
  <c r="AK217" i="1" a="1"/>
  <c r="AK217" i="1" s="1"/>
  <c r="AO219" i="3"/>
  <c r="AS219" i="3" s="1"/>
  <c r="AP220" i="3"/>
  <c r="AA220" i="3"/>
  <c r="Z219" i="3"/>
  <c r="AD219" i="3" s="1"/>
  <c r="P221" i="3"/>
  <c r="T221" i="3" s="1"/>
  <c r="Q222" i="3"/>
  <c r="AT219" i="3"/>
  <c r="AX219" i="3" s="1"/>
  <c r="AU220" i="3"/>
  <c r="G220" i="3"/>
  <c r="F219" i="3"/>
  <c r="J219" i="3" s="1"/>
  <c r="U224" i="3"/>
  <c r="Y224" i="3" s="1"/>
  <c r="V225" i="3"/>
  <c r="AY219" i="3"/>
  <c r="BC219" i="3" s="1"/>
  <c r="AZ220" i="3"/>
  <c r="AJ219" i="3"/>
  <c r="AN219" i="3" s="1"/>
  <c r="AK220" i="3"/>
  <c r="AE220" i="3"/>
  <c r="AI220" i="3" s="1"/>
  <c r="AF221" i="3"/>
  <c r="L221" i="3"/>
  <c r="K220" i="3"/>
  <c r="O220" i="3" s="1"/>
  <c r="D233" i="2"/>
  <c r="C233" i="2"/>
  <c r="A234" i="2"/>
  <c r="B233" i="2"/>
  <c r="AD218" i="1"/>
  <c r="AE218" i="1"/>
  <c r="AC218" i="1"/>
  <c r="AG218" i="1"/>
  <c r="Z219" i="1"/>
  <c r="AF218" i="1"/>
  <c r="AA218" i="1"/>
  <c r="AB218" i="1"/>
  <c r="AN218" i="1"/>
  <c r="AO218" i="1"/>
  <c r="AH219" i="1"/>
  <c r="AR218" i="1"/>
  <c r="AW218" i="1" a="1"/>
  <c r="AW218" i="1" s="1"/>
  <c r="AP219" i="1"/>
  <c r="AV218" i="1" a="1"/>
  <c r="AV218" i="1" s="1"/>
  <c r="AU218" i="1"/>
  <c r="AM218" i="1" s="1" a="1"/>
  <c r="AM218" i="1" s="1"/>
  <c r="AT218" i="1"/>
  <c r="AS218" i="1"/>
  <c r="AK218" i="1" s="1" a="1"/>
  <c r="AK218" i="1" s="1"/>
  <c r="AQ218" i="1"/>
  <c r="AI217" i="1" a="1"/>
  <c r="AI217" i="1" s="1"/>
  <c r="AX217" i="1"/>
  <c r="AL218" i="1" l="1" a="1"/>
  <c r="AL218" i="1" s="1"/>
  <c r="AJ218" i="1" a="1"/>
  <c r="AJ218" i="1" s="1"/>
  <c r="AP221" i="3"/>
  <c r="AO220" i="3"/>
  <c r="AS220" i="3" s="1"/>
  <c r="K221" i="3"/>
  <c r="O221" i="3" s="1"/>
  <c r="L222" i="3"/>
  <c r="G221" i="3"/>
  <c r="F220" i="3"/>
  <c r="J220" i="3" s="1"/>
  <c r="AF222" i="3"/>
  <c r="AE221" i="3"/>
  <c r="AI221" i="3" s="1"/>
  <c r="AT220" i="3"/>
  <c r="AX220" i="3" s="1"/>
  <c r="AU221" i="3"/>
  <c r="AJ220" i="3"/>
  <c r="AN220" i="3" s="1"/>
  <c r="AK221" i="3"/>
  <c r="P222" i="3"/>
  <c r="T222" i="3" s="1"/>
  <c r="Q223" i="3"/>
  <c r="AZ221" i="3"/>
  <c r="AY220" i="3"/>
  <c r="BC220" i="3" s="1"/>
  <c r="U225" i="3"/>
  <c r="Y225" i="3" s="1"/>
  <c r="V226" i="3"/>
  <c r="AA221" i="3"/>
  <c r="Z220" i="3"/>
  <c r="AD220" i="3" s="1"/>
  <c r="A235" i="2"/>
  <c r="C234" i="2"/>
  <c r="D234" i="2"/>
  <c r="B234" i="2"/>
  <c r="AN219" i="1"/>
  <c r="AH220" i="1"/>
  <c r="AO219" i="1"/>
  <c r="AX218" i="1"/>
  <c r="AI218" i="1" a="1"/>
  <c r="AI218" i="1" s="1"/>
  <c r="AB219" i="1"/>
  <c r="AA219" i="1"/>
  <c r="Z220" i="1"/>
  <c r="AC219" i="1"/>
  <c r="AF219" i="1"/>
  <c r="AD219" i="1"/>
  <c r="AG219" i="1"/>
  <c r="AE219" i="1"/>
  <c r="AV219" i="1" a="1"/>
  <c r="AV219" i="1" s="1"/>
  <c r="AQ219" i="1"/>
  <c r="AR219" i="1"/>
  <c r="AJ219" i="1" s="1" a="1"/>
  <c r="AJ219" i="1" s="1"/>
  <c r="AP220" i="1"/>
  <c r="AS219" i="1"/>
  <c r="AT219" i="1"/>
  <c r="AW219" i="1" a="1"/>
  <c r="AW219" i="1" s="1"/>
  <c r="AU219" i="1"/>
  <c r="AM219" i="1" s="1" a="1"/>
  <c r="AM219" i="1" s="1"/>
  <c r="AK219" i="1" l="1" a="1"/>
  <c r="AK219" i="1" s="1"/>
  <c r="AL219" i="1" a="1"/>
  <c r="AL219" i="1" s="1"/>
  <c r="AP222" i="3"/>
  <c r="AO221" i="3"/>
  <c r="AS221" i="3" s="1"/>
  <c r="AK222" i="3"/>
  <c r="AJ221" i="3"/>
  <c r="AN221" i="3" s="1"/>
  <c r="Z221" i="3"/>
  <c r="AD221" i="3" s="1"/>
  <c r="AA222" i="3"/>
  <c r="AT221" i="3"/>
  <c r="AX221" i="3" s="1"/>
  <c r="AU222" i="3"/>
  <c r="V227" i="3"/>
  <c r="U226" i="3"/>
  <c r="Y226" i="3" s="1"/>
  <c r="AE222" i="3"/>
  <c r="AI222" i="3" s="1"/>
  <c r="AF223" i="3"/>
  <c r="G222" i="3"/>
  <c r="F221" i="3"/>
  <c r="J221" i="3" s="1"/>
  <c r="AZ222" i="3"/>
  <c r="AY221" i="3"/>
  <c r="BC221" i="3" s="1"/>
  <c r="L223" i="3"/>
  <c r="K222" i="3"/>
  <c r="O222" i="3" s="1"/>
  <c r="P223" i="3"/>
  <c r="T223" i="3" s="1"/>
  <c r="Q224" i="3"/>
  <c r="C235" i="2"/>
  <c r="D235" i="2"/>
  <c r="A236" i="2"/>
  <c r="B235" i="2"/>
  <c r="AD220" i="1"/>
  <c r="AB220" i="1"/>
  <c r="AF220" i="1"/>
  <c r="AC220" i="1"/>
  <c r="AE220" i="1"/>
  <c r="Z221" i="1"/>
  <c r="AA220" i="1"/>
  <c r="AG220" i="1"/>
  <c r="AV220" i="1" a="1"/>
  <c r="AV220" i="1" s="1"/>
  <c r="AP221" i="1"/>
  <c r="AT220" i="1"/>
  <c r="AQ220" i="1"/>
  <c r="AU220" i="1"/>
  <c r="AS220" i="1"/>
  <c r="AK220" i="1" s="1" a="1"/>
  <c r="AK220" i="1" s="1"/>
  <c r="AW220" i="1" a="1"/>
  <c r="AW220" i="1" s="1"/>
  <c r="AR220" i="1"/>
  <c r="AJ220" i="1" s="1" a="1"/>
  <c r="AJ220" i="1" s="1"/>
  <c r="AI219" i="1" a="1"/>
  <c r="AI219" i="1" s="1"/>
  <c r="AX219" i="1"/>
  <c r="AO220" i="1"/>
  <c r="AH221" i="1"/>
  <c r="AN220" i="1"/>
  <c r="AM220" i="1" l="1" a="1"/>
  <c r="AM220" i="1" s="1"/>
  <c r="AL220" i="1" a="1"/>
  <c r="AL220" i="1" s="1"/>
  <c r="AO222" i="3"/>
  <c r="AS222" i="3" s="1"/>
  <c r="AP223" i="3"/>
  <c r="F222" i="3"/>
  <c r="J222" i="3" s="1"/>
  <c r="G223" i="3"/>
  <c r="AF224" i="3"/>
  <c r="AE223" i="3"/>
  <c r="AI223" i="3" s="1"/>
  <c r="P224" i="3"/>
  <c r="T224" i="3" s="1"/>
  <c r="Q225" i="3"/>
  <c r="K223" i="3"/>
  <c r="O223" i="3" s="1"/>
  <c r="L224" i="3"/>
  <c r="V228" i="3"/>
  <c r="U227" i="3"/>
  <c r="Y227" i="3" s="1"/>
  <c r="AU223" i="3"/>
  <c r="AT222" i="3"/>
  <c r="AX222" i="3" s="1"/>
  <c r="AY222" i="3"/>
  <c r="BC222" i="3" s="1"/>
  <c r="AZ223" i="3"/>
  <c r="Z222" i="3"/>
  <c r="AD222" i="3" s="1"/>
  <c r="AA223" i="3"/>
  <c r="AJ222" i="3"/>
  <c r="AN222" i="3" s="1"/>
  <c r="AK223" i="3"/>
  <c r="A237" i="2"/>
  <c r="B236" i="2"/>
  <c r="C236" i="2"/>
  <c r="D236" i="2"/>
  <c r="AX220" i="1"/>
  <c r="AI220" i="1" a="1"/>
  <c r="AI220" i="1" s="1"/>
  <c r="AU221" i="1"/>
  <c r="AQ221" i="1"/>
  <c r="AR221" i="1"/>
  <c r="AT221" i="1"/>
  <c r="AL221" i="1" s="1" a="1"/>
  <c r="AL221" i="1" s="1"/>
  <c r="AW221" i="1" a="1"/>
  <c r="AW221" i="1" s="1"/>
  <c r="AS221" i="1"/>
  <c r="AK221" i="1" s="1" a="1"/>
  <c r="AK221" i="1" s="1"/>
  <c r="AP222" i="1"/>
  <c r="AV221" i="1" a="1"/>
  <c r="AV221" i="1" s="1"/>
  <c r="AH222" i="1"/>
  <c r="AO221" i="1"/>
  <c r="AN221" i="1"/>
  <c r="AD221" i="1"/>
  <c r="AC221" i="1"/>
  <c r="AF221" i="1"/>
  <c r="AA221" i="1"/>
  <c r="AB221" i="1"/>
  <c r="AG221" i="1"/>
  <c r="Z222" i="1"/>
  <c r="AE221" i="1"/>
  <c r="AJ221" i="1" l="1" a="1"/>
  <c r="AJ221" i="1" s="1"/>
  <c r="AM221" i="1" a="1"/>
  <c r="AM221" i="1" s="1"/>
  <c r="AO223" i="3"/>
  <c r="AS223" i="3" s="1"/>
  <c r="AP224" i="3"/>
  <c r="AJ223" i="3"/>
  <c r="AN223" i="3" s="1"/>
  <c r="AK224" i="3"/>
  <c r="V229" i="3"/>
  <c r="U228" i="3"/>
  <c r="Y228" i="3" s="1"/>
  <c r="K224" i="3"/>
  <c r="O224" i="3" s="1"/>
  <c r="L225" i="3"/>
  <c r="AA224" i="3"/>
  <c r="Z223" i="3"/>
  <c r="AD223" i="3" s="1"/>
  <c r="P225" i="3"/>
  <c r="T225" i="3" s="1"/>
  <c r="Q226" i="3"/>
  <c r="AE224" i="3"/>
  <c r="AI224" i="3" s="1"/>
  <c r="AF225" i="3"/>
  <c r="AZ224" i="3"/>
  <c r="AY223" i="3"/>
  <c r="BC223" i="3" s="1"/>
  <c r="G224" i="3"/>
  <c r="F223" i="3"/>
  <c r="J223" i="3" s="1"/>
  <c r="AT223" i="3"/>
  <c r="AX223" i="3" s="1"/>
  <c r="AU224" i="3"/>
  <c r="D237" i="2"/>
  <c r="A238" i="2"/>
  <c r="C237" i="2"/>
  <c r="B237" i="2"/>
  <c r="AO222" i="1"/>
  <c r="AN222" i="1"/>
  <c r="AH223" i="1"/>
  <c r="AV222" i="1" a="1"/>
  <c r="AV222" i="1" s="1"/>
  <c r="AP223" i="1"/>
  <c r="AW222" i="1" a="1"/>
  <c r="AW222" i="1" s="1"/>
  <c r="AS222" i="1"/>
  <c r="AK222" i="1" s="1" a="1"/>
  <c r="AK222" i="1" s="1"/>
  <c r="AU222" i="1"/>
  <c r="AM222" i="1" s="1" a="1"/>
  <c r="AM222" i="1" s="1"/>
  <c r="AR222" i="1"/>
  <c r="AJ222" i="1" s="1" a="1"/>
  <c r="AJ222" i="1" s="1"/>
  <c r="AQ222" i="1"/>
  <c r="AT222" i="1"/>
  <c r="AL222" i="1" s="1" a="1"/>
  <c r="AL222" i="1" s="1"/>
  <c r="AX221" i="1"/>
  <c r="AI221" i="1" a="1"/>
  <c r="AI221" i="1" s="1"/>
  <c r="AE222" i="1"/>
  <c r="Z223" i="1"/>
  <c r="AC222" i="1"/>
  <c r="AB222" i="1"/>
  <c r="AF222" i="1"/>
  <c r="AA222" i="1"/>
  <c r="AD222" i="1"/>
  <c r="AG222" i="1"/>
  <c r="AO224" i="3" l="1"/>
  <c r="AS224" i="3" s="1"/>
  <c r="AP225" i="3"/>
  <c r="P226" i="3"/>
  <c r="T226" i="3" s="1"/>
  <c r="Q227" i="3"/>
  <c r="AU225" i="3"/>
  <c r="AT224" i="3"/>
  <c r="AX224" i="3" s="1"/>
  <c r="AA225" i="3"/>
  <c r="Z224" i="3"/>
  <c r="AD224" i="3" s="1"/>
  <c r="L226" i="3"/>
  <c r="K225" i="3"/>
  <c r="O225" i="3" s="1"/>
  <c r="AY224" i="3"/>
  <c r="BC224" i="3" s="1"/>
  <c r="AZ225" i="3"/>
  <c r="U229" i="3"/>
  <c r="Y229" i="3" s="1"/>
  <c r="V230" i="3"/>
  <c r="F224" i="3"/>
  <c r="J224" i="3" s="1"/>
  <c r="G225" i="3"/>
  <c r="AJ224" i="3"/>
  <c r="AN224" i="3" s="1"/>
  <c r="AK225" i="3"/>
  <c r="AE225" i="3"/>
  <c r="AI225" i="3" s="1"/>
  <c r="AF226" i="3"/>
  <c r="C238" i="2"/>
  <c r="A239" i="2"/>
  <c r="B238" i="2"/>
  <c r="D238" i="2"/>
  <c r="AX222" i="1"/>
  <c r="AI222" i="1" a="1"/>
  <c r="AI222" i="1" s="1"/>
  <c r="AS223" i="1"/>
  <c r="AR223" i="1"/>
  <c r="AJ223" i="1" s="1" a="1"/>
  <c r="AJ223" i="1" s="1"/>
  <c r="AT223" i="1"/>
  <c r="AP224" i="1"/>
  <c r="AV223" i="1" a="1"/>
  <c r="AV223" i="1" s="1"/>
  <c r="AQ223" i="1"/>
  <c r="AU223" i="1"/>
  <c r="AM223" i="1" s="1" a="1"/>
  <c r="AM223" i="1" s="1"/>
  <c r="AW223" i="1" a="1"/>
  <c r="AW223" i="1" s="1"/>
  <c r="AC223" i="1"/>
  <c r="AF223" i="1"/>
  <c r="AD223" i="1"/>
  <c r="AG223" i="1"/>
  <c r="AE223" i="1"/>
  <c r="Z224" i="1"/>
  <c r="AB223" i="1"/>
  <c r="AA223" i="1"/>
  <c r="AH224" i="1"/>
  <c r="AO223" i="1"/>
  <c r="AN223" i="1"/>
  <c r="AL223" i="1" l="1" a="1"/>
  <c r="AL223" i="1" s="1"/>
  <c r="AK223" i="1" a="1"/>
  <c r="AK223" i="1" s="1"/>
  <c r="AP226" i="3"/>
  <c r="AO225" i="3"/>
  <c r="AS225" i="3" s="1"/>
  <c r="AF227" i="3"/>
  <c r="AE226" i="3"/>
  <c r="AI226" i="3" s="1"/>
  <c r="AZ226" i="3"/>
  <c r="AY225" i="3"/>
  <c r="BC225" i="3" s="1"/>
  <c r="AJ225" i="3"/>
  <c r="AN225" i="3" s="1"/>
  <c r="AK226" i="3"/>
  <c r="K226" i="3"/>
  <c r="O226" i="3" s="1"/>
  <c r="L227" i="3"/>
  <c r="AA226" i="3"/>
  <c r="Z225" i="3"/>
  <c r="AD225" i="3" s="1"/>
  <c r="F225" i="3"/>
  <c r="J225" i="3" s="1"/>
  <c r="G226" i="3"/>
  <c r="AT225" i="3"/>
  <c r="AX225" i="3" s="1"/>
  <c r="AU226" i="3"/>
  <c r="P227" i="3"/>
  <c r="T227" i="3" s="1"/>
  <c r="Q228" i="3"/>
  <c r="U230" i="3"/>
  <c r="Y230" i="3" s="1"/>
  <c r="V231" i="3"/>
  <c r="A240" i="2"/>
  <c r="B239" i="2"/>
  <c r="C239" i="2"/>
  <c r="D239" i="2"/>
  <c r="Z225" i="1"/>
  <c r="AF224" i="1"/>
  <c r="AD224" i="1"/>
  <c r="AG224" i="1"/>
  <c r="AB224" i="1"/>
  <c r="AA224" i="1"/>
  <c r="AE224" i="1"/>
  <c r="AC224" i="1"/>
  <c r="AX223" i="1"/>
  <c r="AI223" i="1" a="1"/>
  <c r="AI223" i="1" s="1"/>
  <c r="AW224" i="1" a="1"/>
  <c r="AW224" i="1" s="1"/>
  <c r="AP225" i="1"/>
  <c r="AQ224" i="1"/>
  <c r="AT224" i="1"/>
  <c r="AL224" i="1" s="1" a="1"/>
  <c r="AL224" i="1" s="1"/>
  <c r="AV224" i="1" a="1"/>
  <c r="AV224" i="1" s="1"/>
  <c r="AS224" i="1"/>
  <c r="AU224" i="1"/>
  <c r="AM224" i="1" s="1" a="1"/>
  <c r="AM224" i="1" s="1"/>
  <c r="AR224" i="1"/>
  <c r="AJ224" i="1" s="1" a="1"/>
  <c r="AJ224" i="1" s="1"/>
  <c r="AN224" i="1"/>
  <c r="AH225" i="1"/>
  <c r="AO224" i="1"/>
  <c r="AK224" i="1" l="1" a="1"/>
  <c r="AK224" i="1" s="1"/>
  <c r="AO226" i="3"/>
  <c r="AS226" i="3" s="1"/>
  <c r="AP227" i="3"/>
  <c r="AA227" i="3"/>
  <c r="Z226" i="3"/>
  <c r="AD226" i="3" s="1"/>
  <c r="U231" i="3"/>
  <c r="Y231" i="3" s="1"/>
  <c r="V232" i="3"/>
  <c r="K227" i="3"/>
  <c r="O227" i="3" s="1"/>
  <c r="L228" i="3"/>
  <c r="Q229" i="3"/>
  <c r="P228" i="3"/>
  <c r="T228" i="3" s="1"/>
  <c r="AK227" i="3"/>
  <c r="AJ226" i="3"/>
  <c r="AN226" i="3" s="1"/>
  <c r="AT226" i="3"/>
  <c r="AX226" i="3" s="1"/>
  <c r="AU227" i="3"/>
  <c r="G227" i="3"/>
  <c r="F226" i="3"/>
  <c r="J226" i="3" s="1"/>
  <c r="AZ227" i="3"/>
  <c r="AY226" i="3"/>
  <c r="BC226" i="3" s="1"/>
  <c r="AE227" i="3"/>
  <c r="AI227" i="3" s="1"/>
  <c r="AF228" i="3"/>
  <c r="C240" i="2"/>
  <c r="A241" i="2"/>
  <c r="B240" i="2"/>
  <c r="D240" i="2"/>
  <c r="AW225" i="1" a="1"/>
  <c r="AW225" i="1" s="1"/>
  <c r="AV225" i="1" a="1"/>
  <c r="AV225" i="1" s="1"/>
  <c r="AR225" i="1"/>
  <c r="AJ225" i="1" s="1" a="1"/>
  <c r="AJ225" i="1" s="1"/>
  <c r="AU225" i="1"/>
  <c r="AM225" i="1" s="1" a="1"/>
  <c r="AM225" i="1" s="1"/>
  <c r="AP226" i="1"/>
  <c r="AQ225" i="1"/>
  <c r="AS225" i="1"/>
  <c r="AT225" i="1"/>
  <c r="AH226" i="1"/>
  <c r="AN225" i="1"/>
  <c r="AO225" i="1"/>
  <c r="AI224" i="1" a="1"/>
  <c r="AI224" i="1" s="1"/>
  <c r="AX224" i="1"/>
  <c r="AE225" i="1"/>
  <c r="AF225" i="1"/>
  <c r="AC225" i="1"/>
  <c r="AA225" i="1"/>
  <c r="Z226" i="1"/>
  <c r="AB225" i="1"/>
  <c r="AG225" i="1"/>
  <c r="AD225" i="1"/>
  <c r="AL225" i="1" l="1" a="1"/>
  <c r="AL225" i="1" s="1"/>
  <c r="AK225" i="1" a="1"/>
  <c r="AK225" i="1" s="1"/>
  <c r="AO227" i="3"/>
  <c r="AS227" i="3" s="1"/>
  <c r="AP228" i="3"/>
  <c r="AJ227" i="3"/>
  <c r="AN227" i="3" s="1"/>
  <c r="AK228" i="3"/>
  <c r="AF229" i="3"/>
  <c r="AE228" i="3"/>
  <c r="AI228" i="3" s="1"/>
  <c r="P229" i="3"/>
  <c r="T229" i="3" s="1"/>
  <c r="Q230" i="3"/>
  <c r="L229" i="3"/>
  <c r="K228" i="3"/>
  <c r="O228" i="3" s="1"/>
  <c r="AZ228" i="3"/>
  <c r="AY227" i="3"/>
  <c r="BC227" i="3" s="1"/>
  <c r="F227" i="3"/>
  <c r="J227" i="3" s="1"/>
  <c r="G228" i="3"/>
  <c r="U232" i="3"/>
  <c r="Y232" i="3" s="1"/>
  <c r="V233" i="3"/>
  <c r="AT227" i="3"/>
  <c r="AX227" i="3" s="1"/>
  <c r="AU228" i="3"/>
  <c r="Z227" i="3"/>
  <c r="AD227" i="3" s="1"/>
  <c r="AA228" i="3"/>
  <c r="B241" i="2"/>
  <c r="D241" i="2"/>
  <c r="C241" i="2"/>
  <c r="A242" i="2"/>
  <c r="AN226" i="1"/>
  <c r="AH227" i="1"/>
  <c r="AO226" i="1"/>
  <c r="AI225" i="1" a="1"/>
  <c r="AI225" i="1" s="1"/>
  <c r="AX225" i="1"/>
  <c r="AA226" i="1"/>
  <c r="AF226" i="1"/>
  <c r="AG226" i="1"/>
  <c r="AE226" i="1"/>
  <c r="Z227" i="1"/>
  <c r="AD226" i="1"/>
  <c r="AC226" i="1"/>
  <c r="AB226" i="1"/>
  <c r="AR226" i="1"/>
  <c r="AJ226" i="1" s="1" a="1"/>
  <c r="AJ226" i="1" s="1"/>
  <c r="AQ226" i="1"/>
  <c r="AW226" i="1" a="1"/>
  <c r="AW226" i="1" s="1"/>
  <c r="AS226" i="1"/>
  <c r="AU226" i="1"/>
  <c r="AV226" i="1" a="1"/>
  <c r="AV226" i="1" s="1"/>
  <c r="AP227" i="1"/>
  <c r="AT226" i="1"/>
  <c r="AL226" i="1" s="1" a="1"/>
  <c r="AL226" i="1" s="1"/>
  <c r="AM226" i="1" l="1" a="1"/>
  <c r="AM226" i="1" s="1"/>
  <c r="AK226" i="1" a="1"/>
  <c r="AK226" i="1" s="1"/>
  <c r="AO228" i="3"/>
  <c r="AS228" i="3" s="1"/>
  <c r="AP229" i="3"/>
  <c r="Z228" i="3"/>
  <c r="AD228" i="3" s="1"/>
  <c r="AA229" i="3"/>
  <c r="AY228" i="3"/>
  <c r="BC228" i="3" s="1"/>
  <c r="AZ229" i="3"/>
  <c r="AT228" i="3"/>
  <c r="AX228" i="3" s="1"/>
  <c r="AU229" i="3"/>
  <c r="L230" i="3"/>
  <c r="K229" i="3"/>
  <c r="O229" i="3" s="1"/>
  <c r="P230" i="3"/>
  <c r="T230" i="3" s="1"/>
  <c r="Q231" i="3"/>
  <c r="V234" i="3"/>
  <c r="U233" i="3"/>
  <c r="Y233" i="3" s="1"/>
  <c r="AE229" i="3"/>
  <c r="AI229" i="3" s="1"/>
  <c r="AF230" i="3"/>
  <c r="F228" i="3"/>
  <c r="J228" i="3" s="1"/>
  <c r="G229" i="3"/>
  <c r="AK229" i="3"/>
  <c r="AJ228" i="3"/>
  <c r="AN228" i="3" s="1"/>
  <c r="D242" i="2"/>
  <c r="B242" i="2"/>
  <c r="A243" i="2"/>
  <c r="C242" i="2"/>
  <c r="AC227" i="1"/>
  <c r="AA227" i="1"/>
  <c r="Z228" i="1"/>
  <c r="AF227" i="1"/>
  <c r="AD227" i="1"/>
  <c r="AG227" i="1"/>
  <c r="AB227" i="1"/>
  <c r="AE227" i="1"/>
  <c r="AT227" i="1"/>
  <c r="AL227" i="1" s="1" a="1"/>
  <c r="AL227" i="1" s="1"/>
  <c r="AS227" i="1"/>
  <c r="AK227" i="1" s="1" a="1"/>
  <c r="AK227" i="1" s="1"/>
  <c r="AR227" i="1"/>
  <c r="AJ227" i="1" s="1" a="1"/>
  <c r="AJ227" i="1" s="1"/>
  <c r="AP228" i="1"/>
  <c r="AW227" i="1" a="1"/>
  <c r="AW227" i="1" s="1"/>
  <c r="AQ227" i="1"/>
  <c r="AV227" i="1" a="1"/>
  <c r="AV227" i="1" s="1"/>
  <c r="AU227" i="1"/>
  <c r="AH228" i="1"/>
  <c r="AN227" i="1"/>
  <c r="AO227" i="1"/>
  <c r="AI226" i="1" a="1"/>
  <c r="AI226" i="1" s="1"/>
  <c r="AX226" i="1"/>
  <c r="AM227" i="1" l="1" a="1"/>
  <c r="AM227" i="1" s="1"/>
  <c r="AP230" i="3"/>
  <c r="AO229" i="3"/>
  <c r="AS229" i="3" s="1"/>
  <c r="Q232" i="3"/>
  <c r="P231" i="3"/>
  <c r="T231" i="3" s="1"/>
  <c r="AJ229" i="3"/>
  <c r="AN229" i="3" s="1"/>
  <c r="AK230" i="3"/>
  <c r="K230" i="3"/>
  <c r="O230" i="3" s="1"/>
  <c r="L231" i="3"/>
  <c r="G230" i="3"/>
  <c r="F229" i="3"/>
  <c r="J229" i="3" s="1"/>
  <c r="AT229" i="3"/>
  <c r="AX229" i="3" s="1"/>
  <c r="AU230" i="3"/>
  <c r="AY229" i="3"/>
  <c r="BC229" i="3" s="1"/>
  <c r="AZ230" i="3"/>
  <c r="AE230" i="3"/>
  <c r="AI230" i="3" s="1"/>
  <c r="AF231" i="3"/>
  <c r="AA230" i="3"/>
  <c r="Z229" i="3"/>
  <c r="AD229" i="3" s="1"/>
  <c r="V235" i="3"/>
  <c r="U234" i="3"/>
  <c r="Y234" i="3" s="1"/>
  <c r="C243" i="2"/>
  <c r="D243" i="2"/>
  <c r="B243" i="2"/>
  <c r="A244" i="2"/>
  <c r="AS228" i="1"/>
  <c r="AU228" i="1"/>
  <c r="AV228" i="1" a="1"/>
  <c r="AV228" i="1" s="1"/>
  <c r="AP229" i="1"/>
  <c r="AT228" i="1"/>
  <c r="AW228" i="1" a="1"/>
  <c r="AW228" i="1" s="1"/>
  <c r="AR228" i="1"/>
  <c r="AQ228" i="1"/>
  <c r="AH229" i="1"/>
  <c r="AN228" i="1"/>
  <c r="AO228" i="1"/>
  <c r="AD228" i="1"/>
  <c r="AG228" i="1"/>
  <c r="AC228" i="1"/>
  <c r="AB228" i="1"/>
  <c r="AA228" i="1"/>
  <c r="Z229" i="1"/>
  <c r="AE228" i="1"/>
  <c r="AF228" i="1"/>
  <c r="AI227" i="1" a="1"/>
  <c r="AI227" i="1" s="1"/>
  <c r="AX227" i="1"/>
  <c r="AL228" i="1" l="1" a="1"/>
  <c r="AL228" i="1" s="1"/>
  <c r="AJ228" i="1" a="1"/>
  <c r="AJ228" i="1" s="1"/>
  <c r="AM228" i="1" a="1"/>
  <c r="AM228" i="1" s="1"/>
  <c r="AO230" i="3"/>
  <c r="AS230" i="3" s="1"/>
  <c r="AP231" i="3"/>
  <c r="AU231" i="3"/>
  <c r="AT230" i="3"/>
  <c r="AX230" i="3" s="1"/>
  <c r="F230" i="3"/>
  <c r="J230" i="3" s="1"/>
  <c r="G231" i="3"/>
  <c r="U235" i="3"/>
  <c r="Y235" i="3" s="1"/>
  <c r="V236" i="3"/>
  <c r="L232" i="3"/>
  <c r="K231" i="3"/>
  <c r="O231" i="3" s="1"/>
  <c r="Z230" i="3"/>
  <c r="AD230" i="3" s="1"/>
  <c r="AA231" i="3"/>
  <c r="AK231" i="3"/>
  <c r="AJ230" i="3"/>
  <c r="AN230" i="3" s="1"/>
  <c r="AE231" i="3"/>
  <c r="AI231" i="3" s="1"/>
  <c r="AF232" i="3"/>
  <c r="AY230" i="3"/>
  <c r="BC230" i="3" s="1"/>
  <c r="AZ231" i="3"/>
  <c r="P232" i="3"/>
  <c r="T232" i="3" s="1"/>
  <c r="Q233" i="3"/>
  <c r="B244" i="2"/>
  <c r="A245" i="2"/>
  <c r="C244" i="2"/>
  <c r="D244" i="2"/>
  <c r="AO229" i="1"/>
  <c r="AN229" i="1"/>
  <c r="AH230" i="1"/>
  <c r="AI228" i="1" a="1"/>
  <c r="AI228" i="1" s="1"/>
  <c r="AX228" i="1"/>
  <c r="AA229" i="1"/>
  <c r="Z230" i="1"/>
  <c r="AB229" i="1"/>
  <c r="AE229" i="1"/>
  <c r="AF229" i="1"/>
  <c r="AD229" i="1"/>
  <c r="AG229" i="1"/>
  <c r="AC229" i="1"/>
  <c r="AT229" i="1"/>
  <c r="AV229" i="1" a="1"/>
  <c r="AV229" i="1" s="1"/>
  <c r="AR229" i="1"/>
  <c r="AJ229" i="1" s="1" a="1"/>
  <c r="AJ229" i="1" s="1"/>
  <c r="AP230" i="1"/>
  <c r="AS229" i="1"/>
  <c r="AK229" i="1" s="1" a="1"/>
  <c r="AK229" i="1" s="1"/>
  <c r="AQ229" i="1"/>
  <c r="AU229" i="1"/>
  <c r="AM229" i="1" s="1" a="1"/>
  <c r="AM229" i="1" s="1"/>
  <c r="AW229" i="1" a="1"/>
  <c r="AW229" i="1" s="1"/>
  <c r="AK228" i="1" a="1"/>
  <c r="AK228" i="1" s="1"/>
  <c r="AL229" i="1" l="1" a="1"/>
  <c r="AL229" i="1" s="1"/>
  <c r="AP232" i="3"/>
  <c r="AO231" i="3"/>
  <c r="AS231" i="3" s="1"/>
  <c r="L233" i="3"/>
  <c r="K232" i="3"/>
  <c r="O232" i="3" s="1"/>
  <c r="P233" i="3"/>
  <c r="T233" i="3" s="1"/>
  <c r="Q234" i="3"/>
  <c r="U236" i="3"/>
  <c r="Y236" i="3" s="1"/>
  <c r="V237" i="3"/>
  <c r="AY231" i="3"/>
  <c r="BC231" i="3" s="1"/>
  <c r="AZ232" i="3"/>
  <c r="G232" i="3"/>
  <c r="F231" i="3"/>
  <c r="J231" i="3" s="1"/>
  <c r="AE232" i="3"/>
  <c r="AI232" i="3" s="1"/>
  <c r="AF233" i="3"/>
  <c r="AJ231" i="3"/>
  <c r="AN231" i="3" s="1"/>
  <c r="AK232" i="3"/>
  <c r="AA232" i="3"/>
  <c r="Z231" i="3"/>
  <c r="AD231" i="3" s="1"/>
  <c r="AU232" i="3"/>
  <c r="AT231" i="3"/>
  <c r="AX231" i="3" s="1"/>
  <c r="D245" i="2"/>
  <c r="B245" i="2"/>
  <c r="A246" i="2"/>
  <c r="C245" i="2"/>
  <c r="AX229" i="1"/>
  <c r="AI229" i="1" a="1"/>
  <c r="AI229" i="1" s="1"/>
  <c r="AD230" i="1"/>
  <c r="AA230" i="1"/>
  <c r="AE230" i="1"/>
  <c r="AG230" i="1"/>
  <c r="AC230" i="1"/>
  <c r="AB230" i="1"/>
  <c r="Z231" i="1"/>
  <c r="AF230" i="1"/>
  <c r="AU230" i="1"/>
  <c r="AM230" i="1" s="1" a="1"/>
  <c r="AM230" i="1" s="1"/>
  <c r="AV230" i="1" a="1"/>
  <c r="AV230" i="1" s="1"/>
  <c r="AQ230" i="1"/>
  <c r="AT230" i="1"/>
  <c r="AL230" i="1" s="1" a="1"/>
  <c r="AL230" i="1" s="1"/>
  <c r="AR230" i="1"/>
  <c r="AP231" i="1"/>
  <c r="AS230" i="1"/>
  <c r="AW230" i="1" a="1"/>
  <c r="AW230" i="1" s="1"/>
  <c r="AH231" i="1"/>
  <c r="AN230" i="1"/>
  <c r="AO230" i="1"/>
  <c r="AK230" i="1" l="1" a="1"/>
  <c r="AK230" i="1" s="1"/>
  <c r="AJ230" i="1" a="1"/>
  <c r="AJ230" i="1" s="1"/>
  <c r="AP233" i="3"/>
  <c r="AO232" i="3"/>
  <c r="AS232" i="3" s="1"/>
  <c r="F232" i="3"/>
  <c r="J232" i="3" s="1"/>
  <c r="G233" i="3"/>
  <c r="AT232" i="3"/>
  <c r="AX232" i="3" s="1"/>
  <c r="AU233" i="3"/>
  <c r="AY232" i="3"/>
  <c r="BC232" i="3" s="1"/>
  <c r="AZ233" i="3"/>
  <c r="Z232" i="3"/>
  <c r="AD232" i="3" s="1"/>
  <c r="AA233" i="3"/>
  <c r="V238" i="3"/>
  <c r="U237" i="3"/>
  <c r="Y237" i="3" s="1"/>
  <c r="AJ232" i="3"/>
  <c r="AN232" i="3" s="1"/>
  <c r="AK233" i="3"/>
  <c r="P234" i="3"/>
  <c r="T234" i="3" s="1"/>
  <c r="Q235" i="3"/>
  <c r="AE233" i="3"/>
  <c r="AI233" i="3" s="1"/>
  <c r="AF234" i="3"/>
  <c r="L234" i="3"/>
  <c r="K233" i="3"/>
  <c r="O233" i="3" s="1"/>
  <c r="D246" i="2"/>
  <c r="B246" i="2"/>
  <c r="C246" i="2"/>
  <c r="A247" i="2"/>
  <c r="AE231" i="1"/>
  <c r="AG231" i="1"/>
  <c r="AB231" i="1"/>
  <c r="AC231" i="1"/>
  <c r="AA231" i="1"/>
  <c r="AD231" i="1"/>
  <c r="AF231" i="1"/>
  <c r="Z232" i="1"/>
  <c r="AO231" i="1"/>
  <c r="AH232" i="1"/>
  <c r="AN231" i="1"/>
  <c r="AV231" i="1" a="1"/>
  <c r="AV231" i="1" s="1"/>
  <c r="AU231" i="1"/>
  <c r="AM231" i="1" s="1" a="1"/>
  <c r="AM231" i="1" s="1"/>
  <c r="AT231" i="1"/>
  <c r="AR231" i="1"/>
  <c r="AJ231" i="1" s="1" a="1"/>
  <c r="AJ231" i="1" s="1"/>
  <c r="AP232" i="1"/>
  <c r="AW231" i="1" a="1"/>
  <c r="AW231" i="1" s="1"/>
  <c r="AQ231" i="1"/>
  <c r="AS231" i="1"/>
  <c r="AK231" i="1" s="1" a="1"/>
  <c r="AK231" i="1" s="1"/>
  <c r="AI230" i="1" a="1"/>
  <c r="AI230" i="1" s="1"/>
  <c r="AX230" i="1"/>
  <c r="AL231" i="1" l="1" a="1"/>
  <c r="AL231" i="1" s="1"/>
  <c r="AP234" i="3"/>
  <c r="AO233" i="3"/>
  <c r="AS233" i="3" s="1"/>
  <c r="U238" i="3"/>
  <c r="Y238" i="3" s="1"/>
  <c r="V239" i="3"/>
  <c r="K234" i="3"/>
  <c r="O234" i="3" s="1"/>
  <c r="L235" i="3"/>
  <c r="Z233" i="3"/>
  <c r="AD233" i="3" s="1"/>
  <c r="AA234" i="3"/>
  <c r="AF235" i="3"/>
  <c r="AE234" i="3"/>
  <c r="AI234" i="3" s="1"/>
  <c r="AY233" i="3"/>
  <c r="BC233" i="3" s="1"/>
  <c r="AZ234" i="3"/>
  <c r="Q236" i="3"/>
  <c r="P235" i="3"/>
  <c r="T235" i="3" s="1"/>
  <c r="AT233" i="3"/>
  <c r="AX233" i="3" s="1"/>
  <c r="AU234" i="3"/>
  <c r="AJ233" i="3"/>
  <c r="AN233" i="3" s="1"/>
  <c r="AK234" i="3"/>
  <c r="F233" i="3"/>
  <c r="J233" i="3" s="1"/>
  <c r="G234" i="3"/>
  <c r="A248" i="2"/>
  <c r="B247" i="2"/>
  <c r="D247" i="2"/>
  <c r="C247" i="2"/>
  <c r="AO232" i="1"/>
  <c r="AN232" i="1"/>
  <c r="AH233" i="1"/>
  <c r="AF232" i="1"/>
  <c r="AE232" i="1"/>
  <c r="AB232" i="1"/>
  <c r="Z233" i="1"/>
  <c r="AD232" i="1"/>
  <c r="AG232" i="1"/>
  <c r="AA232" i="1"/>
  <c r="AC232" i="1"/>
  <c r="AX231" i="1"/>
  <c r="AI231" i="1" a="1"/>
  <c r="AI231" i="1" s="1"/>
  <c r="AV232" i="1" a="1"/>
  <c r="AV232" i="1" s="1"/>
  <c r="AR232" i="1"/>
  <c r="AJ232" i="1" s="1" a="1"/>
  <c r="AJ232" i="1" s="1"/>
  <c r="AS232" i="1"/>
  <c r="AK232" i="1" s="1" a="1"/>
  <c r="AK232" i="1" s="1"/>
  <c r="AQ232" i="1"/>
  <c r="AT232" i="1"/>
  <c r="AL232" i="1" s="1" a="1"/>
  <c r="AL232" i="1" s="1"/>
  <c r="AU232" i="1"/>
  <c r="AM232" i="1" s="1" a="1"/>
  <c r="AM232" i="1" s="1"/>
  <c r="AP233" i="1"/>
  <c r="AW232" i="1" a="1"/>
  <c r="AW232" i="1" s="1"/>
  <c r="AO234" i="3" l="1"/>
  <c r="AS234" i="3" s="1"/>
  <c r="AP235" i="3"/>
  <c r="P236" i="3"/>
  <c r="T236" i="3" s="1"/>
  <c r="Q237" i="3"/>
  <c r="AZ235" i="3"/>
  <c r="AY234" i="3"/>
  <c r="BC234" i="3" s="1"/>
  <c r="F234" i="3"/>
  <c r="J234" i="3" s="1"/>
  <c r="G235" i="3"/>
  <c r="AE235" i="3"/>
  <c r="AI235" i="3" s="1"/>
  <c r="AF236" i="3"/>
  <c r="Z234" i="3"/>
  <c r="AD234" i="3" s="1"/>
  <c r="AA235" i="3"/>
  <c r="AK235" i="3"/>
  <c r="AJ234" i="3"/>
  <c r="AN234" i="3" s="1"/>
  <c r="L236" i="3"/>
  <c r="K235" i="3"/>
  <c r="O235" i="3" s="1"/>
  <c r="AT234" i="3"/>
  <c r="AX234" i="3" s="1"/>
  <c r="AU235" i="3"/>
  <c r="V240" i="3"/>
  <c r="U239" i="3"/>
  <c r="Y239" i="3" s="1"/>
  <c r="D248" i="2"/>
  <c r="C248" i="2"/>
  <c r="A249" i="2"/>
  <c r="B248" i="2"/>
  <c r="AR233" i="1"/>
  <c r="AV233" i="1" a="1"/>
  <c r="AV233" i="1" s="1"/>
  <c r="AT233" i="1"/>
  <c r="AP234" i="1"/>
  <c r="AS233" i="1"/>
  <c r="AU233" i="1"/>
  <c r="AW233" i="1" a="1"/>
  <c r="AW233" i="1" s="1"/>
  <c r="AQ233" i="1"/>
  <c r="AB233" i="1"/>
  <c r="AC233" i="1"/>
  <c r="Z234" i="1"/>
  <c r="AE233" i="1"/>
  <c r="AD233" i="1"/>
  <c r="AA233" i="1"/>
  <c r="AG233" i="1"/>
  <c r="AF233" i="1"/>
  <c r="AX232" i="1"/>
  <c r="AI232" i="1" a="1"/>
  <c r="AI232" i="1" s="1"/>
  <c r="AN233" i="1"/>
  <c r="AH234" i="1"/>
  <c r="AO233" i="1"/>
  <c r="AJ233" i="1" l="1" a="1"/>
  <c r="AJ233" i="1" s="1"/>
  <c r="AK233" i="1" a="1"/>
  <c r="AK233" i="1" s="1"/>
  <c r="AL233" i="1" a="1"/>
  <c r="AL233" i="1" s="1"/>
  <c r="AM233" i="1" a="1"/>
  <c r="AM233" i="1" s="1"/>
  <c r="AO235" i="3"/>
  <c r="AS235" i="3" s="1"/>
  <c r="AP236" i="3"/>
  <c r="AE236" i="3"/>
  <c r="AI236" i="3" s="1"/>
  <c r="AF237" i="3"/>
  <c r="U240" i="3"/>
  <c r="Y240" i="3" s="1"/>
  <c r="V241" i="3"/>
  <c r="G236" i="3"/>
  <c r="F235" i="3"/>
  <c r="J235" i="3" s="1"/>
  <c r="AT235" i="3"/>
  <c r="AX235" i="3" s="1"/>
  <c r="AU236" i="3"/>
  <c r="K236" i="3"/>
  <c r="O236" i="3" s="1"/>
  <c r="L237" i="3"/>
  <c r="AY235" i="3"/>
  <c r="BC235" i="3" s="1"/>
  <c r="AZ236" i="3"/>
  <c r="AJ235" i="3"/>
  <c r="AN235" i="3" s="1"/>
  <c r="AK236" i="3"/>
  <c r="Q238" i="3"/>
  <c r="P237" i="3"/>
  <c r="T237" i="3" s="1"/>
  <c r="Z235" i="3"/>
  <c r="AD235" i="3" s="1"/>
  <c r="AA236" i="3"/>
  <c r="D249" i="2"/>
  <c r="C249" i="2"/>
  <c r="B249" i="2"/>
  <c r="A250" i="2"/>
  <c r="AO234" i="1"/>
  <c r="AH235" i="1"/>
  <c r="AN234" i="1"/>
  <c r="AD234" i="1"/>
  <c r="AB234" i="1"/>
  <c r="AC234" i="1"/>
  <c r="AF234" i="1"/>
  <c r="AA234" i="1"/>
  <c r="Z235" i="1"/>
  <c r="AE234" i="1"/>
  <c r="AG234" i="1"/>
  <c r="AX233" i="1"/>
  <c r="AI233" i="1" a="1"/>
  <c r="AI233" i="1" s="1"/>
  <c r="AU234" i="1"/>
  <c r="AS234" i="1"/>
  <c r="AT234" i="1"/>
  <c r="AL234" i="1" s="1" a="1"/>
  <c r="AL234" i="1" s="1"/>
  <c r="AV234" i="1" a="1"/>
  <c r="AV234" i="1" s="1"/>
  <c r="AQ234" i="1"/>
  <c r="AP235" i="1"/>
  <c r="AR234" i="1"/>
  <c r="AJ234" i="1" s="1" a="1"/>
  <c r="AJ234" i="1" s="1"/>
  <c r="AW234" i="1" a="1"/>
  <c r="AW234" i="1" s="1"/>
  <c r="AM234" i="1" l="1" a="1"/>
  <c r="AM234" i="1" s="1"/>
  <c r="AK234" i="1" a="1"/>
  <c r="AK234" i="1" s="1"/>
  <c r="AO236" i="3"/>
  <c r="AS236" i="3" s="1"/>
  <c r="AP237" i="3"/>
  <c r="AU237" i="3"/>
  <c r="AT236" i="3"/>
  <c r="AX236" i="3" s="1"/>
  <c r="AA237" i="3"/>
  <c r="Z236" i="3"/>
  <c r="AD236" i="3" s="1"/>
  <c r="F236" i="3"/>
  <c r="J236" i="3" s="1"/>
  <c r="G237" i="3"/>
  <c r="Q239" i="3"/>
  <c r="P238" i="3"/>
  <c r="T238" i="3" s="1"/>
  <c r="V242" i="3"/>
  <c r="U241" i="3"/>
  <c r="Y241" i="3" s="1"/>
  <c r="AF238" i="3"/>
  <c r="AE237" i="3"/>
  <c r="AI237" i="3" s="1"/>
  <c r="AJ236" i="3"/>
  <c r="AN236" i="3" s="1"/>
  <c r="AK237" i="3"/>
  <c r="AY236" i="3"/>
  <c r="BC236" i="3" s="1"/>
  <c r="AZ237" i="3"/>
  <c r="K237" i="3"/>
  <c r="O237" i="3" s="1"/>
  <c r="L238" i="3"/>
  <c r="A251" i="2"/>
  <c r="B250" i="2"/>
  <c r="D250" i="2"/>
  <c r="C250" i="2"/>
  <c r="AA235" i="1"/>
  <c r="AD235" i="1"/>
  <c r="AE235" i="1"/>
  <c r="AG235" i="1"/>
  <c r="AB235" i="1"/>
  <c r="AC235" i="1"/>
  <c r="Z236" i="1"/>
  <c r="AF235" i="1"/>
  <c r="AQ235" i="1"/>
  <c r="AW235" i="1" a="1"/>
  <c r="AW235" i="1" s="1"/>
  <c r="AS235" i="1"/>
  <c r="AK235" i="1" s="1" a="1"/>
  <c r="AK235" i="1" s="1"/>
  <c r="AP236" i="1"/>
  <c r="AR235" i="1"/>
  <c r="AJ235" i="1" s="1" a="1"/>
  <c r="AJ235" i="1" s="1"/>
  <c r="AV235" i="1" a="1"/>
  <c r="AV235" i="1" s="1"/>
  <c r="AU235" i="1"/>
  <c r="AM235" i="1" s="1" a="1"/>
  <c r="AM235" i="1" s="1"/>
  <c r="AT235" i="1"/>
  <c r="AL235" i="1" s="1" a="1"/>
  <c r="AL235" i="1" s="1"/>
  <c r="AX234" i="1"/>
  <c r="AI234" i="1" a="1"/>
  <c r="AI234" i="1" s="1"/>
  <c r="AO235" i="1"/>
  <c r="AN235" i="1"/>
  <c r="AH236" i="1"/>
  <c r="AP238" i="3" l="1"/>
  <c r="AO237" i="3"/>
  <c r="AS237" i="3" s="1"/>
  <c r="V243" i="3"/>
  <c r="U242" i="3"/>
  <c r="Y242" i="3" s="1"/>
  <c r="K238" i="3"/>
  <c r="O238" i="3" s="1"/>
  <c r="L239" i="3"/>
  <c r="Q240" i="3"/>
  <c r="P239" i="3"/>
  <c r="T239" i="3" s="1"/>
  <c r="F237" i="3"/>
  <c r="J237" i="3" s="1"/>
  <c r="G238" i="3"/>
  <c r="AY237" i="3"/>
  <c r="BC237" i="3" s="1"/>
  <c r="AZ238" i="3"/>
  <c r="AJ237" i="3"/>
  <c r="AN237" i="3" s="1"/>
  <c r="AK238" i="3"/>
  <c r="AA238" i="3"/>
  <c r="Z237" i="3"/>
  <c r="AD237" i="3" s="1"/>
  <c r="AE238" i="3"/>
  <c r="AI238" i="3" s="1"/>
  <c r="AF239" i="3"/>
  <c r="AT237" i="3"/>
  <c r="AX237" i="3" s="1"/>
  <c r="AU238" i="3"/>
  <c r="A252" i="2"/>
  <c r="B251" i="2"/>
  <c r="C251" i="2"/>
  <c r="D251" i="2"/>
  <c r="AS236" i="1"/>
  <c r="AQ236" i="1"/>
  <c r="AW236" i="1" a="1"/>
  <c r="AW236" i="1" s="1"/>
  <c r="AR236" i="1"/>
  <c r="AJ236" i="1" s="1" a="1"/>
  <c r="AJ236" i="1" s="1"/>
  <c r="AU236" i="1"/>
  <c r="AV236" i="1" a="1"/>
  <c r="AV236" i="1" s="1"/>
  <c r="AP237" i="1"/>
  <c r="AT236" i="1"/>
  <c r="AI235" i="1" a="1"/>
  <c r="AI235" i="1" s="1"/>
  <c r="AX235" i="1"/>
  <c r="AC236" i="1"/>
  <c r="AD236" i="1"/>
  <c r="AB236" i="1"/>
  <c r="AG236" i="1"/>
  <c r="AA236" i="1"/>
  <c r="AF236" i="1"/>
  <c r="Z237" i="1"/>
  <c r="AE236" i="1"/>
  <c r="AN236" i="1"/>
  <c r="AH237" i="1"/>
  <c r="AO236" i="1"/>
  <c r="AM236" i="1" l="1" a="1"/>
  <c r="AM236" i="1" s="1"/>
  <c r="AL236" i="1" a="1"/>
  <c r="AL236" i="1" s="1"/>
  <c r="AK236" i="1" a="1"/>
  <c r="AK236" i="1" s="1"/>
  <c r="AP239" i="3"/>
  <c r="AO238" i="3"/>
  <c r="AS238" i="3" s="1"/>
  <c r="F238" i="3"/>
  <c r="J238" i="3" s="1"/>
  <c r="G239" i="3"/>
  <c r="AT238" i="3"/>
  <c r="AX238" i="3" s="1"/>
  <c r="AU239" i="3"/>
  <c r="AE239" i="3"/>
  <c r="AI239" i="3" s="1"/>
  <c r="AF240" i="3"/>
  <c r="P240" i="3"/>
  <c r="T240" i="3" s="1"/>
  <c r="Q241" i="3"/>
  <c r="K239" i="3"/>
  <c r="O239" i="3" s="1"/>
  <c r="L240" i="3"/>
  <c r="AA239" i="3"/>
  <c r="Z238" i="3"/>
  <c r="AD238" i="3" s="1"/>
  <c r="AJ238" i="3"/>
  <c r="AN238" i="3" s="1"/>
  <c r="AK239" i="3"/>
  <c r="AZ239" i="3"/>
  <c r="AY238" i="3"/>
  <c r="BC238" i="3" s="1"/>
  <c r="V244" i="3"/>
  <c r="U243" i="3"/>
  <c r="Y243" i="3" s="1"/>
  <c r="A253" i="2"/>
  <c r="D252" i="2"/>
  <c r="B252" i="2"/>
  <c r="C252" i="2"/>
  <c r="AN237" i="1"/>
  <c r="AO237" i="1"/>
  <c r="AH238" i="1"/>
  <c r="AV237" i="1" a="1"/>
  <c r="AV237" i="1" s="1"/>
  <c r="AP238" i="1"/>
  <c r="AQ237" i="1"/>
  <c r="AT237" i="1"/>
  <c r="AU237" i="1"/>
  <c r="AM237" i="1" s="1" a="1"/>
  <c r="AM237" i="1" s="1"/>
  <c r="AS237" i="1"/>
  <c r="AR237" i="1"/>
  <c r="AJ237" i="1" s="1" a="1"/>
  <c r="AJ237" i="1" s="1"/>
  <c r="AW237" i="1" a="1"/>
  <c r="AW237" i="1" s="1"/>
  <c r="AF237" i="1"/>
  <c r="AD237" i="1"/>
  <c r="AE237" i="1"/>
  <c r="AG237" i="1"/>
  <c r="Z238" i="1"/>
  <c r="AA237" i="1"/>
  <c r="AB237" i="1"/>
  <c r="AC237" i="1"/>
  <c r="AI236" i="1" a="1"/>
  <c r="AI236" i="1" s="1"/>
  <c r="AX236" i="1"/>
  <c r="AL237" i="1" l="1" a="1"/>
  <c r="AL237" i="1" s="1"/>
  <c r="AK237" i="1" a="1"/>
  <c r="AK237" i="1" s="1"/>
  <c r="AP240" i="3"/>
  <c r="AO239" i="3"/>
  <c r="AS239" i="3" s="1"/>
  <c r="Z239" i="3"/>
  <c r="AD239" i="3" s="1"/>
  <c r="AA240" i="3"/>
  <c r="L241" i="3"/>
  <c r="K240" i="3"/>
  <c r="O240" i="3" s="1"/>
  <c r="P241" i="3"/>
  <c r="T241" i="3" s="1"/>
  <c r="Q242" i="3"/>
  <c r="V245" i="3"/>
  <c r="U244" i="3"/>
  <c r="Y244" i="3" s="1"/>
  <c r="AE240" i="3"/>
  <c r="AI240" i="3" s="1"/>
  <c r="AF241" i="3"/>
  <c r="AZ240" i="3"/>
  <c r="AY239" i="3"/>
  <c r="BC239" i="3" s="1"/>
  <c r="AT239" i="3"/>
  <c r="AX239" i="3" s="1"/>
  <c r="AU240" i="3"/>
  <c r="AJ239" i="3"/>
  <c r="AN239" i="3" s="1"/>
  <c r="AK240" i="3"/>
  <c r="F239" i="3"/>
  <c r="J239" i="3" s="1"/>
  <c r="G240" i="3"/>
  <c r="B253" i="2"/>
  <c r="C253" i="2"/>
  <c r="D253" i="2"/>
  <c r="A254" i="2"/>
  <c r="AI237" i="1" a="1"/>
  <c r="AI237" i="1" s="1"/>
  <c r="AX237" i="1"/>
  <c r="AP239" i="1"/>
  <c r="AW238" i="1" a="1"/>
  <c r="AW238" i="1" s="1"/>
  <c r="AQ238" i="1"/>
  <c r="AU238" i="1"/>
  <c r="AR238" i="1"/>
  <c r="AJ238" i="1" s="1" a="1"/>
  <c r="AJ238" i="1" s="1"/>
  <c r="AS238" i="1"/>
  <c r="AV238" i="1" a="1"/>
  <c r="AV238" i="1" s="1"/>
  <c r="AT238" i="1"/>
  <c r="AL238" i="1" s="1" a="1"/>
  <c r="AL238" i="1" s="1"/>
  <c r="AC238" i="1"/>
  <c r="AE238" i="1"/>
  <c r="AA238" i="1"/>
  <c r="AD238" i="1"/>
  <c r="Z239" i="1"/>
  <c r="AF238" i="1"/>
  <c r="AB238" i="1"/>
  <c r="AG238" i="1"/>
  <c r="AH239" i="1"/>
  <c r="AO238" i="1"/>
  <c r="AN238" i="1"/>
  <c r="AK238" i="1" l="1" a="1"/>
  <c r="AK238" i="1" s="1"/>
  <c r="AM238" i="1" a="1"/>
  <c r="AM238" i="1" s="1"/>
  <c r="AP241" i="3"/>
  <c r="AO240" i="3"/>
  <c r="AS240" i="3" s="1"/>
  <c r="AY240" i="3"/>
  <c r="BC240" i="3" s="1"/>
  <c r="AZ241" i="3"/>
  <c r="AE241" i="3"/>
  <c r="AI241" i="3" s="1"/>
  <c r="AF242" i="3"/>
  <c r="G241" i="3"/>
  <c r="F240" i="3"/>
  <c r="J240" i="3" s="1"/>
  <c r="V246" i="3"/>
  <c r="U245" i="3"/>
  <c r="Y245" i="3" s="1"/>
  <c r="AK241" i="3"/>
  <c r="AJ240" i="3"/>
  <c r="AN240" i="3" s="1"/>
  <c r="P242" i="3"/>
  <c r="T242" i="3" s="1"/>
  <c r="Q243" i="3"/>
  <c r="AU241" i="3"/>
  <c r="AT240" i="3"/>
  <c r="AX240" i="3" s="1"/>
  <c r="K241" i="3"/>
  <c r="O241" i="3" s="1"/>
  <c r="L242" i="3"/>
  <c r="Z240" i="3"/>
  <c r="AD240" i="3" s="1"/>
  <c r="AA241" i="3"/>
  <c r="C254" i="2"/>
  <c r="B254" i="2"/>
  <c r="A255" i="2"/>
  <c r="D254" i="2"/>
  <c r="AX238" i="1"/>
  <c r="AI238" i="1" a="1"/>
  <c r="AI238" i="1" s="1"/>
  <c r="AC239" i="1"/>
  <c r="AG239" i="1"/>
  <c r="Z240" i="1"/>
  <c r="AD239" i="1"/>
  <c r="AF239" i="1"/>
  <c r="AB239" i="1"/>
  <c r="AA239" i="1"/>
  <c r="AE239" i="1"/>
  <c r="AT239" i="1"/>
  <c r="AS239" i="1"/>
  <c r="AK239" i="1" s="1" a="1"/>
  <c r="AK239" i="1" s="1"/>
  <c r="AQ239" i="1"/>
  <c r="AR239" i="1"/>
  <c r="AJ239" i="1" s="1" a="1"/>
  <c r="AJ239" i="1" s="1"/>
  <c r="AV239" i="1" a="1"/>
  <c r="AV239" i="1" s="1"/>
  <c r="AU239" i="1"/>
  <c r="AW239" i="1" a="1"/>
  <c r="AW239" i="1" s="1"/>
  <c r="AP240" i="1"/>
  <c r="AH240" i="1"/>
  <c r="AO239" i="1"/>
  <c r="AN239" i="1"/>
  <c r="AL239" i="1" l="1" a="1"/>
  <c r="AL239" i="1" s="1"/>
  <c r="AM239" i="1" a="1"/>
  <c r="AM239" i="1" s="1"/>
  <c r="AO241" i="3"/>
  <c r="AS241" i="3" s="1"/>
  <c r="AP242" i="3"/>
  <c r="AK242" i="3"/>
  <c r="AJ241" i="3"/>
  <c r="AN241" i="3" s="1"/>
  <c r="AA242" i="3"/>
  <c r="Z241" i="3"/>
  <c r="AD241" i="3" s="1"/>
  <c r="K242" i="3"/>
  <c r="O242" i="3" s="1"/>
  <c r="L243" i="3"/>
  <c r="U246" i="3"/>
  <c r="Y246" i="3" s="1"/>
  <c r="V247" i="3"/>
  <c r="AT241" i="3"/>
  <c r="AX241" i="3" s="1"/>
  <c r="AU242" i="3"/>
  <c r="G242" i="3"/>
  <c r="F241" i="3"/>
  <c r="J241" i="3" s="1"/>
  <c r="AE242" i="3"/>
  <c r="AI242" i="3" s="1"/>
  <c r="AF243" i="3"/>
  <c r="Q244" i="3"/>
  <c r="P243" i="3"/>
  <c r="T243" i="3" s="1"/>
  <c r="AY241" i="3"/>
  <c r="BC241" i="3" s="1"/>
  <c r="AZ242" i="3"/>
  <c r="C255" i="2"/>
  <c r="A256" i="2"/>
  <c r="B255" i="2"/>
  <c r="D255" i="2"/>
  <c r="AN240" i="1"/>
  <c r="AO240" i="1"/>
  <c r="AH241" i="1"/>
  <c r="AV240" i="1" a="1"/>
  <c r="AV240" i="1" s="1"/>
  <c r="AS240" i="1"/>
  <c r="AK240" i="1" s="1" a="1"/>
  <c r="AK240" i="1" s="1"/>
  <c r="AU240" i="1"/>
  <c r="AW240" i="1" a="1"/>
  <c r="AW240" i="1" s="1"/>
  <c r="AR240" i="1"/>
  <c r="AJ240" i="1" s="1" a="1"/>
  <c r="AJ240" i="1" s="1"/>
  <c r="AP241" i="1"/>
  <c r="AQ240" i="1"/>
  <c r="AT240" i="1"/>
  <c r="AC240" i="1"/>
  <c r="AB240" i="1"/>
  <c r="AD240" i="1"/>
  <c r="AG240" i="1"/>
  <c r="AE240" i="1"/>
  <c r="Z241" i="1"/>
  <c r="AA240" i="1"/>
  <c r="AF240" i="1"/>
  <c r="AX239" i="1"/>
  <c r="AI239" i="1" a="1"/>
  <c r="AI239" i="1" s="1"/>
  <c r="AL240" i="1" l="1" a="1"/>
  <c r="AL240" i="1" s="1"/>
  <c r="AM240" i="1" a="1"/>
  <c r="AM240" i="1" s="1"/>
  <c r="AO242" i="3"/>
  <c r="AS242" i="3" s="1"/>
  <c r="AP243" i="3"/>
  <c r="AU243" i="3"/>
  <c r="AT242" i="3"/>
  <c r="AX242" i="3" s="1"/>
  <c r="AY242" i="3"/>
  <c r="BC242" i="3" s="1"/>
  <c r="AZ243" i="3"/>
  <c r="V248" i="3"/>
  <c r="U247" i="3"/>
  <c r="Y247" i="3" s="1"/>
  <c r="P244" i="3"/>
  <c r="T244" i="3" s="1"/>
  <c r="Q245" i="3"/>
  <c r="AF244" i="3"/>
  <c r="AE243" i="3"/>
  <c r="AI243" i="3" s="1"/>
  <c r="K243" i="3"/>
  <c r="O243" i="3" s="1"/>
  <c r="L244" i="3"/>
  <c r="Z242" i="3"/>
  <c r="AD242" i="3" s="1"/>
  <c r="AA243" i="3"/>
  <c r="G243" i="3"/>
  <c r="F242" i="3"/>
  <c r="J242" i="3" s="1"/>
  <c r="AK243" i="3"/>
  <c r="AJ242" i="3"/>
  <c r="AN242" i="3" s="1"/>
  <c r="C256" i="2"/>
  <c r="D256" i="2"/>
  <c r="B256" i="2"/>
  <c r="A257" i="2"/>
  <c r="AI240" i="1" a="1"/>
  <c r="AI240" i="1" s="1"/>
  <c r="AX240" i="1"/>
  <c r="AT241" i="1"/>
  <c r="AV241" i="1" a="1"/>
  <c r="AV241" i="1" s="1"/>
  <c r="AW241" i="1" a="1"/>
  <c r="AW241" i="1" s="1"/>
  <c r="AQ241" i="1"/>
  <c r="AP242" i="1"/>
  <c r="AS241" i="1"/>
  <c r="AK241" i="1" s="1" a="1"/>
  <c r="AK241" i="1" s="1"/>
  <c r="AU241" i="1"/>
  <c r="AM241" i="1" s="1" a="1"/>
  <c r="AM241" i="1" s="1"/>
  <c r="AR241" i="1"/>
  <c r="AJ241" i="1" s="1" a="1"/>
  <c r="AJ241" i="1" s="1"/>
  <c r="AN241" i="1"/>
  <c r="AH242" i="1"/>
  <c r="AO241" i="1"/>
  <c r="AA241" i="1"/>
  <c r="AC241" i="1"/>
  <c r="Z242" i="1"/>
  <c r="AG241" i="1"/>
  <c r="AF241" i="1"/>
  <c r="AB241" i="1"/>
  <c r="AE241" i="1"/>
  <c r="AD241" i="1"/>
  <c r="AL241" i="1" l="1" a="1"/>
  <c r="AL241" i="1" s="1"/>
  <c r="AP244" i="3"/>
  <c r="AO243" i="3"/>
  <c r="AS243" i="3" s="1"/>
  <c r="AF245" i="3"/>
  <c r="AE244" i="3"/>
  <c r="AI244" i="3" s="1"/>
  <c r="AJ243" i="3"/>
  <c r="AN243" i="3" s="1"/>
  <c r="AK244" i="3"/>
  <c r="P245" i="3"/>
  <c r="T245" i="3" s="1"/>
  <c r="Q246" i="3"/>
  <c r="AA244" i="3"/>
  <c r="Z243" i="3"/>
  <c r="AD243" i="3" s="1"/>
  <c r="U248" i="3"/>
  <c r="Y248" i="3" s="1"/>
  <c r="V249" i="3"/>
  <c r="F243" i="3"/>
  <c r="J243" i="3" s="1"/>
  <c r="G244" i="3"/>
  <c r="AY243" i="3"/>
  <c r="BC243" i="3" s="1"/>
  <c r="AZ244" i="3"/>
  <c r="K244" i="3"/>
  <c r="O244" i="3" s="1"/>
  <c r="L245" i="3"/>
  <c r="AT243" i="3"/>
  <c r="AX243" i="3" s="1"/>
  <c r="AU244" i="3"/>
  <c r="D257" i="2"/>
  <c r="C257" i="2"/>
  <c r="B257" i="2"/>
  <c r="A258" i="2"/>
  <c r="AH243" i="1"/>
  <c r="AO242" i="1"/>
  <c r="AN242" i="1"/>
  <c r="AR242" i="1"/>
  <c r="AJ242" i="1" s="1" a="1"/>
  <c r="AJ242" i="1" s="1"/>
  <c r="AU242" i="1"/>
  <c r="AS242" i="1"/>
  <c r="AP243" i="1"/>
  <c r="AT242" i="1"/>
  <c r="AL242" i="1" s="1" a="1"/>
  <c r="AL242" i="1" s="1"/>
  <c r="AV242" i="1" a="1"/>
  <c r="AV242" i="1" s="1"/>
  <c r="AQ242" i="1"/>
  <c r="AW242" i="1" a="1"/>
  <c r="AW242" i="1" s="1"/>
  <c r="AX241" i="1"/>
  <c r="AI241" i="1" a="1"/>
  <c r="AI241" i="1" s="1"/>
  <c r="AA242" i="1"/>
  <c r="Z243" i="1"/>
  <c r="AE242" i="1"/>
  <c r="AF242" i="1"/>
  <c r="AB242" i="1"/>
  <c r="AD242" i="1"/>
  <c r="AG242" i="1"/>
  <c r="AC242" i="1"/>
  <c r="AM242" i="1" l="1" a="1"/>
  <c r="AM242" i="1" s="1"/>
  <c r="AK242" i="1" a="1"/>
  <c r="AK242" i="1" s="1"/>
  <c r="AP245" i="3"/>
  <c r="AO244" i="3"/>
  <c r="AS244" i="3" s="1"/>
  <c r="V250" i="3"/>
  <c r="U249" i="3"/>
  <c r="Y249" i="3" s="1"/>
  <c r="AT244" i="3"/>
  <c r="AX244" i="3" s="1"/>
  <c r="AU245" i="3"/>
  <c r="K245" i="3"/>
  <c r="O245" i="3" s="1"/>
  <c r="L246" i="3"/>
  <c r="Z244" i="3"/>
  <c r="AD244" i="3" s="1"/>
  <c r="AA245" i="3"/>
  <c r="P246" i="3"/>
  <c r="T246" i="3" s="1"/>
  <c r="Q247" i="3"/>
  <c r="AJ244" i="3"/>
  <c r="AN244" i="3" s="1"/>
  <c r="AK245" i="3"/>
  <c r="AY244" i="3"/>
  <c r="BC244" i="3" s="1"/>
  <c r="AZ245" i="3"/>
  <c r="F244" i="3"/>
  <c r="J244" i="3" s="1"/>
  <c r="G245" i="3"/>
  <c r="AE245" i="3"/>
  <c r="AI245" i="3" s="1"/>
  <c r="AF246" i="3"/>
  <c r="B258" i="2"/>
  <c r="D258" i="2"/>
  <c r="C258" i="2"/>
  <c r="A259" i="2"/>
  <c r="AX242" i="1"/>
  <c r="AI242" i="1" a="1"/>
  <c r="AI242" i="1" s="1"/>
  <c r="AP244" i="1"/>
  <c r="AR243" i="1"/>
  <c r="AJ243" i="1" s="1" a="1"/>
  <c r="AJ243" i="1" s="1"/>
  <c r="AU243" i="1"/>
  <c r="AM243" i="1" s="1" a="1"/>
  <c r="AM243" i="1" s="1"/>
  <c r="AV243" i="1" a="1"/>
  <c r="AV243" i="1" s="1"/>
  <c r="AW243" i="1" a="1"/>
  <c r="AW243" i="1" s="1"/>
  <c r="AQ243" i="1"/>
  <c r="AT243" i="1"/>
  <c r="AL243" i="1" s="1" a="1"/>
  <c r="AL243" i="1" s="1"/>
  <c r="AS243" i="1"/>
  <c r="AK243" i="1" s="1" a="1"/>
  <c r="AK243" i="1" s="1"/>
  <c r="AE243" i="1"/>
  <c r="AA243" i="1"/>
  <c r="AC243" i="1"/>
  <c r="Z244" i="1"/>
  <c r="AB243" i="1"/>
  <c r="AF243" i="1"/>
  <c r="AD243" i="1"/>
  <c r="AG243" i="1"/>
  <c r="AH244" i="1"/>
  <c r="AN243" i="1"/>
  <c r="AO243" i="1"/>
  <c r="AO245" i="3" l="1"/>
  <c r="AS245" i="3" s="1"/>
  <c r="AP246" i="3"/>
  <c r="AE246" i="3"/>
  <c r="AI246" i="3" s="1"/>
  <c r="AF247" i="3"/>
  <c r="Z245" i="3"/>
  <c r="AD245" i="3" s="1"/>
  <c r="AA246" i="3"/>
  <c r="G246" i="3"/>
  <c r="F245" i="3"/>
  <c r="J245" i="3" s="1"/>
  <c r="L247" i="3"/>
  <c r="K246" i="3"/>
  <c r="O246" i="3" s="1"/>
  <c r="AT245" i="3"/>
  <c r="AX245" i="3" s="1"/>
  <c r="AU246" i="3"/>
  <c r="AZ246" i="3"/>
  <c r="AY245" i="3"/>
  <c r="BC245" i="3" s="1"/>
  <c r="AJ245" i="3"/>
  <c r="AN245" i="3" s="1"/>
  <c r="AK246" i="3"/>
  <c r="Q248" i="3"/>
  <c r="P247" i="3"/>
  <c r="T247" i="3" s="1"/>
  <c r="U250" i="3"/>
  <c r="Y250" i="3" s="1"/>
  <c r="V251" i="3"/>
  <c r="D259" i="2"/>
  <c r="B259" i="2"/>
  <c r="C259" i="2"/>
  <c r="A260" i="2"/>
  <c r="AH245" i="1"/>
  <c r="AN244" i="1"/>
  <c r="AO244" i="1"/>
  <c r="AI243" i="1" a="1"/>
  <c r="AI243" i="1" s="1"/>
  <c r="AX243" i="1"/>
  <c r="AW244" i="1" a="1"/>
  <c r="AW244" i="1" s="1"/>
  <c r="AQ244" i="1"/>
  <c r="AU244" i="1"/>
  <c r="AM244" i="1" s="1" a="1"/>
  <c r="AM244" i="1" s="1"/>
  <c r="AR244" i="1"/>
  <c r="AJ244" i="1" s="1" a="1"/>
  <c r="AJ244" i="1" s="1"/>
  <c r="AV244" i="1" a="1"/>
  <c r="AV244" i="1" s="1"/>
  <c r="AP245" i="1"/>
  <c r="AS244" i="1"/>
  <c r="AK244" i="1" s="1" a="1"/>
  <c r="AK244" i="1" s="1"/>
  <c r="AT244" i="1"/>
  <c r="AB244" i="1"/>
  <c r="AG244" i="1"/>
  <c r="AE244" i="1"/>
  <c r="AF244" i="1"/>
  <c r="AC244" i="1"/>
  <c r="Z245" i="1"/>
  <c r="AA244" i="1"/>
  <c r="AD244" i="1"/>
  <c r="AO246" i="3" l="1"/>
  <c r="AS246" i="3" s="1"/>
  <c r="AP247" i="3"/>
  <c r="V252" i="3"/>
  <c r="U251" i="3"/>
  <c r="Y251" i="3" s="1"/>
  <c r="L248" i="3"/>
  <c r="K247" i="3"/>
  <c r="O247" i="3" s="1"/>
  <c r="F246" i="3"/>
  <c r="J246" i="3" s="1"/>
  <c r="G247" i="3"/>
  <c r="P248" i="3"/>
  <c r="T248" i="3" s="1"/>
  <c r="Q249" i="3"/>
  <c r="Z246" i="3"/>
  <c r="AD246" i="3" s="1"/>
  <c r="AA247" i="3"/>
  <c r="AF248" i="3"/>
  <c r="AE247" i="3"/>
  <c r="AI247" i="3" s="1"/>
  <c r="AL244" i="1" a="1"/>
  <c r="AL244" i="1" s="1"/>
  <c r="AZ247" i="3"/>
  <c r="AY246" i="3"/>
  <c r="BC246" i="3" s="1"/>
  <c r="AK247" i="3"/>
  <c r="AJ246" i="3"/>
  <c r="AN246" i="3" s="1"/>
  <c r="AT246" i="3"/>
  <c r="AX246" i="3" s="1"/>
  <c r="AU247" i="3"/>
  <c r="B260" i="2"/>
  <c r="A261" i="2"/>
  <c r="C260" i="2"/>
  <c r="D260" i="2"/>
  <c r="AU245" i="1"/>
  <c r="AR245" i="1"/>
  <c r="AS245" i="1"/>
  <c r="AK245" i="1" s="1" a="1"/>
  <c r="AK245" i="1" s="1"/>
  <c r="AP246" i="1"/>
  <c r="AT245" i="1"/>
  <c r="AV245" i="1" a="1"/>
  <c r="AV245" i="1" s="1"/>
  <c r="AQ245" i="1"/>
  <c r="AW245" i="1" a="1"/>
  <c r="AW245" i="1" s="1"/>
  <c r="AX244" i="1"/>
  <c r="AI244" i="1" a="1"/>
  <c r="AI244" i="1" s="1"/>
  <c r="AG245" i="1"/>
  <c r="AC245" i="1"/>
  <c r="AE245" i="1"/>
  <c r="AA245" i="1"/>
  <c r="AD245" i="1"/>
  <c r="Z246" i="1"/>
  <c r="AF245" i="1"/>
  <c r="AB245" i="1"/>
  <c r="AO245" i="1"/>
  <c r="AH246" i="1"/>
  <c r="AN245" i="1"/>
  <c r="AJ245" i="1" l="1" a="1"/>
  <c r="AJ245" i="1" s="1"/>
  <c r="AL245" i="1" a="1"/>
  <c r="AL245" i="1" s="1"/>
  <c r="AM245" i="1" a="1"/>
  <c r="AM245" i="1" s="1"/>
  <c r="AO247" i="3"/>
  <c r="AS247" i="3" s="1"/>
  <c r="AP248" i="3"/>
  <c r="AA248" i="3"/>
  <c r="Z247" i="3"/>
  <c r="AD247" i="3" s="1"/>
  <c r="AT247" i="3"/>
  <c r="AX247" i="3" s="1"/>
  <c r="AU248" i="3"/>
  <c r="Q250" i="3"/>
  <c r="P249" i="3"/>
  <c r="T249" i="3" s="1"/>
  <c r="AJ247" i="3"/>
  <c r="AN247" i="3" s="1"/>
  <c r="AK248" i="3"/>
  <c r="F247" i="3"/>
  <c r="J247" i="3" s="1"/>
  <c r="G248" i="3"/>
  <c r="AZ248" i="3"/>
  <c r="AY247" i="3"/>
  <c r="BC247" i="3" s="1"/>
  <c r="L249" i="3"/>
  <c r="K248" i="3"/>
  <c r="O248" i="3" s="1"/>
  <c r="AE248" i="3"/>
  <c r="AI248" i="3" s="1"/>
  <c r="AF249" i="3"/>
  <c r="V253" i="3"/>
  <c r="U252" i="3"/>
  <c r="Y252" i="3" s="1"/>
  <c r="A262" i="2"/>
  <c r="C261" i="2"/>
  <c r="B261" i="2"/>
  <c r="D261" i="2"/>
  <c r="AH247" i="1"/>
  <c r="AO246" i="1"/>
  <c r="AN246" i="1"/>
  <c r="AI245" i="1" a="1"/>
  <c r="AI245" i="1" s="1"/>
  <c r="AX245" i="1"/>
  <c r="AC246" i="1"/>
  <c r="AG246" i="1"/>
  <c r="AB246" i="1"/>
  <c r="AF246" i="1"/>
  <c r="AD246" i="1"/>
  <c r="Z247" i="1"/>
  <c r="AA246" i="1"/>
  <c r="AE246" i="1"/>
  <c r="AR246" i="1"/>
  <c r="AJ246" i="1" s="1" a="1"/>
  <c r="AJ246" i="1" s="1"/>
  <c r="AU246" i="1"/>
  <c r="AM246" i="1" s="1" a="1"/>
  <c r="AM246" i="1" s="1"/>
  <c r="AP247" i="1"/>
  <c r="AV246" i="1" a="1"/>
  <c r="AV246" i="1" s="1"/>
  <c r="AS246" i="1"/>
  <c r="AK246" i="1" s="1" a="1"/>
  <c r="AK246" i="1" s="1"/>
  <c r="AW246" i="1" a="1"/>
  <c r="AW246" i="1" s="1"/>
  <c r="AQ246" i="1"/>
  <c r="AT246" i="1"/>
  <c r="AL246" i="1" l="1" a="1"/>
  <c r="AL246" i="1" s="1"/>
  <c r="AO248" i="3"/>
  <c r="AS248" i="3" s="1"/>
  <c r="AP249" i="3"/>
  <c r="G249" i="3"/>
  <c r="F248" i="3"/>
  <c r="J248" i="3" s="1"/>
  <c r="U253" i="3"/>
  <c r="Y253" i="3" s="1"/>
  <c r="V254" i="3"/>
  <c r="AJ248" i="3"/>
  <c r="AN248" i="3" s="1"/>
  <c r="AK249" i="3"/>
  <c r="AF250" i="3"/>
  <c r="AE249" i="3"/>
  <c r="AI249" i="3" s="1"/>
  <c r="Q251" i="3"/>
  <c r="P250" i="3"/>
  <c r="T250" i="3" s="1"/>
  <c r="AU249" i="3"/>
  <c r="AT248" i="3"/>
  <c r="AX248" i="3" s="1"/>
  <c r="L250" i="3"/>
  <c r="K249" i="3"/>
  <c r="O249" i="3" s="1"/>
  <c r="AY248" i="3"/>
  <c r="BC248" i="3" s="1"/>
  <c r="AZ249" i="3"/>
  <c r="Z248" i="3"/>
  <c r="AD248" i="3" s="1"/>
  <c r="AA249" i="3"/>
  <c r="C262" i="2"/>
  <c r="B262" i="2"/>
  <c r="D262" i="2"/>
  <c r="A263" i="2"/>
  <c r="Z248" i="1"/>
  <c r="AB247" i="1"/>
  <c r="AD247" i="1"/>
  <c r="AA247" i="1"/>
  <c r="AG247" i="1"/>
  <c r="AF247" i="1"/>
  <c r="AC247" i="1"/>
  <c r="AE247" i="1"/>
  <c r="AX246" i="1"/>
  <c r="AI246" i="1" a="1"/>
  <c r="AI246" i="1" s="1"/>
  <c r="AT247" i="1"/>
  <c r="AL247" i="1" s="1" a="1"/>
  <c r="AL247" i="1" s="1"/>
  <c r="AP248" i="1"/>
  <c r="AR247" i="1"/>
  <c r="AJ247" i="1" s="1" a="1"/>
  <c r="AJ247" i="1" s="1"/>
  <c r="AW247" i="1" a="1"/>
  <c r="AW247" i="1" s="1"/>
  <c r="AQ247" i="1"/>
  <c r="AV247" i="1" a="1"/>
  <c r="AV247" i="1" s="1"/>
  <c r="AU247" i="1"/>
  <c r="AM247" i="1" s="1" a="1"/>
  <c r="AM247" i="1" s="1"/>
  <c r="AS247" i="1"/>
  <c r="AK247" i="1" s="1" a="1"/>
  <c r="AK247" i="1" s="1"/>
  <c r="AH248" i="1"/>
  <c r="AO247" i="1"/>
  <c r="AN247" i="1"/>
  <c r="AP250" i="3" l="1"/>
  <c r="AO249" i="3"/>
  <c r="AS249" i="3" s="1"/>
  <c r="AE250" i="3"/>
  <c r="AI250" i="3" s="1"/>
  <c r="AF251" i="3"/>
  <c r="AA250" i="3"/>
  <c r="Z249" i="3"/>
  <c r="AD249" i="3" s="1"/>
  <c r="AJ249" i="3"/>
  <c r="AN249" i="3" s="1"/>
  <c r="AK250" i="3"/>
  <c r="AY249" i="3"/>
  <c r="BC249" i="3" s="1"/>
  <c r="AZ250" i="3"/>
  <c r="V255" i="3"/>
  <c r="U254" i="3"/>
  <c r="Y254" i="3" s="1"/>
  <c r="L251" i="3"/>
  <c r="K250" i="3"/>
  <c r="O250" i="3" s="1"/>
  <c r="AT249" i="3"/>
  <c r="AX249" i="3" s="1"/>
  <c r="AU250" i="3"/>
  <c r="F249" i="3"/>
  <c r="J249" i="3" s="1"/>
  <c r="G250" i="3"/>
  <c r="Q252" i="3"/>
  <c r="P251" i="3"/>
  <c r="T251" i="3" s="1"/>
  <c r="D263" i="2"/>
  <c r="B263" i="2"/>
  <c r="C263" i="2"/>
  <c r="A264" i="2"/>
  <c r="AW248" i="1" a="1"/>
  <c r="AW248" i="1" s="1"/>
  <c r="AS248" i="1"/>
  <c r="AV248" i="1" a="1"/>
  <c r="AV248" i="1" s="1"/>
  <c r="AT248" i="1"/>
  <c r="AP249" i="1"/>
  <c r="AR248" i="1"/>
  <c r="AJ248" i="1" s="1" a="1"/>
  <c r="AJ248" i="1" s="1"/>
  <c r="AQ248" i="1"/>
  <c r="AU248" i="1"/>
  <c r="AH249" i="1"/>
  <c r="AO248" i="1"/>
  <c r="AN248" i="1"/>
  <c r="AX247" i="1"/>
  <c r="AI247" i="1" a="1"/>
  <c r="AI247" i="1" s="1"/>
  <c r="AC248" i="1"/>
  <c r="AA248" i="1"/>
  <c r="AE248" i="1"/>
  <c r="AF248" i="1"/>
  <c r="AB248" i="1"/>
  <c r="AD248" i="1"/>
  <c r="Z249" i="1"/>
  <c r="AG248" i="1"/>
  <c r="AK248" i="1" l="1" a="1"/>
  <c r="AK248" i="1" s="1"/>
  <c r="AM248" i="1" a="1"/>
  <c r="AM248" i="1" s="1"/>
  <c r="AL248" i="1" a="1"/>
  <c r="AL248" i="1" s="1"/>
  <c r="AP251" i="3"/>
  <c r="AO250" i="3"/>
  <c r="AS250" i="3" s="1"/>
  <c r="L252" i="3"/>
  <c r="K251" i="3"/>
  <c r="O251" i="3" s="1"/>
  <c r="Q253" i="3"/>
  <c r="P252" i="3"/>
  <c r="T252" i="3" s="1"/>
  <c r="V256" i="3"/>
  <c r="U255" i="3"/>
  <c r="Y255" i="3" s="1"/>
  <c r="G251" i="3"/>
  <c r="F250" i="3"/>
  <c r="J250" i="3" s="1"/>
  <c r="AZ251" i="3"/>
  <c r="AY250" i="3"/>
  <c r="BC250" i="3" s="1"/>
  <c r="AK251" i="3"/>
  <c r="AJ250" i="3"/>
  <c r="AN250" i="3" s="1"/>
  <c r="AT250" i="3"/>
  <c r="AX250" i="3" s="1"/>
  <c r="AU251" i="3"/>
  <c r="AA251" i="3"/>
  <c r="Z250" i="3"/>
  <c r="AD250" i="3" s="1"/>
  <c r="AF252" i="3"/>
  <c r="AE251" i="3"/>
  <c r="AI251" i="3" s="1"/>
  <c r="A265" i="2"/>
  <c r="C264" i="2"/>
  <c r="B264" i="2"/>
  <c r="D264" i="2"/>
  <c r="AH250" i="1"/>
  <c r="AN249" i="1"/>
  <c r="AO249" i="1"/>
  <c r="AX248" i="1"/>
  <c r="AI248" i="1" a="1"/>
  <c r="AI248" i="1" s="1"/>
  <c r="AT249" i="1"/>
  <c r="AL249" i="1" s="1" a="1"/>
  <c r="AL249" i="1" s="1"/>
  <c r="AV249" i="1" a="1"/>
  <c r="AV249" i="1" s="1"/>
  <c r="AS249" i="1"/>
  <c r="AK249" i="1" s="1" a="1"/>
  <c r="AK249" i="1" s="1"/>
  <c r="AP250" i="1"/>
  <c r="AQ249" i="1"/>
  <c r="AU249" i="1"/>
  <c r="AR249" i="1"/>
  <c r="AJ249" i="1" s="1" a="1"/>
  <c r="AJ249" i="1" s="1"/>
  <c r="AW249" i="1" a="1"/>
  <c r="AW249" i="1" s="1"/>
  <c r="AB249" i="1"/>
  <c r="AA249" i="1"/>
  <c r="AG249" i="1"/>
  <c r="Z250" i="1"/>
  <c r="AD249" i="1"/>
  <c r="AF249" i="1"/>
  <c r="AE249" i="1"/>
  <c r="AC249" i="1"/>
  <c r="AM249" i="1" l="1" a="1"/>
  <c r="AM249" i="1" s="1"/>
  <c r="AO251" i="3"/>
  <c r="AS251" i="3" s="1"/>
  <c r="AP252" i="3"/>
  <c r="AY251" i="3"/>
  <c r="BC251" i="3" s="1"/>
  <c r="AZ252" i="3"/>
  <c r="AF253" i="3"/>
  <c r="AE252" i="3"/>
  <c r="AI252" i="3" s="1"/>
  <c r="F251" i="3"/>
  <c r="J251" i="3" s="1"/>
  <c r="G252" i="3"/>
  <c r="Z251" i="3"/>
  <c r="AD251" i="3" s="1"/>
  <c r="AA252" i="3"/>
  <c r="V257" i="3"/>
  <c r="U256" i="3"/>
  <c r="Y256" i="3" s="1"/>
  <c r="AT251" i="3"/>
  <c r="AX251" i="3" s="1"/>
  <c r="AU252" i="3"/>
  <c r="P253" i="3"/>
  <c r="T253" i="3" s="1"/>
  <c r="Q254" i="3"/>
  <c r="AJ251" i="3"/>
  <c r="AN251" i="3" s="1"/>
  <c r="AK252" i="3"/>
  <c r="L253" i="3"/>
  <c r="K252" i="3"/>
  <c r="O252" i="3" s="1"/>
  <c r="D265" i="2"/>
  <c r="B265" i="2"/>
  <c r="A266" i="2"/>
  <c r="C265" i="2"/>
  <c r="AX249" i="1"/>
  <c r="AI249" i="1" a="1"/>
  <c r="AI249" i="1" s="1"/>
  <c r="AW250" i="1" a="1"/>
  <c r="AW250" i="1" s="1"/>
  <c r="AP251" i="1"/>
  <c r="AU250" i="1"/>
  <c r="AV250" i="1" a="1"/>
  <c r="AV250" i="1" s="1"/>
  <c r="AQ250" i="1"/>
  <c r="AT250" i="1"/>
  <c r="AR250" i="1"/>
  <c r="AJ250" i="1" s="1" a="1"/>
  <c r="AJ250" i="1" s="1"/>
  <c r="AS250" i="1"/>
  <c r="AK250" i="1" s="1" a="1"/>
  <c r="AK250" i="1" s="1"/>
  <c r="AE250" i="1"/>
  <c r="AD250" i="1"/>
  <c r="Z251" i="1"/>
  <c r="AF250" i="1"/>
  <c r="AB250" i="1"/>
  <c r="AG250" i="1"/>
  <c r="AC250" i="1"/>
  <c r="AA250" i="1"/>
  <c r="AO250" i="1"/>
  <c r="AN250" i="1"/>
  <c r="AH251" i="1"/>
  <c r="AL250" i="1" l="1" a="1"/>
  <c r="AL250" i="1" s="1"/>
  <c r="AM250" i="1" a="1"/>
  <c r="AM250" i="1" s="1"/>
  <c r="AP253" i="3"/>
  <c r="AO252" i="3"/>
  <c r="AS252" i="3" s="1"/>
  <c r="AA253" i="3"/>
  <c r="Z252" i="3"/>
  <c r="AD252" i="3" s="1"/>
  <c r="K253" i="3"/>
  <c r="O253" i="3" s="1"/>
  <c r="L254" i="3"/>
  <c r="AJ252" i="3"/>
  <c r="AN252" i="3" s="1"/>
  <c r="AK253" i="3"/>
  <c r="G253" i="3"/>
  <c r="F252" i="3"/>
  <c r="J252" i="3" s="1"/>
  <c r="P254" i="3"/>
  <c r="T254" i="3" s="1"/>
  <c r="Q255" i="3"/>
  <c r="AT252" i="3"/>
  <c r="AX252" i="3" s="1"/>
  <c r="AU253" i="3"/>
  <c r="AE253" i="3"/>
  <c r="AI253" i="3" s="1"/>
  <c r="AF254" i="3"/>
  <c r="U257" i="3"/>
  <c r="Y257" i="3" s="1"/>
  <c r="V258" i="3"/>
  <c r="AY252" i="3"/>
  <c r="BC252" i="3" s="1"/>
  <c r="AZ253" i="3"/>
  <c r="A267" i="2"/>
  <c r="B266" i="2"/>
  <c r="D266" i="2"/>
  <c r="C266" i="2"/>
  <c r="AX250" i="1"/>
  <c r="AI250" i="1" a="1"/>
  <c r="AI250" i="1" s="1"/>
  <c r="AO251" i="1"/>
  <c r="AN251" i="1"/>
  <c r="AH252" i="1"/>
  <c r="AT251" i="1"/>
  <c r="AL251" i="1" s="1" a="1"/>
  <c r="AL251" i="1" s="1"/>
  <c r="AP252" i="1"/>
  <c r="AV251" i="1" a="1"/>
  <c r="AV251" i="1" s="1"/>
  <c r="AU251" i="1"/>
  <c r="AM251" i="1" s="1" a="1"/>
  <c r="AM251" i="1" s="1"/>
  <c r="AR251" i="1"/>
  <c r="AJ251" i="1" s="1" a="1"/>
  <c r="AJ251" i="1" s="1"/>
  <c r="AQ251" i="1"/>
  <c r="AS251" i="1"/>
  <c r="AK251" i="1" s="1" a="1"/>
  <c r="AK251" i="1" s="1"/>
  <c r="AW251" i="1" a="1"/>
  <c r="AW251" i="1" s="1"/>
  <c r="AF251" i="1"/>
  <c r="AE251" i="1"/>
  <c r="AB251" i="1"/>
  <c r="Z252" i="1"/>
  <c r="AC251" i="1"/>
  <c r="AD251" i="1"/>
  <c r="AG251" i="1"/>
  <c r="AA251" i="1"/>
  <c r="AO253" i="3" l="1"/>
  <c r="AS253" i="3" s="1"/>
  <c r="AP254" i="3"/>
  <c r="AY253" i="3"/>
  <c r="BC253" i="3" s="1"/>
  <c r="AZ254" i="3"/>
  <c r="F253" i="3"/>
  <c r="J253" i="3" s="1"/>
  <c r="G254" i="3"/>
  <c r="U258" i="3"/>
  <c r="Y258" i="3" s="1"/>
  <c r="V259" i="3"/>
  <c r="AJ253" i="3"/>
  <c r="AN253" i="3" s="1"/>
  <c r="AK254" i="3"/>
  <c r="AE254" i="3"/>
  <c r="AI254" i="3" s="1"/>
  <c r="AF255" i="3"/>
  <c r="K254" i="3"/>
  <c r="O254" i="3" s="1"/>
  <c r="L255" i="3"/>
  <c r="AU254" i="3"/>
  <c r="AT253" i="3"/>
  <c r="AX253" i="3" s="1"/>
  <c r="P255" i="3"/>
  <c r="T255" i="3" s="1"/>
  <c r="Q256" i="3"/>
  <c r="AA254" i="3"/>
  <c r="Z253" i="3"/>
  <c r="AD253" i="3" s="1"/>
  <c r="B267" i="2"/>
  <c r="C267" i="2"/>
  <c r="D267" i="2"/>
  <c r="A268" i="2"/>
  <c r="AX251" i="1"/>
  <c r="AI251" i="1" a="1"/>
  <c r="AI251" i="1" s="1"/>
  <c r="AW252" i="1" a="1"/>
  <c r="AW252" i="1" s="1"/>
  <c r="AR252" i="1"/>
  <c r="AJ252" i="1" s="1" a="1"/>
  <c r="AJ252" i="1" s="1"/>
  <c r="AT252" i="1"/>
  <c r="AV252" i="1" a="1"/>
  <c r="AV252" i="1" s="1"/>
  <c r="AS252" i="1"/>
  <c r="AK252" i="1" s="1" a="1"/>
  <c r="AK252" i="1" s="1"/>
  <c r="AU252" i="1"/>
  <c r="AP253" i="1"/>
  <c r="AQ252" i="1"/>
  <c r="AD252" i="1"/>
  <c r="Z253" i="1"/>
  <c r="AB252" i="1"/>
  <c r="AF252" i="1"/>
  <c r="AC252" i="1"/>
  <c r="AG252" i="1"/>
  <c r="AA252" i="1"/>
  <c r="AE252" i="1"/>
  <c r="AN252" i="1"/>
  <c r="AH253" i="1"/>
  <c r="AO252" i="1"/>
  <c r="AM252" i="1" l="1" a="1"/>
  <c r="AM252" i="1" s="1"/>
  <c r="AL252" i="1" a="1"/>
  <c r="AL252" i="1" s="1"/>
  <c r="AO254" i="3"/>
  <c r="AS254" i="3" s="1"/>
  <c r="AP255" i="3"/>
  <c r="AK255" i="3"/>
  <c r="AJ254" i="3"/>
  <c r="AN254" i="3" s="1"/>
  <c r="AA255" i="3"/>
  <c r="Z254" i="3"/>
  <c r="AD254" i="3" s="1"/>
  <c r="P256" i="3"/>
  <c r="T256" i="3" s="1"/>
  <c r="Q257" i="3"/>
  <c r="U259" i="3"/>
  <c r="Y259" i="3" s="1"/>
  <c r="V260" i="3"/>
  <c r="AU255" i="3"/>
  <c r="AT254" i="3"/>
  <c r="AX254" i="3" s="1"/>
  <c r="F254" i="3"/>
  <c r="J254" i="3" s="1"/>
  <c r="G255" i="3"/>
  <c r="L256" i="3"/>
  <c r="K255" i="3"/>
  <c r="O255" i="3" s="1"/>
  <c r="AF256" i="3"/>
  <c r="AE255" i="3"/>
  <c r="AI255" i="3" s="1"/>
  <c r="AY254" i="3"/>
  <c r="BC254" i="3" s="1"/>
  <c r="AZ255" i="3"/>
  <c r="C268" i="2"/>
  <c r="D268" i="2"/>
  <c r="B268" i="2"/>
  <c r="A269" i="2"/>
  <c r="AN253" i="1"/>
  <c r="AO253" i="1"/>
  <c r="AH254" i="1"/>
  <c r="AF253" i="1"/>
  <c r="Z254" i="1"/>
  <c r="AA253" i="1"/>
  <c r="AG253" i="1"/>
  <c r="AB253" i="1"/>
  <c r="AD253" i="1"/>
  <c r="AE253" i="1"/>
  <c r="AC253" i="1"/>
  <c r="AX252" i="1"/>
  <c r="AI252" i="1" a="1"/>
  <c r="AI252" i="1" s="1"/>
  <c r="AW253" i="1" a="1"/>
  <c r="AW253" i="1" s="1"/>
  <c r="AP254" i="1"/>
  <c r="AU253" i="1"/>
  <c r="AM253" i="1" s="1" a="1"/>
  <c r="AM253" i="1" s="1"/>
  <c r="AV253" i="1" a="1"/>
  <c r="AV253" i="1" s="1"/>
  <c r="AT253" i="1"/>
  <c r="AL253" i="1" s="1" a="1"/>
  <c r="AL253" i="1" s="1"/>
  <c r="AS253" i="1"/>
  <c r="AR253" i="1"/>
  <c r="AJ253" i="1" s="1" a="1"/>
  <c r="AJ253" i="1" s="1"/>
  <c r="AQ253" i="1"/>
  <c r="AK253" i="1" l="1" a="1"/>
  <c r="AK253" i="1" s="1"/>
  <c r="AO255" i="3"/>
  <c r="AS255" i="3" s="1"/>
  <c r="AP256" i="3"/>
  <c r="AT255" i="3"/>
  <c r="AX255" i="3" s="1"/>
  <c r="AU256" i="3"/>
  <c r="U260" i="3"/>
  <c r="Y260" i="3" s="1"/>
  <c r="V261" i="3"/>
  <c r="AZ256" i="3"/>
  <c r="AY255" i="3"/>
  <c r="BC255" i="3" s="1"/>
  <c r="P257" i="3"/>
  <c r="T257" i="3" s="1"/>
  <c r="Q258" i="3"/>
  <c r="AE256" i="3"/>
  <c r="AI256" i="3" s="1"/>
  <c r="AF257" i="3"/>
  <c r="L257" i="3"/>
  <c r="K256" i="3"/>
  <c r="O256" i="3" s="1"/>
  <c r="AA256" i="3"/>
  <c r="Z255" i="3"/>
  <c r="AD255" i="3" s="1"/>
  <c r="F255" i="3"/>
  <c r="J255" i="3" s="1"/>
  <c r="G256" i="3"/>
  <c r="AK256" i="3"/>
  <c r="AJ255" i="3"/>
  <c r="AN255" i="3" s="1"/>
  <c r="B269" i="2"/>
  <c r="A270" i="2"/>
  <c r="C269" i="2"/>
  <c r="D269" i="2"/>
  <c r="AI253" i="1" a="1"/>
  <c r="AI253" i="1" s="1"/>
  <c r="AX253" i="1"/>
  <c r="AA254" i="1"/>
  <c r="Z255" i="1"/>
  <c r="AD254" i="1"/>
  <c r="AG254" i="1"/>
  <c r="AF254" i="1"/>
  <c r="AE254" i="1"/>
  <c r="AC254" i="1"/>
  <c r="AB254" i="1"/>
  <c r="AQ254" i="1"/>
  <c r="AW254" i="1" a="1"/>
  <c r="AW254" i="1" s="1"/>
  <c r="AP255" i="1"/>
  <c r="AS254" i="1"/>
  <c r="AV254" i="1" a="1"/>
  <c r="AV254" i="1" s="1"/>
  <c r="AT254" i="1"/>
  <c r="AL254" i="1" s="1" a="1"/>
  <c r="AL254" i="1" s="1"/>
  <c r="AU254" i="1"/>
  <c r="AM254" i="1" s="1" a="1"/>
  <c r="AM254" i="1" s="1"/>
  <c r="AR254" i="1"/>
  <c r="AJ254" i="1" s="1" a="1"/>
  <c r="AJ254" i="1" s="1"/>
  <c r="AH255" i="1"/>
  <c r="AO254" i="1"/>
  <c r="AN254" i="1"/>
  <c r="AK254" i="1" l="1" a="1"/>
  <c r="AK254" i="1" s="1"/>
  <c r="AO256" i="3"/>
  <c r="AS256" i="3" s="1"/>
  <c r="AP257" i="3"/>
  <c r="K257" i="3"/>
  <c r="O257" i="3" s="1"/>
  <c r="L258" i="3"/>
  <c r="AF258" i="3"/>
  <c r="AE257" i="3"/>
  <c r="AI257" i="3" s="1"/>
  <c r="Q259" i="3"/>
  <c r="P258" i="3"/>
  <c r="T258" i="3" s="1"/>
  <c r="AJ256" i="3"/>
  <c r="AN256" i="3" s="1"/>
  <c r="AK257" i="3"/>
  <c r="G257" i="3"/>
  <c r="F256" i="3"/>
  <c r="J256" i="3" s="1"/>
  <c r="AY256" i="3"/>
  <c r="BC256" i="3" s="1"/>
  <c r="AZ257" i="3"/>
  <c r="U261" i="3"/>
  <c r="Y261" i="3" s="1"/>
  <c r="V262" i="3"/>
  <c r="AA257" i="3"/>
  <c r="Z256" i="3"/>
  <c r="AD256" i="3" s="1"/>
  <c r="AU257" i="3"/>
  <c r="AT256" i="3"/>
  <c r="AX256" i="3" s="1"/>
  <c r="D270" i="2"/>
  <c r="B270" i="2"/>
  <c r="C270" i="2"/>
  <c r="A271" i="2"/>
  <c r="AX254" i="1"/>
  <c r="AI254" i="1" a="1"/>
  <c r="AI254" i="1" s="1"/>
  <c r="AO255" i="1"/>
  <c r="AH256" i="1"/>
  <c r="AN255" i="1"/>
  <c r="AG255" i="1"/>
  <c r="AB255" i="1"/>
  <c r="AC255" i="1"/>
  <c r="Z256" i="1"/>
  <c r="AA255" i="1"/>
  <c r="AD255" i="1"/>
  <c r="AE255" i="1"/>
  <c r="AF255" i="1"/>
  <c r="AQ255" i="1"/>
  <c r="AT255" i="1"/>
  <c r="AV255" i="1" a="1"/>
  <c r="AV255" i="1" s="1"/>
  <c r="AW255" i="1" a="1"/>
  <c r="AW255" i="1" s="1"/>
  <c r="AS255" i="1"/>
  <c r="AK255" i="1" s="1" a="1"/>
  <c r="AK255" i="1" s="1"/>
  <c r="AU255" i="1"/>
  <c r="AR255" i="1"/>
  <c r="AJ255" i="1" s="1" a="1"/>
  <c r="AJ255" i="1" s="1"/>
  <c r="AP256" i="1"/>
  <c r="AL255" i="1" l="1" a="1"/>
  <c r="AL255" i="1" s="1"/>
  <c r="AM255" i="1" a="1"/>
  <c r="AM255" i="1" s="1"/>
  <c r="AO257" i="3"/>
  <c r="AS257" i="3" s="1"/>
  <c r="AP258" i="3"/>
  <c r="G258" i="3"/>
  <c r="F257" i="3"/>
  <c r="J257" i="3" s="1"/>
  <c r="AJ257" i="3"/>
  <c r="AN257" i="3" s="1"/>
  <c r="AK258" i="3"/>
  <c r="AT257" i="3"/>
  <c r="AX257" i="3" s="1"/>
  <c r="AU258" i="3"/>
  <c r="Z257" i="3"/>
  <c r="AD257" i="3" s="1"/>
  <c r="AA258" i="3"/>
  <c r="P259" i="3"/>
  <c r="T259" i="3" s="1"/>
  <c r="Q260" i="3"/>
  <c r="V263" i="3"/>
  <c r="U262" i="3"/>
  <c r="Y262" i="3" s="1"/>
  <c r="AY257" i="3"/>
  <c r="BC257" i="3" s="1"/>
  <c r="AZ258" i="3"/>
  <c r="AE258" i="3"/>
  <c r="AI258" i="3" s="1"/>
  <c r="AF259" i="3"/>
  <c r="K258" i="3"/>
  <c r="O258" i="3" s="1"/>
  <c r="L259" i="3"/>
  <c r="D271" i="2"/>
  <c r="C271" i="2"/>
  <c r="B271" i="2"/>
  <c r="A272" i="2"/>
  <c r="AV256" i="1" a="1"/>
  <c r="AV256" i="1" s="1"/>
  <c r="AU256" i="1"/>
  <c r="AW256" i="1" a="1"/>
  <c r="AW256" i="1" s="1"/>
  <c r="AS256" i="1"/>
  <c r="AP257" i="1"/>
  <c r="AQ256" i="1"/>
  <c r="AR256" i="1"/>
  <c r="AT256" i="1"/>
  <c r="AG256" i="1"/>
  <c r="AF256" i="1"/>
  <c r="Z257" i="1"/>
  <c r="AC256" i="1"/>
  <c r="AB256" i="1"/>
  <c r="AE256" i="1"/>
  <c r="AD256" i="1"/>
  <c r="AA256" i="1"/>
  <c r="AN256" i="1"/>
  <c r="AO256" i="1"/>
  <c r="AH257" i="1"/>
  <c r="AI255" i="1" a="1"/>
  <c r="AI255" i="1" s="1"/>
  <c r="AX255" i="1"/>
  <c r="AJ256" i="1" l="1" a="1"/>
  <c r="AJ256" i="1" s="1"/>
  <c r="AK256" i="1" a="1"/>
  <c r="AK256" i="1" s="1"/>
  <c r="AM256" i="1" a="1"/>
  <c r="AM256" i="1" s="1"/>
  <c r="AL256" i="1" a="1"/>
  <c r="AL256" i="1" s="1"/>
  <c r="AO258" i="3"/>
  <c r="AS258" i="3" s="1"/>
  <c r="AP259" i="3"/>
  <c r="Q261" i="3"/>
  <c r="P260" i="3"/>
  <c r="T260" i="3" s="1"/>
  <c r="K259" i="3"/>
  <c r="O259" i="3" s="1"/>
  <c r="L260" i="3"/>
  <c r="Z258" i="3"/>
  <c r="AD258" i="3" s="1"/>
  <c r="AA259" i="3"/>
  <c r="AF260" i="3"/>
  <c r="AE259" i="3"/>
  <c r="AI259" i="3" s="1"/>
  <c r="AU259" i="3"/>
  <c r="AT258" i="3"/>
  <c r="AX258" i="3" s="1"/>
  <c r="AZ259" i="3"/>
  <c r="AY258" i="3"/>
  <c r="BC258" i="3" s="1"/>
  <c r="AK259" i="3"/>
  <c r="AJ258" i="3"/>
  <c r="AN258" i="3" s="1"/>
  <c r="U263" i="3"/>
  <c r="Y263" i="3" s="1"/>
  <c r="V264" i="3"/>
  <c r="F258" i="3"/>
  <c r="J258" i="3" s="1"/>
  <c r="G259" i="3"/>
  <c r="B272" i="2"/>
  <c r="A273" i="2"/>
  <c r="C272" i="2"/>
  <c r="D272" i="2"/>
  <c r="AG257" i="1"/>
  <c r="AD257" i="1"/>
  <c r="AC257" i="1"/>
  <c r="AF257" i="1"/>
  <c r="AA257" i="1"/>
  <c r="Z258" i="1"/>
  <c r="AE257" i="1"/>
  <c r="AB257" i="1"/>
  <c r="AO257" i="1"/>
  <c r="AN257" i="1"/>
  <c r="AH258" i="1"/>
  <c r="AI256" i="1" a="1"/>
  <c r="AI256" i="1" s="1"/>
  <c r="AX256" i="1"/>
  <c r="AP258" i="1"/>
  <c r="AU257" i="1"/>
  <c r="AM257" i="1" s="1" a="1"/>
  <c r="AM257" i="1" s="1"/>
  <c r="AR257" i="1"/>
  <c r="AS257" i="1"/>
  <c r="AK257" i="1" s="1" a="1"/>
  <c r="AK257" i="1" s="1"/>
  <c r="AW257" i="1" a="1"/>
  <c r="AW257" i="1" s="1"/>
  <c r="AT257" i="1"/>
  <c r="AL257" i="1" s="1" a="1"/>
  <c r="AL257" i="1" s="1"/>
  <c r="AQ257" i="1"/>
  <c r="AV257" i="1" a="1"/>
  <c r="AV257" i="1" s="1"/>
  <c r="AJ257" i="1" l="1" a="1"/>
  <c r="AJ257" i="1" s="1"/>
  <c r="AO259" i="3"/>
  <c r="AS259" i="3" s="1"/>
  <c r="AP260" i="3"/>
  <c r="V265" i="3"/>
  <c r="U264" i="3"/>
  <c r="Y264" i="3" s="1"/>
  <c r="AZ260" i="3"/>
  <c r="AY259" i="3"/>
  <c r="BC259" i="3" s="1"/>
  <c r="G260" i="3"/>
  <c r="F259" i="3"/>
  <c r="J259" i="3" s="1"/>
  <c r="AT259" i="3"/>
  <c r="AX259" i="3" s="1"/>
  <c r="AU260" i="3"/>
  <c r="AE260" i="3"/>
  <c r="AI260" i="3" s="1"/>
  <c r="AF261" i="3"/>
  <c r="AA260" i="3"/>
  <c r="Z259" i="3"/>
  <c r="AD259" i="3" s="1"/>
  <c r="K260" i="3"/>
  <c r="O260" i="3" s="1"/>
  <c r="L261" i="3"/>
  <c r="AJ259" i="3"/>
  <c r="AN259" i="3" s="1"/>
  <c r="AK260" i="3"/>
  <c r="Q262" i="3"/>
  <c r="P261" i="3"/>
  <c r="T261" i="3" s="1"/>
  <c r="B273" i="2"/>
  <c r="D273" i="2"/>
  <c r="A274" i="2"/>
  <c r="C273" i="2"/>
  <c r="AN258" i="1"/>
  <c r="AH259" i="1"/>
  <c r="AO258" i="1"/>
  <c r="AX257" i="1"/>
  <c r="AI257" i="1" a="1"/>
  <c r="AI257" i="1" s="1"/>
  <c r="AB258" i="1"/>
  <c r="AA258" i="1"/>
  <c r="AD258" i="1"/>
  <c r="AE258" i="1"/>
  <c r="AC258" i="1"/>
  <c r="AF258" i="1"/>
  <c r="AG258" i="1"/>
  <c r="Z259" i="1"/>
  <c r="AT258" i="1"/>
  <c r="AW258" i="1" a="1"/>
  <c r="AW258" i="1" s="1"/>
  <c r="AR258" i="1"/>
  <c r="AJ258" i="1" s="1" a="1"/>
  <c r="AJ258" i="1" s="1"/>
  <c r="AU258" i="1"/>
  <c r="AQ258" i="1"/>
  <c r="AP259" i="1"/>
  <c r="AV258" i="1" a="1"/>
  <c r="AV258" i="1" s="1"/>
  <c r="AS258" i="1"/>
  <c r="AK258" i="1" s="1" a="1"/>
  <c r="AK258" i="1" s="1"/>
  <c r="AM258" i="1" l="1" a="1"/>
  <c r="AM258" i="1" s="1"/>
  <c r="AL258" i="1" a="1"/>
  <c r="AL258" i="1" s="1"/>
  <c r="AO260" i="3"/>
  <c r="AS260" i="3" s="1"/>
  <c r="AP261" i="3"/>
  <c r="AT260" i="3"/>
  <c r="AX260" i="3" s="1"/>
  <c r="AU261" i="3"/>
  <c r="P262" i="3"/>
  <c r="T262" i="3" s="1"/>
  <c r="Q263" i="3"/>
  <c r="AJ260" i="3"/>
  <c r="AN260" i="3" s="1"/>
  <c r="AK261" i="3"/>
  <c r="G261" i="3"/>
  <c r="F260" i="3"/>
  <c r="J260" i="3" s="1"/>
  <c r="K261" i="3"/>
  <c r="O261" i="3" s="1"/>
  <c r="L262" i="3"/>
  <c r="AY260" i="3"/>
  <c r="BC260" i="3" s="1"/>
  <c r="AZ261" i="3"/>
  <c r="AA261" i="3"/>
  <c r="Z260" i="3"/>
  <c r="AD260" i="3" s="1"/>
  <c r="AF262" i="3"/>
  <c r="AE261" i="3"/>
  <c r="AI261" i="3" s="1"/>
  <c r="V266" i="3"/>
  <c r="U265" i="3"/>
  <c r="Y265" i="3" s="1"/>
  <c r="A275" i="2"/>
  <c r="D274" i="2"/>
  <c r="C274" i="2"/>
  <c r="B274" i="2"/>
  <c r="AU259" i="1"/>
  <c r="AR259" i="1"/>
  <c r="AP260" i="1"/>
  <c r="AW259" i="1" a="1"/>
  <c r="AW259" i="1" s="1"/>
  <c r="AS259" i="1"/>
  <c r="AQ259" i="1"/>
  <c r="AV259" i="1" a="1"/>
  <c r="AV259" i="1" s="1"/>
  <c r="AT259" i="1"/>
  <c r="AL259" i="1" s="1" a="1"/>
  <c r="AL259" i="1" s="1"/>
  <c r="AI258" i="1" a="1"/>
  <c r="AI258" i="1" s="1"/>
  <c r="AX258" i="1"/>
  <c r="AO259" i="1"/>
  <c r="AN259" i="1"/>
  <c r="AH260" i="1"/>
  <c r="Z260" i="1"/>
  <c r="AA259" i="1"/>
  <c r="AC259" i="1"/>
  <c r="AB259" i="1"/>
  <c r="AD259" i="1"/>
  <c r="AE259" i="1"/>
  <c r="AF259" i="1"/>
  <c r="AG259" i="1"/>
  <c r="AK259" i="1" l="1" a="1"/>
  <c r="AK259" i="1" s="1"/>
  <c r="AJ259" i="1" a="1"/>
  <c r="AJ259" i="1" s="1"/>
  <c r="AM259" i="1" a="1"/>
  <c r="AM259" i="1" s="1"/>
  <c r="AP262" i="3"/>
  <c r="AO261" i="3"/>
  <c r="AS261" i="3" s="1"/>
  <c r="V267" i="3"/>
  <c r="U266" i="3"/>
  <c r="Y266" i="3" s="1"/>
  <c r="G262" i="3"/>
  <c r="F261" i="3"/>
  <c r="J261" i="3" s="1"/>
  <c r="AK262" i="3"/>
  <c r="AJ261" i="3"/>
  <c r="AN261" i="3" s="1"/>
  <c r="AE262" i="3"/>
  <c r="AI262" i="3" s="1"/>
  <c r="AF263" i="3"/>
  <c r="Q264" i="3"/>
  <c r="P263" i="3"/>
  <c r="T263" i="3" s="1"/>
  <c r="AA262" i="3"/>
  <c r="Z261" i="3"/>
  <c r="AD261" i="3" s="1"/>
  <c r="AT261" i="3"/>
  <c r="AX261" i="3" s="1"/>
  <c r="AU262" i="3"/>
  <c r="AY261" i="3"/>
  <c r="BC261" i="3" s="1"/>
  <c r="AZ262" i="3"/>
  <c r="L263" i="3"/>
  <c r="K262" i="3"/>
  <c r="O262" i="3" s="1"/>
  <c r="C275" i="2"/>
  <c r="D275" i="2"/>
  <c r="A276" i="2"/>
  <c r="B275" i="2"/>
  <c r="AC260" i="1"/>
  <c r="AA260" i="1"/>
  <c r="AG260" i="1"/>
  <c r="AE260" i="1"/>
  <c r="AF260" i="1"/>
  <c r="AB260" i="1"/>
  <c r="Z261" i="1"/>
  <c r="AD260" i="1"/>
  <c r="AH261" i="1"/>
  <c r="AO260" i="1"/>
  <c r="AN260" i="1"/>
  <c r="AI259" i="1" a="1"/>
  <c r="AI259" i="1" s="1"/>
  <c r="AX259" i="1"/>
  <c r="AV260" i="1" a="1"/>
  <c r="AV260" i="1" s="1"/>
  <c r="AU260" i="1"/>
  <c r="AM260" i="1" s="1" a="1"/>
  <c r="AM260" i="1" s="1"/>
  <c r="AP261" i="1"/>
  <c r="AS260" i="1"/>
  <c r="AK260" i="1" s="1" a="1"/>
  <c r="AK260" i="1" s="1"/>
  <c r="AT260" i="1"/>
  <c r="AL260" i="1" s="1" a="1"/>
  <c r="AL260" i="1" s="1"/>
  <c r="AR260" i="1"/>
  <c r="AJ260" i="1" s="1" a="1"/>
  <c r="AJ260" i="1" s="1"/>
  <c r="AQ260" i="1"/>
  <c r="AW260" i="1" a="1"/>
  <c r="AW260" i="1" s="1"/>
  <c r="AP263" i="3" l="1"/>
  <c r="AO262" i="3"/>
  <c r="AS262" i="3" s="1"/>
  <c r="P264" i="3"/>
  <c r="T264" i="3" s="1"/>
  <c r="Q265" i="3"/>
  <c r="AE263" i="3"/>
  <c r="AI263" i="3" s="1"/>
  <c r="AF264" i="3"/>
  <c r="K263" i="3"/>
  <c r="O263" i="3" s="1"/>
  <c r="L264" i="3"/>
  <c r="AJ262" i="3"/>
  <c r="AN262" i="3" s="1"/>
  <c r="AK263" i="3"/>
  <c r="AY262" i="3"/>
  <c r="BC262" i="3" s="1"/>
  <c r="AZ263" i="3"/>
  <c r="F262" i="3"/>
  <c r="J262" i="3" s="1"/>
  <c r="G263" i="3"/>
  <c r="AT262" i="3"/>
  <c r="AX262" i="3" s="1"/>
  <c r="AU263" i="3"/>
  <c r="Z262" i="3"/>
  <c r="AD262" i="3" s="1"/>
  <c r="AA263" i="3"/>
  <c r="V268" i="3"/>
  <c r="U267" i="3"/>
  <c r="Y267" i="3" s="1"/>
  <c r="A277" i="2"/>
  <c r="B276" i="2"/>
  <c r="D276" i="2"/>
  <c r="C276" i="2"/>
  <c r="AN261" i="1"/>
  <c r="AO261" i="1"/>
  <c r="AH262" i="1"/>
  <c r="AI260" i="1" a="1"/>
  <c r="AI260" i="1" s="1"/>
  <c r="AX260" i="1"/>
  <c r="AG261" i="1"/>
  <c r="AC261" i="1"/>
  <c r="AE261" i="1"/>
  <c r="AB261" i="1"/>
  <c r="AA261" i="1"/>
  <c r="Z262" i="1"/>
  <c r="AD261" i="1"/>
  <c r="AF261" i="1"/>
  <c r="AT261" i="1"/>
  <c r="AL261" i="1" s="1" a="1"/>
  <c r="AL261" i="1" s="1"/>
  <c r="AS261" i="1"/>
  <c r="AQ261" i="1"/>
  <c r="AU261" i="1"/>
  <c r="AW261" i="1" a="1"/>
  <c r="AW261" i="1" s="1"/>
  <c r="AV261" i="1" a="1"/>
  <c r="AV261" i="1" s="1"/>
  <c r="AR261" i="1"/>
  <c r="AP262" i="1"/>
  <c r="AJ261" i="1" l="1" a="1"/>
  <c r="AJ261" i="1" s="1"/>
  <c r="AM261" i="1" a="1"/>
  <c r="AM261" i="1" s="1"/>
  <c r="AK261" i="1" a="1"/>
  <c r="AK261" i="1" s="1"/>
  <c r="AO263" i="3"/>
  <c r="AS263" i="3" s="1"/>
  <c r="AP264" i="3"/>
  <c r="AY263" i="3"/>
  <c r="BC263" i="3" s="1"/>
  <c r="AZ264" i="3"/>
  <c r="Z263" i="3"/>
  <c r="AD263" i="3" s="1"/>
  <c r="AA264" i="3"/>
  <c r="AJ263" i="3"/>
  <c r="AN263" i="3" s="1"/>
  <c r="AK264" i="3"/>
  <c r="U268" i="3"/>
  <c r="Y268" i="3" s="1"/>
  <c r="V269" i="3"/>
  <c r="L265" i="3"/>
  <c r="K264" i="3"/>
  <c r="O264" i="3" s="1"/>
  <c r="AF265" i="3"/>
  <c r="AE264" i="3"/>
  <c r="AI264" i="3" s="1"/>
  <c r="AT263" i="3"/>
  <c r="AX263" i="3" s="1"/>
  <c r="AU264" i="3"/>
  <c r="F263" i="3"/>
  <c r="J263" i="3" s="1"/>
  <c r="G264" i="3"/>
  <c r="P265" i="3"/>
  <c r="T265" i="3" s="1"/>
  <c r="Q266" i="3"/>
  <c r="B277" i="2"/>
  <c r="C277" i="2"/>
  <c r="D277" i="2"/>
  <c r="A278" i="2"/>
  <c r="AB262" i="1"/>
  <c r="AD262" i="1"/>
  <c r="AC262" i="1"/>
  <c r="AF262" i="1"/>
  <c r="AA262" i="1"/>
  <c r="AE262" i="1"/>
  <c r="AG262" i="1"/>
  <c r="Z263" i="1"/>
  <c r="AS262" i="1"/>
  <c r="AK262" i="1" s="1" a="1"/>
  <c r="AK262" i="1" s="1"/>
  <c r="AQ262" i="1"/>
  <c r="AT262" i="1"/>
  <c r="AL262" i="1" s="1" a="1"/>
  <c r="AL262" i="1" s="1"/>
  <c r="AU262" i="1"/>
  <c r="AM262" i="1" s="1" a="1"/>
  <c r="AM262" i="1" s="1"/>
  <c r="AR262" i="1"/>
  <c r="AJ262" i="1" s="1" a="1"/>
  <c r="AJ262" i="1" s="1"/>
  <c r="AW262" i="1" a="1"/>
  <c r="AW262" i="1" s="1"/>
  <c r="AV262" i="1" a="1"/>
  <c r="AV262" i="1" s="1"/>
  <c r="AP263" i="1"/>
  <c r="AX261" i="1"/>
  <c r="AI261" i="1" a="1"/>
  <c r="AI261" i="1" s="1"/>
  <c r="AH263" i="1"/>
  <c r="AO262" i="1"/>
  <c r="AN262" i="1"/>
  <c r="AP265" i="3" l="1"/>
  <c r="AO264" i="3"/>
  <c r="AS264" i="3" s="1"/>
  <c r="AE265" i="3"/>
  <c r="AI265" i="3" s="1"/>
  <c r="AF266" i="3"/>
  <c r="Q267" i="3"/>
  <c r="P266" i="3"/>
  <c r="T266" i="3" s="1"/>
  <c r="K265" i="3"/>
  <c r="O265" i="3" s="1"/>
  <c r="L266" i="3"/>
  <c r="U269" i="3"/>
  <c r="Y269" i="3" s="1"/>
  <c r="V270" i="3"/>
  <c r="F264" i="3"/>
  <c r="J264" i="3" s="1"/>
  <c r="G265" i="3"/>
  <c r="AK265" i="3"/>
  <c r="AJ264" i="3"/>
  <c r="AN264" i="3" s="1"/>
  <c r="Z264" i="3"/>
  <c r="AD264" i="3" s="1"/>
  <c r="AA265" i="3"/>
  <c r="AT264" i="3"/>
  <c r="AX264" i="3" s="1"/>
  <c r="AU265" i="3"/>
  <c r="AY264" i="3"/>
  <c r="BC264" i="3" s="1"/>
  <c r="AZ265" i="3"/>
  <c r="A279" i="2"/>
  <c r="C278" i="2"/>
  <c r="D278" i="2"/>
  <c r="B278" i="2"/>
  <c r="AX262" i="1"/>
  <c r="AI262" i="1" a="1"/>
  <c r="AI262" i="1" s="1"/>
  <c r="AA263" i="1"/>
  <c r="Z264" i="1"/>
  <c r="AB263" i="1"/>
  <c r="AF263" i="1"/>
  <c r="AC263" i="1"/>
  <c r="AG263" i="1"/>
  <c r="AE263" i="1"/>
  <c r="AD263" i="1"/>
  <c r="AO263" i="1"/>
  <c r="AH264" i="1"/>
  <c r="AN263" i="1"/>
  <c r="AW263" i="1" a="1"/>
  <c r="AW263" i="1" s="1"/>
  <c r="AP264" i="1"/>
  <c r="AR263" i="1"/>
  <c r="AT263" i="1"/>
  <c r="AL263" i="1" s="1" a="1"/>
  <c r="AL263" i="1" s="1"/>
  <c r="AV263" i="1" a="1"/>
  <c r="AV263" i="1" s="1"/>
  <c r="AU263" i="1"/>
  <c r="AM263" i="1" s="1" a="1"/>
  <c r="AM263" i="1" s="1"/>
  <c r="AQ263" i="1"/>
  <c r="AS263" i="1"/>
  <c r="AK263" i="1" s="1" a="1"/>
  <c r="AK263" i="1" s="1"/>
  <c r="AJ263" i="1" l="1" a="1"/>
  <c r="AJ263" i="1" s="1"/>
  <c r="AO265" i="3"/>
  <c r="AS265" i="3" s="1"/>
  <c r="AP266" i="3"/>
  <c r="G266" i="3"/>
  <c r="F265" i="3"/>
  <c r="J265" i="3" s="1"/>
  <c r="AY265" i="3"/>
  <c r="BC265" i="3" s="1"/>
  <c r="AZ266" i="3"/>
  <c r="U270" i="3"/>
  <c r="Y270" i="3" s="1"/>
  <c r="V271" i="3"/>
  <c r="AU266" i="3"/>
  <c r="AT265" i="3"/>
  <c r="AX265" i="3" s="1"/>
  <c r="Z265" i="3"/>
  <c r="AD265" i="3" s="1"/>
  <c r="AA266" i="3"/>
  <c r="K266" i="3"/>
  <c r="O266" i="3" s="1"/>
  <c r="L267" i="3"/>
  <c r="Q268" i="3"/>
  <c r="P267" i="3"/>
  <c r="T267" i="3" s="1"/>
  <c r="AE266" i="3"/>
  <c r="AI266" i="3" s="1"/>
  <c r="AF267" i="3"/>
  <c r="AJ265" i="3"/>
  <c r="AN265" i="3" s="1"/>
  <c r="AK266" i="3"/>
  <c r="D279" i="2"/>
  <c r="B279" i="2"/>
  <c r="C279" i="2"/>
  <c r="A280" i="2"/>
  <c r="AH265" i="1"/>
  <c r="AO264" i="1"/>
  <c r="AN264" i="1"/>
  <c r="AI263" i="1" a="1"/>
  <c r="AI263" i="1" s="1"/>
  <c r="AX263" i="1"/>
  <c r="AE264" i="1"/>
  <c r="AD264" i="1"/>
  <c r="AG264" i="1"/>
  <c r="AA264" i="1"/>
  <c r="Z265" i="1"/>
  <c r="AB264" i="1"/>
  <c r="AF264" i="1"/>
  <c r="AC264" i="1"/>
  <c r="AU264" i="1"/>
  <c r="AM264" i="1" s="1" a="1"/>
  <c r="AM264" i="1" s="1"/>
  <c r="AW264" i="1" a="1"/>
  <c r="AW264" i="1" s="1"/>
  <c r="AR264" i="1"/>
  <c r="AJ264" i="1" s="1" a="1"/>
  <c r="AJ264" i="1" s="1"/>
  <c r="AP265" i="1"/>
  <c r="AT264" i="1"/>
  <c r="AL264" i="1" s="1" a="1"/>
  <c r="AL264" i="1" s="1"/>
  <c r="AS264" i="1"/>
  <c r="AK264" i="1" s="1" a="1"/>
  <c r="AK264" i="1" s="1"/>
  <c r="AQ264" i="1"/>
  <c r="AV264" i="1" a="1"/>
  <c r="AV264" i="1" s="1"/>
  <c r="AP267" i="3" l="1"/>
  <c r="AO266" i="3"/>
  <c r="AS266" i="3" s="1"/>
  <c r="AA267" i="3"/>
  <c r="Z266" i="3"/>
  <c r="AD266" i="3" s="1"/>
  <c r="AJ266" i="3"/>
  <c r="AN266" i="3" s="1"/>
  <c r="AK267" i="3"/>
  <c r="AT266" i="3"/>
  <c r="AX266" i="3" s="1"/>
  <c r="AU267" i="3"/>
  <c r="AF268" i="3"/>
  <c r="AE267" i="3"/>
  <c r="AI267" i="3" s="1"/>
  <c r="U271" i="3"/>
  <c r="Y271" i="3" s="1"/>
  <c r="V272" i="3"/>
  <c r="AY266" i="3"/>
  <c r="BC266" i="3" s="1"/>
  <c r="AZ267" i="3"/>
  <c r="Q269" i="3"/>
  <c r="P268" i="3"/>
  <c r="T268" i="3" s="1"/>
  <c r="K267" i="3"/>
  <c r="O267" i="3" s="1"/>
  <c r="L268" i="3"/>
  <c r="F266" i="3"/>
  <c r="J266" i="3" s="1"/>
  <c r="G267" i="3"/>
  <c r="A281" i="2"/>
  <c r="D280" i="2"/>
  <c r="C280" i="2"/>
  <c r="B280" i="2"/>
  <c r="AG265" i="1"/>
  <c r="AE265" i="1"/>
  <c r="AB265" i="1"/>
  <c r="Z266" i="1"/>
  <c r="AC265" i="1"/>
  <c r="AF265" i="1"/>
  <c r="AA265" i="1"/>
  <c r="AD265" i="1"/>
  <c r="AX264" i="1"/>
  <c r="AI264" i="1" a="1"/>
  <c r="AI264" i="1" s="1"/>
  <c r="AR265" i="1"/>
  <c r="AJ265" i="1" s="1" a="1"/>
  <c r="AJ265" i="1" s="1"/>
  <c r="AP266" i="1"/>
  <c r="AW265" i="1" a="1"/>
  <c r="AW265" i="1" s="1"/>
  <c r="AV265" i="1" a="1"/>
  <c r="AV265" i="1" s="1"/>
  <c r="AT265" i="1"/>
  <c r="AL265" i="1" s="1" a="1"/>
  <c r="AL265" i="1" s="1"/>
  <c r="AS265" i="1"/>
  <c r="AK265" i="1" s="1" a="1"/>
  <c r="AK265" i="1" s="1"/>
  <c r="AQ265" i="1"/>
  <c r="AU265" i="1"/>
  <c r="AM265" i="1" s="1" a="1"/>
  <c r="AM265" i="1" s="1"/>
  <c r="AN265" i="1"/>
  <c r="AH266" i="1"/>
  <c r="AO265" i="1"/>
  <c r="AP268" i="3" l="1"/>
  <c r="AO267" i="3"/>
  <c r="AS267" i="3" s="1"/>
  <c r="U272" i="3"/>
  <c r="Y272" i="3" s="1"/>
  <c r="V273" i="3"/>
  <c r="G268" i="3"/>
  <c r="F267" i="3"/>
  <c r="J267" i="3" s="1"/>
  <c r="L269" i="3"/>
  <c r="K268" i="3"/>
  <c r="O268" i="3" s="1"/>
  <c r="AE268" i="3"/>
  <c r="AI268" i="3" s="1"/>
  <c r="AF269" i="3"/>
  <c r="AT267" i="3"/>
  <c r="AX267" i="3" s="1"/>
  <c r="AU268" i="3"/>
  <c r="P269" i="3"/>
  <c r="T269" i="3" s="1"/>
  <c r="Q270" i="3"/>
  <c r="AJ267" i="3"/>
  <c r="AN267" i="3" s="1"/>
  <c r="AK268" i="3"/>
  <c r="AZ268" i="3"/>
  <c r="AY267" i="3"/>
  <c r="BC267" i="3" s="1"/>
  <c r="AA268" i="3"/>
  <c r="Z267" i="3"/>
  <c r="AD267" i="3" s="1"/>
  <c r="D281" i="2"/>
  <c r="B281" i="2"/>
  <c r="C281" i="2"/>
  <c r="A282" i="2"/>
  <c r="AW266" i="1" a="1"/>
  <c r="AW266" i="1" s="1"/>
  <c r="AV266" i="1" a="1"/>
  <c r="AV266" i="1" s="1"/>
  <c r="AP267" i="1"/>
  <c r="AR266" i="1"/>
  <c r="AQ266" i="1"/>
  <c r="AU266" i="1"/>
  <c r="AS266" i="1"/>
  <c r="AT266" i="1"/>
  <c r="AL266" i="1" s="1" a="1"/>
  <c r="AL266" i="1" s="1"/>
  <c r="AO266" i="1"/>
  <c r="AN266" i="1"/>
  <c r="AH267" i="1"/>
  <c r="AI265" i="1" a="1"/>
  <c r="AI265" i="1" s="1"/>
  <c r="AX265" i="1"/>
  <c r="AA266" i="1"/>
  <c r="AC266" i="1"/>
  <c r="Z267" i="1"/>
  <c r="AD266" i="1"/>
  <c r="AF266" i="1"/>
  <c r="AG266" i="1"/>
  <c r="AB266" i="1"/>
  <c r="AE266" i="1"/>
  <c r="AK266" i="1" l="1" a="1"/>
  <c r="AK266" i="1" s="1"/>
  <c r="AM266" i="1" a="1"/>
  <c r="AM266" i="1" s="1"/>
  <c r="AJ266" i="1" a="1"/>
  <c r="AJ266" i="1" s="1"/>
  <c r="AP269" i="3"/>
  <c r="AO268" i="3"/>
  <c r="AS268" i="3" s="1"/>
  <c r="AE269" i="3"/>
  <c r="AI269" i="3" s="1"/>
  <c r="AF270" i="3"/>
  <c r="AA269" i="3"/>
  <c r="Z268" i="3"/>
  <c r="AD268" i="3" s="1"/>
  <c r="K269" i="3"/>
  <c r="O269" i="3" s="1"/>
  <c r="L270" i="3"/>
  <c r="AZ269" i="3"/>
  <c r="AY268" i="3"/>
  <c r="BC268" i="3" s="1"/>
  <c r="F268" i="3"/>
  <c r="J268" i="3" s="1"/>
  <c r="G269" i="3"/>
  <c r="AJ268" i="3"/>
  <c r="AN268" i="3" s="1"/>
  <c r="AK269" i="3"/>
  <c r="U273" i="3"/>
  <c r="Y273" i="3" s="1"/>
  <c r="V274" i="3"/>
  <c r="P270" i="3"/>
  <c r="T270" i="3" s="1"/>
  <c r="Q271" i="3"/>
  <c r="AT268" i="3"/>
  <c r="AX268" i="3" s="1"/>
  <c r="AU269" i="3"/>
  <c r="C282" i="2"/>
  <c r="B282" i="2"/>
  <c r="D282" i="2"/>
  <c r="A283" i="2"/>
  <c r="AO267" i="1"/>
  <c r="AH268" i="1"/>
  <c r="AN267" i="1"/>
  <c r="AI266" i="1" a="1"/>
  <c r="AI266" i="1" s="1"/>
  <c r="AX266" i="1"/>
  <c r="AB267" i="1"/>
  <c r="AG267" i="1"/>
  <c r="AC267" i="1"/>
  <c r="AF267" i="1"/>
  <c r="AD267" i="1"/>
  <c r="Z268" i="1"/>
  <c r="AE267" i="1"/>
  <c r="AA267" i="1"/>
  <c r="AV267" i="1" a="1"/>
  <c r="AV267" i="1" s="1"/>
  <c r="AW267" i="1" a="1"/>
  <c r="AW267" i="1" s="1"/>
  <c r="AU267" i="1"/>
  <c r="AP268" i="1"/>
  <c r="AQ267" i="1"/>
  <c r="AS267" i="1"/>
  <c r="AT267" i="1"/>
  <c r="AL267" i="1" s="1" a="1"/>
  <c r="AL267" i="1" s="1"/>
  <c r="AR267" i="1"/>
  <c r="AJ267" i="1" s="1" a="1"/>
  <c r="AJ267" i="1" s="1"/>
  <c r="AK267" i="1" l="1" a="1"/>
  <c r="AK267" i="1" s="1"/>
  <c r="AM267" i="1" a="1"/>
  <c r="AM267" i="1" s="1"/>
  <c r="AO269" i="3"/>
  <c r="AS269" i="3" s="1"/>
  <c r="AP270" i="3"/>
  <c r="G270" i="3"/>
  <c r="F269" i="3"/>
  <c r="J269" i="3" s="1"/>
  <c r="AT269" i="3"/>
  <c r="AX269" i="3" s="1"/>
  <c r="AU270" i="3"/>
  <c r="AZ270" i="3"/>
  <c r="AY269" i="3"/>
  <c r="BC269" i="3" s="1"/>
  <c r="Q272" i="3"/>
  <c r="P271" i="3"/>
  <c r="T271" i="3" s="1"/>
  <c r="K270" i="3"/>
  <c r="O270" i="3" s="1"/>
  <c r="L271" i="3"/>
  <c r="U274" i="3"/>
  <c r="Y274" i="3" s="1"/>
  <c r="V275" i="3"/>
  <c r="Z269" i="3"/>
  <c r="AD269" i="3" s="1"/>
  <c r="AA270" i="3"/>
  <c r="AE270" i="3"/>
  <c r="AI270" i="3" s="1"/>
  <c r="AF271" i="3"/>
  <c r="AJ269" i="3"/>
  <c r="AN269" i="3" s="1"/>
  <c r="AK270" i="3"/>
  <c r="B283" i="2"/>
  <c r="A284" i="2"/>
  <c r="D283" i="2"/>
  <c r="C283" i="2"/>
  <c r="AG268" i="1"/>
  <c r="Z269" i="1"/>
  <c r="AE268" i="1"/>
  <c r="AF268" i="1"/>
  <c r="AB268" i="1"/>
  <c r="AA268" i="1"/>
  <c r="AC268" i="1"/>
  <c r="AD268" i="1"/>
  <c r="AX267" i="1"/>
  <c r="AI267" i="1" a="1"/>
  <c r="AI267" i="1" s="1"/>
  <c r="AT268" i="1"/>
  <c r="AL268" i="1" s="1" a="1"/>
  <c r="AL268" i="1" s="1"/>
  <c r="AS268" i="1"/>
  <c r="AK268" i="1" s="1" a="1"/>
  <c r="AK268" i="1" s="1"/>
  <c r="AW268" i="1" a="1"/>
  <c r="AW268" i="1" s="1"/>
  <c r="AV268" i="1" a="1"/>
  <c r="AV268" i="1" s="1"/>
  <c r="AR268" i="1"/>
  <c r="AJ268" i="1" s="1" a="1"/>
  <c r="AJ268" i="1" s="1"/>
  <c r="AU268" i="1"/>
  <c r="AM268" i="1" s="1" a="1"/>
  <c r="AM268" i="1" s="1"/>
  <c r="AQ268" i="1"/>
  <c r="AP269" i="1"/>
  <c r="AH269" i="1"/>
  <c r="AO268" i="1"/>
  <c r="AN268" i="1"/>
  <c r="AO270" i="3" l="1"/>
  <c r="AS270" i="3" s="1"/>
  <c r="AP271" i="3"/>
  <c r="AK271" i="3"/>
  <c r="AJ270" i="3"/>
  <c r="AN270" i="3" s="1"/>
  <c r="P272" i="3"/>
  <c r="T272" i="3" s="1"/>
  <c r="Q273" i="3"/>
  <c r="AF272" i="3"/>
  <c r="AE271" i="3"/>
  <c r="AI271" i="3" s="1"/>
  <c r="AZ271" i="3"/>
  <c r="AY270" i="3"/>
  <c r="BC270" i="3" s="1"/>
  <c r="AT270" i="3"/>
  <c r="AX270" i="3" s="1"/>
  <c r="AU271" i="3"/>
  <c r="AA271" i="3"/>
  <c r="Z270" i="3"/>
  <c r="AD270" i="3" s="1"/>
  <c r="V276" i="3"/>
  <c r="U275" i="3"/>
  <c r="Y275" i="3" s="1"/>
  <c r="F270" i="3"/>
  <c r="J270" i="3" s="1"/>
  <c r="G271" i="3"/>
  <c r="L272" i="3"/>
  <c r="K271" i="3"/>
  <c r="O271" i="3" s="1"/>
  <c r="B284" i="2"/>
  <c r="D284" i="2"/>
  <c r="C284" i="2"/>
  <c r="A285" i="2"/>
  <c r="AN269" i="1"/>
  <c r="AO269" i="1"/>
  <c r="AH270" i="1"/>
  <c r="AR269" i="1"/>
  <c r="AJ269" i="1" s="1" a="1"/>
  <c r="AJ269" i="1" s="1"/>
  <c r="AV269" i="1" a="1"/>
  <c r="AV269" i="1" s="1"/>
  <c r="AP270" i="1"/>
  <c r="AT269" i="1"/>
  <c r="AS269" i="1"/>
  <c r="AK269" i="1" s="1" a="1"/>
  <c r="AK269" i="1" s="1"/>
  <c r="AW269" i="1" a="1"/>
  <c r="AW269" i="1" s="1"/>
  <c r="AU269" i="1"/>
  <c r="AM269" i="1" s="1" a="1"/>
  <c r="AM269" i="1" s="1"/>
  <c r="AQ269" i="1"/>
  <c r="AI268" i="1" a="1"/>
  <c r="AI268" i="1" s="1"/>
  <c r="AX268" i="1"/>
  <c r="AE269" i="1"/>
  <c r="AB269" i="1"/>
  <c r="AA269" i="1"/>
  <c r="AC269" i="1"/>
  <c r="AG269" i="1"/>
  <c r="AD269" i="1"/>
  <c r="AF269" i="1"/>
  <c r="Z270" i="1"/>
  <c r="AL269" i="1" l="1" a="1"/>
  <c r="AL269" i="1" s="1"/>
  <c r="AO271" i="3"/>
  <c r="AS271" i="3" s="1"/>
  <c r="AP272" i="3"/>
  <c r="Z271" i="3"/>
  <c r="AD271" i="3" s="1"/>
  <c r="AA272" i="3"/>
  <c r="AT271" i="3"/>
  <c r="AX271" i="3" s="1"/>
  <c r="AU272" i="3"/>
  <c r="K272" i="3"/>
  <c r="O272" i="3" s="1"/>
  <c r="L273" i="3"/>
  <c r="AY271" i="3"/>
  <c r="BC271" i="3" s="1"/>
  <c r="AZ272" i="3"/>
  <c r="F271" i="3"/>
  <c r="J271" i="3" s="1"/>
  <c r="G272" i="3"/>
  <c r="AE272" i="3"/>
  <c r="AI272" i="3" s="1"/>
  <c r="AF273" i="3"/>
  <c r="P273" i="3"/>
  <c r="T273" i="3" s="1"/>
  <c r="Q274" i="3"/>
  <c r="U276" i="3"/>
  <c r="Y276" i="3" s="1"/>
  <c r="V277" i="3"/>
  <c r="AJ271" i="3"/>
  <c r="AN271" i="3" s="1"/>
  <c r="AK272" i="3"/>
  <c r="D285" i="2"/>
  <c r="B285" i="2"/>
  <c r="A286" i="2"/>
  <c r="C285" i="2"/>
  <c r="AX269" i="1"/>
  <c r="AI269" i="1" a="1"/>
  <c r="AI269" i="1" s="1"/>
  <c r="AS270" i="1"/>
  <c r="AK270" i="1" s="1" a="1"/>
  <c r="AK270" i="1" s="1"/>
  <c r="AP271" i="1"/>
  <c r="AW270" i="1" a="1"/>
  <c r="AW270" i="1" s="1"/>
  <c r="AU270" i="1"/>
  <c r="AT270" i="1"/>
  <c r="AL270" i="1" s="1" a="1"/>
  <c r="AL270" i="1" s="1"/>
  <c r="AQ270" i="1"/>
  <c r="AV270" i="1" a="1"/>
  <c r="AV270" i="1" s="1"/>
  <c r="AR270" i="1"/>
  <c r="AJ270" i="1" s="1" a="1"/>
  <c r="AJ270" i="1" s="1"/>
  <c r="AH271" i="1"/>
  <c r="AN270" i="1"/>
  <c r="AO270" i="1"/>
  <c r="Z271" i="1"/>
  <c r="AC270" i="1"/>
  <c r="AF270" i="1"/>
  <c r="AA270" i="1"/>
  <c r="AD270" i="1"/>
  <c r="AG270" i="1"/>
  <c r="AB270" i="1"/>
  <c r="AE270" i="1"/>
  <c r="AM270" i="1" l="1" a="1"/>
  <c r="AM270" i="1" s="1"/>
  <c r="AO272" i="3"/>
  <c r="AS272" i="3" s="1"/>
  <c r="AP273" i="3"/>
  <c r="AJ272" i="3"/>
  <c r="AN272" i="3" s="1"/>
  <c r="AK273" i="3"/>
  <c r="AY272" i="3"/>
  <c r="BC272" i="3" s="1"/>
  <c r="AZ273" i="3"/>
  <c r="V278" i="3"/>
  <c r="U277" i="3"/>
  <c r="Y277" i="3" s="1"/>
  <c r="K273" i="3"/>
  <c r="O273" i="3" s="1"/>
  <c r="L274" i="3"/>
  <c r="G273" i="3"/>
  <c r="F272" i="3"/>
  <c r="J272" i="3" s="1"/>
  <c r="P274" i="3"/>
  <c r="T274" i="3" s="1"/>
  <c r="Q275" i="3"/>
  <c r="AU273" i="3"/>
  <c r="AT272" i="3"/>
  <c r="AX272" i="3" s="1"/>
  <c r="AF274" i="3"/>
  <c r="AE273" i="3"/>
  <c r="AI273" i="3" s="1"/>
  <c r="AA273" i="3"/>
  <c r="Z272" i="3"/>
  <c r="AD272" i="3" s="1"/>
  <c r="A287" i="2"/>
  <c r="B286" i="2"/>
  <c r="C286" i="2"/>
  <c r="D286" i="2"/>
  <c r="AN271" i="1"/>
  <c r="AH272" i="1"/>
  <c r="AO271" i="1"/>
  <c r="AX270" i="1"/>
  <c r="AI270" i="1" a="1"/>
  <c r="AI270" i="1" s="1"/>
  <c r="AW271" i="1" a="1"/>
  <c r="AW271" i="1" s="1"/>
  <c r="AP272" i="1"/>
  <c r="AU271" i="1"/>
  <c r="AM271" i="1" s="1" a="1"/>
  <c r="AM271" i="1" s="1"/>
  <c r="AV271" i="1" a="1"/>
  <c r="AV271" i="1" s="1"/>
  <c r="AR271" i="1"/>
  <c r="AJ271" i="1" s="1" a="1"/>
  <c r="AJ271" i="1" s="1"/>
  <c r="AT271" i="1"/>
  <c r="AL271" i="1" s="1" a="1"/>
  <c r="AL271" i="1" s="1"/>
  <c r="AQ271" i="1"/>
  <c r="AS271" i="1"/>
  <c r="AK271" i="1" s="1" a="1"/>
  <c r="AK271" i="1" s="1"/>
  <c r="AD271" i="1"/>
  <c r="AC271" i="1"/>
  <c r="AE271" i="1"/>
  <c r="AG271" i="1"/>
  <c r="Z272" i="1"/>
  <c r="AB271" i="1"/>
  <c r="AF271" i="1"/>
  <c r="AA271" i="1"/>
  <c r="AO273" i="3" l="1"/>
  <c r="AS273" i="3" s="1"/>
  <c r="AP274" i="3"/>
  <c r="F273" i="3"/>
  <c r="J273" i="3" s="1"/>
  <c r="G274" i="3"/>
  <c r="K274" i="3"/>
  <c r="O274" i="3" s="1"/>
  <c r="L275" i="3"/>
  <c r="AA274" i="3"/>
  <c r="Z273" i="3"/>
  <c r="AD273" i="3" s="1"/>
  <c r="AE274" i="3"/>
  <c r="AI274" i="3" s="1"/>
  <c r="AF275" i="3"/>
  <c r="AT273" i="3"/>
  <c r="AX273" i="3" s="1"/>
  <c r="AU274" i="3"/>
  <c r="V279" i="3"/>
  <c r="U278" i="3"/>
  <c r="Y278" i="3" s="1"/>
  <c r="Q276" i="3"/>
  <c r="P275" i="3"/>
  <c r="T275" i="3" s="1"/>
  <c r="AZ274" i="3"/>
  <c r="AY273" i="3"/>
  <c r="BC273" i="3" s="1"/>
  <c r="AJ273" i="3"/>
  <c r="AN273" i="3" s="1"/>
  <c r="AK274" i="3"/>
  <c r="A288" i="2"/>
  <c r="B287" i="2"/>
  <c r="D287" i="2"/>
  <c r="C287" i="2"/>
  <c r="AI271" i="1" a="1"/>
  <c r="AI271" i="1" s="1"/>
  <c r="AX271" i="1"/>
  <c r="AQ272" i="1"/>
  <c r="AV272" i="1" a="1"/>
  <c r="AV272" i="1" s="1"/>
  <c r="AW272" i="1" a="1"/>
  <c r="AW272" i="1" s="1"/>
  <c r="AP273" i="1"/>
  <c r="AT272" i="1"/>
  <c r="AL272" i="1" s="1" a="1"/>
  <c r="AL272" i="1" s="1"/>
  <c r="AU272" i="1"/>
  <c r="AM272" i="1" s="1" a="1"/>
  <c r="AM272" i="1" s="1"/>
  <c r="AS272" i="1"/>
  <c r="AR272" i="1"/>
  <c r="AE272" i="1"/>
  <c r="AB272" i="1"/>
  <c r="AG272" i="1"/>
  <c r="AD272" i="1"/>
  <c r="AC272" i="1"/>
  <c r="AF272" i="1"/>
  <c r="Z273" i="1"/>
  <c r="AA272" i="1"/>
  <c r="AN272" i="1"/>
  <c r="AH273" i="1"/>
  <c r="AO272" i="1"/>
  <c r="AK272" i="1" l="1" a="1"/>
  <c r="AK272" i="1" s="1"/>
  <c r="AJ272" i="1" a="1"/>
  <c r="AJ272" i="1" s="1"/>
  <c r="AO274" i="3"/>
  <c r="AS274" i="3" s="1"/>
  <c r="AP275" i="3"/>
  <c r="AF276" i="3"/>
  <c r="AE275" i="3"/>
  <c r="AI275" i="3" s="1"/>
  <c r="AJ274" i="3"/>
  <c r="AN274" i="3" s="1"/>
  <c r="AK275" i="3"/>
  <c r="AZ275" i="3"/>
  <c r="AY274" i="3"/>
  <c r="BC274" i="3" s="1"/>
  <c r="AA275" i="3"/>
  <c r="Z274" i="3"/>
  <c r="AD274" i="3" s="1"/>
  <c r="P276" i="3"/>
  <c r="T276" i="3" s="1"/>
  <c r="Q277" i="3"/>
  <c r="K275" i="3"/>
  <c r="O275" i="3" s="1"/>
  <c r="L276" i="3"/>
  <c r="V280" i="3"/>
  <c r="U279" i="3"/>
  <c r="Y279" i="3" s="1"/>
  <c r="G275" i="3"/>
  <c r="F274" i="3"/>
  <c r="J274" i="3" s="1"/>
  <c r="AT274" i="3"/>
  <c r="AX274" i="3" s="1"/>
  <c r="AU275" i="3"/>
  <c r="B288" i="2"/>
  <c r="C288" i="2"/>
  <c r="A289" i="2"/>
  <c r="D288" i="2"/>
  <c r="AH274" i="1"/>
  <c r="AN273" i="1"/>
  <c r="AO273" i="1"/>
  <c r="AS273" i="1"/>
  <c r="AK273" i="1" s="1" a="1"/>
  <c r="AK273" i="1" s="1"/>
  <c r="AT273" i="1"/>
  <c r="AL273" i="1" s="1" a="1"/>
  <c r="AL273" i="1" s="1"/>
  <c r="AW273" i="1" a="1"/>
  <c r="AW273" i="1" s="1"/>
  <c r="AP274" i="1"/>
  <c r="AQ273" i="1"/>
  <c r="AR273" i="1"/>
  <c r="AJ273" i="1" s="1" a="1"/>
  <c r="AJ273" i="1" s="1"/>
  <c r="AU273" i="1"/>
  <c r="AM273" i="1" s="1" a="1"/>
  <c r="AM273" i="1" s="1"/>
  <c r="AV273" i="1" a="1"/>
  <c r="AV273" i="1" s="1"/>
  <c r="AX272" i="1"/>
  <c r="AI272" i="1" a="1"/>
  <c r="AI272" i="1" s="1"/>
  <c r="Z274" i="1"/>
  <c r="AE273" i="1"/>
  <c r="AD273" i="1"/>
  <c r="AF273" i="1"/>
  <c r="AC273" i="1"/>
  <c r="AG273" i="1"/>
  <c r="AA273" i="1"/>
  <c r="AB273" i="1"/>
  <c r="AO275" i="3" l="1"/>
  <c r="AS275" i="3" s="1"/>
  <c r="AP276" i="3"/>
  <c r="Q278" i="3"/>
  <c r="P277" i="3"/>
  <c r="T277" i="3" s="1"/>
  <c r="AT275" i="3"/>
  <c r="AX275" i="3" s="1"/>
  <c r="AU276" i="3"/>
  <c r="Z275" i="3"/>
  <c r="AD275" i="3" s="1"/>
  <c r="AA276" i="3"/>
  <c r="AZ276" i="3"/>
  <c r="AY275" i="3"/>
  <c r="BC275" i="3" s="1"/>
  <c r="F275" i="3"/>
  <c r="J275" i="3" s="1"/>
  <c r="G276" i="3"/>
  <c r="AJ275" i="3"/>
  <c r="AN275" i="3" s="1"/>
  <c r="AK276" i="3"/>
  <c r="U280" i="3"/>
  <c r="Y280" i="3" s="1"/>
  <c r="V281" i="3"/>
  <c r="L277" i="3"/>
  <c r="K276" i="3"/>
  <c r="O276" i="3" s="1"/>
  <c r="AF277" i="3"/>
  <c r="AE276" i="3"/>
  <c r="AI276" i="3" s="1"/>
  <c r="D289" i="2"/>
  <c r="A290" i="2"/>
  <c r="C289" i="2"/>
  <c r="B289" i="2"/>
  <c r="AX273" i="1"/>
  <c r="AI273" i="1" a="1"/>
  <c r="AI273" i="1" s="1"/>
  <c r="AQ274" i="1"/>
  <c r="AT274" i="1"/>
  <c r="AS274" i="1"/>
  <c r="AK274" i="1" s="1" a="1"/>
  <c r="AK274" i="1" s="1"/>
  <c r="AU274" i="1"/>
  <c r="AV274" i="1" a="1"/>
  <c r="AV274" i="1" s="1"/>
  <c r="AP275" i="1"/>
  <c r="AW274" i="1" a="1"/>
  <c r="AW274" i="1" s="1"/>
  <c r="AR274" i="1"/>
  <c r="AJ274" i="1" s="1" a="1"/>
  <c r="AJ274" i="1" s="1"/>
  <c r="AD274" i="1"/>
  <c r="AA274" i="1"/>
  <c r="AC274" i="1"/>
  <c r="AB274" i="1"/>
  <c r="Z275" i="1"/>
  <c r="AF274" i="1"/>
  <c r="AG274" i="1"/>
  <c r="AE274" i="1"/>
  <c r="AN274" i="1"/>
  <c r="AO274" i="1"/>
  <c r="AH275" i="1"/>
  <c r="AL274" i="1" l="1" a="1"/>
  <c r="AL274" i="1" s="1"/>
  <c r="AM274" i="1" a="1"/>
  <c r="AM274" i="1" s="1"/>
  <c r="AO276" i="3"/>
  <c r="AS276" i="3" s="1"/>
  <c r="AP277" i="3"/>
  <c r="F276" i="3"/>
  <c r="J276" i="3" s="1"/>
  <c r="G277" i="3"/>
  <c r="AE277" i="3"/>
  <c r="AI277" i="3" s="1"/>
  <c r="AF278" i="3"/>
  <c r="L278" i="3"/>
  <c r="K277" i="3"/>
  <c r="O277" i="3" s="1"/>
  <c r="AY276" i="3"/>
  <c r="BC276" i="3" s="1"/>
  <c r="AZ277" i="3"/>
  <c r="U281" i="3"/>
  <c r="Y281" i="3" s="1"/>
  <c r="V282" i="3"/>
  <c r="Z276" i="3"/>
  <c r="AD276" i="3" s="1"/>
  <c r="AA277" i="3"/>
  <c r="AT276" i="3"/>
  <c r="AX276" i="3" s="1"/>
  <c r="AU277" i="3"/>
  <c r="AJ276" i="3"/>
  <c r="AN276" i="3" s="1"/>
  <c r="AK277" i="3"/>
  <c r="Q279" i="3"/>
  <c r="P278" i="3"/>
  <c r="T278" i="3" s="1"/>
  <c r="C290" i="2"/>
  <c r="D290" i="2"/>
  <c r="B290" i="2"/>
  <c r="A291" i="2"/>
  <c r="AN275" i="1"/>
  <c r="AO275" i="1"/>
  <c r="AH276" i="1"/>
  <c r="AV275" i="1" a="1"/>
  <c r="AV275" i="1" s="1"/>
  <c r="AR275" i="1"/>
  <c r="AW275" i="1" a="1"/>
  <c r="AW275" i="1" s="1"/>
  <c r="AP276" i="1"/>
  <c r="AT275" i="1"/>
  <c r="AL275" i="1" s="1" a="1"/>
  <c r="AL275" i="1" s="1"/>
  <c r="AQ275" i="1"/>
  <c r="AU275" i="1"/>
  <c r="AM275" i="1" s="1" a="1"/>
  <c r="AM275" i="1" s="1"/>
  <c r="AS275" i="1"/>
  <c r="AX274" i="1"/>
  <c r="AI274" i="1" a="1"/>
  <c r="AI274" i="1" s="1"/>
  <c r="AA275" i="1"/>
  <c r="AF275" i="1"/>
  <c r="AE275" i="1"/>
  <c r="AD275" i="1"/>
  <c r="Z276" i="1"/>
  <c r="AC275" i="1"/>
  <c r="AB275" i="1"/>
  <c r="AG275" i="1"/>
  <c r="AK275" i="1" l="1" a="1"/>
  <c r="AK275" i="1" s="1"/>
  <c r="AJ275" i="1" a="1"/>
  <c r="AJ275" i="1" s="1"/>
  <c r="AO277" i="3"/>
  <c r="AS277" i="3" s="1"/>
  <c r="AP278" i="3"/>
  <c r="V283" i="3"/>
  <c r="U282" i="3"/>
  <c r="Y282" i="3" s="1"/>
  <c r="Q280" i="3"/>
  <c r="P279" i="3"/>
  <c r="T279" i="3" s="1"/>
  <c r="AY277" i="3"/>
  <c r="BC277" i="3" s="1"/>
  <c r="AZ278" i="3"/>
  <c r="AJ277" i="3"/>
  <c r="AN277" i="3" s="1"/>
  <c r="AK278" i="3"/>
  <c r="K278" i="3"/>
  <c r="O278" i="3" s="1"/>
  <c r="L279" i="3"/>
  <c r="AE278" i="3"/>
  <c r="AI278" i="3" s="1"/>
  <c r="AF279" i="3"/>
  <c r="AT277" i="3"/>
  <c r="AX277" i="3" s="1"/>
  <c r="AU278" i="3"/>
  <c r="F277" i="3"/>
  <c r="J277" i="3" s="1"/>
  <c r="G278" i="3"/>
  <c r="AA278" i="3"/>
  <c r="Z277" i="3"/>
  <c r="AD277" i="3" s="1"/>
  <c r="D291" i="2"/>
  <c r="A292" i="2"/>
  <c r="B291" i="2"/>
  <c r="C291" i="2"/>
  <c r="AI275" i="1" a="1"/>
  <c r="AI275" i="1" s="1"/>
  <c r="AX275" i="1"/>
  <c r="AP277" i="1"/>
  <c r="AW276" i="1" a="1"/>
  <c r="AW276" i="1" s="1"/>
  <c r="AU276" i="1"/>
  <c r="AM276" i="1" s="1" a="1"/>
  <c r="AM276" i="1" s="1"/>
  <c r="AQ276" i="1"/>
  <c r="AV276" i="1" a="1"/>
  <c r="AV276" i="1" s="1"/>
  <c r="AR276" i="1"/>
  <c r="AJ276" i="1" s="1" a="1"/>
  <c r="AJ276" i="1" s="1"/>
  <c r="AT276" i="1"/>
  <c r="AL276" i="1" s="1" a="1"/>
  <c r="AL276" i="1" s="1"/>
  <c r="AS276" i="1"/>
  <c r="AO276" i="1"/>
  <c r="AH277" i="1"/>
  <c r="AN276" i="1"/>
  <c r="AA276" i="1"/>
  <c r="AD276" i="1"/>
  <c r="Z277" i="1"/>
  <c r="AE276" i="1"/>
  <c r="AG276" i="1"/>
  <c r="AB276" i="1"/>
  <c r="AC276" i="1"/>
  <c r="AF276" i="1"/>
  <c r="AK276" i="1" l="1" a="1"/>
  <c r="AK276" i="1" s="1"/>
  <c r="AO278" i="3"/>
  <c r="AS278" i="3" s="1"/>
  <c r="AP279" i="3"/>
  <c r="AJ278" i="3"/>
  <c r="AN278" i="3" s="1"/>
  <c r="AK279" i="3"/>
  <c r="Z278" i="3"/>
  <c r="AD278" i="3" s="1"/>
  <c r="AA279" i="3"/>
  <c r="F278" i="3"/>
  <c r="J278" i="3" s="1"/>
  <c r="G279" i="3"/>
  <c r="AY278" i="3"/>
  <c r="BC278" i="3" s="1"/>
  <c r="AZ279" i="3"/>
  <c r="P280" i="3"/>
  <c r="T280" i="3" s="1"/>
  <c r="Q281" i="3"/>
  <c r="AU279" i="3"/>
  <c r="AT278" i="3"/>
  <c r="AX278" i="3" s="1"/>
  <c r="AE279" i="3"/>
  <c r="AI279" i="3" s="1"/>
  <c r="AF280" i="3"/>
  <c r="K279" i="3"/>
  <c r="O279" i="3" s="1"/>
  <c r="L280" i="3"/>
  <c r="V284" i="3"/>
  <c r="U283" i="3"/>
  <c r="Y283" i="3" s="1"/>
  <c r="C292" i="2"/>
  <c r="A293" i="2"/>
  <c r="D292" i="2"/>
  <c r="B292" i="2"/>
  <c r="AO277" i="1"/>
  <c r="AH278" i="1"/>
  <c r="AN277" i="1"/>
  <c r="AI276" i="1" a="1"/>
  <c r="AI276" i="1" s="1"/>
  <c r="AX276" i="1"/>
  <c r="AT277" i="1"/>
  <c r="AL277" i="1" s="1" a="1"/>
  <c r="AL277" i="1" s="1"/>
  <c r="AW277" i="1" a="1"/>
  <c r="AW277" i="1" s="1"/>
  <c r="AQ277" i="1"/>
  <c r="AS277" i="1"/>
  <c r="AK277" i="1" s="1" a="1"/>
  <c r="AK277" i="1" s="1"/>
  <c r="AP278" i="1"/>
  <c r="AV277" i="1" a="1"/>
  <c r="AV277" i="1" s="1"/>
  <c r="AU277" i="1"/>
  <c r="AR277" i="1"/>
  <c r="AC277" i="1"/>
  <c r="AF277" i="1"/>
  <c r="AA277" i="1"/>
  <c r="AD277" i="1"/>
  <c r="AE277" i="1"/>
  <c r="Z278" i="1"/>
  <c r="AG277" i="1"/>
  <c r="AB277" i="1"/>
  <c r="AM277" i="1" l="1" a="1"/>
  <c r="AM277" i="1" s="1"/>
  <c r="AJ277" i="1" a="1"/>
  <c r="AJ277" i="1" s="1"/>
  <c r="AO279" i="3"/>
  <c r="AS279" i="3" s="1"/>
  <c r="AP280" i="3"/>
  <c r="AY279" i="3"/>
  <c r="BC279" i="3" s="1"/>
  <c r="AZ280" i="3"/>
  <c r="G280" i="3"/>
  <c r="F279" i="3"/>
  <c r="J279" i="3" s="1"/>
  <c r="U284" i="3"/>
  <c r="Y284" i="3" s="1"/>
  <c r="V285" i="3"/>
  <c r="K280" i="3"/>
  <c r="O280" i="3" s="1"/>
  <c r="L281" i="3"/>
  <c r="AE280" i="3"/>
  <c r="AI280" i="3" s="1"/>
  <c r="AF281" i="3"/>
  <c r="Z279" i="3"/>
  <c r="AD279" i="3" s="1"/>
  <c r="AA280" i="3"/>
  <c r="AU280" i="3"/>
  <c r="AT279" i="3"/>
  <c r="AX279" i="3" s="1"/>
  <c r="AJ279" i="3"/>
  <c r="AN279" i="3" s="1"/>
  <c r="AK280" i="3"/>
  <c r="P281" i="3"/>
  <c r="T281" i="3" s="1"/>
  <c r="Q282" i="3"/>
  <c r="D293" i="2"/>
  <c r="B293" i="2"/>
  <c r="C293" i="2"/>
  <c r="A294" i="2"/>
  <c r="AP279" i="1"/>
  <c r="AR278" i="1"/>
  <c r="AW278" i="1" a="1"/>
  <c r="AW278" i="1" s="1"/>
  <c r="AV278" i="1" a="1"/>
  <c r="AV278" i="1" s="1"/>
  <c r="AS278" i="1"/>
  <c r="AU278" i="1"/>
  <c r="AM278" i="1" s="1" a="1"/>
  <c r="AM278" i="1" s="1"/>
  <c r="AT278" i="1"/>
  <c r="AQ278" i="1"/>
  <c r="AI277" i="1" a="1"/>
  <c r="AI277" i="1" s="1"/>
  <c r="AX277" i="1"/>
  <c r="AC278" i="1"/>
  <c r="Z279" i="1"/>
  <c r="AE278" i="1"/>
  <c r="AA278" i="1"/>
  <c r="AF278" i="1"/>
  <c r="AG278" i="1"/>
  <c r="AB278" i="1"/>
  <c r="AD278" i="1"/>
  <c r="AN278" i="1"/>
  <c r="AH279" i="1"/>
  <c r="AO278" i="1"/>
  <c r="AL278" i="1" l="1" a="1"/>
  <c r="AL278" i="1" s="1"/>
  <c r="AJ278" i="1" a="1"/>
  <c r="AJ278" i="1" s="1"/>
  <c r="AK278" i="1" a="1"/>
  <c r="AK278" i="1" s="1"/>
  <c r="AP281" i="3"/>
  <c r="AO280" i="3"/>
  <c r="AS280" i="3" s="1"/>
  <c r="AF282" i="3"/>
  <c r="AE281" i="3"/>
  <c r="AI281" i="3" s="1"/>
  <c r="P282" i="3"/>
  <c r="T282" i="3" s="1"/>
  <c r="Q283" i="3"/>
  <c r="K281" i="3"/>
  <c r="O281" i="3" s="1"/>
  <c r="L282" i="3"/>
  <c r="AJ280" i="3"/>
  <c r="AN280" i="3" s="1"/>
  <c r="AK281" i="3"/>
  <c r="U285" i="3"/>
  <c r="Y285" i="3" s="1"/>
  <c r="V286" i="3"/>
  <c r="Z280" i="3"/>
  <c r="AD280" i="3" s="1"/>
  <c r="AA281" i="3"/>
  <c r="F280" i="3"/>
  <c r="J280" i="3" s="1"/>
  <c r="G281" i="3"/>
  <c r="AU281" i="3"/>
  <c r="AT280" i="3"/>
  <c r="AX280" i="3" s="1"/>
  <c r="AY280" i="3"/>
  <c r="BC280" i="3" s="1"/>
  <c r="AZ281" i="3"/>
  <c r="D294" i="2"/>
  <c r="A295" i="2"/>
  <c r="C294" i="2"/>
  <c r="B294" i="2"/>
  <c r="AO279" i="1"/>
  <c r="AH280" i="1"/>
  <c r="AN279" i="1"/>
  <c r="AA279" i="1"/>
  <c r="AE279" i="1"/>
  <c r="Z280" i="1"/>
  <c r="AC279" i="1"/>
  <c r="AG279" i="1"/>
  <c r="AF279" i="1"/>
  <c r="AD279" i="1"/>
  <c r="AB279" i="1"/>
  <c r="AI278" i="1" a="1"/>
  <c r="AI278" i="1" s="1"/>
  <c r="AX278" i="1"/>
  <c r="AW279" i="1" a="1"/>
  <c r="AW279" i="1" s="1"/>
  <c r="AV279" i="1" a="1"/>
  <c r="AV279" i="1" s="1"/>
  <c r="AS279" i="1"/>
  <c r="AK279" i="1" s="1" a="1"/>
  <c r="AK279" i="1" s="1"/>
  <c r="AT279" i="1"/>
  <c r="AL279" i="1" s="1" a="1"/>
  <c r="AL279" i="1" s="1"/>
  <c r="AP280" i="1"/>
  <c r="AQ279" i="1"/>
  <c r="AU279" i="1"/>
  <c r="AR279" i="1"/>
  <c r="AJ279" i="1" s="1" a="1"/>
  <c r="AJ279" i="1" s="1"/>
  <c r="AM279" i="1" l="1" a="1"/>
  <c r="AM279" i="1" s="1"/>
  <c r="AO281" i="3"/>
  <c r="AS281" i="3" s="1"/>
  <c r="AP282" i="3"/>
  <c r="U286" i="3"/>
  <c r="Y286" i="3" s="1"/>
  <c r="V287" i="3"/>
  <c r="AY281" i="3"/>
  <c r="BC281" i="3" s="1"/>
  <c r="AZ282" i="3"/>
  <c r="AJ281" i="3"/>
  <c r="AN281" i="3" s="1"/>
  <c r="AK282" i="3"/>
  <c r="L283" i="3"/>
  <c r="K282" i="3"/>
  <c r="O282" i="3" s="1"/>
  <c r="AT281" i="3"/>
  <c r="AX281" i="3" s="1"/>
  <c r="AU282" i="3"/>
  <c r="Q284" i="3"/>
  <c r="P283" i="3"/>
  <c r="T283" i="3" s="1"/>
  <c r="F281" i="3"/>
  <c r="J281" i="3" s="1"/>
  <c r="G282" i="3"/>
  <c r="Z281" i="3"/>
  <c r="AD281" i="3" s="1"/>
  <c r="AA282" i="3"/>
  <c r="AE282" i="3"/>
  <c r="AI282" i="3" s="1"/>
  <c r="AF283" i="3"/>
  <c r="D295" i="2"/>
  <c r="A296" i="2"/>
  <c r="C295" i="2"/>
  <c r="B295" i="2"/>
  <c r="AX279" i="1"/>
  <c r="AI279" i="1" a="1"/>
  <c r="AI279" i="1" s="1"/>
  <c r="AP281" i="1"/>
  <c r="AU280" i="1"/>
  <c r="AM280" i="1" s="1" a="1"/>
  <c r="AM280" i="1" s="1"/>
  <c r="AV280" i="1" a="1"/>
  <c r="AV280" i="1" s="1"/>
  <c r="AS280" i="1"/>
  <c r="AK280" i="1" s="1" a="1"/>
  <c r="AK280" i="1" s="1"/>
  <c r="AR280" i="1"/>
  <c r="AQ280" i="1"/>
  <c r="AW280" i="1" a="1"/>
  <c r="AW280" i="1" s="1"/>
  <c r="AT280" i="1"/>
  <c r="AL280" i="1" s="1" a="1"/>
  <c r="AL280" i="1" s="1"/>
  <c r="AA280" i="1"/>
  <c r="AF280" i="1"/>
  <c r="AG280" i="1"/>
  <c r="Z281" i="1"/>
  <c r="AD280" i="1"/>
  <c r="AC280" i="1"/>
  <c r="AE280" i="1"/>
  <c r="AB280" i="1"/>
  <c r="AO280" i="1"/>
  <c r="AH281" i="1"/>
  <c r="AN280" i="1"/>
  <c r="AJ280" i="1" l="1" a="1"/>
  <c r="AJ280" i="1" s="1"/>
  <c r="AO282" i="3"/>
  <c r="AS282" i="3" s="1"/>
  <c r="AP283" i="3"/>
  <c r="AF284" i="3"/>
  <c r="AE283" i="3"/>
  <c r="AI283" i="3" s="1"/>
  <c r="L284" i="3"/>
  <c r="K283" i="3"/>
  <c r="O283" i="3" s="1"/>
  <c r="AJ282" i="3"/>
  <c r="AN282" i="3" s="1"/>
  <c r="AK283" i="3"/>
  <c r="Z282" i="3"/>
  <c r="AD282" i="3" s="1"/>
  <c r="AA283" i="3"/>
  <c r="G283" i="3"/>
  <c r="F282" i="3"/>
  <c r="J282" i="3" s="1"/>
  <c r="AY282" i="3"/>
  <c r="BC282" i="3" s="1"/>
  <c r="AZ283" i="3"/>
  <c r="Q285" i="3"/>
  <c r="P284" i="3"/>
  <c r="T284" i="3" s="1"/>
  <c r="U287" i="3"/>
  <c r="Y287" i="3" s="1"/>
  <c r="V288" i="3"/>
  <c r="AT282" i="3"/>
  <c r="AX282" i="3" s="1"/>
  <c r="AU283" i="3"/>
  <c r="C296" i="2"/>
  <c r="A297" i="2"/>
  <c r="B296" i="2"/>
  <c r="D296" i="2"/>
  <c r="AI280" i="1" a="1"/>
  <c r="AI280" i="1" s="1"/>
  <c r="AX280" i="1"/>
  <c r="AS281" i="1"/>
  <c r="AQ281" i="1"/>
  <c r="AT281" i="1"/>
  <c r="AL281" i="1" s="1" a="1"/>
  <c r="AL281" i="1" s="1"/>
  <c r="AR281" i="1"/>
  <c r="AU281" i="1"/>
  <c r="AW281" i="1" a="1"/>
  <c r="AW281" i="1" s="1"/>
  <c r="AV281" i="1" a="1"/>
  <c r="AV281" i="1" s="1"/>
  <c r="AP282" i="1"/>
  <c r="AB281" i="1"/>
  <c r="AF281" i="1"/>
  <c r="AC281" i="1"/>
  <c r="AA281" i="1"/>
  <c r="AG281" i="1"/>
  <c r="AE281" i="1"/>
  <c r="AD281" i="1"/>
  <c r="Z282" i="1"/>
  <c r="AN281" i="1"/>
  <c r="AH282" i="1"/>
  <c r="AO281" i="1"/>
  <c r="AK281" i="1" l="1" a="1"/>
  <c r="AK281" i="1" s="1"/>
  <c r="AM281" i="1" a="1"/>
  <c r="AM281" i="1" s="1"/>
  <c r="AJ281" i="1" a="1"/>
  <c r="AJ281" i="1" s="1"/>
  <c r="AO283" i="3"/>
  <c r="AS283" i="3" s="1"/>
  <c r="AP284" i="3"/>
  <c r="F283" i="3"/>
  <c r="J283" i="3" s="1"/>
  <c r="G284" i="3"/>
  <c r="AT283" i="3"/>
  <c r="AX283" i="3" s="1"/>
  <c r="AU284" i="3"/>
  <c r="AA284" i="3"/>
  <c r="Z283" i="3"/>
  <c r="AD283" i="3" s="1"/>
  <c r="U288" i="3"/>
  <c r="Y288" i="3" s="1"/>
  <c r="V289" i="3"/>
  <c r="AK284" i="3"/>
  <c r="AJ283" i="3"/>
  <c r="AN283" i="3" s="1"/>
  <c r="AY283" i="3"/>
  <c r="BC283" i="3" s="1"/>
  <c r="AZ284" i="3"/>
  <c r="L285" i="3"/>
  <c r="K284" i="3"/>
  <c r="O284" i="3" s="1"/>
  <c r="Q286" i="3"/>
  <c r="P285" i="3"/>
  <c r="T285" i="3" s="1"/>
  <c r="AE284" i="3"/>
  <c r="AI284" i="3" s="1"/>
  <c r="AF285" i="3"/>
  <c r="A298" i="2"/>
  <c r="B297" i="2"/>
  <c r="C297" i="2"/>
  <c r="D297" i="2"/>
  <c r="AE282" i="1"/>
  <c r="AA282" i="1"/>
  <c r="AG282" i="1"/>
  <c r="Z283" i="1"/>
  <c r="AD282" i="1"/>
  <c r="AC282" i="1"/>
  <c r="AB282" i="1"/>
  <c r="AF282" i="1"/>
  <c r="AV282" i="1" a="1"/>
  <c r="AV282" i="1" s="1"/>
  <c r="AW282" i="1" a="1"/>
  <c r="AW282" i="1" s="1"/>
  <c r="AU282" i="1"/>
  <c r="AM282" i="1" s="1" a="1"/>
  <c r="AM282" i="1" s="1"/>
  <c r="AP283" i="1"/>
  <c r="AS282" i="1"/>
  <c r="AT282" i="1"/>
  <c r="AL282" i="1" s="1" a="1"/>
  <c r="AL282" i="1" s="1"/>
  <c r="AR282" i="1"/>
  <c r="AQ282" i="1"/>
  <c r="AN282" i="1"/>
  <c r="AH283" i="1"/>
  <c r="AO282" i="1"/>
  <c r="AX281" i="1"/>
  <c r="AI281" i="1" a="1"/>
  <c r="AI281" i="1" s="1"/>
  <c r="AJ282" i="1" l="1" a="1"/>
  <c r="AJ282" i="1" s="1"/>
  <c r="AK282" i="1" a="1"/>
  <c r="AK282" i="1" s="1"/>
  <c r="AO284" i="3"/>
  <c r="AS284" i="3" s="1"/>
  <c r="AP285" i="3"/>
  <c r="U289" i="3"/>
  <c r="Y289" i="3" s="1"/>
  <c r="V290" i="3"/>
  <c r="AE285" i="3"/>
  <c r="AI285" i="3" s="1"/>
  <c r="AF286" i="3"/>
  <c r="AA285" i="3"/>
  <c r="Z284" i="3"/>
  <c r="AD284" i="3" s="1"/>
  <c r="P286" i="3"/>
  <c r="T286" i="3" s="1"/>
  <c r="Q287" i="3"/>
  <c r="L286" i="3"/>
  <c r="K285" i="3"/>
  <c r="O285" i="3" s="1"/>
  <c r="AU285" i="3"/>
  <c r="AT284" i="3"/>
  <c r="AX284" i="3" s="1"/>
  <c r="AY284" i="3"/>
  <c r="BC284" i="3" s="1"/>
  <c r="AZ285" i="3"/>
  <c r="F284" i="3"/>
  <c r="J284" i="3" s="1"/>
  <c r="G285" i="3"/>
  <c r="AK285" i="3"/>
  <c r="AJ284" i="3"/>
  <c r="AN284" i="3" s="1"/>
  <c r="A299" i="2"/>
  <c r="D298" i="2"/>
  <c r="B298" i="2"/>
  <c r="C298" i="2"/>
  <c r="AT283" i="1"/>
  <c r="AW283" i="1" a="1"/>
  <c r="AW283" i="1" s="1"/>
  <c r="AP284" i="1"/>
  <c r="AU283" i="1"/>
  <c r="AQ283" i="1"/>
  <c r="AR283" i="1"/>
  <c r="AS283" i="1"/>
  <c r="AV283" i="1" a="1"/>
  <c r="AV283" i="1" s="1"/>
  <c r="AO283" i="1"/>
  <c r="AH284" i="1"/>
  <c r="AN283" i="1"/>
  <c r="AI282" i="1" a="1"/>
  <c r="AI282" i="1" s="1"/>
  <c r="AX282" i="1"/>
  <c r="AD283" i="1"/>
  <c r="Z284" i="1"/>
  <c r="AE283" i="1"/>
  <c r="AG283" i="1"/>
  <c r="AF283" i="1"/>
  <c r="AA283" i="1"/>
  <c r="AB283" i="1"/>
  <c r="AC283" i="1"/>
  <c r="AM283" i="1" l="1" a="1"/>
  <c r="AM283" i="1" s="1"/>
  <c r="AK283" i="1" a="1"/>
  <c r="AK283" i="1" s="1"/>
  <c r="AJ283" i="1" a="1"/>
  <c r="AJ283" i="1" s="1"/>
  <c r="AL283" i="1" a="1"/>
  <c r="AL283" i="1" s="1"/>
  <c r="AO285" i="3"/>
  <c r="AS285" i="3" s="1"/>
  <c r="AP286" i="3"/>
  <c r="K286" i="3"/>
  <c r="O286" i="3" s="1"/>
  <c r="L287" i="3"/>
  <c r="AJ285" i="3"/>
  <c r="AN285" i="3" s="1"/>
  <c r="AK286" i="3"/>
  <c r="P287" i="3"/>
  <c r="T287" i="3" s="1"/>
  <c r="Q288" i="3"/>
  <c r="F285" i="3"/>
  <c r="J285" i="3" s="1"/>
  <c r="G286" i="3"/>
  <c r="AA286" i="3"/>
  <c r="Z285" i="3"/>
  <c r="AD285" i="3" s="1"/>
  <c r="AZ286" i="3"/>
  <c r="AY285" i="3"/>
  <c r="BC285" i="3" s="1"/>
  <c r="AE286" i="3"/>
  <c r="AI286" i="3" s="1"/>
  <c r="AF287" i="3"/>
  <c r="AT285" i="3"/>
  <c r="AX285" i="3" s="1"/>
  <c r="AU286" i="3"/>
  <c r="V291" i="3"/>
  <c r="U290" i="3"/>
  <c r="Y290" i="3" s="1"/>
  <c r="B299" i="2"/>
  <c r="C299" i="2"/>
  <c r="A300" i="2"/>
  <c r="D299" i="2"/>
  <c r="AO284" i="1"/>
  <c r="AH285" i="1"/>
  <c r="AN284" i="1"/>
  <c r="AX283" i="1"/>
  <c r="AI283" i="1" a="1"/>
  <c r="AI283" i="1" s="1"/>
  <c r="AG284" i="1"/>
  <c r="AD284" i="1"/>
  <c r="AE284" i="1"/>
  <c r="AA284" i="1"/>
  <c r="AC284" i="1"/>
  <c r="AB284" i="1"/>
  <c r="AF284" i="1"/>
  <c r="Z285" i="1"/>
  <c r="AR284" i="1"/>
  <c r="AJ284" i="1" s="1" a="1"/>
  <c r="AJ284" i="1" s="1"/>
  <c r="AS284" i="1"/>
  <c r="AK284" i="1" s="1" a="1"/>
  <c r="AK284" i="1" s="1"/>
  <c r="AP285" i="1"/>
  <c r="AQ284" i="1"/>
  <c r="AT284" i="1"/>
  <c r="AL284" i="1" s="1" a="1"/>
  <c r="AL284" i="1" s="1"/>
  <c r="AV284" i="1" a="1"/>
  <c r="AV284" i="1" s="1"/>
  <c r="AW284" i="1" a="1"/>
  <c r="AW284" i="1" s="1"/>
  <c r="AU284" i="1"/>
  <c r="AM284" i="1" s="1" a="1"/>
  <c r="AM284" i="1" s="1"/>
  <c r="AP287" i="3" l="1"/>
  <c r="AO286" i="3"/>
  <c r="AS286" i="3" s="1"/>
  <c r="F286" i="3"/>
  <c r="J286" i="3" s="1"/>
  <c r="G287" i="3"/>
  <c r="Z286" i="3"/>
  <c r="AD286" i="3" s="1"/>
  <c r="AA287" i="3"/>
  <c r="V292" i="3"/>
  <c r="U291" i="3"/>
  <c r="Y291" i="3" s="1"/>
  <c r="P288" i="3"/>
  <c r="T288" i="3" s="1"/>
  <c r="Q289" i="3"/>
  <c r="AT286" i="3"/>
  <c r="AX286" i="3" s="1"/>
  <c r="AU287" i="3"/>
  <c r="AJ286" i="3"/>
  <c r="AN286" i="3" s="1"/>
  <c r="AK287" i="3"/>
  <c r="AF288" i="3"/>
  <c r="AE287" i="3"/>
  <c r="AI287" i="3" s="1"/>
  <c r="AZ287" i="3"/>
  <c r="AY286" i="3"/>
  <c r="BC286" i="3" s="1"/>
  <c r="L288" i="3"/>
  <c r="K287" i="3"/>
  <c r="O287" i="3" s="1"/>
  <c r="D300" i="2"/>
  <c r="B300" i="2"/>
  <c r="A301" i="2"/>
  <c r="C300" i="2"/>
  <c r="AX284" i="1"/>
  <c r="AI284" i="1" a="1"/>
  <c r="AI284" i="1" s="1"/>
  <c r="AS285" i="1"/>
  <c r="AK285" i="1" s="1" a="1"/>
  <c r="AK285" i="1" s="1"/>
  <c r="AP286" i="1"/>
  <c r="AT285" i="1"/>
  <c r="AL285" i="1" s="1" a="1"/>
  <c r="AL285" i="1" s="1"/>
  <c r="AR285" i="1"/>
  <c r="AV285" i="1" a="1"/>
  <c r="AV285" i="1" s="1"/>
  <c r="AU285" i="1"/>
  <c r="AQ285" i="1"/>
  <c r="AW285" i="1" a="1"/>
  <c r="AW285" i="1" s="1"/>
  <c r="AN285" i="1"/>
  <c r="AO285" i="1"/>
  <c r="AH286" i="1"/>
  <c r="AC285" i="1"/>
  <c r="AB285" i="1"/>
  <c r="AF285" i="1"/>
  <c r="AD285" i="1"/>
  <c r="AA285" i="1"/>
  <c r="AG285" i="1"/>
  <c r="Z286" i="1"/>
  <c r="AE285" i="1"/>
  <c r="AJ285" i="1" l="1" a="1"/>
  <c r="AJ285" i="1" s="1"/>
  <c r="AM285" i="1" a="1"/>
  <c r="AM285" i="1" s="1"/>
  <c r="AO287" i="3"/>
  <c r="AS287" i="3" s="1"/>
  <c r="AP288" i="3"/>
  <c r="P289" i="3"/>
  <c r="T289" i="3" s="1"/>
  <c r="Q290" i="3"/>
  <c r="K288" i="3"/>
  <c r="O288" i="3" s="1"/>
  <c r="L289" i="3"/>
  <c r="AZ288" i="3"/>
  <c r="AY287" i="3"/>
  <c r="BC287" i="3" s="1"/>
  <c r="U292" i="3"/>
  <c r="Y292" i="3" s="1"/>
  <c r="V293" i="3"/>
  <c r="Z287" i="3"/>
  <c r="AD287" i="3" s="1"/>
  <c r="AA288" i="3"/>
  <c r="AT287" i="3"/>
  <c r="AX287" i="3" s="1"/>
  <c r="AU288" i="3"/>
  <c r="AF289" i="3"/>
  <c r="AE288" i="3"/>
  <c r="AI288" i="3" s="1"/>
  <c r="AJ287" i="3"/>
  <c r="AN287" i="3" s="1"/>
  <c r="AK288" i="3"/>
  <c r="F287" i="3"/>
  <c r="J287" i="3" s="1"/>
  <c r="G288" i="3"/>
  <c r="D301" i="2"/>
  <c r="A302" i="2"/>
  <c r="B301" i="2"/>
  <c r="C301" i="2"/>
  <c r="AX285" i="1"/>
  <c r="AI285" i="1" a="1"/>
  <c r="AI285" i="1" s="1"/>
  <c r="AP287" i="1"/>
  <c r="AR286" i="1"/>
  <c r="AJ286" i="1" s="1" a="1"/>
  <c r="AJ286" i="1" s="1"/>
  <c r="AW286" i="1" a="1"/>
  <c r="AW286" i="1" s="1"/>
  <c r="AQ286" i="1"/>
  <c r="AT286" i="1"/>
  <c r="AL286" i="1" s="1" a="1"/>
  <c r="AL286" i="1" s="1"/>
  <c r="AU286" i="1"/>
  <c r="AV286" i="1" a="1"/>
  <c r="AV286" i="1" s="1"/>
  <c r="AS286" i="1"/>
  <c r="AK286" i="1" s="1" a="1"/>
  <c r="AK286" i="1" s="1"/>
  <c r="AA286" i="1"/>
  <c r="AG286" i="1"/>
  <c r="AF286" i="1"/>
  <c r="AD286" i="1"/>
  <c r="AE286" i="1"/>
  <c r="AC286" i="1"/>
  <c r="AB286" i="1"/>
  <c r="Z287" i="1"/>
  <c r="AO286" i="1"/>
  <c r="AN286" i="1"/>
  <c r="AH287" i="1"/>
  <c r="AM286" i="1" l="1" a="1"/>
  <c r="AM286" i="1" s="1"/>
  <c r="AP289" i="3"/>
  <c r="AO288" i="3"/>
  <c r="AS288" i="3" s="1"/>
  <c r="F288" i="3"/>
  <c r="J288" i="3" s="1"/>
  <c r="G289" i="3"/>
  <c r="V294" i="3"/>
  <c r="U293" i="3"/>
  <c r="Y293" i="3" s="1"/>
  <c r="AJ288" i="3"/>
  <c r="AN288" i="3" s="1"/>
  <c r="AK289" i="3"/>
  <c r="AY288" i="3"/>
  <c r="BC288" i="3" s="1"/>
  <c r="AZ289" i="3"/>
  <c r="AE289" i="3"/>
  <c r="AI289" i="3" s="1"/>
  <c r="AF290" i="3"/>
  <c r="K289" i="3"/>
  <c r="O289" i="3" s="1"/>
  <c r="L290" i="3"/>
  <c r="AT288" i="3"/>
  <c r="AX288" i="3" s="1"/>
  <c r="AU289" i="3"/>
  <c r="P290" i="3"/>
  <c r="T290" i="3" s="1"/>
  <c r="Q291" i="3"/>
  <c r="AA289" i="3"/>
  <c r="Z288" i="3"/>
  <c r="AD288" i="3" s="1"/>
  <c r="C302" i="2"/>
  <c r="B302" i="2"/>
  <c r="D302" i="2"/>
  <c r="A303" i="2"/>
  <c r="AH288" i="1"/>
  <c r="AN287" i="1"/>
  <c r="AO287" i="1"/>
  <c r="AX286" i="1"/>
  <c r="AI286" i="1" a="1"/>
  <c r="AI286" i="1" s="1"/>
  <c r="AW287" i="1" a="1"/>
  <c r="AW287" i="1" s="1"/>
  <c r="AT287" i="1"/>
  <c r="AR287" i="1"/>
  <c r="AJ287" i="1" s="1" a="1"/>
  <c r="AJ287" i="1" s="1"/>
  <c r="AU287" i="1"/>
  <c r="AQ287" i="1"/>
  <c r="AP288" i="1"/>
  <c r="AV287" i="1" a="1"/>
  <c r="AV287" i="1" s="1"/>
  <c r="AS287" i="1"/>
  <c r="AG287" i="1"/>
  <c r="AE287" i="1"/>
  <c r="AF287" i="1"/>
  <c r="Z288" i="1"/>
  <c r="AA287" i="1"/>
  <c r="AB287" i="1"/>
  <c r="AC287" i="1"/>
  <c r="AD287" i="1"/>
  <c r="AM287" i="1" l="1" a="1"/>
  <c r="AM287" i="1" s="1"/>
  <c r="AL287" i="1" a="1"/>
  <c r="AL287" i="1" s="1"/>
  <c r="AK287" i="1" a="1"/>
  <c r="AK287" i="1" s="1"/>
  <c r="AP290" i="3"/>
  <c r="AO289" i="3"/>
  <c r="AS289" i="3" s="1"/>
  <c r="AY289" i="3"/>
  <c r="BC289" i="3" s="1"/>
  <c r="AZ290" i="3"/>
  <c r="AJ289" i="3"/>
  <c r="AN289" i="3" s="1"/>
  <c r="AK290" i="3"/>
  <c r="Z289" i="3"/>
  <c r="AD289" i="3" s="1"/>
  <c r="AA290" i="3"/>
  <c r="Q292" i="3"/>
  <c r="P291" i="3"/>
  <c r="T291" i="3" s="1"/>
  <c r="AT289" i="3"/>
  <c r="AX289" i="3" s="1"/>
  <c r="AU290" i="3"/>
  <c r="U294" i="3"/>
  <c r="Y294" i="3" s="1"/>
  <c r="V295" i="3"/>
  <c r="K290" i="3"/>
  <c r="O290" i="3" s="1"/>
  <c r="L291" i="3"/>
  <c r="F289" i="3"/>
  <c r="J289" i="3" s="1"/>
  <c r="G290" i="3"/>
  <c r="AE290" i="3"/>
  <c r="AI290" i="3" s="1"/>
  <c r="AF291" i="3"/>
  <c r="D303" i="2"/>
  <c r="B303" i="2"/>
  <c r="A304" i="2"/>
  <c r="C303" i="2"/>
  <c r="AU288" i="1"/>
  <c r="AM288" i="1" s="1" a="1"/>
  <c r="AM288" i="1" s="1"/>
  <c r="AT288" i="1"/>
  <c r="AL288" i="1" s="1" a="1"/>
  <c r="AL288" i="1" s="1"/>
  <c r="AQ288" i="1"/>
  <c r="AV288" i="1" a="1"/>
  <c r="AV288" i="1" s="1"/>
  <c r="AP289" i="1"/>
  <c r="AR288" i="1"/>
  <c r="AS288" i="1"/>
  <c r="AK288" i="1" s="1" a="1"/>
  <c r="AK288" i="1" s="1"/>
  <c r="AW288" i="1" a="1"/>
  <c r="AW288" i="1" s="1"/>
  <c r="AI287" i="1" a="1"/>
  <c r="AI287" i="1" s="1"/>
  <c r="AX287" i="1"/>
  <c r="AD288" i="1"/>
  <c r="AA288" i="1"/>
  <c r="AG288" i="1"/>
  <c r="AE288" i="1"/>
  <c r="AF288" i="1"/>
  <c r="AB288" i="1"/>
  <c r="AC288" i="1"/>
  <c r="Z289" i="1"/>
  <c r="AH289" i="1"/>
  <c r="AN288" i="1"/>
  <c r="AO288" i="1"/>
  <c r="AJ288" i="1" l="1" a="1"/>
  <c r="AJ288" i="1" s="1"/>
  <c r="AO290" i="3"/>
  <c r="AS290" i="3" s="1"/>
  <c r="AP291" i="3"/>
  <c r="U295" i="3"/>
  <c r="Y295" i="3" s="1"/>
  <c r="V296" i="3"/>
  <c r="AU291" i="3"/>
  <c r="AT290" i="3"/>
  <c r="AX290" i="3" s="1"/>
  <c r="AE291" i="3"/>
  <c r="AI291" i="3" s="1"/>
  <c r="AF292" i="3"/>
  <c r="Q293" i="3"/>
  <c r="P292" i="3"/>
  <c r="T292" i="3" s="1"/>
  <c r="F290" i="3"/>
  <c r="J290" i="3" s="1"/>
  <c r="G291" i="3"/>
  <c r="AA291" i="3"/>
  <c r="Z290" i="3"/>
  <c r="AD290" i="3" s="1"/>
  <c r="AJ290" i="3"/>
  <c r="AN290" i="3" s="1"/>
  <c r="AK291" i="3"/>
  <c r="K291" i="3"/>
  <c r="O291" i="3" s="1"/>
  <c r="L292" i="3"/>
  <c r="AY290" i="3"/>
  <c r="BC290" i="3" s="1"/>
  <c r="AZ291" i="3"/>
  <c r="C304" i="2"/>
  <c r="D304" i="2"/>
  <c r="A305" i="2"/>
  <c r="B304" i="2"/>
  <c r="AN289" i="1"/>
  <c r="AH290" i="1"/>
  <c r="AO289" i="1"/>
  <c r="AB289" i="1"/>
  <c r="Z290" i="1"/>
  <c r="AF289" i="1"/>
  <c r="AG289" i="1"/>
  <c r="AD289" i="1"/>
  <c r="AC289" i="1"/>
  <c r="AE289" i="1"/>
  <c r="AA289" i="1"/>
  <c r="AS289" i="1"/>
  <c r="AT289" i="1"/>
  <c r="AW289" i="1" a="1"/>
  <c r="AW289" i="1" s="1"/>
  <c r="AP290" i="1"/>
  <c r="AV289" i="1" a="1"/>
  <c r="AV289" i="1" s="1"/>
  <c r="AU289" i="1"/>
  <c r="AR289" i="1"/>
  <c r="AJ289" i="1" s="1" a="1"/>
  <c r="AJ289" i="1" s="1"/>
  <c r="AQ289" i="1"/>
  <c r="AX288" i="1"/>
  <c r="AI288" i="1" a="1"/>
  <c r="AI288" i="1" s="1"/>
  <c r="AM289" i="1" l="1" a="1"/>
  <c r="AM289" i="1" s="1"/>
  <c r="AL289" i="1" a="1"/>
  <c r="AL289" i="1" s="1"/>
  <c r="AK289" i="1" a="1"/>
  <c r="AK289" i="1" s="1"/>
  <c r="AO291" i="3"/>
  <c r="AS291" i="3" s="1"/>
  <c r="AP292" i="3"/>
  <c r="AZ292" i="3"/>
  <c r="AY291" i="3"/>
  <c r="BC291" i="3" s="1"/>
  <c r="P293" i="3"/>
  <c r="T293" i="3" s="1"/>
  <c r="Q294" i="3"/>
  <c r="AE292" i="3"/>
  <c r="AI292" i="3" s="1"/>
  <c r="AF293" i="3"/>
  <c r="L293" i="3"/>
  <c r="K292" i="3"/>
  <c r="O292" i="3" s="1"/>
  <c r="AJ291" i="3"/>
  <c r="AN291" i="3" s="1"/>
  <c r="AK292" i="3"/>
  <c r="AT291" i="3"/>
  <c r="AX291" i="3" s="1"/>
  <c r="AU292" i="3"/>
  <c r="Z291" i="3"/>
  <c r="AD291" i="3" s="1"/>
  <c r="AA292" i="3"/>
  <c r="U296" i="3"/>
  <c r="Y296" i="3" s="1"/>
  <c r="V297" i="3"/>
  <c r="F291" i="3"/>
  <c r="J291" i="3" s="1"/>
  <c r="G292" i="3"/>
  <c r="D305" i="2"/>
  <c r="B305" i="2"/>
  <c r="C305" i="2"/>
  <c r="A306" i="2"/>
  <c r="Z291" i="1"/>
  <c r="AC290" i="1"/>
  <c r="AG290" i="1"/>
  <c r="AB290" i="1"/>
  <c r="AF290" i="1"/>
  <c r="AA290" i="1"/>
  <c r="AE290" i="1"/>
  <c r="AD290" i="1"/>
  <c r="AP291" i="1"/>
  <c r="AR290" i="1"/>
  <c r="AJ290" i="1" s="1" a="1"/>
  <c r="AJ290" i="1" s="1"/>
  <c r="AT290" i="1"/>
  <c r="AS290" i="1"/>
  <c r="AU290" i="1"/>
  <c r="AW290" i="1" a="1"/>
  <c r="AW290" i="1" s="1"/>
  <c r="AQ290" i="1"/>
  <c r="AV290" i="1" a="1"/>
  <c r="AV290" i="1" s="1"/>
  <c r="AX289" i="1"/>
  <c r="AI289" i="1" a="1"/>
  <c r="AI289" i="1" s="1"/>
  <c r="AO290" i="1"/>
  <c r="AN290" i="1"/>
  <c r="AH291" i="1"/>
  <c r="AK290" i="1" l="1" a="1"/>
  <c r="AK290" i="1" s="1"/>
  <c r="AL290" i="1" a="1"/>
  <c r="AL290" i="1" s="1"/>
  <c r="AM290" i="1" a="1"/>
  <c r="AM290" i="1" s="1"/>
  <c r="AO292" i="3"/>
  <c r="AS292" i="3" s="1"/>
  <c r="AP293" i="3"/>
  <c r="AU293" i="3"/>
  <c r="AT292" i="3"/>
  <c r="AX292" i="3" s="1"/>
  <c r="G293" i="3"/>
  <c r="F292" i="3"/>
  <c r="J292" i="3" s="1"/>
  <c r="AJ292" i="3"/>
  <c r="AN292" i="3" s="1"/>
  <c r="AK293" i="3"/>
  <c r="V298" i="3"/>
  <c r="U297" i="3"/>
  <c r="Y297" i="3" s="1"/>
  <c r="K293" i="3"/>
  <c r="O293" i="3" s="1"/>
  <c r="L294" i="3"/>
  <c r="AF294" i="3"/>
  <c r="AE293" i="3"/>
  <c r="AI293" i="3" s="1"/>
  <c r="Z292" i="3"/>
  <c r="AD292" i="3" s="1"/>
  <c r="AA293" i="3"/>
  <c r="P294" i="3"/>
  <c r="T294" i="3" s="1"/>
  <c r="Q295" i="3"/>
  <c r="AY292" i="3"/>
  <c r="BC292" i="3" s="1"/>
  <c r="AZ293" i="3"/>
  <c r="D306" i="2"/>
  <c r="B306" i="2"/>
  <c r="C306" i="2"/>
  <c r="A307" i="2"/>
  <c r="AO291" i="1"/>
  <c r="AH292" i="1"/>
  <c r="AN291" i="1"/>
  <c r="AP292" i="1"/>
  <c r="AW291" i="1" a="1"/>
  <c r="AW291" i="1" s="1"/>
  <c r="AT291" i="1"/>
  <c r="AL291" i="1" s="1" a="1"/>
  <c r="AL291" i="1" s="1"/>
  <c r="AQ291" i="1"/>
  <c r="AV291" i="1" a="1"/>
  <c r="AV291" i="1" s="1"/>
  <c r="AR291" i="1"/>
  <c r="AJ291" i="1" s="1" a="1"/>
  <c r="AJ291" i="1" s="1"/>
  <c r="AU291" i="1"/>
  <c r="AM291" i="1" s="1" a="1"/>
  <c r="AM291" i="1" s="1"/>
  <c r="AS291" i="1"/>
  <c r="AX290" i="1"/>
  <c r="AI290" i="1" a="1"/>
  <c r="AI290" i="1" s="1"/>
  <c r="AG291" i="1"/>
  <c r="AA291" i="1"/>
  <c r="Z292" i="1"/>
  <c r="AD291" i="1"/>
  <c r="AC291" i="1"/>
  <c r="AF291" i="1"/>
  <c r="AE291" i="1"/>
  <c r="AB291" i="1"/>
  <c r="AK291" i="1" l="1" a="1"/>
  <c r="AK291" i="1" s="1"/>
  <c r="AO293" i="3"/>
  <c r="AS293" i="3" s="1"/>
  <c r="AP294" i="3"/>
  <c r="L295" i="3"/>
  <c r="K294" i="3"/>
  <c r="O294" i="3" s="1"/>
  <c r="AY293" i="3"/>
  <c r="BC293" i="3" s="1"/>
  <c r="AZ294" i="3"/>
  <c r="V299" i="3"/>
  <c r="U298" i="3"/>
  <c r="Y298" i="3" s="1"/>
  <c r="AJ293" i="3"/>
  <c r="AN293" i="3" s="1"/>
  <c r="AK294" i="3"/>
  <c r="P295" i="3"/>
  <c r="T295" i="3" s="1"/>
  <c r="Q296" i="3"/>
  <c r="Z293" i="3"/>
  <c r="AD293" i="3" s="1"/>
  <c r="AA294" i="3"/>
  <c r="F293" i="3"/>
  <c r="J293" i="3" s="1"/>
  <c r="G294" i="3"/>
  <c r="AE294" i="3"/>
  <c r="AI294" i="3" s="1"/>
  <c r="AF295" i="3"/>
  <c r="AT293" i="3"/>
  <c r="AX293" i="3" s="1"/>
  <c r="AU294" i="3"/>
  <c r="D307" i="2"/>
  <c r="C307" i="2"/>
  <c r="B307" i="2"/>
  <c r="A308" i="2"/>
  <c r="AX291" i="1"/>
  <c r="AI291" i="1" a="1"/>
  <c r="AI291" i="1" s="1"/>
  <c r="AA292" i="1"/>
  <c r="AB292" i="1"/>
  <c r="AE292" i="1"/>
  <c r="Z293" i="1"/>
  <c r="AF292" i="1"/>
  <c r="AD292" i="1"/>
  <c r="AG292" i="1"/>
  <c r="AC292" i="1"/>
  <c r="AR292" i="1"/>
  <c r="AJ292" i="1" s="1" a="1"/>
  <c r="AJ292" i="1" s="1"/>
  <c r="AQ292" i="1"/>
  <c r="AW292" i="1" a="1"/>
  <c r="AW292" i="1" s="1"/>
  <c r="AP293" i="1"/>
  <c r="AV292" i="1" a="1"/>
  <c r="AV292" i="1" s="1"/>
  <c r="AS292" i="1"/>
  <c r="AK292" i="1" s="1" a="1"/>
  <c r="AK292" i="1" s="1"/>
  <c r="AU292" i="1"/>
  <c r="AM292" i="1" s="1" a="1"/>
  <c r="AM292" i="1" s="1"/>
  <c r="AT292" i="1"/>
  <c r="AL292" i="1" s="1" a="1"/>
  <c r="AL292" i="1" s="1"/>
  <c r="AN292" i="1"/>
  <c r="AO292" i="1"/>
  <c r="AH293" i="1"/>
  <c r="AO294" i="3" l="1"/>
  <c r="AS294" i="3" s="1"/>
  <c r="AP295" i="3"/>
  <c r="AK295" i="3"/>
  <c r="AJ294" i="3"/>
  <c r="AN294" i="3" s="1"/>
  <c r="AT294" i="3"/>
  <c r="AX294" i="3" s="1"/>
  <c r="AU295" i="3"/>
  <c r="AE295" i="3"/>
  <c r="AI295" i="3" s="1"/>
  <c r="AF296" i="3"/>
  <c r="F294" i="3"/>
  <c r="J294" i="3" s="1"/>
  <c r="G295" i="3"/>
  <c r="U299" i="3"/>
  <c r="Y299" i="3" s="1"/>
  <c r="V300" i="3"/>
  <c r="AZ295" i="3"/>
  <c r="AY294" i="3"/>
  <c r="BC294" i="3" s="1"/>
  <c r="AA295" i="3"/>
  <c r="Z294" i="3"/>
  <c r="AD294" i="3" s="1"/>
  <c r="Q297" i="3"/>
  <c r="P296" i="3"/>
  <c r="T296" i="3" s="1"/>
  <c r="K295" i="3"/>
  <c r="O295" i="3" s="1"/>
  <c r="L296" i="3"/>
  <c r="A309" i="2"/>
  <c r="D308" i="2"/>
  <c r="B308" i="2"/>
  <c r="C308" i="2"/>
  <c r="AI292" i="1" a="1"/>
  <c r="AI292" i="1" s="1"/>
  <c r="AX292" i="1"/>
  <c r="AC293" i="1"/>
  <c r="AB293" i="1"/>
  <c r="AD293" i="1"/>
  <c r="AE293" i="1"/>
  <c r="AF293" i="1"/>
  <c r="AG293" i="1"/>
  <c r="Z294" i="1"/>
  <c r="AA293" i="1"/>
  <c r="AN293" i="1"/>
  <c r="AO293" i="1"/>
  <c r="AH294" i="1"/>
  <c r="AW293" i="1" a="1"/>
  <c r="AW293" i="1" s="1"/>
  <c r="AT293" i="1"/>
  <c r="AL293" i="1" s="1" a="1"/>
  <c r="AL293" i="1" s="1"/>
  <c r="AQ293" i="1"/>
  <c r="AR293" i="1"/>
  <c r="AJ293" i="1" s="1" a="1"/>
  <c r="AJ293" i="1" s="1"/>
  <c r="AP294" i="1"/>
  <c r="AS293" i="1"/>
  <c r="AK293" i="1" s="1" a="1"/>
  <c r="AK293" i="1" s="1"/>
  <c r="AV293" i="1" a="1"/>
  <c r="AV293" i="1" s="1"/>
  <c r="AU293" i="1"/>
  <c r="AM293" i="1" s="1" a="1"/>
  <c r="AM293" i="1" s="1"/>
  <c r="AO295" i="3" l="1"/>
  <c r="AS295" i="3" s="1"/>
  <c r="AP296" i="3"/>
  <c r="G296" i="3"/>
  <c r="F295" i="3"/>
  <c r="J295" i="3" s="1"/>
  <c r="K296" i="3"/>
  <c r="O296" i="3" s="1"/>
  <c r="L297" i="3"/>
  <c r="AE296" i="3"/>
  <c r="AI296" i="3" s="1"/>
  <c r="AF297" i="3"/>
  <c r="P297" i="3"/>
  <c r="T297" i="3" s="1"/>
  <c r="Q298" i="3"/>
  <c r="AA296" i="3"/>
  <c r="Z295" i="3"/>
  <c r="AD295" i="3" s="1"/>
  <c r="AT295" i="3"/>
  <c r="AX295" i="3" s="1"/>
  <c r="AU296" i="3"/>
  <c r="AY295" i="3"/>
  <c r="BC295" i="3" s="1"/>
  <c r="AZ296" i="3"/>
  <c r="V301" i="3"/>
  <c r="U300" i="3"/>
  <c r="Y300" i="3" s="1"/>
  <c r="AK296" i="3"/>
  <c r="AJ295" i="3"/>
  <c r="AN295" i="3" s="1"/>
  <c r="A310" i="2"/>
  <c r="B309" i="2"/>
  <c r="D309" i="2"/>
  <c r="C309" i="2"/>
  <c r="AF294" i="1"/>
  <c r="AB294" i="1"/>
  <c r="Z295" i="1"/>
  <c r="AC294" i="1"/>
  <c r="AG294" i="1"/>
  <c r="AE294" i="1"/>
  <c r="AA294" i="1"/>
  <c r="AD294" i="1"/>
  <c r="AV294" i="1" a="1"/>
  <c r="AV294" i="1" s="1"/>
  <c r="AW294" i="1" a="1"/>
  <c r="AW294" i="1" s="1"/>
  <c r="AU294" i="1"/>
  <c r="AM294" i="1" s="1" a="1"/>
  <c r="AM294" i="1" s="1"/>
  <c r="AR294" i="1"/>
  <c r="AJ294" i="1" s="1" a="1"/>
  <c r="AJ294" i="1" s="1"/>
  <c r="AS294" i="1"/>
  <c r="AK294" i="1" s="1" a="1"/>
  <c r="AK294" i="1" s="1"/>
  <c r="AT294" i="1"/>
  <c r="AL294" i="1" s="1" a="1"/>
  <c r="AL294" i="1" s="1"/>
  <c r="AP295" i="1"/>
  <c r="AQ294" i="1"/>
  <c r="AX293" i="1"/>
  <c r="AI293" i="1" a="1"/>
  <c r="AI293" i="1" s="1"/>
  <c r="AN294" i="1"/>
  <c r="AO294" i="1"/>
  <c r="AH295" i="1"/>
  <c r="AO296" i="3" l="1"/>
  <c r="AS296" i="3" s="1"/>
  <c r="AP297" i="3"/>
  <c r="AA297" i="3"/>
  <c r="Z296" i="3"/>
  <c r="AD296" i="3" s="1"/>
  <c r="AK297" i="3"/>
  <c r="AJ296" i="3"/>
  <c r="AN296" i="3" s="1"/>
  <c r="Q299" i="3"/>
  <c r="P298" i="3"/>
  <c r="T298" i="3" s="1"/>
  <c r="AF298" i="3"/>
  <c r="AE297" i="3"/>
  <c r="AI297" i="3" s="1"/>
  <c r="V302" i="3"/>
  <c r="U301" i="3"/>
  <c r="Y301" i="3" s="1"/>
  <c r="AY296" i="3"/>
  <c r="BC296" i="3" s="1"/>
  <c r="AZ297" i="3"/>
  <c r="L298" i="3"/>
  <c r="K297" i="3"/>
  <c r="O297" i="3" s="1"/>
  <c r="AU297" i="3"/>
  <c r="AT296" i="3"/>
  <c r="AX296" i="3" s="1"/>
  <c r="F296" i="3"/>
  <c r="J296" i="3" s="1"/>
  <c r="G297" i="3"/>
  <c r="C310" i="2"/>
  <c r="D310" i="2"/>
  <c r="B310" i="2"/>
  <c r="A311" i="2"/>
  <c r="AO295" i="1"/>
  <c r="AN295" i="1"/>
  <c r="AH296" i="1"/>
  <c r="AX294" i="1"/>
  <c r="AI294" i="1" a="1"/>
  <c r="AI294" i="1" s="1"/>
  <c r="AR295" i="1"/>
  <c r="AV295" i="1" a="1"/>
  <c r="AV295" i="1" s="1"/>
  <c r="AS295" i="1"/>
  <c r="AU295" i="1"/>
  <c r="AP296" i="1"/>
  <c r="AW295" i="1" a="1"/>
  <c r="AW295" i="1" s="1"/>
  <c r="AQ295" i="1"/>
  <c r="AT295" i="1"/>
  <c r="AA295" i="1"/>
  <c r="AD295" i="1"/>
  <c r="Z296" i="1"/>
  <c r="AF295" i="1"/>
  <c r="AG295" i="1"/>
  <c r="AC295" i="1"/>
  <c r="AE295" i="1"/>
  <c r="AB295" i="1"/>
  <c r="AK295" i="1" l="1" a="1"/>
  <c r="AK295" i="1" s="1"/>
  <c r="AM295" i="1" a="1"/>
  <c r="AM295" i="1" s="1"/>
  <c r="AJ295" i="1" a="1"/>
  <c r="AJ295" i="1" s="1"/>
  <c r="AL295" i="1" a="1"/>
  <c r="AL295" i="1" s="1"/>
  <c r="AP298" i="3"/>
  <c r="AO297" i="3"/>
  <c r="AS297" i="3" s="1"/>
  <c r="V303" i="3"/>
  <c r="U302" i="3"/>
  <c r="Y302" i="3" s="1"/>
  <c r="F297" i="3"/>
  <c r="J297" i="3" s="1"/>
  <c r="G298" i="3"/>
  <c r="AE298" i="3"/>
  <c r="AI298" i="3" s="1"/>
  <c r="AF299" i="3"/>
  <c r="P299" i="3"/>
  <c r="T299" i="3" s="1"/>
  <c r="Q300" i="3"/>
  <c r="AT297" i="3"/>
  <c r="AX297" i="3" s="1"/>
  <c r="AU298" i="3"/>
  <c r="AK298" i="3"/>
  <c r="AJ297" i="3"/>
  <c r="AN297" i="3" s="1"/>
  <c r="L299" i="3"/>
  <c r="K298" i="3"/>
  <c r="O298" i="3" s="1"/>
  <c r="AY297" i="3"/>
  <c r="BC297" i="3" s="1"/>
  <c r="AZ298" i="3"/>
  <c r="AA298" i="3"/>
  <c r="Z297" i="3"/>
  <c r="AD297" i="3" s="1"/>
  <c r="B311" i="2"/>
  <c r="C311" i="2"/>
  <c r="A312" i="2"/>
  <c r="D311" i="2"/>
  <c r="AI295" i="1" a="1"/>
  <c r="AI295" i="1" s="1"/>
  <c r="AX295" i="1"/>
  <c r="AS296" i="1"/>
  <c r="AQ296" i="1"/>
  <c r="AV296" i="1" a="1"/>
  <c r="AV296" i="1" s="1"/>
  <c r="AW296" i="1" a="1"/>
  <c r="AW296" i="1" s="1"/>
  <c r="AR296" i="1"/>
  <c r="AJ296" i="1" s="1" a="1"/>
  <c r="AJ296" i="1" s="1"/>
  <c r="AT296" i="1"/>
  <c r="AL296" i="1" s="1" a="1"/>
  <c r="AL296" i="1" s="1"/>
  <c r="AP297" i="1"/>
  <c r="AU296" i="1"/>
  <c r="AM296" i="1" s="1" a="1"/>
  <c r="AM296" i="1" s="1"/>
  <c r="AA296" i="1"/>
  <c r="AF296" i="1"/>
  <c r="Z297" i="1"/>
  <c r="AG296" i="1"/>
  <c r="AE296" i="1"/>
  <c r="AB296" i="1"/>
  <c r="AC296" i="1"/>
  <c r="AD296" i="1"/>
  <c r="AH297" i="1"/>
  <c r="AO296" i="1"/>
  <c r="AN296" i="1"/>
  <c r="AK296" i="1" l="1" a="1"/>
  <c r="AK296" i="1" s="1"/>
  <c r="AO298" i="3"/>
  <c r="AS298" i="3" s="1"/>
  <c r="AP299" i="3"/>
  <c r="AT298" i="3"/>
  <c r="AX298" i="3" s="1"/>
  <c r="AU299" i="3"/>
  <c r="Q301" i="3"/>
  <c r="P300" i="3"/>
  <c r="T300" i="3" s="1"/>
  <c r="Z298" i="3"/>
  <c r="AD298" i="3" s="1"/>
  <c r="AA299" i="3"/>
  <c r="AY298" i="3"/>
  <c r="BC298" i="3" s="1"/>
  <c r="AZ299" i="3"/>
  <c r="AF300" i="3"/>
  <c r="AE299" i="3"/>
  <c r="AI299" i="3" s="1"/>
  <c r="F298" i="3"/>
  <c r="J298" i="3" s="1"/>
  <c r="G299" i="3"/>
  <c r="L300" i="3"/>
  <c r="K299" i="3"/>
  <c r="O299" i="3" s="1"/>
  <c r="AK299" i="3"/>
  <c r="AJ298" i="3"/>
  <c r="AN298" i="3" s="1"/>
  <c r="V304" i="3"/>
  <c r="U303" i="3"/>
  <c r="Y303" i="3" s="1"/>
  <c r="D312" i="2"/>
  <c r="A313" i="2"/>
  <c r="B312" i="2"/>
  <c r="C312" i="2"/>
  <c r="AS297" i="1"/>
  <c r="AP298" i="1"/>
  <c r="AT297" i="1"/>
  <c r="AR297" i="1"/>
  <c r="AJ297" i="1" s="1" a="1"/>
  <c r="AJ297" i="1" s="1"/>
  <c r="AW297" i="1" a="1"/>
  <c r="AW297" i="1" s="1"/>
  <c r="AU297" i="1"/>
  <c r="AQ297" i="1"/>
  <c r="AV297" i="1" a="1"/>
  <c r="AV297" i="1" s="1"/>
  <c r="AX296" i="1"/>
  <c r="AI296" i="1" a="1"/>
  <c r="AI296" i="1" s="1"/>
  <c r="AN297" i="1"/>
  <c r="AO297" i="1"/>
  <c r="AH298" i="1"/>
  <c r="AF297" i="1"/>
  <c r="AA297" i="1"/>
  <c r="AC297" i="1"/>
  <c r="AG297" i="1"/>
  <c r="AD297" i="1"/>
  <c r="AB297" i="1"/>
  <c r="Z298" i="1"/>
  <c r="AE297" i="1"/>
  <c r="AL297" i="1" l="1" a="1"/>
  <c r="AL297" i="1" s="1"/>
  <c r="AK297" i="1" a="1"/>
  <c r="AK297" i="1" s="1"/>
  <c r="AM297" i="1" a="1"/>
  <c r="AM297" i="1" s="1"/>
  <c r="AP300" i="3"/>
  <c r="AO299" i="3"/>
  <c r="AS299" i="3" s="1"/>
  <c r="F299" i="3"/>
  <c r="J299" i="3" s="1"/>
  <c r="G300" i="3"/>
  <c r="V305" i="3"/>
  <c r="U304" i="3"/>
  <c r="Y304" i="3" s="1"/>
  <c r="AE300" i="3"/>
  <c r="AI300" i="3" s="1"/>
  <c r="AF301" i="3"/>
  <c r="AZ300" i="3"/>
  <c r="AY299" i="3"/>
  <c r="BC299" i="3" s="1"/>
  <c r="AJ299" i="3"/>
  <c r="AN299" i="3" s="1"/>
  <c r="AK300" i="3"/>
  <c r="Z299" i="3"/>
  <c r="AD299" i="3" s="1"/>
  <c r="AA300" i="3"/>
  <c r="P301" i="3"/>
  <c r="T301" i="3" s="1"/>
  <c r="Q302" i="3"/>
  <c r="AT299" i="3"/>
  <c r="AX299" i="3" s="1"/>
  <c r="AU300" i="3"/>
  <c r="L301" i="3"/>
  <c r="K300" i="3"/>
  <c r="O300" i="3" s="1"/>
  <c r="D313" i="2"/>
  <c r="C313" i="2"/>
  <c r="A314" i="2"/>
  <c r="B313" i="2"/>
  <c r="AH299" i="1"/>
  <c r="AO298" i="1"/>
  <c r="AN298" i="1"/>
  <c r="AF298" i="1"/>
  <c r="Z299" i="1"/>
  <c r="AB298" i="1"/>
  <c r="AG298" i="1"/>
  <c r="AA298" i="1"/>
  <c r="AD298" i="1"/>
  <c r="AC298" i="1"/>
  <c r="AE298" i="1"/>
  <c r="AI297" i="1" a="1"/>
  <c r="AI297" i="1" s="1"/>
  <c r="AX297" i="1"/>
  <c r="AT298" i="1"/>
  <c r="AR298" i="1"/>
  <c r="AJ298" i="1" s="1" a="1"/>
  <c r="AJ298" i="1" s="1"/>
  <c r="AU298" i="1"/>
  <c r="AV298" i="1" a="1"/>
  <c r="AV298" i="1" s="1"/>
  <c r="AQ298" i="1"/>
  <c r="AS298" i="1"/>
  <c r="AW298" i="1" a="1"/>
  <c r="AW298" i="1" s="1"/>
  <c r="AP299" i="1"/>
  <c r="AK298" i="1" l="1" a="1"/>
  <c r="AK298" i="1" s="1"/>
  <c r="AM298" i="1" a="1"/>
  <c r="AM298" i="1" s="1"/>
  <c r="AL298" i="1" a="1"/>
  <c r="AL298" i="1" s="1"/>
  <c r="AO300" i="3"/>
  <c r="AS300" i="3" s="1"/>
  <c r="AP301" i="3"/>
  <c r="AJ300" i="3"/>
  <c r="AN300" i="3" s="1"/>
  <c r="AK301" i="3"/>
  <c r="K301" i="3"/>
  <c r="O301" i="3" s="1"/>
  <c r="L302" i="3"/>
  <c r="AY300" i="3"/>
  <c r="BC300" i="3" s="1"/>
  <c r="AZ301" i="3"/>
  <c r="AT300" i="3"/>
  <c r="AX300" i="3" s="1"/>
  <c r="AU301" i="3"/>
  <c r="AE301" i="3"/>
  <c r="AI301" i="3" s="1"/>
  <c r="AF302" i="3"/>
  <c r="Q303" i="3"/>
  <c r="P302" i="3"/>
  <c r="T302" i="3" s="1"/>
  <c r="U305" i="3"/>
  <c r="Y305" i="3" s="1"/>
  <c r="V306" i="3"/>
  <c r="F300" i="3"/>
  <c r="J300" i="3" s="1"/>
  <c r="G301" i="3"/>
  <c r="Z300" i="3"/>
  <c r="AD300" i="3" s="1"/>
  <c r="AA301" i="3"/>
  <c r="C314" i="2"/>
  <c r="B314" i="2"/>
  <c r="A315" i="2"/>
  <c r="D314" i="2"/>
  <c r="AW299" i="1" a="1"/>
  <c r="AW299" i="1" s="1"/>
  <c r="AT299" i="1"/>
  <c r="AS299" i="1"/>
  <c r="AK299" i="1" s="1" a="1"/>
  <c r="AK299" i="1" s="1"/>
  <c r="AQ299" i="1"/>
  <c r="AR299" i="1"/>
  <c r="AJ299" i="1" s="1" a="1"/>
  <c r="AJ299" i="1" s="1"/>
  <c r="AP300" i="1"/>
  <c r="AU299" i="1"/>
  <c r="AM299" i="1" s="1" a="1"/>
  <c r="AM299" i="1" s="1"/>
  <c r="AV299" i="1" a="1"/>
  <c r="AV299" i="1" s="1"/>
  <c r="AE299" i="1"/>
  <c r="AD299" i="1"/>
  <c r="AF299" i="1"/>
  <c r="AB299" i="1"/>
  <c r="AA299" i="1"/>
  <c r="AC299" i="1"/>
  <c r="AG299" i="1"/>
  <c r="Z300" i="1"/>
  <c r="AI298" i="1" a="1"/>
  <c r="AI298" i="1" s="1"/>
  <c r="AX298" i="1"/>
  <c r="AH300" i="1"/>
  <c r="AN299" i="1"/>
  <c r="AO299" i="1"/>
  <c r="AL299" i="1" l="1" a="1"/>
  <c r="AL299" i="1" s="1"/>
  <c r="AO301" i="3"/>
  <c r="AS301" i="3" s="1"/>
  <c r="AP302" i="3"/>
  <c r="P303" i="3"/>
  <c r="T303" i="3" s="1"/>
  <c r="Q304" i="3"/>
  <c r="AA302" i="3"/>
  <c r="Z301" i="3"/>
  <c r="AD301" i="3" s="1"/>
  <c r="AE302" i="3"/>
  <c r="AI302" i="3" s="1"/>
  <c r="AF303" i="3"/>
  <c r="G302" i="3"/>
  <c r="F301" i="3"/>
  <c r="J301" i="3" s="1"/>
  <c r="AU302" i="3"/>
  <c r="AT301" i="3"/>
  <c r="AX301" i="3" s="1"/>
  <c r="AY301" i="3"/>
  <c r="BC301" i="3" s="1"/>
  <c r="AZ302" i="3"/>
  <c r="K302" i="3"/>
  <c r="O302" i="3" s="1"/>
  <c r="L303" i="3"/>
  <c r="U306" i="3"/>
  <c r="Y306" i="3" s="1"/>
  <c r="V307" i="3"/>
  <c r="AJ301" i="3"/>
  <c r="AN301" i="3" s="1"/>
  <c r="AK302" i="3"/>
  <c r="B315" i="2"/>
  <c r="A316" i="2"/>
  <c r="D315" i="2"/>
  <c r="C315" i="2"/>
  <c r="AB300" i="1"/>
  <c r="AF300" i="1"/>
  <c r="Z301" i="1"/>
  <c r="AA300" i="1"/>
  <c r="AC300" i="1"/>
  <c r="AE300" i="1"/>
  <c r="AD300" i="1"/>
  <c r="AG300" i="1"/>
  <c r="AN300" i="1"/>
  <c r="AH301" i="1"/>
  <c r="AO300" i="1"/>
  <c r="AV300" i="1" a="1"/>
  <c r="AV300" i="1" s="1"/>
  <c r="AU300" i="1"/>
  <c r="AS300" i="1"/>
  <c r="AR300" i="1"/>
  <c r="AJ300" i="1" s="1" a="1"/>
  <c r="AJ300" i="1" s="1"/>
  <c r="AT300" i="1"/>
  <c r="AL300" i="1" s="1" a="1"/>
  <c r="AL300" i="1" s="1"/>
  <c r="AQ300" i="1"/>
  <c r="AP301" i="1"/>
  <c r="AW300" i="1" a="1"/>
  <c r="AW300" i="1" s="1"/>
  <c r="AX299" i="1"/>
  <c r="AI299" i="1" a="1"/>
  <c r="AI299" i="1" s="1"/>
  <c r="AK300" i="1" l="1" a="1"/>
  <c r="AK300" i="1" s="1"/>
  <c r="AM300" i="1" a="1"/>
  <c r="AM300" i="1" s="1"/>
  <c r="AO302" i="3"/>
  <c r="AS302" i="3" s="1"/>
  <c r="AP303" i="3"/>
  <c r="AY302" i="3"/>
  <c r="BC302" i="3" s="1"/>
  <c r="AZ303" i="3"/>
  <c r="AJ302" i="3"/>
  <c r="AN302" i="3" s="1"/>
  <c r="AK303" i="3"/>
  <c r="AU303" i="3"/>
  <c r="AT302" i="3"/>
  <c r="AX302" i="3" s="1"/>
  <c r="V308" i="3"/>
  <c r="U307" i="3"/>
  <c r="Y307" i="3" s="1"/>
  <c r="G303" i="3"/>
  <c r="F302" i="3"/>
  <c r="J302" i="3" s="1"/>
  <c r="AF304" i="3"/>
  <c r="AE303" i="3"/>
  <c r="AI303" i="3" s="1"/>
  <c r="L304" i="3"/>
  <c r="K303" i="3"/>
  <c r="O303" i="3" s="1"/>
  <c r="AA303" i="3"/>
  <c r="Z302" i="3"/>
  <c r="AD302" i="3" s="1"/>
  <c r="P304" i="3"/>
  <c r="T304" i="3" s="1"/>
  <c r="Q305" i="3"/>
  <c r="A317" i="2"/>
  <c r="B316" i="2"/>
  <c r="D316" i="2"/>
  <c r="C316" i="2"/>
  <c r="AN301" i="1"/>
  <c r="AO301" i="1"/>
  <c r="AH302" i="1"/>
  <c r="AT301" i="1"/>
  <c r="AL301" i="1" s="1" a="1"/>
  <c r="AL301" i="1" s="1"/>
  <c r="AR301" i="1"/>
  <c r="AJ301" i="1" s="1" a="1"/>
  <c r="AJ301" i="1" s="1"/>
  <c r="AV301" i="1" a="1"/>
  <c r="AV301" i="1" s="1"/>
  <c r="AQ301" i="1"/>
  <c r="AU301" i="1"/>
  <c r="AM301" i="1" s="1" a="1"/>
  <c r="AM301" i="1" s="1"/>
  <c r="AS301" i="1"/>
  <c r="AK301" i="1" s="1" a="1"/>
  <c r="AK301" i="1" s="1"/>
  <c r="AP302" i="1"/>
  <c r="AW301" i="1" a="1"/>
  <c r="AW301" i="1" s="1"/>
  <c r="AI300" i="1" a="1"/>
  <c r="AI300" i="1" s="1"/>
  <c r="AX300" i="1"/>
  <c r="AB301" i="1"/>
  <c r="AD301" i="1"/>
  <c r="AC301" i="1"/>
  <c r="AF301" i="1"/>
  <c r="Z302" i="1"/>
  <c r="AE301" i="1"/>
  <c r="AG301" i="1"/>
  <c r="AA301" i="1"/>
  <c r="AO303" i="3" l="1"/>
  <c r="AS303" i="3" s="1"/>
  <c r="AP304" i="3"/>
  <c r="P305" i="3"/>
  <c r="T305" i="3" s="1"/>
  <c r="Q306" i="3"/>
  <c r="F303" i="3"/>
  <c r="J303" i="3" s="1"/>
  <c r="G304" i="3"/>
  <c r="AA304" i="3"/>
  <c r="Z303" i="3"/>
  <c r="AD303" i="3" s="1"/>
  <c r="U308" i="3"/>
  <c r="Y308" i="3" s="1"/>
  <c r="V309" i="3"/>
  <c r="AU304" i="3"/>
  <c r="AT303" i="3"/>
  <c r="AX303" i="3" s="1"/>
  <c r="AJ303" i="3"/>
  <c r="AN303" i="3" s="1"/>
  <c r="AK304" i="3"/>
  <c r="K304" i="3"/>
  <c r="O304" i="3" s="1"/>
  <c r="L305" i="3"/>
  <c r="AY303" i="3"/>
  <c r="BC303" i="3" s="1"/>
  <c r="AZ304" i="3"/>
  <c r="AE304" i="3"/>
  <c r="AI304" i="3" s="1"/>
  <c r="AF305" i="3"/>
  <c r="A318" i="2"/>
  <c r="B317" i="2"/>
  <c r="C317" i="2"/>
  <c r="D317" i="2"/>
  <c r="AG302" i="1"/>
  <c r="AB302" i="1"/>
  <c r="AF302" i="1"/>
  <c r="AA302" i="1"/>
  <c r="AC302" i="1"/>
  <c r="AE302" i="1"/>
  <c r="Z303" i="1"/>
  <c r="AD302" i="1"/>
  <c r="AP303" i="1"/>
  <c r="AT302" i="1"/>
  <c r="AL302" i="1" s="1" a="1"/>
  <c r="AL302" i="1" s="1"/>
  <c r="AV302" i="1" a="1"/>
  <c r="AV302" i="1" s="1"/>
  <c r="AU302" i="1"/>
  <c r="AM302" i="1" s="1" a="1"/>
  <c r="AM302" i="1" s="1"/>
  <c r="AR302" i="1"/>
  <c r="AJ302" i="1" s="1" a="1"/>
  <c r="AJ302" i="1" s="1"/>
  <c r="AQ302" i="1"/>
  <c r="AW302" i="1" a="1"/>
  <c r="AW302" i="1" s="1"/>
  <c r="AS302" i="1"/>
  <c r="AK302" i="1" s="1" a="1"/>
  <c r="AK302" i="1" s="1"/>
  <c r="AX301" i="1"/>
  <c r="AI301" i="1" a="1"/>
  <c r="AI301" i="1" s="1"/>
  <c r="AH303" i="1"/>
  <c r="AO302" i="1"/>
  <c r="AN302" i="1"/>
  <c r="AO304" i="3" l="1"/>
  <c r="AS304" i="3" s="1"/>
  <c r="AP305" i="3"/>
  <c r="AF306" i="3"/>
  <c r="AE305" i="3"/>
  <c r="AI305" i="3" s="1"/>
  <c r="V310" i="3"/>
  <c r="U309" i="3"/>
  <c r="Y309" i="3" s="1"/>
  <c r="AY304" i="3"/>
  <c r="BC304" i="3" s="1"/>
  <c r="AZ305" i="3"/>
  <c r="K305" i="3"/>
  <c r="O305" i="3" s="1"/>
  <c r="L306" i="3"/>
  <c r="AA305" i="3"/>
  <c r="Z304" i="3"/>
  <c r="AD304" i="3" s="1"/>
  <c r="G305" i="3"/>
  <c r="F304" i="3"/>
  <c r="J304" i="3" s="1"/>
  <c r="AJ304" i="3"/>
  <c r="AN304" i="3" s="1"/>
  <c r="AK305" i="3"/>
  <c r="Q307" i="3"/>
  <c r="P306" i="3"/>
  <c r="T306" i="3" s="1"/>
  <c r="AU305" i="3"/>
  <c r="AT304" i="3"/>
  <c r="AX304" i="3" s="1"/>
  <c r="B318" i="2"/>
  <c r="D318" i="2"/>
  <c r="C318" i="2"/>
  <c r="A319" i="2"/>
  <c r="AR303" i="1"/>
  <c r="AQ303" i="1"/>
  <c r="AW303" i="1" a="1"/>
  <c r="AW303" i="1" s="1"/>
  <c r="AV303" i="1" a="1"/>
  <c r="AV303" i="1" s="1"/>
  <c r="AT303" i="1"/>
  <c r="AU303" i="1"/>
  <c r="AP304" i="1"/>
  <c r="AS303" i="1"/>
  <c r="AN303" i="1"/>
  <c r="AO303" i="1"/>
  <c r="AH304" i="1"/>
  <c r="AB303" i="1"/>
  <c r="AG303" i="1"/>
  <c r="AA303" i="1"/>
  <c r="AF303" i="1"/>
  <c r="Z304" i="1"/>
  <c r="AE303" i="1"/>
  <c r="AD303" i="1"/>
  <c r="AC303" i="1"/>
  <c r="AX302" i="1"/>
  <c r="AI302" i="1" a="1"/>
  <c r="AI302" i="1" s="1"/>
  <c r="AL303" i="1" l="1" a="1"/>
  <c r="AL303" i="1" s="1"/>
  <c r="AM303" i="1" a="1"/>
  <c r="AM303" i="1" s="1"/>
  <c r="AK303" i="1" a="1"/>
  <c r="AK303" i="1" s="1"/>
  <c r="AJ303" i="1" a="1"/>
  <c r="AJ303" i="1" s="1"/>
  <c r="AO305" i="3"/>
  <c r="AS305" i="3" s="1"/>
  <c r="AP306" i="3"/>
  <c r="Z305" i="3"/>
  <c r="AD305" i="3" s="1"/>
  <c r="AA306" i="3"/>
  <c r="L307" i="3"/>
  <c r="K306" i="3"/>
  <c r="O306" i="3" s="1"/>
  <c r="AT305" i="3"/>
  <c r="AX305" i="3" s="1"/>
  <c r="AU306" i="3"/>
  <c r="AZ306" i="3"/>
  <c r="AY305" i="3"/>
  <c r="BC305" i="3" s="1"/>
  <c r="Q308" i="3"/>
  <c r="P307" i="3"/>
  <c r="T307" i="3" s="1"/>
  <c r="AJ305" i="3"/>
  <c r="AN305" i="3" s="1"/>
  <c r="AK306" i="3"/>
  <c r="V311" i="3"/>
  <c r="U310" i="3"/>
  <c r="Y310" i="3" s="1"/>
  <c r="G306" i="3"/>
  <c r="F305" i="3"/>
  <c r="J305" i="3" s="1"/>
  <c r="AE306" i="3"/>
  <c r="AI306" i="3" s="1"/>
  <c r="AF307" i="3"/>
  <c r="A320" i="2"/>
  <c r="D319" i="2"/>
  <c r="C319" i="2"/>
  <c r="B319" i="2"/>
  <c r="AA304" i="1"/>
  <c r="AG304" i="1"/>
  <c r="AB304" i="1"/>
  <c r="AC304" i="1"/>
  <c r="AF304" i="1"/>
  <c r="AD304" i="1"/>
  <c r="AE304" i="1"/>
  <c r="Z305" i="1"/>
  <c r="AN304" i="1"/>
  <c r="AH305" i="1"/>
  <c r="AO304" i="1"/>
  <c r="AQ304" i="1"/>
  <c r="AV304" i="1" a="1"/>
  <c r="AV304" i="1" s="1"/>
  <c r="AP305" i="1"/>
  <c r="AS304" i="1"/>
  <c r="AK304" i="1" s="1" a="1"/>
  <c r="AK304" i="1" s="1"/>
  <c r="AR304" i="1"/>
  <c r="AJ304" i="1" s="1" a="1"/>
  <c r="AJ304" i="1" s="1"/>
  <c r="AU304" i="1"/>
  <c r="AT304" i="1"/>
  <c r="AL304" i="1" s="1" a="1"/>
  <c r="AL304" i="1" s="1"/>
  <c r="AW304" i="1" a="1"/>
  <c r="AW304" i="1" s="1"/>
  <c r="AX303" i="1"/>
  <c r="AI303" i="1" a="1"/>
  <c r="AI303" i="1" s="1"/>
  <c r="AM304" i="1" l="1" a="1"/>
  <c r="AM304" i="1" s="1"/>
  <c r="AO306" i="3"/>
  <c r="AS306" i="3" s="1"/>
  <c r="AP307" i="3"/>
  <c r="AK307" i="3"/>
  <c r="AJ306" i="3"/>
  <c r="AN306" i="3" s="1"/>
  <c r="P308" i="3"/>
  <c r="T308" i="3" s="1"/>
  <c r="Q309" i="3"/>
  <c r="AF308" i="3"/>
  <c r="AE307" i="3"/>
  <c r="AI307" i="3" s="1"/>
  <c r="AY306" i="3"/>
  <c r="BC306" i="3" s="1"/>
  <c r="AZ307" i="3"/>
  <c r="AT306" i="3"/>
  <c r="AX306" i="3" s="1"/>
  <c r="AU307" i="3"/>
  <c r="F306" i="3"/>
  <c r="J306" i="3" s="1"/>
  <c r="G307" i="3"/>
  <c r="L308" i="3"/>
  <c r="K307" i="3"/>
  <c r="O307" i="3" s="1"/>
  <c r="AA307" i="3"/>
  <c r="Z306" i="3"/>
  <c r="AD306" i="3" s="1"/>
  <c r="V312" i="3"/>
  <c r="U311" i="3"/>
  <c r="Y311" i="3" s="1"/>
  <c r="A321" i="2"/>
  <c r="B320" i="2"/>
  <c r="D320" i="2"/>
  <c r="C320" i="2"/>
  <c r="AI304" i="1" a="1"/>
  <c r="AI304" i="1" s="1"/>
  <c r="AX304" i="1"/>
  <c r="AO305" i="1"/>
  <c r="AN305" i="1"/>
  <c r="AH306" i="1"/>
  <c r="AB305" i="1"/>
  <c r="AC305" i="1"/>
  <c r="AD305" i="1"/>
  <c r="AE305" i="1"/>
  <c r="AA305" i="1"/>
  <c r="AF305" i="1"/>
  <c r="AG305" i="1"/>
  <c r="Z306" i="1"/>
  <c r="AW305" i="1" a="1"/>
  <c r="AW305" i="1" s="1"/>
  <c r="AS305" i="1"/>
  <c r="AK305" i="1" s="1" a="1"/>
  <c r="AK305" i="1" s="1"/>
  <c r="AQ305" i="1"/>
  <c r="AR305" i="1"/>
  <c r="AJ305" i="1" s="1" a="1"/>
  <c r="AJ305" i="1" s="1"/>
  <c r="AT305" i="1"/>
  <c r="AL305" i="1" s="1" a="1"/>
  <c r="AL305" i="1" s="1"/>
  <c r="AP306" i="1"/>
  <c r="AU305" i="1"/>
  <c r="AM305" i="1" s="1" a="1"/>
  <c r="AM305" i="1" s="1"/>
  <c r="AV305" i="1" a="1"/>
  <c r="AV305" i="1" s="1"/>
  <c r="AO307" i="3" l="1"/>
  <c r="AS307" i="3" s="1"/>
  <c r="AP308" i="3"/>
  <c r="AT307" i="3"/>
  <c r="AX307" i="3" s="1"/>
  <c r="AU308" i="3"/>
  <c r="AZ308" i="3"/>
  <c r="AY307" i="3"/>
  <c r="BC307" i="3" s="1"/>
  <c r="U312" i="3"/>
  <c r="Y312" i="3" s="1"/>
  <c r="V313" i="3"/>
  <c r="AE308" i="3"/>
  <c r="AI308" i="3" s="1"/>
  <c r="AF309" i="3"/>
  <c r="AA308" i="3"/>
  <c r="Z307" i="3"/>
  <c r="AD307" i="3" s="1"/>
  <c r="P309" i="3"/>
  <c r="T309" i="3" s="1"/>
  <c r="Q310" i="3"/>
  <c r="K308" i="3"/>
  <c r="O308" i="3" s="1"/>
  <c r="L309" i="3"/>
  <c r="G308" i="3"/>
  <c r="F307" i="3"/>
  <c r="J307" i="3" s="1"/>
  <c r="AK308" i="3"/>
  <c r="AJ307" i="3"/>
  <c r="AN307" i="3" s="1"/>
  <c r="D321" i="2"/>
  <c r="C321" i="2"/>
  <c r="B321" i="2"/>
  <c r="A322" i="2"/>
  <c r="AT306" i="1"/>
  <c r="AR306" i="1"/>
  <c r="AS306" i="1"/>
  <c r="AQ306" i="1"/>
  <c r="AU306" i="1"/>
  <c r="AW306" i="1" a="1"/>
  <c r="AW306" i="1" s="1"/>
  <c r="AP307" i="1"/>
  <c r="AV306" i="1" a="1"/>
  <c r="AV306" i="1" s="1"/>
  <c r="AN306" i="1"/>
  <c r="AH307" i="1"/>
  <c r="AO306" i="1"/>
  <c r="AX305" i="1"/>
  <c r="AI305" i="1" a="1"/>
  <c r="AI305" i="1" s="1"/>
  <c r="AG306" i="1"/>
  <c r="AC306" i="1"/>
  <c r="AA306" i="1"/>
  <c r="AF306" i="1"/>
  <c r="Z307" i="1"/>
  <c r="AD306" i="1"/>
  <c r="AB306" i="1"/>
  <c r="AE306" i="1"/>
  <c r="AM306" i="1" l="1" a="1"/>
  <c r="AM306" i="1" s="1"/>
  <c r="AK306" i="1" a="1"/>
  <c r="AK306" i="1" s="1"/>
  <c r="AL306" i="1" a="1"/>
  <c r="AL306" i="1" s="1"/>
  <c r="AJ306" i="1" a="1"/>
  <c r="AJ306" i="1" s="1"/>
  <c r="AO308" i="3"/>
  <c r="AS308" i="3" s="1"/>
  <c r="AP309" i="3"/>
  <c r="Z308" i="3"/>
  <c r="AD308" i="3" s="1"/>
  <c r="AA309" i="3"/>
  <c r="AJ308" i="3"/>
  <c r="AN308" i="3" s="1"/>
  <c r="AK309" i="3"/>
  <c r="AF310" i="3"/>
  <c r="AE309" i="3"/>
  <c r="AI309" i="3" s="1"/>
  <c r="G309" i="3"/>
  <c r="F308" i="3"/>
  <c r="J308" i="3" s="1"/>
  <c r="V314" i="3"/>
  <c r="U313" i="3"/>
  <c r="Y313" i="3" s="1"/>
  <c r="L310" i="3"/>
  <c r="K309" i="3"/>
  <c r="O309" i="3" s="1"/>
  <c r="AY308" i="3"/>
  <c r="BC308" i="3" s="1"/>
  <c r="AZ309" i="3"/>
  <c r="AT308" i="3"/>
  <c r="AX308" i="3" s="1"/>
  <c r="AU309" i="3"/>
  <c r="Q311" i="3"/>
  <c r="P310" i="3"/>
  <c r="T310" i="3" s="1"/>
  <c r="C322" i="2"/>
  <c r="B322" i="2"/>
  <c r="D322" i="2"/>
  <c r="A323" i="2"/>
  <c r="AN307" i="1"/>
  <c r="AH308" i="1"/>
  <c r="AO307" i="1"/>
  <c r="AP308" i="1"/>
  <c r="AQ307" i="1"/>
  <c r="AU307" i="1"/>
  <c r="AW307" i="1" a="1"/>
  <c r="AW307" i="1" s="1"/>
  <c r="AS307" i="1"/>
  <c r="AR307" i="1"/>
  <c r="AJ307" i="1" s="1" a="1"/>
  <c r="AJ307" i="1" s="1"/>
  <c r="AV307" i="1" a="1"/>
  <c r="AV307" i="1" s="1"/>
  <c r="AT307" i="1"/>
  <c r="AF307" i="1"/>
  <c r="AA307" i="1"/>
  <c r="AG307" i="1"/>
  <c r="AE307" i="1"/>
  <c r="AD307" i="1"/>
  <c r="AB307" i="1"/>
  <c r="AC307" i="1"/>
  <c r="Z308" i="1"/>
  <c r="AI306" i="1" a="1"/>
  <c r="AI306" i="1" s="1"/>
  <c r="AX306" i="1"/>
  <c r="AL307" i="1" l="1" a="1"/>
  <c r="AL307" i="1" s="1"/>
  <c r="AM307" i="1" a="1"/>
  <c r="AM307" i="1" s="1"/>
  <c r="AK307" i="1" a="1"/>
  <c r="AK307" i="1" s="1"/>
  <c r="AO309" i="3"/>
  <c r="AS309" i="3" s="1"/>
  <c r="AP310" i="3"/>
  <c r="V315" i="3"/>
  <c r="U314" i="3"/>
  <c r="Y314" i="3" s="1"/>
  <c r="P311" i="3"/>
  <c r="T311" i="3" s="1"/>
  <c r="Q312" i="3"/>
  <c r="AT309" i="3"/>
  <c r="AX309" i="3" s="1"/>
  <c r="AU310" i="3"/>
  <c r="G310" i="3"/>
  <c r="F309" i="3"/>
  <c r="J309" i="3" s="1"/>
  <c r="AY309" i="3"/>
  <c r="BC309" i="3" s="1"/>
  <c r="AZ310" i="3"/>
  <c r="AE310" i="3"/>
  <c r="AI310" i="3" s="1"/>
  <c r="AF311" i="3"/>
  <c r="AK310" i="3"/>
  <c r="AJ309" i="3"/>
  <c r="AN309" i="3" s="1"/>
  <c r="Z309" i="3"/>
  <c r="AD309" i="3" s="1"/>
  <c r="AA310" i="3"/>
  <c r="L311" i="3"/>
  <c r="K310" i="3"/>
  <c r="O310" i="3" s="1"/>
  <c r="B323" i="2"/>
  <c r="D323" i="2"/>
  <c r="A324" i="2"/>
  <c r="C323" i="2"/>
  <c r="AI307" i="1" a="1"/>
  <c r="AI307" i="1" s="1"/>
  <c r="AX307" i="1"/>
  <c r="AS308" i="1"/>
  <c r="AK308" i="1" s="1" a="1"/>
  <c r="AK308" i="1" s="1"/>
  <c r="AV308" i="1" a="1"/>
  <c r="AV308" i="1" s="1"/>
  <c r="AU308" i="1"/>
  <c r="AM308" i="1" s="1" a="1"/>
  <c r="AM308" i="1" s="1"/>
  <c r="AW308" i="1" a="1"/>
  <c r="AW308" i="1" s="1"/>
  <c r="AT308" i="1"/>
  <c r="AL308" i="1" s="1" a="1"/>
  <c r="AL308" i="1" s="1"/>
  <c r="AP309" i="1"/>
  <c r="AQ308" i="1"/>
  <c r="AR308" i="1"/>
  <c r="AJ308" i="1" s="1" a="1"/>
  <c r="AJ308" i="1" s="1"/>
  <c r="AG308" i="1"/>
  <c r="Z309" i="1"/>
  <c r="AF308" i="1"/>
  <c r="AB308" i="1"/>
  <c r="AD308" i="1"/>
  <c r="AA308" i="1"/>
  <c r="AE308" i="1"/>
  <c r="AC308" i="1"/>
  <c r="AN308" i="1"/>
  <c r="AO308" i="1"/>
  <c r="AH309" i="1"/>
  <c r="AP311" i="3" l="1"/>
  <c r="AO310" i="3"/>
  <c r="AS310" i="3" s="1"/>
  <c r="AY310" i="3"/>
  <c r="BC310" i="3" s="1"/>
  <c r="AZ311" i="3"/>
  <c r="L312" i="3"/>
  <c r="K311" i="3"/>
  <c r="O311" i="3" s="1"/>
  <c r="G311" i="3"/>
  <c r="F310" i="3"/>
  <c r="J310" i="3" s="1"/>
  <c r="AA311" i="3"/>
  <c r="Z310" i="3"/>
  <c r="AD310" i="3" s="1"/>
  <c r="AT310" i="3"/>
  <c r="AX310" i="3" s="1"/>
  <c r="AU311" i="3"/>
  <c r="Q313" i="3"/>
  <c r="P312" i="3"/>
  <c r="T312" i="3" s="1"/>
  <c r="AE311" i="3"/>
  <c r="AI311" i="3" s="1"/>
  <c r="AF312" i="3"/>
  <c r="V316" i="3"/>
  <c r="U315" i="3"/>
  <c r="Y315" i="3" s="1"/>
  <c r="AK311" i="3"/>
  <c r="AJ310" i="3"/>
  <c r="AN310" i="3" s="1"/>
  <c r="A325" i="2"/>
  <c r="D324" i="2"/>
  <c r="B324" i="2"/>
  <c r="C324" i="2"/>
  <c r="AG309" i="1"/>
  <c r="AC309" i="1"/>
  <c r="AA309" i="1"/>
  <c r="AB309" i="1"/>
  <c r="AE309" i="1"/>
  <c r="Z310" i="1"/>
  <c r="AF309" i="1"/>
  <c r="AD309" i="1"/>
  <c r="AI308" i="1" a="1"/>
  <c r="AI308" i="1" s="1"/>
  <c r="AX308" i="1"/>
  <c r="AO309" i="1"/>
  <c r="AH310" i="1"/>
  <c r="AN309" i="1"/>
  <c r="AQ309" i="1"/>
  <c r="AS309" i="1"/>
  <c r="AK309" i="1" s="1" a="1"/>
  <c r="AK309" i="1" s="1"/>
  <c r="AW309" i="1" a="1"/>
  <c r="AW309" i="1" s="1"/>
  <c r="AV309" i="1" a="1"/>
  <c r="AV309" i="1" s="1"/>
  <c r="AR309" i="1"/>
  <c r="AJ309" i="1" s="1" a="1"/>
  <c r="AJ309" i="1" s="1"/>
  <c r="AP310" i="1"/>
  <c r="AU309" i="1"/>
  <c r="AM309" i="1" s="1" a="1"/>
  <c r="AM309" i="1" s="1"/>
  <c r="AT309" i="1"/>
  <c r="AL309" i="1" s="1" a="1"/>
  <c r="AL309" i="1" s="1"/>
  <c r="AO311" i="3" l="1"/>
  <c r="AS311" i="3" s="1"/>
  <c r="AP312" i="3"/>
  <c r="AT311" i="3"/>
  <c r="AX311" i="3" s="1"/>
  <c r="AU312" i="3"/>
  <c r="AJ311" i="3"/>
  <c r="AN311" i="3" s="1"/>
  <c r="AK312" i="3"/>
  <c r="Z311" i="3"/>
  <c r="AD311" i="3" s="1"/>
  <c r="AA312" i="3"/>
  <c r="V317" i="3"/>
  <c r="U316" i="3"/>
  <c r="Y316" i="3" s="1"/>
  <c r="AE312" i="3"/>
  <c r="AI312" i="3" s="1"/>
  <c r="AF313" i="3"/>
  <c r="F311" i="3"/>
  <c r="J311" i="3" s="1"/>
  <c r="G312" i="3"/>
  <c r="K312" i="3"/>
  <c r="O312" i="3" s="1"/>
  <c r="L313" i="3"/>
  <c r="Q314" i="3"/>
  <c r="P313" i="3"/>
  <c r="T313" i="3" s="1"/>
  <c r="AZ312" i="3"/>
  <c r="AY311" i="3"/>
  <c r="BC311" i="3" s="1"/>
  <c r="B325" i="2"/>
  <c r="D325" i="2"/>
  <c r="C325" i="2"/>
  <c r="A326" i="2"/>
  <c r="AN310" i="1"/>
  <c r="AO310" i="1"/>
  <c r="AH311" i="1"/>
  <c r="AP311" i="1"/>
  <c r="AU310" i="1"/>
  <c r="AR310" i="1"/>
  <c r="AJ310" i="1" s="1" a="1"/>
  <c r="AJ310" i="1" s="1"/>
  <c r="AS310" i="1"/>
  <c r="AK310" i="1" s="1" a="1"/>
  <c r="AK310" i="1" s="1"/>
  <c r="AT310" i="1"/>
  <c r="AW310" i="1" a="1"/>
  <c r="AW310" i="1" s="1"/>
  <c r="AV310" i="1" a="1"/>
  <c r="AV310" i="1" s="1"/>
  <c r="AQ310" i="1"/>
  <c r="AE310" i="1"/>
  <c r="Z311" i="1"/>
  <c r="AC310" i="1"/>
  <c r="AB310" i="1"/>
  <c r="AF310" i="1"/>
  <c r="AD310" i="1"/>
  <c r="AA310" i="1"/>
  <c r="AG310" i="1"/>
  <c r="AI309" i="1" a="1"/>
  <c r="AI309" i="1" s="1"/>
  <c r="AX309" i="1"/>
  <c r="AL310" i="1" l="1" a="1"/>
  <c r="AL310" i="1" s="1"/>
  <c r="AM310" i="1" a="1"/>
  <c r="AM310" i="1" s="1"/>
  <c r="AO312" i="3"/>
  <c r="AS312" i="3" s="1"/>
  <c r="AP313" i="3"/>
  <c r="AE313" i="3"/>
  <c r="AI313" i="3" s="1"/>
  <c r="AF314" i="3"/>
  <c r="V318" i="3"/>
  <c r="U317" i="3"/>
  <c r="Y317" i="3" s="1"/>
  <c r="AY312" i="3"/>
  <c r="BC312" i="3" s="1"/>
  <c r="AZ313" i="3"/>
  <c r="Z312" i="3"/>
  <c r="AD312" i="3" s="1"/>
  <c r="AA313" i="3"/>
  <c r="Q315" i="3"/>
  <c r="P314" i="3"/>
  <c r="T314" i="3" s="1"/>
  <c r="L314" i="3"/>
  <c r="K313" i="3"/>
  <c r="O313" i="3" s="1"/>
  <c r="AK313" i="3"/>
  <c r="AJ312" i="3"/>
  <c r="AN312" i="3" s="1"/>
  <c r="F312" i="3"/>
  <c r="J312" i="3" s="1"/>
  <c r="G313" i="3"/>
  <c r="AT312" i="3"/>
  <c r="AX312" i="3" s="1"/>
  <c r="AU313" i="3"/>
  <c r="A327" i="2"/>
  <c r="C326" i="2"/>
  <c r="B326" i="2"/>
  <c r="D326" i="2"/>
  <c r="AI310" i="1" a="1"/>
  <c r="AI310" i="1" s="1"/>
  <c r="AX310" i="1"/>
  <c r="AR311" i="1"/>
  <c r="AT311" i="1"/>
  <c r="AS311" i="1"/>
  <c r="AK311" i="1" s="1" a="1"/>
  <c r="AK311" i="1" s="1"/>
  <c r="AQ311" i="1"/>
  <c r="AU311" i="1"/>
  <c r="AM311" i="1" s="1" a="1"/>
  <c r="AM311" i="1" s="1"/>
  <c r="AP312" i="1"/>
  <c r="AV311" i="1" a="1"/>
  <c r="AV311" i="1" s="1"/>
  <c r="AW311" i="1" a="1"/>
  <c r="AW311" i="1" s="1"/>
  <c r="AH312" i="1"/>
  <c r="AO311" i="1"/>
  <c r="AN311" i="1"/>
  <c r="AC311" i="1"/>
  <c r="AE311" i="1"/>
  <c r="Z312" i="1"/>
  <c r="AD311" i="1"/>
  <c r="AF311" i="1"/>
  <c r="AB311" i="1"/>
  <c r="AA311" i="1"/>
  <c r="AG311" i="1"/>
  <c r="AL311" i="1" l="1" a="1"/>
  <c r="AL311" i="1" s="1"/>
  <c r="AJ311" i="1" a="1"/>
  <c r="AJ311" i="1" s="1"/>
  <c r="AO313" i="3"/>
  <c r="AS313" i="3" s="1"/>
  <c r="AP314" i="3"/>
  <c r="P315" i="3"/>
  <c r="T315" i="3" s="1"/>
  <c r="Q316" i="3"/>
  <c r="AA314" i="3"/>
  <c r="Z313" i="3"/>
  <c r="AD313" i="3" s="1"/>
  <c r="AT313" i="3"/>
  <c r="AX313" i="3" s="1"/>
  <c r="AU314" i="3"/>
  <c r="AY313" i="3"/>
  <c r="BC313" i="3" s="1"/>
  <c r="AZ314" i="3"/>
  <c r="F313" i="3"/>
  <c r="J313" i="3" s="1"/>
  <c r="G314" i="3"/>
  <c r="U318" i="3"/>
  <c r="Y318" i="3" s="1"/>
  <c r="V319" i="3"/>
  <c r="AK314" i="3"/>
  <c r="AJ313" i="3"/>
  <c r="AN313" i="3" s="1"/>
  <c r="K314" i="3"/>
  <c r="O314" i="3" s="1"/>
  <c r="L315" i="3"/>
  <c r="AE314" i="3"/>
  <c r="AI314" i="3" s="1"/>
  <c r="AF315" i="3"/>
  <c r="D327" i="2"/>
  <c r="B327" i="2"/>
  <c r="C327" i="2"/>
  <c r="A328" i="2"/>
  <c r="AH313" i="1"/>
  <c r="AN312" i="1"/>
  <c r="AO312" i="1"/>
  <c r="AT312" i="1"/>
  <c r="AL312" i="1" s="1" a="1"/>
  <c r="AL312" i="1" s="1"/>
  <c r="AU312" i="1"/>
  <c r="AM312" i="1" s="1" a="1"/>
  <c r="AM312" i="1" s="1"/>
  <c r="AR312" i="1"/>
  <c r="AJ312" i="1" s="1" a="1"/>
  <c r="AJ312" i="1" s="1"/>
  <c r="AS312" i="1"/>
  <c r="AV312" i="1" a="1"/>
  <c r="AV312" i="1" s="1"/>
  <c r="AQ312" i="1"/>
  <c r="AW312" i="1" a="1"/>
  <c r="AW312" i="1" s="1"/>
  <c r="AP313" i="1"/>
  <c r="AI311" i="1" a="1"/>
  <c r="AI311" i="1" s="1"/>
  <c r="AX311" i="1"/>
  <c r="AB312" i="1"/>
  <c r="AD312" i="1"/>
  <c r="AG312" i="1"/>
  <c r="AE312" i="1"/>
  <c r="AF312" i="1"/>
  <c r="AA312" i="1"/>
  <c r="Z313" i="1"/>
  <c r="AC312" i="1"/>
  <c r="AK312" i="1" l="1" a="1"/>
  <c r="AK312" i="1" s="1"/>
  <c r="AO314" i="3"/>
  <c r="AS314" i="3" s="1"/>
  <c r="AP315" i="3"/>
  <c r="F314" i="3"/>
  <c r="J314" i="3" s="1"/>
  <c r="G315" i="3"/>
  <c r="AF316" i="3"/>
  <c r="AE315" i="3"/>
  <c r="AI315" i="3" s="1"/>
  <c r="L316" i="3"/>
  <c r="K315" i="3"/>
  <c r="O315" i="3" s="1"/>
  <c r="AY314" i="3"/>
  <c r="BC314" i="3" s="1"/>
  <c r="AZ315" i="3"/>
  <c r="AT314" i="3"/>
  <c r="AX314" i="3" s="1"/>
  <c r="AU315" i="3"/>
  <c r="AJ314" i="3"/>
  <c r="AN314" i="3" s="1"/>
  <c r="AK315" i="3"/>
  <c r="AA315" i="3"/>
  <c r="Z314" i="3"/>
  <c r="AD314" i="3" s="1"/>
  <c r="P316" i="3"/>
  <c r="T316" i="3" s="1"/>
  <c r="Q317" i="3"/>
  <c r="V320" i="3"/>
  <c r="U319" i="3"/>
  <c r="Y319" i="3" s="1"/>
  <c r="A329" i="2"/>
  <c r="B328" i="2"/>
  <c r="C328" i="2"/>
  <c r="D328" i="2"/>
  <c r="AD313" i="1"/>
  <c r="AG313" i="1"/>
  <c r="AE313" i="1"/>
  <c r="AA313" i="1"/>
  <c r="AF313" i="1"/>
  <c r="Z314" i="1"/>
  <c r="AB313" i="1"/>
  <c r="AC313" i="1"/>
  <c r="AW313" i="1" a="1"/>
  <c r="AW313" i="1" s="1"/>
  <c r="AT313" i="1"/>
  <c r="AL313" i="1" s="1" a="1"/>
  <c r="AL313" i="1" s="1"/>
  <c r="AR313" i="1"/>
  <c r="AJ313" i="1" s="1" a="1"/>
  <c r="AJ313" i="1" s="1"/>
  <c r="AS313" i="1"/>
  <c r="AP314" i="1"/>
  <c r="AU313" i="1"/>
  <c r="AM313" i="1" s="1" a="1"/>
  <c r="AM313" i="1" s="1"/>
  <c r="AQ313" i="1"/>
  <c r="AV313" i="1" a="1"/>
  <c r="AV313" i="1" s="1"/>
  <c r="AX312" i="1"/>
  <c r="AI312" i="1" a="1"/>
  <c r="AI312" i="1" s="1"/>
  <c r="AO313" i="1"/>
  <c r="AH314" i="1"/>
  <c r="AN313" i="1"/>
  <c r="AK313" i="1" l="1" a="1"/>
  <c r="AK313" i="1" s="1"/>
  <c r="AP316" i="3"/>
  <c r="AO315" i="3"/>
  <c r="AS315" i="3" s="1"/>
  <c r="AY315" i="3"/>
  <c r="BC315" i="3" s="1"/>
  <c r="AZ316" i="3"/>
  <c r="U320" i="3"/>
  <c r="Y320" i="3" s="1"/>
  <c r="V321" i="3"/>
  <c r="P317" i="3"/>
  <c r="T317" i="3" s="1"/>
  <c r="Q318" i="3"/>
  <c r="L317" i="3"/>
  <c r="K316" i="3"/>
  <c r="O316" i="3" s="1"/>
  <c r="AA316" i="3"/>
  <c r="Z315" i="3"/>
  <c r="AD315" i="3" s="1"/>
  <c r="AE316" i="3"/>
  <c r="AI316" i="3" s="1"/>
  <c r="AF317" i="3"/>
  <c r="AK316" i="3"/>
  <c r="AJ315" i="3"/>
  <c r="AN315" i="3" s="1"/>
  <c r="F315" i="3"/>
  <c r="J315" i="3" s="1"/>
  <c r="G316" i="3"/>
  <c r="AT315" i="3"/>
  <c r="AX315" i="3" s="1"/>
  <c r="AU316" i="3"/>
  <c r="B329" i="2"/>
  <c r="C329" i="2"/>
  <c r="A330" i="2"/>
  <c r="D329" i="2"/>
  <c r="AC314" i="1"/>
  <c r="AD314" i="1"/>
  <c r="AB314" i="1"/>
  <c r="AE314" i="1"/>
  <c r="AG314" i="1"/>
  <c r="Z315" i="1"/>
  <c r="AF314" i="1"/>
  <c r="AA314" i="1"/>
  <c r="AN314" i="1"/>
  <c r="AO314" i="1"/>
  <c r="AH315" i="1"/>
  <c r="AX313" i="1"/>
  <c r="AI313" i="1" a="1"/>
  <c r="AI313" i="1" s="1"/>
  <c r="AQ314" i="1"/>
  <c r="AP315" i="1"/>
  <c r="AW314" i="1" a="1"/>
  <c r="AW314" i="1" s="1"/>
  <c r="AV314" i="1" a="1"/>
  <c r="AV314" i="1" s="1"/>
  <c r="AU314" i="1"/>
  <c r="AM314" i="1" s="1" a="1"/>
  <c r="AM314" i="1" s="1"/>
  <c r="AT314" i="1"/>
  <c r="AL314" i="1" s="1" a="1"/>
  <c r="AL314" i="1" s="1"/>
  <c r="AR314" i="1"/>
  <c r="AJ314" i="1" s="1" a="1"/>
  <c r="AJ314" i="1" s="1"/>
  <c r="AS314" i="1"/>
  <c r="AK314" i="1" s="1" a="1"/>
  <c r="AK314" i="1" s="1"/>
  <c r="AP317" i="3" l="1"/>
  <c r="AO316" i="3"/>
  <c r="AS316" i="3" s="1"/>
  <c r="AA317" i="3"/>
  <c r="Z316" i="3"/>
  <c r="AD316" i="3" s="1"/>
  <c r="AU317" i="3"/>
  <c r="AT316" i="3"/>
  <c r="AX316" i="3" s="1"/>
  <c r="K317" i="3"/>
  <c r="O317" i="3" s="1"/>
  <c r="L318" i="3"/>
  <c r="P318" i="3"/>
  <c r="T318" i="3" s="1"/>
  <c r="Q319" i="3"/>
  <c r="F316" i="3"/>
  <c r="J316" i="3" s="1"/>
  <c r="G317" i="3"/>
  <c r="V322" i="3"/>
  <c r="U321" i="3"/>
  <c r="Y321" i="3" s="1"/>
  <c r="AJ316" i="3"/>
  <c r="AN316" i="3" s="1"/>
  <c r="AK317" i="3"/>
  <c r="AY316" i="3"/>
  <c r="BC316" i="3" s="1"/>
  <c r="AZ317" i="3"/>
  <c r="AF318" i="3"/>
  <c r="AE317" i="3"/>
  <c r="AI317" i="3" s="1"/>
  <c r="A331" i="2"/>
  <c r="D330" i="2"/>
  <c r="B330" i="2"/>
  <c r="C330" i="2"/>
  <c r="AN315" i="1"/>
  <c r="AH316" i="1"/>
  <c r="AO315" i="1"/>
  <c r="Z316" i="1"/>
  <c r="AF315" i="1"/>
  <c r="AE315" i="1"/>
  <c r="AA315" i="1"/>
  <c r="AC315" i="1"/>
  <c r="AD315" i="1"/>
  <c r="AB315" i="1"/>
  <c r="AG315" i="1"/>
  <c r="AS315" i="1"/>
  <c r="AK315" i="1" s="1" a="1"/>
  <c r="AK315" i="1" s="1"/>
  <c r="AP316" i="1"/>
  <c r="AQ315" i="1"/>
  <c r="AT315" i="1"/>
  <c r="AL315" i="1" s="1" a="1"/>
  <c r="AL315" i="1" s="1"/>
  <c r="AR315" i="1"/>
  <c r="AJ315" i="1" s="1" a="1"/>
  <c r="AJ315" i="1" s="1"/>
  <c r="AW315" i="1" a="1"/>
  <c r="AW315" i="1" s="1"/>
  <c r="AU315" i="1"/>
  <c r="AM315" i="1" s="1" a="1"/>
  <c r="AM315" i="1" s="1"/>
  <c r="AV315" i="1" a="1"/>
  <c r="AV315" i="1" s="1"/>
  <c r="AI314" i="1" a="1"/>
  <c r="AI314" i="1" s="1"/>
  <c r="AX314" i="1"/>
  <c r="AO317" i="3" l="1"/>
  <c r="AS317" i="3" s="1"/>
  <c r="AP318" i="3"/>
  <c r="F317" i="3"/>
  <c r="J317" i="3" s="1"/>
  <c r="G318" i="3"/>
  <c r="Q320" i="3"/>
  <c r="P319" i="3"/>
  <c r="T319" i="3" s="1"/>
  <c r="AE318" i="3"/>
  <c r="AI318" i="3" s="1"/>
  <c r="AF319" i="3"/>
  <c r="AY317" i="3"/>
  <c r="BC317" i="3" s="1"/>
  <c r="AZ318" i="3"/>
  <c r="L319" i="3"/>
  <c r="K318" i="3"/>
  <c r="O318" i="3" s="1"/>
  <c r="AJ317" i="3"/>
  <c r="AN317" i="3" s="1"/>
  <c r="AK318" i="3"/>
  <c r="AT317" i="3"/>
  <c r="AX317" i="3" s="1"/>
  <c r="AU318" i="3"/>
  <c r="V323" i="3"/>
  <c r="U322" i="3"/>
  <c r="Y322" i="3" s="1"/>
  <c r="Z317" i="3"/>
  <c r="AD317" i="3" s="1"/>
  <c r="AA318" i="3"/>
  <c r="A332" i="2"/>
  <c r="D331" i="2"/>
  <c r="C331" i="2"/>
  <c r="B331" i="2"/>
  <c r="AF316" i="1"/>
  <c r="Z317" i="1"/>
  <c r="AG316" i="1"/>
  <c r="AC316" i="1"/>
  <c r="AE316" i="1"/>
  <c r="AB316" i="1"/>
  <c r="AD316" i="1"/>
  <c r="AA316" i="1"/>
  <c r="AX315" i="1"/>
  <c r="AI315" i="1" a="1"/>
  <c r="AI315" i="1" s="1"/>
  <c r="AN316" i="1"/>
  <c r="AO316" i="1"/>
  <c r="AH317" i="1"/>
  <c r="AQ316" i="1"/>
  <c r="AP317" i="1"/>
  <c r="AV316" i="1" a="1"/>
  <c r="AV316" i="1" s="1"/>
  <c r="AT316" i="1"/>
  <c r="AS316" i="1"/>
  <c r="AK316" i="1" s="1" a="1"/>
  <c r="AK316" i="1" s="1"/>
  <c r="AU316" i="1"/>
  <c r="AM316" i="1" s="1" a="1"/>
  <c r="AM316" i="1" s="1"/>
  <c r="AR316" i="1"/>
  <c r="AJ316" i="1" s="1" a="1"/>
  <c r="AJ316" i="1" s="1"/>
  <c r="AW316" i="1" a="1"/>
  <c r="AW316" i="1" s="1"/>
  <c r="AL316" i="1" l="1" a="1"/>
  <c r="AL316" i="1" s="1"/>
  <c r="AO318" i="3"/>
  <c r="AS318" i="3" s="1"/>
  <c r="AP319" i="3"/>
  <c r="K319" i="3"/>
  <c r="O319" i="3" s="1"/>
  <c r="L320" i="3"/>
  <c r="AY318" i="3"/>
  <c r="BC318" i="3" s="1"/>
  <c r="AZ319" i="3"/>
  <c r="Z318" i="3"/>
  <c r="AD318" i="3" s="1"/>
  <c r="AA319" i="3"/>
  <c r="AF320" i="3"/>
  <c r="AE319" i="3"/>
  <c r="AI319" i="3" s="1"/>
  <c r="V324" i="3"/>
  <c r="U323" i="3"/>
  <c r="Y323" i="3" s="1"/>
  <c r="P320" i="3"/>
  <c r="T320" i="3" s="1"/>
  <c r="Q321" i="3"/>
  <c r="AT318" i="3"/>
  <c r="AX318" i="3" s="1"/>
  <c r="AU319" i="3"/>
  <c r="AJ318" i="3"/>
  <c r="AN318" i="3" s="1"/>
  <c r="AK319" i="3"/>
  <c r="G319" i="3"/>
  <c r="F318" i="3"/>
  <c r="J318" i="3" s="1"/>
  <c r="D332" i="2"/>
  <c r="A333" i="2"/>
  <c r="C332" i="2"/>
  <c r="B332" i="2"/>
  <c r="AR317" i="1"/>
  <c r="AV317" i="1" a="1"/>
  <c r="AV317" i="1" s="1"/>
  <c r="AQ317" i="1"/>
  <c r="AU317" i="1"/>
  <c r="AW317" i="1" a="1"/>
  <c r="AW317" i="1" s="1"/>
  <c r="AP318" i="1"/>
  <c r="AT317" i="1"/>
  <c r="AS317" i="1"/>
  <c r="AK317" i="1" s="1" a="1"/>
  <c r="AK317" i="1" s="1"/>
  <c r="AI316" i="1" a="1"/>
  <c r="AI316" i="1" s="1"/>
  <c r="AX316" i="1"/>
  <c r="AE317" i="1"/>
  <c r="AG317" i="1"/>
  <c r="AA317" i="1"/>
  <c r="AD317" i="1"/>
  <c r="Z318" i="1"/>
  <c r="AB317" i="1"/>
  <c r="AC317" i="1"/>
  <c r="AF317" i="1"/>
  <c r="AH318" i="1"/>
  <c r="AO317" i="1"/>
  <c r="AN317" i="1"/>
  <c r="AL317" i="1" l="1" a="1"/>
  <c r="AL317" i="1" s="1"/>
  <c r="AM317" i="1" a="1"/>
  <c r="AM317" i="1" s="1"/>
  <c r="AJ317" i="1" a="1"/>
  <c r="AJ317" i="1" s="1"/>
  <c r="AO319" i="3"/>
  <c r="AS319" i="3" s="1"/>
  <c r="AP320" i="3"/>
  <c r="V325" i="3"/>
  <c r="U324" i="3"/>
  <c r="Y324" i="3" s="1"/>
  <c r="F319" i="3"/>
  <c r="J319" i="3" s="1"/>
  <c r="G320" i="3"/>
  <c r="AJ319" i="3"/>
  <c r="AN319" i="3" s="1"/>
  <c r="AK320" i="3"/>
  <c r="AE320" i="3"/>
  <c r="AI320" i="3" s="1"/>
  <c r="AF321" i="3"/>
  <c r="AA320" i="3"/>
  <c r="Z319" i="3"/>
  <c r="AD319" i="3" s="1"/>
  <c r="AZ320" i="3"/>
  <c r="AY319" i="3"/>
  <c r="BC319" i="3" s="1"/>
  <c r="AT319" i="3"/>
  <c r="AX319" i="3" s="1"/>
  <c r="AU320" i="3"/>
  <c r="L321" i="3"/>
  <c r="K320" i="3"/>
  <c r="O320" i="3" s="1"/>
  <c r="P321" i="3"/>
  <c r="T321" i="3" s="1"/>
  <c r="Q322" i="3"/>
  <c r="A334" i="2"/>
  <c r="B333" i="2"/>
  <c r="C333" i="2"/>
  <c r="D333" i="2"/>
  <c r="AC318" i="1"/>
  <c r="AE318" i="1"/>
  <c r="AD318" i="1"/>
  <c r="AB318" i="1"/>
  <c r="Z319" i="1"/>
  <c r="AA318" i="1"/>
  <c r="AF318" i="1"/>
  <c r="AG318" i="1"/>
  <c r="AO318" i="1"/>
  <c r="AH319" i="1"/>
  <c r="AN318" i="1"/>
  <c r="AT318" i="1"/>
  <c r="AL318" i="1" s="1" a="1"/>
  <c r="AL318" i="1" s="1"/>
  <c r="AV318" i="1" a="1"/>
  <c r="AV318" i="1" s="1"/>
  <c r="AS318" i="1"/>
  <c r="AQ318" i="1"/>
  <c r="AP319" i="1"/>
  <c r="AW318" i="1" a="1"/>
  <c r="AW318" i="1" s="1"/>
  <c r="AR318" i="1"/>
  <c r="AJ318" i="1" s="1" a="1"/>
  <c r="AJ318" i="1" s="1"/>
  <c r="AU318" i="1"/>
  <c r="AM318" i="1" s="1" a="1"/>
  <c r="AM318" i="1" s="1"/>
  <c r="AX317" i="1"/>
  <c r="AI317" i="1" a="1"/>
  <c r="AI317" i="1" s="1"/>
  <c r="AK318" i="1" l="1" a="1"/>
  <c r="AK318" i="1" s="1"/>
  <c r="AO320" i="3"/>
  <c r="AS320" i="3" s="1"/>
  <c r="AP321" i="3"/>
  <c r="AA321" i="3"/>
  <c r="Z320" i="3"/>
  <c r="AD320" i="3" s="1"/>
  <c r="Q323" i="3"/>
  <c r="P322" i="3"/>
  <c r="T322" i="3" s="1"/>
  <c r="AF322" i="3"/>
  <c r="AE321" i="3"/>
  <c r="AI321" i="3" s="1"/>
  <c r="AJ320" i="3"/>
  <c r="AN320" i="3" s="1"/>
  <c r="AK321" i="3"/>
  <c r="L322" i="3"/>
  <c r="K321" i="3"/>
  <c r="O321" i="3" s="1"/>
  <c r="AU321" i="3"/>
  <c r="AT320" i="3"/>
  <c r="AX320" i="3" s="1"/>
  <c r="G321" i="3"/>
  <c r="F320" i="3"/>
  <c r="J320" i="3" s="1"/>
  <c r="AY320" i="3"/>
  <c r="BC320" i="3" s="1"/>
  <c r="AZ321" i="3"/>
  <c r="V326" i="3"/>
  <c r="U325" i="3"/>
  <c r="Y325" i="3" s="1"/>
  <c r="C334" i="2"/>
  <c r="B334" i="2"/>
  <c r="A335" i="2"/>
  <c r="D334" i="2"/>
  <c r="AN319" i="1"/>
  <c r="AO319" i="1"/>
  <c r="AH320" i="1"/>
  <c r="AG319" i="1"/>
  <c r="AD319" i="1"/>
  <c r="AC319" i="1"/>
  <c r="AF319" i="1"/>
  <c r="AA319" i="1"/>
  <c r="AB319" i="1"/>
  <c r="Z320" i="1"/>
  <c r="AE319" i="1"/>
  <c r="AR319" i="1"/>
  <c r="AJ319" i="1" s="1" a="1"/>
  <c r="AJ319" i="1" s="1"/>
  <c r="AV319" i="1" a="1"/>
  <c r="AV319" i="1" s="1"/>
  <c r="AT319" i="1"/>
  <c r="AL319" i="1" s="1" a="1"/>
  <c r="AL319" i="1" s="1"/>
  <c r="AU319" i="1"/>
  <c r="AS319" i="1"/>
  <c r="AK319" i="1" s="1" a="1"/>
  <c r="AK319" i="1" s="1"/>
  <c r="AP320" i="1"/>
  <c r="AW319" i="1" a="1"/>
  <c r="AW319" i="1" s="1"/>
  <c r="AQ319" i="1"/>
  <c r="AX318" i="1"/>
  <c r="AI318" i="1" a="1"/>
  <c r="AI318" i="1" s="1"/>
  <c r="AM319" i="1" l="1" a="1"/>
  <c r="AM319" i="1" s="1"/>
  <c r="AP322" i="3"/>
  <c r="AO321" i="3"/>
  <c r="AS321" i="3" s="1"/>
  <c r="AT321" i="3"/>
  <c r="AX321" i="3" s="1"/>
  <c r="AU322" i="3"/>
  <c r="K322" i="3"/>
  <c r="O322" i="3" s="1"/>
  <c r="L323" i="3"/>
  <c r="V327" i="3"/>
  <c r="U326" i="3"/>
  <c r="Y326" i="3" s="1"/>
  <c r="AK322" i="3"/>
  <c r="AJ321" i="3"/>
  <c r="AN321" i="3" s="1"/>
  <c r="AY321" i="3"/>
  <c r="BC321" i="3" s="1"/>
  <c r="AZ322" i="3"/>
  <c r="AF323" i="3"/>
  <c r="AE322" i="3"/>
  <c r="AI322" i="3" s="1"/>
  <c r="P323" i="3"/>
  <c r="T323" i="3" s="1"/>
  <c r="Q324" i="3"/>
  <c r="G322" i="3"/>
  <c r="F321" i="3"/>
  <c r="J321" i="3" s="1"/>
  <c r="AA322" i="3"/>
  <c r="Z321" i="3"/>
  <c r="AD321" i="3" s="1"/>
  <c r="D335" i="2"/>
  <c r="A336" i="2"/>
  <c r="B335" i="2"/>
  <c r="C335" i="2"/>
  <c r="AE320" i="1"/>
  <c r="Z321" i="1"/>
  <c r="AD320" i="1"/>
  <c r="AB320" i="1"/>
  <c r="AG320" i="1"/>
  <c r="AF320" i="1"/>
  <c r="AC320" i="1"/>
  <c r="AA320" i="1"/>
  <c r="AX319" i="1"/>
  <c r="AI319" i="1" a="1"/>
  <c r="AI319" i="1" s="1"/>
  <c r="AR320" i="1"/>
  <c r="AJ320" i="1" s="1" a="1"/>
  <c r="AJ320" i="1" s="1"/>
  <c r="AS320" i="1"/>
  <c r="AU320" i="1"/>
  <c r="AM320" i="1" s="1" a="1"/>
  <c r="AM320" i="1" s="1"/>
  <c r="AW320" i="1" a="1"/>
  <c r="AW320" i="1" s="1"/>
  <c r="AT320" i="1"/>
  <c r="AL320" i="1" s="1" a="1"/>
  <c r="AL320" i="1" s="1"/>
  <c r="AV320" i="1" a="1"/>
  <c r="AV320" i="1" s="1"/>
  <c r="AP321" i="1"/>
  <c r="AQ320" i="1"/>
  <c r="AN320" i="1"/>
  <c r="AH321" i="1"/>
  <c r="AO320" i="1"/>
  <c r="AK320" i="1" l="1" a="1"/>
  <c r="AK320" i="1" s="1"/>
  <c r="AO322" i="3"/>
  <c r="AS322" i="3" s="1"/>
  <c r="AP323" i="3"/>
  <c r="AA323" i="3"/>
  <c r="Z322" i="3"/>
  <c r="AD322" i="3" s="1"/>
  <c r="AK323" i="3"/>
  <c r="AJ322" i="3"/>
  <c r="AN322" i="3" s="1"/>
  <c r="G323" i="3"/>
  <c r="F322" i="3"/>
  <c r="J322" i="3" s="1"/>
  <c r="Q325" i="3"/>
  <c r="P324" i="3"/>
  <c r="T324" i="3" s="1"/>
  <c r="V328" i="3"/>
  <c r="U327" i="3"/>
  <c r="Y327" i="3" s="1"/>
  <c r="K323" i="3"/>
  <c r="O323" i="3" s="1"/>
  <c r="L324" i="3"/>
  <c r="AF324" i="3"/>
  <c r="AE323" i="3"/>
  <c r="AI323" i="3" s="1"/>
  <c r="AT322" i="3"/>
  <c r="AX322" i="3" s="1"/>
  <c r="AU323" i="3"/>
  <c r="AY322" i="3"/>
  <c r="BC322" i="3" s="1"/>
  <c r="AZ323" i="3"/>
  <c r="B336" i="2"/>
  <c r="C336" i="2"/>
  <c r="D336" i="2"/>
  <c r="A337" i="2"/>
  <c r="AO321" i="1"/>
  <c r="AH322" i="1"/>
  <c r="AN321" i="1"/>
  <c r="AI320" i="1" a="1"/>
  <c r="AI320" i="1" s="1"/>
  <c r="AX320" i="1"/>
  <c r="AP322" i="1"/>
  <c r="AW321" i="1" a="1"/>
  <c r="AW321" i="1" s="1"/>
  <c r="AR321" i="1"/>
  <c r="AJ321" i="1" s="1" a="1"/>
  <c r="AJ321" i="1" s="1"/>
  <c r="AV321" i="1" a="1"/>
  <c r="AV321" i="1" s="1"/>
  <c r="AU321" i="1"/>
  <c r="AM321" i="1" s="1" a="1"/>
  <c r="AM321" i="1" s="1"/>
  <c r="AT321" i="1"/>
  <c r="AL321" i="1" s="1" a="1"/>
  <c r="AL321" i="1" s="1"/>
  <c r="AS321" i="1"/>
  <c r="AK321" i="1" s="1" a="1"/>
  <c r="AK321" i="1" s="1"/>
  <c r="AQ321" i="1"/>
  <c r="AC321" i="1"/>
  <c r="AF321" i="1"/>
  <c r="AD321" i="1"/>
  <c r="Z322" i="1"/>
  <c r="AB321" i="1"/>
  <c r="AE321" i="1"/>
  <c r="AA321" i="1"/>
  <c r="AG321" i="1"/>
  <c r="AP324" i="3" l="1"/>
  <c r="AO323" i="3"/>
  <c r="AS323" i="3" s="1"/>
  <c r="AZ324" i="3"/>
  <c r="AY323" i="3"/>
  <c r="BC323" i="3" s="1"/>
  <c r="P325" i="3"/>
  <c r="T325" i="3" s="1"/>
  <c r="Q326" i="3"/>
  <c r="AT323" i="3"/>
  <c r="AX323" i="3" s="1"/>
  <c r="AU324" i="3"/>
  <c r="G324" i="3"/>
  <c r="F323" i="3"/>
  <c r="J323" i="3" s="1"/>
  <c r="AE324" i="3"/>
  <c r="AI324" i="3" s="1"/>
  <c r="AF325" i="3"/>
  <c r="AJ323" i="3"/>
  <c r="AN323" i="3" s="1"/>
  <c r="AK324" i="3"/>
  <c r="K324" i="3"/>
  <c r="O324" i="3" s="1"/>
  <c r="L325" i="3"/>
  <c r="Z323" i="3"/>
  <c r="AD323" i="3" s="1"/>
  <c r="AA324" i="3"/>
  <c r="U328" i="3"/>
  <c r="Y328" i="3" s="1"/>
  <c r="V329" i="3"/>
  <c r="C337" i="2"/>
  <c r="D337" i="2"/>
  <c r="B337" i="2"/>
  <c r="A338" i="2"/>
  <c r="AQ322" i="1"/>
  <c r="AS322" i="1"/>
  <c r="AP323" i="1"/>
  <c r="AR322" i="1"/>
  <c r="AU322" i="1"/>
  <c r="AT322" i="1"/>
  <c r="AV322" i="1" a="1"/>
  <c r="AV322" i="1" s="1"/>
  <c r="AW322" i="1" a="1"/>
  <c r="AW322" i="1" s="1"/>
  <c r="AC322" i="1"/>
  <c r="AG322" i="1"/>
  <c r="AA322" i="1"/>
  <c r="AE322" i="1"/>
  <c r="AF322" i="1"/>
  <c r="AD322" i="1"/>
  <c r="Z323" i="1"/>
  <c r="AB322" i="1"/>
  <c r="AO322" i="1"/>
  <c r="AH323" i="1"/>
  <c r="AN322" i="1"/>
  <c r="AX321" i="1"/>
  <c r="AI321" i="1" a="1"/>
  <c r="AI321" i="1" s="1"/>
  <c r="AL322" i="1" l="1" a="1"/>
  <c r="AL322" i="1" s="1"/>
  <c r="AK322" i="1" a="1"/>
  <c r="AK322" i="1" s="1"/>
  <c r="AM322" i="1" a="1"/>
  <c r="AM322" i="1" s="1"/>
  <c r="AJ322" i="1" a="1"/>
  <c r="AJ322" i="1" s="1"/>
  <c r="AO324" i="3"/>
  <c r="AS324" i="3" s="1"/>
  <c r="AP325" i="3"/>
  <c r="AE325" i="3"/>
  <c r="AI325" i="3" s="1"/>
  <c r="AF326" i="3"/>
  <c r="U329" i="3"/>
  <c r="Y329" i="3" s="1"/>
  <c r="V330" i="3"/>
  <c r="G325" i="3"/>
  <c r="F324" i="3"/>
  <c r="J324" i="3" s="1"/>
  <c r="AU325" i="3"/>
  <c r="AT324" i="3"/>
  <c r="AX324" i="3" s="1"/>
  <c r="Z324" i="3"/>
  <c r="AD324" i="3" s="1"/>
  <c r="AA325" i="3"/>
  <c r="Q327" i="3"/>
  <c r="P326" i="3"/>
  <c r="T326" i="3" s="1"/>
  <c r="L326" i="3"/>
  <c r="K325" i="3"/>
  <c r="O325" i="3" s="1"/>
  <c r="AK325" i="3"/>
  <c r="AJ324" i="3"/>
  <c r="AN324" i="3" s="1"/>
  <c r="AY324" i="3"/>
  <c r="BC324" i="3" s="1"/>
  <c r="AZ325" i="3"/>
  <c r="C338" i="2"/>
  <c r="B338" i="2"/>
  <c r="D338" i="2"/>
  <c r="A339" i="2"/>
  <c r="AO323" i="1"/>
  <c r="AN323" i="1"/>
  <c r="AH324" i="1"/>
  <c r="AC323" i="1"/>
  <c r="AG323" i="1"/>
  <c r="AB323" i="1"/>
  <c r="Z324" i="1"/>
  <c r="AD323" i="1"/>
  <c r="AE323" i="1"/>
  <c r="AF323" i="1"/>
  <c r="AA323" i="1"/>
  <c r="AW323" i="1" a="1"/>
  <c r="AW323" i="1" s="1"/>
  <c r="AU323" i="1"/>
  <c r="AM323" i="1" s="1" a="1"/>
  <c r="AM323" i="1" s="1"/>
  <c r="AQ323" i="1"/>
  <c r="AP324" i="1"/>
  <c r="AR323" i="1"/>
  <c r="AJ323" i="1" s="1" a="1"/>
  <c r="AJ323" i="1" s="1"/>
  <c r="AT323" i="1"/>
  <c r="AL323" i="1" s="1" a="1"/>
  <c r="AL323" i="1" s="1"/>
  <c r="AV323" i="1" a="1"/>
  <c r="AV323" i="1" s="1"/>
  <c r="AS323" i="1"/>
  <c r="AK323" i="1" s="1" a="1"/>
  <c r="AK323" i="1" s="1"/>
  <c r="AI322" i="1" a="1"/>
  <c r="AI322" i="1" s="1"/>
  <c r="AX322" i="1"/>
  <c r="AO325" i="3" l="1"/>
  <c r="AS325" i="3" s="1"/>
  <c r="AP326" i="3"/>
  <c r="AT325" i="3"/>
  <c r="AX325" i="3" s="1"/>
  <c r="AU326" i="3"/>
  <c r="AY325" i="3"/>
  <c r="BC325" i="3" s="1"/>
  <c r="AZ326" i="3"/>
  <c r="G326" i="3"/>
  <c r="F325" i="3"/>
  <c r="J325" i="3" s="1"/>
  <c r="AJ325" i="3"/>
  <c r="AN325" i="3" s="1"/>
  <c r="AK326" i="3"/>
  <c r="K326" i="3"/>
  <c r="O326" i="3" s="1"/>
  <c r="L327" i="3"/>
  <c r="U330" i="3"/>
  <c r="Y330" i="3" s="1"/>
  <c r="V331" i="3"/>
  <c r="P327" i="3"/>
  <c r="T327" i="3" s="1"/>
  <c r="Q328" i="3"/>
  <c r="AA326" i="3"/>
  <c r="Z325" i="3"/>
  <c r="AD325" i="3" s="1"/>
  <c r="AE326" i="3"/>
  <c r="AI326" i="3" s="1"/>
  <c r="AF327" i="3"/>
  <c r="B339" i="2"/>
  <c r="C339" i="2"/>
  <c r="A340" i="2"/>
  <c r="D339" i="2"/>
  <c r="AD324" i="1"/>
  <c r="AF324" i="1"/>
  <c r="AA324" i="1"/>
  <c r="AE324" i="1"/>
  <c r="AG324" i="1"/>
  <c r="AB324" i="1"/>
  <c r="AC324" i="1"/>
  <c r="Z325" i="1"/>
  <c r="AQ324" i="1"/>
  <c r="AV324" i="1" a="1"/>
  <c r="AV324" i="1" s="1"/>
  <c r="AT324" i="1"/>
  <c r="AL324" i="1" s="1" a="1"/>
  <c r="AL324" i="1" s="1"/>
  <c r="AP325" i="1"/>
  <c r="AS324" i="1"/>
  <c r="AK324" i="1" s="1" a="1"/>
  <c r="AK324" i="1" s="1"/>
  <c r="AR324" i="1"/>
  <c r="AJ324" i="1" s="1" a="1"/>
  <c r="AJ324" i="1" s="1"/>
  <c r="AW324" i="1" a="1"/>
  <c r="AW324" i="1" s="1"/>
  <c r="AU324" i="1"/>
  <c r="AM324" i="1" s="1" a="1"/>
  <c r="AM324" i="1" s="1"/>
  <c r="AH325" i="1"/>
  <c r="AN324" i="1"/>
  <c r="AO324" i="1"/>
  <c r="AX323" i="1"/>
  <c r="AI323" i="1" a="1"/>
  <c r="AI323" i="1" s="1"/>
  <c r="AO326" i="3" l="1"/>
  <c r="AS326" i="3" s="1"/>
  <c r="AP327" i="3"/>
  <c r="AF328" i="3"/>
  <c r="AE327" i="3"/>
  <c r="AI327" i="3" s="1"/>
  <c r="AJ326" i="3"/>
  <c r="AN326" i="3" s="1"/>
  <c r="AK327" i="3"/>
  <c r="AA327" i="3"/>
  <c r="Z326" i="3"/>
  <c r="AD326" i="3" s="1"/>
  <c r="Q329" i="3"/>
  <c r="P328" i="3"/>
  <c r="T328" i="3" s="1"/>
  <c r="F326" i="3"/>
  <c r="J326" i="3" s="1"/>
  <c r="G327" i="3"/>
  <c r="V332" i="3"/>
  <c r="U331" i="3"/>
  <c r="Y331" i="3" s="1"/>
  <c r="AY326" i="3"/>
  <c r="BC326" i="3" s="1"/>
  <c r="AZ327" i="3"/>
  <c r="AU327" i="3"/>
  <c r="AT326" i="3"/>
  <c r="AX326" i="3" s="1"/>
  <c r="K327" i="3"/>
  <c r="O327" i="3" s="1"/>
  <c r="L328" i="3"/>
  <c r="B340" i="2"/>
  <c r="C340" i="2"/>
  <c r="A341" i="2"/>
  <c r="D340" i="2"/>
  <c r="AO325" i="1"/>
  <c r="AN325" i="1"/>
  <c r="AH326" i="1"/>
  <c r="AQ325" i="1"/>
  <c r="AR325" i="1"/>
  <c r="AS325" i="1"/>
  <c r="AK325" i="1" s="1" a="1"/>
  <c r="AK325" i="1" s="1"/>
  <c r="AW325" i="1" a="1"/>
  <c r="AW325" i="1" s="1"/>
  <c r="AP326" i="1"/>
  <c r="AU325" i="1"/>
  <c r="AM325" i="1" s="1" a="1"/>
  <c r="AM325" i="1" s="1"/>
  <c r="AT325" i="1"/>
  <c r="AL325" i="1" s="1" a="1"/>
  <c r="AL325" i="1" s="1"/>
  <c r="AV325" i="1" a="1"/>
  <c r="AV325" i="1" s="1"/>
  <c r="AI324" i="1" a="1"/>
  <c r="AI324" i="1" s="1"/>
  <c r="AX324" i="1"/>
  <c r="AD325" i="1"/>
  <c r="AE325" i="1"/>
  <c r="AC325" i="1"/>
  <c r="AF325" i="1"/>
  <c r="AB325" i="1"/>
  <c r="AA325" i="1"/>
  <c r="AG325" i="1"/>
  <c r="Z326" i="1"/>
  <c r="AJ325" i="1" l="1" a="1"/>
  <c r="AJ325" i="1" s="1"/>
  <c r="AO327" i="3"/>
  <c r="AS327" i="3" s="1"/>
  <c r="AP328" i="3"/>
  <c r="F327" i="3"/>
  <c r="J327" i="3" s="1"/>
  <c r="G328" i="3"/>
  <c r="L329" i="3"/>
  <c r="K328" i="3"/>
  <c r="O328" i="3" s="1"/>
  <c r="P329" i="3"/>
  <c r="T329" i="3" s="1"/>
  <c r="Q330" i="3"/>
  <c r="AT327" i="3"/>
  <c r="AX327" i="3" s="1"/>
  <c r="AU328" i="3"/>
  <c r="AA328" i="3"/>
  <c r="Z327" i="3"/>
  <c r="AD327" i="3" s="1"/>
  <c r="AZ328" i="3"/>
  <c r="AY327" i="3"/>
  <c r="BC327" i="3" s="1"/>
  <c r="AJ327" i="3"/>
  <c r="AN327" i="3" s="1"/>
  <c r="AK328" i="3"/>
  <c r="AE328" i="3"/>
  <c r="AI328" i="3" s="1"/>
  <c r="AF329" i="3"/>
  <c r="U332" i="3"/>
  <c r="Y332" i="3" s="1"/>
  <c r="V333" i="3"/>
  <c r="B341" i="2"/>
  <c r="C341" i="2"/>
  <c r="A342" i="2"/>
  <c r="D341" i="2"/>
  <c r="AB326" i="1"/>
  <c r="AF326" i="1"/>
  <c r="Z327" i="1"/>
  <c r="AE326" i="1"/>
  <c r="AD326" i="1"/>
  <c r="AA326" i="1"/>
  <c r="AC326" i="1"/>
  <c r="AG326" i="1"/>
  <c r="AW326" i="1" a="1"/>
  <c r="AW326" i="1" s="1"/>
  <c r="AP327" i="1"/>
  <c r="AR326" i="1"/>
  <c r="AJ326" i="1" s="1" a="1"/>
  <c r="AJ326" i="1" s="1"/>
  <c r="AT326" i="1"/>
  <c r="AL326" i="1" s="1" a="1"/>
  <c r="AL326" i="1" s="1"/>
  <c r="AU326" i="1"/>
  <c r="AM326" i="1" s="1" a="1"/>
  <c r="AM326" i="1" s="1"/>
  <c r="AQ326" i="1"/>
  <c r="AV326" i="1" a="1"/>
  <c r="AV326" i="1" s="1"/>
  <c r="AS326" i="1"/>
  <c r="AK326" i="1" s="1" a="1"/>
  <c r="AK326" i="1" s="1"/>
  <c r="AI325" i="1" a="1"/>
  <c r="AI325" i="1" s="1"/>
  <c r="AX325" i="1"/>
  <c r="AO326" i="1"/>
  <c r="AN326" i="1"/>
  <c r="AH327" i="1"/>
  <c r="AP329" i="3" l="1"/>
  <c r="AO328" i="3"/>
  <c r="AS328" i="3" s="1"/>
  <c r="AZ329" i="3"/>
  <c r="AY328" i="3"/>
  <c r="BC328" i="3" s="1"/>
  <c r="AA329" i="3"/>
  <c r="Z328" i="3"/>
  <c r="AD328" i="3" s="1"/>
  <c r="AU329" i="3"/>
  <c r="AT328" i="3"/>
  <c r="AX328" i="3" s="1"/>
  <c r="V334" i="3"/>
  <c r="U333" i="3"/>
  <c r="Y333" i="3" s="1"/>
  <c r="Q331" i="3"/>
  <c r="P330" i="3"/>
  <c r="T330" i="3" s="1"/>
  <c r="AF330" i="3"/>
  <c r="AE329" i="3"/>
  <c r="AI329" i="3" s="1"/>
  <c r="L330" i="3"/>
  <c r="K329" i="3"/>
  <c r="O329" i="3" s="1"/>
  <c r="AJ328" i="3"/>
  <c r="AN328" i="3" s="1"/>
  <c r="AK329" i="3"/>
  <c r="G329" i="3"/>
  <c r="F328" i="3"/>
  <c r="J328" i="3" s="1"/>
  <c r="B342" i="2"/>
  <c r="D342" i="2"/>
  <c r="A343" i="2"/>
  <c r="C342" i="2"/>
  <c r="AW327" i="1" a="1"/>
  <c r="AW327" i="1" s="1"/>
  <c r="AR327" i="1"/>
  <c r="AV327" i="1" a="1"/>
  <c r="AV327" i="1" s="1"/>
  <c r="AP328" i="1"/>
  <c r="AU327" i="1"/>
  <c r="AM327" i="1" s="1" a="1"/>
  <c r="AM327" i="1" s="1"/>
  <c r="AT327" i="1"/>
  <c r="AQ327" i="1"/>
  <c r="AS327" i="1"/>
  <c r="AK327" i="1" s="1" a="1"/>
  <c r="AK327" i="1" s="1"/>
  <c r="AN327" i="1"/>
  <c r="AH328" i="1"/>
  <c r="AO327" i="1"/>
  <c r="AD327" i="1"/>
  <c r="AF327" i="1"/>
  <c r="AC327" i="1"/>
  <c r="AB327" i="1"/>
  <c r="Z328" i="1"/>
  <c r="AE327" i="1"/>
  <c r="AG327" i="1"/>
  <c r="AA327" i="1"/>
  <c r="AX326" i="1"/>
  <c r="AI326" i="1" a="1"/>
  <c r="AI326" i="1" s="1"/>
  <c r="AL327" i="1" l="1" a="1"/>
  <c r="AL327" i="1" s="1"/>
  <c r="AJ327" i="1" a="1"/>
  <c r="AJ327" i="1" s="1"/>
  <c r="AO329" i="3"/>
  <c r="AS329" i="3" s="1"/>
  <c r="AP330" i="3"/>
  <c r="Q332" i="3"/>
  <c r="P331" i="3"/>
  <c r="T331" i="3" s="1"/>
  <c r="V335" i="3"/>
  <c r="U334" i="3"/>
  <c r="Y334" i="3" s="1"/>
  <c r="F329" i="3"/>
  <c r="J329" i="3" s="1"/>
  <c r="G330" i="3"/>
  <c r="AJ329" i="3"/>
  <c r="AN329" i="3" s="1"/>
  <c r="AK330" i="3"/>
  <c r="AT329" i="3"/>
  <c r="AX329" i="3" s="1"/>
  <c r="AU330" i="3"/>
  <c r="Z329" i="3"/>
  <c r="AD329" i="3" s="1"/>
  <c r="AA330" i="3"/>
  <c r="L331" i="3"/>
  <c r="K330" i="3"/>
  <c r="O330" i="3" s="1"/>
  <c r="AE330" i="3"/>
  <c r="AI330" i="3" s="1"/>
  <c r="AF331" i="3"/>
  <c r="AZ330" i="3"/>
  <c r="AY329" i="3"/>
  <c r="BC329" i="3" s="1"/>
  <c r="C343" i="2"/>
  <c r="D343" i="2"/>
  <c r="B343" i="2"/>
  <c r="A344" i="2"/>
  <c r="AO328" i="1"/>
  <c r="AH329" i="1"/>
  <c r="AN328" i="1"/>
  <c r="AI327" i="1" a="1"/>
  <c r="AI327" i="1" s="1"/>
  <c r="AX327" i="1"/>
  <c r="AA328" i="1"/>
  <c r="AF328" i="1"/>
  <c r="AE328" i="1"/>
  <c r="AG328" i="1"/>
  <c r="Z329" i="1"/>
  <c r="AB328" i="1"/>
  <c r="AC328" i="1"/>
  <c r="AD328" i="1"/>
  <c r="AP329" i="1"/>
  <c r="AU328" i="1"/>
  <c r="AW328" i="1" a="1"/>
  <c r="AW328" i="1" s="1"/>
  <c r="AT328" i="1"/>
  <c r="AL328" i="1" s="1" a="1"/>
  <c r="AL328" i="1" s="1"/>
  <c r="AS328" i="1"/>
  <c r="AV328" i="1" a="1"/>
  <c r="AV328" i="1" s="1"/>
  <c r="AQ328" i="1"/>
  <c r="AR328" i="1"/>
  <c r="AJ328" i="1" s="1" a="1"/>
  <c r="AJ328" i="1" s="1"/>
  <c r="AK328" i="1" l="1" a="1"/>
  <c r="AK328" i="1" s="1"/>
  <c r="AM328" i="1" a="1"/>
  <c r="AM328" i="1" s="1"/>
  <c r="AO330" i="3"/>
  <c r="AS330" i="3" s="1"/>
  <c r="AP331" i="3"/>
  <c r="AT330" i="3"/>
  <c r="AX330" i="3" s="1"/>
  <c r="AU331" i="3"/>
  <c r="AJ330" i="3"/>
  <c r="AN330" i="3" s="1"/>
  <c r="AK331" i="3"/>
  <c r="AZ331" i="3"/>
  <c r="AY330" i="3"/>
  <c r="BC330" i="3" s="1"/>
  <c r="AF332" i="3"/>
  <c r="AE331" i="3"/>
  <c r="AI331" i="3" s="1"/>
  <c r="G331" i="3"/>
  <c r="F330" i="3"/>
  <c r="J330" i="3" s="1"/>
  <c r="L332" i="3"/>
  <c r="K331" i="3"/>
  <c r="O331" i="3" s="1"/>
  <c r="U335" i="3"/>
  <c r="Y335" i="3" s="1"/>
  <c r="V336" i="3"/>
  <c r="Z330" i="3"/>
  <c r="AD330" i="3" s="1"/>
  <c r="AA331" i="3"/>
  <c r="Q333" i="3"/>
  <c r="P332" i="3"/>
  <c r="T332" i="3" s="1"/>
  <c r="C344" i="2"/>
  <c r="A345" i="2"/>
  <c r="D344" i="2"/>
  <c r="B344" i="2"/>
  <c r="AE329" i="1"/>
  <c r="Z330" i="1"/>
  <c r="AB329" i="1"/>
  <c r="AD329" i="1"/>
  <c r="AG329" i="1"/>
  <c r="AA329" i="1"/>
  <c r="AF329" i="1"/>
  <c r="AC329" i="1"/>
  <c r="AX328" i="1"/>
  <c r="AI328" i="1" a="1"/>
  <c r="AI328" i="1" s="1"/>
  <c r="AR329" i="1"/>
  <c r="AS329" i="1"/>
  <c r="AK329" i="1" s="1" a="1"/>
  <c r="AK329" i="1" s="1"/>
  <c r="AV329" i="1" a="1"/>
  <c r="AV329" i="1" s="1"/>
  <c r="AU329" i="1"/>
  <c r="AM329" i="1" s="1" a="1"/>
  <c r="AM329" i="1" s="1"/>
  <c r="AQ329" i="1"/>
  <c r="AP330" i="1"/>
  <c r="AW329" i="1" a="1"/>
  <c r="AW329" i="1" s="1"/>
  <c r="AT329" i="1"/>
  <c r="AL329" i="1" s="1" a="1"/>
  <c r="AL329" i="1" s="1"/>
  <c r="AO329" i="1"/>
  <c r="AN329" i="1"/>
  <c r="AH330" i="1"/>
  <c r="AJ329" i="1" l="1" a="1"/>
  <c r="AJ329" i="1" s="1"/>
  <c r="AO331" i="3"/>
  <c r="AS331" i="3" s="1"/>
  <c r="AP332" i="3"/>
  <c r="G332" i="3"/>
  <c r="F331" i="3"/>
  <c r="J331" i="3" s="1"/>
  <c r="P333" i="3"/>
  <c r="T333" i="3" s="1"/>
  <c r="Q334" i="3"/>
  <c r="AA332" i="3"/>
  <c r="Z331" i="3"/>
  <c r="AD331" i="3" s="1"/>
  <c r="AE332" i="3"/>
  <c r="AI332" i="3" s="1"/>
  <c r="AF333" i="3"/>
  <c r="V337" i="3"/>
  <c r="U336" i="3"/>
  <c r="Y336" i="3" s="1"/>
  <c r="AY331" i="3"/>
  <c r="BC331" i="3" s="1"/>
  <c r="AZ332" i="3"/>
  <c r="AK332" i="3"/>
  <c r="AJ331" i="3"/>
  <c r="AN331" i="3" s="1"/>
  <c r="L333" i="3"/>
  <c r="K332" i="3"/>
  <c r="O332" i="3" s="1"/>
  <c r="AT331" i="3"/>
  <c r="AX331" i="3" s="1"/>
  <c r="AU332" i="3"/>
  <c r="B345" i="2"/>
  <c r="C345" i="2"/>
  <c r="A346" i="2"/>
  <c r="D345" i="2"/>
  <c r="AH331" i="1"/>
  <c r="AO330" i="1"/>
  <c r="AN330" i="1"/>
  <c r="AT330" i="1"/>
  <c r="AU330" i="1"/>
  <c r="AP331" i="1"/>
  <c r="AR330" i="1"/>
  <c r="AV330" i="1" a="1"/>
  <c r="AV330" i="1" s="1"/>
  <c r="AW330" i="1" a="1"/>
  <c r="AW330" i="1" s="1"/>
  <c r="AS330" i="1"/>
  <c r="AK330" i="1" s="1" a="1"/>
  <c r="AK330" i="1" s="1"/>
  <c r="AQ330" i="1"/>
  <c r="AX329" i="1"/>
  <c r="AI329" i="1" a="1"/>
  <c r="AI329" i="1" s="1"/>
  <c r="Z331" i="1"/>
  <c r="AC330" i="1"/>
  <c r="AF330" i="1"/>
  <c r="AG330" i="1"/>
  <c r="AB330" i="1"/>
  <c r="AE330" i="1"/>
  <c r="AA330" i="1"/>
  <c r="AD330" i="1"/>
  <c r="AJ330" i="1" l="1" a="1"/>
  <c r="AJ330" i="1" s="1"/>
  <c r="AM330" i="1" a="1"/>
  <c r="AM330" i="1" s="1"/>
  <c r="AL330" i="1" a="1"/>
  <c r="AL330" i="1" s="1"/>
  <c r="AO332" i="3"/>
  <c r="AS332" i="3" s="1"/>
  <c r="AP333" i="3"/>
  <c r="V338" i="3"/>
  <c r="U337" i="3"/>
  <c r="Y337" i="3" s="1"/>
  <c r="AF334" i="3"/>
  <c r="AE333" i="3"/>
  <c r="AI333" i="3" s="1"/>
  <c r="AU333" i="3"/>
  <c r="AT332" i="3"/>
  <c r="AX332" i="3" s="1"/>
  <c r="Z332" i="3"/>
  <c r="AD332" i="3" s="1"/>
  <c r="AA333" i="3"/>
  <c r="L334" i="3"/>
  <c r="K333" i="3"/>
  <c r="O333" i="3" s="1"/>
  <c r="Q335" i="3"/>
  <c r="P334" i="3"/>
  <c r="T334" i="3" s="1"/>
  <c r="AK333" i="3"/>
  <c r="AJ332" i="3"/>
  <c r="AN332" i="3" s="1"/>
  <c r="AY332" i="3"/>
  <c r="BC332" i="3" s="1"/>
  <c r="AZ333" i="3"/>
  <c r="G333" i="3"/>
  <c r="F332" i="3"/>
  <c r="J332" i="3" s="1"/>
  <c r="A347" i="2"/>
  <c r="B346" i="2"/>
  <c r="C346" i="2"/>
  <c r="D346" i="2"/>
  <c r="AI330" i="1" a="1"/>
  <c r="AI330" i="1" s="1"/>
  <c r="AX330" i="1"/>
  <c r="AS331" i="1"/>
  <c r="AR331" i="1"/>
  <c r="AJ331" i="1" s="1" a="1"/>
  <c r="AJ331" i="1" s="1"/>
  <c r="AU331" i="1"/>
  <c r="AW331" i="1" a="1"/>
  <c r="AW331" i="1" s="1"/>
  <c r="AV331" i="1" a="1"/>
  <c r="AV331" i="1" s="1"/>
  <c r="AT331" i="1"/>
  <c r="AL331" i="1" s="1" a="1"/>
  <c r="AL331" i="1" s="1"/>
  <c r="AP332" i="1"/>
  <c r="AQ331" i="1"/>
  <c r="AC331" i="1"/>
  <c r="AF331" i="1"/>
  <c r="AB331" i="1"/>
  <c r="AA331" i="1"/>
  <c r="AG331" i="1"/>
  <c r="Z332" i="1"/>
  <c r="AD331" i="1"/>
  <c r="AE331" i="1"/>
  <c r="AN331" i="1"/>
  <c r="AH332" i="1"/>
  <c r="AO331" i="1"/>
  <c r="AK331" i="1" l="1" a="1"/>
  <c r="AK331" i="1" s="1"/>
  <c r="AM331" i="1" a="1"/>
  <c r="AM331" i="1" s="1"/>
  <c r="AO333" i="3"/>
  <c r="AS333" i="3" s="1"/>
  <c r="AP334" i="3"/>
  <c r="K334" i="3"/>
  <c r="O334" i="3" s="1"/>
  <c r="L335" i="3"/>
  <c r="AA334" i="3"/>
  <c r="Z333" i="3"/>
  <c r="AD333" i="3" s="1"/>
  <c r="G334" i="3"/>
  <c r="F333" i="3"/>
  <c r="J333" i="3" s="1"/>
  <c r="AT333" i="3"/>
  <c r="AX333" i="3" s="1"/>
  <c r="AU334" i="3"/>
  <c r="AY333" i="3"/>
  <c r="BC333" i="3" s="1"/>
  <c r="AZ334" i="3"/>
  <c r="AE334" i="3"/>
  <c r="AI334" i="3" s="1"/>
  <c r="AF335" i="3"/>
  <c r="AJ333" i="3"/>
  <c r="AN333" i="3" s="1"/>
  <c r="AK334" i="3"/>
  <c r="V339" i="3"/>
  <c r="U338" i="3"/>
  <c r="Y338" i="3" s="1"/>
  <c r="Q336" i="3"/>
  <c r="P335" i="3"/>
  <c r="T335" i="3" s="1"/>
  <c r="B347" i="2"/>
  <c r="A348" i="2"/>
  <c r="C347" i="2"/>
  <c r="D347" i="2"/>
  <c r="AI331" i="1" a="1"/>
  <c r="AI331" i="1" s="1"/>
  <c r="AX331" i="1"/>
  <c r="AV332" i="1" a="1"/>
  <c r="AV332" i="1" s="1"/>
  <c r="AT332" i="1"/>
  <c r="AU332" i="1"/>
  <c r="AS332" i="1"/>
  <c r="AK332" i="1" s="1" a="1"/>
  <c r="AK332" i="1" s="1"/>
  <c r="AW332" i="1" a="1"/>
  <c r="AW332" i="1" s="1"/>
  <c r="AP333" i="1"/>
  <c r="AR332" i="1"/>
  <c r="AQ332" i="1"/>
  <c r="AH333" i="1"/>
  <c r="AO332" i="1"/>
  <c r="AN332" i="1"/>
  <c r="AG332" i="1"/>
  <c r="Z333" i="1"/>
  <c r="AF332" i="1"/>
  <c r="AE332" i="1"/>
  <c r="AB332" i="1"/>
  <c r="AC332" i="1"/>
  <c r="AA332" i="1"/>
  <c r="AD332" i="1"/>
  <c r="AJ332" i="1" l="1" a="1"/>
  <c r="AJ332" i="1" s="1"/>
  <c r="AM332" i="1" a="1"/>
  <c r="AM332" i="1" s="1"/>
  <c r="AL332" i="1" a="1"/>
  <c r="AL332" i="1" s="1"/>
  <c r="AO334" i="3"/>
  <c r="AS334" i="3" s="1"/>
  <c r="AP335" i="3"/>
  <c r="AZ335" i="3"/>
  <c r="AY334" i="3"/>
  <c r="BC334" i="3" s="1"/>
  <c r="AT334" i="3"/>
  <c r="AX334" i="3" s="1"/>
  <c r="AU335" i="3"/>
  <c r="P336" i="3"/>
  <c r="T336" i="3" s="1"/>
  <c r="Q337" i="3"/>
  <c r="G335" i="3"/>
  <c r="F334" i="3"/>
  <c r="J334" i="3" s="1"/>
  <c r="U339" i="3"/>
  <c r="Y339" i="3" s="1"/>
  <c r="V340" i="3"/>
  <c r="AK335" i="3"/>
  <c r="AJ334" i="3"/>
  <c r="AN334" i="3" s="1"/>
  <c r="AA335" i="3"/>
  <c r="Z334" i="3"/>
  <c r="AD334" i="3" s="1"/>
  <c r="L336" i="3"/>
  <c r="K335" i="3"/>
  <c r="O335" i="3" s="1"/>
  <c r="AF336" i="3"/>
  <c r="AE335" i="3"/>
  <c r="AI335" i="3" s="1"/>
  <c r="D348" i="2"/>
  <c r="C348" i="2"/>
  <c r="B348" i="2"/>
  <c r="A349" i="2"/>
  <c r="AH334" i="1"/>
  <c r="AO333" i="1"/>
  <c r="AN333" i="1"/>
  <c r="AI332" i="1" a="1"/>
  <c r="AI332" i="1" s="1"/>
  <c r="AX332" i="1"/>
  <c r="AS333" i="1"/>
  <c r="AK333" i="1" s="1" a="1"/>
  <c r="AK333" i="1" s="1"/>
  <c r="AR333" i="1"/>
  <c r="AV333" i="1" a="1"/>
  <c r="AV333" i="1" s="1"/>
  <c r="AQ333" i="1"/>
  <c r="AU333" i="1"/>
  <c r="AM333" i="1" s="1" a="1"/>
  <c r="AM333" i="1" s="1"/>
  <c r="AP334" i="1"/>
  <c r="AT333" i="1"/>
  <c r="AL333" i="1" s="1" a="1"/>
  <c r="AL333" i="1" s="1"/>
  <c r="AW333" i="1" a="1"/>
  <c r="AW333" i="1" s="1"/>
  <c r="AD333" i="1"/>
  <c r="AE333" i="1"/>
  <c r="AG333" i="1"/>
  <c r="AC333" i="1"/>
  <c r="AB333" i="1"/>
  <c r="AA333" i="1"/>
  <c r="AF333" i="1"/>
  <c r="Z334" i="1"/>
  <c r="AJ333" i="1" l="1" a="1"/>
  <c r="AJ333" i="1" s="1"/>
  <c r="AO335" i="3"/>
  <c r="AS335" i="3" s="1"/>
  <c r="AP336" i="3"/>
  <c r="AE336" i="3"/>
  <c r="AI336" i="3" s="1"/>
  <c r="AF337" i="3"/>
  <c r="F335" i="3"/>
  <c r="J335" i="3" s="1"/>
  <c r="G336" i="3"/>
  <c r="P337" i="3"/>
  <c r="T337" i="3" s="1"/>
  <c r="Q338" i="3"/>
  <c r="L337" i="3"/>
  <c r="K336" i="3"/>
  <c r="O336" i="3" s="1"/>
  <c r="AT335" i="3"/>
  <c r="AX335" i="3" s="1"/>
  <c r="AU336" i="3"/>
  <c r="Z335" i="3"/>
  <c r="AD335" i="3" s="1"/>
  <c r="AA336" i="3"/>
  <c r="AJ335" i="3"/>
  <c r="AN335" i="3" s="1"/>
  <c r="AK336" i="3"/>
  <c r="U340" i="3"/>
  <c r="Y340" i="3" s="1"/>
  <c r="V341" i="3"/>
  <c r="AY335" i="3"/>
  <c r="BC335" i="3" s="1"/>
  <c r="AZ336" i="3"/>
  <c r="D349" i="2"/>
  <c r="C349" i="2"/>
  <c r="A350" i="2"/>
  <c r="B349" i="2"/>
  <c r="AV334" i="1" a="1"/>
  <c r="AV334" i="1" s="1"/>
  <c r="AQ334" i="1"/>
  <c r="AP335" i="1"/>
  <c r="AW334" i="1" a="1"/>
  <c r="AW334" i="1" s="1"/>
  <c r="AR334" i="1"/>
  <c r="AJ334" i="1" s="1" a="1"/>
  <c r="AJ334" i="1" s="1"/>
  <c r="AU334" i="1"/>
  <c r="AT334" i="1"/>
  <c r="AS334" i="1"/>
  <c r="AX333" i="1"/>
  <c r="AI333" i="1" a="1"/>
  <c r="AI333" i="1" s="1"/>
  <c r="AA334" i="1"/>
  <c r="Z335" i="1"/>
  <c r="AB334" i="1"/>
  <c r="AC334" i="1"/>
  <c r="AG334" i="1"/>
  <c r="AD334" i="1"/>
  <c r="AF334" i="1"/>
  <c r="AE334" i="1"/>
  <c r="AH335" i="1"/>
  <c r="AO334" i="1"/>
  <c r="AN334" i="1"/>
  <c r="AM334" i="1" l="1" a="1"/>
  <c r="AM334" i="1" s="1"/>
  <c r="AL334" i="1" a="1"/>
  <c r="AL334" i="1" s="1"/>
  <c r="AK334" i="1" a="1"/>
  <c r="AK334" i="1" s="1"/>
  <c r="AO336" i="3"/>
  <c r="AS336" i="3" s="1"/>
  <c r="AP337" i="3"/>
  <c r="AT336" i="3"/>
  <c r="AX336" i="3" s="1"/>
  <c r="AU337" i="3"/>
  <c r="AY336" i="3"/>
  <c r="BC336" i="3" s="1"/>
  <c r="AZ337" i="3"/>
  <c r="U341" i="3"/>
  <c r="Y341" i="3" s="1"/>
  <c r="V342" i="3"/>
  <c r="K337" i="3"/>
  <c r="O337" i="3" s="1"/>
  <c r="L338" i="3"/>
  <c r="Q339" i="3"/>
  <c r="P338" i="3"/>
  <c r="T338" i="3" s="1"/>
  <c r="AK337" i="3"/>
  <c r="AJ336" i="3"/>
  <c r="AN336" i="3" s="1"/>
  <c r="F336" i="3"/>
  <c r="J336" i="3" s="1"/>
  <c r="G337" i="3"/>
  <c r="AE337" i="3"/>
  <c r="AI337" i="3" s="1"/>
  <c r="AF338" i="3"/>
  <c r="Z336" i="3"/>
  <c r="AD336" i="3" s="1"/>
  <c r="AA337" i="3"/>
  <c r="B350" i="2"/>
  <c r="A351" i="2"/>
  <c r="C350" i="2"/>
  <c r="D350" i="2"/>
  <c r="AH336" i="1"/>
  <c r="AO335" i="1"/>
  <c r="AN335" i="1"/>
  <c r="AD335" i="1"/>
  <c r="AB335" i="1"/>
  <c r="AE335" i="1"/>
  <c r="Z336" i="1"/>
  <c r="AG335" i="1"/>
  <c r="AC335" i="1"/>
  <c r="AA335" i="1"/>
  <c r="AF335" i="1"/>
  <c r="AT335" i="1"/>
  <c r="AL335" i="1" s="1" a="1"/>
  <c r="AL335" i="1" s="1"/>
  <c r="AW335" i="1" a="1"/>
  <c r="AW335" i="1" s="1"/>
  <c r="AR335" i="1"/>
  <c r="AJ335" i="1" s="1" a="1"/>
  <c r="AJ335" i="1" s="1"/>
  <c r="AS335" i="1"/>
  <c r="AU335" i="1"/>
  <c r="AM335" i="1" s="1" a="1"/>
  <c r="AM335" i="1" s="1"/>
  <c r="AP336" i="1"/>
  <c r="AQ335" i="1"/>
  <c r="AV335" i="1" a="1"/>
  <c r="AV335" i="1" s="1"/>
  <c r="AX334" i="1"/>
  <c r="AI334" i="1" a="1"/>
  <c r="AI334" i="1" s="1"/>
  <c r="AK335" i="1" l="1" a="1"/>
  <c r="AK335" i="1" s="1"/>
  <c r="AO337" i="3"/>
  <c r="AS337" i="3" s="1"/>
  <c r="AP338" i="3"/>
  <c r="AK338" i="3"/>
  <c r="AJ337" i="3"/>
  <c r="AN337" i="3" s="1"/>
  <c r="AA338" i="3"/>
  <c r="Z337" i="3"/>
  <c r="AD337" i="3" s="1"/>
  <c r="P339" i="3"/>
  <c r="T339" i="3" s="1"/>
  <c r="Q340" i="3"/>
  <c r="K338" i="3"/>
  <c r="O338" i="3" s="1"/>
  <c r="L339" i="3"/>
  <c r="AE338" i="3"/>
  <c r="AI338" i="3" s="1"/>
  <c r="AF339" i="3"/>
  <c r="U342" i="3"/>
  <c r="Y342" i="3" s="1"/>
  <c r="V343" i="3"/>
  <c r="F337" i="3"/>
  <c r="J337" i="3" s="1"/>
  <c r="G338" i="3"/>
  <c r="AY337" i="3"/>
  <c r="BC337" i="3" s="1"/>
  <c r="AZ338" i="3"/>
  <c r="AT337" i="3"/>
  <c r="AX337" i="3" s="1"/>
  <c r="AU338" i="3"/>
  <c r="B351" i="2"/>
  <c r="A352" i="2"/>
  <c r="D351" i="2"/>
  <c r="C351" i="2"/>
  <c r="AB336" i="1"/>
  <c r="Z337" i="1"/>
  <c r="AC336" i="1"/>
  <c r="AA336" i="1"/>
  <c r="AG336" i="1"/>
  <c r="AD336" i="1"/>
  <c r="AF336" i="1"/>
  <c r="AE336" i="1"/>
  <c r="AI335" i="1" a="1"/>
  <c r="AI335" i="1" s="1"/>
  <c r="AX335" i="1"/>
  <c r="AW336" i="1" a="1"/>
  <c r="AW336" i="1" s="1"/>
  <c r="AP337" i="1"/>
  <c r="AU336" i="1"/>
  <c r="AT336" i="1"/>
  <c r="AS336" i="1"/>
  <c r="AK336" i="1" s="1" a="1"/>
  <c r="AK336" i="1" s="1"/>
  <c r="AV336" i="1" a="1"/>
  <c r="AV336" i="1" s="1"/>
  <c r="AR336" i="1"/>
  <c r="AJ336" i="1" s="1" a="1"/>
  <c r="AJ336" i="1" s="1"/>
  <c r="AQ336" i="1"/>
  <c r="AO336" i="1"/>
  <c r="AH337" i="1"/>
  <c r="AN336" i="1"/>
  <c r="AM336" i="1" l="1" a="1"/>
  <c r="AM336" i="1" s="1"/>
  <c r="AL336" i="1" a="1"/>
  <c r="AL336" i="1" s="1"/>
  <c r="AO338" i="3"/>
  <c r="AS338" i="3" s="1"/>
  <c r="AP339" i="3"/>
  <c r="AF340" i="3"/>
  <c r="AE339" i="3"/>
  <c r="AI339" i="3" s="1"/>
  <c r="AT338" i="3"/>
  <c r="AX338" i="3" s="1"/>
  <c r="AU339" i="3"/>
  <c r="L340" i="3"/>
  <c r="K339" i="3"/>
  <c r="O339" i="3" s="1"/>
  <c r="AY338" i="3"/>
  <c r="BC338" i="3" s="1"/>
  <c r="AZ339" i="3"/>
  <c r="P340" i="3"/>
  <c r="T340" i="3" s="1"/>
  <c r="Q341" i="3"/>
  <c r="AA339" i="3"/>
  <c r="Z338" i="3"/>
  <c r="AD338" i="3" s="1"/>
  <c r="G339" i="3"/>
  <c r="F338" i="3"/>
  <c r="J338" i="3" s="1"/>
  <c r="U343" i="3"/>
  <c r="Y343" i="3" s="1"/>
  <c r="V344" i="3"/>
  <c r="AJ338" i="3"/>
  <c r="AN338" i="3" s="1"/>
  <c r="AK339" i="3"/>
  <c r="D352" i="2"/>
  <c r="A353" i="2"/>
  <c r="B352" i="2"/>
  <c r="C352" i="2"/>
  <c r="AQ337" i="1"/>
  <c r="AR337" i="1"/>
  <c r="AW337" i="1" a="1"/>
  <c r="AW337" i="1" s="1"/>
  <c r="AV337" i="1" a="1"/>
  <c r="AV337" i="1" s="1"/>
  <c r="AS337" i="1"/>
  <c r="AT337" i="1"/>
  <c r="AP338" i="1"/>
  <c r="AU337" i="1"/>
  <c r="AM337" i="1" s="1" a="1"/>
  <c r="AM337" i="1" s="1"/>
  <c r="AO337" i="1"/>
  <c r="AN337" i="1"/>
  <c r="AH338" i="1"/>
  <c r="AI336" i="1" a="1"/>
  <c r="AI336" i="1" s="1"/>
  <c r="AX336" i="1"/>
  <c r="AA337" i="1"/>
  <c r="AF337" i="1"/>
  <c r="AG337" i="1"/>
  <c r="AD337" i="1"/>
  <c r="Z338" i="1"/>
  <c r="AE337" i="1"/>
  <c r="AC337" i="1"/>
  <c r="AB337" i="1"/>
  <c r="AK337" i="1" l="1" a="1"/>
  <c r="AK337" i="1" s="1"/>
  <c r="AJ337" i="1" a="1"/>
  <c r="AJ337" i="1" s="1"/>
  <c r="AL337" i="1" a="1"/>
  <c r="AL337" i="1" s="1"/>
  <c r="AO339" i="3"/>
  <c r="AS339" i="3" s="1"/>
  <c r="AP340" i="3"/>
  <c r="AA340" i="3"/>
  <c r="Z339" i="3"/>
  <c r="AD339" i="3" s="1"/>
  <c r="P341" i="3"/>
  <c r="T341" i="3" s="1"/>
  <c r="Q342" i="3"/>
  <c r="AK340" i="3"/>
  <c r="AJ339" i="3"/>
  <c r="AN339" i="3" s="1"/>
  <c r="AZ340" i="3"/>
  <c r="AY339" i="3"/>
  <c r="BC339" i="3" s="1"/>
  <c r="U344" i="3"/>
  <c r="Y344" i="3" s="1"/>
  <c r="V345" i="3"/>
  <c r="K340" i="3"/>
  <c r="O340" i="3" s="1"/>
  <c r="L341" i="3"/>
  <c r="AU340" i="3"/>
  <c r="AT339" i="3"/>
  <c r="AX339" i="3" s="1"/>
  <c r="F339" i="3"/>
  <c r="J339" i="3" s="1"/>
  <c r="G340" i="3"/>
  <c r="AF341" i="3"/>
  <c r="AE340" i="3"/>
  <c r="AI340" i="3" s="1"/>
  <c r="C353" i="2"/>
  <c r="B353" i="2"/>
  <c r="D353" i="2"/>
  <c r="A354" i="2"/>
  <c r="AO338" i="1"/>
  <c r="AN338" i="1"/>
  <c r="AH339" i="1"/>
  <c r="AB338" i="1"/>
  <c r="AC338" i="1"/>
  <c r="AE338" i="1"/>
  <c r="Z339" i="1"/>
  <c r="AA338" i="1"/>
  <c r="AG338" i="1"/>
  <c r="AF338" i="1"/>
  <c r="AD338" i="1"/>
  <c r="AT338" i="1"/>
  <c r="AU338" i="1"/>
  <c r="AM338" i="1" s="1" a="1"/>
  <c r="AM338" i="1" s="1"/>
  <c r="AQ338" i="1"/>
  <c r="AP339" i="1"/>
  <c r="AS338" i="1"/>
  <c r="AK338" i="1" s="1" a="1"/>
  <c r="AK338" i="1" s="1"/>
  <c r="AR338" i="1"/>
  <c r="AJ338" i="1" s="1" a="1"/>
  <c r="AJ338" i="1" s="1"/>
  <c r="AW338" i="1" a="1"/>
  <c r="AW338" i="1" s="1"/>
  <c r="AV338" i="1" a="1"/>
  <c r="AV338" i="1" s="1"/>
  <c r="AX337" i="1"/>
  <c r="AI337" i="1" a="1"/>
  <c r="AI337" i="1" s="1"/>
  <c r="AL338" i="1" l="1" a="1"/>
  <c r="AL338" i="1" s="1"/>
  <c r="AO340" i="3"/>
  <c r="AS340" i="3" s="1"/>
  <c r="AP341" i="3"/>
  <c r="AF342" i="3"/>
  <c r="AE341" i="3"/>
  <c r="AI341" i="3" s="1"/>
  <c r="AZ341" i="3"/>
  <c r="AY340" i="3"/>
  <c r="BC340" i="3" s="1"/>
  <c r="G341" i="3"/>
  <c r="F340" i="3"/>
  <c r="J340" i="3" s="1"/>
  <c r="AJ340" i="3"/>
  <c r="AN340" i="3" s="1"/>
  <c r="AK341" i="3"/>
  <c r="Q343" i="3"/>
  <c r="P342" i="3"/>
  <c r="T342" i="3" s="1"/>
  <c r="AU341" i="3"/>
  <c r="AT340" i="3"/>
  <c r="AX340" i="3" s="1"/>
  <c r="L342" i="3"/>
  <c r="K341" i="3"/>
  <c r="O341" i="3" s="1"/>
  <c r="V346" i="3"/>
  <c r="U345" i="3"/>
  <c r="Y345" i="3" s="1"/>
  <c r="Z340" i="3"/>
  <c r="AD340" i="3" s="1"/>
  <c r="AA341" i="3"/>
  <c r="B354" i="2"/>
  <c r="A355" i="2"/>
  <c r="D354" i="2"/>
  <c r="C354" i="2"/>
  <c r="AD339" i="1"/>
  <c r="AB339" i="1"/>
  <c r="AE339" i="1"/>
  <c r="AA339" i="1"/>
  <c r="AF339" i="1"/>
  <c r="Z340" i="1"/>
  <c r="AC339" i="1"/>
  <c r="AG339" i="1"/>
  <c r="AW339" i="1" a="1"/>
  <c r="AW339" i="1" s="1"/>
  <c r="AU339" i="1"/>
  <c r="AM339" i="1" s="1" a="1"/>
  <c r="AM339" i="1" s="1"/>
  <c r="AV339" i="1" a="1"/>
  <c r="AV339" i="1" s="1"/>
  <c r="AQ339" i="1"/>
  <c r="AS339" i="1"/>
  <c r="AP340" i="1"/>
  <c r="AR339" i="1"/>
  <c r="AJ339" i="1" s="1" a="1"/>
  <c r="AJ339" i="1" s="1"/>
  <c r="AT339" i="1"/>
  <c r="AL339" i="1" s="1" a="1"/>
  <c r="AL339" i="1" s="1"/>
  <c r="AO339" i="1"/>
  <c r="AN339" i="1"/>
  <c r="AH340" i="1"/>
  <c r="AX338" i="1"/>
  <c r="AI338" i="1" a="1"/>
  <c r="AI338" i="1" s="1"/>
  <c r="AK339" i="1" l="1" a="1"/>
  <c r="AK339" i="1" s="1"/>
  <c r="AO341" i="3"/>
  <c r="AS341" i="3" s="1"/>
  <c r="AP342" i="3"/>
  <c r="AT341" i="3"/>
  <c r="AX341" i="3" s="1"/>
  <c r="AU342" i="3"/>
  <c r="Z341" i="3"/>
  <c r="AD341" i="3" s="1"/>
  <c r="AA342" i="3"/>
  <c r="P343" i="3"/>
  <c r="T343" i="3" s="1"/>
  <c r="Q344" i="3"/>
  <c r="AJ341" i="3"/>
  <c r="AN341" i="3" s="1"/>
  <c r="AK342" i="3"/>
  <c r="U346" i="3"/>
  <c r="Y346" i="3" s="1"/>
  <c r="V347" i="3"/>
  <c r="F341" i="3"/>
  <c r="J341" i="3" s="1"/>
  <c r="G342" i="3"/>
  <c r="L343" i="3"/>
  <c r="K342" i="3"/>
  <c r="O342" i="3" s="1"/>
  <c r="AY341" i="3"/>
  <c r="BC341" i="3" s="1"/>
  <c r="AZ342" i="3"/>
  <c r="AF343" i="3"/>
  <c r="AE342" i="3"/>
  <c r="AI342" i="3" s="1"/>
  <c r="B355" i="2"/>
  <c r="D355" i="2"/>
  <c r="C355" i="2"/>
  <c r="A356" i="2"/>
  <c r="AI339" i="1" a="1"/>
  <c r="AI339" i="1" s="1"/>
  <c r="AX339" i="1"/>
  <c r="AD340" i="1"/>
  <c r="AB340" i="1"/>
  <c r="AC340" i="1"/>
  <c r="AG340" i="1"/>
  <c r="AA340" i="1"/>
  <c r="AF340" i="1"/>
  <c r="AE340" i="1"/>
  <c r="Z341" i="1"/>
  <c r="AN340" i="1"/>
  <c r="AO340" i="1"/>
  <c r="AH341" i="1"/>
  <c r="AT340" i="1"/>
  <c r="AP341" i="1"/>
  <c r="AU340" i="1"/>
  <c r="AR340" i="1"/>
  <c r="AJ340" i="1" s="1" a="1"/>
  <c r="AJ340" i="1" s="1"/>
  <c r="AW340" i="1" a="1"/>
  <c r="AW340" i="1" s="1"/>
  <c r="AV340" i="1" a="1"/>
  <c r="AV340" i="1" s="1"/>
  <c r="AS340" i="1"/>
  <c r="AK340" i="1" s="1" a="1"/>
  <c r="AK340" i="1" s="1"/>
  <c r="AQ340" i="1"/>
  <c r="AM340" i="1" l="1" a="1"/>
  <c r="AM340" i="1" s="1"/>
  <c r="AL340" i="1" a="1"/>
  <c r="AL340" i="1" s="1"/>
  <c r="AO342" i="3"/>
  <c r="AS342" i="3" s="1"/>
  <c r="AP343" i="3"/>
  <c r="V348" i="3"/>
  <c r="U347" i="3"/>
  <c r="Y347" i="3" s="1"/>
  <c r="AF344" i="3"/>
  <c r="AE343" i="3"/>
  <c r="AI343" i="3" s="1"/>
  <c r="AZ343" i="3"/>
  <c r="AY342" i="3"/>
  <c r="BC342" i="3" s="1"/>
  <c r="AK343" i="3"/>
  <c r="AJ342" i="3"/>
  <c r="AN342" i="3" s="1"/>
  <c r="Q345" i="3"/>
  <c r="P344" i="3"/>
  <c r="T344" i="3" s="1"/>
  <c r="Z342" i="3"/>
  <c r="AD342" i="3" s="1"/>
  <c r="AA343" i="3"/>
  <c r="L344" i="3"/>
  <c r="K343" i="3"/>
  <c r="O343" i="3" s="1"/>
  <c r="AT342" i="3"/>
  <c r="AX342" i="3" s="1"/>
  <c r="AU343" i="3"/>
  <c r="F342" i="3"/>
  <c r="J342" i="3" s="1"/>
  <c r="G343" i="3"/>
  <c r="D356" i="2"/>
  <c r="B356" i="2"/>
  <c r="C356" i="2"/>
  <c r="A357" i="2"/>
  <c r="AA341" i="1"/>
  <c r="AD341" i="1"/>
  <c r="Z342" i="1"/>
  <c r="AF341" i="1"/>
  <c r="AG341" i="1"/>
  <c r="AE341" i="1"/>
  <c r="AB341" i="1"/>
  <c r="AC341" i="1"/>
  <c r="AX340" i="1"/>
  <c r="AI340" i="1" a="1"/>
  <c r="AI340" i="1" s="1"/>
  <c r="AT341" i="1"/>
  <c r="AL341" i="1" s="1" a="1"/>
  <c r="AL341" i="1" s="1"/>
  <c r="AQ341" i="1"/>
  <c r="AV341" i="1" a="1"/>
  <c r="AV341" i="1" s="1"/>
  <c r="AW341" i="1" a="1"/>
  <c r="AW341" i="1" s="1"/>
  <c r="AP342" i="1"/>
  <c r="AS341" i="1"/>
  <c r="AR341" i="1"/>
  <c r="AU341" i="1"/>
  <c r="AM341" i="1" s="1" a="1"/>
  <c r="AM341" i="1" s="1"/>
  <c r="AH342" i="1"/>
  <c r="AN341" i="1"/>
  <c r="AO341" i="1"/>
  <c r="AK341" i="1" l="1" a="1"/>
  <c r="AK341" i="1" s="1"/>
  <c r="AJ341" i="1" a="1"/>
  <c r="AJ341" i="1" s="1"/>
  <c r="AO343" i="3"/>
  <c r="AS343" i="3" s="1"/>
  <c r="AP344" i="3"/>
  <c r="P345" i="3"/>
  <c r="T345" i="3" s="1"/>
  <c r="Q346" i="3"/>
  <c r="F343" i="3"/>
  <c r="J343" i="3" s="1"/>
  <c r="G344" i="3"/>
  <c r="AK344" i="3"/>
  <c r="AJ343" i="3"/>
  <c r="AN343" i="3" s="1"/>
  <c r="AT343" i="3"/>
  <c r="AX343" i="3" s="1"/>
  <c r="AU344" i="3"/>
  <c r="AZ344" i="3"/>
  <c r="AY343" i="3"/>
  <c r="BC343" i="3" s="1"/>
  <c r="K344" i="3"/>
  <c r="O344" i="3" s="1"/>
  <c r="L345" i="3"/>
  <c r="AE344" i="3"/>
  <c r="AI344" i="3" s="1"/>
  <c r="AF345" i="3"/>
  <c r="AA344" i="3"/>
  <c r="Z343" i="3"/>
  <c r="AD343" i="3" s="1"/>
  <c r="U348" i="3"/>
  <c r="Y348" i="3" s="1"/>
  <c r="V349" i="3"/>
  <c r="B357" i="2"/>
  <c r="D357" i="2"/>
  <c r="A358" i="2"/>
  <c r="C357" i="2"/>
  <c r="AI341" i="1" a="1"/>
  <c r="AI341" i="1" s="1"/>
  <c r="AX341" i="1"/>
  <c r="AH343" i="1"/>
  <c r="AN342" i="1"/>
  <c r="AO342" i="1"/>
  <c r="AQ342" i="1"/>
  <c r="AW342" i="1" a="1"/>
  <c r="AW342" i="1" s="1"/>
  <c r="AV342" i="1" a="1"/>
  <c r="AV342" i="1" s="1"/>
  <c r="AU342" i="1"/>
  <c r="AS342" i="1"/>
  <c r="AK342" i="1" s="1" a="1"/>
  <c r="AK342" i="1" s="1"/>
  <c r="AT342" i="1"/>
  <c r="AP343" i="1"/>
  <c r="AR342" i="1"/>
  <c r="AA342" i="1"/>
  <c r="AC342" i="1"/>
  <c r="Z343" i="1"/>
  <c r="AF342" i="1"/>
  <c r="AE342" i="1"/>
  <c r="AG342" i="1"/>
  <c r="AD342" i="1"/>
  <c r="AB342" i="1"/>
  <c r="AJ342" i="1" l="1" a="1"/>
  <c r="AJ342" i="1" s="1"/>
  <c r="AL342" i="1" a="1"/>
  <c r="AL342" i="1" s="1"/>
  <c r="AM342" i="1" a="1"/>
  <c r="AM342" i="1" s="1"/>
  <c r="AO344" i="3"/>
  <c r="AS344" i="3" s="1"/>
  <c r="AP345" i="3"/>
  <c r="AY344" i="3"/>
  <c r="BC344" i="3" s="1"/>
  <c r="AZ345" i="3"/>
  <c r="AT344" i="3"/>
  <c r="AX344" i="3" s="1"/>
  <c r="AU345" i="3"/>
  <c r="U349" i="3"/>
  <c r="Y349" i="3" s="1"/>
  <c r="V350" i="3"/>
  <c r="AJ344" i="3"/>
  <c r="AN344" i="3" s="1"/>
  <c r="AK345" i="3"/>
  <c r="AA345" i="3"/>
  <c r="Z344" i="3"/>
  <c r="AD344" i="3" s="1"/>
  <c r="G345" i="3"/>
  <c r="F344" i="3"/>
  <c r="J344" i="3" s="1"/>
  <c r="AF346" i="3"/>
  <c r="AE345" i="3"/>
  <c r="AI345" i="3" s="1"/>
  <c r="K345" i="3"/>
  <c r="O345" i="3" s="1"/>
  <c r="L346" i="3"/>
  <c r="Q347" i="3"/>
  <c r="P346" i="3"/>
  <c r="T346" i="3" s="1"/>
  <c r="C358" i="2"/>
  <c r="A359" i="2"/>
  <c r="B358" i="2"/>
  <c r="D358" i="2"/>
  <c r="AV343" i="1" a="1"/>
  <c r="AV343" i="1" s="1"/>
  <c r="AR343" i="1"/>
  <c r="AJ343" i="1" s="1" a="1"/>
  <c r="AJ343" i="1" s="1"/>
  <c r="AU343" i="1"/>
  <c r="AP344" i="1"/>
  <c r="AS343" i="1"/>
  <c r="AT343" i="1"/>
  <c r="AQ343" i="1"/>
  <c r="AW343" i="1" a="1"/>
  <c r="AW343" i="1" s="1"/>
  <c r="AX342" i="1"/>
  <c r="AI342" i="1" a="1"/>
  <c r="AI342" i="1" s="1"/>
  <c r="AN343" i="1"/>
  <c r="AO343" i="1"/>
  <c r="AH344" i="1"/>
  <c r="AD343" i="1"/>
  <c r="AF343" i="1"/>
  <c r="Z344" i="1"/>
  <c r="AB343" i="1"/>
  <c r="AG343" i="1"/>
  <c r="AC343" i="1"/>
  <c r="AA343" i="1"/>
  <c r="AE343" i="1"/>
  <c r="AL343" i="1" l="1" a="1"/>
  <c r="AL343" i="1" s="1"/>
  <c r="AM343" i="1" a="1"/>
  <c r="AM343" i="1" s="1"/>
  <c r="AK343" i="1" a="1"/>
  <c r="AK343" i="1" s="1"/>
  <c r="AO345" i="3"/>
  <c r="AS345" i="3" s="1"/>
  <c r="AP346" i="3"/>
  <c r="Z345" i="3"/>
  <c r="AD345" i="3" s="1"/>
  <c r="AA346" i="3"/>
  <c r="P347" i="3"/>
  <c r="T347" i="3" s="1"/>
  <c r="Q348" i="3"/>
  <c r="AJ345" i="3"/>
  <c r="AN345" i="3" s="1"/>
  <c r="AK346" i="3"/>
  <c r="K346" i="3"/>
  <c r="O346" i="3" s="1"/>
  <c r="L347" i="3"/>
  <c r="U350" i="3"/>
  <c r="Y350" i="3" s="1"/>
  <c r="V351" i="3"/>
  <c r="AT345" i="3"/>
  <c r="AX345" i="3" s="1"/>
  <c r="AU346" i="3"/>
  <c r="AE346" i="3"/>
  <c r="AI346" i="3" s="1"/>
  <c r="AF347" i="3"/>
  <c r="AY345" i="3"/>
  <c r="BC345" i="3" s="1"/>
  <c r="AZ346" i="3"/>
  <c r="G346" i="3"/>
  <c r="F345" i="3"/>
  <c r="J345" i="3" s="1"/>
  <c r="D359" i="2"/>
  <c r="C359" i="2"/>
  <c r="B359" i="2"/>
  <c r="A360" i="2"/>
  <c r="AN344" i="1"/>
  <c r="AO344" i="1"/>
  <c r="AH345" i="1"/>
  <c r="AX343" i="1"/>
  <c r="AI343" i="1" a="1"/>
  <c r="AI343" i="1" s="1"/>
  <c r="AC344" i="1"/>
  <c r="AF344" i="1"/>
  <c r="AA344" i="1"/>
  <c r="AB344" i="1"/>
  <c r="AD344" i="1"/>
  <c r="AE344" i="1"/>
  <c r="Z345" i="1"/>
  <c r="AG344" i="1"/>
  <c r="AW344" i="1" a="1"/>
  <c r="AW344" i="1" s="1"/>
  <c r="AT344" i="1"/>
  <c r="AS344" i="1"/>
  <c r="AQ344" i="1"/>
  <c r="AU344" i="1"/>
  <c r="AM344" i="1" s="1" a="1"/>
  <c r="AM344" i="1" s="1"/>
  <c r="AP345" i="1"/>
  <c r="AR344" i="1"/>
  <c r="AJ344" i="1" s="1" a="1"/>
  <c r="AJ344" i="1" s="1"/>
  <c r="AV344" i="1" a="1"/>
  <c r="AV344" i="1" s="1"/>
  <c r="AL344" i="1" l="1" a="1"/>
  <c r="AL344" i="1" s="1"/>
  <c r="AK344" i="1" a="1"/>
  <c r="AK344" i="1" s="1"/>
  <c r="AO346" i="3"/>
  <c r="AS346" i="3" s="1"/>
  <c r="AP347" i="3"/>
  <c r="U351" i="3"/>
  <c r="Y351" i="3" s="1"/>
  <c r="V352" i="3"/>
  <c r="F346" i="3"/>
  <c r="J346" i="3" s="1"/>
  <c r="G347" i="3"/>
  <c r="K347" i="3"/>
  <c r="O347" i="3" s="1"/>
  <c r="L348" i="3"/>
  <c r="AZ347" i="3"/>
  <c r="AY346" i="3"/>
  <c r="BC346" i="3" s="1"/>
  <c r="AJ346" i="3"/>
  <c r="AN346" i="3" s="1"/>
  <c r="AK347" i="3"/>
  <c r="AF348" i="3"/>
  <c r="AE347" i="3"/>
  <c r="AI347" i="3" s="1"/>
  <c r="Q349" i="3"/>
  <c r="P348" i="3"/>
  <c r="T348" i="3" s="1"/>
  <c r="AT346" i="3"/>
  <c r="AX346" i="3" s="1"/>
  <c r="AU347" i="3"/>
  <c r="Z346" i="3"/>
  <c r="AD346" i="3" s="1"/>
  <c r="AA347" i="3"/>
  <c r="D360" i="2"/>
  <c r="C360" i="2"/>
  <c r="A361" i="2"/>
  <c r="B360" i="2"/>
  <c r="AB345" i="1"/>
  <c r="AE345" i="1"/>
  <c r="AF345" i="1"/>
  <c r="AA345" i="1"/>
  <c r="AG345" i="1"/>
  <c r="AC345" i="1"/>
  <c r="AD345" i="1"/>
  <c r="Z346" i="1"/>
  <c r="AV345" i="1" a="1"/>
  <c r="AV345" i="1" s="1"/>
  <c r="AR345" i="1"/>
  <c r="AJ345" i="1" s="1" a="1"/>
  <c r="AJ345" i="1" s="1"/>
  <c r="AT345" i="1"/>
  <c r="AP346" i="1"/>
  <c r="AS345" i="1"/>
  <c r="AK345" i="1" s="1" a="1"/>
  <c r="AK345" i="1" s="1"/>
  <c r="AW345" i="1" a="1"/>
  <c r="AW345" i="1" s="1"/>
  <c r="AQ345" i="1"/>
  <c r="AU345" i="1"/>
  <c r="AM345" i="1" s="1" a="1"/>
  <c r="AM345" i="1" s="1"/>
  <c r="AI344" i="1" a="1"/>
  <c r="AI344" i="1" s="1"/>
  <c r="AX344" i="1"/>
  <c r="AH346" i="1"/>
  <c r="AO345" i="1"/>
  <c r="AN345" i="1"/>
  <c r="AL345" i="1" l="1" a="1"/>
  <c r="AL345" i="1" s="1"/>
  <c r="AO347" i="3"/>
  <c r="AS347" i="3" s="1"/>
  <c r="AP348" i="3"/>
  <c r="AJ347" i="3"/>
  <c r="AN347" i="3" s="1"/>
  <c r="AK348" i="3"/>
  <c r="AZ348" i="3"/>
  <c r="AY347" i="3"/>
  <c r="BC347" i="3" s="1"/>
  <c r="Z347" i="3"/>
  <c r="AD347" i="3" s="1"/>
  <c r="AA348" i="3"/>
  <c r="L349" i="3"/>
  <c r="K348" i="3"/>
  <c r="O348" i="3" s="1"/>
  <c r="AT347" i="3"/>
  <c r="AX347" i="3" s="1"/>
  <c r="AU348" i="3"/>
  <c r="G348" i="3"/>
  <c r="F347" i="3"/>
  <c r="J347" i="3" s="1"/>
  <c r="Q350" i="3"/>
  <c r="P349" i="3"/>
  <c r="T349" i="3" s="1"/>
  <c r="V353" i="3"/>
  <c r="U352" i="3"/>
  <c r="Y352" i="3" s="1"/>
  <c r="AF349" i="3"/>
  <c r="AE348" i="3"/>
  <c r="AI348" i="3" s="1"/>
  <c r="D361" i="2"/>
  <c r="A362" i="2"/>
  <c r="C361" i="2"/>
  <c r="B361" i="2"/>
  <c r="AT346" i="1"/>
  <c r="AV346" i="1" a="1"/>
  <c r="AV346" i="1" s="1"/>
  <c r="AQ346" i="1"/>
  <c r="AS346" i="1"/>
  <c r="AW346" i="1" a="1"/>
  <c r="AW346" i="1" s="1"/>
  <c r="AP347" i="1"/>
  <c r="AR346" i="1"/>
  <c r="AJ346" i="1" s="1" a="1"/>
  <c r="AJ346" i="1" s="1"/>
  <c r="AU346" i="1"/>
  <c r="AC346" i="1"/>
  <c r="Z347" i="1"/>
  <c r="AF346" i="1"/>
  <c r="AB346" i="1"/>
  <c r="AA346" i="1"/>
  <c r="AE346" i="1"/>
  <c r="AD346" i="1"/>
  <c r="AG346" i="1"/>
  <c r="AN346" i="1"/>
  <c r="AH347" i="1"/>
  <c r="AO346" i="1"/>
  <c r="AI345" i="1" a="1"/>
  <c r="AI345" i="1" s="1"/>
  <c r="AX345" i="1"/>
  <c r="AM346" i="1" l="1" a="1"/>
  <c r="AM346" i="1" s="1"/>
  <c r="AK346" i="1" a="1"/>
  <c r="AK346" i="1" s="1"/>
  <c r="AL346" i="1" a="1"/>
  <c r="AL346" i="1" s="1"/>
  <c r="AO348" i="3"/>
  <c r="AS348" i="3" s="1"/>
  <c r="AP349" i="3"/>
  <c r="AU349" i="3"/>
  <c r="AT348" i="3"/>
  <c r="AX348" i="3" s="1"/>
  <c r="L350" i="3"/>
  <c r="K349" i="3"/>
  <c r="O349" i="3" s="1"/>
  <c r="AE349" i="3"/>
  <c r="AI349" i="3" s="1"/>
  <c r="AF350" i="3"/>
  <c r="Z348" i="3"/>
  <c r="AD348" i="3" s="1"/>
  <c r="AA349" i="3"/>
  <c r="U353" i="3"/>
  <c r="Y353" i="3" s="1"/>
  <c r="V354" i="3"/>
  <c r="AY348" i="3"/>
  <c r="BC348" i="3" s="1"/>
  <c r="AZ349" i="3"/>
  <c r="Q351" i="3"/>
  <c r="P350" i="3"/>
  <c r="T350" i="3" s="1"/>
  <c r="G349" i="3"/>
  <c r="F348" i="3"/>
  <c r="J348" i="3" s="1"/>
  <c r="AJ348" i="3"/>
  <c r="AN348" i="3" s="1"/>
  <c r="AK349" i="3"/>
  <c r="B362" i="2"/>
  <c r="D362" i="2"/>
  <c r="A363" i="2"/>
  <c r="C362" i="2"/>
  <c r="AD347" i="1"/>
  <c r="AC347" i="1"/>
  <c r="Z348" i="1"/>
  <c r="AG347" i="1"/>
  <c r="AA347" i="1"/>
  <c r="AF347" i="1"/>
  <c r="AB347" i="1"/>
  <c r="AE347" i="1"/>
  <c r="AN347" i="1"/>
  <c r="AH348" i="1"/>
  <c r="AO347" i="1"/>
  <c r="AR347" i="1"/>
  <c r="AJ347" i="1" s="1" a="1"/>
  <c r="AJ347" i="1" s="1"/>
  <c r="AQ347" i="1"/>
  <c r="AU347" i="1"/>
  <c r="AM347" i="1" s="1" a="1"/>
  <c r="AM347" i="1" s="1"/>
  <c r="AV347" i="1" a="1"/>
  <c r="AV347" i="1" s="1"/>
  <c r="AP348" i="1"/>
  <c r="AS347" i="1"/>
  <c r="AK347" i="1" s="1" a="1"/>
  <c r="AK347" i="1" s="1"/>
  <c r="AT347" i="1"/>
  <c r="AL347" i="1" s="1" a="1"/>
  <c r="AL347" i="1" s="1"/>
  <c r="AW347" i="1" a="1"/>
  <c r="AW347" i="1" s="1"/>
  <c r="AI346" i="1" a="1"/>
  <c r="AI346" i="1" s="1"/>
  <c r="AX346" i="1"/>
  <c r="AO349" i="3" l="1"/>
  <c r="AS349" i="3" s="1"/>
  <c r="AP350" i="3"/>
  <c r="V355" i="3"/>
  <c r="U354" i="3"/>
  <c r="Y354" i="3" s="1"/>
  <c r="AJ349" i="3"/>
  <c r="AN349" i="3" s="1"/>
  <c r="AK350" i="3"/>
  <c r="AA350" i="3"/>
  <c r="Z349" i="3"/>
  <c r="AD349" i="3" s="1"/>
  <c r="G350" i="3"/>
  <c r="F349" i="3"/>
  <c r="J349" i="3" s="1"/>
  <c r="AE350" i="3"/>
  <c r="AI350" i="3" s="1"/>
  <c r="AF351" i="3"/>
  <c r="K350" i="3"/>
  <c r="O350" i="3" s="1"/>
  <c r="L351" i="3"/>
  <c r="Q352" i="3"/>
  <c r="P351" i="3"/>
  <c r="T351" i="3" s="1"/>
  <c r="AY349" i="3"/>
  <c r="BC349" i="3" s="1"/>
  <c r="AZ350" i="3"/>
  <c r="AU350" i="3"/>
  <c r="AT349" i="3"/>
  <c r="AX349" i="3" s="1"/>
  <c r="B363" i="2"/>
  <c r="C363" i="2"/>
  <c r="A364" i="2"/>
  <c r="D363" i="2"/>
  <c r="AU348" i="1"/>
  <c r="AQ348" i="1"/>
  <c r="AS348" i="1"/>
  <c r="AW348" i="1" a="1"/>
  <c r="AW348" i="1" s="1"/>
  <c r="AP349" i="1"/>
  <c r="AV348" i="1" a="1"/>
  <c r="AV348" i="1" s="1"/>
  <c r="AT348" i="1"/>
  <c r="AR348" i="1"/>
  <c r="AJ348" i="1" s="1" a="1"/>
  <c r="AJ348" i="1" s="1"/>
  <c r="AO348" i="1"/>
  <c r="AN348" i="1"/>
  <c r="AH349" i="1"/>
  <c r="AA348" i="1"/>
  <c r="AD348" i="1"/>
  <c r="AG348" i="1"/>
  <c r="Z349" i="1"/>
  <c r="AC348" i="1"/>
  <c r="AB348" i="1"/>
  <c r="AE348" i="1"/>
  <c r="AF348" i="1"/>
  <c r="AX347" i="1"/>
  <c r="AI347" i="1" a="1"/>
  <c r="AI347" i="1" s="1"/>
  <c r="AL348" i="1" l="1" a="1"/>
  <c r="AL348" i="1" s="1"/>
  <c r="AK348" i="1" a="1"/>
  <c r="AK348" i="1" s="1"/>
  <c r="AM348" i="1" a="1"/>
  <c r="AM348" i="1" s="1"/>
  <c r="AO350" i="3"/>
  <c r="AS350" i="3" s="1"/>
  <c r="AP351" i="3"/>
  <c r="AF352" i="3"/>
  <c r="AE351" i="3"/>
  <c r="AI351" i="3" s="1"/>
  <c r="AU351" i="3"/>
  <c r="AT350" i="3"/>
  <c r="AX350" i="3" s="1"/>
  <c r="F350" i="3"/>
  <c r="J350" i="3" s="1"/>
  <c r="G351" i="3"/>
  <c r="AY350" i="3"/>
  <c r="BC350" i="3" s="1"/>
  <c r="AZ351" i="3"/>
  <c r="Z350" i="3"/>
  <c r="AD350" i="3" s="1"/>
  <c r="AA351" i="3"/>
  <c r="P352" i="3"/>
  <c r="T352" i="3" s="1"/>
  <c r="Q353" i="3"/>
  <c r="AJ350" i="3"/>
  <c r="AN350" i="3" s="1"/>
  <c r="AK351" i="3"/>
  <c r="K351" i="3"/>
  <c r="O351" i="3" s="1"/>
  <c r="L352" i="3"/>
  <c r="U355" i="3"/>
  <c r="Y355" i="3" s="1"/>
  <c r="V356" i="3"/>
  <c r="C364" i="2"/>
  <c r="A365" i="2"/>
  <c r="B364" i="2"/>
  <c r="D364" i="2"/>
  <c r="AD349" i="1"/>
  <c r="Z350" i="1"/>
  <c r="AG349" i="1"/>
  <c r="AA349" i="1"/>
  <c r="AF349" i="1"/>
  <c r="AB349" i="1"/>
  <c r="AC349" i="1"/>
  <c r="AE349" i="1"/>
  <c r="AH350" i="1"/>
  <c r="AN349" i="1"/>
  <c r="AO349" i="1"/>
  <c r="AT349" i="1"/>
  <c r="AL349" i="1" s="1" a="1"/>
  <c r="AL349" i="1" s="1"/>
  <c r="AU349" i="1"/>
  <c r="AS349" i="1"/>
  <c r="AQ349" i="1"/>
  <c r="AR349" i="1"/>
  <c r="AJ349" i="1" s="1" a="1"/>
  <c r="AJ349" i="1" s="1"/>
  <c r="AV349" i="1" a="1"/>
  <c r="AV349" i="1" s="1"/>
  <c r="AW349" i="1" a="1"/>
  <c r="AW349" i="1" s="1"/>
  <c r="AP350" i="1"/>
  <c r="AI348" i="1" a="1"/>
  <c r="AI348" i="1" s="1"/>
  <c r="AX348" i="1"/>
  <c r="AK349" i="1" l="1" a="1"/>
  <c r="AK349" i="1" s="1"/>
  <c r="AM349" i="1" a="1"/>
  <c r="AM349" i="1" s="1"/>
  <c r="AO351" i="3"/>
  <c r="AS351" i="3" s="1"/>
  <c r="AP352" i="3"/>
  <c r="AA352" i="3"/>
  <c r="Z351" i="3"/>
  <c r="AD351" i="3" s="1"/>
  <c r="AY351" i="3"/>
  <c r="BC351" i="3" s="1"/>
  <c r="AZ352" i="3"/>
  <c r="U356" i="3"/>
  <c r="Y356" i="3" s="1"/>
  <c r="V357" i="3"/>
  <c r="G352" i="3"/>
  <c r="F351" i="3"/>
  <c r="J351" i="3" s="1"/>
  <c r="L353" i="3"/>
  <c r="K352" i="3"/>
  <c r="O352" i="3" s="1"/>
  <c r="AJ351" i="3"/>
  <c r="AN351" i="3" s="1"/>
  <c r="AK352" i="3"/>
  <c r="AU352" i="3"/>
  <c r="AT351" i="3"/>
  <c r="AX351" i="3" s="1"/>
  <c r="P353" i="3"/>
  <c r="T353" i="3" s="1"/>
  <c r="Q354" i="3"/>
  <c r="AE352" i="3"/>
  <c r="AI352" i="3" s="1"/>
  <c r="AF353" i="3"/>
  <c r="C365" i="2"/>
  <c r="D365" i="2"/>
  <c r="A366" i="2"/>
  <c r="B365" i="2"/>
  <c r="AN350" i="1"/>
  <c r="AO350" i="1"/>
  <c r="AH351" i="1"/>
  <c r="AQ350" i="1"/>
  <c r="AR350" i="1"/>
  <c r="AU350" i="1"/>
  <c r="AM350" i="1" s="1" a="1"/>
  <c r="AM350" i="1" s="1"/>
  <c r="AT350" i="1"/>
  <c r="AL350" i="1" s="1" a="1"/>
  <c r="AL350" i="1" s="1"/>
  <c r="AP351" i="1"/>
  <c r="AS350" i="1"/>
  <c r="AK350" i="1" s="1" a="1"/>
  <c r="AK350" i="1" s="1"/>
  <c r="AW350" i="1" a="1"/>
  <c r="AW350" i="1" s="1"/>
  <c r="AV350" i="1" a="1"/>
  <c r="AV350" i="1" s="1"/>
  <c r="AX349" i="1"/>
  <c r="AI349" i="1" a="1"/>
  <c r="AI349" i="1" s="1"/>
  <c r="AA350" i="1"/>
  <c r="AF350" i="1"/>
  <c r="Z351" i="1"/>
  <c r="AG350" i="1"/>
  <c r="AD350" i="1"/>
  <c r="AC350" i="1"/>
  <c r="AB350" i="1"/>
  <c r="AE350" i="1"/>
  <c r="AJ350" i="1" l="1" a="1"/>
  <c r="AJ350" i="1" s="1"/>
  <c r="AO352" i="3"/>
  <c r="AS352" i="3" s="1"/>
  <c r="AP353" i="3"/>
  <c r="AE353" i="3"/>
  <c r="AI353" i="3" s="1"/>
  <c r="AF354" i="3"/>
  <c r="G353" i="3"/>
  <c r="F352" i="3"/>
  <c r="J352" i="3" s="1"/>
  <c r="V358" i="3"/>
  <c r="U357" i="3"/>
  <c r="Y357" i="3" s="1"/>
  <c r="P354" i="3"/>
  <c r="T354" i="3" s="1"/>
  <c r="Q355" i="3"/>
  <c r="AZ353" i="3"/>
  <c r="AY352" i="3"/>
  <c r="BC352" i="3" s="1"/>
  <c r="AT352" i="3"/>
  <c r="AX352" i="3" s="1"/>
  <c r="AU353" i="3"/>
  <c r="AJ352" i="3"/>
  <c r="AN352" i="3" s="1"/>
  <c r="AK353" i="3"/>
  <c r="K353" i="3"/>
  <c r="O353" i="3" s="1"/>
  <c r="L354" i="3"/>
  <c r="AA353" i="3"/>
  <c r="Z352" i="3"/>
  <c r="AD352" i="3" s="1"/>
  <c r="B366" i="2"/>
  <c r="A367" i="2"/>
  <c r="D366" i="2"/>
  <c r="C366" i="2"/>
  <c r="AV351" i="1" a="1"/>
  <c r="AV351" i="1" s="1"/>
  <c r="AW351" i="1" a="1"/>
  <c r="AW351" i="1" s="1"/>
  <c r="AP352" i="1"/>
  <c r="AU351" i="1"/>
  <c r="AQ351" i="1"/>
  <c r="AS351" i="1"/>
  <c r="AK351" i="1" s="1" a="1"/>
  <c r="AK351" i="1" s="1"/>
  <c r="AR351" i="1"/>
  <c r="AT351" i="1"/>
  <c r="AL351" i="1" s="1" a="1"/>
  <c r="AL351" i="1" s="1"/>
  <c r="AI350" i="1" a="1"/>
  <c r="AI350" i="1" s="1"/>
  <c r="AX350" i="1"/>
  <c r="AB351" i="1"/>
  <c r="AE351" i="1"/>
  <c r="AC351" i="1"/>
  <c r="AD351" i="1"/>
  <c r="AA351" i="1"/>
  <c r="AF351" i="1"/>
  <c r="AG351" i="1"/>
  <c r="Z352" i="1"/>
  <c r="AO351" i="1"/>
  <c r="AN351" i="1"/>
  <c r="AH352" i="1"/>
  <c r="AJ351" i="1" l="1" a="1"/>
  <c r="AJ351" i="1" s="1"/>
  <c r="AM351" i="1" a="1"/>
  <c r="AM351" i="1" s="1"/>
  <c r="AO353" i="3"/>
  <c r="AS353" i="3" s="1"/>
  <c r="AP354" i="3"/>
  <c r="AZ354" i="3"/>
  <c r="AY353" i="3"/>
  <c r="BC353" i="3" s="1"/>
  <c r="Q356" i="3"/>
  <c r="P355" i="3"/>
  <c r="T355" i="3" s="1"/>
  <c r="Z353" i="3"/>
  <c r="AD353" i="3" s="1"/>
  <c r="AA354" i="3"/>
  <c r="K354" i="3"/>
  <c r="O354" i="3" s="1"/>
  <c r="L355" i="3"/>
  <c r="V359" i="3"/>
  <c r="U358" i="3"/>
  <c r="Y358" i="3" s="1"/>
  <c r="AJ353" i="3"/>
  <c r="AN353" i="3" s="1"/>
  <c r="AK354" i="3"/>
  <c r="G354" i="3"/>
  <c r="F353" i="3"/>
  <c r="J353" i="3" s="1"/>
  <c r="AT353" i="3"/>
  <c r="AX353" i="3" s="1"/>
  <c r="AU354" i="3"/>
  <c r="AE354" i="3"/>
  <c r="AI354" i="3" s="1"/>
  <c r="AF355" i="3"/>
  <c r="D367" i="2"/>
  <c r="A368" i="2"/>
  <c r="B367" i="2"/>
  <c r="C367" i="2"/>
  <c r="AB352" i="1"/>
  <c r="AE352" i="1"/>
  <c r="AG352" i="1"/>
  <c r="AC352" i="1"/>
  <c r="AF352" i="1"/>
  <c r="AD352" i="1"/>
  <c r="AA352" i="1"/>
  <c r="Z353" i="1"/>
  <c r="AH353" i="1"/>
  <c r="AN352" i="1"/>
  <c r="AO352" i="1"/>
  <c r="AI351" i="1" a="1"/>
  <c r="AI351" i="1" s="1"/>
  <c r="AX351" i="1"/>
  <c r="AU352" i="1"/>
  <c r="AM352" i="1" s="1" a="1"/>
  <c r="AM352" i="1" s="1"/>
  <c r="AT352" i="1"/>
  <c r="AL352" i="1" s="1" a="1"/>
  <c r="AL352" i="1" s="1"/>
  <c r="AS352" i="1"/>
  <c r="AK352" i="1" s="1" a="1"/>
  <c r="AK352" i="1" s="1"/>
  <c r="AV352" i="1" a="1"/>
  <c r="AV352" i="1" s="1"/>
  <c r="AQ352" i="1"/>
  <c r="AP353" i="1"/>
  <c r="AW352" i="1" a="1"/>
  <c r="AW352" i="1" s="1"/>
  <c r="AR352" i="1"/>
  <c r="AJ352" i="1" s="1" a="1"/>
  <c r="AJ352" i="1" s="1"/>
  <c r="AP355" i="3" l="1"/>
  <c r="AO354" i="3"/>
  <c r="AS354" i="3" s="1"/>
  <c r="V360" i="3"/>
  <c r="U359" i="3"/>
  <c r="Y359" i="3" s="1"/>
  <c r="AF356" i="3"/>
  <c r="AE355" i="3"/>
  <c r="AI355" i="3" s="1"/>
  <c r="AU355" i="3"/>
  <c r="AT354" i="3"/>
  <c r="AX354" i="3" s="1"/>
  <c r="K355" i="3"/>
  <c r="O355" i="3" s="1"/>
  <c r="L356" i="3"/>
  <c r="AA355" i="3"/>
  <c r="Z354" i="3"/>
  <c r="AD354" i="3" s="1"/>
  <c r="G355" i="3"/>
  <c r="F354" i="3"/>
  <c r="J354" i="3" s="1"/>
  <c r="AK355" i="3"/>
  <c r="AJ354" i="3"/>
  <c r="AN354" i="3" s="1"/>
  <c r="Q357" i="3"/>
  <c r="P356" i="3"/>
  <c r="T356" i="3" s="1"/>
  <c r="AY354" i="3"/>
  <c r="BC354" i="3" s="1"/>
  <c r="AZ355" i="3"/>
  <c r="A369" i="2"/>
  <c r="B368" i="2"/>
  <c r="D368" i="2"/>
  <c r="C368" i="2"/>
  <c r="AO353" i="1"/>
  <c r="AN353" i="1"/>
  <c r="AH354" i="1"/>
  <c r="AG353" i="1"/>
  <c r="AF353" i="1"/>
  <c r="AB353" i="1"/>
  <c r="AA353" i="1"/>
  <c r="AE353" i="1"/>
  <c r="Z354" i="1"/>
  <c r="AD353" i="1"/>
  <c r="AC353" i="1"/>
  <c r="AU353" i="1"/>
  <c r="AM353" i="1" s="1" a="1"/>
  <c r="AM353" i="1" s="1"/>
  <c r="AT353" i="1"/>
  <c r="AL353" i="1" s="1" a="1"/>
  <c r="AL353" i="1" s="1"/>
  <c r="AV353" i="1" a="1"/>
  <c r="AV353" i="1" s="1"/>
  <c r="AS353" i="1"/>
  <c r="AQ353" i="1"/>
  <c r="AP354" i="1"/>
  <c r="AW353" i="1" a="1"/>
  <c r="AW353" i="1" s="1"/>
  <c r="AR353" i="1"/>
  <c r="AJ353" i="1" s="1" a="1"/>
  <c r="AJ353" i="1" s="1"/>
  <c r="AX352" i="1"/>
  <c r="AI352" i="1" a="1"/>
  <c r="AI352" i="1" s="1"/>
  <c r="AK353" i="1" l="1" a="1"/>
  <c r="AK353" i="1" s="1"/>
  <c r="AO355" i="3"/>
  <c r="AS355" i="3" s="1"/>
  <c r="AP356" i="3"/>
  <c r="Z355" i="3"/>
  <c r="AD355" i="3" s="1"/>
  <c r="AA356" i="3"/>
  <c r="K356" i="3"/>
  <c r="O356" i="3" s="1"/>
  <c r="L357" i="3"/>
  <c r="AY355" i="3"/>
  <c r="BC355" i="3" s="1"/>
  <c r="AZ356" i="3"/>
  <c r="AT355" i="3"/>
  <c r="AX355" i="3" s="1"/>
  <c r="AU356" i="3"/>
  <c r="Q358" i="3"/>
  <c r="P357" i="3"/>
  <c r="T357" i="3" s="1"/>
  <c r="AJ355" i="3"/>
  <c r="AN355" i="3" s="1"/>
  <c r="AK356" i="3"/>
  <c r="AE356" i="3"/>
  <c r="AI356" i="3" s="1"/>
  <c r="AF357" i="3"/>
  <c r="F355" i="3"/>
  <c r="J355" i="3" s="1"/>
  <c r="G356" i="3"/>
  <c r="V361" i="3"/>
  <c r="U360" i="3"/>
  <c r="Y360" i="3" s="1"/>
  <c r="B369" i="2"/>
  <c r="C369" i="2"/>
  <c r="A370" i="2"/>
  <c r="D369" i="2"/>
  <c r="AX353" i="1"/>
  <c r="AI353" i="1" a="1"/>
  <c r="AI353" i="1" s="1"/>
  <c r="AB354" i="1"/>
  <c r="AC354" i="1"/>
  <c r="AD354" i="1"/>
  <c r="AG354" i="1"/>
  <c r="Z355" i="1"/>
  <c r="AE354" i="1"/>
  <c r="AA354" i="1"/>
  <c r="AF354" i="1"/>
  <c r="AP355" i="1"/>
  <c r="AT354" i="1"/>
  <c r="AV354" i="1" a="1"/>
  <c r="AV354" i="1" s="1"/>
  <c r="AW354" i="1" a="1"/>
  <c r="AW354" i="1" s="1"/>
  <c r="AS354" i="1"/>
  <c r="AK354" i="1" s="1" a="1"/>
  <c r="AK354" i="1" s="1"/>
  <c r="AQ354" i="1"/>
  <c r="AU354" i="1"/>
  <c r="AM354" i="1" s="1" a="1"/>
  <c r="AM354" i="1" s="1"/>
  <c r="AR354" i="1"/>
  <c r="AJ354" i="1" s="1" a="1"/>
  <c r="AJ354" i="1" s="1"/>
  <c r="AH355" i="1"/>
  <c r="AN354" i="1"/>
  <c r="AO354" i="1"/>
  <c r="AL354" i="1" l="1" a="1"/>
  <c r="AL354" i="1" s="1"/>
  <c r="AO356" i="3"/>
  <c r="AS356" i="3" s="1"/>
  <c r="AP357" i="3"/>
  <c r="Q359" i="3"/>
  <c r="P358" i="3"/>
  <c r="T358" i="3" s="1"/>
  <c r="V362" i="3"/>
  <c r="U361" i="3"/>
  <c r="Y361" i="3" s="1"/>
  <c r="AU357" i="3"/>
  <c r="AT356" i="3"/>
  <c r="AX356" i="3" s="1"/>
  <c r="G357" i="3"/>
  <c r="F356" i="3"/>
  <c r="J356" i="3" s="1"/>
  <c r="AZ357" i="3"/>
  <c r="AY356" i="3"/>
  <c r="BC356" i="3" s="1"/>
  <c r="AE357" i="3"/>
  <c r="AI357" i="3" s="1"/>
  <c r="AF358" i="3"/>
  <c r="L358" i="3"/>
  <c r="K357" i="3"/>
  <c r="O357" i="3" s="1"/>
  <c r="AK357" i="3"/>
  <c r="AJ356" i="3"/>
  <c r="AN356" i="3" s="1"/>
  <c r="Z356" i="3"/>
  <c r="AD356" i="3" s="1"/>
  <c r="AA357" i="3"/>
  <c r="A371" i="2"/>
  <c r="B370" i="2"/>
  <c r="D370" i="2"/>
  <c r="C370" i="2"/>
  <c r="AQ355" i="1"/>
  <c r="AP356" i="1"/>
  <c r="AR355" i="1"/>
  <c r="AW355" i="1" a="1"/>
  <c r="AW355" i="1" s="1"/>
  <c r="AV355" i="1" a="1"/>
  <c r="AV355" i="1" s="1"/>
  <c r="AU355" i="1"/>
  <c r="AM355" i="1" s="1" a="1"/>
  <c r="AM355" i="1" s="1"/>
  <c r="AS355" i="1"/>
  <c r="AT355" i="1"/>
  <c r="AL355" i="1" s="1" a="1"/>
  <c r="AL355" i="1" s="1"/>
  <c r="AO355" i="1"/>
  <c r="AH356" i="1"/>
  <c r="AN355" i="1"/>
  <c r="AC355" i="1"/>
  <c r="AE355" i="1"/>
  <c r="AG355" i="1"/>
  <c r="AD355" i="1"/>
  <c r="AB355" i="1"/>
  <c r="AA355" i="1"/>
  <c r="Z356" i="1"/>
  <c r="AF355" i="1"/>
  <c r="AX354" i="1"/>
  <c r="AI354" i="1" a="1"/>
  <c r="AI354" i="1" s="1"/>
  <c r="AJ355" i="1" l="1" a="1"/>
  <c r="AJ355" i="1" s="1"/>
  <c r="AK355" i="1" a="1"/>
  <c r="AK355" i="1" s="1"/>
  <c r="AO357" i="3"/>
  <c r="AS357" i="3" s="1"/>
  <c r="AP358" i="3"/>
  <c r="AK358" i="3"/>
  <c r="AJ357" i="3"/>
  <c r="AN357" i="3" s="1"/>
  <c r="G358" i="3"/>
  <c r="F357" i="3"/>
  <c r="J357" i="3" s="1"/>
  <c r="AA358" i="3"/>
  <c r="Z357" i="3"/>
  <c r="AD357" i="3" s="1"/>
  <c r="AT357" i="3"/>
  <c r="AX357" i="3" s="1"/>
  <c r="AU358" i="3"/>
  <c r="U362" i="3"/>
  <c r="Y362" i="3" s="1"/>
  <c r="V363" i="3"/>
  <c r="L359" i="3"/>
  <c r="K358" i="3"/>
  <c r="O358" i="3" s="1"/>
  <c r="AE358" i="3"/>
  <c r="AI358" i="3" s="1"/>
  <c r="AF359" i="3"/>
  <c r="Q360" i="3"/>
  <c r="P359" i="3"/>
  <c r="T359" i="3" s="1"/>
  <c r="AY357" i="3"/>
  <c r="BC357" i="3" s="1"/>
  <c r="AZ358" i="3"/>
  <c r="B371" i="2"/>
  <c r="A372" i="2"/>
  <c r="D371" i="2"/>
  <c r="C371" i="2"/>
  <c r="AG356" i="1"/>
  <c r="AD356" i="1"/>
  <c r="AC356" i="1"/>
  <c r="Z357" i="1"/>
  <c r="AB356" i="1"/>
  <c r="AE356" i="1"/>
  <c r="AA356" i="1"/>
  <c r="AF356" i="1"/>
  <c r="AO356" i="1"/>
  <c r="AH357" i="1"/>
  <c r="AN356" i="1"/>
  <c r="AQ356" i="1"/>
  <c r="AW356" i="1" a="1"/>
  <c r="AW356" i="1" s="1"/>
  <c r="AP357" i="1"/>
  <c r="AT356" i="1"/>
  <c r="AL356" i="1" s="1" a="1"/>
  <c r="AL356" i="1" s="1"/>
  <c r="AU356" i="1"/>
  <c r="AR356" i="1"/>
  <c r="AJ356" i="1" s="1" a="1"/>
  <c r="AJ356" i="1" s="1"/>
  <c r="AS356" i="1"/>
  <c r="AK356" i="1" s="1" a="1"/>
  <c r="AK356" i="1" s="1"/>
  <c r="AV356" i="1" a="1"/>
  <c r="AV356" i="1" s="1"/>
  <c r="AI355" i="1" a="1"/>
  <c r="AI355" i="1" s="1"/>
  <c r="AX355" i="1"/>
  <c r="AM356" i="1" l="1" a="1"/>
  <c r="AM356" i="1" s="1"/>
  <c r="AP359" i="3"/>
  <c r="AO358" i="3"/>
  <c r="AS358" i="3" s="1"/>
  <c r="V364" i="3"/>
  <c r="U363" i="3"/>
  <c r="Y363" i="3" s="1"/>
  <c r="AT358" i="3"/>
  <c r="AX358" i="3" s="1"/>
  <c r="AU359" i="3"/>
  <c r="AY358" i="3"/>
  <c r="BC358" i="3" s="1"/>
  <c r="AZ359" i="3"/>
  <c r="AA359" i="3"/>
  <c r="Z358" i="3"/>
  <c r="AD358" i="3" s="1"/>
  <c r="P360" i="3"/>
  <c r="T360" i="3" s="1"/>
  <c r="Q361" i="3"/>
  <c r="AF360" i="3"/>
  <c r="AE359" i="3"/>
  <c r="AI359" i="3" s="1"/>
  <c r="G359" i="3"/>
  <c r="F358" i="3"/>
  <c r="J358" i="3" s="1"/>
  <c r="L360" i="3"/>
  <c r="K359" i="3"/>
  <c r="O359" i="3" s="1"/>
  <c r="AJ358" i="3"/>
  <c r="AN358" i="3" s="1"/>
  <c r="AK359" i="3"/>
  <c r="B372" i="2"/>
  <c r="C372" i="2"/>
  <c r="D372" i="2"/>
  <c r="A373" i="2"/>
  <c r="AX356" i="1"/>
  <c r="AI356" i="1" a="1"/>
  <c r="AI356" i="1" s="1"/>
  <c r="AN357" i="1"/>
  <c r="AO357" i="1"/>
  <c r="AH358" i="1"/>
  <c r="AG357" i="1"/>
  <c r="AE357" i="1"/>
  <c r="AD357" i="1"/>
  <c r="AC357" i="1"/>
  <c r="Z358" i="1"/>
  <c r="AA357" i="1"/>
  <c r="AF357" i="1"/>
  <c r="AB357" i="1"/>
  <c r="AQ357" i="1"/>
  <c r="AU357" i="1"/>
  <c r="AM357" i="1" s="1" a="1"/>
  <c r="AM357" i="1" s="1"/>
  <c r="AW357" i="1" a="1"/>
  <c r="AW357" i="1" s="1"/>
  <c r="AT357" i="1"/>
  <c r="AP358" i="1"/>
  <c r="AR357" i="1"/>
  <c r="AJ357" i="1" s="1" a="1"/>
  <c r="AJ357" i="1" s="1"/>
  <c r="AV357" i="1" a="1"/>
  <c r="AV357" i="1" s="1"/>
  <c r="AS357" i="1"/>
  <c r="AK357" i="1" s="1" a="1"/>
  <c r="AK357" i="1" s="1"/>
  <c r="AL357" i="1" l="1" a="1"/>
  <c r="AL357" i="1" s="1"/>
  <c r="AO359" i="3"/>
  <c r="AS359" i="3" s="1"/>
  <c r="AP360" i="3"/>
  <c r="AJ359" i="3"/>
  <c r="AN359" i="3" s="1"/>
  <c r="AK360" i="3"/>
  <c r="Z359" i="3"/>
  <c r="AD359" i="3" s="1"/>
  <c r="AA360" i="3"/>
  <c r="AZ360" i="3"/>
  <c r="AY359" i="3"/>
  <c r="BC359" i="3" s="1"/>
  <c r="L361" i="3"/>
  <c r="K360" i="3"/>
  <c r="O360" i="3" s="1"/>
  <c r="AT359" i="3"/>
  <c r="AX359" i="3" s="1"/>
  <c r="AU360" i="3"/>
  <c r="G360" i="3"/>
  <c r="F359" i="3"/>
  <c r="J359" i="3" s="1"/>
  <c r="AE360" i="3"/>
  <c r="AI360" i="3" s="1"/>
  <c r="AF361" i="3"/>
  <c r="Q362" i="3"/>
  <c r="P361" i="3"/>
  <c r="T361" i="3" s="1"/>
  <c r="V365" i="3"/>
  <c r="U364" i="3"/>
  <c r="Y364" i="3" s="1"/>
  <c r="A374" i="2"/>
  <c r="B373" i="2"/>
  <c r="C373" i="2"/>
  <c r="D373" i="2"/>
  <c r="AR358" i="1"/>
  <c r="AP359" i="1"/>
  <c r="AQ358" i="1"/>
  <c r="AV358" i="1" a="1"/>
  <c r="AV358" i="1" s="1"/>
  <c r="AU358" i="1"/>
  <c r="AM358" i="1" s="1" a="1"/>
  <c r="AM358" i="1" s="1"/>
  <c r="AS358" i="1"/>
  <c r="AW358" i="1" a="1"/>
  <c r="AW358" i="1" s="1"/>
  <c r="AT358" i="1"/>
  <c r="AD358" i="1"/>
  <c r="AE358" i="1"/>
  <c r="AC358" i="1"/>
  <c r="AB358" i="1"/>
  <c r="AG358" i="1"/>
  <c r="AA358" i="1"/>
  <c r="Z359" i="1"/>
  <c r="AF358" i="1"/>
  <c r="AN358" i="1"/>
  <c r="AO358" i="1"/>
  <c r="AH359" i="1"/>
  <c r="AI357" i="1" a="1"/>
  <c r="AI357" i="1" s="1"/>
  <c r="AX357" i="1"/>
  <c r="AK358" i="1" l="1" a="1"/>
  <c r="AK358" i="1" s="1"/>
  <c r="AJ358" i="1" a="1"/>
  <c r="AJ358" i="1" s="1"/>
  <c r="AP361" i="3"/>
  <c r="AO360" i="3"/>
  <c r="AS360" i="3" s="1"/>
  <c r="AL358" i="1" a="1"/>
  <c r="AL358" i="1" s="1"/>
  <c r="AU361" i="3"/>
  <c r="AT360" i="3"/>
  <c r="AX360" i="3" s="1"/>
  <c r="F360" i="3"/>
  <c r="J360" i="3" s="1"/>
  <c r="G361" i="3"/>
  <c r="U365" i="3"/>
  <c r="Y365" i="3" s="1"/>
  <c r="V366" i="3"/>
  <c r="K361" i="3"/>
  <c r="O361" i="3" s="1"/>
  <c r="L362" i="3"/>
  <c r="P362" i="3"/>
  <c r="T362" i="3" s="1"/>
  <c r="Q363" i="3"/>
  <c r="AE361" i="3"/>
  <c r="AI361" i="3" s="1"/>
  <c r="AF362" i="3"/>
  <c r="AY360" i="3"/>
  <c r="BC360" i="3" s="1"/>
  <c r="AZ361" i="3"/>
  <c r="Z360" i="3"/>
  <c r="AD360" i="3" s="1"/>
  <c r="AA361" i="3"/>
  <c r="AJ360" i="3"/>
  <c r="AN360" i="3" s="1"/>
  <c r="AK361" i="3"/>
  <c r="A375" i="2"/>
  <c r="B374" i="2"/>
  <c r="C374" i="2"/>
  <c r="D374" i="2"/>
  <c r="AH360" i="1"/>
  <c r="AN359" i="1"/>
  <c r="AO359" i="1"/>
  <c r="AX358" i="1"/>
  <c r="AI358" i="1" a="1"/>
  <c r="AI358" i="1" s="1"/>
  <c r="AF359" i="1"/>
  <c r="AB359" i="1"/>
  <c r="AG359" i="1"/>
  <c r="AE359" i="1"/>
  <c r="Z360" i="1"/>
  <c r="AC359" i="1"/>
  <c r="AA359" i="1"/>
  <c r="AD359" i="1"/>
  <c r="AT359" i="1"/>
  <c r="AL359" i="1" s="1" a="1"/>
  <c r="AL359" i="1" s="1"/>
  <c r="AW359" i="1" a="1"/>
  <c r="AW359" i="1" s="1"/>
  <c r="AP360" i="1"/>
  <c r="AS359" i="1"/>
  <c r="AQ359" i="1"/>
  <c r="AV359" i="1" a="1"/>
  <c r="AV359" i="1" s="1"/>
  <c r="AR359" i="1"/>
  <c r="AJ359" i="1" s="1" a="1"/>
  <c r="AJ359" i="1" s="1"/>
  <c r="AU359" i="1"/>
  <c r="AM359" i="1" s="1" a="1"/>
  <c r="AM359" i="1" s="1"/>
  <c r="AK359" i="1" l="1" a="1"/>
  <c r="AK359" i="1" s="1"/>
  <c r="AP362" i="3"/>
  <c r="AO361" i="3"/>
  <c r="AS361" i="3" s="1"/>
  <c r="AK362" i="3"/>
  <c r="AJ361" i="3"/>
  <c r="AN361" i="3" s="1"/>
  <c r="U366" i="3"/>
  <c r="Y366" i="3" s="1"/>
  <c r="Z361" i="3"/>
  <c r="AD361" i="3" s="1"/>
  <c r="AA362" i="3"/>
  <c r="K362" i="3"/>
  <c r="O362" i="3" s="1"/>
  <c r="L363" i="3"/>
  <c r="AY361" i="3"/>
  <c r="BC361" i="3" s="1"/>
  <c r="AZ362" i="3"/>
  <c r="F361" i="3"/>
  <c r="J361" i="3" s="1"/>
  <c r="G362" i="3"/>
  <c r="AE362" i="3"/>
  <c r="AI362" i="3" s="1"/>
  <c r="AF363" i="3"/>
  <c r="AT361" i="3"/>
  <c r="AX361" i="3" s="1"/>
  <c r="AU362" i="3"/>
  <c r="P363" i="3"/>
  <c r="T363" i="3" s="1"/>
  <c r="Q364" i="3"/>
  <c r="C375" i="2"/>
  <c r="A376" i="2"/>
  <c r="B375" i="2"/>
  <c r="D375" i="2"/>
  <c r="AB360" i="1"/>
  <c r="AG360" i="1"/>
  <c r="AD360" i="1"/>
  <c r="Z361" i="1"/>
  <c r="AA360" i="1"/>
  <c r="AC360" i="1"/>
  <c r="AE360" i="1"/>
  <c r="AF360" i="1"/>
  <c r="AI359" i="1" a="1"/>
  <c r="AI359" i="1" s="1"/>
  <c r="AX359" i="1"/>
  <c r="AT360" i="1"/>
  <c r="AL360" i="1" s="1" a="1"/>
  <c r="AL360" i="1" s="1"/>
  <c r="AR360" i="1"/>
  <c r="AQ360" i="1"/>
  <c r="AU360" i="1"/>
  <c r="AS360" i="1"/>
  <c r="AK360" i="1" s="1" a="1"/>
  <c r="AK360" i="1" s="1"/>
  <c r="AW360" i="1" a="1"/>
  <c r="AW360" i="1" s="1"/>
  <c r="AP361" i="1"/>
  <c r="AV360" i="1" a="1"/>
  <c r="AV360" i="1" s="1"/>
  <c r="AO360" i="1"/>
  <c r="AH361" i="1"/>
  <c r="AN360" i="1"/>
  <c r="AM360" i="1" l="1" a="1"/>
  <c r="AM360" i="1" s="1"/>
  <c r="AJ360" i="1" a="1"/>
  <c r="AJ360" i="1" s="1"/>
  <c r="AO362" i="3"/>
  <c r="AS362" i="3" s="1"/>
  <c r="AP363" i="3"/>
  <c r="AY362" i="3"/>
  <c r="BC362" i="3" s="1"/>
  <c r="AZ363" i="3"/>
  <c r="L364" i="3"/>
  <c r="K363" i="3"/>
  <c r="O363" i="3" s="1"/>
  <c r="Q365" i="3"/>
  <c r="P364" i="3"/>
  <c r="T364" i="3" s="1"/>
  <c r="Z362" i="3"/>
  <c r="AD362" i="3" s="1"/>
  <c r="AA363" i="3"/>
  <c r="AT362" i="3"/>
  <c r="AX362" i="3" s="1"/>
  <c r="AU363" i="3"/>
  <c r="AE363" i="3"/>
  <c r="AI363" i="3" s="1"/>
  <c r="AF364" i="3"/>
  <c r="F362" i="3"/>
  <c r="J362" i="3" s="1"/>
  <c r="G363" i="3"/>
  <c r="AK363" i="3"/>
  <c r="AJ362" i="3"/>
  <c r="AN362" i="3" s="1"/>
  <c r="D376" i="2"/>
  <c r="C376" i="2"/>
  <c r="B376" i="2"/>
  <c r="A377" i="2"/>
  <c r="AO361" i="1"/>
  <c r="AN361" i="1"/>
  <c r="AH362" i="1"/>
  <c r="AV361" i="1" a="1"/>
  <c r="AV361" i="1" s="1"/>
  <c r="AQ361" i="1"/>
  <c r="AW361" i="1" a="1"/>
  <c r="AW361" i="1" s="1"/>
  <c r="AU361" i="1"/>
  <c r="AM361" i="1" s="1" a="1"/>
  <c r="AM361" i="1" s="1"/>
  <c r="AP362" i="1"/>
  <c r="AS361" i="1"/>
  <c r="AT361" i="1"/>
  <c r="AR361" i="1"/>
  <c r="AJ361" i="1" s="1" a="1"/>
  <c r="AJ361" i="1" s="1"/>
  <c r="AA361" i="1"/>
  <c r="AE361" i="1"/>
  <c r="Z362" i="1"/>
  <c r="AB361" i="1"/>
  <c r="AF361" i="1"/>
  <c r="AG361" i="1"/>
  <c r="AD361" i="1"/>
  <c r="AC361" i="1"/>
  <c r="AX360" i="1"/>
  <c r="AI360" i="1" a="1"/>
  <c r="AI360" i="1" s="1"/>
  <c r="AK361" i="1" l="1" a="1"/>
  <c r="AK361" i="1" s="1"/>
  <c r="AL361" i="1" a="1"/>
  <c r="AL361" i="1" s="1"/>
  <c r="AO363" i="3"/>
  <c r="AS363" i="3" s="1"/>
  <c r="AP364" i="3"/>
  <c r="AF365" i="3"/>
  <c r="AE364" i="3"/>
  <c r="AI364" i="3" s="1"/>
  <c r="AT363" i="3"/>
  <c r="AX363" i="3" s="1"/>
  <c r="AU364" i="3"/>
  <c r="Z363" i="3"/>
  <c r="AD363" i="3" s="1"/>
  <c r="AA364" i="3"/>
  <c r="AK364" i="3"/>
  <c r="AJ363" i="3"/>
  <c r="AN363" i="3" s="1"/>
  <c r="G364" i="3"/>
  <c r="F363" i="3"/>
  <c r="J363" i="3" s="1"/>
  <c r="P365" i="3"/>
  <c r="T365" i="3" s="1"/>
  <c r="Q366" i="3"/>
  <c r="K364" i="3"/>
  <c r="O364" i="3" s="1"/>
  <c r="L365" i="3"/>
  <c r="AZ364" i="3"/>
  <c r="AY363" i="3"/>
  <c r="BC363" i="3" s="1"/>
  <c r="D377" i="2"/>
  <c r="B377" i="2"/>
  <c r="A378" i="2"/>
  <c r="C377" i="2"/>
  <c r="AW362" i="1" a="1"/>
  <c r="AW362" i="1" s="1"/>
  <c r="AV362" i="1" a="1"/>
  <c r="AV362" i="1" s="1"/>
  <c r="AS362" i="1"/>
  <c r="AT362" i="1"/>
  <c r="AR362" i="1"/>
  <c r="AJ362" i="1" s="1" a="1"/>
  <c r="AJ362" i="1" s="1"/>
  <c r="AQ362" i="1"/>
  <c r="AP363" i="1"/>
  <c r="AU362" i="1"/>
  <c r="AX361" i="1"/>
  <c r="AI361" i="1" a="1"/>
  <c r="AI361" i="1" s="1"/>
  <c r="AH363" i="1"/>
  <c r="AN362" i="1"/>
  <c r="AO362" i="1"/>
  <c r="AG362" i="1"/>
  <c r="AA362" i="1"/>
  <c r="AB362" i="1"/>
  <c r="Z363" i="1"/>
  <c r="AD362" i="1"/>
  <c r="AE362" i="1"/>
  <c r="AF362" i="1"/>
  <c r="AC362" i="1"/>
  <c r="AL362" i="1" l="1" a="1"/>
  <c r="AL362" i="1" s="1"/>
  <c r="AK362" i="1" a="1"/>
  <c r="AK362" i="1" s="1"/>
  <c r="AM362" i="1" a="1"/>
  <c r="AM362" i="1" s="1"/>
  <c r="AO364" i="3"/>
  <c r="AS364" i="3" s="1"/>
  <c r="AP365" i="3"/>
  <c r="G365" i="3"/>
  <c r="F364" i="3"/>
  <c r="J364" i="3" s="1"/>
  <c r="AJ364" i="3"/>
  <c r="AN364" i="3" s="1"/>
  <c r="AK365" i="3"/>
  <c r="AY364" i="3"/>
  <c r="BC364" i="3" s="1"/>
  <c r="AZ365" i="3"/>
  <c r="Z364" i="3"/>
  <c r="AD364" i="3" s="1"/>
  <c r="AA365" i="3"/>
  <c r="AU365" i="3"/>
  <c r="AT364" i="3"/>
  <c r="AX364" i="3" s="1"/>
  <c r="K365" i="3"/>
  <c r="O365" i="3" s="1"/>
  <c r="L366" i="3"/>
  <c r="P366" i="3"/>
  <c r="T366" i="3" s="1"/>
  <c r="AF366" i="3"/>
  <c r="AE366" i="3" s="1"/>
  <c r="AI366" i="3" s="1"/>
  <c r="AE365" i="3"/>
  <c r="AI365" i="3" s="1"/>
  <c r="B378" i="2"/>
  <c r="D378" i="2"/>
  <c r="C378" i="2"/>
  <c r="A379" i="2"/>
  <c r="AH364" i="1"/>
  <c r="AO363" i="1"/>
  <c r="AN363" i="1"/>
  <c r="AP364" i="1"/>
  <c r="AV363" i="1" a="1"/>
  <c r="AV363" i="1" s="1"/>
  <c r="AQ363" i="1"/>
  <c r="AS363" i="1"/>
  <c r="AR363" i="1"/>
  <c r="AW363" i="1" a="1"/>
  <c r="AW363" i="1" s="1"/>
  <c r="AU363" i="1"/>
  <c r="AM363" i="1" s="1" a="1"/>
  <c r="AM363" i="1" s="1"/>
  <c r="AT363" i="1"/>
  <c r="AL363" i="1" s="1" a="1"/>
  <c r="AL363" i="1" s="1"/>
  <c r="AX362" i="1"/>
  <c r="AI362" i="1" a="1"/>
  <c r="AI362" i="1" s="1"/>
  <c r="AG363" i="1"/>
  <c r="AE363" i="1"/>
  <c r="AF363" i="1"/>
  <c r="AB363" i="1"/>
  <c r="Z364" i="1"/>
  <c r="AA363" i="1"/>
  <c r="AD363" i="1"/>
  <c r="AC363" i="1"/>
  <c r="AJ363" i="1" l="1" a="1"/>
  <c r="AJ363" i="1" s="1"/>
  <c r="AP366" i="3"/>
  <c r="AO366" i="3" s="1"/>
  <c r="AS366" i="3" s="1"/>
  <c r="AO365" i="3"/>
  <c r="AS365" i="3" s="1"/>
  <c r="AT365" i="3"/>
  <c r="AX365" i="3" s="1"/>
  <c r="AU366" i="3"/>
  <c r="AT366" i="3" s="1"/>
  <c r="AX366" i="3" s="1"/>
  <c r="Z365" i="3"/>
  <c r="AD365" i="3" s="1"/>
  <c r="AA366" i="3"/>
  <c r="AY365" i="3"/>
  <c r="BC365" i="3" s="1"/>
  <c r="AZ366" i="3"/>
  <c r="AY366" i="3" s="1"/>
  <c r="BC366" i="3" s="1"/>
  <c r="AJ365" i="3"/>
  <c r="AN365" i="3" s="1"/>
  <c r="AK366" i="3"/>
  <c r="AJ366" i="3" s="1"/>
  <c r="AN366" i="3" s="1"/>
  <c r="AK363" i="1" a="1"/>
  <c r="AK363" i="1" s="1"/>
  <c r="K366" i="3"/>
  <c r="O366" i="3" s="1"/>
  <c r="G366" i="3"/>
  <c r="F365" i="3"/>
  <c r="J365" i="3" s="1"/>
  <c r="D379" i="2"/>
  <c r="A380" i="2"/>
  <c r="C379" i="2"/>
  <c r="B379" i="2"/>
  <c r="AX363" i="1"/>
  <c r="AI363" i="1" a="1"/>
  <c r="AI363" i="1" s="1"/>
  <c r="AG364" i="1"/>
  <c r="Z365" i="1"/>
  <c r="AC364" i="1"/>
  <c r="AA364" i="1"/>
  <c r="AB364" i="1"/>
  <c r="AE364" i="1"/>
  <c r="AD364" i="1"/>
  <c r="AF364" i="1"/>
  <c r="AT364" i="1"/>
  <c r="AV364" i="1" a="1"/>
  <c r="AV364" i="1" s="1"/>
  <c r="AU364" i="1"/>
  <c r="AR364" i="1"/>
  <c r="AJ364" i="1" s="1" a="1"/>
  <c r="AJ364" i="1" s="1"/>
  <c r="AS364" i="1"/>
  <c r="AK364" i="1" s="1" a="1"/>
  <c r="AK364" i="1" s="1"/>
  <c r="AQ364" i="1"/>
  <c r="AP365" i="1"/>
  <c r="AW364" i="1" a="1"/>
  <c r="AW364" i="1" s="1"/>
  <c r="AN364" i="1"/>
  <c r="AO364" i="1"/>
  <c r="AH365" i="1"/>
  <c r="AM364" i="1" l="1" a="1"/>
  <c r="AM364" i="1" s="1"/>
  <c r="AL364" i="1" a="1"/>
  <c r="AL364" i="1" s="1"/>
  <c r="F366" i="3"/>
  <c r="J366" i="3" s="1"/>
  <c r="Z366" i="3"/>
  <c r="AD366" i="3" s="1"/>
  <c r="D380" i="2"/>
  <c r="A381" i="2"/>
  <c r="C380" i="2"/>
  <c r="B380" i="2"/>
  <c r="AH366" i="1"/>
  <c r="AN365" i="1"/>
  <c r="AO365" i="1"/>
  <c r="AU365" i="1"/>
  <c r="AM365" i="1" s="1" a="1"/>
  <c r="AM365" i="1" s="1"/>
  <c r="AP366" i="1"/>
  <c r="AT365" i="1"/>
  <c r="AW365" i="1" a="1"/>
  <c r="AW365" i="1" s="1"/>
  <c r="AQ365" i="1"/>
  <c r="AS365" i="1"/>
  <c r="AK365" i="1" s="1" a="1"/>
  <c r="AK365" i="1" s="1"/>
  <c r="AR365" i="1"/>
  <c r="AJ365" i="1" s="1" a="1"/>
  <c r="AJ365" i="1" s="1"/>
  <c r="AV365" i="1" a="1"/>
  <c r="AV365" i="1" s="1"/>
  <c r="AX364" i="1"/>
  <c r="AI364" i="1" a="1"/>
  <c r="AI364" i="1" s="1"/>
  <c r="AD365" i="1"/>
  <c r="AF365" i="1"/>
  <c r="AC365" i="1"/>
  <c r="Z366" i="1"/>
  <c r="AE365" i="1"/>
  <c r="AA365" i="1"/>
  <c r="AB365" i="1"/>
  <c r="AG365" i="1"/>
  <c r="AL365" i="1" l="1" a="1"/>
  <c r="AL365" i="1" s="1"/>
  <c r="D381" i="2"/>
  <c r="B381" i="2"/>
  <c r="A382" i="2"/>
  <c r="C381" i="2"/>
  <c r="AX365" i="1"/>
  <c r="AI365" i="1" a="1"/>
  <c r="AI365" i="1" s="1"/>
  <c r="AD366" i="1"/>
  <c r="AC366" i="1"/>
  <c r="AG366" i="1"/>
  <c r="AF366" i="1"/>
  <c r="AE366" i="1"/>
  <c r="AA366" i="1"/>
  <c r="AB366" i="1"/>
  <c r="Z367" i="1"/>
  <c r="AS366" i="1"/>
  <c r="AK366" i="1" s="1" a="1"/>
  <c r="AK366" i="1" s="1"/>
  <c r="AU366" i="1"/>
  <c r="AM366" i="1" s="1" a="1"/>
  <c r="AM366" i="1" s="1"/>
  <c r="AW366" i="1" a="1"/>
  <c r="AW366" i="1" s="1"/>
  <c r="AT366" i="1"/>
  <c r="AL366" i="1" s="1" a="1"/>
  <c r="AL366" i="1" s="1"/>
  <c r="AR366" i="1"/>
  <c r="AJ366" i="1" s="1" a="1"/>
  <c r="AJ366" i="1" s="1"/>
  <c r="AQ366" i="1"/>
  <c r="AV366" i="1" a="1"/>
  <c r="AV366" i="1" s="1"/>
  <c r="AP367" i="1"/>
  <c r="AH367" i="1"/>
  <c r="AN366" i="1"/>
  <c r="AO366" i="1"/>
  <c r="D382" i="2" l="1"/>
  <c r="A383" i="2"/>
  <c r="B382" i="2"/>
  <c r="C382" i="2"/>
  <c r="AB367" i="1"/>
  <c r="AE367" i="1"/>
  <c r="AF367" i="1"/>
  <c r="AA367" i="1"/>
  <c r="AC367" i="1"/>
  <c r="AD367" i="1"/>
  <c r="AG367" i="1"/>
  <c r="AO367" i="1"/>
  <c r="AN367" i="1"/>
  <c r="AR367" i="1"/>
  <c r="AJ367" i="1" s="1" a="1"/>
  <c r="AJ367" i="1" s="1"/>
  <c r="AW367" i="1" a="1"/>
  <c r="AW367" i="1" s="1"/>
  <c r="AS367" i="1"/>
  <c r="AK367" i="1" s="1" a="1"/>
  <c r="AK367" i="1" s="1"/>
  <c r="AV367" i="1" a="1"/>
  <c r="AV367" i="1" s="1"/>
  <c r="AT367" i="1"/>
  <c r="AL367" i="1" s="1" a="1"/>
  <c r="AL367" i="1" s="1"/>
  <c r="AQ367" i="1"/>
  <c r="AU367" i="1"/>
  <c r="AM367" i="1" s="1" a="1"/>
  <c r="AM367" i="1" s="1"/>
  <c r="AX366" i="1"/>
  <c r="AI366" i="1" a="1"/>
  <c r="AI366" i="1" s="1"/>
  <c r="D383" i="2" l="1"/>
  <c r="C383" i="2"/>
  <c r="B383" i="2"/>
  <c r="AX367" i="1"/>
  <c r="AI367" i="1" a="1"/>
  <c r="AI367" i="1" s="1"/>
  <c r="E383" i="2" l="1"/>
  <c r="E382" i="2" s="1"/>
  <c r="E381" i="2" s="1"/>
  <c r="E380" i="2" s="1"/>
  <c r="E379" i="2" s="1"/>
  <c r="E378" i="2" s="1"/>
  <c r="E377" i="2" s="1"/>
  <c r="E376" i="2" s="1"/>
  <c r="E375" i="2" s="1"/>
  <c r="E374" i="2" s="1"/>
  <c r="E373" i="2" s="1"/>
  <c r="E372" i="2" s="1"/>
  <c r="E371" i="2" s="1"/>
  <c r="E370" i="2" s="1"/>
  <c r="E369" i="2" s="1"/>
  <c r="E368" i="2" s="1"/>
  <c r="E367" i="2" s="1"/>
  <c r="E366" i="2" s="1"/>
  <c r="E365" i="2" s="1"/>
  <c r="E364" i="2" s="1"/>
  <c r="E363" i="2" s="1"/>
  <c r="E362" i="2" s="1"/>
  <c r="E361" i="2" s="1"/>
  <c r="E360" i="2" s="1"/>
  <c r="E359" i="2" s="1"/>
  <c r="E358" i="2" s="1"/>
  <c r="E357" i="2" s="1"/>
  <c r="E356" i="2" s="1"/>
  <c r="E355" i="2" s="1"/>
  <c r="E354" i="2" s="1"/>
  <c r="E353" i="2" s="1"/>
  <c r="E352" i="2" s="1"/>
  <c r="E351" i="2" s="1"/>
  <c r="E350" i="2" s="1"/>
  <c r="E349" i="2" s="1"/>
  <c r="E348" i="2" s="1"/>
  <c r="E347" i="2" s="1"/>
  <c r="E346" i="2" s="1"/>
  <c r="E345" i="2" s="1"/>
  <c r="E344" i="2" s="1"/>
  <c r="E343" i="2" s="1"/>
  <c r="E342" i="2" s="1"/>
  <c r="E341" i="2" s="1"/>
  <c r="E340" i="2" s="1"/>
  <c r="E339" i="2" s="1"/>
  <c r="E338" i="2" s="1"/>
  <c r="E337" i="2" s="1"/>
  <c r="E336" i="2" s="1"/>
  <c r="E335" i="2" s="1"/>
  <c r="E334" i="2" s="1"/>
  <c r="E333" i="2" s="1"/>
  <c r="E332" i="2" s="1"/>
  <c r="E331" i="2" s="1"/>
  <c r="E330" i="2" s="1"/>
  <c r="E329" i="2" s="1"/>
  <c r="E328" i="2" s="1"/>
  <c r="E327" i="2" s="1"/>
  <c r="E326" i="2" s="1"/>
  <c r="E325" i="2" s="1"/>
  <c r="E324" i="2" s="1"/>
  <c r="E323" i="2" s="1"/>
  <c r="E322" i="2" s="1"/>
  <c r="E321" i="2" s="1"/>
  <c r="E320" i="2" s="1"/>
  <c r="E319" i="2" s="1"/>
  <c r="E318" i="2" s="1"/>
  <c r="E317" i="2" s="1"/>
  <c r="E316" i="2" s="1"/>
  <c r="E315" i="2" s="1"/>
  <c r="E314" i="2" s="1"/>
  <c r="E313" i="2" s="1"/>
  <c r="E312" i="2" s="1"/>
  <c r="E311" i="2" s="1"/>
  <c r="E310" i="2" s="1"/>
  <c r="E309" i="2" s="1"/>
  <c r="E308" i="2" s="1"/>
  <c r="E307" i="2" s="1"/>
  <c r="E306" i="2" s="1"/>
  <c r="E305" i="2" s="1"/>
  <c r="E304" i="2" s="1"/>
  <c r="E303" i="2" s="1"/>
  <c r="E302" i="2" s="1"/>
  <c r="E301" i="2" s="1"/>
  <c r="E300" i="2" s="1"/>
  <c r="E299" i="2" s="1"/>
  <c r="E298" i="2" s="1"/>
  <c r="E297" i="2" s="1"/>
  <c r="E296" i="2" s="1"/>
  <c r="E295" i="2" s="1"/>
  <c r="E294" i="2" s="1"/>
  <c r="E293" i="2" s="1"/>
  <c r="E292" i="2" s="1"/>
  <c r="E291" i="2" s="1"/>
  <c r="E290" i="2" s="1"/>
  <c r="E289" i="2" s="1"/>
  <c r="E288" i="2" s="1"/>
  <c r="E287" i="2" s="1"/>
  <c r="E286" i="2" s="1"/>
  <c r="E285" i="2" s="1"/>
  <c r="E284" i="2" s="1"/>
  <c r="E283" i="2" s="1"/>
  <c r="E282" i="2" s="1"/>
  <c r="E281" i="2" s="1"/>
  <c r="E280" i="2" s="1"/>
  <c r="E279" i="2" s="1"/>
  <c r="E278" i="2" s="1"/>
  <c r="E277" i="2" s="1"/>
  <c r="E276" i="2" s="1"/>
  <c r="E275" i="2" s="1"/>
  <c r="E274" i="2" s="1"/>
  <c r="E273" i="2" s="1"/>
  <c r="E272" i="2" s="1"/>
  <c r="E271" i="2" s="1"/>
  <c r="E270" i="2" s="1"/>
  <c r="E269" i="2" s="1"/>
  <c r="E268" i="2" s="1"/>
  <c r="E267" i="2" s="1"/>
  <c r="E266" i="2" s="1"/>
  <c r="E265" i="2" s="1"/>
  <c r="E264" i="2" s="1"/>
  <c r="E263" i="2" s="1"/>
  <c r="E262" i="2" s="1"/>
  <c r="E261" i="2" s="1"/>
  <c r="E260" i="2" s="1"/>
  <c r="E259" i="2" s="1"/>
  <c r="E258" i="2" s="1"/>
  <c r="E257" i="2" s="1"/>
  <c r="E256" i="2" s="1"/>
  <c r="E255" i="2" s="1"/>
  <c r="E254" i="2" s="1"/>
  <c r="E253" i="2" s="1"/>
  <c r="E252" i="2" s="1"/>
  <c r="E251" i="2" s="1"/>
  <c r="E250" i="2" s="1"/>
  <c r="E249" i="2" s="1"/>
  <c r="E248" i="2" s="1"/>
  <c r="E247" i="2" s="1"/>
  <c r="E246" i="2" s="1"/>
  <c r="E245" i="2" s="1"/>
  <c r="E244" i="2" s="1"/>
  <c r="E243" i="2" s="1"/>
  <c r="E242" i="2" s="1"/>
  <c r="E241" i="2" s="1"/>
  <c r="E240" i="2" s="1"/>
  <c r="E239" i="2" s="1"/>
  <c r="E238" i="2" s="1"/>
  <c r="E237" i="2" s="1"/>
  <c r="E236" i="2" s="1"/>
  <c r="E235" i="2" s="1"/>
  <c r="E234" i="2" s="1"/>
  <c r="E233" i="2" s="1"/>
  <c r="E232" i="2" s="1"/>
  <c r="E231" i="2" s="1"/>
  <c r="E230" i="2" s="1"/>
  <c r="E229" i="2" s="1"/>
  <c r="E228" i="2" s="1"/>
  <c r="E227" i="2" s="1"/>
  <c r="E226" i="2" s="1"/>
  <c r="E225" i="2" s="1"/>
  <c r="E224" i="2" s="1"/>
  <c r="E223" i="2" s="1"/>
  <c r="E222" i="2" s="1"/>
  <c r="E221" i="2" s="1"/>
  <c r="E220" i="2" s="1"/>
  <c r="E219" i="2" s="1"/>
  <c r="E218" i="2" s="1"/>
  <c r="E217" i="2" s="1"/>
  <c r="E216" i="2" s="1"/>
  <c r="E215" i="2" s="1"/>
  <c r="E214" i="2" s="1"/>
  <c r="E213" i="2" s="1"/>
  <c r="E212" i="2" s="1"/>
  <c r="E211" i="2" s="1"/>
  <c r="E210" i="2" s="1"/>
  <c r="E209" i="2" s="1"/>
  <c r="E208" i="2" s="1"/>
  <c r="E207" i="2" s="1"/>
  <c r="E206" i="2" s="1"/>
  <c r="E205" i="2" s="1"/>
  <c r="E204" i="2" s="1"/>
  <c r="E203" i="2" s="1"/>
  <c r="E202" i="2" s="1"/>
  <c r="E201" i="2" s="1"/>
  <c r="E200" i="2" s="1"/>
  <c r="E199" i="2" s="1"/>
  <c r="E198" i="2" s="1"/>
  <c r="E197" i="2" s="1"/>
  <c r="E196" i="2" s="1"/>
  <c r="E195" i="2" s="1"/>
  <c r="E194" i="2" s="1"/>
  <c r="E193" i="2" s="1"/>
  <c r="E192" i="2" s="1"/>
  <c r="E191" i="2" s="1"/>
  <c r="E190" i="2" s="1"/>
  <c r="E189" i="2" s="1"/>
  <c r="E188" i="2" s="1"/>
  <c r="E187" i="2" s="1"/>
  <c r="E186" i="2" s="1"/>
  <c r="E185" i="2" s="1"/>
  <c r="E184" i="2" s="1"/>
  <c r="E183" i="2" s="1"/>
  <c r="E182" i="2" s="1"/>
  <c r="E181" i="2" s="1"/>
  <c r="E180" i="2" s="1"/>
  <c r="E179" i="2" s="1"/>
  <c r="E178" i="2" s="1"/>
  <c r="E177" i="2" s="1"/>
  <c r="E176" i="2" s="1"/>
  <c r="E175" i="2" s="1"/>
  <c r="E174" i="2" s="1"/>
  <c r="E173" i="2" s="1"/>
  <c r="E172" i="2" s="1"/>
  <c r="E171" i="2" s="1"/>
  <c r="E170" i="2" s="1"/>
  <c r="E169" i="2" s="1"/>
  <c r="E168" i="2" s="1"/>
  <c r="E167" i="2" s="1"/>
  <c r="E166" i="2" s="1"/>
  <c r="E165" i="2" s="1"/>
  <c r="E164" i="2" s="1"/>
  <c r="E163" i="2" s="1"/>
  <c r="E162" i="2" s="1"/>
  <c r="E161" i="2" s="1"/>
  <c r="E160" i="2" s="1"/>
  <c r="E159" i="2" s="1"/>
  <c r="E158" i="2" s="1"/>
  <c r="E157" i="2" s="1"/>
  <c r="E156" i="2" s="1"/>
  <c r="E155" i="2" s="1"/>
  <c r="E154" i="2" s="1"/>
  <c r="E153" i="2" s="1"/>
  <c r="E152" i="2" s="1"/>
  <c r="E151" i="2" s="1"/>
  <c r="E150" i="2" s="1"/>
  <c r="E149" i="2" s="1"/>
  <c r="E148" i="2" s="1"/>
  <c r="E147" i="2" s="1"/>
  <c r="E146" i="2" s="1"/>
  <c r="E145" i="2" s="1"/>
  <c r="E144" i="2" s="1"/>
  <c r="E143" i="2" s="1"/>
  <c r="E142" i="2" s="1"/>
  <c r="E141" i="2" s="1"/>
  <c r="E140" i="2" s="1"/>
  <c r="E139" i="2" s="1"/>
  <c r="E138" i="2" s="1"/>
  <c r="E137" i="2" s="1"/>
  <c r="E136" i="2" s="1"/>
  <c r="E135" i="2" s="1"/>
  <c r="E134" i="2" s="1"/>
  <c r="E133" i="2" s="1"/>
  <c r="E132" i="2" s="1"/>
  <c r="E131" i="2" s="1"/>
  <c r="E130" i="2" s="1"/>
  <c r="E129" i="2" s="1"/>
  <c r="E128" i="2" s="1"/>
  <c r="E127" i="2" s="1"/>
  <c r="E126" i="2" s="1"/>
  <c r="E125" i="2" s="1"/>
  <c r="E124" i="2" s="1"/>
  <c r="E123" i="2" s="1"/>
  <c r="E122" i="2" s="1"/>
  <c r="E121" i="2" s="1"/>
  <c r="E120" i="2" s="1"/>
  <c r="E119" i="2" s="1"/>
  <c r="E118" i="2" s="1"/>
  <c r="E117" i="2" s="1"/>
  <c r="E116" i="2" s="1"/>
  <c r="E115" i="2" s="1"/>
  <c r="E114" i="2" s="1"/>
  <c r="E113" i="2" s="1"/>
  <c r="E112" i="2" s="1"/>
  <c r="E111" i="2" s="1"/>
  <c r="E110" i="2" s="1"/>
  <c r="E109" i="2" s="1"/>
  <c r="E108" i="2" s="1"/>
  <c r="E107" i="2" s="1"/>
  <c r="E106" i="2" s="1"/>
  <c r="E105" i="2" s="1"/>
  <c r="E104" i="2" s="1"/>
  <c r="E103" i="2" s="1"/>
  <c r="E102" i="2" s="1"/>
  <c r="E101" i="2" s="1"/>
  <c r="E100" i="2" s="1"/>
  <c r="E99" i="2" s="1"/>
  <c r="E98" i="2" s="1"/>
  <c r="E97" i="2" s="1"/>
  <c r="E96" i="2" s="1"/>
  <c r="E95" i="2" s="1"/>
  <c r="E94" i="2" s="1"/>
  <c r="E93" i="2" s="1"/>
  <c r="E92" i="2" s="1"/>
  <c r="E91" i="2" s="1"/>
  <c r="E90" i="2" s="1"/>
  <c r="E89" i="2" s="1"/>
  <c r="E88" i="2" s="1"/>
  <c r="E87" i="2" s="1"/>
  <c r="E86" i="2" s="1"/>
  <c r="E85" i="2" s="1"/>
  <c r="E84" i="2" s="1"/>
  <c r="E83" i="2" s="1"/>
  <c r="E82" i="2" s="1"/>
  <c r="E81" i="2" s="1"/>
  <c r="E80" i="2" s="1"/>
  <c r="E79" i="2" s="1"/>
  <c r="E78" i="2" s="1"/>
  <c r="E77" i="2" s="1"/>
  <c r="E76" i="2" s="1"/>
  <c r="E75" i="2" s="1"/>
  <c r="E74" i="2" s="1"/>
  <c r="E73" i="2" s="1"/>
  <c r="E72" i="2" s="1"/>
  <c r="E71" i="2" s="1"/>
  <c r="E70" i="2" s="1"/>
  <c r="E69" i="2" s="1"/>
  <c r="E68" i="2" s="1"/>
  <c r="E67" i="2" s="1"/>
  <c r="E66" i="2" s="1"/>
  <c r="E65" i="2" s="1"/>
  <c r="E64" i="2" s="1"/>
  <c r="E63" i="2" s="1"/>
  <c r="E62" i="2" s="1"/>
  <c r="E61" i="2" s="1"/>
  <c r="E60" i="2" s="1"/>
  <c r="E59" i="2" s="1"/>
  <c r="E58" i="2" s="1"/>
  <c r="E57" i="2" s="1"/>
  <c r="E56" i="2" s="1"/>
  <c r="E55" i="2" s="1"/>
  <c r="E54" i="2" s="1"/>
  <c r="E53" i="2" s="1"/>
  <c r="E52" i="2" s="1"/>
  <c r="E51" i="2" s="1"/>
  <c r="E50" i="2" s="1"/>
  <c r="E49" i="2" s="1"/>
  <c r="E48" i="2" s="1"/>
  <c r="E47" i="2" s="1"/>
  <c r="E46" i="2" s="1"/>
  <c r="E45" i="2" s="1"/>
  <c r="E44" i="2" s="1"/>
  <c r="E43" i="2" s="1"/>
  <c r="E42" i="2" s="1"/>
  <c r="E41" i="2" s="1"/>
  <c r="E40" i="2" s="1"/>
  <c r="E39" i="2" s="1"/>
  <c r="E38" i="2" s="1"/>
  <c r="E37" i="2" s="1"/>
  <c r="E36" i="2" s="1"/>
  <c r="E35" i="2" s="1"/>
  <c r="E34" i="2" s="1"/>
  <c r="E33" i="2" s="1"/>
  <c r="E32" i="2" s="1"/>
  <c r="E31" i="2" s="1"/>
  <c r="E30" i="2" s="1"/>
  <c r="E29" i="2" s="1"/>
  <c r="E28" i="2" s="1"/>
  <c r="E27" i="2" s="1"/>
  <c r="E26" i="2" s="1"/>
  <c r="E25" i="2" s="1"/>
  <c r="E24" i="2" s="1"/>
  <c r="E23" i="2" s="1"/>
  <c r="E22" i="2" s="1"/>
  <c r="E21" i="2" s="1"/>
  <c r="E20" i="2" s="1"/>
  <c r="E19" i="2" s="1"/>
  <c r="E18" i="2" s="1"/>
  <c r="E1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tc={9E25308A-BC2A-4779-B2E2-5D1795C65992}</author>
    <author>tc={633C7786-BD0B-42E8-83D9-D4D867AD719C}</author>
    <author>tc={8D0C4C26-3CCE-4A2E-9B74-30B172F6702B}</author>
    <author>tc={DA152DA1-9D93-48BB-8DF3-5B3FF0DDFD53}</author>
    <author>tc={AEE50111-6B1E-4ED6-BDEE-AF8DA996171C}</author>
    <author>tc={3E71527C-25EC-428D-8308-318695C26F85}</author>
    <author>tc={9C1F35D3-134E-4F82-9015-FAA56384AFCC}</author>
    <author>tc={240FA2FF-DDE6-451A-8339-7771993B1111}</author>
    <author>tc={F1ED1761-9806-495A-96F7-A7201B2ED59D}</author>
    <author>tc={09A4FD57-90FB-4AFE-B638-C5043E1D0A2C}</author>
    <author>tc={E1B6CA68-2067-437B-9275-E18D3CE31766}</author>
  </authors>
  <commentList>
    <comment ref="BG2" authorId="0" shapeId="0" xr:uid="{9E25308A-BC2A-4779-B2E2-5D1795C6599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Baixo movimento por conta do feriado</t>
      </text>
    </comment>
    <comment ref="BG15" authorId="1" shapeId="0" xr:uid="{633C7786-BD0B-42E8-83D9-D4D867AD719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Essas vendas com o lucro lá embaixo, esta relacionada com uma mercadoria que veio avariada AB, somado mais ainda com o ritmo fraco do comercio </t>
      </text>
    </comment>
    <comment ref="BG54" authorId="2" shapeId="0" xr:uid="{8D0C4C26-3CCE-4A2E-9B74-30B172F670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Essas vendas por ter esse resultado esta correlacionado a modificação do preço do produto AB por motivos de ovos podre e o a quantidade superior apontado na tabela de compra causando tal resultado</t>
      </text>
    </comment>
    <comment ref="BG56" authorId="3" shapeId="0" xr:uid="{DA152DA1-9D93-48BB-8DF3-5B3FF0DDFD5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de lucro estas caindo por conta dos ovos estragado; e o Lanche arena levou uma quantidade á normal de ovos e fazendo assim o A com o mesmo valor do B no atacado </t>
      </text>
    </comment>
    <comment ref="BG58" authorId="4" shapeId="0" xr:uid="{AEE50111-6B1E-4ED6-BDEE-AF8DA996171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O aumento do preço dos ovos, porem esse resultado esta atrelado a mercadoria Ab. Por conta do erro apontado no comentário anterior. Na mesclagem de preço perdemos lucro </t>
      </text>
    </comment>
    <comment ref="BG59" authorId="5" shapeId="0" xr:uid="{3E71527C-25EC-428D-8308-318695C26F8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Movimento baixo atrelado a repentina aumento nos ovos </t>
      </text>
    </comment>
    <comment ref="BG77" authorId="6" shapeId="0" xr:uid="{9C1F35D3-134E-4F82-9015-FAA56384AFC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</t>
      </text>
    </comment>
    <comment ref="BG78" authorId="7" shapeId="0" xr:uid="{240FA2FF-DDE6-451A-8339-7771993B111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</t>
      </text>
    </comment>
    <comment ref="BG79" authorId="8" shapeId="0" xr:uid="{F1ED1761-9806-495A-96F7-A7201B2ED59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</t>
      </text>
    </comment>
    <comment ref="BG80" authorId="9" shapeId="0" xr:uid="{09A4FD57-90FB-4AFE-B638-C5043E1D0A2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
</t>
      </text>
    </comment>
    <comment ref="BG81" authorId="10" shapeId="0" xr:uid="{E1B6CA68-2067-437B-9275-E18D3CE3176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Chuva somado com o baixo valor de lucro por conta do excesso de ovos do tipo A e Extra
somado com as vendas no atacado que foram muitas e o seu valor de lucro médio esta abaixo de 2 reais 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GESTÃO 2025 ANO.xlsm!controleEstoque" type="102" refreshedVersion="8" minRefreshableVersion="5">
    <extLst>
      <ext xmlns:x15="http://schemas.microsoft.com/office/spreadsheetml/2010/11/main" uri="{DE250136-89BD-433C-8126-D09CA5730AF9}">
        <x15:connection id="controleEstoque">
          <x15:rangePr sourceName="_xlcn.WorksheetConnection_GESTÃO2025ANO.xlsmcontroleEstoque1"/>
        </x15:connection>
      </ext>
    </extLst>
  </connection>
  <connection id="3" xr16:uid="{00000000-0015-0000-FFFF-FFFF02000000}" name="WorksheetConnection_GESTÃO 2025 ANO.xlsm!estoque" type="102" refreshedVersion="8" minRefreshableVersion="5">
    <extLst>
      <ext xmlns:x15="http://schemas.microsoft.com/office/spreadsheetml/2010/11/main" uri="{DE250136-89BD-433C-8126-D09CA5730AF9}">
        <x15:connection id="estoque">
          <x15:rangePr sourceName="_xlcn.WorksheetConnection_GESTÃO2025ANO.xlsmestoqu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<sst xmlns="http://schemas.openxmlformats.org/spreadsheetml/2006/main" count="15177" uniqueCount="428">
  <si>
    <t>fornecedor</t>
  </si>
  <si>
    <t>quantidade</t>
  </si>
  <si>
    <t>valor</t>
  </si>
  <si>
    <t>valor total</t>
  </si>
  <si>
    <t>produto</t>
  </si>
  <si>
    <t>data</t>
  </si>
  <si>
    <t>mês</t>
  </si>
  <si>
    <t>lucro</t>
  </si>
  <si>
    <t>margem</t>
  </si>
  <si>
    <t>d/s</t>
  </si>
  <si>
    <t>OVO BRANCO A</t>
  </si>
  <si>
    <t>OVO BRANCO B</t>
  </si>
  <si>
    <t>OVO BRANCO C</t>
  </si>
  <si>
    <t>OVO BRANCO EXTRA</t>
  </si>
  <si>
    <t>OVO BRANCO JUMBO</t>
  </si>
  <si>
    <t>OVO VERMELHO A</t>
  </si>
  <si>
    <t>OVO VERMELHO B</t>
  </si>
  <si>
    <t>OVO VERMELHO C</t>
  </si>
  <si>
    <t>OVO VERMELHO EXTRA</t>
  </si>
  <si>
    <t>OVO VERMELHO JUMBO</t>
  </si>
  <si>
    <t>saída</t>
  </si>
  <si>
    <t>estoque</t>
  </si>
  <si>
    <t>atacado</t>
  </si>
  <si>
    <t>preço</t>
  </si>
  <si>
    <t>varejo</t>
  </si>
  <si>
    <t>cartelas</t>
  </si>
  <si>
    <t>valor saída</t>
  </si>
  <si>
    <t>lucro varejo</t>
  </si>
  <si>
    <t>lucro atacado</t>
  </si>
  <si>
    <t>valor estoque</t>
  </si>
  <si>
    <t xml:space="preserve">Granja Marinho </t>
  </si>
  <si>
    <t xml:space="preserve">Ovos de ouro </t>
  </si>
  <si>
    <t>qua</t>
  </si>
  <si>
    <t>venda atacdo</t>
  </si>
  <si>
    <t>cliente</t>
  </si>
  <si>
    <t>qunatidade</t>
  </si>
  <si>
    <t>saldo</t>
  </si>
  <si>
    <t>montante</t>
  </si>
  <si>
    <t>pagamento</t>
  </si>
  <si>
    <t>crédito</t>
  </si>
  <si>
    <t>débito</t>
  </si>
  <si>
    <t>pix</t>
  </si>
  <si>
    <t>dinheiro</t>
  </si>
  <si>
    <t xml:space="preserve">Nilson lanche </t>
  </si>
  <si>
    <t>aleatório</t>
  </si>
  <si>
    <t>May</t>
  </si>
  <si>
    <t xml:space="preserve">Janaira </t>
  </si>
  <si>
    <t>Junio Lanche</t>
  </si>
  <si>
    <t>Melquisedeque</t>
  </si>
  <si>
    <t>Tereza</t>
  </si>
  <si>
    <t xml:space="preserve">mês </t>
  </si>
  <si>
    <t>desconto</t>
  </si>
  <si>
    <t>estoque A</t>
  </si>
  <si>
    <t>entrada A</t>
  </si>
  <si>
    <t>valor Ab</t>
  </si>
  <si>
    <t>estoque B</t>
  </si>
  <si>
    <t>entrada B</t>
  </si>
  <si>
    <t>valor Bb</t>
  </si>
  <si>
    <t>estoque C</t>
  </si>
  <si>
    <t>entrada C</t>
  </si>
  <si>
    <t>valor Cb</t>
  </si>
  <si>
    <t>estoque E</t>
  </si>
  <si>
    <t>entrada E</t>
  </si>
  <si>
    <t>valor Eb</t>
  </si>
  <si>
    <t>estoque J</t>
  </si>
  <si>
    <t>entrada J</t>
  </si>
  <si>
    <t>valor Jb</t>
  </si>
  <si>
    <t>estoque AV</t>
  </si>
  <si>
    <t>entrada AV</t>
  </si>
  <si>
    <t>valor Av</t>
  </si>
  <si>
    <t>estoque BV</t>
  </si>
  <si>
    <t>entrada BV</t>
  </si>
  <si>
    <t>valor Bv</t>
  </si>
  <si>
    <t>estoque CV</t>
  </si>
  <si>
    <t>entrada CV</t>
  </si>
  <si>
    <t>valor Cv</t>
  </si>
  <si>
    <t>estoque EV</t>
  </si>
  <si>
    <t>entrada EV</t>
  </si>
  <si>
    <t>valor Ev</t>
  </si>
  <si>
    <t>estoque JV</t>
  </si>
  <si>
    <t>entrada JV</t>
  </si>
  <si>
    <t>valor Jv</t>
  </si>
  <si>
    <t>total</t>
  </si>
  <si>
    <t>sex</t>
  </si>
  <si>
    <t>origem</t>
  </si>
  <si>
    <t>bruto</t>
  </si>
  <si>
    <t>liquido</t>
  </si>
  <si>
    <t>taxa</t>
  </si>
  <si>
    <t>vencimento</t>
  </si>
  <si>
    <t>descrição</t>
  </si>
  <si>
    <t>dia da semana</t>
  </si>
  <si>
    <t/>
  </si>
  <si>
    <t>sáb</t>
  </si>
  <si>
    <t>dom</t>
  </si>
  <si>
    <t>categoria</t>
  </si>
  <si>
    <t>situação</t>
  </si>
  <si>
    <t>pessoal</t>
  </si>
  <si>
    <t>trabalho</t>
  </si>
  <si>
    <t>dez</t>
  </si>
  <si>
    <t>vender</t>
  </si>
  <si>
    <t>comprar</t>
  </si>
  <si>
    <t>lucro previsto</t>
  </si>
  <si>
    <t>venda</t>
  </si>
  <si>
    <t>forma</t>
  </si>
  <si>
    <t>valores</t>
  </si>
  <si>
    <t>média lucro</t>
  </si>
  <si>
    <t>mergem</t>
  </si>
  <si>
    <t>valor de venda</t>
  </si>
  <si>
    <t>restante estimado</t>
  </si>
  <si>
    <t>contas do mês</t>
  </si>
  <si>
    <t>status conta</t>
  </si>
  <si>
    <t>meta do mês</t>
  </si>
  <si>
    <t xml:space="preserve">lucro médio </t>
  </si>
  <si>
    <t>modo</t>
  </si>
  <si>
    <t>espécie</t>
  </si>
  <si>
    <t>digital</t>
  </si>
  <si>
    <t>bloqueado</t>
  </si>
  <si>
    <t>operacional</t>
  </si>
  <si>
    <t>fornecedo</t>
  </si>
  <si>
    <t>taxa/tributo</t>
  </si>
  <si>
    <t>giro</t>
  </si>
  <si>
    <t>controle</t>
  </si>
  <si>
    <t>contabil</t>
  </si>
  <si>
    <t>fornecerdo</t>
  </si>
  <si>
    <t>fechamento</t>
  </si>
  <si>
    <t>contas</t>
  </si>
  <si>
    <t>reajuste</t>
  </si>
  <si>
    <t>Salário</t>
  </si>
  <si>
    <t>emprestimo</t>
  </si>
  <si>
    <t>juros</t>
  </si>
  <si>
    <t>valor estoque Ab</t>
  </si>
  <si>
    <t>valor estoque Bb</t>
  </si>
  <si>
    <t>valor estoque Cb</t>
  </si>
  <si>
    <t>valor estoque Eb</t>
  </si>
  <si>
    <t>valor estoque Jb</t>
  </si>
  <si>
    <t>valor estoque Av</t>
  </si>
  <si>
    <t>valor estoque Bv</t>
  </si>
  <si>
    <t>valor estoque Cv</t>
  </si>
  <si>
    <t>valor estoque Ev</t>
  </si>
  <si>
    <t>valor estoque Jv</t>
  </si>
  <si>
    <t>Valor estoque</t>
  </si>
  <si>
    <t>jan</t>
  </si>
  <si>
    <t>Neuda</t>
  </si>
  <si>
    <t>semana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</si>
  <si>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</si>
  <si>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</si>
  <si>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</si>
  <si>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</si>
  <si>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</si>
  <si>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</si>
  <si>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</si>
  <si>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</si>
  <si>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</si>
  <si>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</si>
  <si>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Reajuste</t>
  </si>
  <si>
    <t>média</t>
  </si>
  <si>
    <t>média varejo</t>
  </si>
  <si>
    <t>média atacado</t>
  </si>
  <si>
    <t>proxima remessa caixa</t>
  </si>
  <si>
    <t>repor caixa</t>
  </si>
  <si>
    <t>BB</t>
  </si>
  <si>
    <t>AB</t>
  </si>
  <si>
    <t>EB</t>
  </si>
  <si>
    <t>JB</t>
  </si>
  <si>
    <t>AV</t>
  </si>
  <si>
    <t>BV</t>
  </si>
  <si>
    <t>CV</t>
  </si>
  <si>
    <t>EV</t>
  </si>
  <si>
    <t>JV</t>
  </si>
  <si>
    <t>valor compra</t>
  </si>
  <si>
    <t>valor venda</t>
  </si>
  <si>
    <t>%</t>
  </si>
  <si>
    <t>lucro %</t>
  </si>
  <si>
    <t>venda %</t>
  </si>
  <si>
    <t>varejo %</t>
  </si>
  <si>
    <t>atacado %</t>
  </si>
  <si>
    <t>faturamento</t>
  </si>
  <si>
    <t>venda bruta</t>
  </si>
  <si>
    <t>dia semana</t>
  </si>
  <si>
    <t>faturar</t>
  </si>
  <si>
    <t>lucro minimo</t>
  </si>
  <si>
    <t>valor da caixa bruta</t>
  </si>
  <si>
    <t>valor de saída</t>
  </si>
  <si>
    <t xml:space="preserve">contas </t>
  </si>
  <si>
    <t>data de pagamento</t>
  </si>
  <si>
    <t>dias pra vencer</t>
  </si>
  <si>
    <t>lucro minimo por cartela</t>
  </si>
  <si>
    <t>entrada</t>
  </si>
  <si>
    <t>valor va</t>
  </si>
  <si>
    <t>valor ata</t>
  </si>
  <si>
    <t>lucro va</t>
  </si>
  <si>
    <t>lucro ata</t>
  </si>
  <si>
    <t>dados</t>
  </si>
  <si>
    <t>dias duração</t>
  </si>
  <si>
    <t>lucro estoque</t>
  </si>
  <si>
    <t>balanço</t>
  </si>
  <si>
    <t>N°</t>
  </si>
  <si>
    <t>lucro médio</t>
  </si>
  <si>
    <t>preço de custo</t>
  </si>
  <si>
    <t>preço de venda</t>
  </si>
  <si>
    <t>média de vendas semanal</t>
  </si>
  <si>
    <t>n°</t>
  </si>
  <si>
    <t>feriad</t>
  </si>
  <si>
    <t>bloqu</t>
  </si>
  <si>
    <t>vendas</t>
  </si>
  <si>
    <t>infinitepay</t>
  </si>
  <si>
    <t>lucro min</t>
  </si>
  <si>
    <t>pagameto</t>
  </si>
  <si>
    <t xml:space="preserve">Extrato de venda de 30 dias </t>
  </si>
  <si>
    <t xml:space="preserve">balaço </t>
  </si>
  <si>
    <t>média venda movél</t>
  </si>
  <si>
    <t xml:space="preserve">lucro mediana </t>
  </si>
  <si>
    <t>meta mensal</t>
  </si>
  <si>
    <t>total semanal V</t>
  </si>
  <si>
    <t>Granja 2 irmãos</t>
  </si>
  <si>
    <t>meta 173,33</t>
  </si>
  <si>
    <t>lucro médio por cartela</t>
  </si>
  <si>
    <t>venda necessaria</t>
  </si>
  <si>
    <t>venda meta diaria</t>
  </si>
  <si>
    <t>CB</t>
  </si>
  <si>
    <t>lucro minimo real</t>
  </si>
  <si>
    <t>lucro bruto S</t>
  </si>
  <si>
    <t>venda bruta S</t>
  </si>
  <si>
    <t>lucro semanal</t>
  </si>
  <si>
    <t>venda bruta S cx</t>
  </si>
  <si>
    <t>recursos</t>
  </si>
  <si>
    <t>global</t>
  </si>
  <si>
    <t>30dias movel</t>
  </si>
  <si>
    <t>médias</t>
  </si>
  <si>
    <t>média de venda movel</t>
  </si>
  <si>
    <t>venda minima necessaria</t>
  </si>
  <si>
    <t>variação</t>
  </si>
  <si>
    <t>lucro Operacional</t>
  </si>
  <si>
    <t xml:space="preserve">Lucro do Operador </t>
  </si>
  <si>
    <t>Operador</t>
  </si>
  <si>
    <t>proxima remessa</t>
  </si>
  <si>
    <t>compra necessaria</t>
  </si>
  <si>
    <t>estoque baixo</t>
  </si>
  <si>
    <t>bemol</t>
  </si>
  <si>
    <t>estoque atual</t>
  </si>
  <si>
    <t>atacdo</t>
  </si>
  <si>
    <t>contas operacional</t>
  </si>
  <si>
    <t>contas do operador</t>
  </si>
  <si>
    <t>influe Va</t>
  </si>
  <si>
    <t>Influe Ata</t>
  </si>
  <si>
    <t>lucro M por Um</t>
  </si>
  <si>
    <t>meta</t>
  </si>
  <si>
    <t>situação do estoque</t>
  </si>
  <si>
    <t>lG1</t>
  </si>
  <si>
    <t>lG2</t>
  </si>
  <si>
    <t>qG1</t>
  </si>
  <si>
    <t>Qg2</t>
  </si>
  <si>
    <t>proporção</t>
  </si>
  <si>
    <t>Gr1L</t>
  </si>
  <si>
    <t>Gr2L</t>
  </si>
  <si>
    <t>partilha diaria</t>
  </si>
  <si>
    <t>dsfvcdg</t>
  </si>
  <si>
    <t>OVO BRANCO a</t>
  </si>
  <si>
    <t>contador de moéda</t>
  </si>
  <si>
    <t>duzentos reais</t>
  </si>
  <si>
    <t>cem reais</t>
  </si>
  <si>
    <t>vinte reais</t>
  </si>
  <si>
    <t xml:space="preserve">dez reais </t>
  </si>
  <si>
    <t>cinco reais</t>
  </si>
  <si>
    <t xml:space="preserve">dois reais </t>
  </si>
  <si>
    <t>um real</t>
  </si>
  <si>
    <t>cinquenta centavos</t>
  </si>
  <si>
    <t>vinte e cinco centavos</t>
  </si>
  <si>
    <t>dez entavos</t>
  </si>
  <si>
    <t>cinco centavos</t>
  </si>
  <si>
    <t>Pai do Saulo</t>
  </si>
  <si>
    <t>caixa total</t>
  </si>
  <si>
    <t>Pedencia cliente</t>
  </si>
  <si>
    <t>Emprestimo Receber</t>
  </si>
  <si>
    <t>Valor em Estoque</t>
  </si>
  <si>
    <t>Cara Aeronaltica</t>
  </si>
  <si>
    <t>Emprestimo Pagar</t>
  </si>
  <si>
    <t xml:space="preserve">Meu Valor </t>
  </si>
  <si>
    <t>giro atual</t>
  </si>
  <si>
    <t>cinquenta reais</t>
  </si>
  <si>
    <t>último valor</t>
  </si>
  <si>
    <t>último registro</t>
  </si>
  <si>
    <t>contas pagas</t>
  </si>
  <si>
    <t>HOJE</t>
  </si>
  <si>
    <t>gardado</t>
  </si>
  <si>
    <t xml:space="preserve">saldo do dia </t>
  </si>
  <si>
    <t xml:space="preserve">  </t>
  </si>
  <si>
    <t>Cobertura</t>
  </si>
  <si>
    <t xml:space="preserve"> </t>
  </si>
  <si>
    <t>Bemol Emprestimo</t>
  </si>
  <si>
    <t>ter</t>
  </si>
  <si>
    <t>seg</t>
  </si>
  <si>
    <t>Gema De Ouro</t>
  </si>
  <si>
    <t>Reserva</t>
  </si>
  <si>
    <t>qui</t>
  </si>
  <si>
    <t>avulso</t>
  </si>
  <si>
    <t>limpeza</t>
  </si>
  <si>
    <t>Academia</t>
  </si>
  <si>
    <t>jaciara</t>
  </si>
  <si>
    <t>vizinho</t>
  </si>
  <si>
    <t>luanny</t>
  </si>
  <si>
    <t>Banho</t>
  </si>
  <si>
    <t>comida</t>
  </si>
  <si>
    <t>deposito</t>
  </si>
  <si>
    <t>adonay</t>
  </si>
  <si>
    <t>Desbloqueado</t>
  </si>
  <si>
    <t>Serviço Vo</t>
  </si>
  <si>
    <t>reserva</t>
  </si>
  <si>
    <t>Igor</t>
  </si>
  <si>
    <t>Moedas</t>
  </si>
  <si>
    <t>Prejuiso</t>
  </si>
  <si>
    <t xml:space="preserve">             </t>
  </si>
  <si>
    <t>Office</t>
  </si>
  <si>
    <t>Das Atrasado</t>
  </si>
  <si>
    <t>Das</t>
  </si>
  <si>
    <t>Netflix</t>
  </si>
  <si>
    <t>Caixa</t>
  </si>
  <si>
    <t>Claro</t>
  </si>
  <si>
    <t>Coloboração</t>
  </si>
  <si>
    <t>Envestimento</t>
  </si>
  <si>
    <t>Spotify</t>
  </si>
  <si>
    <t>Senac</t>
  </si>
  <si>
    <t>Andrey</t>
  </si>
  <si>
    <t>Roberlan</t>
  </si>
  <si>
    <t>luchoa</t>
  </si>
  <si>
    <t>andrey</t>
  </si>
  <si>
    <t>Siec</t>
  </si>
  <si>
    <t>forgás</t>
  </si>
  <si>
    <t>Vizinho</t>
  </si>
  <si>
    <t>LuaNy</t>
  </si>
  <si>
    <t>Faculdade</t>
  </si>
  <si>
    <t>Gaby</t>
  </si>
  <si>
    <t>mãe</t>
  </si>
  <si>
    <t>Uber</t>
  </si>
  <si>
    <t>daniel</t>
  </si>
  <si>
    <t>fitilho</t>
  </si>
  <si>
    <t>Bemol</t>
  </si>
  <si>
    <t>bemol Emprestimo</t>
  </si>
  <si>
    <t>FORMA</t>
  </si>
  <si>
    <t>raiza</t>
  </si>
  <si>
    <t>Encanação</t>
  </si>
  <si>
    <t xml:space="preserve">Denison </t>
  </si>
  <si>
    <t>Adaolson</t>
  </si>
  <si>
    <t>ketherim</t>
  </si>
  <si>
    <t>bemol Emprestimo Vó</t>
  </si>
  <si>
    <t>bemol Vó</t>
  </si>
  <si>
    <t>Barbeiro</t>
  </si>
  <si>
    <t>Cola Rato</t>
  </si>
  <si>
    <t>Caneta</t>
  </si>
  <si>
    <t>Arlisson</t>
  </si>
  <si>
    <t>Naldo</t>
  </si>
  <si>
    <t>Carnaval</t>
  </si>
  <si>
    <t>Emprestimo</t>
  </si>
  <si>
    <t>nulo</t>
  </si>
  <si>
    <t>Parafuso</t>
  </si>
  <si>
    <t>uma cartela varejo</t>
  </si>
  <si>
    <t>meia cartela</t>
  </si>
  <si>
    <t xml:space="preserve">um ovo </t>
  </si>
  <si>
    <t>uma cartela atacado</t>
  </si>
  <si>
    <t>meia caixa</t>
  </si>
  <si>
    <t>uma caixa</t>
  </si>
  <si>
    <t>Suporte Monitor</t>
  </si>
  <si>
    <t>suporte notebook</t>
  </si>
  <si>
    <t>Luz</t>
  </si>
  <si>
    <t>cameras</t>
  </si>
  <si>
    <t>Nataly</t>
  </si>
  <si>
    <t>Inicio Mês</t>
  </si>
  <si>
    <t>Fim Mês</t>
  </si>
  <si>
    <t>15%</t>
  </si>
  <si>
    <t>derick</t>
  </si>
  <si>
    <t>transporte</t>
  </si>
  <si>
    <t>Jaqueta</t>
  </si>
  <si>
    <t>Carteirinha</t>
  </si>
  <si>
    <t>infinitepayPix</t>
  </si>
  <si>
    <t>descartaveis</t>
  </si>
  <si>
    <t>torneira</t>
  </si>
  <si>
    <t>vacina</t>
  </si>
  <si>
    <t xml:space="preserve">bemol Emprestimo </t>
  </si>
  <si>
    <t>Emprestimo Vó</t>
  </si>
  <si>
    <t>uber</t>
  </si>
  <si>
    <t xml:space="preserve">Jeane </t>
  </si>
  <si>
    <t>Derick</t>
  </si>
  <si>
    <t>igor</t>
  </si>
  <si>
    <t>neuda</t>
  </si>
  <si>
    <t>naldo</t>
  </si>
  <si>
    <t>barbeiro</t>
  </si>
  <si>
    <t>InfinitepayPix</t>
  </si>
  <si>
    <t xml:space="preserve">Emprestimo Vó </t>
  </si>
  <si>
    <t>luz</t>
  </si>
  <si>
    <t>Daniel</t>
  </si>
  <si>
    <t>gás</t>
  </si>
  <si>
    <t>troca</t>
  </si>
  <si>
    <t>Jaciara</t>
  </si>
  <si>
    <t>Rua Bk</t>
  </si>
  <si>
    <t>JACIARA</t>
  </si>
  <si>
    <t>COMIDA</t>
  </si>
  <si>
    <t>caneta</t>
  </si>
  <si>
    <t>Luanny</t>
  </si>
  <si>
    <t>RECURSOS</t>
  </si>
  <si>
    <t>remédio</t>
  </si>
  <si>
    <t>impressão</t>
  </si>
  <si>
    <t>cartorio</t>
  </si>
  <si>
    <t>faculdade</t>
  </si>
  <si>
    <t xml:space="preserve">nome </t>
  </si>
  <si>
    <t>importancia</t>
  </si>
  <si>
    <t>coloboração</t>
  </si>
  <si>
    <t>alta</t>
  </si>
  <si>
    <t>celular</t>
  </si>
  <si>
    <t>médio</t>
  </si>
  <si>
    <t>terapia</t>
  </si>
  <si>
    <t>academia</t>
  </si>
  <si>
    <t>pago</t>
  </si>
  <si>
    <t>Bemol Microondas</t>
  </si>
  <si>
    <t>carteirinha</t>
  </si>
  <si>
    <t>pincel</t>
  </si>
  <si>
    <t>jaciara Reserva</t>
  </si>
  <si>
    <t>KetherimIpad</t>
  </si>
  <si>
    <t>Jaciara Bemol</t>
  </si>
  <si>
    <t>jaciara Bemol</t>
  </si>
  <si>
    <t>google</t>
  </si>
  <si>
    <t>Conteiner Bee</t>
  </si>
  <si>
    <t>google IA</t>
  </si>
  <si>
    <t>energia</t>
  </si>
  <si>
    <t>ketherimipad</t>
  </si>
  <si>
    <t>compras</t>
  </si>
  <si>
    <t>encanação</t>
  </si>
  <si>
    <t>microondas</t>
  </si>
  <si>
    <t xml:space="preserve"> 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</si>
</sst>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R$&quot;\ * #,##0.00_-;\-&quot;R$&quot;\ * #,##0.00_-;_-&quot;R$&quot;\ * &quot;-&quot;??_-;_-@_-"/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d/m;@"/>
    <numFmt numFmtId="168" formatCode="_-* #,##0_-;\-* #,##0_-;_-* &quot;-&quot;??_-;_-@_-"/>
    <numFmt numFmtId="169" formatCode="[$-416]d\-mmm;@"/>
    <numFmt numFmtId="170" formatCode="0.0"/>
    <numFmt numFmtId="171" formatCode="_-&quot;R$&quot;\ * #,##0_-;\-&quot;R$&quot;\ * #,##0_-;_-&quot;R$&quot;\ * &quot;-&quot;??_-;_-@_-"/>
    <numFmt numFmtId="172" formatCode="d/m/ddd"/>
    <numFmt numFmtId="173" formatCode="d/m\ \ \ ddd"/>
    <numFmt numFmtId="174" formatCode="d\ ddd"/>
    <numFmt numFmtId="175" formatCode="d/m\ ddd"/>
    <numFmt numFmtId="176" formatCode="&quot;R$&quot;\ #,##0.00"/>
    <numFmt numFmtId="177" formatCode="d/m"/>
    <numFmt numFmtId="178" formatCode="d/mmm\ ddd"/>
    <numFmt numFmtId="179" formatCode="_-[$R$-416]\ * #,##0.00_-;\-[$R$-416]\ * #,##0.00_-;_-[$R$-416]\ * &quot;-&quot;??_-;_-@_-"/>
  </numFmts>
  <fonts count="29" x14ac:knownFonts="1">
    <font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6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9"/>
      <color theme="1"/>
      <name val="Tw Cen MT"/>
      <family val="2"/>
      <scheme val="minor"/>
    </font>
    <font>
      <sz val="8"/>
      <color theme="1"/>
      <name val="Tw Cen MT"/>
      <family val="2"/>
      <scheme val="minor"/>
    </font>
    <font>
      <b/>
      <i/>
      <sz val="11"/>
      <name val="Tw Cen MT"/>
      <family val="2"/>
      <scheme val="minor"/>
    </font>
    <font>
      <b/>
      <sz val="20"/>
      <color theme="1"/>
      <name val="Tw Cen MT"/>
      <family val="2"/>
      <scheme val="minor"/>
    </font>
    <font>
      <sz val="5"/>
      <color theme="1"/>
      <name val="Tw Cen MT"/>
      <family val="2"/>
      <scheme val="minor"/>
    </font>
    <font>
      <b/>
      <i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0"/>
      <color rgb="FFFF0000"/>
      <name val="Tw Cen MT"/>
      <family val="2"/>
      <scheme val="minor"/>
    </font>
    <font>
      <b/>
      <sz val="6"/>
      <color rgb="FFFF0000"/>
      <name val="Tw Cen MT"/>
      <family val="2"/>
      <scheme val="minor"/>
    </font>
    <font>
      <b/>
      <sz val="15"/>
      <color theme="1"/>
      <name val="Tw Cen MT"/>
      <family val="2"/>
      <scheme val="minor"/>
    </font>
    <font>
      <sz val="15"/>
      <color theme="1"/>
      <name val="Tw Cen MT"/>
      <family val="2"/>
      <scheme val="minor"/>
    </font>
    <font>
      <b/>
      <sz val="15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b/>
      <u val="singleAccounting"/>
      <sz val="11"/>
      <color theme="1"/>
      <name val="Tw Cen MT"/>
      <family val="2"/>
      <scheme val="minor"/>
    </font>
    <font>
      <b/>
      <u/>
      <sz val="11"/>
      <color theme="1"/>
      <name val="Tw Cen MT"/>
      <family val="2"/>
      <scheme val="minor"/>
    </font>
    <font>
      <u/>
      <sz val="11"/>
      <color theme="1"/>
      <name val="Tw Cen MT"/>
      <family val="2"/>
      <scheme val="minor"/>
    </font>
    <font>
      <sz val="11"/>
      <color rgb="FF000000"/>
      <name val="Tw Cen MT"/>
      <family val="2"/>
    </font>
    <font>
      <u val="singleAccounting"/>
      <sz val="11"/>
      <color theme="1"/>
      <name val="Tw Cen MT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AB4C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DC393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indexed="64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Alignment="1">
      <alignment vertical="center"/>
    </xf>
    <xf numFmtId="165" fontId="6" fillId="0" borderId="0" xfId="1" applyFont="1" applyAlignment="1">
      <alignment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5" fontId="0" fillId="0" borderId="0" xfId="1" applyFont="1"/>
    <xf numFmtId="165" fontId="0" fillId="0" borderId="0" xfId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165" fontId="0" fillId="0" borderId="0" xfId="0" applyNumberFormat="1"/>
    <xf numFmtId="9" fontId="6" fillId="0" borderId="0" xfId="2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2" fontId="7" fillId="0" borderId="2" xfId="0" applyNumberFormat="1" applyFont="1" applyBorder="1" applyAlignment="1">
      <alignment horizontal="center" vertical="center" wrapText="1"/>
    </xf>
    <xf numFmtId="14" fontId="7" fillId="0" borderId="0" xfId="1" applyNumberFormat="1" applyFont="1" applyAlignment="1">
      <alignment horizontal="center" vertical="center"/>
    </xf>
    <xf numFmtId="165" fontId="7" fillId="2" borderId="0" xfId="1" applyFont="1" applyFill="1"/>
    <xf numFmtId="165" fontId="7" fillId="0" borderId="0" xfId="1" applyFont="1"/>
    <xf numFmtId="0" fontId="7" fillId="0" borderId="2" xfId="0" applyFont="1" applyBorder="1" applyAlignment="1">
      <alignment horizontal="center" vertical="center" wrapText="1"/>
    </xf>
    <xf numFmtId="168" fontId="7" fillId="0" borderId="0" xfId="3" applyNumberFormat="1" applyFont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7" fillId="0" borderId="13" xfId="0" applyFont="1" applyBorder="1"/>
    <xf numFmtId="0" fontId="5" fillId="0" borderId="0" xfId="0" applyFont="1" applyAlignment="1">
      <alignment vertical="center"/>
    </xf>
    <xf numFmtId="9" fontId="0" fillId="0" borderId="0" xfId="2" applyFont="1"/>
    <xf numFmtId="167" fontId="0" fillId="0" borderId="0" xfId="0" applyNumberFormat="1" applyAlignment="1">
      <alignment horizontal="center" vertical="center"/>
    </xf>
    <xf numFmtId="167" fontId="0" fillId="0" borderId="0" xfId="0" applyNumberFormat="1"/>
    <xf numFmtId="166" fontId="0" fillId="0" borderId="0" xfId="3" applyFont="1"/>
    <xf numFmtId="0" fontId="9" fillId="3" borderId="15" xfId="0" applyFont="1" applyFill="1" applyBorder="1"/>
    <xf numFmtId="0" fontId="7" fillId="0" borderId="16" xfId="0" applyFont="1" applyBorder="1"/>
    <xf numFmtId="165" fontId="7" fillId="0" borderId="17" xfId="1" applyFont="1" applyFill="1" applyBorder="1"/>
    <xf numFmtId="165" fontId="7" fillId="0" borderId="18" xfId="1" applyFont="1" applyFill="1" applyBorder="1"/>
    <xf numFmtId="14" fontId="0" fillId="0" borderId="0" xfId="1" applyNumberFormat="1" applyFont="1"/>
    <xf numFmtId="0" fontId="0" fillId="0" borderId="0" xfId="0" applyAlignment="1">
      <alignment horizontal="center" vertical="center" wrapText="1"/>
    </xf>
    <xf numFmtId="168" fontId="0" fillId="0" borderId="0" xfId="3" applyNumberFormat="1" applyFont="1"/>
    <xf numFmtId="167" fontId="7" fillId="0" borderId="0" xfId="1" applyNumberFormat="1" applyFont="1" applyAlignment="1">
      <alignment horizontal="center" vertical="center"/>
    </xf>
    <xf numFmtId="0" fontId="7" fillId="6" borderId="12" xfId="0" applyFont="1" applyFill="1" applyBorder="1"/>
    <xf numFmtId="0" fontId="7" fillId="6" borderId="10" xfId="0" applyFont="1" applyFill="1" applyBorder="1"/>
    <xf numFmtId="0" fontId="7" fillId="6" borderId="13" xfId="0" applyFont="1" applyFill="1" applyBorder="1"/>
    <xf numFmtId="0" fontId="7" fillId="6" borderId="0" xfId="0" applyFont="1" applyFill="1"/>
    <xf numFmtId="0" fontId="5" fillId="0" borderId="21" xfId="0" applyFont="1" applyBorder="1"/>
    <xf numFmtId="0" fontId="5" fillId="0" borderId="22" xfId="0" applyFont="1" applyBorder="1"/>
    <xf numFmtId="0" fontId="5" fillId="0" borderId="23" xfId="0" applyFont="1" applyBorder="1"/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7" fillId="0" borderId="21" xfId="1" applyFont="1" applyBorder="1" applyAlignment="1">
      <alignment horizontal="center" vertical="center"/>
    </xf>
    <xf numFmtId="9" fontId="7" fillId="0" borderId="21" xfId="2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165" fontId="7" fillId="0" borderId="22" xfId="1" applyFont="1" applyBorder="1" applyAlignment="1">
      <alignment horizontal="center" vertical="center"/>
    </xf>
    <xf numFmtId="9" fontId="7" fillId="0" borderId="22" xfId="2" applyFont="1" applyBorder="1" applyAlignment="1">
      <alignment horizontal="center" vertical="center"/>
    </xf>
    <xf numFmtId="165" fontId="7" fillId="0" borderId="23" xfId="1" applyFont="1" applyBorder="1" applyAlignment="1">
      <alignment horizontal="center" vertical="center"/>
    </xf>
    <xf numFmtId="165" fontId="7" fillId="5" borderId="0" xfId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6" fillId="0" borderId="0" xfId="1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165" fontId="7" fillId="7" borderId="0" xfId="1" applyFont="1" applyFill="1" applyAlignment="1">
      <alignment horizontal="center" vertical="center"/>
    </xf>
    <xf numFmtId="167" fontId="7" fillId="7" borderId="0" xfId="0" applyNumberFormat="1" applyFont="1" applyFill="1" applyAlignment="1">
      <alignment horizontal="center" vertical="center"/>
    </xf>
    <xf numFmtId="1" fontId="7" fillId="7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9" fillId="3" borderId="0" xfId="0" applyFont="1" applyFill="1"/>
    <xf numFmtId="0" fontId="7" fillId="8" borderId="0" xfId="0" applyFont="1" applyFill="1" applyAlignment="1">
      <alignment horizontal="center" vertical="center"/>
    </xf>
    <xf numFmtId="165" fontId="7" fillId="5" borderId="0" xfId="1" applyFont="1" applyFill="1" applyBorder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1" fontId="7" fillId="5" borderId="20" xfId="3" applyNumberFormat="1" applyFont="1" applyFill="1" applyBorder="1" applyAlignment="1">
      <alignment horizontal="center" vertical="center"/>
    </xf>
    <xf numFmtId="1" fontId="7" fillId="5" borderId="19" xfId="3" applyNumberFormat="1" applyFont="1" applyFill="1" applyBorder="1" applyAlignment="1">
      <alignment horizontal="center" vertical="center"/>
    </xf>
    <xf numFmtId="1" fontId="7" fillId="5" borderId="21" xfId="0" applyNumberFormat="1" applyFont="1" applyFill="1" applyBorder="1" applyAlignment="1">
      <alignment horizontal="center" vertical="center"/>
    </xf>
    <xf numFmtId="1" fontId="7" fillId="5" borderId="22" xfId="0" applyNumberFormat="1" applyFont="1" applyFill="1" applyBorder="1" applyAlignment="1">
      <alignment horizontal="center" vertical="center"/>
    </xf>
    <xf numFmtId="1" fontId="7" fillId="5" borderId="23" xfId="0" applyNumberFormat="1" applyFont="1" applyFill="1" applyBorder="1" applyAlignment="1">
      <alignment horizontal="center" vertical="center"/>
    </xf>
    <xf numFmtId="1" fontId="7" fillId="5" borderId="24" xfId="3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3" borderId="2" xfId="0" applyFont="1" applyFill="1" applyBorder="1"/>
    <xf numFmtId="9" fontId="0" fillId="0" borderId="18" xfId="2" applyFont="1" applyBorder="1" applyAlignment="1">
      <alignment horizontal="center" vertical="center"/>
    </xf>
    <xf numFmtId="165" fontId="10" fillId="0" borderId="0" xfId="1" applyFont="1" applyAlignment="1">
      <alignment horizontal="center" vertical="center"/>
    </xf>
    <xf numFmtId="166" fontId="0" fillId="0" borderId="0" xfId="3" applyFont="1" applyAlignment="1">
      <alignment horizontal="center" vertical="center" wrapText="1"/>
    </xf>
    <xf numFmtId="2" fontId="0" fillId="0" borderId="0" xfId="1" applyNumberFormat="1" applyFont="1" applyAlignment="1">
      <alignment horizontal="center" vertical="center"/>
    </xf>
    <xf numFmtId="1" fontId="0" fillId="0" borderId="0" xfId="3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65" fontId="7" fillId="0" borderId="0" xfId="1" applyFont="1" applyAlignment="1">
      <alignment horizontal="center" vertical="center"/>
    </xf>
    <xf numFmtId="9" fontId="7" fillId="0" borderId="0" xfId="2" applyFont="1" applyAlignment="1">
      <alignment horizontal="center" vertical="center"/>
    </xf>
    <xf numFmtId="165" fontId="7" fillId="0" borderId="0" xfId="2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7" fontId="0" fillId="9" borderId="19" xfId="0" applyNumberFormat="1" applyFill="1" applyBorder="1"/>
    <xf numFmtId="167" fontId="0" fillId="0" borderId="19" xfId="0" applyNumberFormat="1" applyBorder="1"/>
    <xf numFmtId="1" fontId="0" fillId="9" borderId="19" xfId="0" applyNumberFormat="1" applyFill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9" borderId="20" xfId="0" applyNumberFormat="1" applyFill="1" applyBorder="1" applyAlignment="1">
      <alignment horizontal="center" vertical="center"/>
    </xf>
    <xf numFmtId="0" fontId="9" fillId="3" borderId="5" xfId="0" applyFont="1" applyFill="1" applyBorder="1" applyAlignment="1">
      <alignment vertical="center" wrapText="1"/>
    </xf>
    <xf numFmtId="1" fontId="0" fillId="0" borderId="0" xfId="3" applyNumberFormat="1" applyFont="1"/>
    <xf numFmtId="1" fontId="0" fillId="0" borderId="0" xfId="0" applyNumberFormat="1"/>
    <xf numFmtId="1" fontId="7" fillId="0" borderId="0" xfId="1" applyNumberFormat="1" applyFont="1" applyAlignment="1">
      <alignment horizontal="center" vertical="center"/>
    </xf>
    <xf numFmtId="16" fontId="0" fillId="0" borderId="0" xfId="0" applyNumberFormat="1"/>
    <xf numFmtId="1" fontId="0" fillId="0" borderId="0" xfId="0" applyNumberFormat="1" applyAlignment="1">
      <alignment horizontal="center" vertical="center" wrapText="1"/>
    </xf>
    <xf numFmtId="0" fontId="12" fillId="10" borderId="25" xfId="0" applyFont="1" applyFill="1" applyBorder="1"/>
    <xf numFmtId="0" fontId="12" fillId="10" borderId="26" xfId="0" applyFont="1" applyFill="1" applyBorder="1"/>
    <xf numFmtId="0" fontId="12" fillId="10" borderId="27" xfId="0" applyFont="1" applyFill="1" applyBorder="1"/>
    <xf numFmtId="0" fontId="0" fillId="0" borderId="4" xfId="0" applyBorder="1" applyAlignment="1">
      <alignment horizontal="center" vertical="center" wrapText="1"/>
    </xf>
    <xf numFmtId="0" fontId="9" fillId="3" borderId="20" xfId="0" applyFont="1" applyFill="1" applyBorder="1" applyAlignment="1">
      <alignment horizontal="center" vertical="center" wrapText="1"/>
    </xf>
    <xf numFmtId="2" fontId="9" fillId="3" borderId="20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7" fillId="0" borderId="29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3" applyNumberFormat="1" applyFont="1" applyAlignment="1">
      <alignment horizontal="center" vertical="center"/>
    </xf>
    <xf numFmtId="49" fontId="0" fillId="0" borderId="0" xfId="0" applyNumberFormat="1" applyAlignment="1">
      <alignment wrapText="1"/>
    </xf>
    <xf numFmtId="1" fontId="7" fillId="5" borderId="0" xfId="0" applyNumberFormat="1" applyFont="1" applyFill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7" fillId="0" borderId="13" xfId="0" applyNumberFormat="1" applyFont="1" applyBorder="1" applyAlignment="1">
      <alignment horizontal="center" vertical="center"/>
    </xf>
    <xf numFmtId="173" fontId="7" fillId="0" borderId="28" xfId="0" applyNumberFormat="1" applyFont="1" applyBorder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4" fontId="7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7" fillId="5" borderId="20" xfId="3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73" fontId="7" fillId="11" borderId="13" xfId="0" applyNumberFormat="1" applyFont="1" applyFill="1" applyBorder="1" applyAlignment="1">
      <alignment horizontal="center" vertical="center"/>
    </xf>
    <xf numFmtId="0" fontId="15" fillId="12" borderId="0" xfId="1" applyNumberFormat="1" applyFont="1" applyFill="1" applyAlignment="1">
      <alignment horizontal="center" vertical="center"/>
    </xf>
    <xf numFmtId="175" fontId="15" fillId="12" borderId="0" xfId="1" applyNumberFormat="1" applyFont="1" applyFill="1" applyAlignment="1">
      <alignment horizontal="center" vertical="center"/>
    </xf>
    <xf numFmtId="175" fontId="15" fillId="12" borderId="0" xfId="0" applyNumberFormat="1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175" fontId="15" fillId="12" borderId="0" xfId="3" applyNumberFormat="1" applyFont="1" applyFill="1" applyAlignment="1">
      <alignment horizontal="center" vertical="center"/>
    </xf>
    <xf numFmtId="0" fontId="15" fillId="12" borderId="0" xfId="0" applyFont="1" applyFill="1"/>
    <xf numFmtId="165" fontId="0" fillId="0" borderId="0" xfId="2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170" fontId="0" fillId="0" borderId="0" xfId="1" applyNumberFormat="1" applyFont="1" applyAlignment="1">
      <alignment horizontal="center" vertical="center"/>
    </xf>
    <xf numFmtId="175" fontId="0" fillId="0" borderId="0" xfId="0" applyNumberFormat="1"/>
    <xf numFmtId="171" fontId="7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" fontId="6" fillId="9" borderId="0" xfId="0" applyNumberFormat="1" applyFont="1" applyFill="1" applyAlignment="1">
      <alignment horizontal="center" vertical="center"/>
    </xf>
    <xf numFmtId="165" fontId="6" fillId="9" borderId="0" xfId="1" applyFont="1" applyFill="1" applyBorder="1" applyAlignment="1">
      <alignment horizontal="center" vertical="center"/>
    </xf>
    <xf numFmtId="165" fontId="6" fillId="0" borderId="0" xfId="1" applyFont="1" applyBorder="1" applyAlignment="1">
      <alignment horizontal="center" vertical="center"/>
    </xf>
    <xf numFmtId="167" fontId="6" fillId="9" borderId="0" xfId="0" applyNumberFormat="1" applyFont="1" applyFill="1" applyAlignment="1">
      <alignment horizontal="center" vertical="center"/>
    </xf>
    <xf numFmtId="165" fontId="6" fillId="9" borderId="0" xfId="1" applyFont="1" applyFill="1" applyBorder="1" applyAlignment="1">
      <alignment vertical="center"/>
    </xf>
    <xf numFmtId="165" fontId="6" fillId="0" borderId="0" xfId="1" applyFont="1" applyBorder="1" applyAlignment="1">
      <alignment vertical="center"/>
    </xf>
    <xf numFmtId="9" fontId="6" fillId="9" borderId="0" xfId="2" applyFont="1" applyFill="1" applyBorder="1" applyAlignment="1">
      <alignment vertical="center"/>
    </xf>
    <xf numFmtId="9" fontId="6" fillId="0" borderId="0" xfId="2" applyFont="1" applyBorder="1" applyAlignment="1">
      <alignment vertical="center"/>
    </xf>
    <xf numFmtId="0" fontId="7" fillId="13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wrapText="1"/>
    </xf>
    <xf numFmtId="165" fontId="7" fillId="8" borderId="0" xfId="1" applyFont="1" applyFill="1" applyAlignment="1">
      <alignment horizontal="center" vertical="center"/>
    </xf>
    <xf numFmtId="178" fontId="7" fillId="6" borderId="8" xfId="0" applyNumberFormat="1" applyFont="1" applyFill="1" applyBorder="1" applyAlignment="1">
      <alignment horizontal="center" vertical="center"/>
    </xf>
    <xf numFmtId="1" fontId="17" fillId="0" borderId="0" xfId="1" applyNumberFormat="1" applyFont="1" applyAlignment="1">
      <alignment horizontal="center" vertical="center"/>
    </xf>
    <xf numFmtId="176" fontId="6" fillId="0" borderId="0" xfId="1" applyNumberFormat="1" applyFont="1" applyAlignment="1">
      <alignment horizontal="center" vertical="center"/>
    </xf>
    <xf numFmtId="179" fontId="0" fillId="0" borderId="0" xfId="1" applyNumberFormat="1" applyFont="1"/>
    <xf numFmtId="179" fontId="7" fillId="0" borderId="0" xfId="1" applyNumberFormat="1" applyFont="1" applyAlignment="1">
      <alignment horizontal="center" vertical="center"/>
    </xf>
    <xf numFmtId="165" fontId="0" fillId="0" borderId="0" xfId="1" applyFont="1" applyFill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74" fontId="7" fillId="0" borderId="0" xfId="3" applyNumberFormat="1" applyFont="1" applyAlignment="1">
      <alignment horizontal="center" vertical="center"/>
    </xf>
    <xf numFmtId="175" fontId="0" fillId="0" borderId="0" xfId="1" applyNumberFormat="1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64" fontId="0" fillId="0" borderId="0" xfId="0" applyNumberFormat="1"/>
    <xf numFmtId="0" fontId="0" fillId="14" borderId="0" xfId="0" applyFill="1"/>
    <xf numFmtId="174" fontId="0" fillId="14" borderId="0" xfId="0" applyNumberFormat="1" applyFill="1" applyAlignment="1">
      <alignment horizontal="center" vertical="center"/>
    </xf>
    <xf numFmtId="44" fontId="0" fillId="0" borderId="0" xfId="1" applyNumberFormat="1" applyFont="1"/>
    <xf numFmtId="44" fontId="0" fillId="0" borderId="0" xfId="0" applyNumberFormat="1"/>
    <xf numFmtId="44" fontId="7" fillId="6" borderId="17" xfId="1" applyNumberFormat="1" applyFont="1" applyFill="1" applyBorder="1"/>
    <xf numFmtId="44" fontId="7" fillId="6" borderId="10" xfId="1" applyNumberFormat="1" applyFont="1" applyFill="1" applyBorder="1"/>
    <xf numFmtId="44" fontId="7" fillId="6" borderId="0" xfId="1" applyNumberFormat="1" applyFont="1" applyFill="1" applyBorder="1"/>
    <xf numFmtId="179" fontId="0" fillId="0" borderId="0" xfId="1" applyNumberFormat="1" applyFont="1" applyAlignment="1">
      <alignment horizontal="center" vertical="center"/>
    </xf>
    <xf numFmtId="44" fontId="0" fillId="14" borderId="0" xfId="1" applyNumberFormat="1" applyFont="1" applyFill="1"/>
    <xf numFmtId="44" fontId="0" fillId="0" borderId="0" xfId="0" quotePrefix="1" applyNumberFormat="1"/>
    <xf numFmtId="44" fontId="0" fillId="0" borderId="0" xfId="1" applyNumberFormat="1" applyFont="1" applyAlignment="1">
      <alignment horizontal="center" vertical="center"/>
    </xf>
    <xf numFmtId="44" fontId="7" fillId="6" borderId="16" xfId="1" applyNumberFormat="1" applyFont="1" applyFill="1" applyBorder="1" applyAlignment="1">
      <alignment horizontal="center" vertical="center"/>
    </xf>
    <xf numFmtId="44" fontId="7" fillId="6" borderId="17" xfId="1" applyNumberFormat="1" applyFont="1" applyFill="1" applyBorder="1" applyAlignment="1">
      <alignment horizontal="center" vertical="center"/>
    </xf>
    <xf numFmtId="44" fontId="7" fillId="10" borderId="0" xfId="1" applyNumberFormat="1" applyFont="1" applyFill="1" applyAlignment="1">
      <alignment horizontal="center" vertical="center"/>
    </xf>
    <xf numFmtId="44" fontId="7" fillId="10" borderId="0" xfId="1" applyNumberFormat="1" applyFont="1" applyFill="1"/>
    <xf numFmtId="179" fontId="0" fillId="0" borderId="0" xfId="0" applyNumberFormat="1"/>
    <xf numFmtId="44" fontId="7" fillId="7" borderId="0" xfId="1" applyNumberFormat="1" applyFont="1" applyFill="1" applyAlignment="1">
      <alignment horizontal="center" vertical="center"/>
    </xf>
    <xf numFmtId="44" fontId="7" fillId="8" borderId="0" xfId="1" applyNumberFormat="1" applyFont="1" applyFill="1" applyAlignment="1">
      <alignment horizontal="center" vertical="center"/>
    </xf>
    <xf numFmtId="44" fontId="0" fillId="0" borderId="0" xfId="0" applyNumberFormat="1" applyAlignment="1">
      <alignment wrapText="1"/>
    </xf>
    <xf numFmtId="179" fontId="7" fillId="7" borderId="0" xfId="1" applyNumberFormat="1" applyFont="1" applyFill="1" applyAlignment="1">
      <alignment horizontal="center" vertical="center"/>
    </xf>
    <xf numFmtId="44" fontId="7" fillId="6" borderId="16" xfId="1" applyNumberFormat="1" applyFont="1" applyFill="1" applyBorder="1"/>
    <xf numFmtId="44" fontId="7" fillId="6" borderId="18" xfId="1" applyNumberFormat="1" applyFont="1" applyFill="1" applyBorder="1"/>
    <xf numFmtId="166" fontId="7" fillId="6" borderId="17" xfId="3" applyFont="1" applyFill="1" applyBorder="1" applyAlignment="1">
      <alignment horizontal="center" vertical="center"/>
    </xf>
    <xf numFmtId="44" fontId="7" fillId="0" borderId="0" xfId="1" applyNumberFormat="1" applyFont="1" applyFill="1" applyAlignment="1">
      <alignment horizontal="center" vertical="center"/>
    </xf>
    <xf numFmtId="179" fontId="7" fillId="0" borderId="0" xfId="1" applyNumberFormat="1" applyFont="1" applyFill="1" applyBorder="1" applyAlignment="1">
      <alignment horizontal="center" vertical="center"/>
    </xf>
    <xf numFmtId="179" fontId="7" fillId="0" borderId="0" xfId="1" applyNumberFormat="1" applyFont="1" applyBorder="1" applyAlignment="1">
      <alignment horizontal="center" vertical="center"/>
    </xf>
    <xf numFmtId="179" fontId="7" fillId="0" borderId="8" xfId="1" applyNumberFormat="1" applyFont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9" fontId="7" fillId="0" borderId="29" xfId="1" applyNumberFormat="1" applyFont="1" applyBorder="1" applyAlignment="1">
      <alignment horizontal="center" vertical="center"/>
    </xf>
    <xf numFmtId="179" fontId="7" fillId="0" borderId="29" xfId="0" applyNumberFormat="1" applyFont="1" applyBorder="1" applyAlignment="1">
      <alignment horizontal="center" vertical="center"/>
    </xf>
    <xf numFmtId="179" fontId="7" fillId="0" borderId="30" xfId="1" applyNumberFormat="1" applyFont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44" fontId="11" fillId="0" borderId="0" xfId="1" applyNumberFormat="1" applyFont="1"/>
    <xf numFmtId="44" fontId="15" fillId="12" borderId="0" xfId="1" applyNumberFormat="1" applyFont="1" applyFill="1" applyAlignment="1">
      <alignment horizontal="center" vertical="center"/>
    </xf>
    <xf numFmtId="44" fontId="15" fillId="12" borderId="0" xfId="0" applyNumberFormat="1" applyFont="1" applyFill="1"/>
    <xf numFmtId="176" fontId="0" fillId="0" borderId="0" xfId="1" applyNumberFormat="1" applyFont="1"/>
    <xf numFmtId="14" fontId="7" fillId="6" borderId="17" xfId="1" applyNumberFormat="1" applyFont="1" applyFill="1" applyBorder="1" applyAlignment="1">
      <alignment horizontal="center" vertical="center"/>
    </xf>
    <xf numFmtId="14" fontId="7" fillId="10" borderId="0" xfId="1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65" fontId="18" fillId="0" borderId="0" xfId="1" applyFont="1" applyFill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6" fontId="18" fillId="0" borderId="0" xfId="1" applyNumberFormat="1" applyFont="1" applyAlignment="1">
      <alignment horizontal="center" vertical="center"/>
    </xf>
    <xf numFmtId="9" fontId="18" fillId="0" borderId="0" xfId="2" applyFont="1" applyAlignment="1">
      <alignment vertical="center"/>
    </xf>
    <xf numFmtId="174" fontId="7" fillId="10" borderId="0" xfId="0" applyNumberFormat="1" applyFont="1" applyFill="1" applyAlignment="1">
      <alignment horizontal="center" vertical="center"/>
    </xf>
    <xf numFmtId="167" fontId="20" fillId="4" borderId="4" xfId="0" applyNumberFormat="1" applyFont="1" applyFill="1" applyBorder="1" applyAlignment="1">
      <alignment horizontal="center" vertical="center"/>
    </xf>
    <xf numFmtId="167" fontId="20" fillId="5" borderId="12" xfId="0" applyNumberFormat="1" applyFont="1" applyFill="1" applyBorder="1" applyAlignment="1">
      <alignment horizontal="center" vertical="center"/>
    </xf>
    <xf numFmtId="167" fontId="20" fillId="5" borderId="13" xfId="0" applyNumberFormat="1" applyFont="1" applyFill="1" applyBorder="1" applyAlignment="1">
      <alignment horizontal="center" vertical="center"/>
    </xf>
    <xf numFmtId="167" fontId="20" fillId="5" borderId="14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165" fontId="20" fillId="4" borderId="4" xfId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165" fontId="20" fillId="5" borderId="10" xfId="1" applyFont="1" applyFill="1" applyBorder="1" applyAlignment="1">
      <alignment horizontal="center" vertical="center"/>
    </xf>
    <xf numFmtId="165" fontId="20" fillId="5" borderId="9" xfId="1" applyFont="1" applyFill="1" applyBorder="1" applyAlignment="1">
      <alignment horizontal="center" vertical="center"/>
    </xf>
    <xf numFmtId="10" fontId="20" fillId="5" borderId="0" xfId="2" applyNumberFormat="1" applyFont="1" applyFill="1" applyBorder="1" applyAlignment="1">
      <alignment horizontal="center" vertical="center"/>
    </xf>
    <xf numFmtId="165" fontId="20" fillId="5" borderId="8" xfId="1" applyFont="1" applyFill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0" fontId="20" fillId="5" borderId="7" xfId="2" applyNumberFormat="1" applyFont="1" applyFill="1" applyBorder="1" applyAlignment="1">
      <alignment horizontal="center" vertical="center"/>
    </xf>
    <xf numFmtId="165" fontId="20" fillId="5" borderId="11" xfId="0" applyNumberFormat="1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165" fontId="22" fillId="3" borderId="6" xfId="0" applyNumberFormat="1" applyFont="1" applyFill="1" applyBorder="1" applyAlignment="1">
      <alignment horizontal="center" vertical="center"/>
    </xf>
    <xf numFmtId="165" fontId="23" fillId="0" borderId="0" xfId="1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5" fontId="7" fillId="0" borderId="0" xfId="0" applyNumberFormat="1" applyFont="1"/>
    <xf numFmtId="1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 wrapText="1"/>
    </xf>
    <xf numFmtId="165" fontId="24" fillId="0" borderId="22" xfId="1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10" borderId="0" xfId="0" applyFill="1"/>
    <xf numFmtId="165" fontId="0" fillId="10" borderId="0" xfId="1" applyFont="1" applyFill="1"/>
    <xf numFmtId="174" fontId="0" fillId="10" borderId="0" xfId="0" applyNumberFormat="1" applyFill="1" applyAlignment="1">
      <alignment horizontal="center" vertical="center"/>
    </xf>
    <xf numFmtId="1" fontId="25" fillId="5" borderId="22" xfId="0" applyNumberFormat="1" applyFont="1" applyFill="1" applyBorder="1" applyAlignment="1">
      <alignment horizontal="center" vertical="center"/>
    </xf>
    <xf numFmtId="0" fontId="26" fillId="0" borderId="0" xfId="0" applyFont="1"/>
    <xf numFmtId="179" fontId="0" fillId="10" borderId="0" xfId="1" applyNumberFormat="1" applyFont="1" applyFill="1"/>
    <xf numFmtId="176" fontId="6" fillId="9" borderId="19" xfId="1" applyNumberFormat="1" applyFont="1" applyFill="1" applyBorder="1" applyAlignment="1">
      <alignment horizontal="center" vertical="center"/>
    </xf>
    <xf numFmtId="9" fontId="6" fillId="9" borderId="31" xfId="2" applyFont="1" applyFill="1" applyBorder="1" applyAlignment="1">
      <alignment vertical="center"/>
    </xf>
    <xf numFmtId="176" fontId="6" fillId="0" borderId="19" xfId="1" applyNumberFormat="1" applyFont="1" applyBorder="1" applyAlignment="1">
      <alignment horizontal="center" vertical="center"/>
    </xf>
    <xf numFmtId="9" fontId="6" fillId="0" borderId="31" xfId="2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/>
    </xf>
    <xf numFmtId="165" fontId="6" fillId="0" borderId="19" xfId="1" applyFont="1" applyFill="1" applyBorder="1" applyAlignment="1">
      <alignment horizontal="center" vertical="center"/>
    </xf>
    <xf numFmtId="177" fontId="6" fillId="9" borderId="0" xfId="0" applyNumberFormat="1" applyFont="1" applyFill="1" applyAlignment="1">
      <alignment horizontal="center" vertical="center"/>
    </xf>
    <xf numFmtId="177" fontId="6" fillId="0" borderId="19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4" fontId="28" fillId="0" borderId="0" xfId="1" applyNumberFormat="1" applyFont="1"/>
    <xf numFmtId="165" fontId="24" fillId="0" borderId="0" xfId="1" applyFont="1"/>
    <xf numFmtId="0" fontId="13" fillId="10" borderId="12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9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1822">
    <dxf>
      <numFmt numFmtId="174" formatCode="d\ ddd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7" formatCode="d/m;@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21" formatCode="dd/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174" formatCode="d\ ddd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7" formatCode="d/m;@"/>
    </dxf>
    <dxf>
      <numFmt numFmtId="167" formatCode="d/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</font>
    </dxf>
    <dxf>
      <font>
        <b/>
        <strike val="0"/>
        <outline val="0"/>
        <shadow val="0"/>
        <u val="none"/>
        <vertAlign val="baseline"/>
        <sz val="14"/>
        <color theme="1"/>
        <name val="Tw Cen MT"/>
        <family val="2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5" formatCode="d/m\ ddd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3" formatCode="0%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75" formatCode="d/m\ ddd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1" formatCode="_-&quot;R$&quot;\ * #,##0_-;\-&quot;R$&quot;\ * #,##0_-;_-&quot;R$&quot;\ * &quot;-&quot;??_-;_-@_-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13" formatCode="0%"/>
      <alignment horizontal="center" vertical="center" textRotation="0" wrapText="0" indent="0" justifyLastLine="0" shrinkToFit="0" readingOrder="0"/>
      <border outline="0">
        <left style="thick">
          <color auto="1"/>
        </left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outline="0">
        <left style="thick">
          <color auto="1"/>
        </left>
      </border>
    </dxf>
    <dxf>
      <font>
        <b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  <border outline="0">
        <right style="thick">
          <color auto="1"/>
        </right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</font>
      <numFmt numFmtId="1" formatCode="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outline="0">
        <right style="thick">
          <color auto="1"/>
        </right>
      </border>
    </dxf>
    <dxf>
      <font>
        <b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3" formatCode="0%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76" formatCode="&quot;R$&quot;\ #,##0.0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77" formatCode="d/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7" formatCode="d/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6"/>
        <color theme="1"/>
        <name val="Tw Cen MT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5" formatCode="_(&quot;R$&quot;* #,##0.00_);_(&quot;R$&quot;* \(#,##0.00\);_(&quot;R$&quot;* &quot;-&quot;??_);_(@_)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0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167" formatCode="d/m;@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7" formatCode="d/m;@"/>
    </dxf>
    <dxf>
      <numFmt numFmtId="165" formatCode="_(&quot;R$&quot;* #,##0.00_);_(&quot;R$&quot;* \(#,##0.00\);_(&quot;R$&quot;* &quot;-&quot;??_);_(@_)"/>
    </dxf>
    <dxf>
      <alignment horizontal="center" vertical="center" textRotation="0" wrapText="0" indent="0" justifyLastLine="0" shrinkToFit="0" readingOrder="0"/>
      <border diagonalUp="0" diagonalDown="0">
        <left/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ck">
          <color indexed="64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border outline="0">
        <top style="thin">
          <color theme="4" tint="0.39997558519241921"/>
        </top>
        <bottom style="thick">
          <color auto="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167" formatCode="d/m;@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Tw Cen MT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167" formatCode="d/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border diagonalUp="0" diagonalDown="0" outline="0">
        <left/>
        <right style="thick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border diagonalUp="0" diagonalDown="0" outline="0">
        <left style="thick">
          <color auto="1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/>
      </font>
      <numFmt numFmtId="2" formatCode="0.00"/>
      <alignment horizontal="center" vertical="center" textRotation="0" wrapText="0" indent="0" justifyLastLine="0" shrinkToFit="0" readingOrder="0"/>
    </dxf>
    <dxf>
      <font>
        <b/>
      </font>
      <numFmt numFmtId="173" formatCode="d/m\ \ \ ddd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font>
        <b/>
      </font>
      <numFmt numFmtId="0" formatCode="General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  <sz val="12"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 tint="0.749992370372631"/>
        </patternFill>
      </fill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67" formatCode="d/m;@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79" formatCode="_-[$R$-416]\ * #,##0.00_-;\-[$R$-416]\ * #,##0.00_-;_-[$R$-416]\ * &quot;-&quot;??_-;_-@_-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AB4C3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C3939"/>
        </patternFill>
      </fill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65" formatCode="_(&quot;R$&quot;* #,##0.00_);_(&quot;R$&quot;* \(#,##0.00\);_(&quot;R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65" formatCode="_(&quot;R$&quot;* #,##0.00_);_(&quot;R$&quot;* \(#,##0.00\);_(&quot;R$&quot;* &quot;-&quot;??_);_(@_)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7" formatCode="d/m;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numFmt numFmtId="175" formatCode="d/m\ ddd"/>
    </dxf>
    <dxf>
      <numFmt numFmtId="1" formatCode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7" formatCode="d/m;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indent="0" justifyLastLine="0" shrinkToFit="0" readingOrder="0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  <numFmt numFmtId="165" formatCode="_(&quot;R$&quot;* #,##0.00_);_(&quot;R$&quot;* \(#,##0.00\);_(&quot;R$&quot;* &quot;-&quot;??_);_(@_)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5" formatCode="_(&quot;R$&quot;* #,##0.00_);_(&quot;R$&quot;* \(#,##0.00\);_(&quot;R$&quot;* &quot;-&quot;??_);_(@_)"/>
      <fill>
        <patternFill patternType="solid">
          <fgColor indexed="64"/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65" formatCode="_(&quot;R$&quot;* #,##0.00_);_(&quot;R$&quot;* \(#,##0.00\);_(&quot;R$&quot;* &quot;-&quot;??_);_(@_)"/>
    </dxf>
    <dxf>
      <font>
        <b/>
      </font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numFmt numFmtId="168" formatCode="_-* #,##0_-;\-* #,##0_-;_-* &quot;-&quot;??_-;_-@_-"/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499984740745262"/>
        </patternFill>
      </fill>
    </dxf>
    <dxf>
      <font>
        <b/>
      </font>
      <numFmt numFmtId="167" formatCode="d/m;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</font>
      <numFmt numFmtId="180" formatCode="m/d/yyyy"/>
      <alignment horizontal="center" vertical="center" textRotation="0" wrapText="0" indent="0" justifyLastLine="0" shrinkToFit="0" readingOrder="0"/>
    </dxf>
    <dxf>
      <font>
        <b/>
      </font>
      <numFmt numFmtId="180" formatCode="m/d/yyyy"/>
      <alignment horizontal="center" vertical="center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79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w Cen MT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w Cen MT"/>
        <family val="2"/>
        <scheme val="minor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border outline="0">
        <bottom style="thick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numFmt numFmtId="179" formatCode="_-[$R$-416]\ * #,##0.00_-;\-[$R$-416]\ * #,##0.00_-;_-[$R$-416]\ * &quot;-&quot;??_-;_-@_-"/>
    </dxf>
    <dxf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numFmt numFmtId="165" formatCode="_(&quot;R$&quot;* #,##0.00_);_(&quot;R$&quot;* \(#,##0.00\);_(&quot;R$&quot;* &quot;-&quot;??_);_(@_)"/>
    </dxf>
    <dxf>
      <numFmt numFmtId="165" formatCode="_(&quot;R$&quot;* #,##0.00_);_(&quot;R$&quot;* \(#,##0.00\);_(&quot;R$&quot;* &quot;-&quot;??_);_(@_)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numFmt numFmtId="165" formatCode="_(&quot;R$&quot;* #,##0.00_);_(&quot;R$&quot;* \(#,##0.00\);_(&quot;R$&quot;* &quot;-&quot;??_);_(@_)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179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</dxf>
    <dxf>
      <numFmt numFmtId="174" formatCode="d\ ddd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numFmt numFmtId="179" formatCode="_-[$R$-416]\ * #,##0.00_-;\-[$R$-416]\ * #,##0.00_-;_-[$R$-416]\ * &quot;-&quot;??_-;_-@_-"/>
    </dxf>
    <dxf>
      <alignment horizontal="left" vertical="bottom" textRotation="0" wrapText="0" indent="0" justifyLastLine="0" shrinkToFit="0" readingOrder="0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</dxf>
    <dxf>
      <numFmt numFmtId="174" formatCode="d\ d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34" formatCode="_-&quot;R$&quot;\ * #,##0.00_-;\-&quot;R$&quot;\ * #,##0.00_-;_-&quot;R$&quot;\ * &quot;-&quot;??_-;_-@_-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B36611"/>
      <color rgb="FFFF3737"/>
      <color rgb="FFFF0000"/>
      <color rgb="FFFF7C80"/>
      <color rgb="FFFAB4C3"/>
      <color rgb="FFC7831F"/>
      <color rgb="FF000000"/>
      <color rgb="FFBDB5BF"/>
      <color rgb="FF2C27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styles" Target="styles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10/relationships/person" Target="persons/person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preço!$BV$1</c:f>
              <c:strCache>
                <c:ptCount val="1"/>
                <c:pt idx="0">
                  <c:v>preço de venda</c:v>
                </c:pt>
              </c:strCache>
            </c:strRef>
          </c:tx>
          <c:spPr>
            <a:ln w="3492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preço!$BT$2:$BU$62</c:f>
              <c:multiLvlStrCache>
                <c:ptCount val="61"/>
                <c:lvl>
                  <c:pt idx="0">
                    <c:v>30/7 qui</c:v>
                  </c:pt>
                  <c:pt idx="1">
                    <c:v>29/7 qua</c:v>
                  </c:pt>
                  <c:pt idx="2">
                    <c:v>28/7 ter</c:v>
                  </c:pt>
                  <c:pt idx="3">
                    <c:v>27/7 seg</c:v>
                  </c:pt>
                  <c:pt idx="4">
                    <c:v>26/7 dom</c:v>
                  </c:pt>
                  <c:pt idx="5">
                    <c:v>25/7 sáb</c:v>
                  </c:pt>
                  <c:pt idx="6">
                    <c:v>24/7 sex</c:v>
                  </c:pt>
                  <c:pt idx="7">
                    <c:v>23/7 qui</c:v>
                  </c:pt>
                  <c:pt idx="8">
                    <c:v>22/7 qua</c:v>
                  </c:pt>
                  <c:pt idx="9">
                    <c:v>21/7 ter</c:v>
                  </c:pt>
                  <c:pt idx="10">
                    <c:v>20/7 seg</c:v>
                  </c:pt>
                  <c:pt idx="11">
                    <c:v>19/7 dom</c:v>
                  </c:pt>
                  <c:pt idx="12">
                    <c:v>18/7 sáb</c:v>
                  </c:pt>
                  <c:pt idx="13">
                    <c:v>17/7 sex</c:v>
                  </c:pt>
                  <c:pt idx="14">
                    <c:v>16/7 qui</c:v>
                  </c:pt>
                  <c:pt idx="15">
                    <c:v>15/7 qua</c:v>
                  </c:pt>
                  <c:pt idx="16">
                    <c:v>14/7 ter</c:v>
                  </c:pt>
                  <c:pt idx="17">
                    <c:v>13/7 seg</c:v>
                  </c:pt>
                  <c:pt idx="18">
                    <c:v>12/7 dom</c:v>
                  </c:pt>
                  <c:pt idx="19">
                    <c:v>11/7 sáb</c:v>
                  </c:pt>
                  <c:pt idx="20">
                    <c:v>10/7 sex</c:v>
                  </c:pt>
                  <c:pt idx="21">
                    <c:v>9/7 qui</c:v>
                  </c:pt>
                  <c:pt idx="22">
                    <c:v>8/7 qua</c:v>
                  </c:pt>
                  <c:pt idx="23">
                    <c:v>7/7 ter</c:v>
                  </c:pt>
                  <c:pt idx="24">
                    <c:v>6/7 seg</c:v>
                  </c:pt>
                  <c:pt idx="25">
                    <c:v>5/7 dom</c:v>
                  </c:pt>
                  <c:pt idx="26">
                    <c:v>4/7 sáb</c:v>
                  </c:pt>
                  <c:pt idx="27">
                    <c:v>3/7 sex</c:v>
                  </c:pt>
                  <c:pt idx="28">
                    <c:v>2/7 qui</c:v>
                  </c:pt>
                  <c:pt idx="29">
                    <c:v>1/7 qua</c:v>
                  </c:pt>
                  <c:pt idx="30">
                    <c:v>30/6 ter</c:v>
                  </c:pt>
                  <c:pt idx="31">
                    <c:v>29/6 seg</c:v>
                  </c:pt>
                  <c:pt idx="32">
                    <c:v>28/6 dom</c:v>
                  </c:pt>
                  <c:pt idx="33">
                    <c:v>27/6 sáb</c:v>
                  </c:pt>
                  <c:pt idx="34">
                    <c:v>26/6 sex</c:v>
                  </c:pt>
                  <c:pt idx="35">
                    <c:v>25/6 qui</c:v>
                  </c:pt>
                  <c:pt idx="36">
                    <c:v>24/6 qua</c:v>
                  </c:pt>
                  <c:pt idx="37">
                    <c:v>23/6 ter</c:v>
                  </c:pt>
                  <c:pt idx="38">
                    <c:v>22/6 seg</c:v>
                  </c:pt>
                  <c:pt idx="39">
                    <c:v>21/6 dom</c:v>
                  </c:pt>
                  <c:pt idx="40">
                    <c:v>20/6 sáb</c:v>
                  </c:pt>
                  <c:pt idx="41">
                    <c:v>19/6 sex</c:v>
                  </c:pt>
                  <c:pt idx="42">
                    <c:v>18/6 qui</c:v>
                  </c:pt>
                  <c:pt idx="43">
                    <c:v>17/6 qua</c:v>
                  </c:pt>
                  <c:pt idx="44">
                    <c:v>16/6 ter</c:v>
                  </c:pt>
                  <c:pt idx="45">
                    <c:v>15/6 seg</c:v>
                  </c:pt>
                  <c:pt idx="46">
                    <c:v>14/6 dom</c:v>
                  </c:pt>
                  <c:pt idx="47">
                    <c:v>13/6 sáb</c:v>
                  </c:pt>
                  <c:pt idx="48">
                    <c:v>12/6 sex</c:v>
                  </c:pt>
                  <c:pt idx="49">
                    <c:v>11/6 qui</c:v>
                  </c:pt>
                  <c:pt idx="50">
                    <c:v>10/6 qua</c:v>
                  </c:pt>
                  <c:pt idx="51">
                    <c:v>9/6 ter</c:v>
                  </c:pt>
                  <c:pt idx="52">
                    <c:v>8/6 seg</c:v>
                  </c:pt>
                  <c:pt idx="53">
                    <c:v>7/6 dom</c:v>
                  </c:pt>
                  <c:pt idx="54">
                    <c:v>6/6 sáb</c:v>
                  </c:pt>
                  <c:pt idx="55">
                    <c:v>5/6 sex</c:v>
                  </c:pt>
                  <c:pt idx="56">
                    <c:v>4/6 qui</c:v>
                  </c:pt>
                  <c:pt idx="57">
                    <c:v>3/6 qua</c:v>
                  </c:pt>
                  <c:pt idx="58">
                    <c:v>2/6 ter</c:v>
                  </c:pt>
                  <c:pt idx="59">
                    <c:v>1/6 seg</c:v>
                  </c:pt>
                  <c:pt idx="60">
                    <c:v>31/5 dom</c:v>
                  </c:pt>
                </c:lvl>
                <c:lvl>
                  <c:pt idx="0">
                    <c:v>31</c:v>
                  </c:pt>
                  <c:pt idx="1">
                    <c:v>31</c:v>
                  </c:pt>
                  <c:pt idx="2">
                    <c:v>30</c:v>
                  </c:pt>
                  <c:pt idx="3">
                    <c:v>30</c:v>
                  </c:pt>
                  <c:pt idx="4">
                    <c:v>30</c:v>
                  </c:pt>
                  <c:pt idx="5">
                    <c:v>30</c:v>
                  </c:pt>
                  <c:pt idx="6">
                    <c:v>30</c:v>
                  </c:pt>
                  <c:pt idx="7">
                    <c:v>30</c:v>
                  </c:pt>
                  <c:pt idx="8">
                    <c:v>30</c:v>
                  </c:pt>
                  <c:pt idx="9">
                    <c:v>29</c:v>
                  </c:pt>
                  <c:pt idx="10">
                    <c:v>29</c:v>
                  </c:pt>
                  <c:pt idx="11">
                    <c:v>29</c:v>
                  </c:pt>
                  <c:pt idx="12">
                    <c:v>29</c:v>
                  </c:pt>
                  <c:pt idx="13">
                    <c:v>29</c:v>
                  </c:pt>
                  <c:pt idx="14">
                    <c:v>29</c:v>
                  </c:pt>
                  <c:pt idx="15">
                    <c:v>29</c:v>
                  </c:pt>
                  <c:pt idx="16">
                    <c:v>28</c:v>
                  </c:pt>
                  <c:pt idx="17">
                    <c:v>28</c:v>
                  </c:pt>
                  <c:pt idx="18">
                    <c:v>28</c:v>
                  </c:pt>
                  <c:pt idx="19">
                    <c:v>28</c:v>
                  </c:pt>
                  <c:pt idx="20">
                    <c:v>28</c:v>
                  </c:pt>
                  <c:pt idx="21">
                    <c:v>28</c:v>
                  </c:pt>
                  <c:pt idx="22">
                    <c:v>28</c:v>
                  </c:pt>
                  <c:pt idx="23">
                    <c:v>27</c:v>
                  </c:pt>
                  <c:pt idx="24">
                    <c:v>27</c:v>
                  </c:pt>
                  <c:pt idx="25">
                    <c:v>27</c:v>
                  </c:pt>
                  <c:pt idx="26">
                    <c:v>27</c:v>
                  </c:pt>
                  <c:pt idx="27">
                    <c:v>27</c:v>
                  </c:pt>
                  <c:pt idx="28">
                    <c:v>27</c:v>
                  </c:pt>
                  <c:pt idx="29">
                    <c:v>27</c:v>
                  </c:pt>
                  <c:pt idx="30">
                    <c:v>26</c:v>
                  </c:pt>
                  <c:pt idx="31">
                    <c:v>26</c:v>
                  </c:pt>
                  <c:pt idx="32">
                    <c:v>26</c:v>
                  </c:pt>
                  <c:pt idx="33">
                    <c:v>26</c:v>
                  </c:pt>
                  <c:pt idx="34">
                    <c:v>26</c:v>
                  </c:pt>
                  <c:pt idx="35">
                    <c:v>26</c:v>
                  </c:pt>
                  <c:pt idx="36">
                    <c:v>26</c:v>
                  </c:pt>
                  <c:pt idx="37">
                    <c:v>25</c:v>
                  </c:pt>
                  <c:pt idx="38">
                    <c:v>25</c:v>
                  </c:pt>
                  <c:pt idx="39">
                    <c:v>25</c:v>
                  </c:pt>
                  <c:pt idx="40">
                    <c:v>25</c:v>
                  </c:pt>
                  <c:pt idx="41">
                    <c:v>25</c:v>
                  </c:pt>
                  <c:pt idx="42">
                    <c:v>25</c:v>
                  </c:pt>
                  <c:pt idx="43">
                    <c:v>25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24</c:v>
                  </c:pt>
                  <c:pt idx="49">
                    <c:v>24</c:v>
                  </c:pt>
                  <c:pt idx="50">
                    <c:v>24</c:v>
                  </c:pt>
                  <c:pt idx="51">
                    <c:v>23</c:v>
                  </c:pt>
                  <c:pt idx="52">
                    <c:v>23</c:v>
                  </c:pt>
                  <c:pt idx="53">
                    <c:v>23</c:v>
                  </c:pt>
                  <c:pt idx="54">
                    <c:v>23</c:v>
                  </c:pt>
                  <c:pt idx="55">
                    <c:v>23</c:v>
                  </c:pt>
                  <c:pt idx="56">
                    <c:v>23</c:v>
                  </c:pt>
                  <c:pt idx="57">
                    <c:v>23</c:v>
                  </c:pt>
                  <c:pt idx="58">
                    <c:v>22</c:v>
                  </c:pt>
                  <c:pt idx="59">
                    <c:v>22</c:v>
                  </c:pt>
                  <c:pt idx="60">
                    <c:v>22</c:v>
                  </c:pt>
                </c:lvl>
              </c:multiLvlStrCache>
            </c:multiLvlStrRef>
          </c:cat>
          <c:val>
            <c:numRef>
              <c:f>preço!$BV$2:$BV$62</c:f>
              <c:numCache>
                <c:formatCode>_("R$"* #,##0.00_);_("R$"* \(#,##0.00\);_("R$"* "-"??_);_(@_)</c:formatCode>
                <c:ptCount val="61"/>
                <c:pt idx="0">
                  <c:v>19.078571428571429</c:v>
                </c:pt>
                <c:pt idx="1">
                  <c:v>18.357142857142858</c:v>
                </c:pt>
                <c:pt idx="2">
                  <c:v>19.8</c:v>
                </c:pt>
                <c:pt idx="3">
                  <c:v>18.861111111111111</c:v>
                </c:pt>
                <c:pt idx="4">
                  <c:v>18.828571428571429</c:v>
                </c:pt>
                <c:pt idx="5">
                  <c:v>21.375</c:v>
                </c:pt>
                <c:pt idx="6">
                  <c:v>20.184210526315791</c:v>
                </c:pt>
                <c:pt idx="7">
                  <c:v>20</c:v>
                </c:pt>
                <c:pt idx="8">
                  <c:v>18.107142857142858</c:v>
                </c:pt>
                <c:pt idx="9">
                  <c:v>20.514285714285716</c:v>
                </c:pt>
                <c:pt idx="10">
                  <c:v>19.16</c:v>
                </c:pt>
                <c:pt idx="11">
                  <c:v>20.8125</c:v>
                </c:pt>
                <c:pt idx="12">
                  <c:v>20.5</c:v>
                </c:pt>
                <c:pt idx="13">
                  <c:v>21.315789473684209</c:v>
                </c:pt>
                <c:pt idx="14">
                  <c:v>19.882352941176471</c:v>
                </c:pt>
                <c:pt idx="15">
                  <c:v>19.692307692307693</c:v>
                </c:pt>
                <c:pt idx="16">
                  <c:v>19.208333333333332</c:v>
                </c:pt>
                <c:pt idx="17">
                  <c:v>19.3</c:v>
                </c:pt>
                <c:pt idx="18">
                  <c:v>19.916666666666668</c:v>
                </c:pt>
                <c:pt idx="19">
                  <c:v>21.48</c:v>
                </c:pt>
                <c:pt idx="20">
                  <c:v>19.478260869565219</c:v>
                </c:pt>
                <c:pt idx="21">
                  <c:v>19.878787878787879</c:v>
                </c:pt>
                <c:pt idx="22">
                  <c:v>20.523809523809526</c:v>
                </c:pt>
                <c:pt idx="23">
                  <c:v>19.861111111111111</c:v>
                </c:pt>
                <c:pt idx="24">
                  <c:v>21.115384615384617</c:v>
                </c:pt>
                <c:pt idx="25">
                  <c:v>20.368421052631579</c:v>
                </c:pt>
                <c:pt idx="26">
                  <c:v>19.595744680851062</c:v>
                </c:pt>
                <c:pt idx="27">
                  <c:v>19.636363636363637</c:v>
                </c:pt>
                <c:pt idx="28">
                  <c:v>19.711111111111112</c:v>
                </c:pt>
                <c:pt idx="29">
                  <c:v>19.170731707317074</c:v>
                </c:pt>
                <c:pt idx="30">
                  <c:v>19.108695652173914</c:v>
                </c:pt>
                <c:pt idx="31">
                  <c:v>19.666666666666668</c:v>
                </c:pt>
                <c:pt idx="32">
                  <c:v>20.2</c:v>
                </c:pt>
                <c:pt idx="33">
                  <c:v>20.181818181818183</c:v>
                </c:pt>
                <c:pt idx="34">
                  <c:v>17.5</c:v>
                </c:pt>
                <c:pt idx="35">
                  <c:v>19.611111111111111</c:v>
                </c:pt>
                <c:pt idx="36">
                  <c:v>19.185185185185187</c:v>
                </c:pt>
                <c:pt idx="37">
                  <c:v>19.014285714285716</c:v>
                </c:pt>
                <c:pt idx="38">
                  <c:v>18.75</c:v>
                </c:pt>
                <c:pt idx="39">
                  <c:v>18.3</c:v>
                </c:pt>
                <c:pt idx="40">
                  <c:v>19.608695652173914</c:v>
                </c:pt>
                <c:pt idx="41">
                  <c:v>20.111111111111111</c:v>
                </c:pt>
                <c:pt idx="42">
                  <c:v>16.285714285714285</c:v>
                </c:pt>
                <c:pt idx="43">
                  <c:v>19.8</c:v>
                </c:pt>
                <c:pt idx="44">
                  <c:v>18.217391304347824</c:v>
                </c:pt>
                <c:pt idx="45">
                  <c:v>17.138888888888889</c:v>
                </c:pt>
                <c:pt idx="46">
                  <c:v>18.352941176470587</c:v>
                </c:pt>
                <c:pt idx="47">
                  <c:v>18.068965517241381</c:v>
                </c:pt>
                <c:pt idx="48">
                  <c:v>18.384615384615383</c:v>
                </c:pt>
                <c:pt idx="49">
                  <c:v>18.482758620689655</c:v>
                </c:pt>
                <c:pt idx="50">
                  <c:v>18.166666666666668</c:v>
                </c:pt>
                <c:pt idx="51">
                  <c:v>15.864864864864865</c:v>
                </c:pt>
                <c:pt idx="52">
                  <c:v>18.03846153846154</c:v>
                </c:pt>
                <c:pt idx="53">
                  <c:v>19.206896551724139</c:v>
                </c:pt>
                <c:pt idx="54">
                  <c:v>19.466666666666665</c:v>
                </c:pt>
                <c:pt idx="55">
                  <c:v>19.70967741935484</c:v>
                </c:pt>
                <c:pt idx="56">
                  <c:v>18.372093023255815</c:v>
                </c:pt>
                <c:pt idx="57">
                  <c:v>19.684210526315791</c:v>
                </c:pt>
                <c:pt idx="58">
                  <c:v>19.541666666666668</c:v>
                </c:pt>
                <c:pt idx="59">
                  <c:v>18.088235294117649</c:v>
                </c:pt>
                <c:pt idx="60">
                  <c:v>19.574074074074073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13C-4AF8-9CD6-93394D3A5E79}"/>
            </c:ext>
          </c:extLst>
        </c:ser>
        <c:ser>
          <c:idx val="2"/>
          <c:order val="1"/>
          <c:tx>
            <c:strRef>
              <c:f>preço!$BW$1</c:f>
              <c:strCache>
                <c:ptCount val="1"/>
                <c:pt idx="0">
                  <c:v>preço de custo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preço!$BT$2:$BU$62</c:f>
              <c:multiLvlStrCache>
                <c:ptCount val="61"/>
                <c:lvl>
                  <c:pt idx="0">
                    <c:v>30/7 qui</c:v>
                  </c:pt>
                  <c:pt idx="1">
                    <c:v>29/7 qua</c:v>
                  </c:pt>
                  <c:pt idx="2">
                    <c:v>28/7 ter</c:v>
                  </c:pt>
                  <c:pt idx="3">
                    <c:v>27/7 seg</c:v>
                  </c:pt>
                  <c:pt idx="4">
                    <c:v>26/7 dom</c:v>
                  </c:pt>
                  <c:pt idx="5">
                    <c:v>25/7 sáb</c:v>
                  </c:pt>
                  <c:pt idx="6">
                    <c:v>24/7 sex</c:v>
                  </c:pt>
                  <c:pt idx="7">
                    <c:v>23/7 qui</c:v>
                  </c:pt>
                  <c:pt idx="8">
                    <c:v>22/7 qua</c:v>
                  </c:pt>
                  <c:pt idx="9">
                    <c:v>21/7 ter</c:v>
                  </c:pt>
                  <c:pt idx="10">
                    <c:v>20/7 seg</c:v>
                  </c:pt>
                  <c:pt idx="11">
                    <c:v>19/7 dom</c:v>
                  </c:pt>
                  <c:pt idx="12">
                    <c:v>18/7 sáb</c:v>
                  </c:pt>
                  <c:pt idx="13">
                    <c:v>17/7 sex</c:v>
                  </c:pt>
                  <c:pt idx="14">
                    <c:v>16/7 qui</c:v>
                  </c:pt>
                  <c:pt idx="15">
                    <c:v>15/7 qua</c:v>
                  </c:pt>
                  <c:pt idx="16">
                    <c:v>14/7 ter</c:v>
                  </c:pt>
                  <c:pt idx="17">
                    <c:v>13/7 seg</c:v>
                  </c:pt>
                  <c:pt idx="18">
                    <c:v>12/7 dom</c:v>
                  </c:pt>
                  <c:pt idx="19">
                    <c:v>11/7 sáb</c:v>
                  </c:pt>
                  <c:pt idx="20">
                    <c:v>10/7 sex</c:v>
                  </c:pt>
                  <c:pt idx="21">
                    <c:v>9/7 qui</c:v>
                  </c:pt>
                  <c:pt idx="22">
                    <c:v>8/7 qua</c:v>
                  </c:pt>
                  <c:pt idx="23">
                    <c:v>7/7 ter</c:v>
                  </c:pt>
                  <c:pt idx="24">
                    <c:v>6/7 seg</c:v>
                  </c:pt>
                  <c:pt idx="25">
                    <c:v>5/7 dom</c:v>
                  </c:pt>
                  <c:pt idx="26">
                    <c:v>4/7 sáb</c:v>
                  </c:pt>
                  <c:pt idx="27">
                    <c:v>3/7 sex</c:v>
                  </c:pt>
                  <c:pt idx="28">
                    <c:v>2/7 qui</c:v>
                  </c:pt>
                  <c:pt idx="29">
                    <c:v>1/7 qua</c:v>
                  </c:pt>
                  <c:pt idx="30">
                    <c:v>30/6 ter</c:v>
                  </c:pt>
                  <c:pt idx="31">
                    <c:v>29/6 seg</c:v>
                  </c:pt>
                  <c:pt idx="32">
                    <c:v>28/6 dom</c:v>
                  </c:pt>
                  <c:pt idx="33">
                    <c:v>27/6 sáb</c:v>
                  </c:pt>
                  <c:pt idx="34">
                    <c:v>26/6 sex</c:v>
                  </c:pt>
                  <c:pt idx="35">
                    <c:v>25/6 qui</c:v>
                  </c:pt>
                  <c:pt idx="36">
                    <c:v>24/6 qua</c:v>
                  </c:pt>
                  <c:pt idx="37">
                    <c:v>23/6 ter</c:v>
                  </c:pt>
                  <c:pt idx="38">
                    <c:v>22/6 seg</c:v>
                  </c:pt>
                  <c:pt idx="39">
                    <c:v>21/6 dom</c:v>
                  </c:pt>
                  <c:pt idx="40">
                    <c:v>20/6 sáb</c:v>
                  </c:pt>
                  <c:pt idx="41">
                    <c:v>19/6 sex</c:v>
                  </c:pt>
                  <c:pt idx="42">
                    <c:v>18/6 qui</c:v>
                  </c:pt>
                  <c:pt idx="43">
                    <c:v>17/6 qua</c:v>
                  </c:pt>
                  <c:pt idx="44">
                    <c:v>16/6 ter</c:v>
                  </c:pt>
                  <c:pt idx="45">
                    <c:v>15/6 seg</c:v>
                  </c:pt>
                  <c:pt idx="46">
                    <c:v>14/6 dom</c:v>
                  </c:pt>
                  <c:pt idx="47">
                    <c:v>13/6 sáb</c:v>
                  </c:pt>
                  <c:pt idx="48">
                    <c:v>12/6 sex</c:v>
                  </c:pt>
                  <c:pt idx="49">
                    <c:v>11/6 qui</c:v>
                  </c:pt>
                  <c:pt idx="50">
                    <c:v>10/6 qua</c:v>
                  </c:pt>
                  <c:pt idx="51">
                    <c:v>9/6 ter</c:v>
                  </c:pt>
                  <c:pt idx="52">
                    <c:v>8/6 seg</c:v>
                  </c:pt>
                  <c:pt idx="53">
                    <c:v>7/6 dom</c:v>
                  </c:pt>
                  <c:pt idx="54">
                    <c:v>6/6 sáb</c:v>
                  </c:pt>
                  <c:pt idx="55">
                    <c:v>5/6 sex</c:v>
                  </c:pt>
                  <c:pt idx="56">
                    <c:v>4/6 qui</c:v>
                  </c:pt>
                  <c:pt idx="57">
                    <c:v>3/6 qua</c:v>
                  </c:pt>
                  <c:pt idx="58">
                    <c:v>2/6 ter</c:v>
                  </c:pt>
                  <c:pt idx="59">
                    <c:v>1/6 seg</c:v>
                  </c:pt>
                  <c:pt idx="60">
                    <c:v>31/5 dom</c:v>
                  </c:pt>
                </c:lvl>
                <c:lvl>
                  <c:pt idx="0">
                    <c:v>31</c:v>
                  </c:pt>
                  <c:pt idx="1">
                    <c:v>31</c:v>
                  </c:pt>
                  <c:pt idx="2">
                    <c:v>30</c:v>
                  </c:pt>
                  <c:pt idx="3">
                    <c:v>30</c:v>
                  </c:pt>
                  <c:pt idx="4">
                    <c:v>30</c:v>
                  </c:pt>
                  <c:pt idx="5">
                    <c:v>30</c:v>
                  </c:pt>
                  <c:pt idx="6">
                    <c:v>30</c:v>
                  </c:pt>
                  <c:pt idx="7">
                    <c:v>30</c:v>
                  </c:pt>
                  <c:pt idx="8">
                    <c:v>30</c:v>
                  </c:pt>
                  <c:pt idx="9">
                    <c:v>29</c:v>
                  </c:pt>
                  <c:pt idx="10">
                    <c:v>29</c:v>
                  </c:pt>
                  <c:pt idx="11">
                    <c:v>29</c:v>
                  </c:pt>
                  <c:pt idx="12">
                    <c:v>29</c:v>
                  </c:pt>
                  <c:pt idx="13">
                    <c:v>29</c:v>
                  </c:pt>
                  <c:pt idx="14">
                    <c:v>29</c:v>
                  </c:pt>
                  <c:pt idx="15">
                    <c:v>29</c:v>
                  </c:pt>
                  <c:pt idx="16">
                    <c:v>28</c:v>
                  </c:pt>
                  <c:pt idx="17">
                    <c:v>28</c:v>
                  </c:pt>
                  <c:pt idx="18">
                    <c:v>28</c:v>
                  </c:pt>
                  <c:pt idx="19">
                    <c:v>28</c:v>
                  </c:pt>
                  <c:pt idx="20">
                    <c:v>28</c:v>
                  </c:pt>
                  <c:pt idx="21">
                    <c:v>28</c:v>
                  </c:pt>
                  <c:pt idx="22">
                    <c:v>28</c:v>
                  </c:pt>
                  <c:pt idx="23">
                    <c:v>27</c:v>
                  </c:pt>
                  <c:pt idx="24">
                    <c:v>27</c:v>
                  </c:pt>
                  <c:pt idx="25">
                    <c:v>27</c:v>
                  </c:pt>
                  <c:pt idx="26">
                    <c:v>27</c:v>
                  </c:pt>
                  <c:pt idx="27">
                    <c:v>27</c:v>
                  </c:pt>
                  <c:pt idx="28">
                    <c:v>27</c:v>
                  </c:pt>
                  <c:pt idx="29">
                    <c:v>27</c:v>
                  </c:pt>
                  <c:pt idx="30">
                    <c:v>26</c:v>
                  </c:pt>
                  <c:pt idx="31">
                    <c:v>26</c:v>
                  </c:pt>
                  <c:pt idx="32">
                    <c:v>26</c:v>
                  </c:pt>
                  <c:pt idx="33">
                    <c:v>26</c:v>
                  </c:pt>
                  <c:pt idx="34">
                    <c:v>26</c:v>
                  </c:pt>
                  <c:pt idx="35">
                    <c:v>26</c:v>
                  </c:pt>
                  <c:pt idx="36">
                    <c:v>26</c:v>
                  </c:pt>
                  <c:pt idx="37">
                    <c:v>25</c:v>
                  </c:pt>
                  <c:pt idx="38">
                    <c:v>25</c:v>
                  </c:pt>
                  <c:pt idx="39">
                    <c:v>25</c:v>
                  </c:pt>
                  <c:pt idx="40">
                    <c:v>25</c:v>
                  </c:pt>
                  <c:pt idx="41">
                    <c:v>25</c:v>
                  </c:pt>
                  <c:pt idx="42">
                    <c:v>25</c:v>
                  </c:pt>
                  <c:pt idx="43">
                    <c:v>25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24</c:v>
                  </c:pt>
                  <c:pt idx="49">
                    <c:v>24</c:v>
                  </c:pt>
                  <c:pt idx="50">
                    <c:v>24</c:v>
                  </c:pt>
                  <c:pt idx="51">
                    <c:v>23</c:v>
                  </c:pt>
                  <c:pt idx="52">
                    <c:v>23</c:v>
                  </c:pt>
                  <c:pt idx="53">
                    <c:v>23</c:v>
                  </c:pt>
                  <c:pt idx="54">
                    <c:v>23</c:v>
                  </c:pt>
                  <c:pt idx="55">
                    <c:v>23</c:v>
                  </c:pt>
                  <c:pt idx="56">
                    <c:v>23</c:v>
                  </c:pt>
                  <c:pt idx="57">
                    <c:v>23</c:v>
                  </c:pt>
                  <c:pt idx="58">
                    <c:v>22</c:v>
                  </c:pt>
                  <c:pt idx="59">
                    <c:v>22</c:v>
                  </c:pt>
                  <c:pt idx="60">
                    <c:v>22</c:v>
                  </c:pt>
                </c:lvl>
              </c:multiLvlStrCache>
            </c:multiLvlStrRef>
          </c:cat>
          <c:val>
            <c:numRef>
              <c:f>preço!$BW$2:$BW$62</c:f>
              <c:numCache>
                <c:formatCode>_("R$"* #,##0.00_);_("R$"* \(#,##0.00\);_("R$"* "-"??_);_(@_)</c:formatCode>
                <c:ptCount val="61"/>
                <c:pt idx="0">
                  <c:v>15.432023809523809</c:v>
                </c:pt>
                <c:pt idx="1">
                  <c:v>15.250714285714286</c:v>
                </c:pt>
                <c:pt idx="2">
                  <c:v>15.613333333333333</c:v>
                </c:pt>
                <c:pt idx="3">
                  <c:v>15.236111111111111</c:v>
                </c:pt>
                <c:pt idx="4">
                  <c:v>15.320857142857143</c:v>
                </c:pt>
                <c:pt idx="5">
                  <c:v>15.821249999999999</c:v>
                </c:pt>
                <c:pt idx="6">
                  <c:v>15.49526315789474</c:v>
                </c:pt>
                <c:pt idx="7">
                  <c:v>15.379999999999999</c:v>
                </c:pt>
                <c:pt idx="8">
                  <c:v>15.032142857142858</c:v>
                </c:pt>
                <c:pt idx="9">
                  <c:v>15.604285714285716</c:v>
                </c:pt>
                <c:pt idx="10">
                  <c:v>15.4152</c:v>
                </c:pt>
                <c:pt idx="11">
                  <c:v>15.645</c:v>
                </c:pt>
                <c:pt idx="12">
                  <c:v>15.46857142857143</c:v>
                </c:pt>
                <c:pt idx="13">
                  <c:v>15.888947368421052</c:v>
                </c:pt>
                <c:pt idx="14">
                  <c:v>15.577352941176471</c:v>
                </c:pt>
                <c:pt idx="15">
                  <c:v>15.316923076923079</c:v>
                </c:pt>
                <c:pt idx="16">
                  <c:v>15.255833333333333</c:v>
                </c:pt>
                <c:pt idx="17">
                  <c:v>15.122</c:v>
                </c:pt>
                <c:pt idx="18">
                  <c:v>15.431458333333335</c:v>
                </c:pt>
                <c:pt idx="19">
                  <c:v>15.854400000000002</c:v>
                </c:pt>
                <c:pt idx="20">
                  <c:v>15.52913043478261</c:v>
                </c:pt>
                <c:pt idx="21">
                  <c:v>15.530909090909091</c:v>
                </c:pt>
                <c:pt idx="22">
                  <c:v>15.933333333333335</c:v>
                </c:pt>
                <c:pt idx="23">
                  <c:v>15.55638888888889</c:v>
                </c:pt>
                <c:pt idx="24">
                  <c:v>15.978461538461538</c:v>
                </c:pt>
                <c:pt idx="25">
                  <c:v>15.790526315789474</c:v>
                </c:pt>
                <c:pt idx="26">
                  <c:v>15.558723404255318</c:v>
                </c:pt>
                <c:pt idx="27">
                  <c:v>15.518787878787879</c:v>
                </c:pt>
                <c:pt idx="28">
                  <c:v>15.582000000000001</c:v>
                </c:pt>
                <c:pt idx="29">
                  <c:v>15.421219512195123</c:v>
                </c:pt>
                <c:pt idx="30">
                  <c:v>15.215217391304348</c:v>
                </c:pt>
                <c:pt idx="31">
                  <c:v>15.630555555555556</c:v>
                </c:pt>
                <c:pt idx="32">
                  <c:v>15.6724</c:v>
                </c:pt>
                <c:pt idx="33">
                  <c:v>15.671818181818184</c:v>
                </c:pt>
                <c:pt idx="34">
                  <c:v>14.94</c:v>
                </c:pt>
                <c:pt idx="35">
                  <c:v>15.560555555555556</c:v>
                </c:pt>
                <c:pt idx="36">
                  <c:v>15.583703703703705</c:v>
                </c:pt>
                <c:pt idx="37">
                  <c:v>15.470714285714287</c:v>
                </c:pt>
                <c:pt idx="38">
                  <c:v>15.413333333333334</c:v>
                </c:pt>
                <c:pt idx="39">
                  <c:v>15.269500000000001</c:v>
                </c:pt>
                <c:pt idx="40">
                  <c:v>15.620434782608697</c:v>
                </c:pt>
                <c:pt idx="41">
                  <c:v>15.836666666666666</c:v>
                </c:pt>
                <c:pt idx="42">
                  <c:v>14.96142857142857</c:v>
                </c:pt>
                <c:pt idx="43">
                  <c:v>15.958</c:v>
                </c:pt>
                <c:pt idx="44">
                  <c:v>15.505217391304345</c:v>
                </c:pt>
                <c:pt idx="45">
                  <c:v>15.331111111111111</c:v>
                </c:pt>
                <c:pt idx="46">
                  <c:v>15.382352941176469</c:v>
                </c:pt>
                <c:pt idx="47">
                  <c:v>15.348965517241382</c:v>
                </c:pt>
                <c:pt idx="48">
                  <c:v>15.695384615384615</c:v>
                </c:pt>
                <c:pt idx="49">
                  <c:v>15.629999999999999</c:v>
                </c:pt>
                <c:pt idx="50">
                  <c:v>15.557916666666667</c:v>
                </c:pt>
                <c:pt idx="51">
                  <c:v>15.287297297297297</c:v>
                </c:pt>
                <c:pt idx="52">
                  <c:v>15.303076923076924</c:v>
                </c:pt>
                <c:pt idx="53">
                  <c:v>15.701034482758622</c:v>
                </c:pt>
                <c:pt idx="54">
                  <c:v>15.776666666666664</c:v>
                </c:pt>
                <c:pt idx="55">
                  <c:v>15.983225806451614</c:v>
                </c:pt>
                <c:pt idx="56">
                  <c:v>16.065813953488373</c:v>
                </c:pt>
                <c:pt idx="57">
                  <c:v>15.961578947368423</c:v>
                </c:pt>
                <c:pt idx="58">
                  <c:v>15.908750000000001</c:v>
                </c:pt>
                <c:pt idx="59">
                  <c:v>16.126764705882355</c:v>
                </c:pt>
                <c:pt idx="60">
                  <c:v>16.213888888888889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13C-4AF8-9CD6-93394D3A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448975"/>
        <c:axId val="994449935"/>
      </c:lineChart>
      <c:lineChart>
        <c:grouping val="standard"/>
        <c:varyColors val="0"/>
        <c:ser>
          <c:idx val="3"/>
          <c:order val="2"/>
          <c:tx>
            <c:strRef>
              <c:f>preço!$BX$1</c:f>
              <c:strCache>
                <c:ptCount val="1"/>
                <c:pt idx="0">
                  <c:v>lucro médio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preço!$BT$2:$BT$62</c:f>
              <c:numCache>
                <c:formatCode>0</c:formatCode>
                <c:ptCount val="61"/>
                <c:pt idx="0">
                  <c:v>31</c:v>
                </c:pt>
                <c:pt idx="1">
                  <c:v>31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</c:numCache>
            </c:numRef>
          </c:cat>
          <c:val>
            <c:numRef>
              <c:f>preço!$BX$2:$BX$62</c:f>
              <c:numCache>
                <c:formatCode>_("R$"* #,##0.00_);_("R$"* \(#,##0.00\);_("R$"* "-"??_);_(@_)</c:formatCode>
                <c:ptCount val="61"/>
                <c:pt idx="0">
                  <c:v>3.6465476190476194</c:v>
                </c:pt>
                <c:pt idx="1">
                  <c:v>3.1064285714285718</c:v>
                </c:pt>
                <c:pt idx="2">
                  <c:v>4.1866666666666665</c:v>
                </c:pt>
                <c:pt idx="3">
                  <c:v>3.625</c:v>
                </c:pt>
                <c:pt idx="4">
                  <c:v>3.5077142857142856</c:v>
                </c:pt>
                <c:pt idx="5">
                  <c:v>5.55375</c:v>
                </c:pt>
                <c:pt idx="6">
                  <c:v>4.6889473684210516</c:v>
                </c:pt>
                <c:pt idx="7">
                  <c:v>4.62</c:v>
                </c:pt>
                <c:pt idx="8">
                  <c:v>3.0749999999999997</c:v>
                </c:pt>
                <c:pt idx="9">
                  <c:v>4.9099999999999993</c:v>
                </c:pt>
                <c:pt idx="10">
                  <c:v>3.7448000000000001</c:v>
                </c:pt>
                <c:pt idx="11">
                  <c:v>5.1675000000000004</c:v>
                </c:pt>
                <c:pt idx="12">
                  <c:v>5.0314285714285711</c:v>
                </c:pt>
                <c:pt idx="13">
                  <c:v>5.426842105263157</c:v>
                </c:pt>
                <c:pt idx="14">
                  <c:v>4.3049999999999997</c:v>
                </c:pt>
                <c:pt idx="15">
                  <c:v>4.3753846153846148</c:v>
                </c:pt>
                <c:pt idx="16">
                  <c:v>3.9524999999999992</c:v>
                </c:pt>
                <c:pt idx="17">
                  <c:v>4.1779999999999999</c:v>
                </c:pt>
                <c:pt idx="18">
                  <c:v>4.4852083333333335</c:v>
                </c:pt>
                <c:pt idx="19">
                  <c:v>5.6255999999999995</c:v>
                </c:pt>
                <c:pt idx="20">
                  <c:v>3.9491304347826088</c:v>
                </c:pt>
                <c:pt idx="21">
                  <c:v>4.3478787878787877</c:v>
                </c:pt>
                <c:pt idx="22">
                  <c:v>4.5904761904761902</c:v>
                </c:pt>
                <c:pt idx="23">
                  <c:v>4.304722222222221</c:v>
                </c:pt>
                <c:pt idx="24">
                  <c:v>5.136923076923078</c:v>
                </c:pt>
                <c:pt idx="25">
                  <c:v>4.5778947368421044</c:v>
                </c:pt>
                <c:pt idx="26">
                  <c:v>4.0370212765957447</c:v>
                </c:pt>
                <c:pt idx="27">
                  <c:v>4.1175757575757572</c:v>
                </c:pt>
                <c:pt idx="28">
                  <c:v>4.1291111111111114</c:v>
                </c:pt>
                <c:pt idx="29">
                  <c:v>3.7495121951219517</c:v>
                </c:pt>
                <c:pt idx="30">
                  <c:v>3.8934782608695655</c:v>
                </c:pt>
                <c:pt idx="31">
                  <c:v>4.0361111111111114</c:v>
                </c:pt>
                <c:pt idx="32">
                  <c:v>4.5275999999999996</c:v>
                </c:pt>
                <c:pt idx="33">
                  <c:v>4.51</c:v>
                </c:pt>
                <c:pt idx="34">
                  <c:v>2.56</c:v>
                </c:pt>
                <c:pt idx="35">
                  <c:v>4.0505555555555555</c:v>
                </c:pt>
                <c:pt idx="36">
                  <c:v>3.6014814814814815</c:v>
                </c:pt>
                <c:pt idx="37">
                  <c:v>3.5435714285714286</c:v>
                </c:pt>
                <c:pt idx="38">
                  <c:v>3.3366666666666664</c:v>
                </c:pt>
                <c:pt idx="39">
                  <c:v>3.0305000000000004</c:v>
                </c:pt>
                <c:pt idx="40">
                  <c:v>3.9882608695652171</c:v>
                </c:pt>
                <c:pt idx="41">
                  <c:v>4.2744444444444447</c:v>
                </c:pt>
                <c:pt idx="42">
                  <c:v>1.3242857142857143</c:v>
                </c:pt>
                <c:pt idx="43">
                  <c:v>3.8420000000000001</c:v>
                </c:pt>
                <c:pt idx="44">
                  <c:v>2.7121739130434781</c:v>
                </c:pt>
                <c:pt idx="45">
                  <c:v>1.8077777777777777</c:v>
                </c:pt>
                <c:pt idx="46">
                  <c:v>2.9705882352941178</c:v>
                </c:pt>
                <c:pt idx="47">
                  <c:v>2.7199999999999998</c:v>
                </c:pt>
                <c:pt idx="48">
                  <c:v>2.6892307692307691</c:v>
                </c:pt>
                <c:pt idx="49">
                  <c:v>2.8527586206896549</c:v>
                </c:pt>
                <c:pt idx="50">
                  <c:v>2.6087500000000001</c:v>
                </c:pt>
                <c:pt idx="51">
                  <c:v>0.57756756756756811</c:v>
                </c:pt>
                <c:pt idx="52">
                  <c:v>2.7353846153846155</c:v>
                </c:pt>
                <c:pt idx="53">
                  <c:v>3.5058620689655173</c:v>
                </c:pt>
                <c:pt idx="54">
                  <c:v>3.6900000000000004</c:v>
                </c:pt>
                <c:pt idx="55">
                  <c:v>3.7264516129032264</c:v>
                </c:pt>
                <c:pt idx="56">
                  <c:v>2.306279069767442</c:v>
                </c:pt>
                <c:pt idx="57">
                  <c:v>3.7226315789473681</c:v>
                </c:pt>
                <c:pt idx="58">
                  <c:v>3.6329166666666666</c:v>
                </c:pt>
                <c:pt idx="59">
                  <c:v>1.9614705882352945</c:v>
                </c:pt>
                <c:pt idx="60">
                  <c:v>3.3601851851851849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B-452B-8CC7-3CC9BCD60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902591"/>
        <c:axId val="1004893951"/>
      </c:lineChart>
      <c:catAx>
        <c:axId val="99444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449935"/>
        <c:crosses val="autoZero"/>
        <c:auto val="0"/>
        <c:lblAlgn val="ctr"/>
        <c:lblOffset val="100"/>
        <c:noMultiLvlLbl val="0"/>
      </c:catAx>
      <c:valAx>
        <c:axId val="994449935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448975"/>
        <c:crosses val="autoZero"/>
        <c:crossBetween val="between"/>
        <c:majorUnit val="1.5"/>
      </c:valAx>
      <c:valAx>
        <c:axId val="1004893951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902591"/>
        <c:crosses val="autoZero"/>
        <c:crossBetween val="between"/>
      </c:valAx>
      <c:catAx>
        <c:axId val="10049025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004893951"/>
        <c:crosses val="autoZero"/>
        <c:auto val="1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354472204971333E-3"/>
          <c:y val="0.89992741440361623"/>
          <c:w val="0.1738142050619178"/>
          <c:h val="7.71183720507535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preço!$CD$1</c:f>
              <c:strCache>
                <c:ptCount val="1"/>
                <c:pt idx="0">
                  <c:v>média de vendas semanal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>
                  <a:lumMod val="25000"/>
                  <a:lumOff val="7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sng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preço!$BY$2:$BZ$54</c:f>
              <c:multiLvlStrCache>
                <c:ptCount val="53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  <c:pt idx="52">
                    <c:v>31/12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</c:lvl>
              </c:multiLvlStrCache>
            </c:multiLvlStrRef>
          </c:cat>
          <c:val>
            <c:numRef>
              <c:f>preço!$CD$2:$CD$54</c:f>
              <c:numCache>
                <c:formatCode>0</c:formatCode>
                <c:ptCount val="53"/>
                <c:pt idx="0">
                  <c:v>3.6388888888888893</c:v>
                </c:pt>
                <c:pt idx="1">
                  <c:v>3.0952380952380953</c:v>
                </c:pt>
                <c:pt idx="2">
                  <c:v>2.7023809523809526</c:v>
                </c:pt>
                <c:pt idx="3">
                  <c:v>2.8690476190476191</c:v>
                </c:pt>
                <c:pt idx="4">
                  <c:v>2.333333333333333</c:v>
                </c:pt>
                <c:pt idx="5">
                  <c:v>3.4761904761904758</c:v>
                </c:pt>
                <c:pt idx="6">
                  <c:v>2.5476190476190474</c:v>
                </c:pt>
                <c:pt idx="7">
                  <c:v>3.1309523809523809</c:v>
                </c:pt>
                <c:pt idx="8">
                  <c:v>3.3214285714285721</c:v>
                </c:pt>
                <c:pt idx="9">
                  <c:v>2.8809523809523809</c:v>
                </c:pt>
                <c:pt idx="10">
                  <c:v>3.0833333333333335</c:v>
                </c:pt>
                <c:pt idx="11">
                  <c:v>3.6904761904761907</c:v>
                </c:pt>
                <c:pt idx="12">
                  <c:v>3.1190476190476195</c:v>
                </c:pt>
                <c:pt idx="13">
                  <c:v>2.7499999999999996</c:v>
                </c:pt>
                <c:pt idx="14">
                  <c:v>2.7857142857142856</c:v>
                </c:pt>
                <c:pt idx="15">
                  <c:v>2.8095238095238093</c:v>
                </c:pt>
                <c:pt idx="16">
                  <c:v>2.3214285714285716</c:v>
                </c:pt>
                <c:pt idx="17">
                  <c:v>2.3928571428571428</c:v>
                </c:pt>
                <c:pt idx="18">
                  <c:v>2.0119047619047619</c:v>
                </c:pt>
                <c:pt idx="19">
                  <c:v>2.5119047619047623</c:v>
                </c:pt>
                <c:pt idx="20">
                  <c:v>2.2023809523809521</c:v>
                </c:pt>
                <c:pt idx="21">
                  <c:v>2.666666666666667</c:v>
                </c:pt>
                <c:pt idx="22">
                  <c:v>2.4404761904761907</c:v>
                </c:pt>
                <c:pt idx="23">
                  <c:v>2.2261904761904763</c:v>
                </c:pt>
                <c:pt idx="24">
                  <c:v>3.083333333333333</c:v>
                </c:pt>
                <c:pt idx="25">
                  <c:v>2.4285714285714284</c:v>
                </c:pt>
                <c:pt idx="26">
                  <c:v>2.7023809523809521</c:v>
                </c:pt>
                <c:pt idx="27">
                  <c:v>2.4523809523809526</c:v>
                </c:pt>
                <c:pt idx="28">
                  <c:v>2.0357142857142856</c:v>
                </c:pt>
                <c:pt idx="29">
                  <c:v>2.1428571428571428</c:v>
                </c:pt>
                <c:pt idx="30">
                  <c:v>2.1944444444444446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39B-4739-9A58-726E59FCB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7605952"/>
        <c:axId val="66760499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preço!$CA$1</c15:sqref>
                        </c15:formulaRef>
                      </c:ext>
                    </c:extLst>
                    <c:strCache>
                      <c:ptCount val="1"/>
                      <c:pt idx="0">
                        <c:v>varejo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preço!$CA$2:$CA$54</c15:sqref>
                        </c15:formulaRef>
                      </c:ext>
                    </c:extLst>
                    <c:numCache>
                      <c:formatCode>0.00</c:formatCode>
                      <c:ptCount val="53"/>
                      <c:pt idx="0">
                        <c:v>15.333333333333336</c:v>
                      </c:pt>
                      <c:pt idx="1">
                        <c:v>18.333333333333336</c:v>
                      </c:pt>
                      <c:pt idx="2">
                        <c:v>15.750000000000002</c:v>
                      </c:pt>
                      <c:pt idx="3">
                        <c:v>14.166666666666664</c:v>
                      </c:pt>
                      <c:pt idx="4">
                        <c:v>12.25</c:v>
                      </c:pt>
                      <c:pt idx="5">
                        <c:v>17.583333333333332</c:v>
                      </c:pt>
                      <c:pt idx="6">
                        <c:v>13.833333333333332</c:v>
                      </c:pt>
                      <c:pt idx="7">
                        <c:v>16.166666666666668</c:v>
                      </c:pt>
                      <c:pt idx="8">
                        <c:v>16.250000000000004</c:v>
                      </c:pt>
                      <c:pt idx="9">
                        <c:v>14.416666666666668</c:v>
                      </c:pt>
                      <c:pt idx="10">
                        <c:v>14.250000000000004</c:v>
                      </c:pt>
                      <c:pt idx="11">
                        <c:v>21.666666666666668</c:v>
                      </c:pt>
                      <c:pt idx="12">
                        <c:v>18.000000000000004</c:v>
                      </c:pt>
                      <c:pt idx="13">
                        <c:v>16.583333333333329</c:v>
                      </c:pt>
                      <c:pt idx="14">
                        <c:v>15.916666666666666</c:v>
                      </c:pt>
                      <c:pt idx="15">
                        <c:v>14.499999999999996</c:v>
                      </c:pt>
                      <c:pt idx="16">
                        <c:v>11.75</c:v>
                      </c:pt>
                      <c:pt idx="17">
                        <c:v>13</c:v>
                      </c:pt>
                      <c:pt idx="18">
                        <c:v>11.583333333333332</c:v>
                      </c:pt>
                      <c:pt idx="19">
                        <c:v>12.000000000000004</c:v>
                      </c:pt>
                      <c:pt idx="20">
                        <c:v>13.249999999999998</c:v>
                      </c:pt>
                      <c:pt idx="21">
                        <c:v>17.166666666666668</c:v>
                      </c:pt>
                      <c:pt idx="22">
                        <c:v>15.583333333333336</c:v>
                      </c:pt>
                      <c:pt idx="23">
                        <c:v>14.083333333333334</c:v>
                      </c:pt>
                      <c:pt idx="24">
                        <c:v>19.333333333333332</c:v>
                      </c:pt>
                      <c:pt idx="25">
                        <c:v>15.5</c:v>
                      </c:pt>
                      <c:pt idx="26">
                        <c:v>16.416666666666664</c:v>
                      </c:pt>
                      <c:pt idx="27">
                        <c:v>15.166666666666668</c:v>
                      </c:pt>
                      <c:pt idx="28">
                        <c:v>12.75</c:v>
                      </c:pt>
                      <c:pt idx="29">
                        <c:v>13.5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39B-4739-9A58-726E59FCB4C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preço!$CB$1</c15:sqref>
                        </c15:formulaRef>
                      </c:ext>
                    </c:extLst>
                    <c:strCache>
                      <c:ptCount val="1"/>
                      <c:pt idx="0">
                        <c:v>atacado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preço!$CB$2:$CB$54</c15:sqref>
                        </c15:formulaRef>
                      </c:ext>
                    </c:extLst>
                    <c:numCache>
                      <c:formatCode>0.00</c:formatCode>
                      <c:ptCount val="53"/>
                      <c:pt idx="0">
                        <c:v>6.5</c:v>
                      </c:pt>
                      <c:pt idx="1">
                        <c:v>3.3333333333333335</c:v>
                      </c:pt>
                      <c:pt idx="2">
                        <c:v>3.1666666666666665</c:v>
                      </c:pt>
                      <c:pt idx="3">
                        <c:v>5.916666666666667</c:v>
                      </c:pt>
                      <c:pt idx="4">
                        <c:v>4.083333333333333</c:v>
                      </c:pt>
                      <c:pt idx="5">
                        <c:v>6.75</c:v>
                      </c:pt>
                      <c:pt idx="6">
                        <c:v>4</c:v>
                      </c:pt>
                      <c:pt idx="7">
                        <c:v>5.75</c:v>
                      </c:pt>
                      <c:pt idx="8">
                        <c:v>7</c:v>
                      </c:pt>
                      <c:pt idx="9">
                        <c:v>5.75</c:v>
                      </c:pt>
                      <c:pt idx="10">
                        <c:v>7.333333333333333</c:v>
                      </c:pt>
                      <c:pt idx="11">
                        <c:v>4.166666666666667</c:v>
                      </c:pt>
                      <c:pt idx="12">
                        <c:v>3.8333333333333335</c:v>
                      </c:pt>
                      <c:pt idx="13">
                        <c:v>2.6666666666666665</c:v>
                      </c:pt>
                      <c:pt idx="14">
                        <c:v>3.5833333333333335</c:v>
                      </c:pt>
                      <c:pt idx="15">
                        <c:v>5.166666666666667</c:v>
                      </c:pt>
                      <c:pt idx="16">
                        <c:v>4.5</c:v>
                      </c:pt>
                      <c:pt idx="17">
                        <c:v>3.75</c:v>
                      </c:pt>
                      <c:pt idx="18">
                        <c:v>2.5</c:v>
                      </c:pt>
                      <c:pt idx="19">
                        <c:v>5.583333333333333</c:v>
                      </c:pt>
                      <c:pt idx="20">
                        <c:v>2.1666666666666665</c:v>
                      </c:pt>
                      <c:pt idx="21">
                        <c:v>1.5</c:v>
                      </c:pt>
                      <c:pt idx="22">
                        <c:v>1.5</c:v>
                      </c:pt>
                      <c:pt idx="23">
                        <c:v>1.5</c:v>
                      </c:pt>
                      <c:pt idx="24">
                        <c:v>2.25</c:v>
                      </c:pt>
                      <c:pt idx="25">
                        <c:v>1.5</c:v>
                      </c:pt>
                      <c:pt idx="26">
                        <c:v>2.5</c:v>
                      </c:pt>
                      <c:pt idx="27">
                        <c:v>2</c:v>
                      </c:pt>
                      <c:pt idx="28">
                        <c:v>1.5</c:v>
                      </c:pt>
                      <c:pt idx="29">
                        <c:v>1.5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39B-4739-9A58-726E59FCB4C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preço!$CE$1</c15:sqref>
                        </c15:formulaRef>
                      </c:ext>
                    </c:extLst>
                    <c:strCache>
                      <c:ptCount val="1"/>
                      <c:pt idx="0">
                        <c:v>venda meta diaria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preço!$BY$2:$BZ$54</c15:sqref>
                        </c15:formulaRef>
                      </c:ext>
                    </c:extLst>
                    <c:multiLvlStrCache>
                      <c:ptCount val="53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  <c:pt idx="52">
                          <c:v>31/12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  <c:pt idx="52">
                          <c:v>53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preço!$CE$2:$CE$54</c15:sqref>
                        </c15:formulaRef>
                      </c:ext>
                    </c:extLst>
                    <c:numCache>
                      <c:formatCode>0</c:formatCode>
                      <c:ptCount val="53"/>
                      <c:pt idx="0">
                        <c:v>3.8958876081034464</c:v>
                      </c:pt>
                      <c:pt idx="1">
                        <c:v>3.8412195580226993</c:v>
                      </c:pt>
                      <c:pt idx="2">
                        <c:v>2.912466897953319</c:v>
                      </c:pt>
                      <c:pt idx="3">
                        <c:v>3.1025675355572258</c:v>
                      </c:pt>
                      <c:pt idx="4">
                        <c:v>2.5876637093367134</c:v>
                      </c:pt>
                      <c:pt idx="5">
                        <c:v>3.1177661419138816</c:v>
                      </c:pt>
                      <c:pt idx="6">
                        <c:v>3.0312645189071588</c:v>
                      </c:pt>
                      <c:pt idx="7">
                        <c:v>3.4340300627787701</c:v>
                      </c:pt>
                      <c:pt idx="8">
                        <c:v>3.3559791760890696</c:v>
                      </c:pt>
                      <c:pt idx="9">
                        <c:v>3.6098713573116306</c:v>
                      </c:pt>
                      <c:pt idx="10">
                        <c:v>4.8103353490929086</c:v>
                      </c:pt>
                      <c:pt idx="11">
                        <c:v>3.6924806799881846</c:v>
                      </c:pt>
                      <c:pt idx="12">
                        <c:v>2.9135714603442904</c:v>
                      </c:pt>
                      <c:pt idx="13">
                        <c:v>2.5732312655396425</c:v>
                      </c:pt>
                      <c:pt idx="14">
                        <c:v>2.7044769495349219</c:v>
                      </c:pt>
                      <c:pt idx="15">
                        <c:v>2.9678068410462775</c:v>
                      </c:pt>
                      <c:pt idx="16">
                        <c:v>3.0240434717880009</c:v>
                      </c:pt>
                      <c:pt idx="17">
                        <c:v>3.0044124505243519</c:v>
                      </c:pt>
                      <c:pt idx="18">
                        <c:v>2.8955412092054225</c:v>
                      </c:pt>
                      <c:pt idx="19">
                        <c:v>2.6414357392514849</c:v>
                      </c:pt>
                      <c:pt idx="20">
                        <c:v>2.779246688940701</c:v>
                      </c:pt>
                      <c:pt idx="21">
                        <c:v>3.8046062911882603</c:v>
                      </c:pt>
                      <c:pt idx="22">
                        <c:v>4.8641825326018866</c:v>
                      </c:pt>
                      <c:pt idx="23">
                        <c:v>4.6899139262855885</c:v>
                      </c:pt>
                      <c:pt idx="24">
                        <c:v>3.9846644266390974</c:v>
                      </c:pt>
                      <c:pt idx="25">
                        <c:v>3.1690009569140138</c:v>
                      </c:pt>
                      <c:pt idx="26">
                        <c:v>2.8855736571277473</c:v>
                      </c:pt>
                      <c:pt idx="27">
                        <c:v>2.8324716752832466</c:v>
                      </c:pt>
                      <c:pt idx="28">
                        <c:v>2.8342416166116391</c:v>
                      </c:pt>
                      <c:pt idx="29">
                        <c:v>3.1334428877809657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39B-4739-9A58-726E59FCB4C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preço!$CC$1</c:f>
              <c:strCache>
                <c:ptCount val="1"/>
                <c:pt idx="0">
                  <c:v>lucro médio por cartela</c:v>
                </c:pt>
              </c:strCache>
            </c:strRef>
          </c:tx>
          <c:spPr>
            <a:ln w="34925" cap="rnd">
              <a:solidFill>
                <a:schemeClr val="bg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preço!$BY$2:$BZ$54</c:f>
              <c:multiLvlStrCache>
                <c:ptCount val="53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  <c:pt idx="52">
                    <c:v>31/12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</c:lvl>
              </c:multiLvlStrCache>
            </c:multiLvlStrRef>
          </c:cat>
          <c:val>
            <c:numRef>
              <c:f>preço!$CC$2:$CC$54</c:f>
              <c:numCache>
                <c:formatCode>_("R$"* #,##0.00_);_("R$"* \(#,##0.00\);_("R$"* "-"??_);_(@_)</c:formatCode>
                <c:ptCount val="53"/>
                <c:pt idx="0">
                  <c:v>3.2085114503816796</c:v>
                </c:pt>
                <c:pt idx="1">
                  <c:v>3.2541748294217481</c:v>
                </c:pt>
                <c:pt idx="2">
                  <c:v>4.2918942731277525</c:v>
                </c:pt>
                <c:pt idx="3">
                  <c:v>4.0289211618257266</c:v>
                </c:pt>
                <c:pt idx="4">
                  <c:v>4.8306122448979592</c:v>
                </c:pt>
                <c:pt idx="5">
                  <c:v>4.009280821917808</c:v>
                </c:pt>
                <c:pt idx="6">
                  <c:v>4.1236915887850465</c:v>
                </c:pt>
                <c:pt idx="7">
                  <c:v>3.6400380228136884</c:v>
                </c:pt>
                <c:pt idx="8">
                  <c:v>3.7246953405017917</c:v>
                </c:pt>
                <c:pt idx="9">
                  <c:v>3.4627272727272729</c:v>
                </c:pt>
                <c:pt idx="10">
                  <c:v>2.5985714285714283</c:v>
                </c:pt>
                <c:pt idx="11">
                  <c:v>3.3852580645161283</c:v>
                </c:pt>
                <c:pt idx="12">
                  <c:v>4.2902671755725192</c:v>
                </c:pt>
                <c:pt idx="13">
                  <c:v>4.857705627705629</c:v>
                </c:pt>
                <c:pt idx="14">
                  <c:v>4.6219658119658122</c:v>
                </c:pt>
                <c:pt idx="15">
                  <c:v>4.2118644067796609</c:v>
                </c:pt>
                <c:pt idx="16">
                  <c:v>4.1335384615384614</c:v>
                </c:pt>
                <c:pt idx="17">
                  <c:v>4.1605472636815923</c:v>
                </c:pt>
                <c:pt idx="18">
                  <c:v>4.3169822485207101</c:v>
                </c:pt>
                <c:pt idx="19">
                  <c:v>4.7322748815165872</c:v>
                </c:pt>
                <c:pt idx="20">
                  <c:v>4.4976216216216223</c:v>
                </c:pt>
                <c:pt idx="21">
                  <c:v>3.2854910714285714</c:v>
                </c:pt>
                <c:pt idx="22">
                  <c:v>2.5698048780487803</c:v>
                </c:pt>
                <c:pt idx="23">
                  <c:v>2.6652941176470586</c:v>
                </c:pt>
                <c:pt idx="24">
                  <c:v>3.1370270270270271</c:v>
                </c:pt>
                <c:pt idx="25">
                  <c:v>3.9444607843137258</c:v>
                </c:pt>
                <c:pt idx="26">
                  <c:v>4.3318942731277543</c:v>
                </c:pt>
                <c:pt idx="27">
                  <c:v>4.4131067961165051</c:v>
                </c:pt>
                <c:pt idx="28">
                  <c:v>4.4103508771929825</c:v>
                </c:pt>
                <c:pt idx="29">
                  <c:v>3.9892222222222218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9B-4739-9A58-726E59FCB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912927"/>
        <c:axId val="979902367"/>
      </c:lineChart>
      <c:catAx>
        <c:axId val="97991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902367"/>
        <c:crosses val="autoZero"/>
        <c:auto val="1"/>
        <c:lblAlgn val="ctr"/>
        <c:lblOffset val="100"/>
        <c:noMultiLvlLbl val="0"/>
      </c:catAx>
      <c:valAx>
        <c:axId val="97990236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79912927"/>
        <c:crosses val="autoZero"/>
        <c:crossBetween val="between"/>
      </c:valAx>
      <c:valAx>
        <c:axId val="6676049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605952"/>
        <c:crosses val="max"/>
        <c:crossBetween val="between"/>
      </c:valAx>
      <c:catAx>
        <c:axId val="66760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604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43619515610864E-4"/>
          <c:y val="0.90962775638446636"/>
          <c:w val="0.48210208162569529"/>
          <c:h val="7.64086058585742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63794811992846E-2"/>
          <c:y val="3.6232259938584116E-2"/>
          <c:w val="0.94076175711226018"/>
          <c:h val="0.7518409985924989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fechamento!$M$20</c:f>
              <c:strCache>
                <c:ptCount val="1"/>
                <c:pt idx="0">
                  <c:v>venda bruta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fechamento!$J$21:$L$51</c:f>
              <c:multiLvlStrCache>
                <c:ptCount val="31"/>
                <c:lvl>
                  <c:pt idx="0">
                    <c:v>30/7</c:v>
                  </c:pt>
                  <c:pt idx="1">
                    <c:v>22/7</c:v>
                  </c:pt>
                  <c:pt idx="2">
                    <c:v>21/7</c:v>
                  </c:pt>
                  <c:pt idx="3">
                    <c:v>20/7</c:v>
                  </c:pt>
                  <c:pt idx="4">
                    <c:v>19/7</c:v>
                  </c:pt>
                  <c:pt idx="5">
                    <c:v>18/7</c:v>
                  </c:pt>
                  <c:pt idx="6">
                    <c:v>17/7</c:v>
                  </c:pt>
                  <c:pt idx="7">
                    <c:v>16/7</c:v>
                  </c:pt>
                  <c:pt idx="8">
                    <c:v>15/7</c:v>
                  </c:pt>
                  <c:pt idx="9">
                    <c:v>14/7</c:v>
                  </c:pt>
                  <c:pt idx="10">
                    <c:v>13/7</c:v>
                  </c:pt>
                  <c:pt idx="11">
                    <c:v>12/7</c:v>
                  </c:pt>
                  <c:pt idx="12">
                    <c:v>11/7</c:v>
                  </c:pt>
                  <c:pt idx="13">
                    <c:v>10/7</c:v>
                  </c:pt>
                  <c:pt idx="14">
                    <c:v>9/7</c:v>
                  </c:pt>
                  <c:pt idx="15">
                    <c:v>8/7</c:v>
                  </c:pt>
                  <c:pt idx="16">
                    <c:v>7/7</c:v>
                  </c:pt>
                  <c:pt idx="17">
                    <c:v>6/7</c:v>
                  </c:pt>
                  <c:pt idx="18">
                    <c:v>5/7</c:v>
                  </c:pt>
                  <c:pt idx="19">
                    <c:v>4/7</c:v>
                  </c:pt>
                  <c:pt idx="20">
                    <c:v>3/7</c:v>
                  </c:pt>
                  <c:pt idx="21">
                    <c:v>2/7</c:v>
                  </c:pt>
                  <c:pt idx="22">
                    <c:v>1/7</c:v>
                  </c:pt>
                  <c:pt idx="23">
                    <c:v>30/6</c:v>
                  </c:pt>
                  <c:pt idx="24">
                    <c:v>29/6</c:v>
                  </c:pt>
                  <c:pt idx="25">
                    <c:v>28/6</c:v>
                  </c:pt>
                  <c:pt idx="26">
                    <c:v>27/6</c:v>
                  </c:pt>
                  <c:pt idx="27">
                    <c:v>26/6</c:v>
                  </c:pt>
                  <c:pt idx="28">
                    <c:v>25/6</c:v>
                  </c:pt>
                  <c:pt idx="29">
                    <c:v>24/6</c:v>
                  </c:pt>
                  <c:pt idx="30">
                    <c:v>23/6</c:v>
                  </c:pt>
                </c:lvl>
                <c:lvl>
                  <c:pt idx="0">
                    <c:v> qui </c:v>
                  </c:pt>
                  <c:pt idx="1">
                    <c:v> qua </c:v>
                  </c:pt>
                  <c:pt idx="2">
                    <c:v> ter </c:v>
                  </c:pt>
                  <c:pt idx="3">
                    <c:v> seg </c:v>
                  </c:pt>
                  <c:pt idx="4">
                    <c:v> dom </c:v>
                  </c:pt>
                  <c:pt idx="5">
                    <c:v> sáb </c:v>
                  </c:pt>
                  <c:pt idx="6">
                    <c:v> sex </c:v>
                  </c:pt>
                  <c:pt idx="7">
                    <c:v> qui </c:v>
                  </c:pt>
                  <c:pt idx="8">
                    <c:v> qua </c:v>
                  </c:pt>
                  <c:pt idx="9">
                    <c:v> ter </c:v>
                  </c:pt>
                  <c:pt idx="10">
                    <c:v> seg </c:v>
                  </c:pt>
                  <c:pt idx="11">
                    <c:v> dom </c:v>
                  </c:pt>
                  <c:pt idx="12">
                    <c:v> sáb </c:v>
                  </c:pt>
                  <c:pt idx="13">
                    <c:v> sex </c:v>
                  </c:pt>
                  <c:pt idx="14">
                    <c:v> qui </c:v>
                  </c:pt>
                  <c:pt idx="15">
                    <c:v> qua </c:v>
                  </c:pt>
                  <c:pt idx="16">
                    <c:v> ter </c:v>
                  </c:pt>
                  <c:pt idx="17">
                    <c:v> seg </c:v>
                  </c:pt>
                  <c:pt idx="18">
                    <c:v> dom </c:v>
                  </c:pt>
                  <c:pt idx="19">
                    <c:v> sáb </c:v>
                  </c:pt>
                  <c:pt idx="20">
                    <c:v> sex </c:v>
                  </c:pt>
                  <c:pt idx="21">
                    <c:v> qui </c:v>
                  </c:pt>
                  <c:pt idx="22">
                    <c:v> qua </c:v>
                  </c:pt>
                  <c:pt idx="23">
                    <c:v> ter </c:v>
                  </c:pt>
                  <c:pt idx="24">
                    <c:v> seg </c:v>
                  </c:pt>
                  <c:pt idx="25">
                    <c:v> dom </c:v>
                  </c:pt>
                  <c:pt idx="26">
                    <c:v> sáb </c:v>
                  </c:pt>
                  <c:pt idx="27">
                    <c:v> sex </c:v>
                  </c:pt>
                  <c:pt idx="28">
                    <c:v> qui </c:v>
                  </c:pt>
                  <c:pt idx="29">
                    <c:v> qua </c:v>
                  </c:pt>
                  <c:pt idx="30">
                    <c:v> ter </c:v>
                  </c:pt>
                </c:lvl>
                <c:lvl>
                  <c:pt idx="0">
                    <c:v>31</c:v>
                  </c:pt>
                  <c:pt idx="1">
                    <c:v>30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29</c:v>
                  </c:pt>
                  <c:pt idx="8">
                    <c:v>29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fechamento!$M$21:$M$51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507</c:v>
                </c:pt>
                <c:pt idx="2">
                  <c:v>718</c:v>
                </c:pt>
                <c:pt idx="3">
                  <c:v>479</c:v>
                </c:pt>
                <c:pt idx="4">
                  <c:v>333</c:v>
                </c:pt>
                <c:pt idx="5">
                  <c:v>287</c:v>
                </c:pt>
                <c:pt idx="6">
                  <c:v>405</c:v>
                </c:pt>
                <c:pt idx="7">
                  <c:v>676</c:v>
                </c:pt>
                <c:pt idx="8">
                  <c:v>256</c:v>
                </c:pt>
                <c:pt idx="9">
                  <c:v>461</c:v>
                </c:pt>
                <c:pt idx="10">
                  <c:v>772</c:v>
                </c:pt>
                <c:pt idx="11">
                  <c:v>956</c:v>
                </c:pt>
                <c:pt idx="12">
                  <c:v>537</c:v>
                </c:pt>
                <c:pt idx="13">
                  <c:v>448</c:v>
                </c:pt>
                <c:pt idx="14">
                  <c:v>656</c:v>
                </c:pt>
                <c:pt idx="15">
                  <c:v>431</c:v>
                </c:pt>
                <c:pt idx="16">
                  <c:v>715</c:v>
                </c:pt>
                <c:pt idx="17">
                  <c:v>549</c:v>
                </c:pt>
                <c:pt idx="18">
                  <c:v>387</c:v>
                </c:pt>
                <c:pt idx="19">
                  <c:v>921</c:v>
                </c:pt>
                <c:pt idx="20">
                  <c:v>648</c:v>
                </c:pt>
                <c:pt idx="21">
                  <c:v>887</c:v>
                </c:pt>
                <c:pt idx="22">
                  <c:v>786</c:v>
                </c:pt>
                <c:pt idx="23">
                  <c:v>879</c:v>
                </c:pt>
                <c:pt idx="24">
                  <c:v>354</c:v>
                </c:pt>
                <c:pt idx="25">
                  <c:v>505</c:v>
                </c:pt>
                <c:pt idx="26">
                  <c:v>444</c:v>
                </c:pt>
                <c:pt idx="27">
                  <c:v>280</c:v>
                </c:pt>
                <c:pt idx="28">
                  <c:v>706</c:v>
                </c:pt>
                <c:pt idx="29">
                  <c:v>518</c:v>
                </c:pt>
                <c:pt idx="30">
                  <c:v>1331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BA-43D9-842F-90017FF282AA}"/>
            </c:ext>
          </c:extLst>
        </c:ser>
        <c:ser>
          <c:idx val="2"/>
          <c:order val="1"/>
          <c:tx>
            <c:strRef>
              <c:f>fechamento!$N$20</c:f>
              <c:strCache>
                <c:ptCount val="1"/>
                <c:pt idx="0">
                  <c:v>faturamento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fechamento!$J$21:$K$51</c:f>
              <c:multiLvlStrCache>
                <c:ptCount val="31"/>
                <c:lvl>
                  <c:pt idx="0">
                    <c:v> qui </c:v>
                  </c:pt>
                  <c:pt idx="1">
                    <c:v> qua </c:v>
                  </c:pt>
                  <c:pt idx="2">
                    <c:v> ter </c:v>
                  </c:pt>
                  <c:pt idx="3">
                    <c:v> seg </c:v>
                  </c:pt>
                  <c:pt idx="4">
                    <c:v> dom </c:v>
                  </c:pt>
                  <c:pt idx="5">
                    <c:v> sáb </c:v>
                  </c:pt>
                  <c:pt idx="6">
                    <c:v> sex </c:v>
                  </c:pt>
                  <c:pt idx="7">
                    <c:v> qui </c:v>
                  </c:pt>
                  <c:pt idx="8">
                    <c:v> qua </c:v>
                  </c:pt>
                  <c:pt idx="9">
                    <c:v> ter </c:v>
                  </c:pt>
                  <c:pt idx="10">
                    <c:v> seg </c:v>
                  </c:pt>
                  <c:pt idx="11">
                    <c:v> dom </c:v>
                  </c:pt>
                  <c:pt idx="12">
                    <c:v> sáb </c:v>
                  </c:pt>
                  <c:pt idx="13">
                    <c:v> sex </c:v>
                  </c:pt>
                  <c:pt idx="14">
                    <c:v> qui </c:v>
                  </c:pt>
                  <c:pt idx="15">
                    <c:v> qua </c:v>
                  </c:pt>
                  <c:pt idx="16">
                    <c:v> ter </c:v>
                  </c:pt>
                  <c:pt idx="17">
                    <c:v> seg </c:v>
                  </c:pt>
                  <c:pt idx="18">
                    <c:v> dom </c:v>
                  </c:pt>
                  <c:pt idx="19">
                    <c:v> sáb </c:v>
                  </c:pt>
                  <c:pt idx="20">
                    <c:v> sex </c:v>
                  </c:pt>
                  <c:pt idx="21">
                    <c:v> qui </c:v>
                  </c:pt>
                  <c:pt idx="22">
                    <c:v> qua </c:v>
                  </c:pt>
                  <c:pt idx="23">
                    <c:v> ter </c:v>
                  </c:pt>
                  <c:pt idx="24">
                    <c:v> seg </c:v>
                  </c:pt>
                  <c:pt idx="25">
                    <c:v> dom </c:v>
                  </c:pt>
                  <c:pt idx="26">
                    <c:v> sáb </c:v>
                  </c:pt>
                  <c:pt idx="27">
                    <c:v> sex </c:v>
                  </c:pt>
                  <c:pt idx="28">
                    <c:v> qui </c:v>
                  </c:pt>
                  <c:pt idx="29">
                    <c:v> qua </c:v>
                  </c:pt>
                  <c:pt idx="30">
                    <c:v> ter </c:v>
                  </c:pt>
                </c:lvl>
                <c:lvl>
                  <c:pt idx="0">
                    <c:v>31</c:v>
                  </c:pt>
                  <c:pt idx="1">
                    <c:v>30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29</c:v>
                  </c:pt>
                  <c:pt idx="8">
                    <c:v>29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fechamento!$N$21:$N$51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408</c:v>
                </c:pt>
                <c:pt idx="2">
                  <c:v>718</c:v>
                </c:pt>
                <c:pt idx="3">
                  <c:v>675</c:v>
                </c:pt>
                <c:pt idx="4">
                  <c:v>294</c:v>
                </c:pt>
                <c:pt idx="5">
                  <c:v>287</c:v>
                </c:pt>
                <c:pt idx="6">
                  <c:v>405</c:v>
                </c:pt>
                <c:pt idx="7">
                  <c:v>562</c:v>
                </c:pt>
                <c:pt idx="8">
                  <c:v>236</c:v>
                </c:pt>
                <c:pt idx="9">
                  <c:v>347</c:v>
                </c:pt>
                <c:pt idx="10">
                  <c:v>1022</c:v>
                </c:pt>
                <c:pt idx="11">
                  <c:v>740</c:v>
                </c:pt>
                <c:pt idx="12">
                  <c:v>517</c:v>
                </c:pt>
                <c:pt idx="13">
                  <c:v>772</c:v>
                </c:pt>
                <c:pt idx="14">
                  <c:v>294</c:v>
                </c:pt>
                <c:pt idx="15">
                  <c:v>513</c:v>
                </c:pt>
                <c:pt idx="16">
                  <c:v>715</c:v>
                </c:pt>
                <c:pt idx="17">
                  <c:v>759</c:v>
                </c:pt>
                <c:pt idx="18">
                  <c:v>387</c:v>
                </c:pt>
                <c:pt idx="19">
                  <c:v>915</c:v>
                </c:pt>
                <c:pt idx="20">
                  <c:v>666</c:v>
                </c:pt>
                <c:pt idx="21">
                  <c:v>1060</c:v>
                </c:pt>
                <c:pt idx="22">
                  <c:v>638</c:v>
                </c:pt>
                <c:pt idx="23">
                  <c:v>1000</c:v>
                </c:pt>
                <c:pt idx="24">
                  <c:v>582</c:v>
                </c:pt>
                <c:pt idx="25">
                  <c:v>634.5</c:v>
                </c:pt>
                <c:pt idx="26">
                  <c:v>424</c:v>
                </c:pt>
                <c:pt idx="27">
                  <c:v>184</c:v>
                </c:pt>
                <c:pt idx="28">
                  <c:v>592</c:v>
                </c:pt>
                <c:pt idx="29">
                  <c:v>404</c:v>
                </c:pt>
                <c:pt idx="30">
                  <c:v>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BA-43D9-842F-90017FF2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4672656"/>
        <c:axId val="1554676496"/>
      </c:barChart>
      <c:lineChart>
        <c:grouping val="standard"/>
        <c:varyColors val="0"/>
        <c:ser>
          <c:idx val="3"/>
          <c:order val="2"/>
          <c:tx>
            <c:strRef>
              <c:f>fechamento!$O$20</c:f>
              <c:strCache>
                <c:ptCount val="1"/>
                <c:pt idx="0">
                  <c:v>meta mensal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fechamento!$J$21:$K$51</c:f>
              <c:multiLvlStrCache>
                <c:ptCount val="31"/>
                <c:lvl>
                  <c:pt idx="0">
                    <c:v> qui </c:v>
                  </c:pt>
                  <c:pt idx="1">
                    <c:v> qua </c:v>
                  </c:pt>
                  <c:pt idx="2">
                    <c:v> ter </c:v>
                  </c:pt>
                  <c:pt idx="3">
                    <c:v> seg </c:v>
                  </c:pt>
                  <c:pt idx="4">
                    <c:v> dom </c:v>
                  </c:pt>
                  <c:pt idx="5">
                    <c:v> sáb </c:v>
                  </c:pt>
                  <c:pt idx="6">
                    <c:v> sex </c:v>
                  </c:pt>
                  <c:pt idx="7">
                    <c:v> qui </c:v>
                  </c:pt>
                  <c:pt idx="8">
                    <c:v> qua </c:v>
                  </c:pt>
                  <c:pt idx="9">
                    <c:v> ter </c:v>
                  </c:pt>
                  <c:pt idx="10">
                    <c:v> seg </c:v>
                  </c:pt>
                  <c:pt idx="11">
                    <c:v> dom </c:v>
                  </c:pt>
                  <c:pt idx="12">
                    <c:v> sáb </c:v>
                  </c:pt>
                  <c:pt idx="13">
                    <c:v> sex </c:v>
                  </c:pt>
                  <c:pt idx="14">
                    <c:v> qui </c:v>
                  </c:pt>
                  <c:pt idx="15">
                    <c:v> qua </c:v>
                  </c:pt>
                  <c:pt idx="16">
                    <c:v> ter </c:v>
                  </c:pt>
                  <c:pt idx="17">
                    <c:v> seg </c:v>
                  </c:pt>
                  <c:pt idx="18">
                    <c:v> dom </c:v>
                  </c:pt>
                  <c:pt idx="19">
                    <c:v> sáb </c:v>
                  </c:pt>
                  <c:pt idx="20">
                    <c:v> sex </c:v>
                  </c:pt>
                  <c:pt idx="21">
                    <c:v> qui </c:v>
                  </c:pt>
                  <c:pt idx="22">
                    <c:v> qua </c:v>
                  </c:pt>
                  <c:pt idx="23">
                    <c:v> ter </c:v>
                  </c:pt>
                  <c:pt idx="24">
                    <c:v> seg </c:v>
                  </c:pt>
                  <c:pt idx="25">
                    <c:v> dom </c:v>
                  </c:pt>
                  <c:pt idx="26">
                    <c:v> sáb </c:v>
                  </c:pt>
                  <c:pt idx="27">
                    <c:v> sex </c:v>
                  </c:pt>
                  <c:pt idx="28">
                    <c:v> qui </c:v>
                  </c:pt>
                  <c:pt idx="29">
                    <c:v> qua </c:v>
                  </c:pt>
                  <c:pt idx="30">
                    <c:v> ter </c:v>
                  </c:pt>
                </c:lvl>
                <c:lvl>
                  <c:pt idx="0">
                    <c:v>31</c:v>
                  </c:pt>
                  <c:pt idx="1">
                    <c:v>30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29</c:v>
                  </c:pt>
                  <c:pt idx="8">
                    <c:v>29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fechamento!$O$21:$O$51</c:f>
              <c:numCache>
                <c:formatCode>_("R$"* #,##0.00_);_("R$"* \(#,##0.00\);_("R$"* "-"??_);_(@_)</c:formatCode>
                <c:ptCount val="31"/>
                <c:pt idx="0">
                  <c:v>277.69183333333336</c:v>
                </c:pt>
                <c:pt idx="1">
                  <c:v>162.91499999999999</c:v>
                </c:pt>
                <c:pt idx="2">
                  <c:v>662.65750000000014</c:v>
                </c:pt>
                <c:pt idx="3">
                  <c:v>571.21300000000008</c:v>
                </c:pt>
                <c:pt idx="4">
                  <c:v>478.92200000000003</c:v>
                </c:pt>
                <c:pt idx="5">
                  <c:v>374.19600000000003</c:v>
                </c:pt>
                <c:pt idx="6">
                  <c:v>308.87650000000002</c:v>
                </c:pt>
                <c:pt idx="7">
                  <c:v>288.40550000000007</c:v>
                </c:pt>
                <c:pt idx="8">
                  <c:v>158.53200000000001</c:v>
                </c:pt>
                <c:pt idx="9">
                  <c:v>350.44900000000007</c:v>
                </c:pt>
                <c:pt idx="10">
                  <c:v>355.07800000000009</c:v>
                </c:pt>
                <c:pt idx="11">
                  <c:v>404.26350000000008</c:v>
                </c:pt>
                <c:pt idx="12">
                  <c:v>360.37600000000009</c:v>
                </c:pt>
                <c:pt idx="13">
                  <c:v>270.40450000000004</c:v>
                </c:pt>
                <c:pt idx="14">
                  <c:v>248.452</c:v>
                </c:pt>
                <c:pt idx="15">
                  <c:v>164.46</c:v>
                </c:pt>
                <c:pt idx="16">
                  <c:v>327.52550000000002</c:v>
                </c:pt>
                <c:pt idx="17">
                  <c:v>284.54400000000004</c:v>
                </c:pt>
                <c:pt idx="18">
                  <c:v>191.20700000000002</c:v>
                </c:pt>
                <c:pt idx="19">
                  <c:v>223.03100000000003</c:v>
                </c:pt>
                <c:pt idx="20">
                  <c:v>177.50200000000001</c:v>
                </c:pt>
                <c:pt idx="21">
                  <c:v>177.8715</c:v>
                </c:pt>
                <c:pt idx="22">
                  <c:v>173.05950000000001</c:v>
                </c:pt>
                <c:pt idx="23">
                  <c:v>647.7650000000001</c:v>
                </c:pt>
                <c:pt idx="24">
                  <c:v>531.11750000000018</c:v>
                </c:pt>
                <c:pt idx="25">
                  <c:v>477.05850000000009</c:v>
                </c:pt>
                <c:pt idx="26">
                  <c:v>400.85300000000001</c:v>
                </c:pt>
                <c:pt idx="27">
                  <c:v>259.74400000000003</c:v>
                </c:pt>
                <c:pt idx="28">
                  <c:v>247.96300000000002</c:v>
                </c:pt>
                <c:pt idx="29">
                  <c:v>164.58600000000001</c:v>
                </c:pt>
                <c:pt idx="30">
                  <c:v>721.56750000000011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BA-43D9-842F-90017FF282AA}"/>
            </c:ext>
          </c:extLst>
        </c:ser>
        <c:ser>
          <c:idx val="4"/>
          <c:order val="3"/>
          <c:tx>
            <c:strRef>
              <c:f>fechamento!$P$20</c:f>
              <c:strCache>
                <c:ptCount val="1"/>
                <c:pt idx="0">
                  <c:v>lucro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fechamento!$J$21:$K$51</c:f>
              <c:multiLvlStrCache>
                <c:ptCount val="31"/>
                <c:lvl>
                  <c:pt idx="0">
                    <c:v> qui </c:v>
                  </c:pt>
                  <c:pt idx="1">
                    <c:v> qua </c:v>
                  </c:pt>
                  <c:pt idx="2">
                    <c:v> ter </c:v>
                  </c:pt>
                  <c:pt idx="3">
                    <c:v> seg </c:v>
                  </c:pt>
                  <c:pt idx="4">
                    <c:v> dom </c:v>
                  </c:pt>
                  <c:pt idx="5">
                    <c:v> sáb </c:v>
                  </c:pt>
                  <c:pt idx="6">
                    <c:v> sex </c:v>
                  </c:pt>
                  <c:pt idx="7">
                    <c:v> qui </c:v>
                  </c:pt>
                  <c:pt idx="8">
                    <c:v> qua </c:v>
                  </c:pt>
                  <c:pt idx="9">
                    <c:v> ter </c:v>
                  </c:pt>
                  <c:pt idx="10">
                    <c:v> seg </c:v>
                  </c:pt>
                  <c:pt idx="11">
                    <c:v> dom </c:v>
                  </c:pt>
                  <c:pt idx="12">
                    <c:v> sáb </c:v>
                  </c:pt>
                  <c:pt idx="13">
                    <c:v> sex </c:v>
                  </c:pt>
                  <c:pt idx="14">
                    <c:v> qui </c:v>
                  </c:pt>
                  <c:pt idx="15">
                    <c:v> qua </c:v>
                  </c:pt>
                  <c:pt idx="16">
                    <c:v> ter </c:v>
                  </c:pt>
                  <c:pt idx="17">
                    <c:v> seg </c:v>
                  </c:pt>
                  <c:pt idx="18">
                    <c:v> dom </c:v>
                  </c:pt>
                  <c:pt idx="19">
                    <c:v> sáb </c:v>
                  </c:pt>
                  <c:pt idx="20">
                    <c:v> sex </c:v>
                  </c:pt>
                  <c:pt idx="21">
                    <c:v> qui </c:v>
                  </c:pt>
                  <c:pt idx="22">
                    <c:v> qua </c:v>
                  </c:pt>
                  <c:pt idx="23">
                    <c:v> ter </c:v>
                  </c:pt>
                  <c:pt idx="24">
                    <c:v> seg </c:v>
                  </c:pt>
                  <c:pt idx="25">
                    <c:v> dom </c:v>
                  </c:pt>
                  <c:pt idx="26">
                    <c:v> sáb </c:v>
                  </c:pt>
                  <c:pt idx="27">
                    <c:v> sex </c:v>
                  </c:pt>
                  <c:pt idx="28">
                    <c:v> qui </c:v>
                  </c:pt>
                  <c:pt idx="29">
                    <c:v> qua </c:v>
                  </c:pt>
                  <c:pt idx="30">
                    <c:v> ter </c:v>
                  </c:pt>
                </c:lvl>
                <c:lvl>
                  <c:pt idx="0">
                    <c:v>31</c:v>
                  </c:pt>
                  <c:pt idx="1">
                    <c:v>30</c:v>
                  </c:pt>
                  <c:pt idx="2">
                    <c:v>29</c:v>
                  </c:pt>
                  <c:pt idx="3">
                    <c:v>29</c:v>
                  </c:pt>
                  <c:pt idx="4">
                    <c:v>29</c:v>
                  </c:pt>
                  <c:pt idx="5">
                    <c:v>29</c:v>
                  </c:pt>
                  <c:pt idx="6">
                    <c:v>29</c:v>
                  </c:pt>
                  <c:pt idx="7">
                    <c:v>29</c:v>
                  </c:pt>
                  <c:pt idx="8">
                    <c:v>29</c:v>
                  </c:pt>
                  <c:pt idx="9">
                    <c:v>28</c:v>
                  </c:pt>
                  <c:pt idx="10">
                    <c:v>28</c:v>
                  </c:pt>
                  <c:pt idx="11">
                    <c:v>28</c:v>
                  </c:pt>
                  <c:pt idx="12">
                    <c:v>28</c:v>
                  </c:pt>
                  <c:pt idx="13">
                    <c:v>28</c:v>
                  </c:pt>
                  <c:pt idx="14">
                    <c:v>28</c:v>
                  </c:pt>
                  <c:pt idx="15">
                    <c:v>28</c:v>
                  </c:pt>
                  <c:pt idx="16">
                    <c:v>27</c:v>
                  </c:pt>
                  <c:pt idx="17">
                    <c:v>27</c:v>
                  </c:pt>
                  <c:pt idx="18">
                    <c:v>27</c:v>
                  </c:pt>
                  <c:pt idx="19">
                    <c:v>27</c:v>
                  </c:pt>
                  <c:pt idx="20">
                    <c:v>27</c:v>
                  </c:pt>
                  <c:pt idx="21">
                    <c:v>27</c:v>
                  </c:pt>
                  <c:pt idx="22">
                    <c:v>27</c:v>
                  </c:pt>
                  <c:pt idx="23">
                    <c:v>26</c:v>
                  </c:pt>
                  <c:pt idx="24">
                    <c:v>26</c:v>
                  </c:pt>
                  <c:pt idx="25">
                    <c:v>26</c:v>
                  </c:pt>
                  <c:pt idx="26">
                    <c:v>26</c:v>
                  </c:pt>
                  <c:pt idx="27">
                    <c:v>26</c:v>
                  </c:pt>
                  <c:pt idx="28">
                    <c:v>26</c:v>
                  </c:pt>
                  <c:pt idx="29">
                    <c:v>26</c:v>
                  </c:pt>
                  <c:pt idx="30">
                    <c:v>25</c:v>
                  </c:pt>
                </c:lvl>
              </c:multiLvlStrCache>
            </c:multiLvlStrRef>
          </c:cat>
          <c:val>
            <c:numRef>
              <c:f>fechamento!$P$21:$P$51</c:f>
              <c:numCache>
                <c:formatCode>_("R$"* #,##0.00_);_("R$"* \(#,##0.00\);_("R$"* "-"??_);_(@_)</c:formatCode>
                <c:ptCount val="31"/>
                <c:pt idx="0">
                  <c:v>117.18999999999998</c:v>
                </c:pt>
                <c:pt idx="1">
                  <c:v>86.1</c:v>
                </c:pt>
                <c:pt idx="2">
                  <c:v>171.84999999999997</c:v>
                </c:pt>
                <c:pt idx="3">
                  <c:v>93.62</c:v>
                </c:pt>
                <c:pt idx="4">
                  <c:v>82.68</c:v>
                </c:pt>
                <c:pt idx="5">
                  <c:v>70.44</c:v>
                </c:pt>
                <c:pt idx="6">
                  <c:v>103.10999999999999</c:v>
                </c:pt>
                <c:pt idx="7">
                  <c:v>146.37</c:v>
                </c:pt>
                <c:pt idx="8">
                  <c:v>56.879999999999995</c:v>
                </c:pt>
                <c:pt idx="9">
                  <c:v>94.859999999999985</c:v>
                </c:pt>
                <c:pt idx="10">
                  <c:v>167.12</c:v>
                </c:pt>
                <c:pt idx="11">
                  <c:v>215.29000000000002</c:v>
                </c:pt>
                <c:pt idx="12">
                  <c:v>140.63999999999999</c:v>
                </c:pt>
                <c:pt idx="13">
                  <c:v>90.83</c:v>
                </c:pt>
                <c:pt idx="14">
                  <c:v>143.47999999999999</c:v>
                </c:pt>
                <c:pt idx="15">
                  <c:v>96.399999999999991</c:v>
                </c:pt>
                <c:pt idx="16">
                  <c:v>154.96999999999997</c:v>
                </c:pt>
                <c:pt idx="17">
                  <c:v>133.56000000000003</c:v>
                </c:pt>
                <c:pt idx="18">
                  <c:v>86.97999999999999</c:v>
                </c:pt>
                <c:pt idx="19">
                  <c:v>189.74</c:v>
                </c:pt>
                <c:pt idx="20">
                  <c:v>135.88</c:v>
                </c:pt>
                <c:pt idx="21">
                  <c:v>185.81</c:v>
                </c:pt>
                <c:pt idx="22">
                  <c:v>153.73000000000002</c:v>
                </c:pt>
                <c:pt idx="23">
                  <c:v>179.10000000000002</c:v>
                </c:pt>
                <c:pt idx="24">
                  <c:v>72.650000000000006</c:v>
                </c:pt>
                <c:pt idx="25">
                  <c:v>113.19</c:v>
                </c:pt>
                <c:pt idx="26">
                  <c:v>99.22</c:v>
                </c:pt>
                <c:pt idx="27">
                  <c:v>40.96</c:v>
                </c:pt>
                <c:pt idx="28">
                  <c:v>145.82</c:v>
                </c:pt>
                <c:pt idx="29">
                  <c:v>97.24</c:v>
                </c:pt>
                <c:pt idx="30">
                  <c:v>248.05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7-492D-BA09-FBC800C5E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9545328"/>
        <c:axId val="1569528528"/>
      </c:lineChart>
      <c:catAx>
        <c:axId val="155467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76496"/>
        <c:crosses val="autoZero"/>
        <c:auto val="1"/>
        <c:lblAlgn val="ctr"/>
        <c:lblOffset val="100"/>
        <c:noMultiLvlLbl val="0"/>
      </c:catAx>
      <c:valAx>
        <c:axId val="15546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72656"/>
        <c:crosses val="autoZero"/>
        <c:crossBetween val="between"/>
        <c:majorUnit val="250"/>
        <c:minorUnit val="20"/>
      </c:valAx>
      <c:valAx>
        <c:axId val="1569528528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in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9545328"/>
        <c:crosses val="max"/>
        <c:crossBetween val="between"/>
      </c:valAx>
      <c:catAx>
        <c:axId val="156954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952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220634301002071E-5"/>
          <c:y val="0.81535351778156862"/>
          <c:w val="9.3831227565719946E-2"/>
          <c:h val="0.157198085083161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5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fechamento!$N$52</c:f>
              <c:strCache>
                <c:ptCount val="1"/>
                <c:pt idx="0">
                  <c:v>valor de saída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fechamento!$J$53:$K$104</c:f>
              <c:multiLvlStrCache>
                <c:ptCount val="52"/>
                <c:lvl>
                  <c:pt idx="0">
                    <c:v>1/1</c:v>
                  </c:pt>
                  <c:pt idx="1">
                    <c:v>8/1</c:v>
                  </c:pt>
                  <c:pt idx="2">
                    <c:v>15/1</c:v>
                  </c:pt>
                  <c:pt idx="3">
                    <c:v>22/1</c:v>
                  </c:pt>
                  <c:pt idx="4">
                    <c:v>29/1</c:v>
                  </c:pt>
                  <c:pt idx="5">
                    <c:v>5/2</c:v>
                  </c:pt>
                  <c:pt idx="6">
                    <c:v>12/2</c:v>
                  </c:pt>
                  <c:pt idx="7">
                    <c:v>19/2</c:v>
                  </c:pt>
                  <c:pt idx="8">
                    <c:v>26/2</c:v>
                  </c:pt>
                  <c:pt idx="9">
                    <c:v>5/3</c:v>
                  </c:pt>
                  <c:pt idx="10">
                    <c:v>12/3</c:v>
                  </c:pt>
                  <c:pt idx="11">
                    <c:v>19/3</c:v>
                  </c:pt>
                  <c:pt idx="12">
                    <c:v>26/3</c:v>
                  </c:pt>
                  <c:pt idx="13">
                    <c:v>2/4</c:v>
                  </c:pt>
                  <c:pt idx="14">
                    <c:v>9/4</c:v>
                  </c:pt>
                  <c:pt idx="15">
                    <c:v>16/4</c:v>
                  </c:pt>
                  <c:pt idx="16">
                    <c:v>23/4</c:v>
                  </c:pt>
                  <c:pt idx="17">
                    <c:v>30/4</c:v>
                  </c:pt>
                  <c:pt idx="18">
                    <c:v>7/5</c:v>
                  </c:pt>
                  <c:pt idx="19">
                    <c:v>14/5</c:v>
                  </c:pt>
                  <c:pt idx="20">
                    <c:v>21/5</c:v>
                  </c:pt>
                  <c:pt idx="21">
                    <c:v>28/5</c:v>
                  </c:pt>
                  <c:pt idx="22">
                    <c:v>4/6</c:v>
                  </c:pt>
                  <c:pt idx="23">
                    <c:v>11/6</c:v>
                  </c:pt>
                  <c:pt idx="24">
                    <c:v>18/6</c:v>
                  </c:pt>
                  <c:pt idx="25">
                    <c:v>25/6</c:v>
                  </c:pt>
                  <c:pt idx="26">
                    <c:v>2/7</c:v>
                  </c:pt>
                  <c:pt idx="27">
                    <c:v>9/7</c:v>
                  </c:pt>
                  <c:pt idx="28">
                    <c:v>16/7</c:v>
                  </c:pt>
                  <c:pt idx="29">
                    <c:v>23/7</c:v>
                  </c:pt>
                  <c:pt idx="30">
                    <c:v>30/7</c:v>
                  </c:pt>
                  <c:pt idx="31">
                    <c:v>6/8</c:v>
                  </c:pt>
                  <c:pt idx="32">
                    <c:v>13/8</c:v>
                  </c:pt>
                  <c:pt idx="33">
                    <c:v>20/8</c:v>
                  </c:pt>
                  <c:pt idx="34">
                    <c:v>27/8</c:v>
                  </c:pt>
                  <c:pt idx="35">
                    <c:v>3/9</c:v>
                  </c:pt>
                  <c:pt idx="36">
                    <c:v>10/9</c:v>
                  </c:pt>
                  <c:pt idx="37">
                    <c:v>17/9</c:v>
                  </c:pt>
                  <c:pt idx="38">
                    <c:v>24/9</c:v>
                  </c:pt>
                  <c:pt idx="39">
                    <c:v>1/10</c:v>
                  </c:pt>
                  <c:pt idx="40">
                    <c:v>8/10</c:v>
                  </c:pt>
                  <c:pt idx="41">
                    <c:v>15/10</c:v>
                  </c:pt>
                  <c:pt idx="42">
                    <c:v>22/10</c:v>
                  </c:pt>
                  <c:pt idx="43">
                    <c:v>29/10</c:v>
                  </c:pt>
                  <c:pt idx="44">
                    <c:v>5/11</c:v>
                  </c:pt>
                  <c:pt idx="45">
                    <c:v>12/11</c:v>
                  </c:pt>
                  <c:pt idx="46">
                    <c:v>19/11</c:v>
                  </c:pt>
                  <c:pt idx="47">
                    <c:v>26/11</c:v>
                  </c:pt>
                  <c:pt idx="48">
                    <c:v>3/12</c:v>
                  </c:pt>
                  <c:pt idx="49">
                    <c:v>10/12</c:v>
                  </c:pt>
                  <c:pt idx="50">
                    <c:v>17/12</c:v>
                  </c:pt>
                  <c:pt idx="51">
                    <c:v>24/12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</c:lvl>
              </c:multiLvlStrCache>
            </c:multiLvlStrRef>
          </c:cat>
          <c:val>
            <c:numRef>
              <c:f>fechamento!$N$53:$N$105</c:f>
              <c:numCache>
                <c:formatCode>_("R$"* #,##0.00_);_("R$"* \(#,##0.00\);_("R$"* "-"??_);_(@_)</c:formatCode>
                <c:ptCount val="53"/>
                <c:pt idx="0">
                  <c:v>5137</c:v>
                </c:pt>
                <c:pt idx="1">
                  <c:v>4922.5</c:v>
                </c:pt>
                <c:pt idx="2">
                  <c:v>4535</c:v>
                </c:pt>
                <c:pt idx="3">
                  <c:v>4559.5</c:v>
                </c:pt>
                <c:pt idx="4">
                  <c:v>3778</c:v>
                </c:pt>
                <c:pt idx="5">
                  <c:v>5365</c:v>
                </c:pt>
                <c:pt idx="6">
                  <c:v>3946</c:v>
                </c:pt>
                <c:pt idx="7">
                  <c:v>4668</c:v>
                </c:pt>
                <c:pt idx="8">
                  <c:v>4928</c:v>
                </c:pt>
                <c:pt idx="9">
                  <c:v>4214</c:v>
                </c:pt>
                <c:pt idx="10">
                  <c:v>4294</c:v>
                </c:pt>
                <c:pt idx="11">
                  <c:v>5554</c:v>
                </c:pt>
                <c:pt idx="12">
                  <c:v>4903.5</c:v>
                </c:pt>
                <c:pt idx="13">
                  <c:v>4685</c:v>
                </c:pt>
                <c:pt idx="14">
                  <c:v>4892.5</c:v>
                </c:pt>
                <c:pt idx="15">
                  <c:v>4890.25</c:v>
                </c:pt>
                <c:pt idx="16">
                  <c:v>4071</c:v>
                </c:pt>
                <c:pt idx="17">
                  <c:v>4215</c:v>
                </c:pt>
                <c:pt idx="18">
                  <c:v>3572</c:v>
                </c:pt>
                <c:pt idx="19">
                  <c:v>4396.25</c:v>
                </c:pt>
                <c:pt idx="20">
                  <c:v>3807</c:v>
                </c:pt>
                <c:pt idx="21">
                  <c:v>4325</c:v>
                </c:pt>
                <c:pt idx="22">
                  <c:v>3742</c:v>
                </c:pt>
                <c:pt idx="23">
                  <c:v>3396</c:v>
                </c:pt>
                <c:pt idx="24">
                  <c:v>4797</c:v>
                </c:pt>
                <c:pt idx="25">
                  <c:v>3954</c:v>
                </c:pt>
                <c:pt idx="26">
                  <c:v>4538</c:v>
                </c:pt>
                <c:pt idx="27">
                  <c:v>4086</c:v>
                </c:pt>
                <c:pt idx="28">
                  <c:v>3405</c:v>
                </c:pt>
                <c:pt idx="29">
                  <c:v>3487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77-4901-9040-1694ABEB5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24052208"/>
        <c:axId val="11240536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fechamento!$O$52</c15:sqref>
                        </c15:formulaRef>
                      </c:ext>
                    </c:extLst>
                    <c:strCache>
                      <c:ptCount val="1"/>
                      <c:pt idx="0">
                        <c:v>faturamento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fechamento!$J$53:$K$104</c15:sqref>
                        </c15:formulaRef>
                      </c:ext>
                    </c:extLst>
                    <c:multiLvlStrCache>
                      <c:ptCount val="52"/>
                      <c:lvl>
                        <c:pt idx="0">
                          <c:v>1/1</c:v>
                        </c:pt>
                        <c:pt idx="1">
                          <c:v>8/1</c:v>
                        </c:pt>
                        <c:pt idx="2">
                          <c:v>15/1</c:v>
                        </c:pt>
                        <c:pt idx="3">
                          <c:v>22/1</c:v>
                        </c:pt>
                        <c:pt idx="4">
                          <c:v>29/1</c:v>
                        </c:pt>
                        <c:pt idx="5">
                          <c:v>5/2</c:v>
                        </c:pt>
                        <c:pt idx="6">
                          <c:v>12/2</c:v>
                        </c:pt>
                        <c:pt idx="7">
                          <c:v>19/2</c:v>
                        </c:pt>
                        <c:pt idx="8">
                          <c:v>26/2</c:v>
                        </c:pt>
                        <c:pt idx="9">
                          <c:v>5/3</c:v>
                        </c:pt>
                        <c:pt idx="10">
                          <c:v>12/3</c:v>
                        </c:pt>
                        <c:pt idx="11">
                          <c:v>19/3</c:v>
                        </c:pt>
                        <c:pt idx="12">
                          <c:v>26/3</c:v>
                        </c:pt>
                        <c:pt idx="13">
                          <c:v>2/4</c:v>
                        </c:pt>
                        <c:pt idx="14">
                          <c:v>9/4</c:v>
                        </c:pt>
                        <c:pt idx="15">
                          <c:v>16/4</c:v>
                        </c:pt>
                        <c:pt idx="16">
                          <c:v>23/4</c:v>
                        </c:pt>
                        <c:pt idx="17">
                          <c:v>30/4</c:v>
                        </c:pt>
                        <c:pt idx="18">
                          <c:v>7/5</c:v>
                        </c:pt>
                        <c:pt idx="19">
                          <c:v>14/5</c:v>
                        </c:pt>
                        <c:pt idx="20">
                          <c:v>21/5</c:v>
                        </c:pt>
                        <c:pt idx="21">
                          <c:v>28/5</c:v>
                        </c:pt>
                        <c:pt idx="22">
                          <c:v>4/6</c:v>
                        </c:pt>
                        <c:pt idx="23">
                          <c:v>11/6</c:v>
                        </c:pt>
                        <c:pt idx="24">
                          <c:v>18/6</c:v>
                        </c:pt>
                        <c:pt idx="25">
                          <c:v>25/6</c:v>
                        </c:pt>
                        <c:pt idx="26">
                          <c:v>2/7</c:v>
                        </c:pt>
                        <c:pt idx="27">
                          <c:v>9/7</c:v>
                        </c:pt>
                        <c:pt idx="28">
                          <c:v>16/7</c:v>
                        </c:pt>
                        <c:pt idx="29">
                          <c:v>23/7</c:v>
                        </c:pt>
                        <c:pt idx="30">
                          <c:v>30/7</c:v>
                        </c:pt>
                        <c:pt idx="31">
                          <c:v>6/8</c:v>
                        </c:pt>
                        <c:pt idx="32">
                          <c:v>13/8</c:v>
                        </c:pt>
                        <c:pt idx="33">
                          <c:v>20/8</c:v>
                        </c:pt>
                        <c:pt idx="34">
                          <c:v>27/8</c:v>
                        </c:pt>
                        <c:pt idx="35">
                          <c:v>3/9</c:v>
                        </c:pt>
                        <c:pt idx="36">
                          <c:v>10/9</c:v>
                        </c:pt>
                        <c:pt idx="37">
                          <c:v>17/9</c:v>
                        </c:pt>
                        <c:pt idx="38">
                          <c:v>24/9</c:v>
                        </c:pt>
                        <c:pt idx="39">
                          <c:v>1/10</c:v>
                        </c:pt>
                        <c:pt idx="40">
                          <c:v>8/10</c:v>
                        </c:pt>
                        <c:pt idx="41">
                          <c:v>15/10</c:v>
                        </c:pt>
                        <c:pt idx="42">
                          <c:v>22/10</c:v>
                        </c:pt>
                        <c:pt idx="43">
                          <c:v>29/10</c:v>
                        </c:pt>
                        <c:pt idx="44">
                          <c:v>5/11</c:v>
                        </c:pt>
                        <c:pt idx="45">
                          <c:v>12/11</c:v>
                        </c:pt>
                        <c:pt idx="46">
                          <c:v>19/11</c:v>
                        </c:pt>
                        <c:pt idx="47">
                          <c:v>26/11</c:v>
                        </c:pt>
                        <c:pt idx="48">
                          <c:v>3/12</c:v>
                        </c:pt>
                        <c:pt idx="49">
                          <c:v>10/12</c:v>
                        </c:pt>
                        <c:pt idx="50">
                          <c:v>17/12</c:v>
                        </c:pt>
                        <c:pt idx="51">
                          <c:v>24/12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2</c:v>
                        </c:pt>
                        <c:pt idx="2">
                          <c:v>3</c:v>
                        </c:pt>
                        <c:pt idx="3">
                          <c:v>4</c:v>
                        </c:pt>
                        <c:pt idx="4">
                          <c:v>5</c:v>
                        </c:pt>
                        <c:pt idx="5">
                          <c:v>6</c:v>
                        </c:pt>
                        <c:pt idx="6">
                          <c:v>7</c:v>
                        </c:pt>
                        <c:pt idx="7">
                          <c:v>8</c:v>
                        </c:pt>
                        <c:pt idx="8">
                          <c:v>9</c:v>
                        </c:pt>
                        <c:pt idx="9">
                          <c:v>10</c:v>
                        </c:pt>
                        <c:pt idx="10">
                          <c:v>11</c:v>
                        </c:pt>
                        <c:pt idx="11">
                          <c:v>12</c:v>
                        </c:pt>
                        <c:pt idx="12">
                          <c:v>13</c:v>
                        </c:pt>
                        <c:pt idx="13">
                          <c:v>14</c:v>
                        </c:pt>
                        <c:pt idx="14">
                          <c:v>15</c:v>
                        </c:pt>
                        <c:pt idx="15">
                          <c:v>16</c:v>
                        </c:pt>
                        <c:pt idx="16">
                          <c:v>17</c:v>
                        </c:pt>
                        <c:pt idx="17">
                          <c:v>18</c:v>
                        </c:pt>
                        <c:pt idx="18">
                          <c:v>19</c:v>
                        </c:pt>
                        <c:pt idx="19">
                          <c:v>20</c:v>
                        </c:pt>
                        <c:pt idx="20">
                          <c:v>21</c:v>
                        </c:pt>
                        <c:pt idx="21">
                          <c:v>22</c:v>
                        </c:pt>
                        <c:pt idx="22">
                          <c:v>23</c:v>
                        </c:pt>
                        <c:pt idx="23">
                          <c:v>24</c:v>
                        </c:pt>
                        <c:pt idx="24">
                          <c:v>25</c:v>
                        </c:pt>
                        <c:pt idx="25">
                          <c:v>26</c:v>
                        </c:pt>
                        <c:pt idx="26">
                          <c:v>27</c:v>
                        </c:pt>
                        <c:pt idx="27">
                          <c:v>28</c:v>
                        </c:pt>
                        <c:pt idx="28">
                          <c:v>29</c:v>
                        </c:pt>
                        <c:pt idx="29">
                          <c:v>30</c:v>
                        </c:pt>
                        <c:pt idx="30">
                          <c:v>31</c:v>
                        </c:pt>
                        <c:pt idx="31">
                          <c:v>32</c:v>
                        </c:pt>
                        <c:pt idx="32">
                          <c:v>33</c:v>
                        </c:pt>
                        <c:pt idx="33">
                          <c:v>34</c:v>
                        </c:pt>
                        <c:pt idx="34">
                          <c:v>35</c:v>
                        </c:pt>
                        <c:pt idx="35">
                          <c:v>36</c:v>
                        </c:pt>
                        <c:pt idx="36">
                          <c:v>37</c:v>
                        </c:pt>
                        <c:pt idx="37">
                          <c:v>38</c:v>
                        </c:pt>
                        <c:pt idx="38">
                          <c:v>39</c:v>
                        </c:pt>
                        <c:pt idx="39">
                          <c:v>40</c:v>
                        </c:pt>
                        <c:pt idx="40">
                          <c:v>41</c:v>
                        </c:pt>
                        <c:pt idx="41">
                          <c:v>42</c:v>
                        </c:pt>
                        <c:pt idx="42">
                          <c:v>43</c:v>
                        </c:pt>
                        <c:pt idx="43">
                          <c:v>44</c:v>
                        </c:pt>
                        <c:pt idx="44">
                          <c:v>45</c:v>
                        </c:pt>
                        <c:pt idx="45">
                          <c:v>46</c:v>
                        </c:pt>
                        <c:pt idx="46">
                          <c:v>47</c:v>
                        </c:pt>
                        <c:pt idx="47">
                          <c:v>48</c:v>
                        </c:pt>
                        <c:pt idx="48">
                          <c:v>49</c:v>
                        </c:pt>
                        <c:pt idx="49">
                          <c:v>50</c:v>
                        </c:pt>
                        <c:pt idx="50">
                          <c:v>51</c:v>
                        </c:pt>
                        <c:pt idx="51">
                          <c:v>52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fechamento!$O$53:$O$105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3"/>
                      <c:pt idx="0">
                        <c:v>4960.5</c:v>
                      </c:pt>
                      <c:pt idx="1">
                        <c:v>5090</c:v>
                      </c:pt>
                      <c:pt idx="2">
                        <c:v>4088</c:v>
                      </c:pt>
                      <c:pt idx="3">
                        <c:v>4818.5</c:v>
                      </c:pt>
                      <c:pt idx="4">
                        <c:v>3662</c:v>
                      </c:pt>
                      <c:pt idx="5">
                        <c:v>4926</c:v>
                      </c:pt>
                      <c:pt idx="6">
                        <c:v>4485.5</c:v>
                      </c:pt>
                      <c:pt idx="7">
                        <c:v>4517</c:v>
                      </c:pt>
                      <c:pt idx="8">
                        <c:v>4440</c:v>
                      </c:pt>
                      <c:pt idx="9">
                        <c:v>4837</c:v>
                      </c:pt>
                      <c:pt idx="10">
                        <c:v>3854</c:v>
                      </c:pt>
                      <c:pt idx="11">
                        <c:v>4953</c:v>
                      </c:pt>
                      <c:pt idx="12">
                        <c:v>4691</c:v>
                      </c:pt>
                      <c:pt idx="13">
                        <c:v>5280</c:v>
                      </c:pt>
                      <c:pt idx="14">
                        <c:v>4927.5</c:v>
                      </c:pt>
                      <c:pt idx="15">
                        <c:v>4982.25</c:v>
                      </c:pt>
                      <c:pt idx="16">
                        <c:v>4278</c:v>
                      </c:pt>
                      <c:pt idx="17">
                        <c:v>4789</c:v>
                      </c:pt>
                      <c:pt idx="18">
                        <c:v>3076.5</c:v>
                      </c:pt>
                      <c:pt idx="19">
                        <c:v>4350.25</c:v>
                      </c:pt>
                      <c:pt idx="20">
                        <c:v>4038.5</c:v>
                      </c:pt>
                      <c:pt idx="21">
                        <c:v>4190.5</c:v>
                      </c:pt>
                      <c:pt idx="22">
                        <c:v>4037</c:v>
                      </c:pt>
                      <c:pt idx="23">
                        <c:v>3395</c:v>
                      </c:pt>
                      <c:pt idx="24">
                        <c:v>4061</c:v>
                      </c:pt>
                      <c:pt idx="25">
                        <c:v>4054.5</c:v>
                      </c:pt>
                      <c:pt idx="26">
                        <c:v>5015</c:v>
                      </c:pt>
                      <c:pt idx="27">
                        <c:v>3928</c:v>
                      </c:pt>
                      <c:pt idx="28">
                        <c:v>3349</c:v>
                      </c:pt>
                      <c:pt idx="29">
                        <c:v>3430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F77-4901-9040-1694ABEB56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fechamento!$P$52</c:f>
              <c:strCache>
                <c:ptCount val="1"/>
                <c:pt idx="0">
                  <c:v>lucro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fechamento!$P$53:$P$105</c:f>
              <c:numCache>
                <c:formatCode>_("R$"* #,##0.00_);_("R$"* \(#,##0.00\);_("R$"* "-"??_);_(@_)</c:formatCode>
                <c:ptCount val="53"/>
                <c:pt idx="0">
                  <c:v>840.62999999999988</c:v>
                </c:pt>
                <c:pt idx="1">
                  <c:v>846.08545564965414</c:v>
                </c:pt>
                <c:pt idx="2">
                  <c:v>974.26</c:v>
                </c:pt>
                <c:pt idx="3">
                  <c:v>970.96999999999991</c:v>
                </c:pt>
                <c:pt idx="4">
                  <c:v>946.80000000000007</c:v>
                </c:pt>
                <c:pt idx="5">
                  <c:v>1170.7100000000003</c:v>
                </c:pt>
                <c:pt idx="6">
                  <c:v>882.47</c:v>
                </c:pt>
                <c:pt idx="7">
                  <c:v>957.32999999999981</c:v>
                </c:pt>
                <c:pt idx="8">
                  <c:v>1039.19</c:v>
                </c:pt>
                <c:pt idx="9">
                  <c:v>837.9799999999999</c:v>
                </c:pt>
                <c:pt idx="10">
                  <c:v>673.02999999999986</c:v>
                </c:pt>
                <c:pt idx="11">
                  <c:v>1049.4299999999996</c:v>
                </c:pt>
                <c:pt idx="12">
                  <c:v>1124.05</c:v>
                </c:pt>
                <c:pt idx="13">
                  <c:v>1122.1299999999999</c:v>
                </c:pt>
                <c:pt idx="14">
                  <c:v>1081.54</c:v>
                </c:pt>
                <c:pt idx="15">
                  <c:v>993.99999999999989</c:v>
                </c:pt>
                <c:pt idx="16">
                  <c:v>806.04</c:v>
                </c:pt>
                <c:pt idx="17">
                  <c:v>836.2700000000001</c:v>
                </c:pt>
                <c:pt idx="18">
                  <c:v>729.57</c:v>
                </c:pt>
                <c:pt idx="19">
                  <c:v>998.5100000000001</c:v>
                </c:pt>
                <c:pt idx="20">
                  <c:v>832.06</c:v>
                </c:pt>
                <c:pt idx="21">
                  <c:v>735.94999999999982</c:v>
                </c:pt>
                <c:pt idx="22">
                  <c:v>526.81000000000006</c:v>
                </c:pt>
                <c:pt idx="23">
                  <c:v>498.40999999999997</c:v>
                </c:pt>
                <c:pt idx="24">
                  <c:v>812.49000000000012</c:v>
                </c:pt>
                <c:pt idx="25">
                  <c:v>804.67000000000007</c:v>
                </c:pt>
                <c:pt idx="26">
                  <c:v>983.3399999999998</c:v>
                </c:pt>
                <c:pt idx="27">
                  <c:v>909.09999999999991</c:v>
                </c:pt>
                <c:pt idx="28">
                  <c:v>754.17000000000007</c:v>
                </c:pt>
                <c:pt idx="29">
                  <c:v>718.06000000000006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77-4901-9040-1694ABEB5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269008"/>
        <c:axId val="1909267568"/>
      </c:lineChart>
      <c:catAx>
        <c:axId val="11240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4053648"/>
        <c:crosses val="autoZero"/>
        <c:auto val="1"/>
        <c:lblAlgn val="ctr"/>
        <c:lblOffset val="100"/>
        <c:noMultiLvlLbl val="0"/>
      </c:catAx>
      <c:valAx>
        <c:axId val="11240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4052208"/>
        <c:crosses val="autoZero"/>
        <c:crossBetween val="between"/>
      </c:valAx>
      <c:valAx>
        <c:axId val="1909267568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9269008"/>
        <c:crosses val="max"/>
        <c:crossBetween val="between"/>
        <c:majorUnit val="250"/>
      </c:valAx>
      <c:catAx>
        <c:axId val="190926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90926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39691580204078E-2"/>
          <c:y val="3.9868979599457052E-2"/>
          <c:w val="0.96520616839591844"/>
          <c:h val="0.786542819151326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estoque!$L$12</c:f>
              <c:strCache>
                <c:ptCount val="1"/>
                <c:pt idx="0">
                  <c:v>AB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</c:numCache>
            </c:numRef>
          </c:cat>
          <c:val>
            <c:numRef>
              <c:f>estoque!$L$13:$L$19</c:f>
              <c:numCache>
                <c:formatCode>0</c:formatCode>
                <c:ptCount val="7"/>
                <c:pt idx="0">
                  <c:v>12</c:v>
                </c:pt>
                <c:pt idx="1">
                  <c:v>9</c:v>
                </c:pt>
                <c:pt idx="2">
                  <c:v>14</c:v>
                </c:pt>
                <c:pt idx="3">
                  <c:v>24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3-46E0-8DD3-0568326C0CEF}"/>
            </c:ext>
          </c:extLst>
        </c:ser>
        <c:ser>
          <c:idx val="1"/>
          <c:order val="1"/>
          <c:tx>
            <c:strRef>
              <c:f>estoque!$M$12</c:f>
              <c:strCache>
                <c:ptCount val="1"/>
                <c:pt idx="0">
                  <c:v>BB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</c:numCache>
            </c:numRef>
          </c:cat>
          <c:val>
            <c:numRef>
              <c:f>estoque!$M$13:$M$19</c:f>
              <c:numCache>
                <c:formatCode>0</c:formatCode>
                <c:ptCount val="7"/>
                <c:pt idx="0">
                  <c:v>9</c:v>
                </c:pt>
                <c:pt idx="1">
                  <c:v>6.2857142857142856</c:v>
                </c:pt>
                <c:pt idx="2">
                  <c:v>12</c:v>
                </c:pt>
                <c:pt idx="3">
                  <c:v>3</c:v>
                </c:pt>
                <c:pt idx="4">
                  <c:v>5.2857142857142856</c:v>
                </c:pt>
                <c:pt idx="5">
                  <c:v>7</c:v>
                </c:pt>
                <c:pt idx="6">
                  <c:v>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813-46E0-8DD3-0568326C0CEF}"/>
            </c:ext>
          </c:extLst>
        </c:ser>
        <c:ser>
          <c:idx val="2"/>
          <c:order val="2"/>
          <c:tx>
            <c:strRef>
              <c:f>estoque!$N$12</c:f>
              <c:strCache>
                <c:ptCount val="1"/>
                <c:pt idx="0">
                  <c:v>CB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</c:numCache>
            </c:numRef>
          </c:cat>
          <c:val>
            <c:numRef>
              <c:f>estoque!$N$13:$N$19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813-46E0-8DD3-0568326C0CEF}"/>
            </c:ext>
          </c:extLst>
        </c:ser>
        <c:ser>
          <c:idx val="3"/>
          <c:order val="3"/>
          <c:tx>
            <c:strRef>
              <c:f>estoque!$O$12</c:f>
              <c:strCache>
                <c:ptCount val="1"/>
                <c:pt idx="0">
                  <c:v>EB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</c:numCache>
            </c:numRef>
          </c:cat>
          <c:val>
            <c:numRef>
              <c:f>estoque!$O$13:$O$19</c:f>
              <c:numCache>
                <c:formatCode>0</c:formatCode>
                <c:ptCount val="7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18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3-46E0-8DD3-0568326C0CEF}"/>
            </c:ext>
          </c:extLst>
        </c:ser>
        <c:ser>
          <c:idx val="4"/>
          <c:order val="4"/>
          <c:tx>
            <c:strRef>
              <c:f>estoque!$P$12</c:f>
              <c:strCache>
                <c:ptCount val="1"/>
                <c:pt idx="0">
                  <c:v>JB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estoque!$K$13:$K$19</c:f>
              <c:numCache>
                <c:formatCode>d/m;@</c:formatCode>
                <c:ptCount val="7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</c:numCache>
            </c:numRef>
          </c:cat>
          <c:val>
            <c:numRef>
              <c:f>estoque!$P$13:$P$19</c:f>
              <c:numCache>
                <c:formatCode>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6.1428571428571432</c:v>
                </c:pt>
                <c:pt idx="4">
                  <c:v>4</c:v>
                </c:pt>
                <c:pt idx="5">
                  <c:v>10</c:v>
                </c:pt>
                <c:pt idx="6">
                  <c:v>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813-46E0-8DD3-0568326C0C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6539648"/>
        <c:axId val="156526688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estoque!$Q$12</c15:sqref>
                        </c15:formulaRef>
                      </c:ext>
                    </c:extLst>
                    <c:strCache>
                      <c:ptCount val="1"/>
                      <c:pt idx="0">
                        <c:v>AV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46232</c:v>
                      </c:pt>
                      <c:pt idx="1">
                        <c:v>46231</c:v>
                      </c:pt>
                      <c:pt idx="2">
                        <c:v>46230</c:v>
                      </c:pt>
                      <c:pt idx="3">
                        <c:v>46229</c:v>
                      </c:pt>
                      <c:pt idx="4">
                        <c:v>46228</c:v>
                      </c:pt>
                      <c:pt idx="5">
                        <c:v>46227</c:v>
                      </c:pt>
                      <c:pt idx="6">
                        <c:v>46226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estoque!$Q$13:$Q$19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813-46E0-8DD3-0568326C0CEF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estoque!$R$12</c15:sqref>
                        </c15:formulaRef>
                      </c:ext>
                    </c:extLst>
                    <c:strCache>
                      <c:ptCount val="1"/>
                      <c:pt idx="0">
                        <c:v>BV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46232</c:v>
                      </c:pt>
                      <c:pt idx="1">
                        <c:v>46231</c:v>
                      </c:pt>
                      <c:pt idx="2">
                        <c:v>46230</c:v>
                      </c:pt>
                      <c:pt idx="3">
                        <c:v>46229</c:v>
                      </c:pt>
                      <c:pt idx="4">
                        <c:v>46228</c:v>
                      </c:pt>
                      <c:pt idx="5">
                        <c:v>46227</c:v>
                      </c:pt>
                      <c:pt idx="6">
                        <c:v>46226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estoque!$R$13:$R$19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813-46E0-8DD3-0568326C0CE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estoque!$S$12</c15:sqref>
                        </c15:formulaRef>
                      </c:ext>
                    </c:extLst>
                    <c:strCache>
                      <c:ptCount val="1"/>
                      <c:pt idx="0">
                        <c:v>CV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46232</c:v>
                      </c:pt>
                      <c:pt idx="1">
                        <c:v>46231</c:v>
                      </c:pt>
                      <c:pt idx="2">
                        <c:v>46230</c:v>
                      </c:pt>
                      <c:pt idx="3">
                        <c:v>46229</c:v>
                      </c:pt>
                      <c:pt idx="4">
                        <c:v>46228</c:v>
                      </c:pt>
                      <c:pt idx="5">
                        <c:v>46227</c:v>
                      </c:pt>
                      <c:pt idx="6">
                        <c:v>46226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estoque!$S$13:$S$19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813-46E0-8DD3-0568326C0CEF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estoque!$T$12</c15:sqref>
                        </c15:formulaRef>
                      </c:ext>
                    </c:extLst>
                    <c:strCache>
                      <c:ptCount val="1"/>
                      <c:pt idx="0">
                        <c:v>EV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46232</c:v>
                      </c:pt>
                      <c:pt idx="1">
                        <c:v>46231</c:v>
                      </c:pt>
                      <c:pt idx="2">
                        <c:v>46230</c:v>
                      </c:pt>
                      <c:pt idx="3">
                        <c:v>46229</c:v>
                      </c:pt>
                      <c:pt idx="4">
                        <c:v>46228</c:v>
                      </c:pt>
                      <c:pt idx="5">
                        <c:v>46227</c:v>
                      </c:pt>
                      <c:pt idx="6">
                        <c:v>46226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estoque!$T$13:$T$19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813-46E0-8DD3-0568326C0CEF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estoque!$U$12</c15:sqref>
                        </c15:formulaRef>
                      </c:ext>
                    </c:extLst>
                    <c:strCache>
                      <c:ptCount val="1"/>
                      <c:pt idx="0">
                        <c:v>JV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estoque!$K$13:$K$19</c15:sqref>
                        </c15:formulaRef>
                      </c:ext>
                    </c:extLst>
                    <c:numCache>
                      <c:formatCode>d/m;@</c:formatCode>
                      <c:ptCount val="7"/>
                      <c:pt idx="0">
                        <c:v>46232</c:v>
                      </c:pt>
                      <c:pt idx="1">
                        <c:v>46231</c:v>
                      </c:pt>
                      <c:pt idx="2">
                        <c:v>46230</c:v>
                      </c:pt>
                      <c:pt idx="3">
                        <c:v>46229</c:v>
                      </c:pt>
                      <c:pt idx="4">
                        <c:v>46228</c:v>
                      </c:pt>
                      <c:pt idx="5">
                        <c:v>46227</c:v>
                      </c:pt>
                      <c:pt idx="6">
                        <c:v>46226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estoque!$U$13:$U$19</c15:sqref>
                        </c15:formulaRef>
                      </c:ext>
                    </c:extLst>
                    <c:numCache>
                      <c:formatCode>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813-46E0-8DD3-0568326C0CEF}"/>
                  </c:ext>
                </c:extLst>
              </c15:ser>
            </c15:filteredBarSeries>
          </c:ext>
        </c:extLst>
      </c:barChart>
      <c:dateAx>
        <c:axId val="156539648"/>
        <c:scaling>
          <c:orientation val="maxMin"/>
        </c:scaling>
        <c:delete val="0"/>
        <c:axPos val="b"/>
        <c:numFmt formatCode="d/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526688"/>
        <c:crosses val="autoZero"/>
        <c:auto val="1"/>
        <c:lblOffset val="100"/>
        <c:baseTimeUnit val="days"/>
      </c:dateAx>
      <c:valAx>
        <c:axId val="156526688"/>
        <c:scaling>
          <c:orientation val="minMax"/>
        </c:scaling>
        <c:delete val="1"/>
        <c:axPos val="r"/>
        <c:numFmt formatCode="0" sourceLinked="1"/>
        <c:majorTickMark val="none"/>
        <c:minorTickMark val="none"/>
        <c:tickLblPos val="nextTo"/>
        <c:crossAx val="15653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2646213198302011E-3"/>
          <c:y val="5.985578420471166E-2"/>
          <c:w val="3.2581477010238134E-2"/>
          <c:h val="0.940144215795288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000000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estoque!$AV$1</c:f>
              <c:strCache>
                <c:ptCount val="1"/>
                <c:pt idx="0">
                  <c:v>compra necessaria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  <c:pt idx="7">
                  <c:v>46225</c:v>
                </c:pt>
                <c:pt idx="8">
                  <c:v>46224</c:v>
                </c:pt>
                <c:pt idx="9">
                  <c:v>46223</c:v>
                </c:pt>
                <c:pt idx="10">
                  <c:v>46222</c:v>
                </c:pt>
                <c:pt idx="11">
                  <c:v>46221</c:v>
                </c:pt>
                <c:pt idx="12">
                  <c:v>46220</c:v>
                </c:pt>
                <c:pt idx="13">
                  <c:v>46219</c:v>
                </c:pt>
                <c:pt idx="14">
                  <c:v>46218</c:v>
                </c:pt>
                <c:pt idx="15">
                  <c:v>46217</c:v>
                </c:pt>
                <c:pt idx="16">
                  <c:v>46216</c:v>
                </c:pt>
                <c:pt idx="17">
                  <c:v>46215</c:v>
                </c:pt>
                <c:pt idx="18">
                  <c:v>46214</c:v>
                </c:pt>
                <c:pt idx="19">
                  <c:v>46213</c:v>
                </c:pt>
                <c:pt idx="20">
                  <c:v>46212</c:v>
                </c:pt>
                <c:pt idx="21">
                  <c:v>46211</c:v>
                </c:pt>
                <c:pt idx="22">
                  <c:v>46210</c:v>
                </c:pt>
                <c:pt idx="23">
                  <c:v>46209</c:v>
                </c:pt>
                <c:pt idx="24">
                  <c:v>46208</c:v>
                </c:pt>
                <c:pt idx="25">
                  <c:v>46207</c:v>
                </c:pt>
                <c:pt idx="26">
                  <c:v>46206</c:v>
                </c:pt>
                <c:pt idx="27">
                  <c:v>46205</c:v>
                </c:pt>
                <c:pt idx="28">
                  <c:v>46204</c:v>
                </c:pt>
                <c:pt idx="29">
                  <c:v>46203</c:v>
                </c:pt>
                <c:pt idx="30">
                  <c:v>46202</c:v>
                </c:pt>
                <c:pt idx="31">
                  <c:v>46201</c:v>
                </c:pt>
                <c:pt idx="32">
                  <c:v>46200</c:v>
                </c:pt>
                <c:pt idx="33">
                  <c:v>46199</c:v>
                </c:pt>
                <c:pt idx="34">
                  <c:v>46198</c:v>
                </c:pt>
                <c:pt idx="35">
                  <c:v>46197</c:v>
                </c:pt>
                <c:pt idx="36">
                  <c:v>46196</c:v>
                </c:pt>
                <c:pt idx="37">
                  <c:v>46195</c:v>
                </c:pt>
                <c:pt idx="38">
                  <c:v>46194</c:v>
                </c:pt>
                <c:pt idx="39">
                  <c:v>46193</c:v>
                </c:pt>
                <c:pt idx="40">
                  <c:v>46192</c:v>
                </c:pt>
                <c:pt idx="41">
                  <c:v>46191</c:v>
                </c:pt>
                <c:pt idx="42">
                  <c:v>46190</c:v>
                </c:pt>
                <c:pt idx="43">
                  <c:v>46189</c:v>
                </c:pt>
                <c:pt idx="44">
                  <c:v>46188</c:v>
                </c:pt>
                <c:pt idx="45">
                  <c:v>46187</c:v>
                </c:pt>
                <c:pt idx="46">
                  <c:v>46186</c:v>
                </c:pt>
                <c:pt idx="47">
                  <c:v>46185</c:v>
                </c:pt>
                <c:pt idx="48">
                  <c:v>46184</c:v>
                </c:pt>
                <c:pt idx="49">
                  <c:v>46183</c:v>
                </c:pt>
                <c:pt idx="50">
                  <c:v>46182</c:v>
                </c:pt>
                <c:pt idx="51">
                  <c:v>46181</c:v>
                </c:pt>
                <c:pt idx="52">
                  <c:v>46180</c:v>
                </c:pt>
                <c:pt idx="53">
                  <c:v>46179</c:v>
                </c:pt>
                <c:pt idx="54">
                  <c:v>46178</c:v>
                </c:pt>
                <c:pt idx="55">
                  <c:v>46177</c:v>
                </c:pt>
                <c:pt idx="56">
                  <c:v>46176</c:v>
                </c:pt>
                <c:pt idx="57">
                  <c:v>46175</c:v>
                </c:pt>
                <c:pt idx="58">
                  <c:v>46174</c:v>
                </c:pt>
                <c:pt idx="59">
                  <c:v>46173</c:v>
                </c:pt>
                <c:pt idx="60">
                  <c:v>46172</c:v>
                </c:pt>
                <c:pt idx="61">
                  <c:v>46171</c:v>
                </c:pt>
              </c:numCache>
            </c:numRef>
          </c:cat>
          <c:val>
            <c:numRef>
              <c:f>estoque!$AV$2:$AV$64</c:f>
              <c:numCache>
                <c:formatCode>0</c:formatCode>
                <c:ptCount val="63"/>
                <c:pt idx="0">
                  <c:v>19.285714285714288</c:v>
                </c:pt>
                <c:pt idx="1">
                  <c:v>19.285714285714288</c:v>
                </c:pt>
                <c:pt idx="2">
                  <c:v>21.428571428571427</c:v>
                </c:pt>
                <c:pt idx="3">
                  <c:v>20.25</c:v>
                </c:pt>
                <c:pt idx="4">
                  <c:v>18.214285714285712</c:v>
                </c:pt>
                <c:pt idx="5">
                  <c:v>18.857142857142858</c:v>
                </c:pt>
                <c:pt idx="6">
                  <c:v>16.821428571428573</c:v>
                </c:pt>
                <c:pt idx="7">
                  <c:v>18.321428571428573</c:v>
                </c:pt>
                <c:pt idx="8">
                  <c:v>16.714285714285712</c:v>
                </c:pt>
                <c:pt idx="9">
                  <c:v>15.535714285714285</c:v>
                </c:pt>
                <c:pt idx="10">
                  <c:v>17.142857142857142</c:v>
                </c:pt>
                <c:pt idx="11">
                  <c:v>20.571428571428569</c:v>
                </c:pt>
                <c:pt idx="12">
                  <c:v>21.75</c:v>
                </c:pt>
                <c:pt idx="13">
                  <c:v>22.178571428571427</c:v>
                </c:pt>
                <c:pt idx="14">
                  <c:v>22.071428571428573</c:v>
                </c:pt>
                <c:pt idx="15">
                  <c:v>22.928571428571431</c:v>
                </c:pt>
                <c:pt idx="16">
                  <c:v>24.214285714285719</c:v>
                </c:pt>
                <c:pt idx="17">
                  <c:v>22.714285714285712</c:v>
                </c:pt>
                <c:pt idx="18">
                  <c:v>19.607142857142858</c:v>
                </c:pt>
                <c:pt idx="19">
                  <c:v>21.964285714285712</c:v>
                </c:pt>
                <c:pt idx="20">
                  <c:v>23.035714285714288</c:v>
                </c:pt>
                <c:pt idx="21">
                  <c:v>24.321428571428573</c:v>
                </c:pt>
                <c:pt idx="22">
                  <c:v>26.464285714285719</c:v>
                </c:pt>
                <c:pt idx="23">
                  <c:v>27.535714285714288</c:v>
                </c:pt>
                <c:pt idx="24">
                  <c:v>26.678571428571431</c:v>
                </c:pt>
                <c:pt idx="25">
                  <c:v>27.321428571428573</c:v>
                </c:pt>
                <c:pt idx="26">
                  <c:v>24.642857142857142</c:v>
                </c:pt>
                <c:pt idx="27">
                  <c:v>22.821428571428569</c:v>
                </c:pt>
                <c:pt idx="28">
                  <c:v>21.857142857142858</c:v>
                </c:pt>
                <c:pt idx="29">
                  <c:v>20.357142857142858</c:v>
                </c:pt>
                <c:pt idx="30">
                  <c:v>22.928571428571427</c:v>
                </c:pt>
                <c:pt idx="31">
                  <c:v>26.142857142857139</c:v>
                </c:pt>
                <c:pt idx="32">
                  <c:v>27.75</c:v>
                </c:pt>
                <c:pt idx="33">
                  <c:v>27.857142857142861</c:v>
                </c:pt>
                <c:pt idx="34">
                  <c:v>27.107142857142861</c:v>
                </c:pt>
                <c:pt idx="35">
                  <c:v>27.750000000000004</c:v>
                </c:pt>
                <c:pt idx="36">
                  <c:v>25.928571428571427</c:v>
                </c:pt>
                <c:pt idx="37">
                  <c:v>20.892857142857142</c:v>
                </c:pt>
                <c:pt idx="38">
                  <c:v>19.607142857142858</c:v>
                </c:pt>
                <c:pt idx="39">
                  <c:v>18.964285714285712</c:v>
                </c:pt>
                <c:pt idx="40">
                  <c:v>19.607142857142858</c:v>
                </c:pt>
                <c:pt idx="41">
                  <c:v>21.428571428571427</c:v>
                </c:pt>
                <c:pt idx="42">
                  <c:v>20.035714285714288</c:v>
                </c:pt>
                <c:pt idx="43">
                  <c:v>21.535714285714288</c:v>
                </c:pt>
                <c:pt idx="44">
                  <c:v>23.035714285714288</c:v>
                </c:pt>
                <c:pt idx="45">
                  <c:v>21.964285714285712</c:v>
                </c:pt>
                <c:pt idx="46">
                  <c:v>21.428571428571431</c:v>
                </c:pt>
                <c:pt idx="47">
                  <c:v>19.928571428571427</c:v>
                </c:pt>
                <c:pt idx="48">
                  <c:v>20.464285714285715</c:v>
                </c:pt>
                <c:pt idx="49">
                  <c:v>21.964285714285719</c:v>
                </c:pt>
                <c:pt idx="50">
                  <c:v>21.428571428571431</c:v>
                </c:pt>
                <c:pt idx="51">
                  <c:v>20.035714285714288</c:v>
                </c:pt>
                <c:pt idx="52">
                  <c:v>20.892857142857142</c:v>
                </c:pt>
                <c:pt idx="53">
                  <c:v>23.571428571428573</c:v>
                </c:pt>
                <c:pt idx="54">
                  <c:v>26.892857142857142</c:v>
                </c:pt>
                <c:pt idx="55">
                  <c:v>24.964285714285712</c:v>
                </c:pt>
                <c:pt idx="56">
                  <c:v>24</c:v>
                </c:pt>
                <c:pt idx="57">
                  <c:v>24.107142857142858</c:v>
                </c:pt>
                <c:pt idx="58">
                  <c:v>26.035714285714281</c:v>
                </c:pt>
                <c:pt idx="59">
                  <c:v>24.857142857142858</c:v>
                </c:pt>
                <c:pt idx="60">
                  <c:v>22.928571428571431</c:v>
                </c:pt>
                <c:pt idx="61">
                  <c:v>20.035714285714281</c:v>
                </c:pt>
                <c:pt idx="62">
                  <c:v>20.035714285714288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732-BB4A-0B7A4A2763EE}"/>
            </c:ext>
          </c:extLst>
        </c:ser>
        <c:ser>
          <c:idx val="1"/>
          <c:order val="1"/>
          <c:tx>
            <c:strRef>
              <c:f>estoque!$AW$1</c:f>
              <c:strCache>
                <c:ptCount val="1"/>
                <c:pt idx="0">
                  <c:v>estoque baixo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  <c:pt idx="7">
                  <c:v>46225</c:v>
                </c:pt>
                <c:pt idx="8">
                  <c:v>46224</c:v>
                </c:pt>
                <c:pt idx="9">
                  <c:v>46223</c:v>
                </c:pt>
                <c:pt idx="10">
                  <c:v>46222</c:v>
                </c:pt>
                <c:pt idx="11">
                  <c:v>46221</c:v>
                </c:pt>
                <c:pt idx="12">
                  <c:v>46220</c:v>
                </c:pt>
                <c:pt idx="13">
                  <c:v>46219</c:v>
                </c:pt>
                <c:pt idx="14">
                  <c:v>46218</c:v>
                </c:pt>
                <c:pt idx="15">
                  <c:v>46217</c:v>
                </c:pt>
                <c:pt idx="16">
                  <c:v>46216</c:v>
                </c:pt>
                <c:pt idx="17">
                  <c:v>46215</c:v>
                </c:pt>
                <c:pt idx="18">
                  <c:v>46214</c:v>
                </c:pt>
                <c:pt idx="19">
                  <c:v>46213</c:v>
                </c:pt>
                <c:pt idx="20">
                  <c:v>46212</c:v>
                </c:pt>
                <c:pt idx="21">
                  <c:v>46211</c:v>
                </c:pt>
                <c:pt idx="22">
                  <c:v>46210</c:v>
                </c:pt>
                <c:pt idx="23">
                  <c:v>46209</c:v>
                </c:pt>
                <c:pt idx="24">
                  <c:v>46208</c:v>
                </c:pt>
                <c:pt idx="25">
                  <c:v>46207</c:v>
                </c:pt>
                <c:pt idx="26">
                  <c:v>46206</c:v>
                </c:pt>
                <c:pt idx="27">
                  <c:v>46205</c:v>
                </c:pt>
                <c:pt idx="28">
                  <c:v>46204</c:v>
                </c:pt>
                <c:pt idx="29">
                  <c:v>46203</c:v>
                </c:pt>
                <c:pt idx="30">
                  <c:v>46202</c:v>
                </c:pt>
                <c:pt idx="31">
                  <c:v>46201</c:v>
                </c:pt>
                <c:pt idx="32">
                  <c:v>46200</c:v>
                </c:pt>
                <c:pt idx="33">
                  <c:v>46199</c:v>
                </c:pt>
                <c:pt idx="34">
                  <c:v>46198</c:v>
                </c:pt>
                <c:pt idx="35">
                  <c:v>46197</c:v>
                </c:pt>
                <c:pt idx="36">
                  <c:v>46196</c:v>
                </c:pt>
                <c:pt idx="37">
                  <c:v>46195</c:v>
                </c:pt>
                <c:pt idx="38">
                  <c:v>46194</c:v>
                </c:pt>
                <c:pt idx="39">
                  <c:v>46193</c:v>
                </c:pt>
                <c:pt idx="40">
                  <c:v>46192</c:v>
                </c:pt>
                <c:pt idx="41">
                  <c:v>46191</c:v>
                </c:pt>
                <c:pt idx="42">
                  <c:v>46190</c:v>
                </c:pt>
                <c:pt idx="43">
                  <c:v>46189</c:v>
                </c:pt>
                <c:pt idx="44">
                  <c:v>46188</c:v>
                </c:pt>
                <c:pt idx="45">
                  <c:v>46187</c:v>
                </c:pt>
                <c:pt idx="46">
                  <c:v>46186</c:v>
                </c:pt>
                <c:pt idx="47">
                  <c:v>46185</c:v>
                </c:pt>
                <c:pt idx="48">
                  <c:v>46184</c:v>
                </c:pt>
                <c:pt idx="49">
                  <c:v>46183</c:v>
                </c:pt>
                <c:pt idx="50">
                  <c:v>46182</c:v>
                </c:pt>
                <c:pt idx="51">
                  <c:v>46181</c:v>
                </c:pt>
                <c:pt idx="52">
                  <c:v>46180</c:v>
                </c:pt>
                <c:pt idx="53">
                  <c:v>46179</c:v>
                </c:pt>
                <c:pt idx="54">
                  <c:v>46178</c:v>
                </c:pt>
                <c:pt idx="55">
                  <c:v>46177</c:v>
                </c:pt>
                <c:pt idx="56">
                  <c:v>46176</c:v>
                </c:pt>
                <c:pt idx="57">
                  <c:v>46175</c:v>
                </c:pt>
                <c:pt idx="58">
                  <c:v>46174</c:v>
                </c:pt>
                <c:pt idx="59">
                  <c:v>46173</c:v>
                </c:pt>
                <c:pt idx="60">
                  <c:v>46172</c:v>
                </c:pt>
                <c:pt idx="61">
                  <c:v>46171</c:v>
                </c:pt>
              </c:numCache>
            </c:numRef>
          </c:cat>
          <c:val>
            <c:numRef>
              <c:f>estoque!$AW$2:$AW$64</c:f>
              <c:numCache>
                <c:formatCode>0</c:formatCode>
                <c:ptCount val="63"/>
                <c:pt idx="0">
                  <c:v>6.4285714285714279</c:v>
                </c:pt>
                <c:pt idx="1">
                  <c:v>6.4285714285714279</c:v>
                </c:pt>
                <c:pt idx="2">
                  <c:v>7.1428571428571432</c:v>
                </c:pt>
                <c:pt idx="3">
                  <c:v>6.75</c:v>
                </c:pt>
                <c:pt idx="4">
                  <c:v>6.0714285714285721</c:v>
                </c:pt>
                <c:pt idx="5">
                  <c:v>6.2857142857142856</c:v>
                </c:pt>
                <c:pt idx="6">
                  <c:v>5.6071428571428568</c:v>
                </c:pt>
                <c:pt idx="7">
                  <c:v>6.1071428571428568</c:v>
                </c:pt>
                <c:pt idx="8">
                  <c:v>5.5714285714285721</c:v>
                </c:pt>
                <c:pt idx="9">
                  <c:v>5.1785714285714288</c:v>
                </c:pt>
                <c:pt idx="10">
                  <c:v>5.7142857142857144</c:v>
                </c:pt>
                <c:pt idx="11">
                  <c:v>6.8571428571428568</c:v>
                </c:pt>
                <c:pt idx="12">
                  <c:v>7.25</c:v>
                </c:pt>
                <c:pt idx="13">
                  <c:v>7.3928571428571432</c:v>
                </c:pt>
                <c:pt idx="14">
                  <c:v>7.3571428571428568</c:v>
                </c:pt>
                <c:pt idx="15">
                  <c:v>7.6428571428571432</c:v>
                </c:pt>
                <c:pt idx="16">
                  <c:v>8.0714285714285712</c:v>
                </c:pt>
                <c:pt idx="17">
                  <c:v>7.5714285714285721</c:v>
                </c:pt>
                <c:pt idx="18">
                  <c:v>6.5357142857142856</c:v>
                </c:pt>
                <c:pt idx="19">
                  <c:v>7.3214285714285721</c:v>
                </c:pt>
                <c:pt idx="20">
                  <c:v>7.6785714285714279</c:v>
                </c:pt>
                <c:pt idx="21">
                  <c:v>8.1071428571428577</c:v>
                </c:pt>
                <c:pt idx="22">
                  <c:v>8.8214285714285712</c:v>
                </c:pt>
                <c:pt idx="23">
                  <c:v>9.1785714285714288</c:v>
                </c:pt>
                <c:pt idx="24">
                  <c:v>8.8928571428571423</c:v>
                </c:pt>
                <c:pt idx="25">
                  <c:v>9.1071428571428577</c:v>
                </c:pt>
                <c:pt idx="26">
                  <c:v>8.2142857142857135</c:v>
                </c:pt>
                <c:pt idx="27">
                  <c:v>7.6071428571428568</c:v>
                </c:pt>
                <c:pt idx="28">
                  <c:v>7.2857142857142856</c:v>
                </c:pt>
                <c:pt idx="29">
                  <c:v>6.7857142857142856</c:v>
                </c:pt>
                <c:pt idx="30">
                  <c:v>7.6428571428571432</c:v>
                </c:pt>
                <c:pt idx="31">
                  <c:v>8.7142857142857135</c:v>
                </c:pt>
                <c:pt idx="32">
                  <c:v>9.25</c:v>
                </c:pt>
                <c:pt idx="33">
                  <c:v>9.2857142857142865</c:v>
                </c:pt>
                <c:pt idx="34">
                  <c:v>9.0357142857142865</c:v>
                </c:pt>
                <c:pt idx="35">
                  <c:v>9.25</c:v>
                </c:pt>
                <c:pt idx="36">
                  <c:v>8.6428571428571423</c:v>
                </c:pt>
                <c:pt idx="37">
                  <c:v>6.9642857142857144</c:v>
                </c:pt>
                <c:pt idx="38">
                  <c:v>6.5357142857142856</c:v>
                </c:pt>
                <c:pt idx="39">
                  <c:v>6.3214285714285721</c:v>
                </c:pt>
                <c:pt idx="40">
                  <c:v>6.5357142857142856</c:v>
                </c:pt>
                <c:pt idx="41">
                  <c:v>7.1428571428571432</c:v>
                </c:pt>
                <c:pt idx="42">
                  <c:v>6.6785714285714279</c:v>
                </c:pt>
                <c:pt idx="43">
                  <c:v>7.1785714285714279</c:v>
                </c:pt>
                <c:pt idx="44">
                  <c:v>7.6785714285714279</c:v>
                </c:pt>
                <c:pt idx="45">
                  <c:v>7.3214285714285721</c:v>
                </c:pt>
                <c:pt idx="46">
                  <c:v>7.1428571428571432</c:v>
                </c:pt>
                <c:pt idx="47">
                  <c:v>6.6428571428571432</c:v>
                </c:pt>
                <c:pt idx="48">
                  <c:v>6.8214285714285721</c:v>
                </c:pt>
                <c:pt idx="49">
                  <c:v>7.3214285714285721</c:v>
                </c:pt>
                <c:pt idx="50">
                  <c:v>7.1428571428571432</c:v>
                </c:pt>
                <c:pt idx="51">
                  <c:v>6.6785714285714279</c:v>
                </c:pt>
                <c:pt idx="52">
                  <c:v>6.9642857142857144</c:v>
                </c:pt>
                <c:pt idx="53">
                  <c:v>7.8571428571428568</c:v>
                </c:pt>
                <c:pt idx="54">
                  <c:v>8.9642857142857135</c:v>
                </c:pt>
                <c:pt idx="55">
                  <c:v>8.3214285714285712</c:v>
                </c:pt>
                <c:pt idx="56">
                  <c:v>8</c:v>
                </c:pt>
                <c:pt idx="57">
                  <c:v>8.0357142857142865</c:v>
                </c:pt>
                <c:pt idx="58">
                  <c:v>8.6785714285714288</c:v>
                </c:pt>
                <c:pt idx="59">
                  <c:v>8.2857142857142865</c:v>
                </c:pt>
                <c:pt idx="60">
                  <c:v>7.6428571428571432</c:v>
                </c:pt>
                <c:pt idx="61">
                  <c:v>6.6785714285714279</c:v>
                </c:pt>
                <c:pt idx="62">
                  <c:v>6.6785714285714279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F-4732-BB4A-0B7A4A2763EE}"/>
            </c:ext>
          </c:extLst>
        </c:ser>
        <c:ser>
          <c:idx val="2"/>
          <c:order val="2"/>
          <c:tx>
            <c:strRef>
              <c:f>estoque!$AX$1</c:f>
              <c:strCache>
                <c:ptCount val="1"/>
                <c:pt idx="0">
                  <c:v>estoque atual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r="5400000" algn="ctr" rotWithShape="0">
                <a:srgbClr val="000000">
                  <a:alpha val="59000"/>
                </a:srgbClr>
              </a:outerShdw>
            </a:effectLst>
          </c:spPr>
          <c:marker>
            <c:symbol val="none"/>
          </c:marker>
          <c:cat>
            <c:numRef>
              <c:f>estoque!$AP$2:$AP$63</c:f>
              <c:numCache>
                <c:formatCode>d/m\ ddd</c:formatCode>
                <c:ptCount val="62"/>
                <c:pt idx="0">
                  <c:v>46232</c:v>
                </c:pt>
                <c:pt idx="1">
                  <c:v>46231</c:v>
                </c:pt>
                <c:pt idx="2">
                  <c:v>46230</c:v>
                </c:pt>
                <c:pt idx="3">
                  <c:v>46229</c:v>
                </c:pt>
                <c:pt idx="4">
                  <c:v>46228</c:v>
                </c:pt>
                <c:pt idx="5">
                  <c:v>46227</c:v>
                </c:pt>
                <c:pt idx="6">
                  <c:v>46226</c:v>
                </c:pt>
                <c:pt idx="7">
                  <c:v>46225</c:v>
                </c:pt>
                <c:pt idx="8">
                  <c:v>46224</c:v>
                </c:pt>
                <c:pt idx="9">
                  <c:v>46223</c:v>
                </c:pt>
                <c:pt idx="10">
                  <c:v>46222</c:v>
                </c:pt>
                <c:pt idx="11">
                  <c:v>46221</c:v>
                </c:pt>
                <c:pt idx="12">
                  <c:v>46220</c:v>
                </c:pt>
                <c:pt idx="13">
                  <c:v>46219</c:v>
                </c:pt>
                <c:pt idx="14">
                  <c:v>46218</c:v>
                </c:pt>
                <c:pt idx="15">
                  <c:v>46217</c:v>
                </c:pt>
                <c:pt idx="16">
                  <c:v>46216</c:v>
                </c:pt>
                <c:pt idx="17">
                  <c:v>46215</c:v>
                </c:pt>
                <c:pt idx="18">
                  <c:v>46214</c:v>
                </c:pt>
                <c:pt idx="19">
                  <c:v>46213</c:v>
                </c:pt>
                <c:pt idx="20">
                  <c:v>46212</c:v>
                </c:pt>
                <c:pt idx="21">
                  <c:v>46211</c:v>
                </c:pt>
                <c:pt idx="22">
                  <c:v>46210</c:v>
                </c:pt>
                <c:pt idx="23">
                  <c:v>46209</c:v>
                </c:pt>
                <c:pt idx="24">
                  <c:v>46208</c:v>
                </c:pt>
                <c:pt idx="25">
                  <c:v>46207</c:v>
                </c:pt>
                <c:pt idx="26">
                  <c:v>46206</c:v>
                </c:pt>
                <c:pt idx="27">
                  <c:v>46205</c:v>
                </c:pt>
                <c:pt idx="28">
                  <c:v>46204</c:v>
                </c:pt>
                <c:pt idx="29">
                  <c:v>46203</c:v>
                </c:pt>
                <c:pt idx="30">
                  <c:v>46202</c:v>
                </c:pt>
                <c:pt idx="31">
                  <c:v>46201</c:v>
                </c:pt>
                <c:pt idx="32">
                  <c:v>46200</c:v>
                </c:pt>
                <c:pt idx="33">
                  <c:v>46199</c:v>
                </c:pt>
                <c:pt idx="34">
                  <c:v>46198</c:v>
                </c:pt>
                <c:pt idx="35">
                  <c:v>46197</c:v>
                </c:pt>
                <c:pt idx="36">
                  <c:v>46196</c:v>
                </c:pt>
                <c:pt idx="37">
                  <c:v>46195</c:v>
                </c:pt>
                <c:pt idx="38">
                  <c:v>46194</c:v>
                </c:pt>
                <c:pt idx="39">
                  <c:v>46193</c:v>
                </c:pt>
                <c:pt idx="40">
                  <c:v>46192</c:v>
                </c:pt>
                <c:pt idx="41">
                  <c:v>46191</c:v>
                </c:pt>
                <c:pt idx="42">
                  <c:v>46190</c:v>
                </c:pt>
                <c:pt idx="43">
                  <c:v>46189</c:v>
                </c:pt>
                <c:pt idx="44">
                  <c:v>46188</c:v>
                </c:pt>
                <c:pt idx="45">
                  <c:v>46187</c:v>
                </c:pt>
                <c:pt idx="46">
                  <c:v>46186</c:v>
                </c:pt>
                <c:pt idx="47">
                  <c:v>46185</c:v>
                </c:pt>
                <c:pt idx="48">
                  <c:v>46184</c:v>
                </c:pt>
                <c:pt idx="49">
                  <c:v>46183</c:v>
                </c:pt>
                <c:pt idx="50">
                  <c:v>46182</c:v>
                </c:pt>
                <c:pt idx="51">
                  <c:v>46181</c:v>
                </c:pt>
                <c:pt idx="52">
                  <c:v>46180</c:v>
                </c:pt>
                <c:pt idx="53">
                  <c:v>46179</c:v>
                </c:pt>
                <c:pt idx="54">
                  <c:v>46178</c:v>
                </c:pt>
                <c:pt idx="55">
                  <c:v>46177</c:v>
                </c:pt>
                <c:pt idx="56">
                  <c:v>46176</c:v>
                </c:pt>
                <c:pt idx="57">
                  <c:v>46175</c:v>
                </c:pt>
                <c:pt idx="58">
                  <c:v>46174</c:v>
                </c:pt>
                <c:pt idx="59">
                  <c:v>46173</c:v>
                </c:pt>
                <c:pt idx="60">
                  <c:v>46172</c:v>
                </c:pt>
                <c:pt idx="61">
                  <c:v>46171</c:v>
                </c:pt>
              </c:numCache>
            </c:numRef>
          </c:cat>
          <c:val>
            <c:numRef>
              <c:f>estoque!$AX$2:$AX$64</c:f>
              <c:numCache>
                <c:formatCode>0</c:formatCode>
                <c:ptCount val="63"/>
                <c:pt idx="0">
                  <c:v>27.5</c:v>
                </c:pt>
                <c:pt idx="1">
                  <c:v>29.833333333333336</c:v>
                </c:pt>
                <c:pt idx="2">
                  <c:v>31.083333333333336</c:v>
                </c:pt>
                <c:pt idx="3">
                  <c:v>34.083333333333329</c:v>
                </c:pt>
                <c:pt idx="4">
                  <c:v>37</c:v>
                </c:pt>
                <c:pt idx="5">
                  <c:v>37.666666666666664</c:v>
                </c:pt>
                <c:pt idx="6">
                  <c:v>15.833333333333332</c:v>
                </c:pt>
                <c:pt idx="7">
                  <c:v>17.5</c:v>
                </c:pt>
                <c:pt idx="8">
                  <c:v>19.833333333333332</c:v>
                </c:pt>
                <c:pt idx="9">
                  <c:v>22.75</c:v>
                </c:pt>
                <c:pt idx="10">
                  <c:v>24.833333333333332</c:v>
                </c:pt>
                <c:pt idx="11">
                  <c:v>26.166666666666668</c:v>
                </c:pt>
                <c:pt idx="12">
                  <c:v>27.333333333333332</c:v>
                </c:pt>
                <c:pt idx="13">
                  <c:v>28.916666666666668</c:v>
                </c:pt>
                <c:pt idx="14">
                  <c:v>31.749999999999996</c:v>
                </c:pt>
                <c:pt idx="15">
                  <c:v>32.833333333333329</c:v>
                </c:pt>
                <c:pt idx="16">
                  <c:v>34.833333333333329</c:v>
                </c:pt>
                <c:pt idx="17">
                  <c:v>38.166666666666664</c:v>
                </c:pt>
                <c:pt idx="18">
                  <c:v>42.166666666666664</c:v>
                </c:pt>
                <c:pt idx="19">
                  <c:v>14.25</c:v>
                </c:pt>
                <c:pt idx="20">
                  <c:v>16.166666666666664</c:v>
                </c:pt>
                <c:pt idx="21">
                  <c:v>18.916666666666664</c:v>
                </c:pt>
                <c:pt idx="22">
                  <c:v>20.666666666666668</c:v>
                </c:pt>
                <c:pt idx="23">
                  <c:v>23.666666666666668</c:v>
                </c:pt>
                <c:pt idx="24">
                  <c:v>25.833333333333332</c:v>
                </c:pt>
                <c:pt idx="25">
                  <c:v>27.416666666666671</c:v>
                </c:pt>
                <c:pt idx="26">
                  <c:v>31.333333333333336</c:v>
                </c:pt>
                <c:pt idx="27">
                  <c:v>34.083333333333336</c:v>
                </c:pt>
                <c:pt idx="28">
                  <c:v>37.833333333333329</c:v>
                </c:pt>
                <c:pt idx="29">
                  <c:v>26.249999999999996</c:v>
                </c:pt>
                <c:pt idx="30">
                  <c:v>30.083333333333336</c:v>
                </c:pt>
                <c:pt idx="31">
                  <c:v>31.583333333333332</c:v>
                </c:pt>
                <c:pt idx="32">
                  <c:v>33.666666666666671</c:v>
                </c:pt>
                <c:pt idx="33">
                  <c:v>35.5</c:v>
                </c:pt>
                <c:pt idx="34">
                  <c:v>7.833333333333333</c:v>
                </c:pt>
                <c:pt idx="35">
                  <c:v>10.833333333333334</c:v>
                </c:pt>
                <c:pt idx="36">
                  <c:v>13.083333333333332</c:v>
                </c:pt>
                <c:pt idx="37">
                  <c:v>18.916666666666664</c:v>
                </c:pt>
                <c:pt idx="38">
                  <c:v>22.916666666666664</c:v>
                </c:pt>
                <c:pt idx="39">
                  <c:v>26.250000000000004</c:v>
                </c:pt>
                <c:pt idx="40">
                  <c:v>28.166666666666668</c:v>
                </c:pt>
                <c:pt idx="41">
                  <c:v>28.916666666666664</c:v>
                </c:pt>
                <c:pt idx="42">
                  <c:v>8.4166666666666661</c:v>
                </c:pt>
                <c:pt idx="43">
                  <c:v>9.25</c:v>
                </c:pt>
                <c:pt idx="44">
                  <c:v>11.166666666666666</c:v>
                </c:pt>
                <c:pt idx="45">
                  <c:v>14.166666666666668</c:v>
                </c:pt>
                <c:pt idx="46">
                  <c:v>17</c:v>
                </c:pt>
                <c:pt idx="47">
                  <c:v>19.416666666666668</c:v>
                </c:pt>
                <c:pt idx="48">
                  <c:v>15.583333333333332</c:v>
                </c:pt>
                <c:pt idx="49">
                  <c:v>18</c:v>
                </c:pt>
                <c:pt idx="50">
                  <c:v>20</c:v>
                </c:pt>
                <c:pt idx="51">
                  <c:v>23.083333333333332</c:v>
                </c:pt>
                <c:pt idx="52">
                  <c:v>25.25</c:v>
                </c:pt>
                <c:pt idx="53">
                  <c:v>27.666666666666671</c:v>
                </c:pt>
                <c:pt idx="54">
                  <c:v>28.916666666666668</c:v>
                </c:pt>
                <c:pt idx="55">
                  <c:v>31.5</c:v>
                </c:pt>
                <c:pt idx="56">
                  <c:v>35.083333333333336</c:v>
                </c:pt>
                <c:pt idx="57">
                  <c:v>36.666666666666664</c:v>
                </c:pt>
                <c:pt idx="58">
                  <c:v>38.666666666666664</c:v>
                </c:pt>
                <c:pt idx="59">
                  <c:v>26.500000000000004</c:v>
                </c:pt>
                <c:pt idx="60">
                  <c:v>31</c:v>
                </c:pt>
                <c:pt idx="61">
                  <c:v>34.833333333333336</c:v>
                </c:pt>
                <c:pt idx="62">
                  <c:v>35.916666666666664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CF-4732-BB4A-0B7A4A276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221856"/>
        <c:axId val="1652223776"/>
      </c:lineChart>
      <c:catAx>
        <c:axId val="165222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d/m\ ddd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2223776"/>
        <c:crosses val="autoZero"/>
        <c:auto val="0"/>
        <c:lblAlgn val="ctr"/>
        <c:lblOffset val="100"/>
        <c:noMultiLvlLbl val="0"/>
      </c:catAx>
      <c:valAx>
        <c:axId val="16522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22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21C35FC1-A4FB-4090-B9AB-EA5C5B56A910}">
          <cx:tx>
            <cx:txData>
              <cx:f>_xlchart.v1.1</cx:f>
              <cx:v>variação</cx:v>
            </cx:txData>
          </cx:tx>
          <cx:dataLabels pos="outEnd">
            <cx:visibility seriesName="0" categoryName="0" value="1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1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9110</xdr:colOff>
      <xdr:row>0</xdr:row>
      <xdr:rowOff>0</xdr:rowOff>
    </xdr:from>
    <xdr:to>
      <xdr:col>100</xdr:col>
      <xdr:colOff>19050</xdr:colOff>
      <xdr:row>12</xdr:row>
      <xdr:rowOff>28575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33131</xdr:colOff>
      <xdr:row>12</xdr:row>
      <xdr:rowOff>21741</xdr:rowOff>
    </xdr:from>
    <xdr:to>
      <xdr:col>100</xdr:col>
      <xdr:colOff>1</xdr:colOff>
      <xdr:row>26</xdr:row>
      <xdr:rowOff>97941</xdr:rowOff>
    </xdr:to>
    <xdr:graphicFrame macro="">
      <xdr:nvGraphicFramePr>
        <xdr:cNvPr id="14" name="Gráfico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66675</xdr:colOff>
      <xdr:row>0</xdr:row>
      <xdr:rowOff>57150</xdr:rowOff>
    </xdr:from>
    <xdr:to>
      <xdr:col>20</xdr:col>
      <xdr:colOff>533400</xdr:colOff>
      <xdr:row>1</xdr:row>
      <xdr:rowOff>133350</xdr:rowOff>
    </xdr:to>
    <xdr:sp macro="[0]!Módulo4.apraz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307425" y="57150"/>
          <a:ext cx="466725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57150</xdr:colOff>
      <xdr:row>2</xdr:row>
      <xdr:rowOff>104775</xdr:rowOff>
    </xdr:from>
    <xdr:to>
      <xdr:col>20</xdr:col>
      <xdr:colOff>523875</xdr:colOff>
      <xdr:row>3</xdr:row>
      <xdr:rowOff>180975</xdr:rowOff>
    </xdr:to>
    <xdr:sp macro="[0]!pagament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1297900" y="485775"/>
          <a:ext cx="466725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95250</xdr:colOff>
      <xdr:row>0</xdr:row>
      <xdr:rowOff>28575</xdr:rowOff>
    </xdr:from>
    <xdr:to>
      <xdr:col>20</xdr:col>
      <xdr:colOff>523875</xdr:colOff>
      <xdr:row>3</xdr:row>
      <xdr:rowOff>0</xdr:rowOff>
    </xdr:to>
    <xdr:sp macro="[0]!Módulo5.operaciona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944100" y="28575"/>
          <a:ext cx="42862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29</xdr:col>
      <xdr:colOff>95250</xdr:colOff>
      <xdr:row>0</xdr:row>
      <xdr:rowOff>28575</xdr:rowOff>
    </xdr:from>
    <xdr:to>
      <xdr:col>29</xdr:col>
      <xdr:colOff>523875</xdr:colOff>
      <xdr:row>3</xdr:row>
      <xdr:rowOff>0</xdr:rowOff>
    </xdr:to>
    <xdr:sp macro="[0]!Módulo5.forneced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6563975" y="28575"/>
          <a:ext cx="42862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41910</xdr:colOff>
      <xdr:row>0</xdr:row>
      <xdr:rowOff>40004</xdr:rowOff>
    </xdr:from>
    <xdr:to>
      <xdr:col>10</xdr:col>
      <xdr:colOff>838200</xdr:colOff>
      <xdr:row>3</xdr:row>
      <xdr:rowOff>26669</xdr:rowOff>
    </xdr:to>
    <xdr:sp macro="[0]!Contb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711690" y="40004"/>
          <a:ext cx="796290" cy="5124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60959</xdr:colOff>
      <xdr:row>3</xdr:row>
      <xdr:rowOff>52549</xdr:rowOff>
    </xdr:from>
    <xdr:to>
      <xdr:col>10</xdr:col>
      <xdr:colOff>838200</xdr:colOff>
      <xdr:row>6</xdr:row>
      <xdr:rowOff>91440</xdr:rowOff>
    </xdr:to>
    <xdr:sp macro="[0]!Contador_de_moéda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730739" y="578329"/>
          <a:ext cx="777241" cy="57229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/>
            <a:t>salvar contagem de moédas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56180</xdr:colOff>
      <xdr:row>0</xdr:row>
      <xdr:rowOff>47625</xdr:rowOff>
    </xdr:from>
    <xdr:to>
      <xdr:col>9</xdr:col>
      <xdr:colOff>265730</xdr:colOff>
      <xdr:row>4</xdr:row>
      <xdr:rowOff>104775</xdr:rowOff>
    </xdr:to>
    <xdr:sp macro="[0]!Módulo7.fechamen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713961" y="47625"/>
          <a:ext cx="209550" cy="90273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28576</xdr:colOff>
      <xdr:row>0</xdr:row>
      <xdr:rowOff>0</xdr:rowOff>
    </xdr:from>
    <xdr:to>
      <xdr:col>27</xdr:col>
      <xdr:colOff>133351</xdr:colOff>
      <xdr:row>18</xdr:row>
      <xdr:rowOff>142874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28187</xdr:colOff>
      <xdr:row>18</xdr:row>
      <xdr:rowOff>145597</xdr:rowOff>
    </xdr:from>
    <xdr:to>
      <xdr:col>27</xdr:col>
      <xdr:colOff>152400</xdr:colOff>
      <xdr:row>32</xdr:row>
      <xdr:rowOff>21577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751984</xdr:colOff>
      <xdr:row>10</xdr:row>
      <xdr:rowOff>182459</xdr:rowOff>
    </xdr:from>
    <xdr:to>
      <xdr:col>21</xdr:col>
      <xdr:colOff>15241</xdr:colOff>
      <xdr:row>18</xdr:row>
      <xdr:rowOff>161796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11</xdr:row>
          <xdr:rowOff>83820</xdr:rowOff>
        </xdr:from>
        <xdr:to>
          <xdr:col>8</xdr:col>
          <xdr:colOff>670560</xdr:colOff>
          <xdr:row>12</xdr:row>
          <xdr:rowOff>137160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w Cen MT"/>
                </a:rPr>
                <a:t>+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99060</xdr:rowOff>
        </xdr:from>
        <xdr:to>
          <xdr:col>9</xdr:col>
          <xdr:colOff>571500</xdr:colOff>
          <xdr:row>12</xdr:row>
          <xdr:rowOff>144780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w Cen MT"/>
                </a:rPr>
                <a:t>- 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751945</xdr:colOff>
      <xdr:row>58</xdr:row>
      <xdr:rowOff>9525</xdr:rowOff>
    </xdr:from>
    <xdr:to>
      <xdr:col>25</xdr:col>
      <xdr:colOff>8467</xdr:colOff>
      <xdr:row>74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93865" y="10776585"/>
              <a:ext cx="11783802" cy="27946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10</xdr:col>
      <xdr:colOff>34542</xdr:colOff>
      <xdr:row>43</xdr:row>
      <xdr:rowOff>4618</xdr:rowOff>
    </xdr:from>
    <xdr:to>
      <xdr:col>25</xdr:col>
      <xdr:colOff>29249</xdr:colOff>
      <xdr:row>58</xdr:row>
      <xdr:rowOff>30018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114300</xdr:rowOff>
    </xdr:from>
    <xdr:to>
      <xdr:col>5</xdr:col>
      <xdr:colOff>838200</xdr:colOff>
      <xdr:row>1</xdr:row>
      <xdr:rowOff>114300</xdr:rowOff>
    </xdr:to>
    <xdr:sp macro="[0]!conta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295775" y="114300"/>
          <a:ext cx="742950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5795FA42-3786-4B80-99A0-FE2E6F3E5325}">
    <nsvFilter filterId="{382A520E-5F73-42FB-A7E9-0FD96621D08C}" ref="A1:J13" tableId="5">
      <sortRules>
        <sortRule colId="4" id="{D37DBB44-B7F6-48D5-9450-7AB8FA4FBF50}">
          <sortCondition descending="1" ref="E1:E13"/>
        </sortRule>
      </sortRules>
    </nsvFilter>
    <nsvFilter filterId="{602011A8-2D59-4A88-A4D0-BCEFAF1C34BF}" ref="L1:T2" tableId="6"/>
    <nsvFilter filterId="{E5CE9CEA-A45B-42FB-B2D4-FDE91D260D1F}" ref="M3:T4" tableId="7"/>
    <nsvFilter filterId="{06258715-68CD-4D2E-A428-16625040F1EB}" ref="L5:T518" tableId="8">
      <sortRules>
        <sortRule colId="6" id="{0D01287D-0156-41C4-B55C-C3FF465885BC}">
          <sortCondition descending="1" ref="R5:R518"/>
        </sortRule>
      </sortRules>
    </nsvFilter>
    <nsvFilter filterId="{D650575D-4C13-42BF-A0BD-CBD3D848A361}" ref="A16:E383" tableId="58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IGOR UCHOA" id="{432E2F92-9F58-481E-BE08-F1B1087B8BC6}" userId="2a39c9c6caf6de4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A853771-2474-4F5F-9BFF-ACFF65545DC1}" name="Tabela9" displayName="Tabela9" ref="A2:E35" totalsRowShown="0">
  <autoFilter ref="A2:E35" xr:uid="{5A853771-2474-4F5F-9BFF-ACFF65545DC1}"/>
  <sortState xmlns:xlrd2="http://schemas.microsoft.com/office/spreadsheetml/2017/richdata2" ref="A3:E35">
    <sortCondition ref="B2:B35"/>
  </sortState>
  <tableColumns count="5">
    <tableColumn id="1" xr3:uid="{B37CDE4B-BC27-44FB-9633-ADBA2841CBD4}" name="nome "/>
    <tableColumn id="2" xr3:uid="{CCF7AEE2-CFDE-4642-9E26-6D750E1509B2}" name="vencimento"/>
    <tableColumn id="3" xr3:uid="{FE81E4A3-086D-4666-AFEB-9F72684CA0EA}" name="valor"/>
    <tableColumn id="4" xr3:uid="{E5A85A0F-51D5-486C-ABA9-676DF0AE009E}" name="importancia"/>
    <tableColumn id="5" xr3:uid="{1E3001F7-05C6-4A24-A30C-332B93F38CA3}" name="situ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8386E6-C3B4-4517-A38A-85B83182F042}" name="preçodiario" displayName="preçodiario" ref="B1:BC366" totalsRowShown="0" headerRowDxfId="1479" dataDxfId="1478">
  <autoFilter ref="B1:BC366" xr:uid="{C38386E6-C3B4-4517-A38A-85B83182F042}"/>
  <tableColumns count="54">
    <tableColumn id="6" xr3:uid="{0657B110-188C-43AF-8238-307B90CB76B8}" name="mês" dataDxfId="1477" dataCellStyle="Moeda">
      <calculatedColumnFormula>TEXT(preçodiario[[#This Row],[data]],"MMM")</calculatedColumnFormula>
    </tableColumn>
    <tableColumn id="5" xr3:uid="{27F9C2D4-9A31-4F64-8E58-3C5F2D0767A6}" name="dia da semana" dataDxfId="1476" dataCellStyle="Moeda">
      <calculatedColumnFormula>TEXT(preçodiario[[#This Row],[data]],"ddd")</calculatedColumnFormula>
    </tableColumn>
    <tableColumn id="46" xr3:uid="{9C3F63C7-EF73-4496-A987-B350E3C09DFB}" name="N°" dataDxfId="1475" dataCellStyle="Moeda">
      <calculatedColumnFormula>WEEKNUM(preçodiario[[#This Row],[data]],13)</calculatedColumnFormula>
    </tableColumn>
    <tableColumn id="1" xr3:uid="{12683604-F298-48DF-BC86-6F33A6F84B8A}" name="data" dataDxfId="1474" dataCellStyle="Moeda"/>
    <tableColumn id="2" xr3:uid="{7AAFAB41-A748-40DA-9910-81DAB64E57FC}" name="OVO BRANCO A" dataDxfId="1473" dataCellStyle="Moeda"/>
    <tableColumn id="3" xr3:uid="{7F9F44CB-0F08-46B0-9CF8-1AA81A7ADDE9}" name="estoque A" dataDxfId="1472" dataCellStyle="Vírgula">
      <calculatedColumnFormula>(SUMIFS(estoque[quantidade],estoque[produto],preçodiario[[#Headers],[OVO BRANCO A]],estoque[fornecedor],"&lt;&gt;saída",estoque[data],preçodiario[[#This Row],[data]])/12)-(SUMIFS(estoque[quantidade],estoque[produto],preçodiario[[#Headers],[OVO BRANCO A]],estoque[fornecedor],"saída",estoque[data],preçodiario[[#This Row],[data]])/12)</calculatedColumnFormula>
    </tableColumn>
    <tableColumn id="4" xr3:uid="{762EDE03-8171-4465-9464-C468280B3D1E}" name="entrada A" dataDxfId="1471" dataCellStyle="Vírgula">
      <calculatedColumnFormula>SUMIFS(estoque[quantidade],estoque[fornecedor],"&lt;&gt;saída",estoque[produto],preçodiario[[#Headers],[OVO BRANCO A]],estoque[data],preçodiario[[#This Row],[data]])</calculatedColumnFormula>
    </tableColumn>
    <tableColumn id="32" xr3:uid="{2FA98F5B-9172-4FDB-AF5B-D78490A922F3}" name="valor Ab" dataDxfId="1470" dataCellStyle="Moeda">
      <calculatedColumnFormula>SUMIFS(estoque[valor total],estoque[fornecedor],"&lt;&gt;saída",estoque[produto],preçodiario[[#Headers],[OVO BRANCO A]],estoque[data],preçodiario[[#This Row],[data]])</calculatedColumnFormula>
    </tableColumn>
    <tableColumn id="7" xr3:uid="{4D3A38F4-5EF1-46EB-B8D9-452CD4470524}" name="valor estoque Ab" dataDxfId="1469" dataCellStyle="Moeda">
      <calculatedColumnFormula>IFERROR(preçodiario[[#This Row],[estoque A]]*preçodiario[[#This Row],[OVO BRANCO A]],0)</calculatedColumnFormula>
    </tableColumn>
    <tableColumn id="10" xr3:uid="{F6D5BCEA-AA00-4498-83FB-253DB9B23E79}" name="OVO BRANCO B" dataDxfId="1468" dataCellStyle="Moeda"/>
    <tableColumn id="11" xr3:uid="{046BD9F3-4E1B-4D4E-B54C-0C0244F99E1A}" name="estoque B" dataDxfId="1467" dataCellStyle="Vírgula"/>
    <tableColumn id="12" xr3:uid="{A2BFBEE8-1834-49D1-9289-8176C5F5454B}" name="entrada B" dataDxfId="1466" dataCellStyle="Vírgula">
      <calculatedColumnFormula>SUMIFS(estoque[quantidade],estoque[fornecedor],"&lt;&gt;saída",estoque[produto],preçodiario[[#Headers],[OVO BRANCO B]],estoque[data],preçodiario[[#This Row],[data]])</calculatedColumnFormula>
    </tableColumn>
    <tableColumn id="13" xr3:uid="{FB34D607-7E43-4665-BBB8-EFDA050EB31A}" name="valor Bb" dataDxfId="1465" dataCellStyle="Moeda">
      <calculatedColumnFormula>SUMIFS(estoque[valor total],estoque[fornecedor],"&lt;&gt;saída",estoque[produto],preçodiario[[#Headers],[OVO BRANCO B]],estoque[data],preçodiario[[#This Row],[data]])</calculatedColumnFormula>
    </tableColumn>
    <tableColumn id="8" xr3:uid="{C062B144-A9E2-4B93-8B1E-36AFAD66AC29}" name="valor estoque Bb" dataDxfId="1464" dataCellStyle="Moeda">
      <calculatedColumnFormula>IFERROR(preçodiario[[#This Row],[OVO BRANCO B]]*preçodiario[[#This Row],[estoque B]],0)</calculatedColumnFormula>
    </tableColumn>
    <tableColumn id="15" xr3:uid="{7A1C9C2D-DB6F-4173-AE7B-4215FA44CF2F}" name="OVO BRANCO C" dataDxfId="1463" dataCellStyle="Moeda"/>
    <tableColumn id="16" xr3:uid="{1F4B2912-EB12-4B49-A2FB-EF1CAE4E7389}" name="estoque C" dataDxfId="1462" dataCellStyle="Vírgula"/>
    <tableColumn id="17" xr3:uid="{F32507E1-7D5D-42B7-B4BA-C1E7B7F88830}" name="entrada C" dataDxfId="1461" dataCellStyle="Vírgula">
      <calculatedColumnFormula>SUMIFS(estoque[quantidade],estoque[fornecedor],"&lt;&gt;saída",estoque[produto],preçodiario[[#Headers],[OVO BRANCO C]],estoque[data],preçodiario[[#This Row],[data]])</calculatedColumnFormula>
    </tableColumn>
    <tableColumn id="18" xr3:uid="{CB6018A8-AFB5-47B6-A8C2-392E71D6BAA9}" name="valor Cb" dataDxfId="1460" dataCellStyle="Moeda">
      <calculatedColumnFormula>SUMIFS(estoque[valor total],estoque[fornecedor],"&lt;&gt;saída",estoque[produto],preçodiario[[#Headers],[OVO BRANCO C]],estoque[data],preçodiario[[#This Row],[data]])</calculatedColumnFormula>
    </tableColumn>
    <tableColumn id="9" xr3:uid="{3BC37F3F-B751-459C-B4CB-AA791604D2F5}" name="valor estoque Cb" dataDxfId="1459" dataCellStyle="Moeda">
      <calculatedColumnFormula>IFERROR(preçodiario[[#This Row],[OVO BRANCO C]]*preçodiario[[#This Row],[estoque C]],0)</calculatedColumnFormula>
    </tableColumn>
    <tableColumn id="20" xr3:uid="{B9F00F46-4408-4203-82BC-E32493E23858}" name="OVO BRANCO EXTRA" dataDxfId="1458" dataCellStyle="Moeda"/>
    <tableColumn id="21" xr3:uid="{354F4397-2C95-4A0D-9DDE-157A7AC8FE6C}" name="estoque E" dataDxfId="1457" dataCellStyle="Vírgula"/>
    <tableColumn id="22" xr3:uid="{0BC0E13B-98CC-46B1-8A67-CC8A8BE34DC6}" name="entrada E" dataDxfId="1456" dataCellStyle="Vírgula">
      <calculatedColumnFormula>SUMIFS(estoque[quantidade],estoque[fornecedor],"&lt;&gt;saída",estoque[produto],preçodiario[[#Headers],[OVO BRANCO EXTRA]],estoque[data],preçodiario[[#This Row],[data]])</calculatedColumnFormula>
    </tableColumn>
    <tableColumn id="23" xr3:uid="{9D32DF2D-C7BB-4D57-8377-AF1DEFAE36B2}" name="valor Eb" dataDxfId="1455" dataCellStyle="Moeda">
      <calculatedColumnFormula>SUMIFS(estoque[valor total],estoque[fornecedor],"&lt;&gt;saída",estoque[produto],preçodiario[[#Headers],[OVO BRANCO EXTRA]],estoque[data],preçodiario[[#This Row],[data]])</calculatedColumnFormula>
    </tableColumn>
    <tableColumn id="14" xr3:uid="{398FCE20-ECA1-4BA5-A26A-076F08E5D98D}" name="valor estoque Eb" dataDxfId="1454" dataCellStyle="Moeda">
      <calculatedColumnFormula>IFERROR(preçodiario[[#This Row],[estoque E]]*preçodiario[[#This Row],[OVO BRANCO EXTRA]],0)</calculatedColumnFormula>
    </tableColumn>
    <tableColumn id="25" xr3:uid="{B851A7AC-D09D-4FD1-B467-0C34E371F934}" name="OVO BRANCO JUMBO" dataDxfId="1453" dataCellStyle="Moeda"/>
    <tableColumn id="26" xr3:uid="{4F6A595D-EBA6-4723-B41A-1D444B96D2D6}" name="estoque J" dataDxfId="1452" dataCellStyle="Vírgula"/>
    <tableColumn id="27" xr3:uid="{45287994-B7AC-43C0-8B03-F9CBEF3E267D}" name="entrada J" dataDxfId="1451" dataCellStyle="Vírgula">
      <calculatedColumnFormula>SUMIFS(estoque[quantidade],estoque[fornecedor],"&lt;&gt;saída",estoque[produto],preçodiario[[#Headers],[OVO BRANCO JUMBO]],estoque[data],preçodiario[[#This Row],[data]])</calculatedColumnFormula>
    </tableColumn>
    <tableColumn id="28" xr3:uid="{8388109E-ADA6-4A11-8D5F-510D85E1F093}" name="valor Jb" dataDxfId="1450" dataCellStyle="Moeda">
      <calculatedColumnFormula>SUMIFS(estoque[valor total],estoque[fornecedor],"&lt;&gt;saída",estoque[produto],preçodiario[[#Headers],[OVO BRANCO JUMBO]],estoque[data],preçodiario[[#This Row],[data]])</calculatedColumnFormula>
    </tableColumn>
    <tableColumn id="19" xr3:uid="{5150EA8C-D0EA-4159-BBFF-9315C97B97AB}" name="valor estoque Jb" dataDxfId="1449" dataCellStyle="Moeda">
      <calculatedColumnFormula>IFERROR(preçodiario[[#This Row],[OVO BRANCO JUMBO]]*preçodiario[[#This Row],[estoque J]],0)</calculatedColumnFormula>
    </tableColumn>
    <tableColumn id="30" xr3:uid="{E953193E-2156-4983-AE09-958E9A97AFFF}" name="OVO VERMELHO A" dataDxfId="1448" dataCellStyle="Moeda"/>
    <tableColumn id="31" xr3:uid="{D8F348C9-A2B9-438F-918F-302E6DA327CE}" name="estoque AV" dataDxfId="1447" dataCellStyle="Vírgula"/>
    <tableColumn id="34" xr3:uid="{B1790638-289B-4AEC-A029-30B0CE31A391}" name="entrada AV" dataDxfId="1446" dataCellStyle="Vírgula">
      <calculatedColumnFormula>SUMIFS(estoque[quantidade],estoque[fornecedor],"&lt;&gt;saída",estoque[produto],preçodiario[[#Headers],[OVO VERMELHO A]],estoque[data],preçodiario[[#This Row],[data]])</calculatedColumnFormula>
    </tableColumn>
    <tableColumn id="35" xr3:uid="{D57AE50C-0D17-4DBA-A2E3-04BEFE768957}" name="valor Av" dataDxfId="1445" dataCellStyle="Moeda">
      <calculatedColumnFormula>SUMIFS(estoque[valor total],estoque[fornecedor],"&lt;&gt;saída",estoque[produto],preçodiario[[#Headers],[OVO VERMELHO A]],estoque[data],preçodiario[[#This Row],[data]])</calculatedColumnFormula>
    </tableColumn>
    <tableColumn id="24" xr3:uid="{3A77F5D4-5AF9-4CD3-BB9B-FFF9EF9944DB}" name="valor estoque Av" dataDxfId="1444" dataCellStyle="Moeda">
      <calculatedColumnFormula>IFERROR(preçodiario[[#This Row],[OVO VERMELHO A]]*preçodiario[[#This Row],[estoque AV]],0)</calculatedColumnFormula>
    </tableColumn>
    <tableColumn id="37" xr3:uid="{9294D694-52A3-44E9-96D2-C435149AD8C5}" name="OVO VERMELHO B" dataDxfId="1443" dataCellStyle="Moeda"/>
    <tableColumn id="38" xr3:uid="{92743BFE-9051-4A6A-A9B1-D9460DEEBEFD}" name="estoque BV" dataDxfId="1442" dataCellStyle="Vírgula"/>
    <tableColumn id="39" xr3:uid="{F7836A8E-6D42-4E7A-AC5F-A281714FBF38}" name="entrada BV" dataDxfId="1441" dataCellStyle="Vírgula">
      <calculatedColumnFormula>SUMIFS(estoque[quantidade],estoque[fornecedor],"&lt;&gt;saída",estoque[produto],preçodiario[[#Headers],[OVO VERMELHO B]],estoque[data],preçodiario[[#This Row],[data]])</calculatedColumnFormula>
    </tableColumn>
    <tableColumn id="40" xr3:uid="{1E714B43-0BCF-4AE1-A642-8116BBD8BAD4}" name="valor Bv" dataDxfId="1440" dataCellStyle="Moeda">
      <calculatedColumnFormula>SUMIFS(estoque[valor total],estoque[fornecedor],"&lt;&gt;saída",estoque[produto],preçodiario[[#Headers],[OVO VERMELHO B]],estoque[data],preçodiario[[#This Row],[data]])</calculatedColumnFormula>
    </tableColumn>
    <tableColumn id="29" xr3:uid="{BFDCCD0B-4FA2-4732-B30F-BB86F87ECF59}" name="valor estoque Bv" dataDxfId="1439" dataCellStyle="Moeda">
      <calculatedColumnFormula>IFERROR(preçodiario[[#This Row],[OVO VERMELHO B]]*preçodiario[[#This Row],[estoque BV]],0)</calculatedColumnFormula>
    </tableColumn>
    <tableColumn id="42" xr3:uid="{3BAF15B8-FB8F-47E5-8639-E5ECC92D6F8D}" name="OVO VERMELHO C" dataDxfId="1438" dataCellStyle="Moeda"/>
    <tableColumn id="43" xr3:uid="{2BFDDA97-57D7-4DE6-A743-EC76C34A6055}" name="estoque CV" dataDxfId="1437" dataCellStyle="Vírgula"/>
    <tableColumn id="44" xr3:uid="{804B5CFF-B71D-4686-9AE5-AF2491F1C18D}" name="entrada CV" dataDxfId="1436" dataCellStyle="Vírgula">
      <calculatedColumnFormula>SUMIFS(estoque[quantidade],estoque[fornecedor],"&lt;&gt;saída",estoque[produto],preçodiario[[#Headers],[OVO VERMELHO C]],estoque[data],preçodiario[[#This Row],[data]])</calculatedColumnFormula>
    </tableColumn>
    <tableColumn id="45" xr3:uid="{D86C263C-DEBA-4E43-A822-35DAE42D457A}" name="valor Cv" dataDxfId="1435" dataCellStyle="Moeda">
      <calculatedColumnFormula>SUMIFS(estoque[valor total],estoque[fornecedor],"&lt;&gt;saída",estoque[produto],preçodiario[[#Headers],[OVO VERMELHO C]],estoque[data],preçodiario[[#This Row],[data]])</calculatedColumnFormula>
    </tableColumn>
    <tableColumn id="33" xr3:uid="{04AA9AB3-A9C7-4AE8-B3B0-B1F543777CAF}" name="valor estoque Cv" dataDxfId="1434" dataCellStyle="Moeda">
      <calculatedColumnFormula>IFERROR(preçodiario[[#This Row],[OVO VERMELHO C]]*preçodiario[[#This Row],[estoque CV]],0)</calculatedColumnFormula>
    </tableColumn>
    <tableColumn id="47" xr3:uid="{FB31A29A-A805-49E5-968F-2477988ABD90}" name="OVO VERMELHO EXTRA" dataDxfId="1433" dataCellStyle="Moeda"/>
    <tableColumn id="48" xr3:uid="{03F209F7-70FF-42DE-AB2F-582F55F2D8E2}" name="estoque EV" dataDxfId="1432" dataCellStyle="Vírgula"/>
    <tableColumn id="49" xr3:uid="{B0B9686F-0FA3-47EA-9252-B644922ABFBC}" name="entrada EV" dataDxfId="1431" dataCellStyle="Vírgula">
      <calculatedColumnFormula>SUMIFS(estoque[quantidade],estoque[fornecedor],"&lt;&gt;saída",estoque[produto],preçodiario[[#Headers],[OVO VERMELHO EXTRA]],estoque[data],preçodiario[[#This Row],[data]])</calculatedColumnFormula>
    </tableColumn>
    <tableColumn id="50" xr3:uid="{9AB072F8-CD14-4CEF-8726-BC7C96402BC4}" name="valor Ev" dataDxfId="1430" dataCellStyle="Moeda">
      <calculatedColumnFormula>SUMIFS(estoque[valor total],estoque[fornecedor],"&lt;&gt;saída",estoque[produto],preçodiario[[#Headers],[OVO VERMELHO EXTRA]],estoque[data],preçodiario[[#This Row],[data]])</calculatedColumnFormula>
    </tableColumn>
    <tableColumn id="36" xr3:uid="{8053672C-0137-4BFA-8A71-D21331ED1323}" name="valor estoque Ev" dataDxfId="1429" dataCellStyle="Moeda">
      <calculatedColumnFormula>IFERROR(preçodiario[[#This Row],[OVO VERMELHO EXTRA]]*preçodiario[[#This Row],[estoque EV]],0)</calculatedColumnFormula>
    </tableColumn>
    <tableColumn id="52" xr3:uid="{8965D5FE-6946-4777-8AAD-987A46F9005C}" name="OVO VERMELHO JUMBO" dataDxfId="1428" dataCellStyle="Moeda"/>
    <tableColumn id="53" xr3:uid="{C7DB8297-CACE-4886-8AB4-65E88E7F7709}" name="estoque JV" dataDxfId="1427" dataCellStyle="Vírgula"/>
    <tableColumn id="54" xr3:uid="{CC0F7423-E06B-4469-9166-7C7B3DE2DFDB}" name="entrada JV" dataDxfId="1426" dataCellStyle="Vírgula">
      <calculatedColumnFormula>SUMIFS(estoque[quantidade],estoque[fornecedor],"&lt;&gt;saída",estoque[produto],preçodiario[[#Headers],[OVO VERMELHO JUMBO]],estoque[data],preçodiario[[#This Row],[data]])</calculatedColumnFormula>
    </tableColumn>
    <tableColumn id="55" xr3:uid="{3B3CA992-2C67-4B4C-8E6B-6279D475753C}" name="valor Jv" dataDxfId="1425" dataCellStyle="Moeda">
      <calculatedColumnFormula>SUMIFS(estoque[valor total],estoque[fornecedor],"&lt;&gt;saída",estoque[produto],preçodiario[[#Headers],[OVO VERMELHO JUMBO]],estoque[data],preçodiario[[#This Row],[data]])</calculatedColumnFormula>
    </tableColumn>
    <tableColumn id="41" xr3:uid="{8318694D-B9C5-486F-BC5D-80AEE920FB1B}" name="valor estoque Jv" dataDxfId="1424" dataCellStyle="Moeda">
      <calculatedColumnFormula>IFERROR(preçodiario[[#This Row],[OVO VERMELHO JUMBO]]*preçodiario[[#This Row],[estoque JV]],0)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E0A890-068A-49D4-BD3A-4639DBCD9ADC}" name="vendaAno" displayName="vendaAno" ref="BD1:BQ366" totalsRowShown="0" headerRowDxfId="1423">
  <autoFilter ref="BD1:BQ366" xr:uid="{C8E0A890-068A-49D4-BD3A-4639DBCD9ADC}"/>
  <tableColumns count="14">
    <tableColumn id="5" xr3:uid="{BCD280C4-2B7F-4DFC-A154-5517427D4CBF}" name="mês">
      <calculatedColumnFormula>TEXT(vendaAno[[#This Row],[data]],"mmm")</calculatedColumnFormula>
    </tableColumn>
    <tableColumn id="6" xr3:uid="{DBB8A1D1-8CBD-4B95-B87C-3E89ECAAC4D8}" name="dia da semana" dataDxfId="1422">
      <calculatedColumnFormula>TEXT(vendaAno[[#This Row],[data]],"ddd")</calculatedColumnFormula>
    </tableColumn>
    <tableColumn id="13" xr3:uid="{E6454155-E758-4E33-8A05-D1501C37E88B}" name="N°" dataDxfId="1421">
      <calculatedColumnFormula>WEEKNUM(vendaAno[[#This Row],[data]],13)</calculatedColumnFormula>
    </tableColumn>
    <tableColumn id="1" xr3:uid="{6633F40E-8A96-4B18-917F-590EA59D4D7B}" name="data" dataDxfId="1420">
      <calculatedColumnFormula>preçodiario[[#This Row],[data]]</calculatedColumnFormula>
    </tableColumn>
    <tableColumn id="11" xr3:uid="{86AF19AB-8ECD-40B9-AB57-326F934E69E9}" name="entrada" dataDxfId="1419" dataCellStyle="Moeda">
      <calculatedColumnFormula>IF(SUMIFS(estoque[valor total],estoque[fornecedor],"&lt;&gt;saída",estoque[data],vendaAno[[#This Row],[data]])=0,"",SUMIFS(estoque[valor total],estoque[fornecedor],"&lt;&gt;saída",estoque[data],vendaAno[[#This Row],[data]]))</calculatedColumnFormula>
    </tableColumn>
    <tableColumn id="7" xr3:uid="{73194A5D-8AF1-4356-B888-2247EDB958B4}" name="valor de venda" dataDxfId="1418" dataCellStyle="Moeda">
      <calculatedColumnFormula>IF(SUMIFS(estoque[valor total],estoque[fornecedor],"saída",estoque[data],vendaAno[[#This Row],[data]])=0,"",SUMIFS(estoque[valor total],estoque[fornecedor],"saída",estoque[data],vendaAno[[#This Row],[data]]))</calculatedColumnFormula>
    </tableColumn>
    <tableColumn id="10" xr3:uid="{4767804A-9FE8-4D03-BA3B-4AB1BF235258}" name="estoque" dataDxfId="1417" dataCellStyle="Moeda">
      <calculatedColumnFormula>SUMIFS(estoque[quantidade],estoque[fornecedor],"&lt;&gt;saída",estoque[data],vendaAno[[#This Row],[data]])-SUMIFS(estoque[quantidade],estoque[fornecedor],"saída",estoque[data],vendaAno[[#This Row],[data]])</calculatedColumnFormula>
    </tableColumn>
    <tableColumn id="2" xr3:uid="{25505CF7-E6C8-44E1-8E86-1FD50A12EBC5}" name="venda" dataDxfId="1416" dataCellStyle="Moeda">
      <calculatedColumnFormula>IF(SUMIFS(estoque[quantidade],estoque[fornecedor],"saída",estoque[data],vendaAno[[#This Row],[data]])/12=0,"",SUMIFS(estoque[quantidade],estoque[fornecedor],"saída",estoque[data],vendaAno[[#This Row],[data]])/12)</calculatedColumnFormula>
    </tableColumn>
    <tableColumn id="3" xr3:uid="{A13D0FEC-4E69-48DD-89EB-4802135563B8}" name="lucro" dataDxfId="1415" dataCellStyle="Moeda">
      <calculatedColumnFormula>IF(vendaAno[[#This Row],[data]]&lt;=TODAY(),IF(SUMIFS(estoque[lucro],estoque[fornecedor],"saída",estoque[data],vendaAno[[#This Row],[data]])=0,AVERAGE(BL54:BL56),SUMIFS(estoque[lucro],estoque[fornecedor],"saída",estoque[data],vendaAno[[#This Row],[data]])),"")</calculatedColumnFormula>
    </tableColumn>
    <tableColumn id="4" xr3:uid="{EE669D60-2EA0-4317-AD9C-E0D5D310C784}" name="mergem" dataDxfId="1414" dataCellStyle="Porcentagem">
      <calculatedColumnFormula>IFERROR(vendaAno[[#This Row],[lucro]]/vendaAno[[#This Row],[valor de venda]],"")</calculatedColumnFormula>
    </tableColumn>
    <tableColumn id="9" xr3:uid="{3F2513EE-31BD-4BEB-8DB9-4EEDDF866F66}" name="Valor estoque" dataDxfId="1413" dataCellStyle="Porcentagem">
      <calculatedColumnFormula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calculatedColumnFormula>
    </tableColumn>
    <tableColumn id="12" xr3:uid="{CDC35F50-7370-4847-A1F2-8A99D7A60200}" name="meta 173,33" dataDxfId="1412" dataCellStyle="Moeda">
      <calculatedColumnFormula>vendaAno[[#This Row],[lucro]]-174</calculatedColumnFormula>
    </tableColumn>
    <tableColumn id="14" xr3:uid="{DDBB71C0-7B46-4E58-8193-CC36F0B96F8D}" name="média venda movél" dataDxfId="1411" dataCellStyle="Moeda">
      <calculatedColumnFormula>IF(TODAY()&gt;=vendaAno[[#This Row],[data]],SUM(BK1:BK2)*12,"")</calculatedColumnFormula>
    </tableColumn>
    <tableColumn id="8" xr3:uid="{54D67A49-5C85-4AE2-855C-B6E3E9361E7A}" name="lucro médio " dataCellStyle="Moeda">
      <calculatedColumnFormula>IFERROR(vendaAno[[#This Row],[lucro]]/(vendaAno[[#This Row],[venda]]*12),"")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D54E8FA-6AF0-4B07-971B-3F1F5DE04289}" name="PvPcML" displayName="PvPcML" ref="BT1:BX62" totalsRowShown="0" headerRowDxfId="1410">
  <autoFilter ref="BT1:BX62" xr:uid="{0D54E8FA-6AF0-4B07-971B-3F1F5DE0428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DA1E0B6A-9E98-48F3-8764-315777AEEB34}" name="n°" dataDxfId="1409">
      <calculatedColumnFormula>WEEKNUM(PvPcML[[#This Row],[data]],13)</calculatedColumnFormula>
    </tableColumn>
    <tableColumn id="1" xr3:uid="{1CC814C1-CE98-4EDF-AE1F-18010FBA13DB}" name="data" dataDxfId="1408"/>
    <tableColumn id="4" xr3:uid="{EF190388-C31E-4554-8677-C857E756BA8A}" name="preço de venda" dataDxfId="1407" dataCellStyle="Moeda">
      <calculatedColumnFormula>IFERROR(SUMIFS(vendaAno[valor de venda],vendaAno[data],PvPcML[[#This Row],[data]])/(SUMIFS(vendaAno[venda],vendaAno[data],PvPcML[[#This Row],[data]])*12),"")</calculatedColumnFormula>
    </tableColumn>
    <tableColumn id="2" xr3:uid="{E086849C-0D5A-420B-BD84-5FF59A52094F}" name="preço de custo" dataDxfId="1406" dataCellStyle="Moeda">
      <calculatedColumnFormula>IFERROR(SUMIFS(vendaAno[valor de venda],vendaAno[data],PvPcML[[#This Row],[data]])/(SUMIFS(vendaAno[venda],vendaAno[data],PvPcML[[#This Row],[data]])*12)-PvPcML[[#This Row],[lucro médio]],"")</calculatedColumnFormula>
    </tableColumn>
    <tableColumn id="3" xr3:uid="{CF6859C7-6534-4E30-A31E-6B529F9A37C8}" name="lucro médio" dataDxfId="1405" dataCellStyle="Moeda">
      <calculatedColumnFormula>IF(SUMIFS(vendaAno[[lucro médio ]],vendaAno[data],PvPcML[[#This Row],[data]])=0,"",SUMIFS(vendaAno[[lucro médio ]],vendaAno[data],PvPcML[[#This Row],[data]]))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09E6D47-6C9D-4211-BD61-3E2B23DC4438}" name="semanal" displayName="semanal" ref="BY1:CE54" totalsRowShown="0" headerRowDxfId="1404" headerRowBorderDxfId="1403" tableBorderDxfId="1402" totalsRowBorderDxfId="1401">
  <autoFilter ref="BY1:CE54" xr:uid="{E09E6D47-6C9D-4211-BD61-3E2B23DC44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847514D-C2FF-4AA4-9EB4-F3DB1213074C}" name="N°" dataDxfId="1400"/>
    <tableColumn id="2" xr3:uid="{5F6F9F08-B7B2-4B36-AF02-4F0AB47D340D}" name="semana" dataDxfId="1399"/>
    <tableColumn id="5" xr3:uid="{BD280832-8314-4E3D-A4A6-A5409D16B4C9}" name="varejo" dataDxfId="1398" dataCellStyle="Vírgula">
      <calculatedColumnFormula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calculatedColumnFormula>
    </tableColumn>
    <tableColumn id="3" xr3:uid="{DAA1D9B3-95FC-4A8E-932C-466376CC8D55}" name="atacado" dataDxfId="1397" dataCellStyle="Vírgula">
      <calculatedColumnFormula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calculatedColumnFormula>
    </tableColumn>
    <tableColumn id="4" xr3:uid="{1F325A6F-A865-4DE1-9464-0D3752F553D1}" name="lucro médio por cartela" dataDxfId="1396" dataCellStyle="Moeda">
      <calculatedColumnFormula>IFERROR(SUMIFS(vendaAno[lucro],vendaAno[data],"&gt;="&amp;semanal[[#This Row],[semana]],vendaAno[data],"&lt;="&amp;semanal[[#This Row],[semana]]+6)/((semanal[[#This Row],[varejo]]+semanal[[#This Row],[atacado]])*12),"")</calculatedColumnFormula>
    </tableColumn>
    <tableColumn id="7" xr3:uid="{047746C8-5BE7-4DC0-A34F-54CD4EFC270F}" name="média de vendas semanal" dataDxfId="1395" dataCellStyle="Moeda">
      <calculatedColumnFormula>IFERROR(AVERAGEIFS(vendaAno[venda],vendaAno[data],"&gt;="&amp;semanal[[#This Row],[semana]],vendaAno[data],"&lt;="&amp;semanal[[#This Row],[semana]]+6),"")</calculatedColumnFormula>
    </tableColumn>
    <tableColumn id="6" xr3:uid="{AF4E59C2-D872-4944-BB8A-555E4525EC0E}" name="venda meta diaria" dataDxfId="1394" dataCellStyle="Moeda">
      <calculatedColumnFormula>IFERROR((150/semanal[[#This Row],[lucro médio por cartela]])/12,"")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5F55016-AF78-46C6-83D1-993551FE276B}" name="Tabela60" displayName="Tabela60" ref="A1:A366" totalsRowShown="0" headerRowDxfId="1393">
  <autoFilter ref="A1:A366" xr:uid="{35F55016-AF78-46C6-83D1-993551FE276B}">
    <filterColumn colId="0" hiddenButton="1"/>
  </autoFilter>
  <tableColumns count="1">
    <tableColumn id="1" xr3:uid="{0E833CE6-553B-4583-8E2E-08A982C0C2E6}" name="OVO BRANCO a" dataDxfId="1392">
      <calculatedColumnFormula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2A520E-5F73-42FB-A7E9-0FD96621D08C}" name="controleAprazo" displayName="controleAprazo" ref="A1:J13" totalsRowShown="0">
  <autoFilter ref="A1:J13" xr:uid="{382A520E-5F73-42FB-A7E9-0FD96621D08C}"/>
  <sortState xmlns:xlrd2="http://schemas.microsoft.com/office/spreadsheetml/2017/richdata2" ref="A2:J13">
    <sortCondition descending="1" ref="E1:E13"/>
  </sortState>
  <tableColumns count="10">
    <tableColumn id="1" xr3:uid="{E3829D32-6E71-45FE-82EF-EB5098F36B83}" name="cliente"/>
    <tableColumn id="2" xr3:uid="{A93B39CC-7688-44FB-B25F-B2D85EE43779}" name="qunatidade" dataDxfId="365">
      <calculatedColumnFormula>IF(SUMIFS(aprazo[quantidade],aprazo[cliente],controleAprazo[[#This Row],[cliente]],aprazo[[mês ]],TEXT(TODAY(),"mmm"))/12=0,"",SUMIFS(aprazo[quantidade],aprazo[cliente],controleAprazo[[#This Row],[cliente]],aprazo[[mês ]],TEXT(TODAY(),"mmm"))/12)</calculatedColumnFormula>
    </tableColumn>
    <tableColumn id="3" xr3:uid="{C55D6959-B0BA-43F6-93C9-19D6539E7C15}" name="saldo" dataDxfId="364" dataCellStyle="Moeda">
      <calculatedColumnFormula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calculatedColumnFormula>
    </tableColumn>
    <tableColumn id="4" xr3:uid="{16BD2E99-91A9-4E86-A556-5978CC200AA3}" name="montante" dataCellStyle="Moeda">
      <calculatedColumnFormula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calculatedColumnFormula>
    </tableColumn>
    <tableColumn id="5" xr3:uid="{D37DBB44-B7F6-48D5-9450-7AB8FA4FBF50}" name="lucro" dataCellStyle="Moeda">
      <calculatedColumnFormula>SUMIFS(aprazo[lucro],aprazo[cliente],controleAprazo[[#This Row],[cliente]],aprazo[[mês ]],TEXT(TODAY(),"mmm"))</calculatedColumnFormula>
    </tableColumn>
    <tableColumn id="6" xr3:uid="{FB389E29-B448-49A2-8BFF-E6929188FE34}" name="pagamento" dataDxfId="363" dataCellStyle="Moeda">
      <calculatedColumnFormula>IF(SUMIFS(aprazo[valor],aprazo[quantidade],controleAprazo[[#Headers],[pagamento]],aprazo[cliente],controleAprazo[[#This Row],[cliente]])=0,"",SUMIFS(aprazo[valor],aprazo[quantidade],controleAprazo[[#Headers],[pagamento]],aprazo[cliente],controleAprazo[[#This Row],[cliente]]))</calculatedColumnFormula>
    </tableColumn>
    <tableColumn id="7" xr3:uid="{5287A3CB-5280-41FC-8976-64BCFE978627}" name="crédito" dataCellStyle="Moeda">
      <calculatedColumnFormula>SUMIFS(aprazo[valor],aprazo[produto],controleAprazo[[#Headers],[crédito]],aprazo[cliente],controleAprazo[[#This Row],[cliente]])</calculatedColumnFormula>
    </tableColumn>
    <tableColumn id="8" xr3:uid="{FAE4E000-41A9-48C5-A6B5-E0C0F4BCF873}" name="débito" dataDxfId="362" dataCellStyle="Moeda">
      <calculatedColumnFormula>SUMIFS(aprazo[valor],aprazo[produto],controleAprazo[[#Headers],[débito]],aprazo[cliente],controleAprazo[[#This Row],[cliente]])</calculatedColumnFormula>
    </tableColumn>
    <tableColumn id="9" xr3:uid="{FE21BBAD-9BF3-433C-B848-0A3A9F852D7D}" name="pix" dataCellStyle="Moeda">
      <calculatedColumnFormula>SUMIFS(aprazo[valor],aprazo[produto],controleAprazo[[#Headers],[pix]],aprazo[cliente],controleAprazo[[#This Row],[cliente]])</calculatedColumnFormula>
    </tableColumn>
    <tableColumn id="10" xr3:uid="{363A38EF-E7F3-4D28-980C-6856911A74B5}" name="dinheiro" dataCellStyle="Moeda">
      <calculatedColumnFormula>SUMIFS(aprazo[valor],aprazo[produto],controleAprazo[[#Headers],[dinheiro]],aprazo[cliente],controleAprazo[[#This Row],[cliente]])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2011A8-2D59-4A88-A4D0-BCEFAF1C34BF}" name="registroAprazo" displayName="registroAprazo" ref="L1:T2" totalsRowShown="0" dataDxfId="361">
  <autoFilter ref="L1:T2" xr:uid="{602011A8-2D59-4A88-A4D0-BCEFAF1C3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9" xr3:uid="{DBBF10A8-01D4-41C4-A242-BCF240F1CC0A}" name="atacado" dataDxfId="360"/>
    <tableColumn id="1" xr3:uid="{6BBC049E-C0BB-4E22-8D4E-4CC0F64AD2A6}" name="cliente" dataDxfId="359"/>
    <tableColumn id="2" xr3:uid="{61A040D8-F45A-466F-9495-21BFB0D4B66B}" name="produto" dataDxfId="358"/>
    <tableColumn id="3" xr3:uid="{4F55D6E9-4C9E-4797-A69E-DB752985FF25}" name="quantidade" dataDxfId="357"/>
    <tableColumn id="4" xr3:uid="{C38242D2-E6FC-4031-BEBD-7CBCA29021EE}" name="valor" dataDxfId="356" dataCellStyle="Moeda">
      <calculatedColumnFormula>-(registroAprazo[[#This Row],[quantidade]]*IF(registroAprazo[[#This Row],[atacado]]="atacado",SUMIFS(controleEstoque[atacado],controleEstoque[produto],registroAprazo[[#This Row],[produto]]),SUMIFS(controleEstoque[varejo],controleEstoque[produto],registroAprazo[[#This Row],[produto]])))</calculatedColumnFormula>
    </tableColumn>
    <tableColumn id="5" xr3:uid="{E8DE4B88-8295-4406-86BE-C13B25769991}" name="lucro" dataDxfId="355" dataCellStyle="Moeda">
      <calculatedColumnFormula>(IF(registroAprazo[[#This Row],[atacado]]="atacado",SUMIF(controleEstoque[produto],registroAprazo[[#This Row],[produto]],controleEstoque[atacado]),SUMIF(controleEstoque[produto],registroAprazo[[#This Row],[produto]],controleEstoque[varejo]))-SUMIF(preçodiario[data],registroAprazo[[#This Row],[data]],OFFSET(preçodiario[[#This Row],[mês]],,MATCH(registroAprazo[[#This Row],[produto]],preçodiario[[#Headers],[dia da semana]:[valor Jv]],0))))*registroAprazo[[#This Row],[quantidade]]</calculatedColumnFormula>
    </tableColumn>
    <tableColumn id="6" xr3:uid="{417623FE-55AD-4D19-B767-877E35637407}" name="data" dataDxfId="354"/>
    <tableColumn id="7" xr3:uid="{BC58D745-659A-4EA5-8396-53B8CB5D5921}" name="d/s" dataDxfId="353">
      <calculatedColumnFormula>TEXT(registroAprazo[[#This Row],[data]],"ddd")</calculatedColumnFormula>
    </tableColumn>
    <tableColumn id="8" xr3:uid="{AF0869B1-EE83-4CD2-A679-6D8165E84011}" name="mês " dataDxfId="352">
      <calculatedColumnFormula>TEXT(registroAprazo[[#This Row],[data]],"mmm")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CE9CEA-A45B-42FB-B2D4-FDE91D260D1F}" name="RegistroPagamento" displayName="RegistroPagamento" ref="M3:T4" totalsRowShown="0" headerRowDxfId="351" dataDxfId="350">
  <autoFilter ref="M3:T4" xr:uid="{E5CE9CEA-A45B-42FB-B2D4-FDE91D260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C30518C-E111-47AB-B7AF-3018BC2736EE}" name="pagamento" dataDxfId="349"/>
    <tableColumn id="2" xr3:uid="{CB8A5B52-3CB3-4380-9C98-1F0CB6936E6F}" name="modo" dataDxfId="348"/>
    <tableColumn id="3" xr3:uid="{A340E119-7965-430E-BBCA-DB5C326DFA78}" name="quantidade" dataDxfId="347"/>
    <tableColumn id="4" xr3:uid="{AFCA0884-F71B-477F-A007-6A01546203B1}" name="valor" dataDxfId="346" dataCellStyle="Moeda"/>
    <tableColumn id="5" xr3:uid="{D610E952-3DDE-4204-BE13-11F1537CD862}" name="desconto" dataDxfId="345" dataCellStyle="Moeda">
      <calculatedColumnFormula array="1">IFERROR(-_xlfn.IFS(RegistroPagamento[[#This Row],[modo]]="débito",RegistroPagamento[[#This Row],[valor]]*dadosfechamento[[#This Row],[débito]],RegistroPagamento[[#This Row],[modo]]="crédito",RegistroPagamento[[#This Row],[valor]]*dadosfechamento[[#This Row],[crédito]]),0)</calculatedColumnFormula>
    </tableColumn>
    <tableColumn id="6" xr3:uid="{B2EA0F05-EC70-4024-811C-D18CB7EE38F3}" name="data" dataDxfId="344"/>
    <tableColumn id="7" xr3:uid="{AE215617-788F-4736-A856-7E241B16F2E1}" name="d/s" dataDxfId="343">
      <calculatedColumnFormula>TEXT(RegistroPagamento[[#This Row],[data]],"ddd")</calculatedColumnFormula>
    </tableColumn>
    <tableColumn id="8" xr3:uid="{B3BEADCC-A909-4F4E-B845-47307F7637C2}" name="mês " dataDxfId="342">
      <calculatedColumnFormula>TEXT(RegistroPagamento[[#This Row],[data]],"mmm")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258715-68CD-4D2E-A428-16625040F1EB}" name="aprazo" displayName="aprazo" ref="L5:T518" totalsRowShown="0" dataDxfId="341">
  <autoFilter ref="L5:T518" xr:uid="{06258715-68CD-4D2E-A428-16625040F1EB}"/>
  <sortState xmlns:xlrd2="http://schemas.microsoft.com/office/spreadsheetml/2017/richdata2" ref="L6:T518">
    <sortCondition descending="1" ref="R5:R518"/>
  </sortState>
  <tableColumns count="9">
    <tableColumn id="9" xr3:uid="{35746F7C-2889-4EB4-8B0C-F6CDE9516EBA}" name="atacado" dataDxfId="340"/>
    <tableColumn id="1" xr3:uid="{67EE6909-350A-4BAB-8605-6298F691ADE2}" name="cliente" dataDxfId="339"/>
    <tableColumn id="2" xr3:uid="{9290E6F1-3735-4AEE-97C4-2F8F2BBBB3BC}" name="produto" dataDxfId="338"/>
    <tableColumn id="3" xr3:uid="{00DD84D3-12BD-4F81-A3BF-C0CED09AE9AC}" name="quantidade" dataDxfId="337"/>
    <tableColumn id="4" xr3:uid="{E283DA9B-EF10-4862-B10E-9EB5FBB051E2}" name="valor" dataDxfId="336" dataCellStyle="Moeda"/>
    <tableColumn id="5" xr3:uid="{B97A6A1B-85EA-444C-9C3A-78788BA6D191}" name="lucro" dataDxfId="335" dataCellStyle="Moeda"/>
    <tableColumn id="6" xr3:uid="{0D01287D-0156-41C4-B55C-C3FF465885BC}" name="data" dataDxfId="334"/>
    <tableColumn id="7" xr3:uid="{60CA7031-307B-41AA-A8DD-1AB51C111ECD}" name="d/s" dataDxfId="333"/>
    <tableColumn id="8" xr3:uid="{3C592942-1694-4E30-A1E6-B3AB8FFA0EF5}" name="mês " dataDxfId="3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650575D-4C13-42BF-A0BD-CBD3D848A361}" name="Tabela58" displayName="Tabela58" ref="A16:E383" totalsRowShown="0" headerRowDxfId="331" dataDxfId="329" headerRowBorderDxfId="330">
  <autoFilter ref="A16:E383" xr:uid="{D650575D-4C13-42BF-A0BD-CBD3D848A36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F55A350-50AE-4FEB-9849-BB637C64C977}" name="Pai do Saulo" dataDxfId="328"/>
    <tableColumn id="2" xr3:uid="{5AE173B0-902A-4732-811D-AD105FC62D01}" name="quantidade" dataDxfId="327">
      <calculatedColumnFormula>IF(SUMIFS(aprazo[quantidade],aprazo[cliente],Tabela58[[#Headers],[Pai do Saulo]],aprazo[data],Tabela58[[#This Row],[Pai do Saulo]])=0,"",SUMIFS(aprazo[quantidade],aprazo[cliente],Tabela58[[#Headers],[Pai do Saulo]],aprazo[data],Tabela58[[#This Row],[Pai do Saulo]]))</calculatedColumnFormula>
    </tableColumn>
    <tableColumn id="3" xr3:uid="{611B13EF-DDAD-4B7E-AD24-E6CD9788C749}" name="valor" dataDxfId="326" dataCellStyle="Moeda">
      <calculatedColumnFormula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calculatedColumnFormula>
    </tableColumn>
    <tableColumn id="4" xr3:uid="{FFE45966-77D6-48AB-AF7A-2D7D7CF8A185}" name="pagameto" dataDxfId="325">
      <calculatedColumnFormula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calculatedColumnFormula>
    </tableColumn>
    <tableColumn id="5" xr3:uid="{61270F6E-DD44-453C-B67C-75D309A0C9A0}" name="saldo do dia " dataDxfId="324" dataCellStyle="Moeda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29C01B-99EA-46AE-9523-F94FE75B5F6F}" name="contabilRegistro" displayName="contabilRegistro" ref="E1:J2" totalsRowShown="0">
  <autoFilter ref="E1:J2" xr:uid="{8329C01B-99EA-46AE-9523-F94FE75B5F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17F5265-CF7F-4368-9AC6-970AA17E011F}" name="contabil"/>
    <tableColumn id="2" xr3:uid="{59F0B8E0-157F-4E98-8326-83504130C5EB}" name="origem"/>
    <tableColumn id="3" xr3:uid="{C860F87D-A036-4DDE-AD3A-B989B861CE5D}" name="modo"/>
    <tableColumn id="4" xr3:uid="{596048CB-2F79-4FE2-AD6D-BCECF8E30926}" name="valor" dataDxfId="1515" dataCellStyle="Moeda"/>
    <tableColumn id="5" xr3:uid="{362583BA-65BC-445D-9E75-C31B8EFD7DAA}" name="data" dataDxfId="1514"/>
    <tableColumn id="6" xr3:uid="{C2369E4C-50B4-483B-81DD-696EC6E3C219}" name="mês">
      <calculatedColumnFormula>IF(TEXT(contabilRegistro[[#This Row],[data]],"mmm")=TEXT(TODAY(),"mmm"),TEXT(contabilRegistro[[#This Row],[data]],"mmm"),"ERRO")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DD0D654-8D48-409F-A7ED-812205D4E3F8}" name="contabil" displayName="contabil" ref="E3:J99" totalsRowShown="0">
  <autoFilter ref="E3:J99" xr:uid="{9DD0D654-8D48-409F-A7ED-812205D4E3F8}"/>
  <sortState xmlns:xlrd2="http://schemas.microsoft.com/office/spreadsheetml/2017/richdata2" ref="E4:J99">
    <sortCondition descending="1" ref="J3:J99"/>
  </sortState>
  <tableColumns count="6">
    <tableColumn id="1" xr3:uid="{79588482-08ED-4AE2-A4D3-F6A728C272DF}" name="contabil"/>
    <tableColumn id="2" xr3:uid="{FFB30986-2665-43B8-B5CB-BBB17847E40D}" name="origem"/>
    <tableColumn id="3" xr3:uid="{5BF909DF-D6FC-4C99-A0E4-F281D79EEAEE}" name="modo"/>
    <tableColumn id="4" xr3:uid="{8B188B8B-F178-4B35-A5A0-42AD272F2759}" name="valor" dataDxfId="1513" dataCellStyle="Moeda"/>
    <tableColumn id="5" xr3:uid="{4393594E-B245-4DE4-BA65-723F309E30D4}" name="data" dataDxfId="1512"/>
    <tableColumn id="6" xr3:uid="{F35B5CB3-1902-4996-AEED-F4C8F1761A33}" name="mê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3492E3-A196-4767-AEF0-D5901992F13B}" name="operacionalRegistro" displayName="operacionalRegistro" ref="O1:T2" totalsRowShown="0">
  <autoFilter ref="O1:T2" xr:uid="{E43492E3-A196-4767-AEF0-D5901992F1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B863C2C-7BFA-4256-8C47-D1B45F3240A2}" name="operacional" dataDxfId="1511"/>
    <tableColumn id="2" xr3:uid="{56A9D8C5-B948-4A04-A256-29B8271EC571}" name="origem"/>
    <tableColumn id="3" xr3:uid="{8D5761ED-CBB7-4C12-9D20-41E04D5485AC}" name="modo"/>
    <tableColumn id="4" xr3:uid="{FC9E39D2-328C-4AAA-86FF-176D0D34D5A0}" name="valor" dataDxfId="1510" dataCellStyle="Moeda"/>
    <tableColumn id="5" xr3:uid="{F9FF0591-0BDF-47DC-AF9F-150FD1779A43}" name="data" dataDxfId="1509"/>
    <tableColumn id="6" xr3:uid="{E8E832FB-0ED0-4C94-BDE0-FCBF5D13C8FA}" name="mês">
      <calculatedColumnFormula>TEXT(operacionalRegistro[[#This Row],[data]],"mmm")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0AF888D-3A25-4562-BC88-D4CB999DF30D}" name="operacional" displayName="operacional" ref="O3:T1107" totalsRowShown="0">
  <autoFilter ref="O3:T1107" xr:uid="{20AF888D-3A25-4562-BC88-D4CB999DF30D}"/>
  <sortState xmlns:xlrd2="http://schemas.microsoft.com/office/spreadsheetml/2017/richdata2" ref="O4:T1107">
    <sortCondition descending="1" ref="S3:S1107"/>
  </sortState>
  <tableColumns count="6">
    <tableColumn id="1" xr3:uid="{E31EC5C3-702B-43D6-8F6F-8F7B213AE89B}" name="operacional"/>
    <tableColumn id="2" xr3:uid="{3960A101-535E-4B73-9B60-8C67BF7F9E63}" name="origem"/>
    <tableColumn id="3" xr3:uid="{767869B3-170F-4E39-B8E1-7D740C8B87A9}" name="modo"/>
    <tableColumn id="4" xr3:uid="{29625CDB-967F-4A1A-8BB3-C4DD91F5A8BD}" name="valor" dataDxfId="1508" dataCellStyle="Moeda"/>
    <tableColumn id="5" xr3:uid="{44230F26-593A-4EBC-B215-31677E043B7A}" name="data" dataDxfId="1507"/>
    <tableColumn id="6" xr3:uid="{7FA558DA-3F80-4404-9CA8-62ABCFB1F372}" name="mês" dataDxfId="150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6C2E080-DA33-417F-9377-D3718BA5F369}" name="fornecedorRegistro" displayName="fornecedorRegistro" ref="Y1:AC2" totalsRowShown="0">
  <autoFilter ref="Y1:AC2" xr:uid="{46C2E080-DA33-417F-9377-D3718BA5F36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9A3F40E-BA5B-40B0-B9A7-61E820112810}" name="fornecedor" dataCellStyle="Vírgula"/>
    <tableColumn id="2" xr3:uid="{40ED1D7E-02C9-48C0-9CC2-364E6763D003}" name="modo"/>
    <tableColumn id="3" xr3:uid="{B7482E18-DEB7-445C-8211-D70534EF11FC}" name="valor" dataDxfId="1505" dataCellStyle="Moeda"/>
    <tableColumn id="4" xr3:uid="{8BD0CFD3-318C-478C-807B-1CE5CC58DAF6}" name="data" dataDxfId="1504"/>
    <tableColumn id="5" xr3:uid="{63AC4C9D-3578-4CFF-89EE-174F265DDAB1}" name="mês">
      <calculatedColumnFormula>IF(TEXT(fornecedorRegistro[[#This Row],[data]],"mmm")=TEXT(TODAY(),"mmm"),TEXT(fornecedorRegistro[[#This Row],[data]],"mmm"),"ERRO")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A73D687-70C3-4749-A9D4-1F83786FA706}" name="fornecedorDados" displayName="fornecedorDados" ref="W1:X6" totalsRowShown="0" headerRowDxfId="1503" dataDxfId="1502" headerRowCellStyle="Moeda" dataCellStyle="Moeda">
  <autoFilter ref="W1:X6" xr:uid="{EA73D687-70C3-4749-A9D4-1F83786FA706}">
    <filterColumn colId="0" hiddenButton="1"/>
    <filterColumn colId="1" hiddenButton="1"/>
  </autoFilter>
  <tableColumns count="2">
    <tableColumn id="1" xr3:uid="{36F41BD4-981C-44B2-BC27-C92ED4388D73}" name="fornecedo" dataDxfId="1501" dataCellStyle="Moeda"/>
    <tableColumn id="2" xr3:uid="{22B8844F-A884-4528-BE84-DD20356940DB}" name="valores" dataDxfId="1500" dataCellStyle="Moeda">
      <calculatedColumnFormula>-SUMIFS(estoque[valor total],estoque[fornecedor],fornecedorDados[[#This Row],[fornecedo]])+SUMIF(fornecedor[fornecedor],fornecedorDados[[#This Row],[fornecedo]],fornecedor[valor])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3DB33BE-FFDA-484F-A347-55504490E4AD}" name="fornecedor" displayName="fornecedor" ref="Y3:AC101" totalsRowShown="0">
  <autoFilter ref="Y3:AC101" xr:uid="{D3DB33BE-FFDA-484F-A347-55504490E4AD}"/>
  <sortState xmlns:xlrd2="http://schemas.microsoft.com/office/spreadsheetml/2017/richdata2" ref="Y4:AC101">
    <sortCondition descending="1" ref="AB3:AB101"/>
  </sortState>
  <tableColumns count="5">
    <tableColumn id="1" xr3:uid="{F69CB0D1-AE68-4E98-A294-08985D346368}" name="fornecedor"/>
    <tableColumn id="2" xr3:uid="{68281094-AF2B-411A-AC91-83FB1F2983AD}" name="modo"/>
    <tableColumn id="3" xr3:uid="{7B2DE9B0-48E9-4C15-A27C-4E502D6B05B8}" name="valor" dataDxfId="1499" dataCellStyle="Moeda"/>
    <tableColumn id="4" xr3:uid="{61D8D31E-E22D-45E1-A7A4-996A50BEBCB3}" name="data" dataDxfId="1498"/>
    <tableColumn id="5" xr3:uid="{982D4AEB-FA0F-4790-8356-2718F2B5A42C}" name="mê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D1F30C-413E-4BBE-BDA8-FB981B5F71D9}" name="controle" displayName="controle" ref="A1:B10" totalsRowShown="0">
  <autoFilter ref="A1:B10" xr:uid="{79D1F30C-413E-4BBE-BDA8-FB981B5F71D9}">
    <filterColumn colId="0" hiddenButton="1"/>
    <filterColumn colId="1" hiddenButton="1"/>
  </autoFilter>
  <tableColumns count="2">
    <tableColumn id="1" xr3:uid="{7E851FEF-465A-4BE6-8BDB-312D8EF66CA6}" name="controle"/>
    <tableColumn id="2" xr3:uid="{EFD87887-E73C-4940-8000-C354CD82C9A1}" name="valores" dataDxfId="1497" dataCellStyle="Moed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EAEB7C8-EEB3-447E-9866-A63B70322C63}" name="modoCtl" displayName="modoCtl" ref="A11:D17" totalsRowShown="0">
  <autoFilter ref="A11:D17" xr:uid="{FEAEB7C8-EEB3-447E-9866-A63B70322C63}">
    <filterColumn colId="0" hiddenButton="1"/>
    <filterColumn colId="1" hiddenButton="1"/>
    <filterColumn colId="2" hiddenButton="1"/>
    <filterColumn colId="3" hiddenButton="1"/>
  </autoFilter>
  <tableColumns count="4">
    <tableColumn id="1" xr3:uid="{A72BECF7-8D61-473E-8BF9-B0A89E8B2BCA}" name="controle"/>
    <tableColumn id="2" xr3:uid="{AF3A0C43-67A3-4807-BF48-15C26D972D33}" name="espécie" dataDxfId="1496" dataCellStyle="Moeda"/>
    <tableColumn id="3" xr3:uid="{E7E03122-F5E1-4B59-B9AA-D6FE3B2CBE84}" name="digital" dataDxfId="1495" dataCellStyle="Moeda"/>
    <tableColumn id="4" xr3:uid="{E6FC2E99-0241-4346-AAE4-730F3B21F4A8}" name="recursos" dataDxfId="1494" dataCellStyle="Moeda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3A62F6F-6E70-4C89-A2D3-E3DA6C249962}" name="operacionalDaDos" displayName="operacionalDaDos" ref="L1:N9" totalsRowShown="0">
  <autoFilter ref="L1:N9" xr:uid="{A3A62F6F-6E70-4C89-A2D3-E3DA6C249962}">
    <filterColumn colId="0" hiddenButton="1"/>
    <filterColumn colId="1" hiddenButton="1"/>
    <filterColumn colId="2" hiddenButton="1"/>
  </autoFilter>
  <tableColumns count="3">
    <tableColumn id="1" xr3:uid="{1971774A-A422-4446-9C24-EF9676E5513C}" name="operacional" dataDxfId="1493"/>
    <tableColumn id="2" xr3:uid="{D755D393-FB64-4574-AD6E-6B8E9D2370F7}" name="valores" dataDxfId="1492" dataCellStyle="Moeda">
      <calculatedColumnFormula>SUMIFS(operacional[valor],operacional[origem],operacionalDaDos[[#This Row],[operacional]],operacional[mês],TEXT(TODAY(),"mmm"))</calculatedColumnFormula>
    </tableColumn>
    <tableColumn id="3" xr3:uid="{697E1C58-8C3A-48C1-A518-95514E8CD41B}" name="HOJE" dataDxfId="149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3E4A5E42-2BB1-4C79-8A6B-6DA8BEBED09F}" name="recursos" displayName="recursos" ref="C1:D10" totalsRowShown="0">
  <autoFilter ref="C1:D10" xr:uid="{3E4A5E42-2BB1-4C79-8A6B-6DA8BEBED09F}">
    <filterColumn colId="0" hiddenButton="1"/>
    <filterColumn colId="1" hiddenButton="1"/>
  </autoFilter>
  <tableColumns count="2">
    <tableColumn id="1" xr3:uid="{570C237C-CA3C-4995-9421-CDA6696CB220}" name="recursos"/>
    <tableColumn id="2" xr3:uid="{2E0FBA14-4C9E-45AC-9C1B-55CAA97B3A23}" name="valores" dataDxfId="1490" dataCellStyle="Moed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864577FF-148B-4B20-9D57-0BE63D0D2FEB}" name="contadorDemoeda" displayName="contadorDemoeda" ref="A18:D30" totalsRowShown="0" dataDxfId="1489" tableBorderDxfId="1488">
  <autoFilter ref="A18:D30" xr:uid="{864577FF-148B-4B20-9D57-0BE63D0D2FEB}">
    <filterColumn colId="0" hiddenButton="1"/>
    <filterColumn colId="1" hiddenButton="1"/>
    <filterColumn colId="2" hiddenButton="1"/>
    <filterColumn colId="3" hiddenButton="1"/>
  </autoFilter>
  <tableColumns count="4">
    <tableColumn id="1" xr3:uid="{C3237A94-BC9F-4B94-A1A2-D8B0CA7EAE7B}" name="contador de moéda" dataDxfId="1487" dataCellStyle="Moeda"/>
    <tableColumn id="2" xr3:uid="{4761F1D5-1C60-418D-AB2F-449FDFD53A8C}" name="gardado" dataDxfId="1486" dataCellStyle="Moeda"/>
    <tableColumn id="3" xr3:uid="{6FCC4592-5D95-45B1-BAD1-3175BC534551}" name="quantidade" dataDxfId="1485"/>
    <tableColumn id="4" xr3:uid="{80F13939-C345-4BB2-9205-B85D06B6131C}" name="total" dataDxfId="1484" dataCellStyle="Moeda">
      <calculatedColumnFormula>200*(contadorDemoeda[[#This Row],[quantidade]]+contadorDemoeda[[#This Row],[gardado]])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7DF794-A7A7-4275-873F-CE9892C37CE3}" name="dadosfechamento" displayName="dadosfechamento" ref="A1:I5" headerRowDxfId="319" dataDxfId="318" totalsRowDxfId="317">
  <autoFilter ref="A1:I5" xr:uid="{D97DF794-A7A7-4275-873F-CE9892C37C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40490F34-A7B8-458D-8C68-A305E0098610}" name="origem" dataDxfId="316" totalsRowDxfId="315"/>
    <tableColumn id="2" xr3:uid="{D38B92F8-C09E-4840-AFD4-BF14C10D1F98}" name="mês" dataDxfId="314" totalsRowDxfId="313">
      <calculatedColumnFormula>TEXT(dadosfechamento[[#This Row],[data]],"mmm")</calculatedColumnFormula>
    </tableColumn>
    <tableColumn id="3" xr3:uid="{21BA07B8-EC17-4550-AEBF-4144D8775296}" name="d/s" dataDxfId="312" totalsRowDxfId="311">
      <calculatedColumnFormula>TEXT(dadosfechamento[[#This Row],[data]],"ddd")</calculatedColumnFormula>
    </tableColumn>
    <tableColumn id="4" xr3:uid="{DBACA318-C6FA-4B7D-96FB-BAA7B6EB6D65}" name="data" dataDxfId="310"/>
    <tableColumn id="5" xr3:uid="{FFD555CB-A296-4134-8DAA-70E99B372AA4}" name="crédito" dataDxfId="309" totalsRowDxfId="308"/>
    <tableColumn id="6" xr3:uid="{7BF70BD1-3D18-4CD3-A86C-E5359DB0DF19}" name="débito" dataDxfId="307" totalsRowDxfId="306"/>
    <tableColumn id="7" xr3:uid="{8F7289A3-3F2A-4218-ACA7-ECD8CE1609AB}" name="pix" dataDxfId="305" totalsRowDxfId="304"/>
    <tableColumn id="8" xr3:uid="{1E4E5732-AF5C-49DD-8F28-AB04A2D781AB}" name="dinheiro" dataDxfId="303" totalsRowDxfId="302"/>
    <tableColumn id="9" xr3:uid="{24F36FC5-C65E-498B-B41B-A6426184F571}" name="total" dataDxfId="301" totalsRowDxfId="30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394D47-7111-4150-9620-9950BEC9D1E0}" name="fechamento" displayName="fechamento" ref="A6:I846" totalsRowShown="0" headerRowDxfId="299" dataDxfId="297" headerRowBorderDxfId="298" tableBorderDxfId="296" dataCellStyle="Porcentagem">
  <autoFilter ref="A6:I846" xr:uid="{F5394D47-7111-4150-9620-9950BEC9D1E0}"/>
  <sortState xmlns:xlrd2="http://schemas.microsoft.com/office/spreadsheetml/2017/richdata2" ref="A7:I846">
    <sortCondition descending="1" ref="D6:D846"/>
  </sortState>
  <tableColumns count="9">
    <tableColumn id="1" xr3:uid="{62CFBD8F-B726-4CAF-A71C-B564C3EE5E8E}" name="origem" dataDxfId="295"/>
    <tableColumn id="2" xr3:uid="{015CAC99-7870-4F15-A44D-321C4EBA4434}" name="mês" dataDxfId="294"/>
    <tableColumn id="3" xr3:uid="{DAB0D4D8-FFA0-4857-BE69-DAECFA167510}" name="d/s" dataDxfId="293"/>
    <tableColumn id="4" xr3:uid="{E5E59AF0-F1FE-430A-A0C4-F57500C21DBF}" name="data" dataDxfId="292"/>
    <tableColumn id="5" xr3:uid="{405A3ED5-FB84-4952-B5B1-45F29B783571}" name="crédito" dataDxfId="291" dataCellStyle="Porcentagem"/>
    <tableColumn id="6" xr3:uid="{C48A3D24-9125-407D-9383-CFED37291C5E}" name="débito" dataDxfId="290" dataCellStyle="Porcentagem"/>
    <tableColumn id="7" xr3:uid="{9150E338-6478-467E-8C7B-60896C173FB7}" name="pix" dataDxfId="289" dataCellStyle="Porcentagem"/>
    <tableColumn id="8" xr3:uid="{9F45DAFA-5309-4314-9B32-1C7054F6A0D1}" name="dinheiro" dataDxfId="288" dataCellStyle="Porcentagem"/>
    <tableColumn id="9" xr3:uid="{14661633-662E-4FE8-920C-1654522BA8FA}" name="total" dataDxfId="287" dataCellStyle="Moeda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543902-9344-400A-AAEB-97C6F42FD3CB}" name="variaçãoDcx" displayName="variaçãoDcx" ref="K1:L5" totalsRowShown="0" headerRowDxfId="286" dataDxfId="284" headerRowBorderDxfId="285" tableBorderDxfId="283">
  <autoFilter ref="K1:L5" xr:uid="{40543902-9344-400A-AAEB-97C6F42FD3CB}">
    <filterColumn colId="0" hiddenButton="1"/>
    <filterColumn colId="1" hiddenButton="1"/>
  </autoFilter>
  <tableColumns count="2">
    <tableColumn id="1" xr3:uid="{A8A11D9E-3584-4B71-816E-B9735D02A715}" name="origem" dataDxfId="282"/>
    <tableColumn id="2" xr3:uid="{296E87B8-C281-4BB4-A785-17F48242A047}" name="valor" dataDxfId="281" dataCellStyle="Moeda">
      <calculatedColumnFormula>SUMIFS(fechamento[total],fechamento[origem],variaçãoDcx[[#This Row],[origem]])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68717DE-78B7-40A4-B3B3-2094E43E1E57}" name="forma" displayName="forma" ref="M1:P5" totalsRowShown="0" headerRowDxfId="280" headerRowBorderDxfId="279">
  <autoFilter ref="M1:P5" xr:uid="{F68717DE-78B7-40A4-B3B3-2094E43E1E57}">
    <filterColumn colId="0" hiddenButton="1"/>
    <filterColumn colId="1" hiddenButton="1"/>
    <filterColumn colId="2" hiddenButton="1"/>
    <filterColumn colId="3" hiddenButton="1"/>
  </autoFilter>
  <tableColumns count="4">
    <tableColumn id="1" xr3:uid="{EB8C4585-BB29-4B44-B72E-0D6B08DCBA70}" name="forma" dataDxfId="278"/>
    <tableColumn id="2" xr3:uid="{D955552D-63E6-476E-89B9-14690BC55030}" name="bruto" dataDxfId="277" dataCellStyle="Moeda">
      <calculatedColumnFormula>SUMIFS(fechamento[crédito],fechamento[origem],forma[[#Headers],[bruto]])</calculatedColumnFormula>
    </tableColumn>
    <tableColumn id="3" xr3:uid="{1D75CDFD-19ED-4760-9FBB-64659D23CCA8}" name="liquido" dataDxfId="276" dataCellStyle="Moeda"/>
    <tableColumn id="4" xr3:uid="{3F8CBFF9-AAFB-4C25-BB6C-2336C075E22C}" name="margem" dataDxfId="275" dataCellStyle="Porcentagem">
      <calculatedColumnFormula>forma[[#This Row],[bruto]]/SUM(forma[bruto])</calculatedColumnFormula>
    </tableColumn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4CC00E5-8D40-4FA5-BDDC-DA31AE686495}" name="bloqueado" displayName="bloqueado" ref="J7:K10" totalsRowShown="0">
  <autoFilter ref="J7:K10" xr:uid="{34CC00E5-8D40-4FA5-BDDC-DA31AE686495}">
    <filterColumn colId="0" hiddenButton="1"/>
    <filterColumn colId="1" hiddenButton="1"/>
  </autoFilter>
  <tableColumns count="2">
    <tableColumn id="1" xr3:uid="{47824E3B-9C78-414A-A88B-6FDFD283C849}" name="bloqu"/>
    <tableColumn id="2" xr3:uid="{DA593EB6-841A-4994-8691-F77EF369AECF}" name="valores" dataDxfId="274">
      <calculatedColumnFormula>SUMIFS(fechamento[crédito],fechamento[d/s],bloqueado[[#This Row],[bloqu]],fechamento[origem],$K$3)+SUMIFS(fechamento[débito],fechamento[d/s],bloqueado[[#This Row],[bloqu]],fechamento[origem],$K$3)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BFDE7E6-D42F-41D8-BB43-9B46EC8406E9}" name="feriado" displayName="feriado" ref="J11:K19" totalsRowShown="0">
  <autoFilter ref="J11:K19" xr:uid="{7BFDE7E6-D42F-41D8-BB43-9B46EC8406E9}">
    <filterColumn colId="0" hiddenButton="1"/>
    <filterColumn colId="1" hiddenButton="1"/>
  </autoFilter>
  <tableColumns count="2">
    <tableColumn id="1" xr3:uid="{2C386B51-FB6E-450D-B45F-9EE28D4DBC7E}" name="feriad" dataDxfId="273"/>
    <tableColumn id="2" xr3:uid="{3DA03CE2-D2AB-4307-B899-55080C8B13C3}" name="valores" dataDxfId="272">
      <calculatedColumnFormula>SUMIFS(fechamento[crédito],fechamento[origem],"liquido",fechamento[data],feriado[[#This Row],[feriad]])+SUMIFS(fechamento[débito],fechamento[origem],"liquido",fechamento[data],feriado[[#This Row],[feriad]])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6862A95-A38D-4D2F-A64D-4A066654965C}" name="FatuAnM" displayName="FatuAnM" ref="L7:P19" totalsRowShown="0">
  <autoFilter ref="L7:P19" xr:uid="{16862A95-A38D-4D2F-A64D-4A066654965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DC9D6D6-C449-4C23-A693-8D2CB143E981}" name="mês" dataDxfId="271"/>
    <tableColumn id="3" xr3:uid="{B350E84C-935A-4CE5-AF26-4BCAD9B17C04}" name="vendas" dataDxfId="270" dataCellStyle="Moeda">
      <calculatedColumnFormula>IF(SUMIFS(estoque[quantidade],estoque[fornecedor],"saída",estoque[mês],FatuAnM[[#This Row],[mês]])/12=0,"",SUMIFS(estoque[quantidade],estoque[fornecedor],"saída",estoque[mês],FatuAnM[[#This Row],[mês]])/12)</calculatedColumnFormula>
    </tableColumn>
    <tableColumn id="2" xr3:uid="{5060DDC1-75F6-4EDE-AE2F-87FD63E8FA61}" name="bruto" dataDxfId="269" dataCellStyle="Moeda">
      <calculatedColumnFormula>IF(SUMIFS(fechamento[total],fechamento[mês],FatuAnM[[#This Row],[mês]],fechamento[origem],FatuAnM[[#Headers],[bruto]])=0,"",SUMIFS(fechamento[total],fechamento[mês],FatuAnM[[#This Row],[mês]],fechamento[origem],FatuAnM[[#Headers],[bruto]]))</calculatedColumnFormula>
    </tableColumn>
    <tableColumn id="4" xr3:uid="{74BD68C6-43BA-4FB8-AF22-71BE889B65E6}" name="lucro" dataDxfId="268" dataCellStyle="Moeda">
      <calculatedColumnFormula>IF(SUMIFS(estoque[lucro],estoque[mês],FatuAnM[[#This Row],[mês]])=0,"",SUMIFS(estoque[lucro],estoque[mês],FatuAnM[[#This Row],[mês]]))</calculatedColumnFormula>
    </tableColumn>
    <tableColumn id="5" xr3:uid="{C9A7F6C1-8AC6-4E3A-8A50-546BF2EE4EA9}" name="margem" dataDxfId="267" dataCellStyle="Porcentagem">
      <calculatedColumnFormula>IFERROR(SUMIFS(estoque[lucro],estoque[mês],FatuAnM[[#This Row],[mês]])/FatuAnM[[#This Row],[bruto]],"")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C1BF6B5-F763-4B0A-A731-A626D0331E8C}" name="FaturamentoMês" displayName="FaturamentoMês" ref="J20:P51" totalsRowShown="0">
  <autoFilter ref="J20:P51" xr:uid="{BC1BF6B5-F763-4B0A-A731-A626D0331E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6" xr3:uid="{E8DDD4EE-432A-4F52-BD83-AAAF016139C2}" name="N°" dataDxfId="266" dataCellStyle="Moeda">
      <calculatedColumnFormula>WEEKNUM(FaturamentoMês[[#This Row],[data]],13)</calculatedColumnFormula>
    </tableColumn>
    <tableColumn id="7" xr3:uid="{BD8C5160-63F0-4E3B-8A65-546F3D062CEF}" name="dia semana" dataDxfId="265" dataCellStyle="Moeda">
      <calculatedColumnFormula>TEXT(FaturamentoMês[[#This Row],[data]],"ddd")</calculatedColumnFormula>
    </tableColumn>
    <tableColumn id="1" xr3:uid="{7BE6E952-6116-4868-832D-F25442F1E434}" name="data" dataDxfId="264"/>
    <tableColumn id="2" xr3:uid="{76D10373-F7F4-4CFF-9202-C51A70D72DC5}" name="venda bruta" dataCellStyle="Moeda">
      <calculatedColumnFormula>IF(SUMIFS(estoque[valor total],estoque[fornecedor],"saída",estoque[data],FaturamentoMês[[#This Row],[data]])=0,"",SUMIFS(estoque[valor total],estoque[fornecedor],"saída",estoque[data],FaturamentoMês[[#This Row],[data]]))</calculatedColumnFormula>
    </tableColumn>
    <tableColumn id="3" xr3:uid="{94146050-EEFD-47F4-9343-F8C1EAE92587}" name="faturamento" dataDxfId="263" dataCellStyle="Moeda">
      <calculatedColumnFormula>IF(SUMIFS(fechamento[total],fechamento[data],FaturamentoMês[[#This Row],[data]],fechamento[origem],"bruto")=0,"",SUMIFS(fechamento[total],fechamento[data],FaturamentoMês[[#This Row],[data]],fechamento[origem],"bruto"))</calculatedColumnFormula>
    </tableColumn>
    <tableColumn id="4" xr3:uid="{02ED79E6-3A0F-4DA4-9933-E05F52E59031}" name="meta mensal" dataDxfId="262" dataCellStyle="Moeda">
      <calculatedColumnFormula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calculatedColumnFormula>
    </tableColumn>
    <tableColumn id="5" xr3:uid="{A136EF7D-FEDF-4267-B9B4-5FEE12FDAA2C}" name="lucro" dataDxfId="261" dataCellStyle="Moeda">
      <calculatedColumnFormula>IF(SUMIFS(estoque[lucro],estoque[fornecedor],"saída",estoque[data],FaturamentoMês[[#This Row],[data]])=0,"",SUMIFS(estoque[lucro],estoque[fornecedor],"saída",estoque[data],FaturamentoMês[[#This Row],[data]]))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8747BDD-78C7-49DE-9581-BCF00032FADB}" name="faturamentoSemanal" displayName="faturamentoSemanal" ref="J52:Q105" totalsRowShown="0">
  <tableColumns count="8">
    <tableColumn id="8" xr3:uid="{9D3BE5B4-067A-4ABD-8743-AA40D4444067}" name="N°" dataDxfId="260"/>
    <tableColumn id="1" xr3:uid="{69221BDC-86D0-4568-9EA2-29CDBA231523}" name="semana" dataDxfId="259"/>
    <tableColumn id="2" xr3:uid="{6BF34231-101C-42C6-A31E-03D90E829DE5}" name="varejo" dataDxfId="258" dataCellStyle="Vírgula">
      <calculatedColumnFormula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calculatedColumnFormula>
    </tableColumn>
    <tableColumn id="3" xr3:uid="{0F60A56C-7378-4980-890C-498B85881A30}" name="atacado" dataDxfId="257" dataCellStyle="Vírgula">
      <calculatedColumnFormula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calculatedColumnFormula>
    </tableColumn>
    <tableColumn id="4" xr3:uid="{9212F695-40E9-43FA-A904-10A1DFAB2C3C}" name="valor de saída" dataDxfId="256" dataCellStyle="Moeda">
      <calculatedColumnFormula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calculatedColumnFormula>
    </tableColumn>
    <tableColumn id="5" xr3:uid="{915B0928-2DCF-4F3E-9C72-892533E5641A}" name="faturamento" dataDxfId="255" dataCellStyle="Moeda">
      <calculatedColumnFormula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calculatedColumnFormula>
    </tableColumn>
    <tableColumn id="6" xr3:uid="{DC7D8AA3-E15A-45E2-8181-A82AA739C3E6}" name="lucro" dataDxfId="254" dataCellStyle="Moeda">
      <calculatedColumnFormula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calculatedColumnFormula>
    </tableColumn>
    <tableColumn id="7" xr3:uid="{9F84732F-9273-4582-BC8C-45C316501D80}" name="margem" dataCellStyle="Porcentagem">
      <calculatedColumnFormula>IFERROR(faturamentoSemanal[[#This Row],[lucro]]/faturamentoSemanal[[#This Row],[valor de saída]],"")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8F6B81D-B1C3-474B-97DB-037DCB4A4D88}" name="FatuAnM49" displayName="FatuAnM49" ref="AC1:AS13" totalsRowShown="0" headerRowDxfId="253">
  <autoFilter ref="AC1:AS13" xr:uid="{28F6B81D-B1C3-474B-97DB-037DCB4A4D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2000E62E-6C19-4E2C-9D95-50B41C41F508}" name="mês"/>
    <tableColumn id="3" xr3:uid="{9763FFCB-077E-4DBF-B984-00B52E59553B}" name="varejo" dataDxfId="252" dataCellStyle="Moeda">
      <calculatedColumnFormula>IF(SUMIFS(estoque[quantidade],estoque[fornecedor],"saída",estoque[mês],FatuAnM49[[#This Row],[mês]])/12=0,"",(SUMIFS(estoque[quantidade],estoque[fornecedor],"saída",estoque[mês],FatuAnM49[[#This Row],[mês]])-FatuAnM49[[#This Row],[atacdo]]*12)/12)</calculatedColumnFormula>
    </tableColumn>
    <tableColumn id="11" xr3:uid="{2DEC6428-22BE-4E9D-A0DB-A45B1B124204}" name="atacdo" dataDxfId="251" dataCellStyle="Moeda">
      <calculatedColumnFormula>IF(SUMIFS(aprazo[quantidade],aprazo[atacado],"atacado",aprazo[[mês ]],FatuAnM49[[#This Row],[mês]])/12=0,"",SUMIFS(aprazo[quantidade],aprazo[atacado],"atacado",aprazo[[mês ]],FatuAnM49[[#This Row],[mês]])/12)</calculatedColumnFormula>
    </tableColumn>
    <tableColumn id="17" xr3:uid="{D367B98B-80C6-4F46-A76B-E18F75CCCCEF}" name="proporção" dataDxfId="250" dataCellStyle="Moeda">
      <calculatedColumnFormula>IFERROR((FatuAnM49[[#This Row],[varejo]]*12)/(FatuAnM49[[#This Row],[atacdo]]*12),"")</calculatedColumnFormula>
    </tableColumn>
    <tableColumn id="2" xr3:uid="{3ECC5261-A26E-4666-9279-969F4AA32750}" name="faturamento" dataDxfId="249" dataCellStyle="Moeda">
      <calculatedColumnFormula>IF(SUMIFS(fechamento[total],fechamento[origem],"bruto",fechamento[mês],FatuAnM49[[#This Row],[mês]])=0,"",SUMIFS(fechamento[total],fechamento[origem],"bruto",fechamento[mês],FatuAnM49[[#This Row],[mês]]))</calculatedColumnFormula>
    </tableColumn>
    <tableColumn id="4" xr3:uid="{7EC8081B-9D67-49C5-A66A-64F91A0F7ACF}" name="lucro" dataDxfId="248" dataCellStyle="Moeda">
      <calculatedColumnFormula>IF(SUMIF(estoque[mês],FatuAnM49[[#This Row],[mês]],estoque[lucro])=0,"",SUMIF(estoque[mês],FatuAnM49[[#This Row],[mês]],estoque[lucro]))</calculatedColumnFormula>
    </tableColumn>
    <tableColumn id="5" xr3:uid="{A8DB618E-2538-4C0A-97E3-C07F06924FDA}" name="margem" dataDxfId="247" dataCellStyle="Porcentagem">
      <calculatedColumnFormula>IFERROR(SUMIF(estoque[mês],FatuAnM49[[#This Row],[mês]],estoque[lucro])/SUMIFS(estoque[valor total],estoque[fornecedor],"saída",estoque[mês],FatuAnM49[[#This Row],[mês]]),"")</calculatedColumnFormula>
    </tableColumn>
    <tableColumn id="12" xr3:uid="{F2D7217C-6132-42A3-830C-B990D04F9ABC}" name="lucro M por Um" dataDxfId="246" dataCellStyle="Porcentagem">
      <calculatedColumnFormula>IFERROR(FatuAnM49[[#This Row],[lucro]]/((FatuAnM49[[#This Row],[varejo]]+FatuAnM49[[#This Row],[atacdo]])),"")</calculatedColumnFormula>
    </tableColumn>
    <tableColumn id="6" xr3:uid="{EED7885A-C0E5-4870-B535-1390119378B7}" name="meta" dataDxfId="245" dataCellStyle="Vírgula">
      <calculatedColumnFormula>IFERROR(5200/(FatuAnM49[[#This Row],[lucro]]/(FatuAnM49[[#This Row],[varejo]]+FatuAnM49[[#This Row],[atacdo]])),"")</calculatedColumnFormula>
    </tableColumn>
    <tableColumn id="7" xr3:uid="{3C3D2ADC-4025-4615-8173-F1D95AA074E1}" name="influe Va" dataDxfId="244" dataCellStyle="Porcentagem">
      <calculatedColumnFormula>IFERROR((FatuAnM49[[#This Row],[varejo]])/FatuAnM49[[#This Row],[meta]],"")</calculatedColumnFormula>
    </tableColumn>
    <tableColumn id="8" xr3:uid="{6863799F-C720-49DA-8D5A-F3CDA5FD18ED}" name="Influe Ata" dataDxfId="243" dataCellStyle="Porcentagem">
      <calculatedColumnFormula>IFERROR(100%-FatuAnM49[[#This Row],[influe Va]],"")</calculatedColumnFormula>
    </tableColumn>
    <tableColumn id="9" xr3:uid="{969CE231-386A-4D79-8511-3808EA0481A1}" name="lG1" dataDxfId="242" dataCellStyle="Moeda">
      <calculatedColumnFormula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calculatedColumnFormula>
    </tableColumn>
    <tableColumn id="10" xr3:uid="{BD078AD5-B773-4469-BA4F-B9524889E1FB}" name="lG2" dataDxfId="241">
      <calculatedColumnFormula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calculatedColumnFormula>
    </tableColumn>
    <tableColumn id="13" xr3:uid="{EAB97684-3FC6-4D02-81D9-0B25D227D973}" name="qG1" dataDxfId="240">
      <calculatedColumnFormula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calculatedColumnFormula>
    </tableColumn>
    <tableColumn id="14" xr3:uid="{F8BDF827-1AF8-48E9-894D-6B6B836E8FE3}" name="Qg2" dataDxfId="239">
      <calculatedColumnFormula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calculatedColumnFormula>
    </tableColumn>
    <tableColumn id="15" xr3:uid="{568228CD-43C0-4CED-B967-5BE3A8CA68AB}" name="Gr1L" dataDxfId="238">
      <calculatedColumnFormula>IFERROR(FatuAnM49[[#This Row],[lG1]]/FatuAnM49[[#This Row],[qG1]],"")</calculatedColumnFormula>
    </tableColumn>
    <tableColumn id="16" xr3:uid="{61DCA4DD-E4A5-492D-A9D4-ACAFE8DDE7F5}" name="Gr2L" dataDxfId="237">
      <calculatedColumnFormula>IFERROR(FatuAnM49[[#This Row],[lG2]]/FatuAnM49[[#This Row],[Qg2]],"")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52E1B5-05F8-4496-BE8E-227A126168F4}" name="registroEstoque" displayName="registroEstoque" ref="A12:H13" totalsRowShown="0" dataDxfId="185">
  <autoFilter ref="A12:H13" xr:uid="{7F52E1B5-05F8-4496-BE8E-227A126168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2" xr3:uid="{B29C70E3-A8E4-4AD5-A682-14FB10BCDA07}" name="fornecedor" dataDxfId="184"/>
    <tableColumn id="3" xr3:uid="{BE6AA7F0-54B4-4AE4-9787-9455E220E708}" name="produto" dataDxfId="183"/>
    <tableColumn id="4" xr3:uid="{C0E90342-10D5-429B-92CE-22C6E39098E9}" name="quantidade" dataDxfId="182"/>
    <tableColumn id="5" xr3:uid="{17CFA180-49FB-46FA-A8C2-EDE00E89AF56}" name="valor" dataDxfId="181" dataCellStyle="Moeda"/>
    <tableColumn id="6" xr3:uid="{B9431C00-6BBC-421D-B234-EFFC656CEF20}" name="valor total" dataDxfId="180" dataCellStyle="Moeda">
      <calculatedColumnFormula>(registroEstoque[[#This Row],[quantidade]]/12)*registroEstoque[[#This Row],[valor]]</calculatedColumnFormula>
    </tableColumn>
    <tableColumn id="7" xr3:uid="{EBB4923D-3E90-43B1-89EF-7BB755D8479B}" name="data" dataDxfId="179"/>
    <tableColumn id="8" xr3:uid="{C103165E-F3B7-444F-9B4A-0148CE58BAAD}" name="d/s" dataDxfId="178">
      <calculatedColumnFormula>TEXT(registroEstoque[[#This Row],[data]],"ddd")</calculatedColumnFormula>
    </tableColumn>
    <tableColumn id="9" xr3:uid="{C608F346-FD54-4EE0-8B93-4577CD9F91BE}" name="mês" dataDxfId="177">
      <calculatedColumnFormula>TEXT(registroEstoque[[#This Row],[data]],"mmm")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528658-E7B8-4EA0-B224-0AE75C944234}" name="estoque" displayName="estoque" ref="A14:J996" totalsRowShown="0" dataDxfId="176">
  <autoFilter ref="A14:J996" xr:uid="{7C528658-E7B8-4EA0-B224-0AE75C944234}"/>
  <sortState xmlns:xlrd2="http://schemas.microsoft.com/office/spreadsheetml/2017/richdata2" ref="A15:J996">
    <sortCondition descending="1" ref="F14:F996"/>
  </sortState>
  <tableColumns count="10">
    <tableColumn id="2" xr3:uid="{AB45C5F5-1F69-4A6E-B1EC-3D3894F54EA9}" name="fornecedor" dataDxfId="175"/>
    <tableColumn id="3" xr3:uid="{9B035657-4A27-42F0-9F57-9C8F272D90E2}" name="produto" dataDxfId="174"/>
    <tableColumn id="4" xr3:uid="{C53BF18D-47E7-4D10-8CB6-26F16E43122D}" name="quantidade" dataDxfId="173"/>
    <tableColumn id="5" xr3:uid="{157BD015-769A-4E6D-9372-3B3FFA1AF994}" name="valor" dataDxfId="172" dataCellStyle="Moeda"/>
    <tableColumn id="6" xr3:uid="{9E37DA5C-5B58-4F0D-819E-C4F8E823E56C}" name="valor total" dataDxfId="171" dataCellStyle="Moeda"/>
    <tableColumn id="7" xr3:uid="{136E981B-8869-48A3-905F-5C559F5CAF0C}" name="data" dataDxfId="170"/>
    <tableColumn id="8" xr3:uid="{0DBBF691-F150-4BE0-9EF9-AA6FABF86CB9}" name="d/s" dataDxfId="169"/>
    <tableColumn id="9" xr3:uid="{8221D94C-E9D3-4C74-943F-19122DD612BE}" name="mês" dataDxfId="168"/>
    <tableColumn id="10" xr3:uid="{2EE72D39-58CE-4567-8B76-2EFA42B8BC64}" name="lucro" dataDxfId="167" dataCellStyle="Moeda"/>
    <tableColumn id="11" xr3:uid="{B2D9EC89-5408-4E4E-98F4-13D24C824B38}" name="margem" dataDxfId="166" dataCellStyle="Porcentagem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88A2B2-0674-4BCF-B254-96D590D79CDE}" name="controleEstoque" displayName="controleEstoque" ref="A1:W11" totalsRowShown="0" headerRowDxfId="165">
  <autoFilter ref="A1:W11" xr:uid="{3388A2B2-0674-4BCF-B254-96D590D79CD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FCB8F64B-ED9F-4E36-82E8-FDBB9670D517}" name="produto" dataDxfId="164"/>
    <tableColumn id="10" xr3:uid="{90428D70-CC4F-4EA5-8ABB-3FD9C2A47DC1}" name="preço" dataDxfId="163" dataCellStyle="Moeda">
      <calculatedColumnFormula array="1">SUMIF(preçodiario[data],registroEstoque[data],preçodiario[OVO BRANCO A])</calculatedColumnFormula>
    </tableColumn>
    <tableColumn id="2" xr3:uid="{6E6A08F9-3954-427C-BCDB-C7E037879147}" name="saída" dataDxfId="162">
      <calculatedColumnFormula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calculatedColumnFormula>
    </tableColumn>
    <tableColumn id="3" xr3:uid="{DCC27D79-E617-4639-97B4-43C2FED34413}" name="cartelas" dataDxfId="161"/>
    <tableColumn id="4" xr3:uid="{ECC08326-309C-4D12-AF91-94CC733AE7CB}" name="venda atacdo" dataDxfId="160">
      <calculatedColumnFormula array="1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calculatedColumnFormula>
    </tableColumn>
    <tableColumn id="5" xr3:uid="{C6B72E91-09A5-4C16-91A4-625FA1D7E29B}" name="valor saída" dataDxfId="159" dataCellStyle="Moeda">
      <calculatedColumnFormula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calculatedColumnFormula>
    </tableColumn>
    <tableColumn id="6" xr3:uid="{8C83D7B7-BB79-41BF-81F6-582938CF1DFA}" name="lucro" dataDxfId="158" dataCellStyle="Moeda">
      <calculatedColumnFormula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calculatedColumnFormula>
    </tableColumn>
    <tableColumn id="7" xr3:uid="{5177A256-5A90-42E9-BE7C-B6897D98998D}" name="margem" dataDxfId="157" dataCellStyle="Porcentagem">
      <calculatedColumnFormula>IFERROR(controleEstoque[[#This Row],[lucro]]/controleEstoque[[#This Row],[valor saída]],"")</calculatedColumnFormula>
    </tableColumn>
    <tableColumn id="8" xr3:uid="{98CED92D-4EE5-447F-A733-434132C798E9}" name="varejo" dataDxfId="156" dataCellStyle="Moeda"/>
    <tableColumn id="9" xr3:uid="{FAEF8181-5F88-4C13-A32E-E3BE8BF8C892}" name="atacado" dataDxfId="155" dataCellStyle="Moeda">
      <calculatedColumnFormula>controleEstoque[[#This Row],[preço]]+2</calculatedColumnFormula>
    </tableColumn>
    <tableColumn id="28" xr3:uid="{CE1D4AA4-2249-404F-BCCE-0BB58C239CD7}" name="valor da caixa bruta" dataDxfId="154" dataCellStyle="Moeda">
      <calculatedColumnFormula>IF(controleEstoque[[#This Row],[preço]]*12=0,"",controleEstoque[[#This Row],[preço]]*12)</calculatedColumnFormula>
    </tableColumn>
    <tableColumn id="26" xr3:uid="{EE47E870-F4D7-48CD-9A2D-D314CB24D63C}" name="balaço " dataDxfId="153" dataCellStyle="Moeda">
      <calculatedColumnFormula>IF(controleEstoque[[#This Row],[preço]]=0,"",IF(U27&lt;2,2+controleEstoque[[#This Row],[preço]],controleEstoque[[#This Row],[preço]]+$W$18))</calculatedColumnFormula>
    </tableColumn>
    <tableColumn id="11" xr3:uid="{3A961B3A-245B-49B8-A30A-601A1A915832}" name="lucro varejo" dataDxfId="152" dataCellStyle="Moeda">
      <calculatedColumnFormula>IF(controleEstoque[[#This Row],[varejo]]-controleEstoque[[#This Row],[preço]]=0,"",controleEstoque[[#This Row],[varejo]]-controleEstoque[[#This Row],[preço]])</calculatedColumnFormula>
    </tableColumn>
    <tableColumn id="12" xr3:uid="{BAFEEF07-F67F-4CE4-AC2E-08ECD8F4A8D9}" name="lucro atacado" dataDxfId="151" dataCellStyle="Moeda">
      <calculatedColumnFormula>IF(controleEstoque[[#This Row],[atacado]]-controleEstoque[[#This Row],[preço]]=0,"",controleEstoque[[#This Row],[atacado]]-controleEstoque[[#This Row],[preço]])</calculatedColumnFormula>
    </tableColumn>
    <tableColumn id="13" xr3:uid="{3DBBF7A7-C223-4DB9-9AEB-C82BA8610E93}" name="estoque" dataDxfId="150">
      <calculatedColumnFormula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calculatedColumnFormula>
    </tableColumn>
    <tableColumn id="14" xr3:uid="{CEF9E5A6-C36B-45A5-B9CD-91878475FFC0}" name="valor estoque" dataDxfId="149">
      <calculatedColumnFormula>IFERROR(controleEstoque[[#This Row],[estoque]]*12*controleEstoque[[#This Row],[preço]],"")</calculatedColumnFormula>
    </tableColumn>
    <tableColumn id="17" xr3:uid="{322D235E-44DA-468E-9978-C7E1A636BBF3}" name="proxima remessa" dataDxfId="148" dataCellStyle="Vírgula">
      <calculatedColumnFormula>IFERROR(((O2*12)/estoque!$S2+TODAY())-3,"")</calculatedColumnFormula>
    </tableColumn>
    <tableColumn id="18" xr3:uid="{0669509E-E180-4BFF-B186-1CE6C9DED07E}" name="situação" dataDxfId="147" dataCellStyle="Moeda">
      <calculatedColumnFormula array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calculatedColumnFormula>
    </tableColumn>
    <tableColumn id="19" xr3:uid="{2F9E8A4F-A3A6-4211-A8FB-5180F3608258}" name="média" dataDxfId="146" dataCellStyle="Vírgula">
      <calculatedColumnFormula array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calculatedColumnFormula>
    </tableColumn>
    <tableColumn id="20" xr3:uid="{D4D75558-94DB-4CD0-A0E6-DA3E604D00DB}" name="média varejo" dataDxfId="145" dataCellStyle="Vírgula">
      <calculatedColumnFormula>IF(controleEstoque[[#This Row],[média]]="","",IFERROR(controleEstoque[[#This Row],[média]]-controleEstoque[[#This Row],[média atacado]],controleEstoque[[#This Row],[média]]))</calculatedColumnFormula>
    </tableColumn>
    <tableColumn id="21" xr3:uid="{AC882E21-B337-45C8-A763-A5797C848AB3}" name="média atacado" dataDxfId="144" dataCellStyle="Vírgula">
      <calculatedColumnFormula array="1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calculatedColumnFormula>
    </tableColumn>
    <tableColumn id="22" xr3:uid="{46066C97-9E54-4960-B695-FB795B304410}" name="proxima remessa caixa" dataDxfId="143" dataCellStyle="Vírgula">
      <calculatedColumnFormula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calculatedColumnFormula>
    </tableColumn>
    <tableColumn id="23" xr3:uid="{985C9746-721C-44E2-BE62-DA0E7AD4163E}" name="repor caixa" dataDxfId="142" dataCellStyle="Vírgula">
      <calculatedColumnFormula>IF(IFERROR(controleEstoque[[#This Row],[proxima remessa caixa]]-controleEstoque[[#This Row],[estoque]],"")&lt;0,"",IFERROR(controleEstoque[[#This Row],[proxima remessa caixa]]-controleEstoque[[#This Row],[estoque]],""))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3844458-4315-414B-ADEB-C53D2D5A70EA}" name="EstatisMês" displayName="EstatisMês" ref="K20:U25" totalsRowShown="0" headerRowDxfId="141" dataDxfId="140">
  <autoFilter ref="K20:U25" xr:uid="{C3844458-4315-414B-ADEB-C53D2D5A70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713D35E6-4A31-481E-9B26-FE9AE499600B}" name="30dias movel" dataDxfId="139"/>
    <tableColumn id="2" xr3:uid="{3BDBA2B5-54CB-44AA-B8B2-E5281F230ACD}" name="atacado" dataDxfId="138">
      <calculatedColumnFormula array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calculatedColumnFormula>
    </tableColumn>
    <tableColumn id="3" xr3:uid="{ED1EA432-AEBE-467F-984D-8DA05765A34D}" name="venda" dataDxfId="137">
      <calculatedColumnFormula array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calculatedColumnFormula>
    </tableColumn>
    <tableColumn id="4" xr3:uid="{FAB08702-E932-478C-A6BC-DD2B2B739843}" name="valor compra" dataDxfId="136">
      <calculatedColumnFormula array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5" xr3:uid="{1BC40C43-BD64-4B6D-AB3F-B1D90CE418C9}" name="valor venda" dataDxfId="135" dataCellStyle="Moeda">
      <calculatedColumnFormula array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6" xr3:uid="{FB22A1FD-658C-4F99-9546-5BF245C48C04}" name="lucro" dataDxfId="134" dataCellStyle="Moeda">
      <calculatedColumnFormula array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calculatedColumnFormula>
    </tableColumn>
    <tableColumn id="7" xr3:uid="{9AE46E6A-BE84-4119-B620-6CA28FB24C93}" name="%" dataDxfId="133" dataCellStyle="Porcentagem">
      <calculatedColumnFormula>IF(IFERROR(EstatisMês[[#This Row],[lucro]]/EstatisMês[[#This Row],[valor venda]],0)=0,"",IFERROR(EstatisMês[[#This Row],[lucro]]/EstatisMês[[#This Row],[valor venda]],0))</calculatedColumnFormula>
    </tableColumn>
    <tableColumn id="8" xr3:uid="{BC5EF044-60CB-43BA-AAB3-15464140F95A}" name="lucro %" dataDxfId="132" dataCellStyle="Porcentagem">
      <calculatedColumnFormula>IFERROR(EstatisMês[[#This Row],[lucro]]/SUM(EstatisMês[lucro]),"")</calculatedColumnFormula>
    </tableColumn>
    <tableColumn id="9" xr3:uid="{DF3B2C7B-6104-48CB-9B92-1C78C05BD255}" name="venda %" dataDxfId="131" dataCellStyle="Porcentagem">
      <calculatedColumnFormula>IFERROR(EstatisMês[[#This Row],[valor venda]]/SUM(EstatisMês[valor venda]),"")</calculatedColumnFormula>
    </tableColumn>
    <tableColumn id="10" xr3:uid="{4DE3E7A5-2EB4-4ECF-AAD3-042D42268E51}" name="varejo %" dataDxfId="130" dataCellStyle="Porcentagem">
      <calculatedColumnFormula>IFERROR((EstatisMês[[#This Row],[venda]]-EstatisMês[[#This Row],[atacado]])/(SUM(EstatisMês[venda])-SUM(EstatisMês[atacado])),"")</calculatedColumnFormula>
    </tableColumn>
    <tableColumn id="11" xr3:uid="{5024CCB3-B815-4F9A-894C-A2E498D6359B}" name="atacado %" dataDxfId="129" dataCellStyle="Porcentagem">
      <calculatedColumnFormula>IFERROR(EstatisMês[[#This Row],[atacado]]/SUM(EstatisMês[atacado]),"")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0601CFA-3CCA-4669-BACC-FCA62FBA2019}" name="Tabela42" displayName="Tabela42" ref="K12:U19" totalsRowShown="0" headerRowDxfId="128">
  <autoFilter ref="K12:U19" xr:uid="{50601CFA-3CCA-4669-BACC-FCA62FBA20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FC6B51CE-FAD7-419A-88C2-48A5634DE0C9}" name="data"/>
    <tableColumn id="2" xr3:uid="{4BB2B876-95DB-45F1-AC26-2063298FB148}" name="AB" dataDxfId="127">
      <calculatedColumnFormula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calculatedColumnFormula>
    </tableColumn>
    <tableColumn id="3" xr3:uid="{F6B47442-BC63-4961-A368-1BA525033CB7}" name="BB" dataDxfId="126">
      <calculatedColumnFormula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calculatedColumnFormula>
    </tableColumn>
    <tableColumn id="4" xr3:uid="{210DEB83-CA81-4596-9136-DE81E2CD86BA}" name="CB" dataDxfId="125">
      <calculatedColumnFormula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calculatedColumnFormula>
    </tableColumn>
    <tableColumn id="5" xr3:uid="{8DF8E7A7-66B0-4A2F-8DE5-1E3117C1C4CC}" name="EB" dataDxfId="124">
      <calculatedColumnFormula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calculatedColumnFormula>
    </tableColumn>
    <tableColumn id="6" xr3:uid="{67784545-68B6-4088-8B9A-1F26EC39BC6E}" name="JB" dataDxfId="123">
      <calculatedColumnFormula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calculatedColumnFormula>
    </tableColumn>
    <tableColumn id="7" xr3:uid="{B23F6ABB-088D-456D-96AF-3E87F8C7D2EE}" name="AV" dataDxfId="122">
      <calculatedColumnFormula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calculatedColumnFormula>
    </tableColumn>
    <tableColumn id="8" xr3:uid="{BC96EA76-F16A-4230-98EC-5F8BB5D337F4}" name="BV" dataDxfId="121">
      <calculatedColumnFormula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calculatedColumnFormula>
    </tableColumn>
    <tableColumn id="9" xr3:uid="{AA70DDB5-6767-4BA8-935D-475B58D2C84C}" name="CV" dataDxfId="120">
      <calculatedColumnFormula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calculatedColumnFormula>
    </tableColumn>
    <tableColumn id="10" xr3:uid="{D4691378-C4F0-4D5C-ABF6-47C26B1078DF}" name="EV" dataDxfId="119">
      <calculatedColumnFormula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calculatedColumnFormula>
    </tableColumn>
    <tableColumn id="11" xr3:uid="{60BA9A09-0E97-4775-9A1C-27A41C43DC8B}" name="JV" dataDxfId="118">
      <calculatedColumnFormula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8948148-F248-4ECC-9BD8-1ABF1A18EACB}" name="EstatisSemana" displayName="EstatisSemana" ref="K26:U31" totalsRowShown="0" headerRowDxfId="117" dataDxfId="116">
  <autoFilter ref="K26:U31" xr:uid="{88948148-F248-4ECC-9BD8-1ABF1A18EA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732581FC-538F-4AEF-BF8A-A4EA25FD8BF6}" name="produto" dataDxfId="115"/>
    <tableColumn id="2" xr3:uid="{944402B6-940F-48F8-8929-48F79FBA2A36}" name="varejo" dataDxfId="114">
      <calculatedColumnFormula>IFERROR(IF(EstatisSemana[[#This Row],[atacado]]="",O2*12,O2*12-EstatisSemana[[#This Row],[atacado]]),"")</calculatedColumnFormula>
    </tableColumn>
    <tableColumn id="3" xr3:uid="{15BE3A24-3296-4D73-AD7E-D080B08AD406}" name="atacado" dataDxfId="113">
      <calculatedColumnFormula>IFERROR(((O2*12)*U2)/S2,"")</calculatedColumnFormula>
    </tableColumn>
    <tableColumn id="4" xr3:uid="{92B7B938-5511-4DB3-908F-8C0103BE446C}" name="valor va" dataDxfId="112" dataCellStyle="Moeda">
      <calculatedColumnFormula>IFERROR(EstatisSemana[[#This Row],[varejo]]*I2,"")</calculatedColumnFormula>
    </tableColumn>
    <tableColumn id="5" xr3:uid="{850E1B5A-C548-4F6C-A39E-4B0DBEF1E652}" name="valor ata" dataDxfId="111" dataCellStyle="Moeda">
      <calculatedColumnFormula>IFERROR(EstatisSemana[[#This Row],[atacado]]*J2,"")</calculatedColumnFormula>
    </tableColumn>
    <tableColumn id="6" xr3:uid="{9713948A-69EE-4BEA-99E8-5AA8CB5B2430}" name="lucro va" dataDxfId="110" dataCellStyle="Moeda">
      <calculatedColumnFormula>IFERROR(EstatisSemana[[#This Row],[varejo]]*M2,"")</calculatedColumnFormula>
    </tableColumn>
    <tableColumn id="7" xr3:uid="{52D63EC6-A82E-433F-B6C6-D548EBC9E36E}" name="lucro ata" dataDxfId="109" dataCellStyle="Moeda">
      <calculatedColumnFormula>IF(EstatisSemana[[#This Row],[atacado]]="","",EstatisSemana[[#This Row],[atacado]]*N2)</calculatedColumnFormula>
    </tableColumn>
    <tableColumn id="8" xr3:uid="{3B471A4C-F1AB-460F-8D7D-A4C92B9CC61A}" name="margem" dataDxfId="108" dataCellStyle="Porcentagem">
      <calculatedColumnFormula>IFERROR(SUM(EstatisSemana[[#This Row],[lucro va]:[lucro ata]])/SUM(EstatisSemana[[#This Row],[valor va]:[valor ata]]),"")</calculatedColumnFormula>
    </tableColumn>
    <tableColumn id="9" xr3:uid="{E17EB203-14C3-4319-9BBD-D958ED50018A}" name="lucro semanal" dataDxfId="107" dataCellStyle="Moeda">
      <calculatedColumnFormula>IFERROR(($W$22*P21)/(O21-P21),"")</calculatedColumnFormula>
    </tableColumn>
    <tableColumn id="10" xr3:uid="{B8E184CA-0B32-4F0B-B33D-CDF85A28E3C7}" name="médias" dataDxfId="106" dataCellStyle="Moeda">
      <calculatedColumnFormula>IFERROR(AVERAGEIF(estoque[produto],A2,estoque[lucro]),"")</calculatedColumnFormula>
    </tableColumn>
    <tableColumn id="11" xr3:uid="{7B867426-0956-4961-84BF-0E08707B4EFC}" name="balanço" dataDxfId="105" dataCellStyle="Moeda">
      <calculatedColumnFormula>IFERROR(SUM(EstatisSemana[[#This Row],[lucro va]:[lucro ata]])/SUM(EstatisSemana[[#This Row],[varejo]:[atacado]]),"")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BAA9FEB1-7DFB-43E3-A417-407591FAB936}" name="estatiEstoqGeral" displayName="estatiEstoqGeral" ref="V12:W24" totalsRowShown="0" tableBorderDxfId="104">
  <autoFilter ref="V12:W24" xr:uid="{BAA9FEB1-7DFB-43E3-A417-407591FAB936}">
    <filterColumn colId="0" hiddenButton="1"/>
    <filterColumn colId="1" hiddenButton="1"/>
  </autoFilter>
  <tableColumns count="2">
    <tableColumn id="1" xr3:uid="{4AE07113-B101-446E-84F9-168BC4CB2E5A}" name="categoria"/>
    <tableColumn id="2" xr3:uid="{368F6F72-F60D-4265-90FC-787DEC35E02F}" name="dados" dataDxfId="10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8EAFD82-FE26-4239-95CB-929805F8A324}" name="EstatisMês55" displayName="EstatisMês55" ref="K32:U37" totalsRowShown="0" headerRowDxfId="102" dataDxfId="101">
  <autoFilter ref="K32:U37" xr:uid="{E8EAFD82-FE26-4239-95CB-929805F8A3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D1060CF-D3A6-4937-92BB-FD384AA0849E}" name="global" dataDxfId="100"/>
    <tableColumn id="2" xr3:uid="{CB155D26-ED17-4465-8DE9-3CF35613214D}" name="atacado" dataDxfId="99" dataCellStyle="Moeda">
      <calculatedColumnFormula>IF(SUMIFS(aprazo[quantidade],aprazo[produto],EstatisMês55[[#This Row],[global]],aprazo[atacado],"atacado")/12=0,"",SUMIFS(aprazo[quantidade],aprazo[produto],EstatisMês55[[#This Row],[global]],aprazo[atacado],"atacado")/12)</calculatedColumnFormula>
    </tableColumn>
    <tableColumn id="3" xr3:uid="{8F09E1BC-2609-4D8F-9BA8-678CB922F481}" name="venda" dataDxfId="98" dataCellStyle="Moeda">
      <calculatedColumnFormula>IF(SUMIFS(estoque[quantidade],estoque[fornecedor],"saída",estoque[produto],EstatisMês55[[#This Row],[global]])/12=0,"",SUMIFS(estoque[quantidade],estoque[fornecedor],"saída",estoque[produto],EstatisMês55[[#This Row],[global]])/12)</calculatedColumnFormula>
    </tableColumn>
    <tableColumn id="4" xr3:uid="{3EBC403B-E074-464B-B2F0-39ABA1A3B8E0}" name="valor compra" dataDxfId="97" dataCellStyle="Moeda">
      <calculatedColumnFormula>IF(SUMIFS(estoque[valor total],estoque[fornecedor],"&lt;&gt;saída",estoque[produto],EstatisMês55[[#This Row],[global]])=0,"",SUMIFS(estoque[valor total],estoque[fornecedor],"&lt;&gt;saída",estoque[produto],EstatisMês55[[#This Row],[global]]))</calculatedColumnFormula>
    </tableColumn>
    <tableColumn id="5" xr3:uid="{7825F4A0-A355-4329-9D80-988A53997A35}" name="valor venda" dataDxfId="96" dataCellStyle="Moeda">
      <calculatedColumnFormula>IF(SUMIFS(estoque[valor total],estoque[fornecedor],"saída",estoque[produto],EstatisMês55[[#This Row],[global]])=0,"",SUMIFS(estoque[valor total],estoque[fornecedor],"saída",estoque[produto],EstatisMês55[[#This Row],[global]]))</calculatedColumnFormula>
    </tableColumn>
    <tableColumn id="6" xr3:uid="{6258AD1D-94DD-464B-978C-439FAA523C5D}" name="lucro" dataDxfId="95" dataCellStyle="Moeda">
      <calculatedColumnFormula>IF(SUMIFS(estoque[lucro],estoque[fornecedor],"saída",estoque[produto],EstatisMês55[[#This Row],[global]])=0,"",SUMIFS(estoque[lucro],estoque[fornecedor],"saída",estoque[produto],EstatisMês55[[#This Row],[global]]))</calculatedColumnFormula>
    </tableColumn>
    <tableColumn id="7" xr3:uid="{4EFF37CB-E9DE-47DE-AA64-8C7887ED3F84}" name="margem" dataDxfId="94" dataCellStyle="Porcentagem">
      <calculatedColumnFormula>IF(IFERROR(EstatisMês55[[#This Row],[lucro]]/EstatisMês55[[#This Row],[valor venda]],0)=0,"",IFERROR(EstatisMês55[[#This Row],[lucro]]/EstatisMês55[[#This Row],[valor venda]],0))</calculatedColumnFormula>
    </tableColumn>
    <tableColumn id="8" xr3:uid="{8F93AB3B-D824-4312-B8C9-ACDBB258D525}" name="lucro %" dataDxfId="93" dataCellStyle="Porcentagem">
      <calculatedColumnFormula>IFERROR(EstatisMês55[[#This Row],[lucro]]/SUM(EstatisMês55[lucro]),"")</calculatedColumnFormula>
    </tableColumn>
    <tableColumn id="9" xr3:uid="{D3805309-3DFD-43C8-BE7D-DDA667DCFB44}" name="venda %" dataDxfId="92" dataCellStyle="Porcentagem">
      <calculatedColumnFormula>IFERROR(EstatisMês55[[#This Row],[valor venda]]/SUM(EstatisMês55[valor venda]),"")</calculatedColumnFormula>
    </tableColumn>
    <tableColumn id="10" xr3:uid="{B5FEA3F0-870F-40B4-A414-1B18B22A9784}" name="varejo %" dataDxfId="91" dataCellStyle="Porcentagem">
      <calculatedColumnFormula>IFERROR((EstatisMês55[[#This Row],[venda]]-EstatisMês55[[#This Row],[atacado]])/(SUM(EstatisMês55[venda])-SUM(EstatisMês55[atacado])),"")</calculatedColumnFormula>
    </tableColumn>
    <tableColumn id="11" xr3:uid="{AEC491A2-BB71-4F66-87C6-E553703659EC}" name="atacado %" dataDxfId="90" dataCellStyle="Porcentagem">
      <calculatedColumnFormula>IFERROR(EstatisMês55[[#This Row],[atacado]]/SUM(EstatisMês55[atacado]),"")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B90CF5D-DAD5-4FE4-9161-7415D4DA24B7}" name="EstatisMês5557" displayName="EstatisMês5557" ref="K38:U43" totalsRowShown="0" headerRowDxfId="89" dataDxfId="88">
  <autoFilter ref="K38:U43" xr:uid="{EB90CF5D-DAD5-4FE4-9161-7415D4DA24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AE7DB87E-A0EF-4964-B22A-C120B96667F3}" name="jan" dataDxfId="87"/>
    <tableColumn id="2" xr3:uid="{157F3EF7-D649-4A98-968F-505A43C3FB60}" name="atacado" dataDxfId="86" dataCellStyle="Moeda">
      <calculatedColumnFormula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calculatedColumnFormula>
    </tableColumn>
    <tableColumn id="3" xr3:uid="{43AE5340-4E12-448E-A674-DD8F297E35FE}" name="venda" dataDxfId="85" dataCellStyle="Moeda">
      <calculatedColumnFormula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calculatedColumnFormula>
    </tableColumn>
    <tableColumn id="4" xr3:uid="{35868554-B218-411F-AF91-A86C4053E9F6}" name="valor compra" dataDxfId="84" dataCellStyle="Moeda">
      <calculatedColumnFormula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calculatedColumnFormula>
    </tableColumn>
    <tableColumn id="5" xr3:uid="{0B9BA991-9A98-4B54-B482-8CF03985C0C7}" name="valor venda" dataDxfId="83" dataCellStyle="Moeda">
      <calculatedColumnFormula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calculatedColumnFormula>
    </tableColumn>
    <tableColumn id="6" xr3:uid="{B1F2FADD-A363-4339-A5FF-B995EC978E48}" name="lucro" dataDxfId="82" dataCellStyle="Moeda">
      <calculatedColumnFormula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calculatedColumnFormula>
    </tableColumn>
    <tableColumn id="7" xr3:uid="{F8E28AC8-895E-4A3A-8729-68D749026529}" name="%" dataDxfId="81" dataCellStyle="Porcentagem">
      <calculatedColumnFormula>IF(IFERROR(EstatisMês5557[[#This Row],[lucro]]/EstatisMês5557[[#This Row],[valor venda]],0)=0,"",IFERROR(EstatisMês5557[[#This Row],[lucro]]/EstatisMês5557[[#This Row],[valor venda]],0))</calculatedColumnFormula>
    </tableColumn>
    <tableColumn id="8" xr3:uid="{3606EBCC-5788-40E5-8CCB-F31B450CF338}" name="lucro %" dataDxfId="80" dataCellStyle="Porcentagem">
      <calculatedColumnFormula>IFERROR(EstatisMês5557[[#This Row],[lucro]]/SUM(EstatisMês5557[lucro]),"")</calculatedColumnFormula>
    </tableColumn>
    <tableColumn id="9" xr3:uid="{62292DD7-E8F8-4E30-BDA6-A70F9A247BC6}" name="venda %" dataDxfId="79" dataCellStyle="Porcentagem">
      <calculatedColumnFormula>IFERROR(EstatisMês5557[[#This Row],[valor venda]]/SUM(EstatisMês5557[valor venda]),"")</calculatedColumnFormula>
    </tableColumn>
    <tableColumn id="10" xr3:uid="{65B719FC-1263-408D-BE7E-624A0871BEA7}" name="varejo %" dataDxfId="78" dataCellStyle="Porcentagem">
      <calculatedColumnFormula>IFERROR((EstatisMês5557[[#This Row],[venda]]-EstatisMês5557[[#This Row],[atacado]])/(SUM(EstatisMês5557[venda])-SUM(EstatisMês5557[atacado])),"")</calculatedColumnFormula>
    </tableColumn>
    <tableColumn id="11" xr3:uid="{E90FB99D-BDBC-4748-9157-D9E72871E0B1}" name="atacado %" dataDxfId="77" dataCellStyle="Porcentagem">
      <calculatedColumnFormula>IFERROR(EstatisMês5557[[#This Row],[atacado]]/SUM(EstatisMês5557[atacado]),"")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459F75-9C01-49CC-8F4D-613339B7CF20}" name="FluxoMédiaEstoque" displayName="FluxoMédiaEstoque" ref="Z1:AG367" totalsRowShown="0" headerRowDxfId="76">
  <autoFilter ref="Z1:AG367" xr:uid="{B8459F75-9C01-49CC-8F4D-613339B7CF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10B8AC-5DC7-4723-BA89-9B2692BC26AE}" name="data" dataDxfId="75"/>
    <tableColumn id="2" xr3:uid="{6B898B01-2EDD-4FC4-AA49-D71FC4FB4A1C}" name="OVO BRANCO A" dataDxfId="74">
      <calculatedColumnFormula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calculatedColumnFormula>
    </tableColumn>
    <tableColumn id="3" xr3:uid="{22DF6091-A93E-43BE-813C-6DB4D1BD3F16}" name="OVO BRANCO B" dataDxfId="73">
      <calculatedColumnFormula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calculatedColumnFormula>
    </tableColumn>
    <tableColumn id="4" xr3:uid="{59F8B576-6655-4E18-8E89-8C0D2996D7DF}" name="OVO BRANCO C" dataDxfId="72">
      <calculatedColumnFormula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calculatedColumnFormula>
    </tableColumn>
    <tableColumn id="5" xr3:uid="{DD730055-6FE5-4CD3-AEE5-23ADEC7FAE91}" name="OVO BRANCO EXTRA" dataDxfId="71">
      <calculatedColumnFormula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calculatedColumnFormula>
    </tableColumn>
    <tableColumn id="6" xr3:uid="{77863973-2DDC-46B6-95F6-B7983E5AC3A3}" name="OVO BRANCO JUMBO" dataDxfId="70">
      <calculatedColumnFormula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calculatedColumnFormula>
    </tableColumn>
    <tableColumn id="9" xr3:uid="{F8ECB989-2916-4376-AEBF-EA2BAA628E18}" name="média de venda movel" dataDxfId="69">
      <calculatedColumnFormula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calculatedColumnFormula>
    </tableColumn>
    <tableColumn id="10" xr3:uid="{1C58075C-E4D4-494D-8593-9E989F9E1AC3}" name="venda minima necessaria" dataDxfId="68">
      <calculatedColumnFormula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3D4DF3E-AF25-4408-A1DC-10EDE793E665}" name="SituaçãoEstoqueFluxo" displayName="SituaçãoEstoqueFluxo" ref="AH1:AO367" totalsRowShown="0" headerRowDxfId="67">
  <autoFilter ref="AH1:AO367" xr:uid="{A3D4DF3E-AF25-4408-A1DC-10EDE793E6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22A9667-944F-4E95-8131-36686D9DC306}" name="data" dataDxfId="66"/>
    <tableColumn id="2" xr3:uid="{8ADCC82C-E22D-45D7-AC26-952C27BFD84B}" name="OVO BRANCO A" dataDxfId="65">
      <calculatedColumnFormula array="1">IFERROR(_xlfn.IFS(AQ2="","Sem Produto",AND(AQ2/(AA2/12)&gt;0,AQ2/(AA2/12)&lt;=2),"Acabando",AND(AQ2/(AA2/12)&gt;2,AQ2/(AA2/12)&lt;=3),"Fazer Pedido",AND(AQ2/(AA2/12)&gt;3,AQ2/(AA2/12)&lt;=7),"OK",AND(AQ2/(AA2/12)&gt;7,AQ2/(AA2/12)&lt;=14),"Abaixar Preço",AND(AQ2/(AA2/12)&gt;14,AQ2/(AA2/12)&lt;=20),"Estabilizando",AQ2/(AA2/12)&gt;20,"Instavel"),"Instavel")</calculatedColumnFormula>
    </tableColumn>
    <tableColumn id="3" xr3:uid="{C5B60498-4FF7-4F0A-A29E-F70D83509450}" name="OVO BRANCO B" dataDxfId="64">
      <calculatedColumnFormula array="1">IFERROR(_xlfn.IFS(AR2="","Sem Produto",AND(AR2/(AB2/12)&gt;0,AR2/(AB2/12)&lt;=2),"Acabando",AND(AR2/(AB2/12)&gt;2,AR2/(AB2/12)&lt;=3),"Fazer Pedido",AND(AR2/(AB2/12)&gt;3,AR2/(AB2/12)&lt;=7),"OK",AND(AR2/(AB2/12)&gt;7,AR2/(AB2/12)&lt;=14),"Abaixar Preço",AND(AR2/(AB2/12)&gt;14,AR2/(AB2/12)&lt;=20),"Estabilizando",AR2/(AB2/12)&gt;20,"Instavel"),"Instavel")</calculatedColumnFormula>
    </tableColumn>
    <tableColumn id="4" xr3:uid="{336410F1-F96C-4014-98D7-1876AC696BF2}" name="OVO BRANCO C" dataDxfId="63">
      <calculatedColumnFormula array="1">IFERROR(_xlfn.IFS(AS2="","Sem Produto",AND(AS2/(AC2/12)&gt;0,AS2/(AC2/12)&lt;=2),"Acabando",AND(AS2/(AC2/12)&gt;2,AS2/(AC2/12)&lt;=3),"Fazer Pedido",AND(AS2/(AC2/12)&gt;3,AS2/(AC2/12)&lt;=7),"OK",AND(AS2/(AC2/12)&gt;7,AS2/(AC2/12)&lt;=14),"Abaixar Preço",AND(AS2/(AC2/12)&gt;14,AS2/(AC2/12)&lt;=20),"Estabilizando",AS2/(AC2/12)&gt;20,"Instavel"),"Instavel")</calculatedColumnFormula>
    </tableColumn>
    <tableColumn id="5" xr3:uid="{769DF9E0-8BDD-4732-81D2-1B6FA22D96E5}" name="OVO BRANCO EXTRA" dataDxfId="62">
      <calculatedColumnFormula array="1">IFERROR(_xlfn.IFS(AT2="","Sem Produto",AND(AT2/(AD2/12)&gt;0,AT2/(AD2/12)&lt;=2),"Acabando",AND(AT2/(AD2/12)&gt;2,AT2/(AD2/12)&lt;=3),"Fazer Pedido",AND(AT2/(AD2/12)&gt;3,AT2/(AD2/12)&lt;=7),"OK",AND(AT2/(AD2/12)&gt;7,AT2/(AD2/12)&lt;=14),"Abaixar Preço",AND(AT2/(AD2/12)&gt;14,AT2/(AD2/12)&lt;=20),"Estabilizando",AT2/(AD2/12)&gt;20,"Instavel"),"Instavel")</calculatedColumnFormula>
    </tableColumn>
    <tableColumn id="6" xr3:uid="{77C50224-3296-4E59-9E64-AC155E426FB5}" name="OVO BRANCO JUMBO" dataDxfId="61">
      <calculatedColumnFormula array="1">IFERROR(_xlfn.IFS(AU2="","Sem Produto",AND(AU2/(AE2/12)&gt;0,AU2/(AE2/12)&lt;=2),"Acabando",AND(AU2/(AE2/12)&gt;2,AU2/(AE2/12)&lt;=3),"Fazer Pedido",AND(AU2/(AE2/12)&gt;3,AU2/(AE2/12)&lt;=7),"OK",AND(AU2/(AE2/12)&gt;7,AU2/(AE2/12)&lt;=14),"Abaixar Preço",AND(AU2/(AE2/12)&gt;14,AU2/(AE2/12)&lt;=20),"Estabilizando",AU2/(AE2/12)&gt;20,"Instavel"),"Instavel")</calculatedColumnFormula>
    </tableColumn>
    <tableColumn id="9" xr3:uid="{FDEFEA77-A2B0-4CBC-A217-FB226269BD09}" name="situação do estoque" dataDxfId="60">
      <calculatedColumnFormula>IF(SUMIF(vendaAno[data],SituaçãoEstoqueFluxo[[#This Row],[data]],vendaAno[estoque])=0,"Algo errado",IF(AND(AX2/AW2&gt;0,AX2/AW2&lt;=1),"Alerta",IF(AND(AX2/AW2&gt;1,AX2/AW2&lt;=1.5),"Fazer pedido",IF(AND(AX2/AW2&gt;1.5,AX2/AW2&lt;=2),"Ok",IF(AND(AX2/AW2&gt;2,AX2/AW2&lt;=2.5),"Estabilizando",IF(AND(AX2/AW2&gt;2.5,AX2/AW2&lt;=3),"Cheio","Abaixar preço"))))))</calculatedColumnFormula>
    </tableColumn>
    <tableColumn id="10" xr3:uid="{4ACEAF76-649F-4CC9-A70E-C9DBFF7332D5}" name="variação" dataDxfId="59">
      <calculatedColumnFormula>SUMIFS(estoque[quantidade],estoque[fornecedor],"&lt;&gt;saída",estoque[data],SituaçãoEstoqueFluxo[[#This Row],[data]])-SUMIFS(estoque[quantidade],estoque[fornecedor],"saída",estoque[data],SituaçãoEstoqueFluxo[[#This Row],[data]])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828CB5A-ACEE-4A2C-9E34-B3DF2B0F5399}" name="FluxoEstoqueDateTime" displayName="FluxoEstoqueDateTime" ref="AP1:AX367" totalsRowShown="0" headerRowDxfId="58">
  <autoFilter ref="AP1:AX367" xr:uid="{7828CB5A-ACEE-4A2C-9E34-B3DF2B0F53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AD0E37-D736-478C-B72B-A1374DE030CA}" name="data" dataDxfId="57" totalsRowDxfId="56"/>
    <tableColumn id="2" xr3:uid="{F4ACEDE3-8D87-45D1-A017-9AE766F4604D}" name="OVO BRANCO A" dataDxfId="55" totalsRowDxfId="54">
      <calculatedColumnFormula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calculatedColumnFormula>
    </tableColumn>
    <tableColumn id="3" xr3:uid="{11E1EEAE-DF68-4FCB-BD98-DF945746EB13}" name="OVO BRANCO B" dataDxfId="53" totalsRowDxfId="52">
      <calculatedColumnFormula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calculatedColumnFormula>
    </tableColumn>
    <tableColumn id="4" xr3:uid="{A6B06DB7-6F2C-405D-9851-D6BD14B426DB}" name="OVO BRANCO C" dataDxfId="51" totalsRowDxfId="50">
      <calculatedColumnFormula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calculatedColumnFormula>
    </tableColumn>
    <tableColumn id="5" xr3:uid="{14608A5E-45FC-4F8D-8627-034B9F28CE16}" name="OVO BRANCO EXTRA" dataDxfId="49" totalsRowDxfId="48">
      <calculatedColumnFormula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calculatedColumnFormula>
    </tableColumn>
    <tableColumn id="6" xr3:uid="{C6C89C95-C51C-4170-981F-A2D4E745353A}" name="OVO BRANCO JUMBO" dataDxfId="47" totalsRowDxfId="46">
      <calculatedColumnFormula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calculatedColumnFormula>
    </tableColumn>
    <tableColumn id="9" xr3:uid="{DF7B5BF2-1089-4B3A-9902-7864BEADBD1E}" name="compra necessaria" dataDxfId="45" totalsRowDxfId="44">
      <calculatedColumnFormula array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calculatedColumnFormula>
    </tableColumn>
    <tableColumn id="10" xr3:uid="{5B621278-A4E7-4FE0-8A47-A77ACB83A676}" name="estoque baixo" dataDxfId="43" totalsRowDxfId="42">
      <calculatedColumnFormula array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calculatedColumnFormula>
    </tableColumn>
    <tableColumn id="7" xr3:uid="{89DFB1A9-7C34-4C2C-90C4-8BBA9CB950E1}" name="estoque atual" dataDxfId="41" totalsRowDxfId="40">
      <calculatedColumnFormula>SUM(FluxoEstoqueDateTime[[#This Row],[OVO BRANCO A]:[OVO BRANCO JUMBO]])</calculatedColumn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6889B72-CF6A-484E-98B4-677E057F0352}" name="Tabela26" displayName="Tabela26" ref="BB1:BG6" totalsRowShown="0" headerRowDxfId="39" dataDxfId="38">
  <autoFilter ref="BB1:BG6" xr:uid="{F6889B72-CF6A-484E-98B4-677E057F0352}"/>
  <tableColumns count="6">
    <tableColumn id="1" xr3:uid="{C9E54602-37EE-48B1-9FB0-9990164ECB29}" name="uma cartela varejo" dataDxfId="37" dataCellStyle="Moeda">
      <calculatedColumnFormula>controleEstoque[[#This Row],[varejo]]</calculatedColumnFormula>
    </tableColumn>
    <tableColumn id="2" xr3:uid="{C6E502B7-B765-4073-9B51-944469C0E2DC}" name="meia cartela" dataDxfId="36">
      <calculatedColumnFormula>Tabela26[[#This Row],[uma cartela varejo]]/2</calculatedColumnFormula>
    </tableColumn>
    <tableColumn id="3" xr3:uid="{9A9E8A65-AACC-4D73-ACBA-46BA4F6CD5C3}" name="um ovo " dataDxfId="35">
      <calculatedColumnFormula>(Tabela26[[#This Row],[uma cartela varejo]]+5)/30</calculatedColumnFormula>
    </tableColumn>
    <tableColumn id="4" xr3:uid="{175EA3C1-FA6E-4C61-97B5-BA983A58FEAF}" name="uma cartela atacado" dataDxfId="34">
      <calculatedColumnFormula>controleEstoque[[#This Row],[atacado]]</calculatedColumnFormula>
    </tableColumn>
    <tableColumn id="5" xr3:uid="{F37DCB29-2316-405E-9CE2-6A19E0CF136B}" name="meia caixa" dataDxfId="33">
      <calculatedColumnFormula>Tabela26[[#This Row],[uma cartela atacado]]*6</calculatedColumnFormula>
    </tableColumn>
    <tableColumn id="6" xr3:uid="{7ACFD37B-9879-42E1-AAF3-E49E2EF0A60E}" name="uma caixa" dataDxfId="32">
      <calculatedColumnFormula>Tabela26[[#This Row],[uma cartela atacado]]*12</calculatedColumnFormula>
    </tableColumn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21C87F-3AFC-4AB7-BC3F-857E9CF23C57}" name="RegistroConta" displayName="RegistroConta" ref="A1:E2" totalsRowShown="0">
  <autoFilter ref="A1:E2" xr:uid="{3C21C87F-3AFC-4AB7-BC3F-857E9CF23C5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9A205C5-8341-4D7D-B778-68205A24896D}" name="descrição" dataDxfId="25"/>
    <tableColumn id="2" xr3:uid="{34870D88-7C3C-4B75-B8F2-CD2A20F986E8}" name="origem"/>
    <tableColumn id="3" xr3:uid="{51738815-10A1-491E-8C65-3CF6DFE815F8}" name="data" dataDxfId="24"/>
    <tableColumn id="4" xr3:uid="{AA968B7B-79F2-4D36-B4EE-0AC823CAAA1C}" name="vencimento" dataDxfId="23"/>
    <tableColumn id="5" xr3:uid="{E5185AAF-2644-4616-8F69-A21E921AF62A}" name="valor" dataCellStyle="Moeda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5A480C-05A4-4F24-907F-4A1E482E0C82}" name="conta" displayName="conta" ref="A3:J229" totalsRowShown="0" headerRowDxfId="22" dataDxfId="21">
  <autoFilter ref="A3:J229" xr:uid="{7F5A480C-05A4-4F24-907F-4A1E482E0C82}"/>
  <sortState xmlns:xlrd2="http://schemas.microsoft.com/office/spreadsheetml/2017/richdata2" ref="A4:J229">
    <sortCondition ref="J3:J229"/>
  </sortState>
  <tableColumns count="10">
    <tableColumn id="1" xr3:uid="{A538C1DA-88F7-4793-A72A-EC71552C0FF0}" name="descrição" dataDxfId="20"/>
    <tableColumn id="2" xr3:uid="{957327FF-D727-4D74-9D81-C48A3C12D797}" name="origem" dataDxfId="19"/>
    <tableColumn id="3" xr3:uid="{9C2D3D44-E4FF-4460-8524-E585381977CB}" name="data" dataDxfId="18"/>
    <tableColumn id="4" xr3:uid="{F228F817-7D3D-469E-9FC3-4B843DC38794}" name="vencimento" dataDxfId="17"/>
    <tableColumn id="9" xr3:uid="{53D3C8A0-AE40-4C55-AE2E-35745BB8D304}" name="valor" dataDxfId="16" dataCellStyle="Moeda"/>
    <tableColumn id="5" xr3:uid="{21EE386E-2A2F-4E57-BA39-618033E7097A}" name="mês" dataDxfId="15">
      <calculatedColumnFormula>TEXT(conta[[#This Row],[vencimento]],"mmm")</calculatedColumnFormula>
    </tableColumn>
    <tableColumn id="6" xr3:uid="{05CDCF1B-3AEF-4235-AD8B-60B1D1EB2DFC}" name="situação" dataDxfId="14">
      <calculatedColumnFormula>IF(conta[[#This Row],[modo]]="",IF(conta[[#This Row],[vencimento]]-TODAY()&gt;=35,"aberto",IF(AND(conta[[#This Row],[vencimento]]-TODAY()&gt;=0,conta[[#This Row],[vencimento]]-TODAY()&lt;=34),"a vencer",IF(conta[[#This Row],[vencimento]]-TODAY()&lt;0,"vencido"))),"pago")</calculatedColumnFormula>
    </tableColumn>
    <tableColumn id="7" xr3:uid="{205862D7-9407-43C3-908C-34D8401C3415}" name="modo" dataDxfId="13"/>
    <tableColumn id="8" xr3:uid="{7D26F70F-AF9A-48BA-AFC7-FB4A0B8E139F}" name="data de pagamento" dataDxfId="12"/>
    <tableColumn id="11" xr3:uid="{ADF316C6-9B63-4D38-907E-B58552ACC3E0}" name="dias pra vencer" dataDxfId="11">
      <calculatedColumnFormula>IF(conta[[#This Row],[modo]]="",conta[[#This Row],[vencimento]]-TODAY(),"")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64D43D9-9701-4C74-BC8F-3F92918E7F7C}" name="statusMesContas" displayName="statusMesContas" ref="K3:L9" totalsRowShown="0" headerRowDxfId="10">
  <autoFilter ref="K3:L9" xr:uid="{D64D43D9-9701-4C74-BC8F-3F92918E7F7C}">
    <filterColumn colId="0" hiddenButton="1"/>
    <filterColumn colId="1" hiddenButton="1"/>
  </autoFilter>
  <tableColumns count="2">
    <tableColumn id="1" xr3:uid="{49D33999-A8FE-40D8-9D84-CAF2A419CE9C}" name="contas do mês"/>
    <tableColumn id="2" xr3:uid="{34117CC2-712E-4318-B993-0E5F1605CDBA}" name="valores" dataCellStyle="Moeda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F31AB9E-F7CD-472C-83FF-1064CC70F940}" name="metaMês" displayName="metaMês" ref="K10:L15" totalsRowShown="0">
  <autoFilter ref="K10:L15" xr:uid="{AF31AB9E-F7CD-472C-83FF-1064CC70F940}">
    <filterColumn colId="0" hiddenButton="1"/>
    <filterColumn colId="1" hiddenButton="1"/>
  </autoFilter>
  <tableColumns count="2">
    <tableColumn id="1" xr3:uid="{1C1EBE36-C962-4394-B5DC-C338DE559C16}" name="meta do mês"/>
    <tableColumn id="2" xr3:uid="{861B72C2-3E63-47BC-89CB-16BAF450CF64}" name="valores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D3FB05D-B6A5-40BE-9030-7621AAC6EDAA}" name="contasMês" displayName="contasMês" ref="M3:Q15" totalsRowShown="0" headerRowDxfId="9">
  <autoFilter ref="M3:Q15" xr:uid="{ED3FB05D-B6A5-40BE-9030-7621AAC6EDA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4" xr3:uid="{ECF58144-A7C8-4D5E-BF67-97A996AE98FE}" name="Inicio Mês" dataDxfId="8"/>
    <tableColumn id="1" xr3:uid="{D2C538D5-E8B9-4AA5-9829-61F94E11FEED}" name="Fim Mês" dataDxfId="7">
      <calculatedColumnFormula>EOMONTH(DATE(YEAR(contasMês[[#This Row],[Inicio Mês]]),MONTH(contasMês[[#This Row],[Inicio Mês]]),1),0)</calculatedColumnFormula>
    </tableColumn>
    <tableColumn id="2" xr3:uid="{2FC97AD8-A1BE-48F3-BF68-161FF27081DE}" name="contas " dataDxfId="6" dataCellStyle="Moeda">
      <calculatedColumnFormula>SUMIFS(conta[valor],conta[vencimento],"&gt;="&amp;contasMês[[#This Row],[Inicio Mês]],conta[vencimento],"&lt;="&amp;contasMês[[#This Row],[Fim Mês]])</calculatedColumnFormula>
    </tableColumn>
    <tableColumn id="3" xr3:uid="{51335F11-558C-4CB2-A433-16371B0448C6}" name="15%" dataDxfId="5" dataCellStyle="Moeda">
      <calculatedColumnFormula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calculatedColumnFormula>
    </tableColumn>
    <tableColumn id="7" xr3:uid="{DC743ACC-7654-47C3-9974-34815360E5E9}" name="lucro minimo por cartela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04A13A7-FDCF-4C9A-8A86-CFE4C2F89C6E}" name="ContasSemanal" displayName="ContasSemanal" ref="K17:N70" totalsRowShown="0">
  <autoFilter ref="K17:N70" xr:uid="{204A13A7-FDCF-4C9A-8A86-CFE4C2F89C6E}">
    <filterColumn colId="0" hiddenButton="1"/>
    <filterColumn colId="1" hiddenButton="1"/>
    <filterColumn colId="2" hiddenButton="1"/>
    <filterColumn colId="3" hiddenButton="1"/>
  </autoFilter>
  <tableColumns count="4">
    <tableColumn id="2" xr3:uid="{810D325F-0583-46E0-A503-D785D4732CA5}" name="semana" dataDxfId="4"/>
    <tableColumn id="3" xr3:uid="{9AE178BC-2355-4D2B-8AE7-C6DA92C21CB6}" name="contas" dataDxfId="3" dataCellStyle="Moeda">
      <calculatedColumnFormula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calculatedColumnFormula>
    </tableColumn>
    <tableColumn id="4" xr3:uid="{0D059093-BE21-45D2-B93D-FD26D4429F35}" name="venda" dataDxfId="2" dataCellStyle="Vírgula">
      <calculatedColumnFormula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calculatedColumnFormula>
    </tableColumn>
    <tableColumn id="6" xr3:uid="{910764A9-0053-4D3F-9159-F295519AF3FD}" name="lucro min" dataDxfId="1">
      <calculatedColumnFormula>IFERROR(SUMIFS(conta[valor],conta[vencimento],"&gt;="&amp;ContasSemanal[[#This Row],[semana]],conta[vencimento],"&lt;="&amp;ContasSemanal[[#This Row],[semana]]+6)/(ContasSemanal[[#This Row],[venda]]*12),"")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DB4CEF8-AFC1-4256-9EE9-8D0ABA321AAB}" name="Tabela65" displayName="Tabela65" ref="O17:Q48" totalsRowShown="0">
  <autoFilter ref="O17:Q48" xr:uid="{8DB4CEF8-AFC1-4256-9EE9-8D0ABA321AAB}">
    <filterColumn colId="0" hiddenButton="1"/>
    <filterColumn colId="1" hiddenButton="1"/>
    <filterColumn colId="2" hiddenButton="1"/>
  </autoFilter>
  <tableColumns count="3">
    <tableColumn id="1" xr3:uid="{38E70EDD-7296-42B8-A407-A475BC75F8B8}" name="data" dataDxfId="0"/>
    <tableColumn id="2" xr3:uid="{A4E09017-BB0B-46BC-9A23-7FF90E420AFE}" name="contas" dataCellStyle="Moeda">
      <calculatedColumnFormula>SUMIFS(conta[valor],conta[vencimento],Tabela65[[#This Row],[data]])</calculatedColumnFormula>
    </tableColumn>
    <tableColumn id="3" xr3:uid="{B3CE8CFF-F1FD-48DD-B929-23D6414792F2}" name="partilha diar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G2" dT="2025-02-23T02:30:48.52" personId="{432E2F92-9F58-481E-BE08-F1B1087B8BC6}" id="{9E25308A-BC2A-4779-B2E2-5D1795C65992}">
    <text>Baixo movimento por conta do feriado</text>
  </threadedComment>
  <threadedComment ref="BG15" dT="2025-02-23T02:34:01.19" personId="{432E2F92-9F58-481E-BE08-F1B1087B8BC6}" id="{633C7786-BD0B-42E8-83D9-D4D867AD719C}">
    <text xml:space="preserve">Essas vendas com o lucro lá embaixo, esta relacionada com uma mercadoria que veio avariada AB, somado mais ainda com o ritmo fraco do comercio </text>
  </threadedComment>
  <threadedComment ref="BG54" dT="2025-02-23T02:25:25.69" personId="{432E2F92-9F58-481E-BE08-F1B1087B8BC6}" id="{8D0C4C26-3CCE-4A2E-9B74-30B172F6702B}">
    <text>Essas vendas por ter esse resultado esta correlacionado a modificação do preço do produto AB por motivos de ovos podre e o a quantidade superior apontado na tabela de compra causando tal resultado</text>
  </threadedComment>
  <threadedComment ref="BG56" dT="2025-02-25T02:09:36.91" personId="{432E2F92-9F58-481E-BE08-F1B1087B8BC6}" id="{DA152DA1-9D93-48BB-8DF3-5B3FF0DDFD53}">
    <text xml:space="preserve">Valor de lucro estas caindo por conta dos ovos estragado; e o Lanche arena levou uma quantidade á normal de ovos e fazendo assim o A com o mesmo valor do B no atacado </text>
  </threadedComment>
  <threadedComment ref="BG58" dT="2025-02-27T02:57:45.33" personId="{432E2F92-9F58-481E-BE08-F1B1087B8BC6}" id="{AEE50111-6B1E-4ED6-BDEE-AF8DA996171C}">
    <text xml:space="preserve">O aumento do preço dos ovos, porem esse resultado esta atrelado a mercadoria Ab. Por conta do erro apontado no comentário anterior. Na mesclagem de preço perdemos lucro </text>
  </threadedComment>
  <threadedComment ref="BG59" dT="2025-02-28T01:55:04.65" personId="{432E2F92-9F58-481E-BE08-F1B1087B8BC6}" id="{3E71527C-25EC-428D-8308-318695C26F85}">
    <text xml:space="preserve">Movimento baixo atrelado a repentina aumento nos ovos </text>
  </threadedComment>
  <threadedComment ref="BG77" dT="2025-03-20T01:34:21.92" personId="{432E2F92-9F58-481E-BE08-F1B1087B8BC6}" id="{9C1F35D3-134E-4F82-9015-FAA56384AFCC}">
    <text>Chuva somado com o baixo valor de lucro por conta do excesso de ovos do tipo A e Extra</text>
  </threadedComment>
  <threadedComment ref="BG78" dT="2025-03-20T01:34:42.05" personId="{432E2F92-9F58-481E-BE08-F1B1087B8BC6}" id="{240FA2FF-DDE6-451A-8339-7771993B1111}">
    <text xml:space="preserve">Chuva somado com o baixo valor de lucro por conta do excesso de ovos do tipo A e Extra
</text>
  </threadedComment>
  <threadedComment ref="BG79" dT="2025-03-20T01:34:52.73" personId="{432E2F92-9F58-481E-BE08-F1B1087B8BC6}" id="{F1ED1761-9806-495A-96F7-A7201B2ED59D}">
    <text xml:space="preserve">Chuva somado com o baixo valor de lucro por conta do excesso de ovos do tipo A e Extra
somado com as vendas no atacado que foram muitas e o seu valor de lucro médio esta abaixo de 2 reais </text>
  </threadedComment>
  <threadedComment ref="BG80" dT="2025-03-21T17:19:04.14" personId="{432E2F92-9F58-481E-BE08-F1B1087B8BC6}" id="{09A4FD57-90FB-4AFE-B638-C5043E1D0A2C}">
    <text xml:space="preserve">Chuva somado com o baixo valor de lucro por conta do excesso de ovos do tipo A e Extra
somado com as vendas no atacado que foram muitas e o seu valor de lucro médio esta abaixo de 2 reais 
</text>
  </threadedComment>
  <threadedComment ref="BG81" dT="2025-03-21T17:19:22.58" personId="{432E2F92-9F58-481E-BE08-F1B1087B8BC6}" id="{E1B6CA68-2067-437B-9275-E18D3CE31766}">
    <text xml:space="preserve">Chuva somado com o baixo valor de lucro por conta do excesso de ovos do tipo A e Extra
somado com as vendas no atacado que foram muitas e o seu valor de lucro médio esta abaixo de 2 reais 
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4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AFEAA16-4F92-450A-BD4F-40C36CD3CFE3}">
  <we:reference id="wa104381504" version="1.0.0.0" store="pt-BR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C89C9C8-78AF-4400-B931-D76AF37EE21E}">
  <we:reference id="wa200007447" version="1.0.0.0" store="pt-BR" storeType="OMEX"/>
  <we:alternateReferences>
    <we:reference id="wa200007447" version="1.0.0.0" store="wa200007447" storeType="OMEX"/>
  </we:alternateReferences>
  <we:properties>
    <we:property name="hello" value="{&quot;name&quot;:&quot;hello&quot;,&quot;code&quot;:&quot;def hello(name):\n    \&quot;\&quot;\&quot; Returns a greeting. \&quot;\&quot;\&quot;\n    return f\&quot;Hello {name}!\&quot;\n\n\n   \n\&quot;\&quot;\&quot;\nOverview:\n🚀 Excel functions using Python!\n🆓 Unlimited free use\n🌐 Internet access\n📦 Import custom packages\n📖 https:\/\/www.boardflare.com\/apps\/excel\/python\n\nHow to use:\n⬅️ Drag task pane open for space\n💾 Save to create Excel function\n▶️ Run in Excel: =HELLO(\&quot;World\&quot;)\n✨ Create function using AI\n\n\nClick Run▶️ below to try =HELLO!\n\&quot;\&quot;\&quot;&quot;,&quot;signature&quot;:&quot;HELLO(name)&quot;,&quot;description&quot;:&quot;Returns a greeting&quot;,&quot;resultLine&quot;:&quot;\n\nresult = hello(**{k: v for k, v in [(\&quot;name\&quot;, arg1 if arg1 != \&quot;__OMITTED__\&quot; else None)] if v is not None})&quot;,&quot;formula&quot;:&quot;=LAMBDA(name, BOARDFLARE.EXEC(\&quot;hello\&quot;,name))&quot;,&quot;execFormula&quot;:&quot;=BOARDFLARE.EXEC(\&quot;hello\&quot;, arg1)&quot;,&quot;timestamp&quot;:&quot;2025-05-28T15:48:37.615Z&quot;,&quot;uid&quot;:&quot;anonymous&quot;,&quot;parameters&quot;:[{&quot;name&quot;:&quot;name&quot;}],&quot;imports&quot;:[]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9/04/relationships/namedSheetView" Target="../namedSheetViews/namedSheetView1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5" Type="http://schemas.openxmlformats.org/officeDocument/2006/relationships/table" Target="../tables/table14.xml"/><Relationship Id="rId10" Type="http://schemas.openxmlformats.org/officeDocument/2006/relationships/table" Target="../tables/table19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drawing" Target="../drawings/drawing4.xml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13" Type="http://schemas.openxmlformats.org/officeDocument/2006/relationships/table" Target="../tables/table41.xml"/><Relationship Id="rId18" Type="http://schemas.openxmlformats.org/officeDocument/2006/relationships/table" Target="../tables/table4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5.xml"/><Relationship Id="rId12" Type="http://schemas.openxmlformats.org/officeDocument/2006/relationships/table" Target="../tables/table40.xml"/><Relationship Id="rId17" Type="http://schemas.openxmlformats.org/officeDocument/2006/relationships/table" Target="../tables/table45.xml"/><Relationship Id="rId2" Type="http://schemas.openxmlformats.org/officeDocument/2006/relationships/drawing" Target="../drawings/drawing5.xml"/><Relationship Id="rId16" Type="http://schemas.openxmlformats.org/officeDocument/2006/relationships/table" Target="../tables/table4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4.xml"/><Relationship Id="rId11" Type="http://schemas.openxmlformats.org/officeDocument/2006/relationships/table" Target="../tables/table39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43.xml"/><Relationship Id="rId10" Type="http://schemas.openxmlformats.org/officeDocument/2006/relationships/table" Target="../tables/table38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7.xml"/><Relationship Id="rId14" Type="http://schemas.openxmlformats.org/officeDocument/2006/relationships/table" Target="../tables/table4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table" Target="../tables/table47.xml"/><Relationship Id="rId1" Type="http://schemas.openxmlformats.org/officeDocument/2006/relationships/drawing" Target="../drawings/drawing6.xml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7022-DA52-4783-814F-234C888619AE}">
  <dimension ref="A1:H35"/>
  <sheetViews>
    <sheetView zoomScale="102" zoomScaleNormal="102" workbookViewId="0">
      <selection activeCell="D11" sqref="D11"/>
    </sheetView>
  </sheetViews>
  <sheetFormatPr defaultRowHeight="13.8" x14ac:dyDescent="0.25"/>
  <cols>
    <col min="1" max="1" width="9.8984375" bestFit="1" customWidth="1"/>
    <col min="2" max="2" width="11.5" customWidth="1"/>
    <col min="3" max="3" width="10.59765625" bestFit="1" customWidth="1"/>
    <col min="4" max="4" width="11.69921875" customWidth="1"/>
    <col min="5" max="5" width="11.19921875" bestFit="1" customWidth="1"/>
    <col min="7" max="7" width="11.19921875" bestFit="1" customWidth="1"/>
  </cols>
  <sheetData>
    <row r="1" spans="1:8" x14ac:dyDescent="0.25">
      <c r="C1" s="7">
        <f>SUMIF(Tabela9[situação],"&lt;&gt;pago",Tabela9[valor])</f>
        <v>4954</v>
      </c>
      <c r="D1" s="7">
        <f>1650*6+1488-(200*6)</f>
        <v>10188</v>
      </c>
      <c r="E1" s="166">
        <f>D1-C1</f>
        <v>5234</v>
      </c>
      <c r="G1" s="166">
        <f>E1/6</f>
        <v>872.33333333333337</v>
      </c>
      <c r="H1">
        <v>1200</v>
      </c>
    </row>
    <row r="2" spans="1:8" x14ac:dyDescent="0.25">
      <c r="A2" t="s">
        <v>403</v>
      </c>
      <c r="B2" t="s">
        <v>88</v>
      </c>
      <c r="C2" t="s">
        <v>2</v>
      </c>
      <c r="D2" t="s">
        <v>404</v>
      </c>
      <c r="E2" t="s">
        <v>95</v>
      </c>
    </row>
    <row r="3" spans="1:8" x14ac:dyDescent="0.25">
      <c r="A3" t="s">
        <v>410</v>
      </c>
      <c r="B3" s="97">
        <v>46147</v>
      </c>
      <c r="C3">
        <v>100</v>
      </c>
      <c r="D3" t="s">
        <v>406</v>
      </c>
    </row>
    <row r="4" spans="1:8" x14ac:dyDescent="0.25">
      <c r="A4" t="s">
        <v>407</v>
      </c>
      <c r="B4" s="97">
        <v>46147</v>
      </c>
      <c r="C4">
        <v>48</v>
      </c>
      <c r="D4" t="s">
        <v>408</v>
      </c>
      <c r="E4" t="s">
        <v>411</v>
      </c>
    </row>
    <row r="5" spans="1:8" x14ac:dyDescent="0.25">
      <c r="A5" t="s">
        <v>405</v>
      </c>
      <c r="B5" s="97">
        <v>46147</v>
      </c>
      <c r="C5">
        <v>250</v>
      </c>
      <c r="D5" t="s">
        <v>406</v>
      </c>
      <c r="E5" t="s">
        <v>411</v>
      </c>
    </row>
    <row r="6" spans="1:8" x14ac:dyDescent="0.25">
      <c r="A6" t="s">
        <v>410</v>
      </c>
      <c r="B6" s="97">
        <v>46178</v>
      </c>
      <c r="C6">
        <v>100</v>
      </c>
      <c r="D6" t="s">
        <v>406</v>
      </c>
    </row>
    <row r="7" spans="1:8" x14ac:dyDescent="0.25">
      <c r="A7" t="s">
        <v>409</v>
      </c>
      <c r="B7" s="97">
        <v>46178</v>
      </c>
      <c r="C7">
        <v>270</v>
      </c>
      <c r="D7" t="s">
        <v>406</v>
      </c>
    </row>
    <row r="8" spans="1:8" x14ac:dyDescent="0.25">
      <c r="A8" t="s">
        <v>407</v>
      </c>
      <c r="B8" s="97">
        <v>46178</v>
      </c>
      <c r="C8">
        <v>48</v>
      </c>
      <c r="D8" t="s">
        <v>408</v>
      </c>
    </row>
    <row r="9" spans="1:8" x14ac:dyDescent="0.25">
      <c r="A9" t="s">
        <v>405</v>
      </c>
      <c r="B9" s="97">
        <v>46178</v>
      </c>
      <c r="C9">
        <v>250</v>
      </c>
      <c r="D9" t="s">
        <v>406</v>
      </c>
    </row>
    <row r="10" spans="1:8" x14ac:dyDescent="0.25">
      <c r="A10" t="s">
        <v>410</v>
      </c>
      <c r="B10" s="97">
        <v>46208</v>
      </c>
      <c r="C10">
        <v>100</v>
      </c>
      <c r="D10" t="s">
        <v>406</v>
      </c>
    </row>
    <row r="11" spans="1:8" x14ac:dyDescent="0.25">
      <c r="A11" t="s">
        <v>409</v>
      </c>
      <c r="B11" s="97">
        <v>46208</v>
      </c>
      <c r="C11">
        <v>270</v>
      </c>
      <c r="D11" t="s">
        <v>406</v>
      </c>
    </row>
    <row r="12" spans="1:8" x14ac:dyDescent="0.25">
      <c r="A12" t="s">
        <v>407</v>
      </c>
      <c r="B12" s="97">
        <v>46208</v>
      </c>
      <c r="C12">
        <v>48</v>
      </c>
      <c r="D12" t="s">
        <v>408</v>
      </c>
    </row>
    <row r="13" spans="1:8" x14ac:dyDescent="0.25">
      <c r="A13" t="s">
        <v>238</v>
      </c>
      <c r="B13" s="97">
        <v>46208</v>
      </c>
      <c r="C13">
        <v>89</v>
      </c>
      <c r="D13" t="s">
        <v>406</v>
      </c>
    </row>
    <row r="14" spans="1:8" x14ac:dyDescent="0.25">
      <c r="A14" t="s">
        <v>405</v>
      </c>
      <c r="B14" s="97">
        <v>46208</v>
      </c>
      <c r="C14">
        <v>250</v>
      </c>
      <c r="D14" t="s">
        <v>406</v>
      </c>
    </row>
    <row r="15" spans="1:8" x14ac:dyDescent="0.25">
      <c r="A15" t="s">
        <v>410</v>
      </c>
      <c r="B15" s="97">
        <v>46239</v>
      </c>
      <c r="C15">
        <v>100</v>
      </c>
      <c r="D15" t="s">
        <v>406</v>
      </c>
    </row>
    <row r="16" spans="1:8" x14ac:dyDescent="0.25">
      <c r="A16" t="s">
        <v>409</v>
      </c>
      <c r="B16" s="97">
        <v>46239</v>
      </c>
      <c r="C16">
        <v>270</v>
      </c>
      <c r="D16" t="s">
        <v>406</v>
      </c>
    </row>
    <row r="17" spans="1:4" x14ac:dyDescent="0.25">
      <c r="A17" t="s">
        <v>407</v>
      </c>
      <c r="B17" s="97">
        <v>46239</v>
      </c>
      <c r="C17">
        <v>48</v>
      </c>
      <c r="D17" t="s">
        <v>408</v>
      </c>
    </row>
    <row r="18" spans="1:4" x14ac:dyDescent="0.25">
      <c r="A18" t="s">
        <v>238</v>
      </c>
      <c r="B18" s="97">
        <v>46239</v>
      </c>
      <c r="C18">
        <v>89</v>
      </c>
      <c r="D18" t="s">
        <v>406</v>
      </c>
    </row>
    <row r="19" spans="1:4" x14ac:dyDescent="0.25">
      <c r="A19" t="s">
        <v>405</v>
      </c>
      <c r="B19" s="97">
        <v>46239</v>
      </c>
      <c r="C19">
        <v>250</v>
      </c>
      <c r="D19" t="s">
        <v>406</v>
      </c>
    </row>
    <row r="20" spans="1:4" x14ac:dyDescent="0.25">
      <c r="A20" t="s">
        <v>410</v>
      </c>
      <c r="B20" s="97">
        <v>46270</v>
      </c>
      <c r="C20">
        <v>100</v>
      </c>
      <c r="D20" t="s">
        <v>406</v>
      </c>
    </row>
    <row r="21" spans="1:4" x14ac:dyDescent="0.25">
      <c r="A21" t="s">
        <v>409</v>
      </c>
      <c r="B21" s="97">
        <v>46270</v>
      </c>
      <c r="C21">
        <v>270</v>
      </c>
      <c r="D21" t="s">
        <v>406</v>
      </c>
    </row>
    <row r="22" spans="1:4" x14ac:dyDescent="0.25">
      <c r="A22" t="s">
        <v>407</v>
      </c>
      <c r="B22" s="97">
        <v>46270</v>
      </c>
      <c r="C22">
        <v>48</v>
      </c>
      <c r="D22" t="s">
        <v>408</v>
      </c>
    </row>
    <row r="23" spans="1:4" x14ac:dyDescent="0.25">
      <c r="A23" t="s">
        <v>405</v>
      </c>
      <c r="B23" s="97">
        <v>46270</v>
      </c>
      <c r="C23">
        <v>250</v>
      </c>
      <c r="D23" t="s">
        <v>406</v>
      </c>
    </row>
    <row r="24" spans="1:4" x14ac:dyDescent="0.25">
      <c r="A24" t="s">
        <v>410</v>
      </c>
      <c r="B24" s="97">
        <v>46300</v>
      </c>
      <c r="C24">
        <v>100</v>
      </c>
      <c r="D24" t="s">
        <v>406</v>
      </c>
    </row>
    <row r="25" spans="1:4" x14ac:dyDescent="0.25">
      <c r="A25" t="s">
        <v>409</v>
      </c>
      <c r="B25" s="97">
        <v>46300</v>
      </c>
      <c r="C25">
        <v>270</v>
      </c>
      <c r="D25" t="s">
        <v>406</v>
      </c>
    </row>
    <row r="26" spans="1:4" x14ac:dyDescent="0.25">
      <c r="A26" t="s">
        <v>407</v>
      </c>
      <c r="B26" s="97">
        <v>46300</v>
      </c>
      <c r="C26">
        <v>48</v>
      </c>
      <c r="D26" t="s">
        <v>408</v>
      </c>
    </row>
    <row r="27" spans="1:4" x14ac:dyDescent="0.25">
      <c r="A27" t="s">
        <v>405</v>
      </c>
      <c r="B27" s="97">
        <v>46300</v>
      </c>
      <c r="C27">
        <v>250</v>
      </c>
      <c r="D27" t="s">
        <v>406</v>
      </c>
    </row>
    <row r="28" spans="1:4" x14ac:dyDescent="0.25">
      <c r="A28" t="s">
        <v>410</v>
      </c>
      <c r="B28" s="97">
        <v>46331</v>
      </c>
      <c r="C28">
        <v>100</v>
      </c>
      <c r="D28" t="s">
        <v>406</v>
      </c>
    </row>
    <row r="29" spans="1:4" x14ac:dyDescent="0.25">
      <c r="A29" t="s">
        <v>409</v>
      </c>
      <c r="B29" s="97">
        <v>46331</v>
      </c>
      <c r="C29">
        <v>270</v>
      </c>
      <c r="D29" t="s">
        <v>406</v>
      </c>
    </row>
    <row r="30" spans="1:4" x14ac:dyDescent="0.25">
      <c r="A30" t="s">
        <v>407</v>
      </c>
      <c r="B30" s="97">
        <v>46331</v>
      </c>
      <c r="C30">
        <v>48</v>
      </c>
      <c r="D30" t="s">
        <v>408</v>
      </c>
    </row>
    <row r="31" spans="1:4" x14ac:dyDescent="0.25">
      <c r="A31" t="s">
        <v>405</v>
      </c>
      <c r="B31" s="97">
        <v>46331</v>
      </c>
      <c r="C31">
        <v>250</v>
      </c>
      <c r="D31" t="s">
        <v>406</v>
      </c>
    </row>
    <row r="32" spans="1:4" x14ac:dyDescent="0.25">
      <c r="A32" t="s">
        <v>410</v>
      </c>
      <c r="B32" s="97">
        <v>46361</v>
      </c>
      <c r="C32">
        <v>100</v>
      </c>
      <c r="D32" t="s">
        <v>406</v>
      </c>
    </row>
    <row r="33" spans="1:4" x14ac:dyDescent="0.25">
      <c r="A33" t="s">
        <v>409</v>
      </c>
      <c r="B33" s="97">
        <v>46361</v>
      </c>
      <c r="C33">
        <v>270</v>
      </c>
      <c r="D33" t="s">
        <v>406</v>
      </c>
    </row>
    <row r="34" spans="1:4" x14ac:dyDescent="0.25">
      <c r="A34" t="s">
        <v>407</v>
      </c>
      <c r="B34" s="97">
        <v>46361</v>
      </c>
      <c r="C34">
        <v>48</v>
      </c>
      <c r="D34" t="s">
        <v>408</v>
      </c>
    </row>
    <row r="35" spans="1:4" x14ac:dyDescent="0.25">
      <c r="A35" t="s">
        <v>405</v>
      </c>
      <c r="B35" s="97">
        <v>46361</v>
      </c>
      <c r="C35">
        <v>250</v>
      </c>
      <c r="D35" t="s">
        <v>406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569A3-3C81-4EC6-B01F-03353468B471}">
  <sheetPr codeName="Planilha4">
    <tabColor theme="5"/>
  </sheetPr>
  <dimension ref="A1:CW366"/>
  <sheetViews>
    <sheetView showGridLines="0" topLeftCell="AM155" zoomScaleNormal="100" workbookViewId="0">
      <selection activeCell="BG2" sqref="BG2"/>
    </sheetView>
  </sheetViews>
  <sheetFormatPr defaultRowHeight="13.8" x14ac:dyDescent="0.25"/>
  <cols>
    <col min="1" max="1" width="14.8984375" customWidth="1"/>
    <col min="2" max="2" width="9.3984375" customWidth="1"/>
    <col min="3" max="3" width="12.19921875" customWidth="1"/>
    <col min="4" max="4" width="6.8984375" bestFit="1" customWidth="1"/>
    <col min="5" max="5" width="8.3984375" bestFit="1" customWidth="1"/>
    <col min="6" max="6" width="12.59765625" customWidth="1"/>
    <col min="7" max="7" width="7.8984375" customWidth="1"/>
    <col min="8" max="8" width="7" customWidth="1"/>
    <col min="9" max="9" width="11.69921875" bestFit="1" customWidth="1"/>
    <col min="10" max="10" width="14.296875" customWidth="1"/>
    <col min="11" max="11" width="12.69921875" customWidth="1"/>
    <col min="12" max="12" width="7.8984375" customWidth="1"/>
    <col min="13" max="13" width="7.19921875" customWidth="1"/>
    <col min="14" max="14" width="11.69921875" customWidth="1"/>
    <col min="15" max="15" width="13.19921875" customWidth="1"/>
    <col min="16" max="16" width="12.69921875" customWidth="1"/>
    <col min="17" max="17" width="7.69921875" customWidth="1"/>
    <col min="18" max="18" width="8" customWidth="1"/>
    <col min="19" max="19" width="14.5" customWidth="1"/>
    <col min="20" max="20" width="14.19921875" customWidth="1"/>
    <col min="21" max="21" width="11.19921875" customWidth="1"/>
    <col min="22" max="22" width="7" customWidth="1"/>
    <col min="23" max="23" width="7.8984375" customWidth="1"/>
    <col min="24" max="24" width="12.19921875" customWidth="1"/>
    <col min="25" max="25" width="14.5" customWidth="1"/>
    <col min="26" max="26" width="12.69921875" customWidth="1"/>
    <col min="27" max="27" width="7.3984375" customWidth="1"/>
    <col min="28" max="28" width="7.5" customWidth="1"/>
    <col min="29" max="29" width="13.69921875" customWidth="1"/>
    <col min="30" max="30" width="12.5" customWidth="1"/>
    <col min="31" max="31" width="1.59765625" customWidth="1"/>
    <col min="32" max="32" width="2.09765625" customWidth="1"/>
    <col min="33" max="33" width="2" customWidth="1"/>
    <col min="34" max="34" width="1.69921875" customWidth="1"/>
    <col min="35" max="35" width="2.19921875" customWidth="1"/>
    <col min="36" max="36" width="3.59765625" customWidth="1"/>
    <col min="37" max="37" width="2.59765625" customWidth="1"/>
    <col min="38" max="38" width="1.3984375" customWidth="1"/>
    <col min="39" max="39" width="1.59765625" customWidth="1"/>
    <col min="40" max="40" width="2.19921875" customWidth="1"/>
    <col min="41" max="41" width="2.296875" customWidth="1"/>
    <col min="42" max="42" width="2.09765625" customWidth="1"/>
    <col min="43" max="43" width="1.69921875" customWidth="1"/>
    <col min="44" max="44" width="1.796875" customWidth="1"/>
    <col min="45" max="45" width="2.69921875" customWidth="1"/>
    <col min="46" max="46" width="1.09765625" customWidth="1"/>
    <col min="47" max="47" width="1.5" customWidth="1"/>
    <col min="48" max="48" width="2.296875" customWidth="1"/>
    <col min="49" max="49" width="2" customWidth="1"/>
    <col min="50" max="50" width="1.796875" customWidth="1"/>
    <col min="51" max="51" width="1.19921875" customWidth="1"/>
    <col min="52" max="52" width="3" customWidth="1"/>
    <col min="53" max="53" width="2.09765625" customWidth="1"/>
    <col min="54" max="54" width="2" customWidth="1"/>
    <col min="55" max="55" width="2.59765625" customWidth="1"/>
    <col min="57" max="57" width="8.59765625" customWidth="1"/>
    <col min="58" max="58" width="4.19921875" style="82" customWidth="1"/>
    <col min="59" max="59" width="5.8984375" customWidth="1"/>
    <col min="60" max="60" width="14.296875" bestFit="1" customWidth="1"/>
    <col min="61" max="61" width="16.69921875" bestFit="1" customWidth="1"/>
    <col min="62" max="62" width="10.8984375" bestFit="1" customWidth="1"/>
    <col min="63" max="63" width="8.3984375" customWidth="1"/>
    <col min="64" max="64" width="12" bestFit="1" customWidth="1"/>
    <col min="65" max="65" width="11.5" customWidth="1"/>
    <col min="66" max="66" width="15.69921875" bestFit="1" customWidth="1"/>
    <col min="67" max="67" width="10.09765625" bestFit="1" customWidth="1"/>
    <col min="68" max="68" width="10" customWidth="1"/>
    <col min="69" max="69" width="12" customWidth="1"/>
    <col min="70" max="70" width="11.09765625" customWidth="1"/>
    <col min="71" max="71" width="9.59765625" bestFit="1" customWidth="1"/>
    <col min="72" max="72" width="2.796875" bestFit="1" customWidth="1"/>
    <col min="73" max="73" width="9.3984375" bestFit="1" customWidth="1"/>
    <col min="74" max="75" width="11" bestFit="1" customWidth="1"/>
    <col min="76" max="76" width="10" bestFit="1" customWidth="1"/>
    <col min="77" max="77" width="2.796875" bestFit="1" customWidth="1"/>
    <col min="78" max="78" width="6.69921875" bestFit="1" customWidth="1"/>
    <col min="79" max="79" width="6.19921875" bestFit="1" customWidth="1"/>
    <col min="80" max="80" width="5.19921875" bestFit="1" customWidth="1"/>
    <col min="81" max="81" width="10.09765625" bestFit="1" customWidth="1"/>
    <col min="82" max="82" width="9.09765625" bestFit="1" customWidth="1"/>
    <col min="83" max="83" width="8.09765625" customWidth="1"/>
    <col min="84" max="85" width="11" bestFit="1" customWidth="1"/>
    <col min="86" max="86" width="2.796875" bestFit="1" customWidth="1"/>
    <col min="87" max="87" width="6.69921875" customWidth="1"/>
    <col min="88" max="88" width="6.09765625" bestFit="1" customWidth="1"/>
    <col min="89" max="89" width="7.19921875" customWidth="1"/>
    <col min="90" max="90" width="8.3984375" customWidth="1"/>
    <col min="91" max="91" width="9.09765625" customWidth="1"/>
    <col min="92" max="92" width="7.3984375" customWidth="1"/>
    <col min="93" max="93" width="8" customWidth="1"/>
    <col min="94" max="94" width="15.8984375" bestFit="1" customWidth="1"/>
    <col min="95" max="95" width="7" customWidth="1"/>
    <col min="96" max="96" width="1.796875" customWidth="1"/>
    <col min="97" max="97" width="7" customWidth="1"/>
    <col min="98" max="98" width="5.19921875" customWidth="1"/>
    <col min="99" max="99" width="9.09765625" customWidth="1"/>
    <col min="100" max="100" width="4.8984375" customWidth="1"/>
    <col min="101" max="101" width="2.69921875" customWidth="1"/>
    <col min="102" max="102" width="1.5" customWidth="1"/>
    <col min="103" max="103" width="3.19921875" customWidth="1"/>
    <col min="104" max="104" width="2.5" customWidth="1"/>
    <col min="105" max="105" width="2.19921875" customWidth="1"/>
    <col min="106" max="106" width="2.69921875" customWidth="1"/>
    <col min="107" max="107" width="4.3984375" customWidth="1"/>
    <col min="108" max="108" width="4.8984375" customWidth="1"/>
    <col min="109" max="109" width="1.796875" customWidth="1"/>
    <col min="110" max="110" width="3.5" customWidth="1"/>
    <col min="111" max="111" width="1.796875" customWidth="1"/>
    <col min="112" max="112" width="5.3984375" customWidth="1"/>
    <col min="113" max="113" width="6.09765625" customWidth="1"/>
    <col min="114" max="114" width="4.19921875" customWidth="1"/>
    <col min="115" max="115" width="6.09765625" customWidth="1"/>
    <col min="116" max="116" width="7" customWidth="1"/>
    <col min="117" max="117" width="5.3984375" customWidth="1"/>
    <col min="118" max="118" width="7.3984375" customWidth="1"/>
    <col min="119" max="119" width="5.3984375" customWidth="1"/>
    <col min="120" max="120" width="38.3984375" bestFit="1" customWidth="1"/>
    <col min="121" max="121" width="39.8984375" bestFit="1" customWidth="1"/>
    <col min="122" max="122" width="42" bestFit="1" customWidth="1"/>
    <col min="123" max="123" width="46.296875" bestFit="1" customWidth="1"/>
    <col min="124" max="124" width="46.796875" bestFit="1" customWidth="1"/>
    <col min="125" max="125" width="38.3984375" bestFit="1" customWidth="1"/>
    <col min="126" max="126" width="39.8984375" bestFit="1" customWidth="1"/>
    <col min="127" max="127" width="42" bestFit="1" customWidth="1"/>
    <col min="128" max="128" width="46.296875" bestFit="1" customWidth="1"/>
    <col min="129" max="129" width="46.796875" bestFit="1" customWidth="1"/>
    <col min="130" max="130" width="21.8984375" bestFit="1" customWidth="1"/>
    <col min="131" max="131" width="23.296875" bestFit="1" customWidth="1"/>
    <col min="132" max="132" width="25.5" bestFit="1" customWidth="1"/>
    <col min="133" max="133" width="29.8984375" customWidth="1"/>
    <col min="134" max="134" width="30.3984375" customWidth="1"/>
    <col min="135" max="135" width="4.19921875" customWidth="1"/>
    <col min="136" max="136" width="39.8984375" bestFit="1" customWidth="1"/>
    <col min="137" max="137" width="42" bestFit="1" customWidth="1"/>
    <col min="138" max="138" width="46.296875" bestFit="1" customWidth="1"/>
    <col min="139" max="139" width="46.796875" bestFit="1" customWidth="1"/>
    <col min="140" max="140" width="38.3984375" bestFit="1" customWidth="1"/>
    <col min="141" max="141" width="39.8984375" bestFit="1" customWidth="1"/>
    <col min="142" max="142" width="42" bestFit="1" customWidth="1"/>
    <col min="143" max="143" width="46.296875" bestFit="1" customWidth="1"/>
    <col min="144" max="144" width="46.796875" bestFit="1" customWidth="1"/>
    <col min="145" max="145" width="21.8984375" bestFit="1" customWidth="1"/>
    <col min="146" max="146" width="23.296875" bestFit="1" customWidth="1"/>
    <col min="147" max="147" width="25.5" bestFit="1" customWidth="1"/>
    <col min="148" max="148" width="29.8984375" bestFit="1" customWidth="1"/>
    <col min="149" max="149" width="30.3984375" bestFit="1" customWidth="1"/>
    <col min="150" max="150" width="26.8984375" bestFit="1" customWidth="1"/>
    <col min="151" max="151" width="28.5" bestFit="1" customWidth="1"/>
    <col min="152" max="152" width="30.59765625" bestFit="1" customWidth="1"/>
    <col min="153" max="153" width="35" bestFit="1" customWidth="1"/>
    <col min="154" max="154" width="35.5" bestFit="1" customWidth="1"/>
    <col min="155" max="155" width="26.8984375" bestFit="1" customWidth="1"/>
    <col min="156" max="156" width="28.5" bestFit="1" customWidth="1"/>
    <col min="157" max="157" width="30.59765625" bestFit="1" customWidth="1"/>
    <col min="158" max="158" width="35" bestFit="1" customWidth="1"/>
    <col min="159" max="159" width="35.5" bestFit="1" customWidth="1"/>
    <col min="160" max="160" width="21.8984375" bestFit="1" customWidth="1"/>
    <col min="161" max="161" width="23.296875" bestFit="1" customWidth="1"/>
    <col min="162" max="162" width="25.5" bestFit="1" customWidth="1"/>
    <col min="163" max="163" width="29.8984375" bestFit="1" customWidth="1"/>
    <col min="164" max="164" width="30.3984375" bestFit="1" customWidth="1"/>
    <col min="165" max="165" width="21.8984375" bestFit="1" customWidth="1"/>
    <col min="166" max="166" width="23.296875" bestFit="1" customWidth="1"/>
    <col min="167" max="167" width="25.5" bestFit="1" customWidth="1"/>
    <col min="168" max="168" width="29.8984375" bestFit="1" customWidth="1"/>
    <col min="169" max="169" width="30.3984375" bestFit="1" customWidth="1"/>
    <col min="170" max="170" width="38.3984375" bestFit="1" customWidth="1"/>
    <col min="171" max="171" width="39.8984375" bestFit="1" customWidth="1"/>
    <col min="172" max="172" width="42" bestFit="1" customWidth="1"/>
    <col min="173" max="173" width="46.296875" bestFit="1" customWidth="1"/>
    <col min="174" max="174" width="46.796875" bestFit="1" customWidth="1"/>
    <col min="175" max="175" width="38.3984375" bestFit="1" customWidth="1"/>
    <col min="176" max="176" width="39.8984375" bestFit="1" customWidth="1"/>
    <col min="177" max="177" width="42" bestFit="1" customWidth="1"/>
    <col min="178" max="178" width="46.296875" bestFit="1" customWidth="1"/>
    <col min="179" max="179" width="46.796875" bestFit="1" customWidth="1"/>
    <col min="180" max="180" width="21.8984375" bestFit="1" customWidth="1"/>
    <col min="181" max="181" width="23.296875" bestFit="1" customWidth="1"/>
    <col min="182" max="182" width="25.5" bestFit="1" customWidth="1"/>
    <col min="183" max="183" width="29.8984375" bestFit="1" customWidth="1"/>
    <col min="184" max="184" width="30.3984375" bestFit="1" customWidth="1"/>
    <col min="185" max="185" width="38.3984375" bestFit="1" customWidth="1"/>
    <col min="186" max="186" width="39.8984375" bestFit="1" customWidth="1"/>
    <col min="187" max="187" width="42" bestFit="1" customWidth="1"/>
    <col min="188" max="188" width="46.296875" bestFit="1" customWidth="1"/>
    <col min="189" max="189" width="46.796875" bestFit="1" customWidth="1"/>
    <col min="190" max="190" width="38.3984375" bestFit="1" customWidth="1"/>
    <col min="191" max="191" width="39.8984375" bestFit="1" customWidth="1"/>
    <col min="192" max="192" width="42" bestFit="1" customWidth="1"/>
    <col min="193" max="193" width="46.296875" bestFit="1" customWidth="1"/>
    <col min="194" max="194" width="46.796875" bestFit="1" customWidth="1"/>
    <col min="195" max="195" width="21.8984375" bestFit="1" customWidth="1"/>
    <col min="196" max="196" width="23.296875" bestFit="1" customWidth="1"/>
    <col min="197" max="197" width="25.5" bestFit="1" customWidth="1"/>
    <col min="198" max="198" width="29.8984375" bestFit="1" customWidth="1"/>
    <col min="199" max="199" width="30.3984375" bestFit="1" customWidth="1"/>
    <col min="200" max="200" width="38.3984375" bestFit="1" customWidth="1"/>
    <col min="201" max="201" width="39.8984375" bestFit="1" customWidth="1"/>
    <col min="202" max="202" width="42" bestFit="1" customWidth="1"/>
    <col min="203" max="203" width="46.296875" bestFit="1" customWidth="1"/>
    <col min="204" max="204" width="46.796875" bestFit="1" customWidth="1"/>
    <col min="205" max="205" width="38.3984375" bestFit="1" customWidth="1"/>
    <col min="206" max="206" width="39.8984375" bestFit="1" customWidth="1"/>
    <col min="207" max="207" width="42" bestFit="1" customWidth="1"/>
    <col min="208" max="208" width="46.296875" bestFit="1" customWidth="1"/>
    <col min="209" max="209" width="46.796875" bestFit="1" customWidth="1"/>
    <col min="210" max="210" width="21.8984375" bestFit="1" customWidth="1"/>
    <col min="211" max="211" width="23.296875" bestFit="1" customWidth="1"/>
    <col min="212" max="212" width="25.5" bestFit="1" customWidth="1"/>
    <col min="213" max="213" width="29.8984375" bestFit="1" customWidth="1"/>
    <col min="214" max="214" width="30.3984375" bestFit="1" customWidth="1"/>
    <col min="215" max="215" width="38.3984375" bestFit="1" customWidth="1"/>
    <col min="216" max="216" width="39.8984375" bestFit="1" customWidth="1"/>
    <col min="217" max="217" width="42" bestFit="1" customWidth="1"/>
    <col min="218" max="218" width="46.296875" bestFit="1" customWidth="1"/>
    <col min="219" max="219" width="46.796875" bestFit="1" customWidth="1"/>
    <col min="220" max="220" width="38.3984375" bestFit="1" customWidth="1"/>
    <col min="221" max="221" width="39.8984375" bestFit="1" customWidth="1"/>
    <col min="222" max="222" width="42" bestFit="1" customWidth="1"/>
    <col min="223" max="223" width="46.296875" bestFit="1" customWidth="1"/>
    <col min="224" max="224" width="46.796875" bestFit="1" customWidth="1"/>
    <col min="225" max="225" width="21.8984375" bestFit="1" customWidth="1"/>
    <col min="226" max="226" width="23.296875" bestFit="1" customWidth="1"/>
    <col min="227" max="227" width="25.5" bestFit="1" customWidth="1"/>
    <col min="228" max="228" width="29.8984375" bestFit="1" customWidth="1"/>
    <col min="229" max="229" width="30.3984375" bestFit="1" customWidth="1"/>
    <col min="230" max="230" width="25.8984375" bestFit="1" customWidth="1"/>
    <col min="231" max="231" width="27.59765625" bestFit="1" customWidth="1"/>
    <col min="232" max="232" width="29.5" bestFit="1" customWidth="1"/>
    <col min="233" max="233" width="34" bestFit="1" customWidth="1"/>
    <col min="234" max="234" width="34.5" bestFit="1" customWidth="1"/>
    <col min="235" max="235" width="25.8984375" bestFit="1" customWidth="1"/>
    <col min="236" max="236" width="27.59765625" bestFit="1" customWidth="1"/>
    <col min="237" max="237" width="29.5" bestFit="1" customWidth="1"/>
    <col min="238" max="238" width="34" bestFit="1" customWidth="1"/>
    <col min="239" max="239" width="34.5" bestFit="1" customWidth="1"/>
    <col min="240" max="240" width="21.8984375" bestFit="1" customWidth="1"/>
    <col min="241" max="241" width="23.296875" bestFit="1" customWidth="1"/>
    <col min="242" max="242" width="25.5" bestFit="1" customWidth="1"/>
    <col min="243" max="243" width="29.8984375" bestFit="1" customWidth="1"/>
    <col min="244" max="244" width="30.3984375" bestFit="1" customWidth="1"/>
    <col min="245" max="245" width="21.8984375" bestFit="1" customWidth="1"/>
    <col min="246" max="246" width="23.296875" bestFit="1" customWidth="1"/>
    <col min="247" max="247" width="25.5" bestFit="1" customWidth="1"/>
    <col min="248" max="248" width="29.8984375" bestFit="1" customWidth="1"/>
    <col min="249" max="249" width="30.3984375" bestFit="1" customWidth="1"/>
    <col min="250" max="250" width="38.3984375" bestFit="1" customWidth="1"/>
    <col min="251" max="251" width="39.8984375" bestFit="1" customWidth="1"/>
    <col min="252" max="252" width="42" bestFit="1" customWidth="1"/>
    <col min="253" max="253" width="46.296875" bestFit="1" customWidth="1"/>
    <col min="254" max="254" width="46.796875" bestFit="1" customWidth="1"/>
    <col min="255" max="255" width="38.3984375" bestFit="1" customWidth="1"/>
    <col min="256" max="256" width="39.8984375" bestFit="1" customWidth="1"/>
    <col min="257" max="257" width="42" bestFit="1" customWidth="1"/>
    <col min="258" max="258" width="46.296875" bestFit="1" customWidth="1"/>
    <col min="259" max="259" width="46.796875" bestFit="1" customWidth="1"/>
    <col min="260" max="260" width="21.8984375" bestFit="1" customWidth="1"/>
    <col min="261" max="261" width="23.296875" bestFit="1" customWidth="1"/>
    <col min="262" max="262" width="25.5" bestFit="1" customWidth="1"/>
    <col min="263" max="263" width="29.8984375" bestFit="1" customWidth="1"/>
    <col min="264" max="264" width="30.3984375" bestFit="1" customWidth="1"/>
    <col min="265" max="265" width="38.3984375" bestFit="1" customWidth="1"/>
    <col min="266" max="266" width="39.8984375" bestFit="1" customWidth="1"/>
    <col min="267" max="267" width="42" bestFit="1" customWidth="1"/>
    <col min="268" max="268" width="46.296875" bestFit="1" customWidth="1"/>
    <col min="269" max="269" width="46.796875" bestFit="1" customWidth="1"/>
    <col min="270" max="270" width="38.3984375" bestFit="1" customWidth="1"/>
    <col min="271" max="271" width="39.8984375" bestFit="1" customWidth="1"/>
    <col min="272" max="272" width="42" bestFit="1" customWidth="1"/>
    <col min="273" max="273" width="46.296875" bestFit="1" customWidth="1"/>
    <col min="274" max="274" width="46.796875" bestFit="1" customWidth="1"/>
    <col min="275" max="275" width="21.8984375" bestFit="1" customWidth="1"/>
    <col min="276" max="276" width="23.296875" bestFit="1" customWidth="1"/>
    <col min="277" max="277" width="25.5" bestFit="1" customWidth="1"/>
    <col min="278" max="278" width="29.8984375" bestFit="1" customWidth="1"/>
    <col min="279" max="279" width="30.3984375" bestFit="1" customWidth="1"/>
    <col min="280" max="280" width="38.3984375" bestFit="1" customWidth="1"/>
    <col min="281" max="281" width="39.8984375" bestFit="1" customWidth="1"/>
    <col min="282" max="282" width="42" bestFit="1" customWidth="1"/>
    <col min="283" max="283" width="46.296875" bestFit="1" customWidth="1"/>
    <col min="284" max="284" width="46.796875" bestFit="1" customWidth="1"/>
    <col min="285" max="285" width="38.3984375" bestFit="1" customWidth="1"/>
    <col min="286" max="286" width="39.8984375" bestFit="1" customWidth="1"/>
    <col min="287" max="287" width="42" bestFit="1" customWidth="1"/>
    <col min="288" max="288" width="46.296875" bestFit="1" customWidth="1"/>
    <col min="289" max="289" width="46.796875" bestFit="1" customWidth="1"/>
    <col min="290" max="290" width="21.8984375" bestFit="1" customWidth="1"/>
    <col min="291" max="291" width="23.296875" bestFit="1" customWidth="1"/>
    <col min="292" max="292" width="25.5" bestFit="1" customWidth="1"/>
    <col min="293" max="293" width="29.8984375" bestFit="1" customWidth="1"/>
    <col min="294" max="294" width="30.3984375" bestFit="1" customWidth="1"/>
    <col min="295" max="295" width="21.8984375" bestFit="1" customWidth="1"/>
    <col min="296" max="296" width="23.296875" bestFit="1" customWidth="1"/>
    <col min="297" max="297" width="25.5" bestFit="1" customWidth="1"/>
    <col min="298" max="298" width="29.8984375" bestFit="1" customWidth="1"/>
    <col min="299" max="299" width="30.3984375" bestFit="1" customWidth="1"/>
    <col min="300" max="300" width="38.3984375" bestFit="1" customWidth="1"/>
    <col min="301" max="301" width="39.8984375" bestFit="1" customWidth="1"/>
    <col min="302" max="302" width="42" bestFit="1" customWidth="1"/>
    <col min="303" max="303" width="46.296875" bestFit="1" customWidth="1"/>
    <col min="304" max="304" width="46.796875" bestFit="1" customWidth="1"/>
    <col min="305" max="305" width="38.3984375" bestFit="1" customWidth="1"/>
    <col min="306" max="306" width="39.8984375" bestFit="1" customWidth="1"/>
    <col min="307" max="307" width="42" bestFit="1" customWidth="1"/>
    <col min="308" max="308" width="46.296875" bestFit="1" customWidth="1"/>
    <col min="309" max="309" width="46.796875" bestFit="1" customWidth="1"/>
    <col min="310" max="310" width="21.8984375" bestFit="1" customWidth="1"/>
    <col min="311" max="311" width="23.296875" bestFit="1" customWidth="1"/>
    <col min="312" max="312" width="25.5" bestFit="1" customWidth="1"/>
    <col min="313" max="313" width="29.8984375" bestFit="1" customWidth="1"/>
    <col min="314" max="314" width="30.3984375" bestFit="1" customWidth="1"/>
    <col min="315" max="315" width="38.3984375" bestFit="1" customWidth="1"/>
    <col min="316" max="316" width="39.8984375" bestFit="1" customWidth="1"/>
    <col min="317" max="317" width="42" bestFit="1" customWidth="1"/>
    <col min="318" max="318" width="46.296875" bestFit="1" customWidth="1"/>
    <col min="319" max="319" width="46.796875" bestFit="1" customWidth="1"/>
    <col min="320" max="320" width="38.3984375" bestFit="1" customWidth="1"/>
    <col min="321" max="321" width="39.8984375" bestFit="1" customWidth="1"/>
    <col min="322" max="322" width="42" bestFit="1" customWidth="1"/>
    <col min="323" max="323" width="46.296875" bestFit="1" customWidth="1"/>
    <col min="324" max="324" width="46.796875" bestFit="1" customWidth="1"/>
    <col min="325" max="325" width="21.8984375" bestFit="1" customWidth="1"/>
    <col min="326" max="326" width="23.296875" bestFit="1" customWidth="1"/>
    <col min="327" max="327" width="25.5" bestFit="1" customWidth="1"/>
    <col min="328" max="328" width="29.8984375" bestFit="1" customWidth="1"/>
    <col min="329" max="329" width="30.3984375" bestFit="1" customWidth="1"/>
    <col min="330" max="330" width="38.3984375" bestFit="1" customWidth="1"/>
    <col min="331" max="331" width="39.8984375" bestFit="1" customWidth="1"/>
    <col min="332" max="332" width="42" bestFit="1" customWidth="1"/>
    <col min="333" max="333" width="46.296875" bestFit="1" customWidth="1"/>
    <col min="334" max="334" width="46.796875" bestFit="1" customWidth="1"/>
    <col min="335" max="335" width="38.3984375" bestFit="1" customWidth="1"/>
    <col min="336" max="336" width="39.8984375" bestFit="1" customWidth="1"/>
    <col min="337" max="337" width="42" bestFit="1" customWidth="1"/>
    <col min="338" max="338" width="46.296875" bestFit="1" customWidth="1"/>
    <col min="339" max="339" width="46.796875" bestFit="1" customWidth="1"/>
    <col min="340" max="340" width="21.8984375" bestFit="1" customWidth="1"/>
    <col min="341" max="341" width="23.296875" bestFit="1" customWidth="1"/>
    <col min="342" max="342" width="25.5" bestFit="1" customWidth="1"/>
    <col min="343" max="343" width="29.8984375" bestFit="1" customWidth="1"/>
    <col min="344" max="344" width="30.3984375" bestFit="1" customWidth="1"/>
    <col min="345" max="345" width="38.3984375" bestFit="1" customWidth="1"/>
    <col min="346" max="346" width="39.8984375" bestFit="1" customWidth="1"/>
    <col min="347" max="347" width="42" bestFit="1" customWidth="1"/>
    <col min="348" max="348" width="46.296875" bestFit="1" customWidth="1"/>
    <col min="349" max="349" width="46.796875" bestFit="1" customWidth="1"/>
    <col min="350" max="350" width="38.3984375" bestFit="1" customWidth="1"/>
    <col min="351" max="351" width="39.8984375" bestFit="1" customWidth="1"/>
    <col min="352" max="352" width="42" bestFit="1" customWidth="1"/>
    <col min="353" max="353" width="46.296875" bestFit="1" customWidth="1"/>
    <col min="354" max="354" width="46.796875" bestFit="1" customWidth="1"/>
    <col min="355" max="355" width="21.8984375" bestFit="1" customWidth="1"/>
    <col min="356" max="356" width="23.296875" bestFit="1" customWidth="1"/>
    <col min="357" max="357" width="25.5" bestFit="1" customWidth="1"/>
    <col min="358" max="358" width="29.8984375" bestFit="1" customWidth="1"/>
    <col min="359" max="359" width="30.3984375" bestFit="1" customWidth="1"/>
    <col min="360" max="360" width="24.296875" bestFit="1" customWidth="1"/>
    <col min="361" max="361" width="25.8984375" bestFit="1" customWidth="1"/>
    <col min="362" max="362" width="28" bestFit="1" customWidth="1"/>
    <col min="363" max="363" width="32.3984375" bestFit="1" customWidth="1"/>
    <col min="364" max="364" width="32.8984375" bestFit="1" customWidth="1"/>
    <col min="365" max="365" width="24.296875" bestFit="1" customWidth="1"/>
    <col min="366" max="366" width="25.8984375" bestFit="1" customWidth="1"/>
    <col min="367" max="367" width="28" bestFit="1" customWidth="1"/>
    <col min="368" max="368" width="32.3984375" bestFit="1" customWidth="1"/>
    <col min="369" max="369" width="32.8984375" bestFit="1" customWidth="1"/>
    <col min="370" max="370" width="21.8984375" bestFit="1" customWidth="1"/>
    <col min="371" max="371" width="23.296875" bestFit="1" customWidth="1"/>
    <col min="372" max="372" width="25.5" bestFit="1" customWidth="1"/>
    <col min="373" max="373" width="29.8984375" bestFit="1" customWidth="1"/>
    <col min="374" max="374" width="30.3984375" bestFit="1" customWidth="1"/>
    <col min="375" max="375" width="21.8984375" bestFit="1" customWidth="1"/>
    <col min="376" max="376" width="23.296875" bestFit="1" customWidth="1"/>
    <col min="377" max="377" width="25.5" bestFit="1" customWidth="1"/>
    <col min="378" max="378" width="29.8984375" bestFit="1" customWidth="1"/>
    <col min="379" max="379" width="30.3984375" bestFit="1" customWidth="1"/>
    <col min="380" max="380" width="38.3984375" bestFit="1" customWidth="1"/>
    <col min="381" max="381" width="39.8984375" bestFit="1" customWidth="1"/>
    <col min="382" max="382" width="42" bestFit="1" customWidth="1"/>
    <col min="383" max="383" width="46.296875" bestFit="1" customWidth="1"/>
    <col min="384" max="384" width="46.796875" bestFit="1" customWidth="1"/>
    <col min="385" max="385" width="38.3984375" bestFit="1" customWidth="1"/>
    <col min="386" max="386" width="39.8984375" bestFit="1" customWidth="1"/>
    <col min="387" max="387" width="42" bestFit="1" customWidth="1"/>
    <col min="388" max="388" width="46.296875" bestFit="1" customWidth="1"/>
    <col min="389" max="389" width="46.796875" bestFit="1" customWidth="1"/>
    <col min="390" max="390" width="21.8984375" bestFit="1" customWidth="1"/>
    <col min="391" max="391" width="23.296875" bestFit="1" customWidth="1"/>
    <col min="392" max="392" width="25.5" bestFit="1" customWidth="1"/>
    <col min="393" max="393" width="29.8984375" bestFit="1" customWidth="1"/>
    <col min="394" max="394" width="30.3984375" bestFit="1" customWidth="1"/>
    <col min="395" max="395" width="38.3984375" bestFit="1" customWidth="1"/>
    <col min="396" max="396" width="39.8984375" bestFit="1" customWidth="1"/>
    <col min="397" max="397" width="42" bestFit="1" customWidth="1"/>
    <col min="398" max="398" width="46.296875" bestFit="1" customWidth="1"/>
    <col min="399" max="399" width="46.796875" bestFit="1" customWidth="1"/>
    <col min="400" max="400" width="38.3984375" bestFit="1" customWidth="1"/>
    <col min="401" max="401" width="39.8984375" bestFit="1" customWidth="1"/>
    <col min="402" max="402" width="42" bestFit="1" customWidth="1"/>
    <col min="403" max="403" width="46.296875" bestFit="1" customWidth="1"/>
    <col min="404" max="404" width="46.796875" bestFit="1" customWidth="1"/>
    <col min="405" max="405" width="21.8984375" bestFit="1" customWidth="1"/>
    <col min="406" max="406" width="23.296875" bestFit="1" customWidth="1"/>
    <col min="407" max="407" width="25.5" bestFit="1" customWidth="1"/>
    <col min="408" max="408" width="29.8984375" bestFit="1" customWidth="1"/>
    <col min="409" max="409" width="30.3984375" bestFit="1" customWidth="1"/>
    <col min="410" max="410" width="26.8984375" bestFit="1" customWidth="1"/>
    <col min="411" max="411" width="28.5" bestFit="1" customWidth="1"/>
    <col min="412" max="412" width="30.59765625" bestFit="1" customWidth="1"/>
    <col min="413" max="413" width="35" bestFit="1" customWidth="1"/>
    <col min="414" max="414" width="35.5" bestFit="1" customWidth="1"/>
    <col min="415" max="415" width="26.8984375" bestFit="1" customWidth="1"/>
    <col min="416" max="416" width="28.5" bestFit="1" customWidth="1"/>
    <col min="417" max="417" width="30.59765625" bestFit="1" customWidth="1"/>
    <col min="418" max="418" width="35" bestFit="1" customWidth="1"/>
    <col min="419" max="419" width="35.5" bestFit="1" customWidth="1"/>
    <col min="420" max="420" width="21.8984375" bestFit="1" customWidth="1"/>
    <col min="421" max="421" width="23.296875" bestFit="1" customWidth="1"/>
    <col min="422" max="422" width="25.5" bestFit="1" customWidth="1"/>
    <col min="423" max="423" width="29.8984375" bestFit="1" customWidth="1"/>
    <col min="424" max="424" width="30.3984375" bestFit="1" customWidth="1"/>
    <col min="425" max="425" width="38.3984375" bestFit="1" customWidth="1"/>
    <col min="426" max="426" width="39.8984375" bestFit="1" customWidth="1"/>
    <col min="427" max="427" width="42" bestFit="1" customWidth="1"/>
    <col min="428" max="428" width="46.296875" bestFit="1" customWidth="1"/>
    <col min="429" max="429" width="46.796875" bestFit="1" customWidth="1"/>
    <col min="430" max="430" width="38.3984375" bestFit="1" customWidth="1"/>
    <col min="431" max="431" width="39.8984375" bestFit="1" customWidth="1"/>
    <col min="432" max="432" width="42" bestFit="1" customWidth="1"/>
    <col min="433" max="433" width="46.296875" bestFit="1" customWidth="1"/>
    <col min="434" max="434" width="46.796875" bestFit="1" customWidth="1"/>
    <col min="435" max="435" width="21.8984375" bestFit="1" customWidth="1"/>
    <col min="436" max="436" width="23.296875" bestFit="1" customWidth="1"/>
    <col min="437" max="437" width="25.5" bestFit="1" customWidth="1"/>
    <col min="438" max="438" width="29.8984375" bestFit="1" customWidth="1"/>
    <col min="439" max="439" width="30.3984375" bestFit="1" customWidth="1"/>
    <col min="440" max="440" width="38.3984375" bestFit="1" customWidth="1"/>
    <col min="441" max="441" width="39.8984375" bestFit="1" customWidth="1"/>
    <col min="442" max="442" width="42" bestFit="1" customWidth="1"/>
    <col min="443" max="443" width="46.296875" bestFit="1" customWidth="1"/>
    <col min="444" max="444" width="46.796875" bestFit="1" customWidth="1"/>
    <col min="445" max="445" width="38.3984375" bestFit="1" customWidth="1"/>
    <col min="446" max="446" width="39.8984375" bestFit="1" customWidth="1"/>
    <col min="447" max="447" width="42" bestFit="1" customWidth="1"/>
    <col min="448" max="448" width="46.296875" bestFit="1" customWidth="1"/>
    <col min="449" max="449" width="46.796875" bestFit="1" customWidth="1"/>
    <col min="450" max="450" width="21.8984375" bestFit="1" customWidth="1"/>
    <col min="451" max="451" width="23.296875" bestFit="1" customWidth="1"/>
    <col min="452" max="452" width="25.5" bestFit="1" customWidth="1"/>
    <col min="453" max="453" width="29.8984375" bestFit="1" customWidth="1"/>
    <col min="454" max="454" width="30.3984375" bestFit="1" customWidth="1"/>
    <col min="455" max="455" width="38.3984375" bestFit="1" customWidth="1"/>
    <col min="456" max="456" width="39.8984375" bestFit="1" customWidth="1"/>
    <col min="457" max="457" width="42" bestFit="1" customWidth="1"/>
    <col min="458" max="458" width="46.296875" bestFit="1" customWidth="1"/>
    <col min="459" max="459" width="46.796875" bestFit="1" customWidth="1"/>
    <col min="460" max="460" width="38.3984375" bestFit="1" customWidth="1"/>
    <col min="461" max="461" width="39.8984375" bestFit="1" customWidth="1"/>
    <col min="462" max="462" width="42" bestFit="1" customWidth="1"/>
    <col min="463" max="463" width="46.296875" bestFit="1" customWidth="1"/>
    <col min="464" max="464" width="46.796875" bestFit="1" customWidth="1"/>
    <col min="465" max="465" width="21.8984375" bestFit="1" customWidth="1"/>
    <col min="466" max="466" width="23.296875" bestFit="1" customWidth="1"/>
    <col min="467" max="467" width="25.5" bestFit="1" customWidth="1"/>
    <col min="468" max="468" width="29.8984375" bestFit="1" customWidth="1"/>
    <col min="469" max="469" width="30.3984375" bestFit="1" customWidth="1"/>
    <col min="470" max="470" width="38.3984375" bestFit="1" customWidth="1"/>
    <col min="471" max="471" width="39.8984375" bestFit="1" customWidth="1"/>
    <col min="472" max="472" width="42" bestFit="1" customWidth="1"/>
    <col min="473" max="473" width="46.296875" bestFit="1" customWidth="1"/>
    <col min="474" max="474" width="46.796875" bestFit="1" customWidth="1"/>
    <col min="475" max="475" width="38.3984375" bestFit="1" customWidth="1"/>
    <col min="476" max="476" width="39.8984375" bestFit="1" customWidth="1"/>
    <col min="477" max="477" width="42" bestFit="1" customWidth="1"/>
    <col min="478" max="478" width="46.296875" bestFit="1" customWidth="1"/>
    <col min="479" max="479" width="46.796875" bestFit="1" customWidth="1"/>
    <col min="480" max="480" width="21.8984375" bestFit="1" customWidth="1"/>
    <col min="481" max="481" width="23.296875" bestFit="1" customWidth="1"/>
    <col min="482" max="482" width="25.5" bestFit="1" customWidth="1"/>
    <col min="483" max="483" width="29.8984375" bestFit="1" customWidth="1"/>
    <col min="484" max="484" width="30.3984375" bestFit="1" customWidth="1"/>
    <col min="485" max="485" width="26.8984375" bestFit="1" customWidth="1"/>
    <col min="486" max="486" width="28.5" bestFit="1" customWidth="1"/>
    <col min="487" max="487" width="30.59765625" bestFit="1" customWidth="1"/>
    <col min="488" max="488" width="35" bestFit="1" customWidth="1"/>
    <col min="489" max="489" width="35.5" bestFit="1" customWidth="1"/>
    <col min="490" max="490" width="26.8984375" bestFit="1" customWidth="1"/>
    <col min="491" max="491" width="28.5" bestFit="1" customWidth="1"/>
    <col min="492" max="492" width="30.59765625" bestFit="1" customWidth="1"/>
    <col min="493" max="493" width="35" bestFit="1" customWidth="1"/>
    <col min="494" max="494" width="35.5" bestFit="1" customWidth="1"/>
    <col min="495" max="495" width="21.8984375" bestFit="1" customWidth="1"/>
    <col min="496" max="496" width="23.296875" bestFit="1" customWidth="1"/>
    <col min="497" max="497" width="25.5" bestFit="1" customWidth="1"/>
    <col min="498" max="498" width="29.8984375" bestFit="1" customWidth="1"/>
    <col min="499" max="499" width="30.3984375" bestFit="1" customWidth="1"/>
    <col min="500" max="500" width="38.3984375" bestFit="1" customWidth="1"/>
    <col min="501" max="501" width="39.8984375" bestFit="1" customWidth="1"/>
    <col min="502" max="502" width="42" bestFit="1" customWidth="1"/>
    <col min="503" max="503" width="46.296875" bestFit="1" customWidth="1"/>
    <col min="504" max="504" width="46.796875" bestFit="1" customWidth="1"/>
    <col min="505" max="505" width="38.3984375" bestFit="1" customWidth="1"/>
    <col min="506" max="506" width="39.8984375" bestFit="1" customWidth="1"/>
    <col min="507" max="507" width="42" bestFit="1" customWidth="1"/>
    <col min="508" max="508" width="46.296875" bestFit="1" customWidth="1"/>
    <col min="509" max="509" width="46.796875" bestFit="1" customWidth="1"/>
    <col min="510" max="510" width="21.8984375" bestFit="1" customWidth="1"/>
    <col min="511" max="511" width="23.296875" bestFit="1" customWidth="1"/>
    <col min="512" max="512" width="25.5" bestFit="1" customWidth="1"/>
    <col min="513" max="513" width="29.8984375" bestFit="1" customWidth="1"/>
    <col min="514" max="514" width="30.3984375" bestFit="1" customWidth="1"/>
    <col min="515" max="515" width="38.3984375" bestFit="1" customWidth="1"/>
    <col min="516" max="516" width="39.8984375" bestFit="1" customWidth="1"/>
    <col min="517" max="517" width="42" bestFit="1" customWidth="1"/>
    <col min="518" max="518" width="46.296875" bestFit="1" customWidth="1"/>
    <col min="519" max="519" width="46.796875" bestFit="1" customWidth="1"/>
    <col min="520" max="520" width="38.3984375" bestFit="1" customWidth="1"/>
    <col min="521" max="521" width="39.8984375" bestFit="1" customWidth="1"/>
    <col min="522" max="522" width="42" bestFit="1" customWidth="1"/>
    <col min="523" max="523" width="46.296875" bestFit="1" customWidth="1"/>
    <col min="524" max="524" width="46.796875" bestFit="1" customWidth="1"/>
    <col min="525" max="525" width="21.8984375" bestFit="1" customWidth="1"/>
    <col min="526" max="526" width="23.296875" bestFit="1" customWidth="1"/>
    <col min="527" max="527" width="25.5" bestFit="1" customWidth="1"/>
    <col min="528" max="528" width="29.8984375" bestFit="1" customWidth="1"/>
    <col min="529" max="529" width="30.3984375" bestFit="1" customWidth="1"/>
    <col min="530" max="530" width="38.3984375" bestFit="1" customWidth="1"/>
    <col min="531" max="531" width="39.8984375" bestFit="1" customWidth="1"/>
    <col min="532" max="532" width="42" bestFit="1" customWidth="1"/>
    <col min="533" max="533" width="46.296875" bestFit="1" customWidth="1"/>
    <col min="534" max="534" width="46.796875" bestFit="1" customWidth="1"/>
    <col min="535" max="535" width="38.3984375" bestFit="1" customWidth="1"/>
    <col min="536" max="536" width="39.8984375" bestFit="1" customWidth="1"/>
    <col min="537" max="537" width="42" bestFit="1" customWidth="1"/>
    <col min="538" max="538" width="46.296875" bestFit="1" customWidth="1"/>
    <col min="539" max="539" width="46.796875" bestFit="1" customWidth="1"/>
    <col min="540" max="540" width="21.8984375" bestFit="1" customWidth="1"/>
    <col min="541" max="541" width="23.296875" bestFit="1" customWidth="1"/>
    <col min="542" max="542" width="25.5" bestFit="1" customWidth="1"/>
    <col min="543" max="543" width="29.8984375" bestFit="1" customWidth="1"/>
    <col min="544" max="544" width="30.3984375" bestFit="1" customWidth="1"/>
    <col min="545" max="545" width="38.3984375" bestFit="1" customWidth="1"/>
    <col min="546" max="546" width="39.8984375" bestFit="1" customWidth="1"/>
    <col min="547" max="547" width="42" bestFit="1" customWidth="1"/>
    <col min="548" max="548" width="46.296875" bestFit="1" customWidth="1"/>
    <col min="549" max="549" width="46.796875" bestFit="1" customWidth="1"/>
    <col min="550" max="550" width="38.3984375" bestFit="1" customWidth="1"/>
    <col min="551" max="551" width="39.8984375" bestFit="1" customWidth="1"/>
    <col min="552" max="552" width="42" bestFit="1" customWidth="1"/>
    <col min="553" max="553" width="46.296875" bestFit="1" customWidth="1"/>
    <col min="554" max="554" width="46.796875" bestFit="1" customWidth="1"/>
    <col min="555" max="555" width="21.8984375" bestFit="1" customWidth="1"/>
    <col min="556" max="556" width="23.296875" bestFit="1" customWidth="1"/>
    <col min="557" max="557" width="25.5" bestFit="1" customWidth="1"/>
    <col min="558" max="558" width="29.8984375" bestFit="1" customWidth="1"/>
    <col min="559" max="559" width="30.3984375" bestFit="1" customWidth="1"/>
    <col min="560" max="560" width="38.3984375" bestFit="1" customWidth="1"/>
    <col min="561" max="561" width="39.8984375" bestFit="1" customWidth="1"/>
    <col min="562" max="562" width="42" bestFit="1" customWidth="1"/>
    <col min="563" max="563" width="46.296875" bestFit="1" customWidth="1"/>
    <col min="564" max="564" width="46.796875" bestFit="1" customWidth="1"/>
    <col min="565" max="565" width="38.3984375" bestFit="1" customWidth="1"/>
    <col min="566" max="566" width="39.8984375" bestFit="1" customWidth="1"/>
    <col min="567" max="567" width="42" bestFit="1" customWidth="1"/>
    <col min="568" max="568" width="46.296875" bestFit="1" customWidth="1"/>
    <col min="569" max="569" width="46.796875" bestFit="1" customWidth="1"/>
    <col min="570" max="570" width="21.8984375" bestFit="1" customWidth="1"/>
    <col min="571" max="571" width="23.296875" bestFit="1" customWidth="1"/>
    <col min="572" max="572" width="25.5" bestFit="1" customWidth="1"/>
    <col min="573" max="573" width="29.8984375" bestFit="1" customWidth="1"/>
    <col min="574" max="574" width="30.3984375" bestFit="1" customWidth="1"/>
    <col min="575" max="575" width="38.3984375" bestFit="1" customWidth="1"/>
    <col min="576" max="576" width="39.8984375" bestFit="1" customWidth="1"/>
    <col min="577" max="577" width="42" bestFit="1" customWidth="1"/>
    <col min="578" max="578" width="46.296875" bestFit="1" customWidth="1"/>
    <col min="579" max="579" width="46.796875" bestFit="1" customWidth="1"/>
    <col min="580" max="580" width="21.8984375" bestFit="1" customWidth="1"/>
    <col min="581" max="581" width="23.296875" bestFit="1" customWidth="1"/>
    <col min="582" max="582" width="25.5" bestFit="1" customWidth="1"/>
    <col min="583" max="583" width="29.8984375" bestFit="1" customWidth="1"/>
    <col min="584" max="584" width="30.3984375" bestFit="1" customWidth="1"/>
    <col min="585" max="585" width="21.8984375" bestFit="1" customWidth="1"/>
    <col min="586" max="586" width="23.296875" bestFit="1" customWidth="1"/>
    <col min="587" max="587" width="25.5" bestFit="1" customWidth="1"/>
    <col min="588" max="588" width="29.8984375" bestFit="1" customWidth="1"/>
    <col min="589" max="589" width="30.3984375" bestFit="1" customWidth="1"/>
    <col min="590" max="590" width="21.8984375" bestFit="1" customWidth="1"/>
    <col min="591" max="591" width="23.296875" bestFit="1" customWidth="1"/>
    <col min="592" max="592" width="25.5" bestFit="1" customWidth="1"/>
    <col min="593" max="593" width="29.8984375" bestFit="1" customWidth="1"/>
    <col min="594" max="594" width="30.3984375" bestFit="1" customWidth="1"/>
    <col min="595" max="595" width="38.3984375" bestFit="1" customWidth="1"/>
    <col min="596" max="596" width="39.8984375" bestFit="1" customWidth="1"/>
    <col min="597" max="597" width="42" bestFit="1" customWidth="1"/>
    <col min="598" max="598" width="46.296875" bestFit="1" customWidth="1"/>
    <col min="599" max="599" width="46.796875" bestFit="1" customWidth="1"/>
    <col min="600" max="600" width="38.3984375" bestFit="1" customWidth="1"/>
    <col min="601" max="601" width="39.8984375" bestFit="1" customWidth="1"/>
    <col min="602" max="602" width="42" bestFit="1" customWidth="1"/>
    <col min="603" max="603" width="46.296875" bestFit="1" customWidth="1"/>
    <col min="604" max="604" width="46.796875" bestFit="1" customWidth="1"/>
    <col min="605" max="605" width="21.8984375" bestFit="1" customWidth="1"/>
    <col min="606" max="606" width="23.296875" bestFit="1" customWidth="1"/>
    <col min="607" max="607" width="25.5" bestFit="1" customWidth="1"/>
    <col min="608" max="608" width="29.8984375" bestFit="1" customWidth="1"/>
    <col min="609" max="609" width="30.3984375" bestFit="1" customWidth="1"/>
    <col min="610" max="610" width="21.8984375" bestFit="1" customWidth="1"/>
    <col min="611" max="611" width="23.296875" bestFit="1" customWidth="1"/>
    <col min="612" max="612" width="25.5" bestFit="1" customWidth="1"/>
    <col min="613" max="613" width="29.8984375" bestFit="1" customWidth="1"/>
    <col min="614" max="614" width="30.3984375" bestFit="1" customWidth="1"/>
    <col min="615" max="615" width="26.8984375" bestFit="1" customWidth="1"/>
    <col min="616" max="616" width="28.5" bestFit="1" customWidth="1"/>
    <col min="617" max="617" width="30.59765625" bestFit="1" customWidth="1"/>
    <col min="618" max="618" width="35" bestFit="1" customWidth="1"/>
    <col min="619" max="619" width="35.5" bestFit="1" customWidth="1"/>
    <col min="620" max="620" width="26.8984375" bestFit="1" customWidth="1"/>
    <col min="621" max="621" width="28.5" bestFit="1" customWidth="1"/>
    <col min="622" max="622" width="30.59765625" bestFit="1" customWidth="1"/>
    <col min="623" max="623" width="35" bestFit="1" customWidth="1"/>
    <col min="624" max="624" width="35.5" bestFit="1" customWidth="1"/>
    <col min="625" max="625" width="21.8984375" bestFit="1" customWidth="1"/>
    <col min="626" max="626" width="23.296875" bestFit="1" customWidth="1"/>
    <col min="627" max="627" width="25.5" bestFit="1" customWidth="1"/>
    <col min="628" max="628" width="29.8984375" bestFit="1" customWidth="1"/>
    <col min="629" max="629" width="30.3984375" bestFit="1" customWidth="1"/>
    <col min="630" max="630" width="21.8984375" bestFit="1" customWidth="1"/>
    <col min="631" max="631" width="23.296875" bestFit="1" customWidth="1"/>
    <col min="632" max="632" width="25.5" bestFit="1" customWidth="1"/>
    <col min="633" max="633" width="29.8984375" bestFit="1" customWidth="1"/>
    <col min="634" max="634" width="30.3984375" bestFit="1" customWidth="1"/>
    <col min="635" max="635" width="38.3984375" bestFit="1" customWidth="1"/>
    <col min="636" max="636" width="39.8984375" bestFit="1" customWidth="1"/>
    <col min="637" max="637" width="42" bestFit="1" customWidth="1"/>
    <col min="638" max="638" width="46.296875" bestFit="1" customWidth="1"/>
    <col min="639" max="639" width="46.796875" bestFit="1" customWidth="1"/>
    <col min="640" max="640" width="38.3984375" bestFit="1" customWidth="1"/>
    <col min="641" max="641" width="39.8984375" bestFit="1" customWidth="1"/>
    <col min="642" max="642" width="42" bestFit="1" customWidth="1"/>
    <col min="643" max="643" width="46.296875" bestFit="1" customWidth="1"/>
    <col min="644" max="644" width="46.796875" bestFit="1" customWidth="1"/>
    <col min="645" max="645" width="21.8984375" bestFit="1" customWidth="1"/>
    <col min="646" max="646" width="23.296875" bestFit="1" customWidth="1"/>
    <col min="647" max="647" width="25.5" bestFit="1" customWidth="1"/>
    <col min="648" max="648" width="29.8984375" bestFit="1" customWidth="1"/>
    <col min="649" max="649" width="30.3984375" bestFit="1" customWidth="1"/>
    <col min="650" max="650" width="38.3984375" bestFit="1" customWidth="1"/>
    <col min="651" max="651" width="39.8984375" bestFit="1" customWidth="1"/>
    <col min="652" max="652" width="42" bestFit="1" customWidth="1"/>
    <col min="653" max="653" width="46.296875" bestFit="1" customWidth="1"/>
    <col min="654" max="654" width="46.796875" bestFit="1" customWidth="1"/>
    <col min="655" max="655" width="38.3984375" bestFit="1" customWidth="1"/>
    <col min="656" max="656" width="39.8984375" bestFit="1" customWidth="1"/>
    <col min="657" max="657" width="42" bestFit="1" customWidth="1"/>
    <col min="658" max="658" width="46.296875" bestFit="1" customWidth="1"/>
    <col min="659" max="659" width="46.796875" bestFit="1" customWidth="1"/>
    <col min="660" max="660" width="21.8984375" bestFit="1" customWidth="1"/>
    <col min="661" max="661" width="23.296875" bestFit="1" customWidth="1"/>
    <col min="662" max="662" width="25.5" bestFit="1" customWidth="1"/>
    <col min="663" max="663" width="29.8984375" bestFit="1" customWidth="1"/>
    <col min="664" max="664" width="30.3984375" bestFit="1" customWidth="1"/>
    <col min="665" max="665" width="38.3984375" bestFit="1" customWidth="1"/>
    <col min="666" max="666" width="39.8984375" bestFit="1" customWidth="1"/>
    <col min="667" max="667" width="42" bestFit="1" customWidth="1"/>
    <col min="668" max="668" width="46.296875" bestFit="1" customWidth="1"/>
    <col min="669" max="669" width="46.796875" bestFit="1" customWidth="1"/>
    <col min="670" max="670" width="38.3984375" bestFit="1" customWidth="1"/>
    <col min="671" max="671" width="39.8984375" bestFit="1" customWidth="1"/>
    <col min="672" max="672" width="42" bestFit="1" customWidth="1"/>
    <col min="673" max="673" width="46.296875" bestFit="1" customWidth="1"/>
    <col min="674" max="674" width="46.796875" bestFit="1" customWidth="1"/>
    <col min="675" max="675" width="21.8984375" bestFit="1" customWidth="1"/>
    <col min="676" max="676" width="23.296875" bestFit="1" customWidth="1"/>
    <col min="677" max="677" width="25.5" bestFit="1" customWidth="1"/>
    <col min="678" max="678" width="29.8984375" bestFit="1" customWidth="1"/>
    <col min="679" max="679" width="30.3984375" bestFit="1" customWidth="1"/>
    <col min="680" max="680" width="21.8984375" bestFit="1" customWidth="1"/>
    <col min="681" max="681" width="23.296875" bestFit="1" customWidth="1"/>
    <col min="682" max="682" width="25.5" bestFit="1" customWidth="1"/>
    <col min="683" max="683" width="29.8984375" bestFit="1" customWidth="1"/>
    <col min="684" max="684" width="30.3984375" bestFit="1" customWidth="1"/>
    <col min="685" max="685" width="38.3984375" bestFit="1" customWidth="1"/>
    <col min="686" max="686" width="39.8984375" bestFit="1" customWidth="1"/>
    <col min="687" max="687" width="42" bestFit="1" customWidth="1"/>
    <col min="688" max="688" width="46.296875" bestFit="1" customWidth="1"/>
    <col min="689" max="689" width="46.796875" bestFit="1" customWidth="1"/>
    <col min="690" max="690" width="38.3984375" bestFit="1" customWidth="1"/>
    <col min="691" max="691" width="39.8984375" bestFit="1" customWidth="1"/>
    <col min="692" max="692" width="42" bestFit="1" customWidth="1"/>
    <col min="693" max="693" width="46.296875" bestFit="1" customWidth="1"/>
    <col min="694" max="694" width="46.796875" bestFit="1" customWidth="1"/>
    <col min="695" max="695" width="21.8984375" bestFit="1" customWidth="1"/>
    <col min="696" max="696" width="23.296875" bestFit="1" customWidth="1"/>
    <col min="697" max="697" width="25.5" bestFit="1" customWidth="1"/>
    <col min="698" max="698" width="29.8984375" bestFit="1" customWidth="1"/>
    <col min="699" max="699" width="30.3984375" bestFit="1" customWidth="1"/>
    <col min="700" max="700" width="38.3984375" bestFit="1" customWidth="1"/>
    <col min="701" max="701" width="39.8984375" bestFit="1" customWidth="1"/>
    <col min="702" max="702" width="42" bestFit="1" customWidth="1"/>
    <col min="703" max="703" width="46.296875" bestFit="1" customWidth="1"/>
    <col min="704" max="704" width="46.796875" bestFit="1" customWidth="1"/>
    <col min="705" max="705" width="38.3984375" bestFit="1" customWidth="1"/>
    <col min="706" max="706" width="39.8984375" bestFit="1" customWidth="1"/>
    <col min="707" max="707" width="42" bestFit="1" customWidth="1"/>
    <col min="708" max="708" width="46.296875" bestFit="1" customWidth="1"/>
    <col min="709" max="709" width="46.796875" bestFit="1" customWidth="1"/>
    <col min="710" max="710" width="21.8984375" bestFit="1" customWidth="1"/>
    <col min="711" max="711" width="23.296875" bestFit="1" customWidth="1"/>
    <col min="712" max="712" width="25.5" bestFit="1" customWidth="1"/>
    <col min="713" max="713" width="29.8984375" bestFit="1" customWidth="1"/>
    <col min="714" max="714" width="30.3984375" bestFit="1" customWidth="1"/>
    <col min="715" max="715" width="38.3984375" bestFit="1" customWidth="1"/>
    <col min="716" max="716" width="39.8984375" bestFit="1" customWidth="1"/>
    <col min="717" max="717" width="42" bestFit="1" customWidth="1"/>
    <col min="718" max="718" width="46.296875" bestFit="1" customWidth="1"/>
    <col min="719" max="719" width="46.796875" bestFit="1" customWidth="1"/>
    <col min="720" max="720" width="38.3984375" bestFit="1" customWidth="1"/>
    <col min="721" max="721" width="39.8984375" bestFit="1" customWidth="1"/>
    <col min="722" max="722" width="42" bestFit="1" customWidth="1"/>
    <col min="723" max="723" width="46.296875" bestFit="1" customWidth="1"/>
    <col min="724" max="724" width="46.796875" bestFit="1" customWidth="1"/>
    <col min="725" max="725" width="21.8984375" bestFit="1" customWidth="1"/>
    <col min="726" max="726" width="23.296875" bestFit="1" customWidth="1"/>
    <col min="727" max="727" width="25.5" bestFit="1" customWidth="1"/>
    <col min="728" max="728" width="29.8984375" bestFit="1" customWidth="1"/>
    <col min="729" max="729" width="30.3984375" bestFit="1" customWidth="1"/>
    <col min="730" max="730" width="38.3984375" bestFit="1" customWidth="1"/>
    <col min="731" max="731" width="39.8984375" bestFit="1" customWidth="1"/>
    <col min="732" max="732" width="42" bestFit="1" customWidth="1"/>
    <col min="733" max="733" width="46.296875" bestFit="1" customWidth="1"/>
    <col min="734" max="734" width="46.796875" bestFit="1" customWidth="1"/>
    <col min="735" max="735" width="38.3984375" bestFit="1" customWidth="1"/>
    <col min="736" max="736" width="39.8984375" bestFit="1" customWidth="1"/>
    <col min="737" max="737" width="42" bestFit="1" customWidth="1"/>
    <col min="738" max="738" width="46.296875" bestFit="1" customWidth="1"/>
    <col min="739" max="739" width="46.796875" bestFit="1" customWidth="1"/>
    <col min="740" max="740" width="21.8984375" bestFit="1" customWidth="1"/>
    <col min="741" max="741" width="23.296875" bestFit="1" customWidth="1"/>
    <col min="742" max="742" width="25.5" bestFit="1" customWidth="1"/>
    <col min="743" max="743" width="29.8984375" bestFit="1" customWidth="1"/>
    <col min="744" max="744" width="30.3984375" bestFit="1" customWidth="1"/>
    <col min="745" max="745" width="21.8984375" bestFit="1" customWidth="1"/>
    <col min="746" max="746" width="23.296875" bestFit="1" customWidth="1"/>
    <col min="747" max="747" width="25.5" bestFit="1" customWidth="1"/>
    <col min="748" max="748" width="29.8984375" bestFit="1" customWidth="1"/>
    <col min="749" max="749" width="30.3984375" bestFit="1" customWidth="1"/>
    <col min="750" max="750" width="38.3984375" bestFit="1" customWidth="1"/>
    <col min="751" max="751" width="39.8984375" bestFit="1" customWidth="1"/>
    <col min="752" max="752" width="42" bestFit="1" customWidth="1"/>
    <col min="753" max="753" width="46.296875" bestFit="1" customWidth="1"/>
    <col min="754" max="754" width="46.796875" bestFit="1" customWidth="1"/>
    <col min="755" max="755" width="38.3984375" bestFit="1" customWidth="1"/>
    <col min="756" max="756" width="39.8984375" bestFit="1" customWidth="1"/>
    <col min="757" max="757" width="42" bestFit="1" customWidth="1"/>
    <col min="758" max="758" width="46.296875" bestFit="1" customWidth="1"/>
    <col min="759" max="759" width="46.796875" bestFit="1" customWidth="1"/>
    <col min="760" max="760" width="21.8984375" bestFit="1" customWidth="1"/>
    <col min="761" max="761" width="23.296875" bestFit="1" customWidth="1"/>
    <col min="762" max="762" width="25.5" bestFit="1" customWidth="1"/>
    <col min="763" max="763" width="29.8984375" bestFit="1" customWidth="1"/>
    <col min="764" max="764" width="30.3984375" bestFit="1" customWidth="1"/>
    <col min="765" max="765" width="38.3984375" bestFit="1" customWidth="1"/>
    <col min="766" max="766" width="39.8984375" bestFit="1" customWidth="1"/>
    <col min="767" max="767" width="42" bestFit="1" customWidth="1"/>
    <col min="768" max="768" width="46.296875" bestFit="1" customWidth="1"/>
    <col min="769" max="769" width="46.796875" bestFit="1" customWidth="1"/>
    <col min="770" max="770" width="38.3984375" bestFit="1" customWidth="1"/>
    <col min="771" max="771" width="39.8984375" bestFit="1" customWidth="1"/>
    <col min="772" max="772" width="42" bestFit="1" customWidth="1"/>
    <col min="773" max="773" width="46.296875" bestFit="1" customWidth="1"/>
    <col min="774" max="774" width="46.796875" bestFit="1" customWidth="1"/>
    <col min="775" max="775" width="21.8984375" bestFit="1" customWidth="1"/>
    <col min="776" max="776" width="23.296875" bestFit="1" customWidth="1"/>
    <col min="777" max="777" width="25.5" bestFit="1" customWidth="1"/>
    <col min="778" max="778" width="29.8984375" bestFit="1" customWidth="1"/>
    <col min="779" max="779" width="30.3984375" bestFit="1" customWidth="1"/>
    <col min="780" max="780" width="38.3984375" bestFit="1" customWidth="1"/>
    <col min="781" max="781" width="39.8984375" bestFit="1" customWidth="1"/>
    <col min="782" max="782" width="42" bestFit="1" customWidth="1"/>
    <col min="783" max="783" width="46.296875" bestFit="1" customWidth="1"/>
    <col min="784" max="784" width="46.796875" bestFit="1" customWidth="1"/>
    <col min="785" max="785" width="38.3984375" bestFit="1" customWidth="1"/>
    <col min="786" max="786" width="39.8984375" bestFit="1" customWidth="1"/>
    <col min="787" max="787" width="42" bestFit="1" customWidth="1"/>
    <col min="788" max="788" width="46.296875" bestFit="1" customWidth="1"/>
    <col min="789" max="789" width="46.796875" bestFit="1" customWidth="1"/>
    <col min="790" max="790" width="21.8984375" bestFit="1" customWidth="1"/>
    <col min="791" max="791" width="23.296875" bestFit="1" customWidth="1"/>
    <col min="792" max="792" width="25.5" bestFit="1" customWidth="1"/>
    <col min="793" max="793" width="29.8984375" bestFit="1" customWidth="1"/>
    <col min="794" max="794" width="30.3984375" bestFit="1" customWidth="1"/>
    <col min="795" max="795" width="21.8984375" bestFit="1" customWidth="1"/>
    <col min="796" max="796" width="23.296875" bestFit="1" customWidth="1"/>
    <col min="797" max="797" width="25.5" bestFit="1" customWidth="1"/>
    <col min="798" max="798" width="29.8984375" bestFit="1" customWidth="1"/>
    <col min="799" max="799" width="30.3984375" bestFit="1" customWidth="1"/>
    <col min="800" max="800" width="38.3984375" bestFit="1" customWidth="1"/>
    <col min="801" max="801" width="39.8984375" bestFit="1" customWidth="1"/>
    <col min="802" max="802" width="42" bestFit="1" customWidth="1"/>
    <col min="803" max="803" width="46.296875" bestFit="1" customWidth="1"/>
    <col min="804" max="804" width="46.796875" bestFit="1" customWidth="1"/>
    <col min="805" max="805" width="38.3984375" bestFit="1" customWidth="1"/>
    <col min="806" max="806" width="39.8984375" bestFit="1" customWidth="1"/>
    <col min="807" max="807" width="42" bestFit="1" customWidth="1"/>
    <col min="808" max="808" width="46.296875" bestFit="1" customWidth="1"/>
    <col min="809" max="809" width="46.796875" bestFit="1" customWidth="1"/>
    <col min="810" max="810" width="21.8984375" bestFit="1" customWidth="1"/>
    <col min="811" max="811" width="23.296875" bestFit="1" customWidth="1"/>
    <col min="812" max="812" width="25.5" bestFit="1" customWidth="1"/>
    <col min="813" max="813" width="29.8984375" bestFit="1" customWidth="1"/>
    <col min="814" max="814" width="30.3984375" bestFit="1" customWidth="1"/>
    <col min="815" max="815" width="26.8984375" bestFit="1" customWidth="1"/>
    <col min="816" max="816" width="28.5" bestFit="1" customWidth="1"/>
    <col min="817" max="817" width="30.59765625" bestFit="1" customWidth="1"/>
    <col min="818" max="818" width="35" bestFit="1" customWidth="1"/>
    <col min="819" max="819" width="35.5" bestFit="1" customWidth="1"/>
    <col min="820" max="820" width="26.8984375" bestFit="1" customWidth="1"/>
    <col min="821" max="821" width="28.5" bestFit="1" customWidth="1"/>
    <col min="822" max="822" width="30.59765625" bestFit="1" customWidth="1"/>
    <col min="823" max="823" width="35" bestFit="1" customWidth="1"/>
    <col min="824" max="824" width="35.5" bestFit="1" customWidth="1"/>
    <col min="825" max="825" width="21.8984375" bestFit="1" customWidth="1"/>
    <col min="826" max="826" width="23.296875" bestFit="1" customWidth="1"/>
    <col min="827" max="827" width="25.5" bestFit="1" customWidth="1"/>
    <col min="828" max="828" width="29.8984375" bestFit="1" customWidth="1"/>
    <col min="829" max="829" width="30.3984375" bestFit="1" customWidth="1"/>
    <col min="830" max="830" width="38.3984375" bestFit="1" customWidth="1"/>
    <col min="831" max="831" width="39.8984375" bestFit="1" customWidth="1"/>
    <col min="832" max="832" width="42" bestFit="1" customWidth="1"/>
    <col min="833" max="833" width="46.296875" bestFit="1" customWidth="1"/>
    <col min="834" max="834" width="46.796875" bestFit="1" customWidth="1"/>
    <col min="835" max="835" width="38.3984375" bestFit="1" customWidth="1"/>
    <col min="836" max="836" width="39.8984375" bestFit="1" customWidth="1"/>
    <col min="837" max="837" width="42" bestFit="1" customWidth="1"/>
    <col min="838" max="838" width="46.296875" bestFit="1" customWidth="1"/>
    <col min="839" max="839" width="46.796875" bestFit="1" customWidth="1"/>
    <col min="840" max="840" width="21.8984375" bestFit="1" customWidth="1"/>
    <col min="841" max="841" width="23.296875" bestFit="1" customWidth="1"/>
    <col min="842" max="842" width="25.5" bestFit="1" customWidth="1"/>
    <col min="843" max="843" width="29.8984375" bestFit="1" customWidth="1"/>
    <col min="844" max="844" width="30.3984375" bestFit="1" customWidth="1"/>
    <col min="845" max="845" width="38.3984375" bestFit="1" customWidth="1"/>
    <col min="846" max="846" width="39.8984375" bestFit="1" customWidth="1"/>
    <col min="847" max="847" width="42" bestFit="1" customWidth="1"/>
    <col min="848" max="848" width="46.296875" bestFit="1" customWidth="1"/>
    <col min="849" max="849" width="46.796875" bestFit="1" customWidth="1"/>
    <col min="850" max="850" width="38.3984375" bestFit="1" customWidth="1"/>
    <col min="851" max="851" width="39.8984375" bestFit="1" customWidth="1"/>
    <col min="852" max="852" width="42" bestFit="1" customWidth="1"/>
    <col min="853" max="853" width="46.296875" bestFit="1" customWidth="1"/>
    <col min="854" max="854" width="46.796875" bestFit="1" customWidth="1"/>
    <col min="855" max="855" width="21.8984375" bestFit="1" customWidth="1"/>
    <col min="856" max="856" width="23.296875" bestFit="1" customWidth="1"/>
    <col min="857" max="857" width="25.5" bestFit="1" customWidth="1"/>
    <col min="858" max="858" width="29.8984375" bestFit="1" customWidth="1"/>
    <col min="859" max="859" width="30.3984375" bestFit="1" customWidth="1"/>
    <col min="860" max="860" width="38.3984375" bestFit="1" customWidth="1"/>
    <col min="861" max="861" width="39.8984375" bestFit="1" customWidth="1"/>
    <col min="862" max="862" width="42" bestFit="1" customWidth="1"/>
    <col min="863" max="863" width="46.296875" bestFit="1" customWidth="1"/>
    <col min="864" max="864" width="46.796875" bestFit="1" customWidth="1"/>
    <col min="865" max="865" width="21.8984375" bestFit="1" customWidth="1"/>
    <col min="866" max="866" width="23.296875" bestFit="1" customWidth="1"/>
    <col min="867" max="867" width="25.5" bestFit="1" customWidth="1"/>
    <col min="868" max="868" width="29.8984375" bestFit="1" customWidth="1"/>
    <col min="869" max="869" width="30.3984375" bestFit="1" customWidth="1"/>
    <col min="870" max="870" width="21.8984375" bestFit="1" customWidth="1"/>
    <col min="871" max="871" width="23.296875" bestFit="1" customWidth="1"/>
    <col min="872" max="872" width="25.5" bestFit="1" customWidth="1"/>
    <col min="873" max="873" width="29.8984375" bestFit="1" customWidth="1"/>
    <col min="874" max="874" width="30.3984375" bestFit="1" customWidth="1"/>
    <col min="875" max="875" width="38.3984375" bestFit="1" customWidth="1"/>
    <col min="876" max="876" width="39.8984375" bestFit="1" customWidth="1"/>
    <col min="877" max="877" width="42" bestFit="1" customWidth="1"/>
    <col min="878" max="878" width="46.296875" bestFit="1" customWidth="1"/>
    <col min="879" max="879" width="46.796875" bestFit="1" customWidth="1"/>
    <col min="880" max="880" width="38.3984375" bestFit="1" customWidth="1"/>
    <col min="881" max="881" width="39.8984375" bestFit="1" customWidth="1"/>
    <col min="882" max="882" width="42" bestFit="1" customWidth="1"/>
    <col min="883" max="883" width="46.296875" bestFit="1" customWidth="1"/>
    <col min="884" max="884" width="46.796875" bestFit="1" customWidth="1"/>
    <col min="885" max="885" width="21.8984375" bestFit="1" customWidth="1"/>
    <col min="886" max="886" width="23.296875" bestFit="1" customWidth="1"/>
    <col min="887" max="887" width="25.5" bestFit="1" customWidth="1"/>
    <col min="888" max="888" width="29.8984375" bestFit="1" customWidth="1"/>
    <col min="889" max="889" width="30.3984375" bestFit="1" customWidth="1"/>
    <col min="890" max="890" width="38.3984375" bestFit="1" customWidth="1"/>
    <col min="891" max="891" width="39.8984375" bestFit="1" customWidth="1"/>
    <col min="892" max="892" width="42" bestFit="1" customWidth="1"/>
    <col min="893" max="893" width="46.296875" bestFit="1" customWidth="1"/>
    <col min="894" max="894" width="46.796875" bestFit="1" customWidth="1"/>
    <col min="895" max="895" width="38.3984375" bestFit="1" customWidth="1"/>
    <col min="896" max="896" width="39.8984375" bestFit="1" customWidth="1"/>
    <col min="897" max="897" width="42" bestFit="1" customWidth="1"/>
    <col min="898" max="898" width="46.296875" bestFit="1" customWidth="1"/>
    <col min="899" max="899" width="46.796875" bestFit="1" customWidth="1"/>
    <col min="900" max="900" width="21.8984375" bestFit="1" customWidth="1"/>
    <col min="901" max="901" width="23.296875" bestFit="1" customWidth="1"/>
    <col min="902" max="902" width="25.5" bestFit="1" customWidth="1"/>
    <col min="903" max="903" width="29.8984375" bestFit="1" customWidth="1"/>
    <col min="904" max="904" width="30.3984375" bestFit="1" customWidth="1"/>
    <col min="905" max="905" width="38.3984375" bestFit="1" customWidth="1"/>
    <col min="906" max="906" width="39.8984375" bestFit="1" customWidth="1"/>
    <col min="907" max="907" width="42" bestFit="1" customWidth="1"/>
    <col min="908" max="908" width="46.296875" bestFit="1" customWidth="1"/>
    <col min="909" max="909" width="46.796875" bestFit="1" customWidth="1"/>
    <col min="910" max="910" width="38.3984375" bestFit="1" customWidth="1"/>
    <col min="911" max="911" width="39.8984375" bestFit="1" customWidth="1"/>
    <col min="912" max="912" width="42" bestFit="1" customWidth="1"/>
    <col min="913" max="913" width="46.296875" bestFit="1" customWidth="1"/>
    <col min="914" max="914" width="46.796875" bestFit="1" customWidth="1"/>
    <col min="915" max="915" width="21.8984375" bestFit="1" customWidth="1"/>
    <col min="916" max="916" width="23.296875" bestFit="1" customWidth="1"/>
    <col min="917" max="917" width="25.5" bestFit="1" customWidth="1"/>
    <col min="918" max="918" width="29.8984375" bestFit="1" customWidth="1"/>
    <col min="919" max="919" width="30.3984375" bestFit="1" customWidth="1"/>
    <col min="920" max="920" width="24.296875" bestFit="1" customWidth="1"/>
    <col min="921" max="921" width="25.8984375" bestFit="1" customWidth="1"/>
    <col min="922" max="922" width="28" bestFit="1" customWidth="1"/>
    <col min="923" max="923" width="32.3984375" bestFit="1" customWidth="1"/>
    <col min="924" max="924" width="32.8984375" bestFit="1" customWidth="1"/>
    <col min="925" max="925" width="24.296875" bestFit="1" customWidth="1"/>
    <col min="926" max="926" width="25.8984375" bestFit="1" customWidth="1"/>
    <col min="927" max="927" width="28" bestFit="1" customWidth="1"/>
    <col min="928" max="928" width="32.3984375" bestFit="1" customWidth="1"/>
    <col min="929" max="929" width="32.8984375" bestFit="1" customWidth="1"/>
    <col min="930" max="930" width="21.8984375" bestFit="1" customWidth="1"/>
    <col min="931" max="931" width="23.296875" bestFit="1" customWidth="1"/>
    <col min="932" max="932" width="25.5" bestFit="1" customWidth="1"/>
    <col min="933" max="933" width="29.8984375" bestFit="1" customWidth="1"/>
    <col min="934" max="934" width="30.3984375" bestFit="1" customWidth="1"/>
    <col min="935" max="935" width="21.8984375" bestFit="1" customWidth="1"/>
    <col min="936" max="936" width="23.296875" bestFit="1" customWidth="1"/>
    <col min="937" max="937" width="25.5" bestFit="1" customWidth="1"/>
    <col min="938" max="938" width="29.8984375" bestFit="1" customWidth="1"/>
    <col min="939" max="939" width="30.3984375" bestFit="1" customWidth="1"/>
    <col min="940" max="940" width="38.3984375" bestFit="1" customWidth="1"/>
    <col min="941" max="941" width="39.8984375" bestFit="1" customWidth="1"/>
    <col min="942" max="942" width="42" bestFit="1" customWidth="1"/>
    <col min="943" max="943" width="46.296875" bestFit="1" customWidth="1"/>
    <col min="944" max="944" width="46.796875" bestFit="1" customWidth="1"/>
    <col min="945" max="945" width="38.3984375" bestFit="1" customWidth="1"/>
    <col min="946" max="946" width="39.8984375" bestFit="1" customWidth="1"/>
    <col min="947" max="947" width="42" bestFit="1" customWidth="1"/>
    <col min="948" max="948" width="46.296875" bestFit="1" customWidth="1"/>
    <col min="949" max="949" width="46.796875" bestFit="1" customWidth="1"/>
    <col min="950" max="950" width="21.8984375" bestFit="1" customWidth="1"/>
    <col min="951" max="951" width="23.296875" bestFit="1" customWidth="1"/>
    <col min="952" max="952" width="25.5" bestFit="1" customWidth="1"/>
    <col min="953" max="953" width="29.8984375" bestFit="1" customWidth="1"/>
    <col min="954" max="954" width="30.3984375" bestFit="1" customWidth="1"/>
    <col min="955" max="955" width="38.3984375" bestFit="1" customWidth="1"/>
    <col min="956" max="956" width="39.8984375" bestFit="1" customWidth="1"/>
    <col min="957" max="957" width="42" bestFit="1" customWidth="1"/>
    <col min="958" max="958" width="46.296875" bestFit="1" customWidth="1"/>
    <col min="959" max="959" width="46.796875" bestFit="1" customWidth="1"/>
    <col min="960" max="960" width="38.3984375" bestFit="1" customWidth="1"/>
    <col min="961" max="961" width="39.8984375" bestFit="1" customWidth="1"/>
    <col min="962" max="962" width="42" bestFit="1" customWidth="1"/>
    <col min="963" max="963" width="46.296875" bestFit="1" customWidth="1"/>
    <col min="964" max="964" width="46.796875" bestFit="1" customWidth="1"/>
    <col min="965" max="965" width="21.8984375" bestFit="1" customWidth="1"/>
    <col min="966" max="966" width="23.296875" bestFit="1" customWidth="1"/>
    <col min="967" max="967" width="25.5" bestFit="1" customWidth="1"/>
    <col min="968" max="968" width="29.8984375" bestFit="1" customWidth="1"/>
    <col min="969" max="969" width="30.3984375" bestFit="1" customWidth="1"/>
    <col min="970" max="970" width="38.3984375" bestFit="1" customWidth="1"/>
    <col min="971" max="971" width="39.8984375" bestFit="1" customWidth="1"/>
    <col min="972" max="972" width="42" bestFit="1" customWidth="1"/>
    <col min="973" max="973" width="46.296875" bestFit="1" customWidth="1"/>
    <col min="974" max="974" width="46.796875" bestFit="1" customWidth="1"/>
    <col min="975" max="975" width="38.3984375" bestFit="1" customWidth="1"/>
    <col min="976" max="976" width="39.8984375" bestFit="1" customWidth="1"/>
    <col min="977" max="977" width="42" bestFit="1" customWidth="1"/>
    <col min="978" max="978" width="46.296875" bestFit="1" customWidth="1"/>
    <col min="979" max="979" width="46.796875" bestFit="1" customWidth="1"/>
    <col min="980" max="980" width="21.8984375" bestFit="1" customWidth="1"/>
    <col min="981" max="981" width="23.296875" bestFit="1" customWidth="1"/>
    <col min="982" max="982" width="25.5" bestFit="1" customWidth="1"/>
    <col min="983" max="983" width="29.8984375" bestFit="1" customWidth="1"/>
    <col min="984" max="984" width="30.3984375" bestFit="1" customWidth="1"/>
    <col min="985" max="985" width="38.3984375" bestFit="1" customWidth="1"/>
    <col min="986" max="986" width="39.8984375" bestFit="1" customWidth="1"/>
    <col min="987" max="987" width="42" bestFit="1" customWidth="1"/>
    <col min="988" max="988" width="46.296875" bestFit="1" customWidth="1"/>
    <col min="989" max="989" width="46.796875" bestFit="1" customWidth="1"/>
    <col min="990" max="990" width="38.3984375" bestFit="1" customWidth="1"/>
    <col min="991" max="991" width="39.8984375" bestFit="1" customWidth="1"/>
    <col min="992" max="992" width="42" bestFit="1" customWidth="1"/>
    <col min="993" max="993" width="46.296875" bestFit="1" customWidth="1"/>
    <col min="994" max="994" width="46.796875" bestFit="1" customWidth="1"/>
    <col min="995" max="995" width="21.8984375" bestFit="1" customWidth="1"/>
    <col min="996" max="996" width="23.296875" bestFit="1" customWidth="1"/>
    <col min="997" max="997" width="25.5" bestFit="1" customWidth="1"/>
    <col min="998" max="998" width="29.8984375" bestFit="1" customWidth="1"/>
    <col min="999" max="999" width="30.3984375" bestFit="1" customWidth="1"/>
    <col min="1000" max="1000" width="38.3984375" bestFit="1" customWidth="1"/>
    <col min="1001" max="1001" width="39.8984375" bestFit="1" customWidth="1"/>
    <col min="1002" max="1002" width="42" bestFit="1" customWidth="1"/>
    <col min="1003" max="1003" width="46.296875" bestFit="1" customWidth="1"/>
    <col min="1004" max="1004" width="46.796875" bestFit="1" customWidth="1"/>
    <col min="1005" max="1005" width="38.3984375" bestFit="1" customWidth="1"/>
    <col min="1006" max="1006" width="39.8984375" bestFit="1" customWidth="1"/>
    <col min="1007" max="1007" width="42" bestFit="1" customWidth="1"/>
    <col min="1008" max="1008" width="46.296875" bestFit="1" customWidth="1"/>
    <col min="1009" max="1009" width="46.796875" bestFit="1" customWidth="1"/>
    <col min="1010" max="1010" width="21.8984375" bestFit="1" customWidth="1"/>
    <col min="1011" max="1011" width="23.296875" bestFit="1" customWidth="1"/>
    <col min="1012" max="1012" width="25.5" bestFit="1" customWidth="1"/>
    <col min="1013" max="1013" width="29.8984375" bestFit="1" customWidth="1"/>
    <col min="1014" max="1014" width="30.3984375" bestFit="1" customWidth="1"/>
    <col min="1015" max="1015" width="38.3984375" bestFit="1" customWidth="1"/>
    <col min="1016" max="1016" width="39.8984375" bestFit="1" customWidth="1"/>
    <col min="1017" max="1017" width="42" bestFit="1" customWidth="1"/>
    <col min="1018" max="1018" width="46.296875" bestFit="1" customWidth="1"/>
    <col min="1019" max="1019" width="46.796875" bestFit="1" customWidth="1"/>
    <col min="1020" max="1020" width="38.3984375" bestFit="1" customWidth="1"/>
    <col min="1021" max="1021" width="39.8984375" bestFit="1" customWidth="1"/>
    <col min="1022" max="1022" width="42" bestFit="1" customWidth="1"/>
    <col min="1023" max="1023" width="46.296875" bestFit="1" customWidth="1"/>
    <col min="1024" max="1024" width="46.796875" bestFit="1" customWidth="1"/>
    <col min="1025" max="1025" width="21.8984375" bestFit="1" customWidth="1"/>
    <col min="1026" max="1026" width="23.296875" bestFit="1" customWidth="1"/>
    <col min="1027" max="1027" width="25.5" bestFit="1" customWidth="1"/>
    <col min="1028" max="1028" width="29.8984375" bestFit="1" customWidth="1"/>
    <col min="1029" max="1029" width="30.3984375" bestFit="1" customWidth="1"/>
    <col min="1030" max="1030" width="38.3984375" bestFit="1" customWidth="1"/>
    <col min="1031" max="1031" width="39.8984375" bestFit="1" customWidth="1"/>
    <col min="1032" max="1032" width="42" bestFit="1" customWidth="1"/>
    <col min="1033" max="1033" width="46.296875" bestFit="1" customWidth="1"/>
    <col min="1034" max="1034" width="46.796875" bestFit="1" customWidth="1"/>
    <col min="1035" max="1035" width="38.3984375" bestFit="1" customWidth="1"/>
    <col min="1036" max="1036" width="39.8984375" bestFit="1" customWidth="1"/>
    <col min="1037" max="1037" width="42" bestFit="1" customWidth="1"/>
    <col min="1038" max="1038" width="46.296875" bestFit="1" customWidth="1"/>
    <col min="1039" max="1039" width="46.796875" bestFit="1" customWidth="1"/>
    <col min="1040" max="1040" width="21.8984375" bestFit="1" customWidth="1"/>
    <col min="1041" max="1041" width="23.296875" bestFit="1" customWidth="1"/>
    <col min="1042" max="1042" width="25.5" bestFit="1" customWidth="1"/>
    <col min="1043" max="1043" width="29.8984375" bestFit="1" customWidth="1"/>
    <col min="1044" max="1044" width="30.3984375" bestFit="1" customWidth="1"/>
    <col min="1045" max="1045" width="38.3984375" bestFit="1" customWidth="1"/>
    <col min="1046" max="1046" width="39.8984375" bestFit="1" customWidth="1"/>
    <col min="1047" max="1047" width="42" bestFit="1" customWidth="1"/>
    <col min="1048" max="1048" width="46.296875" bestFit="1" customWidth="1"/>
    <col min="1049" max="1049" width="46.796875" bestFit="1" customWidth="1"/>
    <col min="1050" max="1050" width="38.3984375" bestFit="1" customWidth="1"/>
    <col min="1051" max="1051" width="39.8984375" bestFit="1" customWidth="1"/>
    <col min="1052" max="1052" width="42" bestFit="1" customWidth="1"/>
    <col min="1053" max="1053" width="46.296875" bestFit="1" customWidth="1"/>
    <col min="1054" max="1054" width="46.796875" bestFit="1" customWidth="1"/>
    <col min="1055" max="1055" width="21.8984375" bestFit="1" customWidth="1"/>
    <col min="1056" max="1056" width="23.296875" bestFit="1" customWidth="1"/>
    <col min="1057" max="1057" width="25.5" bestFit="1" customWidth="1"/>
    <col min="1058" max="1058" width="29.8984375" bestFit="1" customWidth="1"/>
    <col min="1059" max="1059" width="30.3984375" bestFit="1" customWidth="1"/>
    <col min="1060" max="1060" width="38.3984375" bestFit="1" customWidth="1"/>
    <col min="1061" max="1061" width="39.8984375" bestFit="1" customWidth="1"/>
    <col min="1062" max="1062" width="42" bestFit="1" customWidth="1"/>
    <col min="1063" max="1063" width="46.296875" bestFit="1" customWidth="1"/>
    <col min="1064" max="1064" width="46.796875" bestFit="1" customWidth="1"/>
    <col min="1065" max="1065" width="38.3984375" bestFit="1" customWidth="1"/>
    <col min="1066" max="1066" width="39.8984375" bestFit="1" customWidth="1"/>
    <col min="1067" max="1067" width="42" bestFit="1" customWidth="1"/>
    <col min="1068" max="1068" width="46.296875" bestFit="1" customWidth="1"/>
    <col min="1069" max="1069" width="46.796875" bestFit="1" customWidth="1"/>
    <col min="1070" max="1070" width="21.8984375" bestFit="1" customWidth="1"/>
    <col min="1071" max="1071" width="23.296875" bestFit="1" customWidth="1"/>
    <col min="1072" max="1072" width="25.5" bestFit="1" customWidth="1"/>
    <col min="1073" max="1073" width="29.8984375" bestFit="1" customWidth="1"/>
    <col min="1074" max="1074" width="30.3984375" bestFit="1" customWidth="1"/>
    <col min="1075" max="1075" width="21.8984375" bestFit="1" customWidth="1"/>
    <col min="1076" max="1076" width="23.296875" bestFit="1" customWidth="1"/>
    <col min="1077" max="1077" width="25.5" bestFit="1" customWidth="1"/>
    <col min="1078" max="1078" width="29.8984375" bestFit="1" customWidth="1"/>
    <col min="1079" max="1079" width="30.3984375" bestFit="1" customWidth="1"/>
    <col min="1080" max="1080" width="21.8984375" bestFit="1" customWidth="1"/>
    <col min="1081" max="1081" width="23.296875" bestFit="1" customWidth="1"/>
    <col min="1082" max="1082" width="25.5" bestFit="1" customWidth="1"/>
    <col min="1083" max="1083" width="29.8984375" bestFit="1" customWidth="1"/>
    <col min="1084" max="1084" width="30.3984375" bestFit="1" customWidth="1"/>
    <col min="1085" max="1085" width="21.8984375" bestFit="1" customWidth="1"/>
    <col min="1086" max="1086" width="23.296875" bestFit="1" customWidth="1"/>
    <col min="1087" max="1087" width="25.5" bestFit="1" customWidth="1"/>
    <col min="1088" max="1088" width="29.8984375" bestFit="1" customWidth="1"/>
    <col min="1089" max="1089" width="30.3984375" bestFit="1" customWidth="1"/>
    <col min="1090" max="1090" width="38.3984375" bestFit="1" customWidth="1"/>
    <col min="1091" max="1091" width="39.8984375" bestFit="1" customWidth="1"/>
    <col min="1092" max="1092" width="42" bestFit="1" customWidth="1"/>
    <col min="1093" max="1093" width="46.296875" bestFit="1" customWidth="1"/>
    <col min="1094" max="1094" width="46.796875" bestFit="1" customWidth="1"/>
    <col min="1095" max="1095" width="38.3984375" bestFit="1" customWidth="1"/>
    <col min="1096" max="1096" width="39.8984375" bestFit="1" customWidth="1"/>
    <col min="1097" max="1097" width="42" bestFit="1" customWidth="1"/>
    <col min="1098" max="1098" width="46.296875" bestFit="1" customWidth="1"/>
    <col min="1099" max="1099" width="46.796875" bestFit="1" customWidth="1"/>
    <col min="1100" max="1100" width="21.8984375" bestFit="1" customWidth="1"/>
    <col min="1101" max="1101" width="23.296875" bestFit="1" customWidth="1"/>
    <col min="1102" max="1102" width="25.5" bestFit="1" customWidth="1"/>
    <col min="1103" max="1103" width="29.8984375" bestFit="1" customWidth="1"/>
    <col min="1104" max="1104" width="30.3984375" bestFit="1" customWidth="1"/>
    <col min="1105" max="1105" width="21.8984375" bestFit="1" customWidth="1"/>
    <col min="1106" max="1106" width="23.296875" bestFit="1" customWidth="1"/>
    <col min="1107" max="1107" width="25.5" bestFit="1" customWidth="1"/>
    <col min="1108" max="1108" width="29.8984375" bestFit="1" customWidth="1"/>
    <col min="1109" max="1109" width="30.3984375" bestFit="1" customWidth="1"/>
    <col min="1110" max="1110" width="38.3984375" bestFit="1" customWidth="1"/>
    <col min="1111" max="1111" width="39.8984375" bestFit="1" customWidth="1"/>
    <col min="1112" max="1112" width="42" bestFit="1" customWidth="1"/>
    <col min="1113" max="1113" width="46.296875" bestFit="1" customWidth="1"/>
    <col min="1114" max="1114" width="46.796875" bestFit="1" customWidth="1"/>
    <col min="1115" max="1115" width="38.3984375" bestFit="1" customWidth="1"/>
    <col min="1116" max="1116" width="39.8984375" bestFit="1" customWidth="1"/>
    <col min="1117" max="1117" width="42" bestFit="1" customWidth="1"/>
    <col min="1118" max="1118" width="46.296875" bestFit="1" customWidth="1"/>
    <col min="1119" max="1119" width="46.796875" bestFit="1" customWidth="1"/>
    <col min="1120" max="1120" width="21.8984375" bestFit="1" customWidth="1"/>
    <col min="1121" max="1121" width="23.296875" bestFit="1" customWidth="1"/>
    <col min="1122" max="1122" width="25.5" bestFit="1" customWidth="1"/>
    <col min="1123" max="1123" width="29.8984375" bestFit="1" customWidth="1"/>
    <col min="1124" max="1124" width="30.3984375" bestFit="1" customWidth="1"/>
    <col min="1125" max="1125" width="26.8984375" bestFit="1" customWidth="1"/>
    <col min="1126" max="1126" width="28.5" bestFit="1" customWidth="1"/>
    <col min="1127" max="1127" width="30.59765625" bestFit="1" customWidth="1"/>
    <col min="1128" max="1128" width="35" bestFit="1" customWidth="1"/>
    <col min="1129" max="1129" width="35.5" bestFit="1" customWidth="1"/>
    <col min="1130" max="1130" width="26.8984375" bestFit="1" customWidth="1"/>
    <col min="1131" max="1131" width="28.5" bestFit="1" customWidth="1"/>
    <col min="1132" max="1132" width="30.59765625" bestFit="1" customWidth="1"/>
    <col min="1133" max="1133" width="35" bestFit="1" customWidth="1"/>
    <col min="1134" max="1134" width="35.5" bestFit="1" customWidth="1"/>
    <col min="1135" max="1135" width="21.8984375" bestFit="1" customWidth="1"/>
    <col min="1136" max="1136" width="23.296875" bestFit="1" customWidth="1"/>
    <col min="1137" max="1137" width="25.5" bestFit="1" customWidth="1"/>
    <col min="1138" max="1138" width="29.8984375" bestFit="1" customWidth="1"/>
    <col min="1139" max="1139" width="30.3984375" bestFit="1" customWidth="1"/>
    <col min="1140" max="1140" width="38.3984375" bestFit="1" customWidth="1"/>
    <col min="1141" max="1141" width="39.8984375" bestFit="1" customWidth="1"/>
    <col min="1142" max="1142" width="42" bestFit="1" customWidth="1"/>
    <col min="1143" max="1143" width="46.296875" bestFit="1" customWidth="1"/>
    <col min="1144" max="1144" width="46.796875" bestFit="1" customWidth="1"/>
    <col min="1145" max="1145" width="38.3984375" bestFit="1" customWidth="1"/>
    <col min="1146" max="1146" width="39.8984375" bestFit="1" customWidth="1"/>
    <col min="1147" max="1147" width="42" bestFit="1" customWidth="1"/>
    <col min="1148" max="1148" width="46.296875" bestFit="1" customWidth="1"/>
    <col min="1149" max="1149" width="46.796875" bestFit="1" customWidth="1"/>
    <col min="1150" max="1150" width="21.8984375" bestFit="1" customWidth="1"/>
    <col min="1151" max="1151" width="23.296875" bestFit="1" customWidth="1"/>
    <col min="1152" max="1152" width="25.5" bestFit="1" customWidth="1"/>
    <col min="1153" max="1153" width="29.8984375" bestFit="1" customWidth="1"/>
    <col min="1154" max="1154" width="30.3984375" bestFit="1" customWidth="1"/>
    <col min="1155" max="1155" width="38.3984375" bestFit="1" customWidth="1"/>
    <col min="1156" max="1156" width="39.8984375" bestFit="1" customWidth="1"/>
    <col min="1157" max="1157" width="42" bestFit="1" customWidth="1"/>
    <col min="1158" max="1158" width="46.296875" bestFit="1" customWidth="1"/>
    <col min="1159" max="1159" width="46.796875" bestFit="1" customWidth="1"/>
    <col min="1160" max="1160" width="38.3984375" bestFit="1" customWidth="1"/>
    <col min="1161" max="1161" width="39.8984375" bestFit="1" customWidth="1"/>
    <col min="1162" max="1162" width="42" bestFit="1" customWidth="1"/>
    <col min="1163" max="1163" width="46.296875" bestFit="1" customWidth="1"/>
    <col min="1164" max="1164" width="46.796875" bestFit="1" customWidth="1"/>
    <col min="1165" max="1165" width="21.8984375" bestFit="1" customWidth="1"/>
    <col min="1166" max="1166" width="23.296875" bestFit="1" customWidth="1"/>
    <col min="1167" max="1167" width="25.5" bestFit="1" customWidth="1"/>
    <col min="1168" max="1168" width="29.8984375" bestFit="1" customWidth="1"/>
    <col min="1169" max="1169" width="30.3984375" bestFit="1" customWidth="1"/>
    <col min="1170" max="1170" width="38.3984375" bestFit="1" customWidth="1"/>
    <col min="1171" max="1171" width="39.8984375" bestFit="1" customWidth="1"/>
    <col min="1172" max="1172" width="42" bestFit="1" customWidth="1"/>
    <col min="1173" max="1173" width="46.296875" bestFit="1" customWidth="1"/>
    <col min="1174" max="1174" width="46.796875" bestFit="1" customWidth="1"/>
    <col min="1175" max="1175" width="21.8984375" bestFit="1" customWidth="1"/>
    <col min="1176" max="1176" width="23.296875" bestFit="1" customWidth="1"/>
    <col min="1177" max="1177" width="25.5" bestFit="1" customWidth="1"/>
    <col min="1178" max="1178" width="29.8984375" bestFit="1" customWidth="1"/>
    <col min="1179" max="1179" width="30.3984375" bestFit="1" customWidth="1"/>
    <col min="1180" max="1180" width="38.3984375" bestFit="1" customWidth="1"/>
    <col min="1181" max="1181" width="39.8984375" bestFit="1" customWidth="1"/>
    <col min="1182" max="1182" width="42" bestFit="1" customWidth="1"/>
    <col min="1183" max="1183" width="46.296875" bestFit="1" customWidth="1"/>
    <col min="1184" max="1184" width="46.796875" bestFit="1" customWidth="1"/>
    <col min="1185" max="1185" width="38.3984375" bestFit="1" customWidth="1"/>
    <col min="1186" max="1186" width="39.8984375" bestFit="1" customWidth="1"/>
    <col min="1187" max="1187" width="42" bestFit="1" customWidth="1"/>
    <col min="1188" max="1188" width="46.296875" bestFit="1" customWidth="1"/>
    <col min="1189" max="1189" width="46.796875" bestFit="1" customWidth="1"/>
    <col min="1190" max="1190" width="21.8984375" bestFit="1" customWidth="1"/>
    <col min="1191" max="1191" width="23.296875" bestFit="1" customWidth="1"/>
    <col min="1192" max="1192" width="25.5" bestFit="1" customWidth="1"/>
    <col min="1193" max="1193" width="29.8984375" bestFit="1" customWidth="1"/>
    <col min="1194" max="1194" width="30.3984375" bestFit="1" customWidth="1"/>
    <col min="1195" max="1195" width="21.8984375" bestFit="1" customWidth="1"/>
    <col min="1196" max="1196" width="23.296875" bestFit="1" customWidth="1"/>
    <col min="1197" max="1197" width="25.5" bestFit="1" customWidth="1"/>
    <col min="1198" max="1198" width="29.8984375" bestFit="1" customWidth="1"/>
    <col min="1199" max="1199" width="30.3984375" bestFit="1" customWidth="1"/>
    <col min="1200" max="1200" width="38.3984375" bestFit="1" customWidth="1"/>
    <col min="1201" max="1201" width="39.8984375" bestFit="1" customWidth="1"/>
    <col min="1202" max="1202" width="42" bestFit="1" customWidth="1"/>
    <col min="1203" max="1203" width="46.296875" bestFit="1" customWidth="1"/>
    <col min="1204" max="1204" width="46.796875" bestFit="1" customWidth="1"/>
    <col min="1205" max="1205" width="38.3984375" bestFit="1" customWidth="1"/>
    <col min="1206" max="1206" width="39.8984375" bestFit="1" customWidth="1"/>
    <col min="1207" max="1207" width="42" bestFit="1" customWidth="1"/>
    <col min="1208" max="1208" width="46.296875" bestFit="1" customWidth="1"/>
    <col min="1209" max="1209" width="46.796875" bestFit="1" customWidth="1"/>
    <col min="1210" max="1210" width="21.8984375" bestFit="1" customWidth="1"/>
    <col min="1211" max="1211" width="23.296875" bestFit="1" customWidth="1"/>
    <col min="1212" max="1212" width="25.5" bestFit="1" customWidth="1"/>
    <col min="1213" max="1213" width="29.8984375" bestFit="1" customWidth="1"/>
    <col min="1214" max="1214" width="30.3984375" bestFit="1" customWidth="1"/>
    <col min="1215" max="1215" width="38.3984375" bestFit="1" customWidth="1"/>
    <col min="1216" max="1216" width="39.8984375" bestFit="1" customWidth="1"/>
    <col min="1217" max="1217" width="42" bestFit="1" customWidth="1"/>
    <col min="1218" max="1218" width="46.296875" bestFit="1" customWidth="1"/>
    <col min="1219" max="1219" width="46.796875" bestFit="1" customWidth="1"/>
    <col min="1220" max="1220" width="38.3984375" bestFit="1" customWidth="1"/>
    <col min="1221" max="1221" width="39.8984375" bestFit="1" customWidth="1"/>
    <col min="1222" max="1222" width="42" bestFit="1" customWidth="1"/>
    <col min="1223" max="1223" width="46.296875" bestFit="1" customWidth="1"/>
    <col min="1224" max="1224" width="46.796875" bestFit="1" customWidth="1"/>
    <col min="1225" max="1225" width="21.8984375" bestFit="1" customWidth="1"/>
    <col min="1226" max="1226" width="23.296875" bestFit="1" customWidth="1"/>
    <col min="1227" max="1227" width="25.5" bestFit="1" customWidth="1"/>
    <col min="1228" max="1228" width="29.8984375" bestFit="1" customWidth="1"/>
    <col min="1229" max="1229" width="30.3984375" bestFit="1" customWidth="1"/>
    <col min="1230" max="1230" width="24.296875" bestFit="1" customWidth="1"/>
    <col min="1231" max="1231" width="25.8984375" bestFit="1" customWidth="1"/>
    <col min="1232" max="1232" width="28" bestFit="1" customWidth="1"/>
    <col min="1233" max="1233" width="32.3984375" bestFit="1" customWidth="1"/>
    <col min="1234" max="1234" width="32.8984375" bestFit="1" customWidth="1"/>
    <col min="1235" max="1235" width="24.296875" bestFit="1" customWidth="1"/>
    <col min="1236" max="1236" width="25.8984375" bestFit="1" customWidth="1"/>
    <col min="1237" max="1237" width="28" bestFit="1" customWidth="1"/>
    <col min="1238" max="1238" width="32.3984375" bestFit="1" customWidth="1"/>
    <col min="1239" max="1239" width="32.8984375" bestFit="1" customWidth="1"/>
    <col min="1240" max="1240" width="21.8984375" bestFit="1" customWidth="1"/>
    <col min="1241" max="1241" width="23.296875" bestFit="1" customWidth="1"/>
    <col min="1242" max="1242" width="25.5" bestFit="1" customWidth="1"/>
    <col min="1243" max="1243" width="29.8984375" bestFit="1" customWidth="1"/>
    <col min="1244" max="1244" width="30.3984375" bestFit="1" customWidth="1"/>
    <col min="1245" max="1245" width="21.8984375" bestFit="1" customWidth="1"/>
    <col min="1246" max="1246" width="23.296875" bestFit="1" customWidth="1"/>
    <col min="1247" max="1247" width="25.5" bestFit="1" customWidth="1"/>
    <col min="1248" max="1248" width="29.8984375" bestFit="1" customWidth="1"/>
    <col min="1249" max="1249" width="30.3984375" bestFit="1" customWidth="1"/>
    <col min="1250" max="1250" width="21.8984375" bestFit="1" customWidth="1"/>
    <col min="1251" max="1251" width="23.296875" bestFit="1" customWidth="1"/>
    <col min="1252" max="1252" width="25.5" bestFit="1" customWidth="1"/>
    <col min="1253" max="1253" width="29.8984375" bestFit="1" customWidth="1"/>
    <col min="1254" max="1254" width="30.3984375" bestFit="1" customWidth="1"/>
    <col min="1255" max="1255" width="38.3984375" bestFit="1" customWidth="1"/>
    <col min="1256" max="1256" width="39.8984375" bestFit="1" customWidth="1"/>
    <col min="1257" max="1257" width="42" bestFit="1" customWidth="1"/>
    <col min="1258" max="1258" width="46.296875" bestFit="1" customWidth="1"/>
    <col min="1259" max="1259" width="46.796875" bestFit="1" customWidth="1"/>
    <col min="1260" max="1260" width="38.3984375" bestFit="1" customWidth="1"/>
    <col min="1261" max="1261" width="39.8984375" bestFit="1" customWidth="1"/>
    <col min="1262" max="1262" width="42" bestFit="1" customWidth="1"/>
    <col min="1263" max="1263" width="46.296875" bestFit="1" customWidth="1"/>
    <col min="1264" max="1264" width="46.796875" bestFit="1" customWidth="1"/>
    <col min="1265" max="1265" width="21.8984375" bestFit="1" customWidth="1"/>
    <col min="1266" max="1266" width="23.296875" bestFit="1" customWidth="1"/>
    <col min="1267" max="1267" width="25.5" bestFit="1" customWidth="1"/>
    <col min="1268" max="1268" width="29.8984375" bestFit="1" customWidth="1"/>
    <col min="1269" max="1269" width="30.3984375" bestFit="1" customWidth="1"/>
    <col min="1270" max="1270" width="38.3984375" bestFit="1" customWidth="1"/>
    <col min="1271" max="1271" width="39.8984375" bestFit="1" customWidth="1"/>
    <col min="1272" max="1272" width="42" bestFit="1" customWidth="1"/>
    <col min="1273" max="1273" width="46.296875" bestFit="1" customWidth="1"/>
    <col min="1274" max="1274" width="46.796875" bestFit="1" customWidth="1"/>
    <col min="1275" max="1275" width="38.3984375" bestFit="1" customWidth="1"/>
    <col min="1276" max="1276" width="39.8984375" bestFit="1" customWidth="1"/>
    <col min="1277" max="1277" width="42" bestFit="1" customWidth="1"/>
    <col min="1278" max="1278" width="46.296875" bestFit="1" customWidth="1"/>
    <col min="1279" max="1279" width="46.796875" bestFit="1" customWidth="1"/>
    <col min="1280" max="1280" width="21.8984375" bestFit="1" customWidth="1"/>
    <col min="1281" max="1281" width="23.296875" bestFit="1" customWidth="1"/>
    <col min="1282" max="1282" width="25.5" bestFit="1" customWidth="1"/>
    <col min="1283" max="1283" width="29.8984375" bestFit="1" customWidth="1"/>
    <col min="1284" max="1284" width="30.3984375" bestFit="1" customWidth="1"/>
    <col min="1285" max="1285" width="38.3984375" bestFit="1" customWidth="1"/>
    <col min="1286" max="1286" width="39.8984375" bestFit="1" customWidth="1"/>
    <col min="1287" max="1287" width="42" bestFit="1" customWidth="1"/>
    <col min="1288" max="1288" width="46.296875" bestFit="1" customWidth="1"/>
    <col min="1289" max="1289" width="46.796875" bestFit="1" customWidth="1"/>
    <col min="1290" max="1290" width="38.3984375" bestFit="1" customWidth="1"/>
    <col min="1291" max="1291" width="39.8984375" bestFit="1" customWidth="1"/>
    <col min="1292" max="1292" width="42" bestFit="1" customWidth="1"/>
    <col min="1293" max="1293" width="46.296875" bestFit="1" customWidth="1"/>
    <col min="1294" max="1294" width="46.796875" bestFit="1" customWidth="1"/>
    <col min="1295" max="1295" width="21.8984375" bestFit="1" customWidth="1"/>
    <col min="1296" max="1296" width="23.296875" bestFit="1" customWidth="1"/>
    <col min="1297" max="1297" width="25.5" bestFit="1" customWidth="1"/>
    <col min="1298" max="1298" width="29.8984375" bestFit="1" customWidth="1"/>
    <col min="1299" max="1299" width="30.3984375" bestFit="1" customWidth="1"/>
    <col min="1300" max="1300" width="38.3984375" bestFit="1" customWidth="1"/>
    <col min="1301" max="1301" width="39.8984375" bestFit="1" customWidth="1"/>
    <col min="1302" max="1302" width="42" bestFit="1" customWidth="1"/>
    <col min="1303" max="1303" width="46.296875" bestFit="1" customWidth="1"/>
    <col min="1304" max="1304" width="46.796875" bestFit="1" customWidth="1"/>
    <col min="1305" max="1305" width="38.3984375" bestFit="1" customWidth="1"/>
    <col min="1306" max="1306" width="39.8984375" bestFit="1" customWidth="1"/>
    <col min="1307" max="1307" width="42" bestFit="1" customWidth="1"/>
    <col min="1308" max="1308" width="46.296875" bestFit="1" customWidth="1"/>
    <col min="1309" max="1309" width="46.796875" bestFit="1" customWidth="1"/>
    <col min="1310" max="1310" width="21.8984375" bestFit="1" customWidth="1"/>
    <col min="1311" max="1311" width="23.296875" bestFit="1" customWidth="1"/>
    <col min="1312" max="1312" width="25.5" bestFit="1" customWidth="1"/>
    <col min="1313" max="1313" width="29.8984375" bestFit="1" customWidth="1"/>
    <col min="1314" max="1314" width="30.3984375" bestFit="1" customWidth="1"/>
    <col min="1315" max="1315" width="38.3984375" bestFit="1" customWidth="1"/>
    <col min="1316" max="1316" width="39.8984375" bestFit="1" customWidth="1"/>
    <col min="1317" max="1317" width="42" bestFit="1" customWidth="1"/>
    <col min="1318" max="1318" width="46.296875" bestFit="1" customWidth="1"/>
    <col min="1319" max="1319" width="46.796875" bestFit="1" customWidth="1"/>
    <col min="1320" max="1320" width="38.3984375" bestFit="1" customWidth="1"/>
    <col min="1321" max="1321" width="39.8984375" bestFit="1" customWidth="1"/>
    <col min="1322" max="1322" width="42" bestFit="1" customWidth="1"/>
    <col min="1323" max="1323" width="46.296875" bestFit="1" customWidth="1"/>
    <col min="1324" max="1324" width="46.796875" bestFit="1" customWidth="1"/>
    <col min="1325" max="1325" width="21.8984375" bestFit="1" customWidth="1"/>
    <col min="1326" max="1326" width="23.296875" bestFit="1" customWidth="1"/>
    <col min="1327" max="1327" width="25.5" bestFit="1" customWidth="1"/>
    <col min="1328" max="1328" width="29.8984375" bestFit="1" customWidth="1"/>
    <col min="1329" max="1329" width="30.3984375" bestFit="1" customWidth="1"/>
    <col min="1330" max="1330" width="38.3984375" bestFit="1" customWidth="1"/>
    <col min="1331" max="1331" width="39.8984375" bestFit="1" customWidth="1"/>
    <col min="1332" max="1332" width="42" bestFit="1" customWidth="1"/>
    <col min="1333" max="1333" width="46.296875" bestFit="1" customWidth="1"/>
    <col min="1334" max="1334" width="46.796875" bestFit="1" customWidth="1"/>
    <col min="1335" max="1335" width="38.3984375" bestFit="1" customWidth="1"/>
    <col min="1336" max="1336" width="39.8984375" bestFit="1" customWidth="1"/>
    <col min="1337" max="1337" width="42" bestFit="1" customWidth="1"/>
    <col min="1338" max="1338" width="46.296875" bestFit="1" customWidth="1"/>
    <col min="1339" max="1339" width="46.796875" bestFit="1" customWidth="1"/>
    <col min="1340" max="1340" width="21.8984375" bestFit="1" customWidth="1"/>
    <col min="1341" max="1341" width="23.296875" bestFit="1" customWidth="1"/>
    <col min="1342" max="1342" width="25.5" bestFit="1" customWidth="1"/>
    <col min="1343" max="1343" width="29.8984375" bestFit="1" customWidth="1"/>
    <col min="1344" max="1344" width="30.3984375" bestFit="1" customWidth="1"/>
    <col min="1345" max="1345" width="38.3984375" bestFit="1" customWidth="1"/>
    <col min="1346" max="1346" width="39.8984375" bestFit="1" customWidth="1"/>
    <col min="1347" max="1347" width="42" bestFit="1" customWidth="1"/>
    <col min="1348" max="1348" width="46.296875" bestFit="1" customWidth="1"/>
    <col min="1349" max="1349" width="46.796875" bestFit="1" customWidth="1"/>
    <col min="1350" max="1350" width="38.3984375" bestFit="1" customWidth="1"/>
    <col min="1351" max="1351" width="39.8984375" bestFit="1" customWidth="1"/>
    <col min="1352" max="1352" width="42" bestFit="1" customWidth="1"/>
    <col min="1353" max="1353" width="46.296875" bestFit="1" customWidth="1"/>
    <col min="1354" max="1354" width="46.796875" bestFit="1" customWidth="1"/>
    <col min="1355" max="1355" width="21.8984375" bestFit="1" customWidth="1"/>
    <col min="1356" max="1356" width="23.296875" bestFit="1" customWidth="1"/>
    <col min="1357" max="1357" width="25.5" bestFit="1" customWidth="1"/>
    <col min="1358" max="1358" width="29.8984375" bestFit="1" customWidth="1"/>
    <col min="1359" max="1359" width="30.3984375" bestFit="1" customWidth="1"/>
    <col min="1360" max="1360" width="38.3984375" bestFit="1" customWidth="1"/>
    <col min="1361" max="1361" width="39.8984375" bestFit="1" customWidth="1"/>
    <col min="1362" max="1362" width="42" bestFit="1" customWidth="1"/>
    <col min="1363" max="1363" width="46.296875" bestFit="1" customWidth="1"/>
    <col min="1364" max="1364" width="46.796875" bestFit="1" customWidth="1"/>
    <col min="1365" max="1365" width="38.3984375" bestFit="1" customWidth="1"/>
    <col min="1366" max="1366" width="39.8984375" bestFit="1" customWidth="1"/>
    <col min="1367" max="1367" width="42" bestFit="1" customWidth="1"/>
    <col min="1368" max="1368" width="46.296875" bestFit="1" customWidth="1"/>
    <col min="1369" max="1369" width="46.796875" bestFit="1" customWidth="1"/>
    <col min="1370" max="1370" width="21.8984375" bestFit="1" customWidth="1"/>
    <col min="1371" max="1371" width="23.296875" bestFit="1" customWidth="1"/>
    <col min="1372" max="1372" width="25.5" bestFit="1" customWidth="1"/>
    <col min="1373" max="1373" width="29.8984375" bestFit="1" customWidth="1"/>
    <col min="1374" max="1374" width="30.3984375" bestFit="1" customWidth="1"/>
    <col min="1375" max="1375" width="21.8984375" bestFit="1" customWidth="1"/>
    <col min="1376" max="1376" width="23.296875" bestFit="1" customWidth="1"/>
    <col min="1377" max="1377" width="25.5" bestFit="1" customWidth="1"/>
    <col min="1378" max="1378" width="29.8984375" bestFit="1" customWidth="1"/>
    <col min="1379" max="1379" width="30.3984375" bestFit="1" customWidth="1"/>
    <col min="1380" max="1380" width="21.8984375" bestFit="1" customWidth="1"/>
    <col min="1381" max="1381" width="23.296875" bestFit="1" customWidth="1"/>
    <col min="1382" max="1382" width="25.5" bestFit="1" customWidth="1"/>
    <col min="1383" max="1383" width="29.8984375" bestFit="1" customWidth="1"/>
    <col min="1384" max="1384" width="30.3984375" bestFit="1" customWidth="1"/>
    <col min="1385" max="1385" width="38.3984375" bestFit="1" customWidth="1"/>
    <col min="1386" max="1386" width="39.8984375" bestFit="1" customWidth="1"/>
    <col min="1387" max="1387" width="42" bestFit="1" customWidth="1"/>
    <col min="1388" max="1388" width="46.296875" bestFit="1" customWidth="1"/>
    <col min="1389" max="1389" width="46.796875" bestFit="1" customWidth="1"/>
    <col min="1390" max="1390" width="21.8984375" bestFit="1" customWidth="1"/>
    <col min="1391" max="1391" width="23.296875" bestFit="1" customWidth="1"/>
    <col min="1392" max="1392" width="25.5" bestFit="1" customWidth="1"/>
    <col min="1393" max="1393" width="29.8984375" bestFit="1" customWidth="1"/>
    <col min="1394" max="1394" width="30.3984375" bestFit="1" customWidth="1"/>
    <col min="1395" max="1395" width="38.3984375" bestFit="1" customWidth="1"/>
    <col min="1396" max="1396" width="39.8984375" bestFit="1" customWidth="1"/>
    <col min="1397" max="1397" width="42" bestFit="1" customWidth="1"/>
    <col min="1398" max="1398" width="46.296875" bestFit="1" customWidth="1"/>
    <col min="1399" max="1399" width="46.796875" bestFit="1" customWidth="1"/>
    <col min="1400" max="1400" width="38.3984375" bestFit="1" customWidth="1"/>
    <col min="1401" max="1401" width="39.8984375" bestFit="1" customWidth="1"/>
    <col min="1402" max="1402" width="42" bestFit="1" customWidth="1"/>
    <col min="1403" max="1403" width="46.296875" bestFit="1" customWidth="1"/>
    <col min="1404" max="1404" width="46.796875" bestFit="1" customWidth="1"/>
    <col min="1405" max="1405" width="21.8984375" bestFit="1" customWidth="1"/>
    <col min="1406" max="1406" width="23.296875" bestFit="1" customWidth="1"/>
    <col min="1407" max="1407" width="25.5" bestFit="1" customWidth="1"/>
    <col min="1408" max="1408" width="29.8984375" bestFit="1" customWidth="1"/>
    <col min="1409" max="1409" width="30.3984375" bestFit="1" customWidth="1"/>
    <col min="1410" max="1410" width="38.3984375" bestFit="1" customWidth="1"/>
    <col min="1411" max="1411" width="39.8984375" bestFit="1" customWidth="1"/>
    <col min="1412" max="1412" width="42" bestFit="1" customWidth="1"/>
    <col min="1413" max="1413" width="46.296875" bestFit="1" customWidth="1"/>
    <col min="1414" max="1414" width="46.796875" bestFit="1" customWidth="1"/>
    <col min="1415" max="1415" width="38.3984375" bestFit="1" customWidth="1"/>
    <col min="1416" max="1416" width="39.8984375" bestFit="1" customWidth="1"/>
    <col min="1417" max="1417" width="42" bestFit="1" customWidth="1"/>
    <col min="1418" max="1418" width="46.296875" bestFit="1" customWidth="1"/>
    <col min="1419" max="1419" width="46.796875" bestFit="1" customWidth="1"/>
    <col min="1420" max="1420" width="21.8984375" bestFit="1" customWidth="1"/>
    <col min="1421" max="1421" width="23.296875" bestFit="1" customWidth="1"/>
    <col min="1422" max="1422" width="25.5" bestFit="1" customWidth="1"/>
    <col min="1423" max="1423" width="29.8984375" bestFit="1" customWidth="1"/>
    <col min="1424" max="1424" width="30.3984375" bestFit="1" customWidth="1"/>
    <col min="1425" max="1425" width="38.3984375" bestFit="1" customWidth="1"/>
    <col min="1426" max="1426" width="39.8984375" bestFit="1" customWidth="1"/>
    <col min="1427" max="1427" width="42" bestFit="1" customWidth="1"/>
    <col min="1428" max="1428" width="46.296875" bestFit="1" customWidth="1"/>
    <col min="1429" max="1429" width="46.796875" bestFit="1" customWidth="1"/>
    <col min="1430" max="1430" width="38.3984375" bestFit="1" customWidth="1"/>
    <col min="1431" max="1431" width="39.8984375" bestFit="1" customWidth="1"/>
    <col min="1432" max="1432" width="42" bestFit="1" customWidth="1"/>
    <col min="1433" max="1433" width="46.296875" bestFit="1" customWidth="1"/>
    <col min="1434" max="1434" width="46.796875" bestFit="1" customWidth="1"/>
    <col min="1435" max="1435" width="21.8984375" bestFit="1" customWidth="1"/>
    <col min="1436" max="1436" width="23.296875" bestFit="1" customWidth="1"/>
    <col min="1437" max="1437" width="25.5" bestFit="1" customWidth="1"/>
    <col min="1438" max="1438" width="29.8984375" bestFit="1" customWidth="1"/>
    <col min="1439" max="1439" width="30.3984375" bestFit="1" customWidth="1"/>
    <col min="1440" max="1440" width="38.3984375" bestFit="1" customWidth="1"/>
    <col min="1441" max="1441" width="39.8984375" bestFit="1" customWidth="1"/>
    <col min="1442" max="1442" width="42" bestFit="1" customWidth="1"/>
    <col min="1443" max="1443" width="46.296875" bestFit="1" customWidth="1"/>
    <col min="1444" max="1444" width="46.796875" bestFit="1" customWidth="1"/>
    <col min="1445" max="1445" width="38.3984375" bestFit="1" customWidth="1"/>
    <col min="1446" max="1446" width="39.8984375" bestFit="1" customWidth="1"/>
    <col min="1447" max="1447" width="42" bestFit="1" customWidth="1"/>
    <col min="1448" max="1448" width="46.296875" bestFit="1" customWidth="1"/>
    <col min="1449" max="1449" width="46.796875" bestFit="1" customWidth="1"/>
    <col min="1450" max="1450" width="21.8984375" bestFit="1" customWidth="1"/>
    <col min="1451" max="1451" width="23.296875" bestFit="1" customWidth="1"/>
    <col min="1452" max="1452" width="25.5" bestFit="1" customWidth="1"/>
    <col min="1453" max="1453" width="29.8984375" bestFit="1" customWidth="1"/>
    <col min="1454" max="1454" width="30.3984375" bestFit="1" customWidth="1"/>
    <col min="1455" max="1455" width="38.3984375" bestFit="1" customWidth="1"/>
    <col min="1456" max="1456" width="39.8984375" bestFit="1" customWidth="1"/>
    <col min="1457" max="1457" width="42" bestFit="1" customWidth="1"/>
    <col min="1458" max="1458" width="46.296875" bestFit="1" customWidth="1"/>
    <col min="1459" max="1459" width="46.796875" bestFit="1" customWidth="1"/>
    <col min="1460" max="1460" width="38.3984375" bestFit="1" customWidth="1"/>
    <col min="1461" max="1461" width="39.8984375" bestFit="1" customWidth="1"/>
    <col min="1462" max="1462" width="42" bestFit="1" customWidth="1"/>
    <col min="1463" max="1463" width="46.296875" bestFit="1" customWidth="1"/>
    <col min="1464" max="1464" width="46.796875" bestFit="1" customWidth="1"/>
    <col min="1465" max="1465" width="21.8984375" bestFit="1" customWidth="1"/>
    <col min="1466" max="1466" width="23.296875" bestFit="1" customWidth="1"/>
    <col min="1467" max="1467" width="25.5" bestFit="1" customWidth="1"/>
    <col min="1468" max="1468" width="29.8984375" bestFit="1" customWidth="1"/>
    <col min="1469" max="1469" width="30.3984375" bestFit="1" customWidth="1"/>
    <col min="1470" max="1470" width="38.3984375" bestFit="1" customWidth="1"/>
    <col min="1471" max="1471" width="39.8984375" bestFit="1" customWidth="1"/>
    <col min="1472" max="1472" width="42" bestFit="1" customWidth="1"/>
    <col min="1473" max="1473" width="46.296875" bestFit="1" customWidth="1"/>
    <col min="1474" max="1474" width="46.796875" bestFit="1" customWidth="1"/>
    <col min="1475" max="1475" width="38.3984375" bestFit="1" customWidth="1"/>
    <col min="1476" max="1476" width="39.8984375" bestFit="1" customWidth="1"/>
    <col min="1477" max="1477" width="42" bestFit="1" customWidth="1"/>
    <col min="1478" max="1478" width="46.296875" bestFit="1" customWidth="1"/>
    <col min="1479" max="1479" width="46.796875" bestFit="1" customWidth="1"/>
    <col min="1480" max="1480" width="21.8984375" bestFit="1" customWidth="1"/>
    <col min="1481" max="1481" width="23.296875" bestFit="1" customWidth="1"/>
    <col min="1482" max="1482" width="25.5" bestFit="1" customWidth="1"/>
    <col min="1483" max="1483" width="29.8984375" bestFit="1" customWidth="1"/>
    <col min="1484" max="1484" width="30.3984375" bestFit="1" customWidth="1"/>
    <col min="1485" max="1485" width="38.3984375" bestFit="1" customWidth="1"/>
    <col min="1486" max="1486" width="39.8984375" bestFit="1" customWidth="1"/>
    <col min="1487" max="1487" width="42" bestFit="1" customWidth="1"/>
    <col min="1488" max="1488" width="46.296875" bestFit="1" customWidth="1"/>
    <col min="1489" max="1489" width="46.796875" bestFit="1" customWidth="1"/>
    <col min="1490" max="1490" width="38.3984375" bestFit="1" customWidth="1"/>
    <col min="1491" max="1491" width="39.8984375" bestFit="1" customWidth="1"/>
    <col min="1492" max="1492" width="42" bestFit="1" customWidth="1"/>
    <col min="1493" max="1493" width="46.296875" bestFit="1" customWidth="1"/>
    <col min="1494" max="1494" width="46.796875" bestFit="1" customWidth="1"/>
    <col min="1495" max="1495" width="21.8984375" bestFit="1" customWidth="1"/>
    <col min="1496" max="1496" width="23.296875" bestFit="1" customWidth="1"/>
    <col min="1497" max="1497" width="25.5" bestFit="1" customWidth="1"/>
    <col min="1498" max="1498" width="29.8984375" bestFit="1" customWidth="1"/>
    <col min="1499" max="1499" width="30.3984375" bestFit="1" customWidth="1"/>
    <col min="1500" max="1500" width="38.3984375" bestFit="1" customWidth="1"/>
    <col min="1501" max="1501" width="39.8984375" bestFit="1" customWidth="1"/>
    <col min="1502" max="1502" width="42" bestFit="1" customWidth="1"/>
    <col min="1503" max="1503" width="46.296875" bestFit="1" customWidth="1"/>
    <col min="1504" max="1504" width="46.796875" bestFit="1" customWidth="1"/>
    <col min="1505" max="1505" width="38.3984375" bestFit="1" customWidth="1"/>
    <col min="1506" max="1506" width="39.8984375" bestFit="1" customWidth="1"/>
    <col min="1507" max="1507" width="42" bestFit="1" customWidth="1"/>
    <col min="1508" max="1508" width="46.296875" bestFit="1" customWidth="1"/>
    <col min="1509" max="1509" width="46.796875" bestFit="1" customWidth="1"/>
    <col min="1510" max="1510" width="21.8984375" bestFit="1" customWidth="1"/>
    <col min="1511" max="1511" width="23.296875" bestFit="1" customWidth="1"/>
    <col min="1512" max="1512" width="25.5" bestFit="1" customWidth="1"/>
    <col min="1513" max="1513" width="29.8984375" bestFit="1" customWidth="1"/>
    <col min="1514" max="1514" width="30.3984375" bestFit="1" customWidth="1"/>
    <col min="1515" max="1515" width="21.8984375" bestFit="1" customWidth="1"/>
    <col min="1516" max="1516" width="23.296875" bestFit="1" customWidth="1"/>
    <col min="1517" max="1517" width="25.5" bestFit="1" customWidth="1"/>
    <col min="1518" max="1518" width="29.8984375" bestFit="1" customWidth="1"/>
    <col min="1519" max="1519" width="30.3984375" bestFit="1" customWidth="1"/>
    <col min="1520" max="1520" width="26.8984375" bestFit="1" customWidth="1"/>
    <col min="1521" max="1521" width="28.5" bestFit="1" customWidth="1"/>
    <col min="1522" max="1522" width="30.59765625" bestFit="1" customWidth="1"/>
    <col min="1523" max="1523" width="35" bestFit="1" customWidth="1"/>
    <col min="1524" max="1524" width="35.5" bestFit="1" customWidth="1"/>
    <col min="1525" max="1525" width="26.8984375" bestFit="1" customWidth="1"/>
    <col min="1526" max="1526" width="28.5" bestFit="1" customWidth="1"/>
    <col min="1527" max="1527" width="30.59765625" bestFit="1" customWidth="1"/>
    <col min="1528" max="1528" width="35" bestFit="1" customWidth="1"/>
    <col min="1529" max="1529" width="35.5" bestFit="1" customWidth="1"/>
    <col min="1530" max="1530" width="21.8984375" bestFit="1" customWidth="1"/>
    <col min="1531" max="1531" width="23.296875" bestFit="1" customWidth="1"/>
    <col min="1532" max="1532" width="25.5" bestFit="1" customWidth="1"/>
    <col min="1533" max="1533" width="29.8984375" bestFit="1" customWidth="1"/>
    <col min="1534" max="1534" width="30.3984375" bestFit="1" customWidth="1"/>
    <col min="1535" max="1535" width="21.8984375" bestFit="1" customWidth="1"/>
    <col min="1536" max="1536" width="23.296875" bestFit="1" customWidth="1"/>
    <col min="1537" max="1537" width="25.5" bestFit="1" customWidth="1"/>
    <col min="1538" max="1538" width="29.8984375" bestFit="1" customWidth="1"/>
    <col min="1539" max="1539" width="30.3984375" bestFit="1" customWidth="1"/>
    <col min="1540" max="1540" width="38.3984375" bestFit="1" customWidth="1"/>
    <col min="1541" max="1541" width="39.8984375" bestFit="1" customWidth="1"/>
    <col min="1542" max="1542" width="42" bestFit="1" customWidth="1"/>
    <col min="1543" max="1543" width="46.296875" bestFit="1" customWidth="1"/>
    <col min="1544" max="1544" width="46.796875" bestFit="1" customWidth="1"/>
    <col min="1545" max="1545" width="38.3984375" bestFit="1" customWidth="1"/>
    <col min="1546" max="1546" width="39.8984375" bestFit="1" customWidth="1"/>
    <col min="1547" max="1547" width="42" bestFit="1" customWidth="1"/>
    <col min="1548" max="1548" width="46.296875" bestFit="1" customWidth="1"/>
    <col min="1549" max="1549" width="46.796875" bestFit="1" customWidth="1"/>
    <col min="1550" max="1550" width="21.8984375" bestFit="1" customWidth="1"/>
    <col min="1551" max="1551" width="23.296875" bestFit="1" customWidth="1"/>
    <col min="1552" max="1552" width="25.5" bestFit="1" customWidth="1"/>
    <col min="1553" max="1553" width="29.8984375" bestFit="1" customWidth="1"/>
    <col min="1554" max="1554" width="30.3984375" bestFit="1" customWidth="1"/>
    <col min="1555" max="1555" width="38.3984375" bestFit="1" customWidth="1"/>
    <col min="1556" max="1556" width="39.8984375" bestFit="1" customWidth="1"/>
    <col min="1557" max="1557" width="42" bestFit="1" customWidth="1"/>
    <col min="1558" max="1558" width="46.296875" bestFit="1" customWidth="1"/>
    <col min="1559" max="1559" width="46.796875" bestFit="1" customWidth="1"/>
    <col min="1560" max="1560" width="21.8984375" bestFit="1" customWidth="1"/>
    <col min="1561" max="1561" width="23.296875" bestFit="1" customWidth="1"/>
    <col min="1562" max="1562" width="25.5" bestFit="1" customWidth="1"/>
    <col min="1563" max="1563" width="29.8984375" bestFit="1" customWidth="1"/>
    <col min="1564" max="1564" width="30.3984375" bestFit="1" customWidth="1"/>
    <col min="1565" max="1565" width="38.3984375" bestFit="1" customWidth="1"/>
    <col min="1566" max="1566" width="39.8984375" bestFit="1" customWidth="1"/>
    <col min="1567" max="1567" width="42" bestFit="1" customWidth="1"/>
    <col min="1568" max="1568" width="46.296875" bestFit="1" customWidth="1"/>
    <col min="1569" max="1569" width="46.796875" bestFit="1" customWidth="1"/>
    <col min="1570" max="1570" width="38.3984375" bestFit="1" customWidth="1"/>
    <col min="1571" max="1571" width="39.8984375" bestFit="1" customWidth="1"/>
    <col min="1572" max="1572" width="42" bestFit="1" customWidth="1"/>
    <col min="1573" max="1573" width="46.296875" bestFit="1" customWidth="1"/>
    <col min="1574" max="1574" width="46.796875" bestFit="1" customWidth="1"/>
    <col min="1575" max="1575" width="21.8984375" bestFit="1" customWidth="1"/>
    <col min="1576" max="1576" width="23.296875" bestFit="1" customWidth="1"/>
    <col min="1577" max="1577" width="25.5" bestFit="1" customWidth="1"/>
    <col min="1578" max="1578" width="29.8984375" bestFit="1" customWidth="1"/>
    <col min="1579" max="1579" width="30.3984375" bestFit="1" customWidth="1"/>
    <col min="1580" max="1580" width="38.3984375" bestFit="1" customWidth="1"/>
    <col min="1581" max="1581" width="39.8984375" bestFit="1" customWidth="1"/>
    <col min="1582" max="1582" width="42" bestFit="1" customWidth="1"/>
    <col min="1583" max="1583" width="46.296875" bestFit="1" customWidth="1"/>
    <col min="1584" max="1584" width="46.796875" bestFit="1" customWidth="1"/>
    <col min="1585" max="1585" width="38.3984375" bestFit="1" customWidth="1"/>
    <col min="1586" max="1586" width="39.8984375" bestFit="1" customWidth="1"/>
    <col min="1587" max="1587" width="42" bestFit="1" customWidth="1"/>
    <col min="1588" max="1588" width="46.296875" bestFit="1" customWidth="1"/>
    <col min="1589" max="1589" width="46.796875" bestFit="1" customWidth="1"/>
    <col min="1590" max="1590" width="21.8984375" bestFit="1" customWidth="1"/>
    <col min="1591" max="1591" width="23.296875" bestFit="1" customWidth="1"/>
    <col min="1592" max="1592" width="25.5" bestFit="1" customWidth="1"/>
    <col min="1593" max="1593" width="29.8984375" bestFit="1" customWidth="1"/>
    <col min="1594" max="1594" width="30.3984375" bestFit="1" customWidth="1"/>
    <col min="1595" max="1595" width="38.3984375" bestFit="1" customWidth="1"/>
    <col min="1596" max="1596" width="39.8984375" bestFit="1" customWidth="1"/>
    <col min="1597" max="1597" width="42" bestFit="1" customWidth="1"/>
    <col min="1598" max="1598" width="46.296875" bestFit="1" customWidth="1"/>
    <col min="1599" max="1599" width="46.796875" bestFit="1" customWidth="1"/>
    <col min="1600" max="1600" width="38.3984375" bestFit="1" customWidth="1"/>
    <col min="1601" max="1601" width="39.8984375" bestFit="1" customWidth="1"/>
    <col min="1602" max="1602" width="42" bestFit="1" customWidth="1"/>
    <col min="1603" max="1603" width="46.296875" bestFit="1" customWidth="1"/>
    <col min="1604" max="1604" width="46.796875" bestFit="1" customWidth="1"/>
    <col min="1605" max="1605" width="21.8984375" bestFit="1" customWidth="1"/>
    <col min="1606" max="1606" width="23.296875" bestFit="1" customWidth="1"/>
    <col min="1607" max="1607" width="25.5" bestFit="1" customWidth="1"/>
    <col min="1608" max="1608" width="29.8984375" bestFit="1" customWidth="1"/>
    <col min="1609" max="1609" width="30.3984375" bestFit="1" customWidth="1"/>
    <col min="1610" max="1610" width="38.3984375" bestFit="1" customWidth="1"/>
    <col min="1611" max="1611" width="39.8984375" bestFit="1" customWidth="1"/>
    <col min="1612" max="1612" width="42" bestFit="1" customWidth="1"/>
    <col min="1613" max="1613" width="46.296875" bestFit="1" customWidth="1"/>
    <col min="1614" max="1614" width="46.796875" bestFit="1" customWidth="1"/>
    <col min="1615" max="1615" width="21.8984375" bestFit="1" customWidth="1"/>
    <col min="1616" max="1616" width="23.296875" bestFit="1" customWidth="1"/>
    <col min="1617" max="1617" width="25.5" bestFit="1" customWidth="1"/>
    <col min="1618" max="1618" width="29.8984375" bestFit="1" customWidth="1"/>
    <col min="1619" max="1619" width="30.3984375" bestFit="1" customWidth="1"/>
    <col min="1620" max="1620" width="38.3984375" bestFit="1" customWidth="1"/>
    <col min="1621" max="1621" width="39.8984375" bestFit="1" customWidth="1"/>
    <col min="1622" max="1622" width="42" bestFit="1" customWidth="1"/>
    <col min="1623" max="1623" width="46.296875" bestFit="1" customWidth="1"/>
    <col min="1624" max="1624" width="46.796875" bestFit="1" customWidth="1"/>
    <col min="1625" max="1625" width="38.3984375" bestFit="1" customWidth="1"/>
    <col min="1626" max="1626" width="39.8984375" bestFit="1" customWidth="1"/>
    <col min="1627" max="1627" width="42" bestFit="1" customWidth="1"/>
    <col min="1628" max="1628" width="46.296875" bestFit="1" customWidth="1"/>
    <col min="1629" max="1629" width="46.796875" bestFit="1" customWidth="1"/>
    <col min="1630" max="1630" width="21.8984375" bestFit="1" customWidth="1"/>
    <col min="1631" max="1631" width="23.296875" bestFit="1" customWidth="1"/>
    <col min="1632" max="1632" width="25.5" bestFit="1" customWidth="1"/>
    <col min="1633" max="1633" width="29.8984375" bestFit="1" customWidth="1"/>
    <col min="1634" max="1634" width="30.3984375" bestFit="1" customWidth="1"/>
    <col min="1635" max="1635" width="38.3984375" bestFit="1" customWidth="1"/>
    <col min="1636" max="1636" width="39.8984375" bestFit="1" customWidth="1"/>
    <col min="1637" max="1637" width="42" bestFit="1" customWidth="1"/>
    <col min="1638" max="1638" width="46.296875" bestFit="1" customWidth="1"/>
    <col min="1639" max="1639" width="46.796875" bestFit="1" customWidth="1"/>
    <col min="1640" max="1640" width="38.3984375" bestFit="1" customWidth="1"/>
    <col min="1641" max="1641" width="39.8984375" bestFit="1" customWidth="1"/>
    <col min="1642" max="1642" width="42" bestFit="1" customWidth="1"/>
    <col min="1643" max="1643" width="46.296875" bestFit="1" customWidth="1"/>
    <col min="1644" max="1644" width="46.796875" bestFit="1" customWidth="1"/>
    <col min="1645" max="1645" width="21.8984375" bestFit="1" customWidth="1"/>
    <col min="1646" max="1646" width="23.296875" bestFit="1" customWidth="1"/>
    <col min="1647" max="1647" width="25.5" bestFit="1" customWidth="1"/>
    <col min="1648" max="1648" width="29.8984375" bestFit="1" customWidth="1"/>
    <col min="1649" max="1649" width="30.3984375" bestFit="1" customWidth="1"/>
    <col min="1650" max="1650" width="26.8984375" bestFit="1" customWidth="1"/>
    <col min="1651" max="1651" width="28.5" bestFit="1" customWidth="1"/>
    <col min="1652" max="1652" width="30.59765625" bestFit="1" customWidth="1"/>
    <col min="1653" max="1653" width="35" bestFit="1" customWidth="1"/>
    <col min="1654" max="1654" width="35.5" bestFit="1" customWidth="1"/>
    <col min="1655" max="1655" width="26.8984375" bestFit="1" customWidth="1"/>
    <col min="1656" max="1656" width="28.5" bestFit="1" customWidth="1"/>
    <col min="1657" max="1657" width="30.59765625" bestFit="1" customWidth="1"/>
    <col min="1658" max="1658" width="35" bestFit="1" customWidth="1"/>
    <col min="1659" max="1659" width="35.5" bestFit="1" customWidth="1"/>
    <col min="1660" max="1660" width="21.8984375" bestFit="1" customWidth="1"/>
    <col min="1661" max="1661" width="23.296875" bestFit="1" customWidth="1"/>
    <col min="1662" max="1662" width="25.5" bestFit="1" customWidth="1"/>
    <col min="1663" max="1663" width="29.8984375" bestFit="1" customWidth="1"/>
    <col min="1664" max="1664" width="30.3984375" bestFit="1" customWidth="1"/>
    <col min="1665" max="1665" width="38.3984375" bestFit="1" customWidth="1"/>
    <col min="1666" max="1666" width="39.8984375" bestFit="1" customWidth="1"/>
    <col min="1667" max="1667" width="42" bestFit="1" customWidth="1"/>
    <col min="1668" max="1668" width="46.296875" bestFit="1" customWidth="1"/>
    <col min="1669" max="1669" width="46.796875" bestFit="1" customWidth="1"/>
    <col min="1670" max="1670" width="38.3984375" bestFit="1" customWidth="1"/>
    <col min="1671" max="1671" width="39.8984375" bestFit="1" customWidth="1"/>
    <col min="1672" max="1672" width="42" bestFit="1" customWidth="1"/>
    <col min="1673" max="1673" width="46.296875" bestFit="1" customWidth="1"/>
    <col min="1674" max="1674" width="46.796875" bestFit="1" customWidth="1"/>
    <col min="1675" max="1675" width="21.8984375" bestFit="1" customWidth="1"/>
    <col min="1676" max="1676" width="23.296875" bestFit="1" customWidth="1"/>
    <col min="1677" max="1677" width="25.5" bestFit="1" customWidth="1"/>
    <col min="1678" max="1678" width="29.8984375" bestFit="1" customWidth="1"/>
    <col min="1679" max="1679" width="30.3984375" bestFit="1" customWidth="1"/>
    <col min="1680" max="1680" width="38.3984375" bestFit="1" customWidth="1"/>
    <col min="1681" max="1681" width="39.8984375" bestFit="1" customWidth="1"/>
    <col min="1682" max="1682" width="42" bestFit="1" customWidth="1"/>
    <col min="1683" max="1683" width="46.296875" bestFit="1" customWidth="1"/>
    <col min="1684" max="1684" width="46.796875" bestFit="1" customWidth="1"/>
    <col min="1685" max="1685" width="38.3984375" bestFit="1" customWidth="1"/>
    <col min="1686" max="1686" width="39.8984375" bestFit="1" customWidth="1"/>
    <col min="1687" max="1687" width="42" bestFit="1" customWidth="1"/>
    <col min="1688" max="1688" width="46.296875" bestFit="1" customWidth="1"/>
    <col min="1689" max="1689" width="46.796875" bestFit="1" customWidth="1"/>
    <col min="1690" max="1690" width="21.8984375" bestFit="1" customWidth="1"/>
    <col min="1691" max="1691" width="23.296875" bestFit="1" customWidth="1"/>
    <col min="1692" max="1692" width="25.5" bestFit="1" customWidth="1"/>
    <col min="1693" max="1693" width="29.8984375" bestFit="1" customWidth="1"/>
    <col min="1694" max="1694" width="30.3984375" bestFit="1" customWidth="1"/>
    <col min="1695" max="1695" width="24.296875" bestFit="1" customWidth="1"/>
    <col min="1696" max="1696" width="25.8984375" bestFit="1" customWidth="1"/>
    <col min="1697" max="1697" width="28" bestFit="1" customWidth="1"/>
    <col min="1698" max="1698" width="32.3984375" bestFit="1" customWidth="1"/>
    <col min="1699" max="1699" width="32.8984375" bestFit="1" customWidth="1"/>
    <col min="1700" max="1700" width="24.296875" bestFit="1" customWidth="1"/>
    <col min="1701" max="1701" width="25.8984375" bestFit="1" customWidth="1"/>
    <col min="1702" max="1702" width="28" bestFit="1" customWidth="1"/>
    <col min="1703" max="1703" width="32.3984375" bestFit="1" customWidth="1"/>
    <col min="1704" max="1704" width="32.8984375" bestFit="1" customWidth="1"/>
    <col min="1705" max="1705" width="21.8984375" bestFit="1" customWidth="1"/>
    <col min="1706" max="1706" width="23.296875" bestFit="1" customWidth="1"/>
    <col min="1707" max="1707" width="25.5" bestFit="1" customWidth="1"/>
    <col min="1708" max="1708" width="29.8984375" bestFit="1" customWidth="1"/>
    <col min="1709" max="1709" width="30.3984375" bestFit="1" customWidth="1"/>
    <col min="1710" max="1710" width="38.3984375" bestFit="1" customWidth="1"/>
    <col min="1711" max="1711" width="39.8984375" bestFit="1" customWidth="1"/>
    <col min="1712" max="1712" width="42" bestFit="1" customWidth="1"/>
    <col min="1713" max="1713" width="46.296875" bestFit="1" customWidth="1"/>
    <col min="1714" max="1714" width="46.796875" bestFit="1" customWidth="1"/>
    <col min="1715" max="1715" width="38.3984375" bestFit="1" customWidth="1"/>
    <col min="1716" max="1716" width="39.8984375" bestFit="1" customWidth="1"/>
    <col min="1717" max="1717" width="42" bestFit="1" customWidth="1"/>
    <col min="1718" max="1718" width="46.296875" bestFit="1" customWidth="1"/>
    <col min="1719" max="1719" width="46.796875" bestFit="1" customWidth="1"/>
    <col min="1720" max="1720" width="21.8984375" bestFit="1" customWidth="1"/>
    <col min="1721" max="1721" width="23.296875" bestFit="1" customWidth="1"/>
    <col min="1722" max="1722" width="25.5" bestFit="1" customWidth="1"/>
    <col min="1723" max="1723" width="29.8984375" bestFit="1" customWidth="1"/>
    <col min="1724" max="1724" width="30.3984375" bestFit="1" customWidth="1"/>
    <col min="1725" max="1725" width="26.8984375" bestFit="1" customWidth="1"/>
    <col min="1726" max="1726" width="28.5" bestFit="1" customWidth="1"/>
    <col min="1727" max="1727" width="30.59765625" bestFit="1" customWidth="1"/>
    <col min="1728" max="1728" width="35" bestFit="1" customWidth="1"/>
    <col min="1729" max="1729" width="35.5" bestFit="1" customWidth="1"/>
    <col min="1730" max="1730" width="26.8984375" bestFit="1" customWidth="1"/>
    <col min="1731" max="1731" width="28.5" bestFit="1" customWidth="1"/>
    <col min="1732" max="1732" width="30.59765625" bestFit="1" customWidth="1"/>
    <col min="1733" max="1733" width="35" bestFit="1" customWidth="1"/>
    <col min="1734" max="1734" width="35.5" bestFit="1" customWidth="1"/>
    <col min="1735" max="1735" width="21.8984375" bestFit="1" customWidth="1"/>
    <col min="1736" max="1736" width="23.296875" bestFit="1" customWidth="1"/>
    <col min="1737" max="1737" width="25.5" bestFit="1" customWidth="1"/>
    <col min="1738" max="1738" width="29.8984375" bestFit="1" customWidth="1"/>
    <col min="1739" max="1739" width="30.3984375" bestFit="1" customWidth="1"/>
    <col min="1740" max="1740" width="38.3984375" bestFit="1" customWidth="1"/>
    <col min="1741" max="1741" width="39.8984375" bestFit="1" customWidth="1"/>
    <col min="1742" max="1742" width="42" bestFit="1" customWidth="1"/>
    <col min="1743" max="1743" width="46.296875" bestFit="1" customWidth="1"/>
    <col min="1744" max="1744" width="46.796875" bestFit="1" customWidth="1"/>
    <col min="1745" max="1745" width="38.3984375" bestFit="1" customWidth="1"/>
    <col min="1746" max="1746" width="39.8984375" bestFit="1" customWidth="1"/>
    <col min="1747" max="1747" width="42" bestFit="1" customWidth="1"/>
    <col min="1748" max="1748" width="46.296875" bestFit="1" customWidth="1"/>
    <col min="1749" max="1749" width="46.796875" bestFit="1" customWidth="1"/>
    <col min="1750" max="1750" width="21.8984375" bestFit="1" customWidth="1"/>
    <col min="1751" max="1751" width="23.296875" bestFit="1" customWidth="1"/>
    <col min="1752" max="1752" width="25.5" bestFit="1" customWidth="1"/>
    <col min="1753" max="1753" width="29.8984375" bestFit="1" customWidth="1"/>
    <col min="1754" max="1754" width="30.3984375" bestFit="1" customWidth="1"/>
    <col min="1755" max="1755" width="21.8984375" bestFit="1" customWidth="1"/>
    <col min="1756" max="1756" width="23.296875" bestFit="1" customWidth="1"/>
    <col min="1757" max="1757" width="25.5" bestFit="1" customWidth="1"/>
    <col min="1758" max="1758" width="29.8984375" bestFit="1" customWidth="1"/>
    <col min="1759" max="1759" width="30.3984375" bestFit="1" customWidth="1"/>
    <col min="1760" max="1760" width="25.8984375" bestFit="1" customWidth="1"/>
    <col min="1761" max="1761" width="27.59765625" bestFit="1" customWidth="1"/>
    <col min="1762" max="1762" width="29.5" bestFit="1" customWidth="1"/>
    <col min="1763" max="1763" width="34" bestFit="1" customWidth="1"/>
    <col min="1764" max="1764" width="34.5" bestFit="1" customWidth="1"/>
    <col min="1765" max="1765" width="25.8984375" bestFit="1" customWidth="1"/>
    <col min="1766" max="1766" width="27.59765625" bestFit="1" customWidth="1"/>
    <col min="1767" max="1767" width="29.5" bestFit="1" customWidth="1"/>
    <col min="1768" max="1768" width="34" bestFit="1" customWidth="1"/>
    <col min="1769" max="1769" width="34.5" bestFit="1" customWidth="1"/>
    <col min="1770" max="1770" width="21.8984375" bestFit="1" customWidth="1"/>
    <col min="1771" max="1771" width="23.296875" bestFit="1" customWidth="1"/>
    <col min="1772" max="1772" width="25.5" bestFit="1" customWidth="1"/>
    <col min="1773" max="1773" width="29.8984375" bestFit="1" customWidth="1"/>
    <col min="1774" max="1774" width="30.3984375" bestFit="1" customWidth="1"/>
    <col min="1775" max="1775" width="38.3984375" bestFit="1" customWidth="1"/>
    <col min="1776" max="1776" width="39.8984375" bestFit="1" customWidth="1"/>
    <col min="1777" max="1777" width="42" bestFit="1" customWidth="1"/>
    <col min="1778" max="1778" width="46.296875" bestFit="1" customWidth="1"/>
    <col min="1779" max="1779" width="46.796875" bestFit="1" customWidth="1"/>
    <col min="1780" max="1780" width="38.3984375" bestFit="1" customWidth="1"/>
    <col min="1781" max="1781" width="39.8984375" bestFit="1" customWidth="1"/>
    <col min="1782" max="1782" width="42" bestFit="1" customWidth="1"/>
    <col min="1783" max="1783" width="46.296875" bestFit="1" customWidth="1"/>
    <col min="1784" max="1784" width="46.796875" bestFit="1" customWidth="1"/>
    <col min="1785" max="1785" width="21.8984375" bestFit="1" customWidth="1"/>
    <col min="1786" max="1786" width="23.296875" bestFit="1" customWidth="1"/>
    <col min="1787" max="1787" width="25.5" bestFit="1" customWidth="1"/>
    <col min="1788" max="1788" width="29.8984375" bestFit="1" customWidth="1"/>
    <col min="1789" max="1789" width="30.3984375" bestFit="1" customWidth="1"/>
    <col min="1790" max="1790" width="38.3984375" bestFit="1" customWidth="1"/>
    <col min="1791" max="1791" width="39.8984375" bestFit="1" customWidth="1"/>
    <col min="1792" max="1792" width="42" bestFit="1" customWidth="1"/>
    <col min="1793" max="1793" width="46.296875" bestFit="1" customWidth="1"/>
    <col min="1794" max="1794" width="46.796875" bestFit="1" customWidth="1"/>
    <col min="1795" max="1795" width="38.3984375" bestFit="1" customWidth="1"/>
    <col min="1796" max="1796" width="39.8984375" bestFit="1" customWidth="1"/>
    <col min="1797" max="1797" width="42" bestFit="1" customWidth="1"/>
    <col min="1798" max="1798" width="46.296875" bestFit="1" customWidth="1"/>
    <col min="1799" max="1799" width="46.796875" bestFit="1" customWidth="1"/>
    <col min="1800" max="1800" width="21.8984375" bestFit="1" customWidth="1"/>
    <col min="1801" max="1801" width="23.296875" bestFit="1" customWidth="1"/>
    <col min="1802" max="1802" width="25.5" bestFit="1" customWidth="1"/>
    <col min="1803" max="1803" width="29.8984375" bestFit="1" customWidth="1"/>
    <col min="1804" max="1804" width="30.3984375" bestFit="1" customWidth="1"/>
    <col min="1805" max="1805" width="21.8984375" bestFit="1" customWidth="1"/>
    <col min="1806" max="1806" width="23.296875" bestFit="1" customWidth="1"/>
    <col min="1807" max="1807" width="25.5" bestFit="1" customWidth="1"/>
    <col min="1808" max="1808" width="29.8984375" bestFit="1" customWidth="1"/>
    <col min="1809" max="1809" width="30.3984375" bestFit="1" customWidth="1"/>
    <col min="1810" max="1810" width="21.8984375" bestFit="1" customWidth="1"/>
    <col min="1811" max="1811" width="23.296875" bestFit="1" customWidth="1"/>
    <col min="1812" max="1812" width="25.5" bestFit="1" customWidth="1"/>
    <col min="1813" max="1813" width="29.8984375" bestFit="1" customWidth="1"/>
    <col min="1814" max="1814" width="30.3984375" bestFit="1" customWidth="1"/>
    <col min="1815" max="1815" width="38.3984375" bestFit="1" customWidth="1"/>
    <col min="1816" max="1816" width="39.8984375" bestFit="1" customWidth="1"/>
    <col min="1817" max="1817" width="42" bestFit="1" customWidth="1"/>
    <col min="1818" max="1818" width="46.296875" bestFit="1" customWidth="1"/>
    <col min="1819" max="1819" width="46.796875" bestFit="1" customWidth="1"/>
    <col min="1820" max="1820" width="38.3984375" bestFit="1" customWidth="1"/>
    <col min="1821" max="1821" width="39.8984375" bestFit="1" customWidth="1"/>
    <col min="1822" max="1822" width="42" bestFit="1" customWidth="1"/>
    <col min="1823" max="1823" width="46.296875" bestFit="1" customWidth="1"/>
    <col min="1824" max="1824" width="46.796875" bestFit="1" customWidth="1"/>
    <col min="1825" max="1825" width="21.8984375" bestFit="1" customWidth="1"/>
    <col min="1826" max="1826" width="23.296875" bestFit="1" customWidth="1"/>
    <col min="1827" max="1827" width="25.5" bestFit="1" customWidth="1"/>
    <col min="1828" max="1828" width="29.8984375" bestFit="1" customWidth="1"/>
    <col min="1829" max="1829" width="30.3984375" bestFit="1" customWidth="1"/>
    <col min="1830" max="1830" width="38.3984375" bestFit="1" customWidth="1"/>
    <col min="1831" max="1831" width="39.8984375" bestFit="1" customWidth="1"/>
    <col min="1832" max="1832" width="42" bestFit="1" customWidth="1"/>
    <col min="1833" max="1833" width="46.296875" bestFit="1" customWidth="1"/>
    <col min="1834" max="1834" width="46.796875" bestFit="1" customWidth="1"/>
    <col min="1835" max="1835" width="38.3984375" bestFit="1" customWidth="1"/>
    <col min="1836" max="1836" width="39.8984375" bestFit="1" customWidth="1"/>
    <col min="1837" max="1837" width="42" bestFit="1" customWidth="1"/>
    <col min="1838" max="1838" width="46.296875" bestFit="1" customWidth="1"/>
    <col min="1839" max="1839" width="46.796875" bestFit="1" customWidth="1"/>
    <col min="1840" max="1840" width="21.8984375" bestFit="1" customWidth="1"/>
    <col min="1841" max="1841" width="23.296875" bestFit="1" customWidth="1"/>
    <col min="1842" max="1842" width="25.5" bestFit="1" customWidth="1"/>
    <col min="1843" max="1843" width="29.8984375" bestFit="1" customWidth="1"/>
    <col min="1844" max="1844" width="30.3984375" bestFit="1" customWidth="1"/>
    <col min="1845" max="1845" width="21.8984375" bestFit="1" customWidth="1"/>
    <col min="1846" max="1846" width="23.296875" bestFit="1" customWidth="1"/>
    <col min="1847" max="1847" width="25.5" bestFit="1" customWidth="1"/>
    <col min="1848" max="1848" width="29.8984375" bestFit="1" customWidth="1"/>
    <col min="1849" max="1849" width="30.3984375" bestFit="1" customWidth="1"/>
    <col min="1850" max="1850" width="38.3984375" bestFit="1" customWidth="1"/>
    <col min="1851" max="1851" width="39.8984375" bestFit="1" customWidth="1"/>
    <col min="1852" max="1852" width="42" bestFit="1" customWidth="1"/>
    <col min="1853" max="1853" width="46.296875" bestFit="1" customWidth="1"/>
    <col min="1854" max="1854" width="46.796875" bestFit="1" customWidth="1"/>
    <col min="1855" max="1855" width="38.3984375" bestFit="1" customWidth="1"/>
    <col min="1856" max="1856" width="39.8984375" bestFit="1" customWidth="1"/>
    <col min="1857" max="1857" width="42" bestFit="1" customWidth="1"/>
    <col min="1858" max="1858" width="46.296875" bestFit="1" customWidth="1"/>
    <col min="1859" max="1859" width="46.796875" bestFit="1" customWidth="1"/>
    <col min="1860" max="1860" width="21.8984375" bestFit="1" customWidth="1"/>
    <col min="1861" max="1861" width="23.296875" bestFit="1" customWidth="1"/>
    <col min="1862" max="1862" width="25.5" bestFit="1" customWidth="1"/>
    <col min="1863" max="1863" width="29.8984375" bestFit="1" customWidth="1"/>
    <col min="1864" max="1864" width="30.3984375" bestFit="1" customWidth="1"/>
    <col min="1865" max="1865" width="38.3984375" bestFit="1" customWidth="1"/>
    <col min="1866" max="1866" width="39.8984375" bestFit="1" customWidth="1"/>
    <col min="1867" max="1867" width="42" bestFit="1" customWidth="1"/>
    <col min="1868" max="1868" width="46.296875" bestFit="1" customWidth="1"/>
    <col min="1869" max="1869" width="46.796875" bestFit="1" customWidth="1"/>
    <col min="1870" max="1870" width="38.3984375" bestFit="1" customWidth="1"/>
    <col min="1871" max="1871" width="39.8984375" bestFit="1" customWidth="1"/>
    <col min="1872" max="1872" width="42" bestFit="1" customWidth="1"/>
    <col min="1873" max="1873" width="46.296875" bestFit="1" customWidth="1"/>
    <col min="1874" max="1874" width="46.796875" bestFit="1" customWidth="1"/>
    <col min="1875" max="1875" width="21.8984375" bestFit="1" customWidth="1"/>
    <col min="1876" max="1876" width="23.296875" bestFit="1" customWidth="1"/>
    <col min="1877" max="1877" width="25.5" bestFit="1" customWidth="1"/>
    <col min="1878" max="1878" width="29.8984375" bestFit="1" customWidth="1"/>
    <col min="1879" max="1879" width="30.3984375" bestFit="1" customWidth="1"/>
    <col min="1880" max="1880" width="24.296875" bestFit="1" customWidth="1"/>
    <col min="1881" max="1881" width="25.8984375" bestFit="1" customWidth="1"/>
    <col min="1882" max="1882" width="28" bestFit="1" customWidth="1"/>
    <col min="1883" max="1883" width="32.3984375" bestFit="1" customWidth="1"/>
    <col min="1884" max="1884" width="32.8984375" bestFit="1" customWidth="1"/>
    <col min="1885" max="1885" width="24.296875" bestFit="1" customWidth="1"/>
    <col min="1886" max="1886" width="25.8984375" bestFit="1" customWidth="1"/>
    <col min="1887" max="1887" width="28" bestFit="1" customWidth="1"/>
    <col min="1888" max="1888" width="32.3984375" bestFit="1" customWidth="1"/>
    <col min="1889" max="1889" width="32.8984375" bestFit="1" customWidth="1"/>
    <col min="1890" max="1890" width="21.8984375" bestFit="1" customWidth="1"/>
    <col min="1891" max="1891" width="23.296875" bestFit="1" customWidth="1"/>
    <col min="1892" max="1892" width="25.5" bestFit="1" customWidth="1"/>
    <col min="1893" max="1893" width="29.8984375" bestFit="1" customWidth="1"/>
    <col min="1894" max="1894" width="30.3984375" bestFit="1" customWidth="1"/>
    <col min="1895" max="1895" width="38.3984375" bestFit="1" customWidth="1"/>
    <col min="1896" max="1896" width="39.8984375" bestFit="1" customWidth="1"/>
    <col min="1897" max="1897" width="42" bestFit="1" customWidth="1"/>
    <col min="1898" max="1898" width="46.296875" bestFit="1" customWidth="1"/>
    <col min="1899" max="1899" width="46.796875" bestFit="1" customWidth="1"/>
    <col min="1900" max="1900" width="38.3984375" bestFit="1" customWidth="1"/>
    <col min="1901" max="1901" width="39.8984375" bestFit="1" customWidth="1"/>
    <col min="1902" max="1902" width="42" bestFit="1" customWidth="1"/>
    <col min="1903" max="1903" width="46.296875" bestFit="1" customWidth="1"/>
    <col min="1904" max="1904" width="46.796875" bestFit="1" customWidth="1"/>
    <col min="1905" max="1905" width="21.8984375" bestFit="1" customWidth="1"/>
    <col min="1906" max="1906" width="23.296875" bestFit="1" customWidth="1"/>
    <col min="1907" max="1907" width="25.5" bestFit="1" customWidth="1"/>
    <col min="1908" max="1908" width="29.8984375" bestFit="1" customWidth="1"/>
    <col min="1909" max="1909" width="30.3984375" bestFit="1" customWidth="1"/>
    <col min="1910" max="1910" width="38.3984375" bestFit="1" customWidth="1"/>
    <col min="1911" max="1911" width="39.8984375" bestFit="1" customWidth="1"/>
    <col min="1912" max="1912" width="42" bestFit="1" customWidth="1"/>
    <col min="1913" max="1913" width="46.296875" bestFit="1" customWidth="1"/>
    <col min="1914" max="1914" width="46.796875" bestFit="1" customWidth="1"/>
    <col min="1915" max="1915" width="38.3984375" bestFit="1" customWidth="1"/>
    <col min="1916" max="1916" width="39.8984375" bestFit="1" customWidth="1"/>
    <col min="1917" max="1917" width="42" bestFit="1" customWidth="1"/>
    <col min="1918" max="1918" width="46.296875" bestFit="1" customWidth="1"/>
    <col min="1919" max="1919" width="46.796875" bestFit="1" customWidth="1"/>
    <col min="1920" max="1920" width="21.8984375" bestFit="1" customWidth="1"/>
    <col min="1921" max="1921" width="23.296875" bestFit="1" customWidth="1"/>
    <col min="1922" max="1922" width="25.5" bestFit="1" customWidth="1"/>
    <col min="1923" max="1923" width="29.8984375" bestFit="1" customWidth="1"/>
    <col min="1924" max="1924" width="30.3984375" bestFit="1" customWidth="1"/>
    <col min="1925" max="1925" width="38.3984375" bestFit="1" customWidth="1"/>
    <col min="1926" max="1926" width="39.8984375" bestFit="1" customWidth="1"/>
    <col min="1927" max="1927" width="42" bestFit="1" customWidth="1"/>
    <col min="1928" max="1928" width="46.296875" bestFit="1" customWidth="1"/>
    <col min="1929" max="1929" width="46.796875" bestFit="1" customWidth="1"/>
    <col min="1930" max="1930" width="38.3984375" bestFit="1" customWidth="1"/>
    <col min="1931" max="1931" width="39.8984375" bestFit="1" customWidth="1"/>
    <col min="1932" max="1932" width="42" bestFit="1" customWidth="1"/>
    <col min="1933" max="1933" width="46.296875" bestFit="1" customWidth="1"/>
    <col min="1934" max="1934" width="46.796875" bestFit="1" customWidth="1"/>
    <col min="1935" max="1935" width="21.8984375" bestFit="1" customWidth="1"/>
    <col min="1936" max="1936" width="23.296875" bestFit="1" customWidth="1"/>
    <col min="1937" max="1937" width="25.5" bestFit="1" customWidth="1"/>
    <col min="1938" max="1938" width="29.8984375" bestFit="1" customWidth="1"/>
    <col min="1939" max="1939" width="30.3984375" bestFit="1" customWidth="1"/>
    <col min="1940" max="1940" width="38.3984375" bestFit="1" customWidth="1"/>
    <col min="1941" max="1941" width="39.8984375" bestFit="1" customWidth="1"/>
    <col min="1942" max="1942" width="42" bestFit="1" customWidth="1"/>
    <col min="1943" max="1943" width="46.296875" bestFit="1" customWidth="1"/>
    <col min="1944" max="1944" width="46.796875" bestFit="1" customWidth="1"/>
    <col min="1945" max="1945" width="38.3984375" bestFit="1" customWidth="1"/>
    <col min="1946" max="1946" width="39.8984375" bestFit="1" customWidth="1"/>
    <col min="1947" max="1947" width="42" bestFit="1" customWidth="1"/>
    <col min="1948" max="1948" width="46.296875" bestFit="1" customWidth="1"/>
    <col min="1949" max="1949" width="46.796875" bestFit="1" customWidth="1"/>
    <col min="1950" max="1950" width="21.8984375" bestFit="1" customWidth="1"/>
    <col min="1951" max="1951" width="23.296875" bestFit="1" customWidth="1"/>
    <col min="1952" max="1952" width="25.5" bestFit="1" customWidth="1"/>
    <col min="1953" max="1953" width="29.8984375" bestFit="1" customWidth="1"/>
    <col min="1954" max="1954" width="30.3984375" bestFit="1" customWidth="1"/>
    <col min="1955" max="1955" width="38.3984375" bestFit="1" customWidth="1"/>
    <col min="1956" max="1956" width="39.8984375" bestFit="1" customWidth="1"/>
    <col min="1957" max="1957" width="42" bestFit="1" customWidth="1"/>
    <col min="1958" max="1958" width="46.296875" bestFit="1" customWidth="1"/>
    <col min="1959" max="1959" width="46.796875" bestFit="1" customWidth="1"/>
    <col min="1960" max="1960" width="38.3984375" bestFit="1" customWidth="1"/>
    <col min="1961" max="1961" width="39.8984375" bestFit="1" customWidth="1"/>
    <col min="1962" max="1962" width="42" bestFit="1" customWidth="1"/>
    <col min="1963" max="1963" width="46.296875" bestFit="1" customWidth="1"/>
    <col min="1964" max="1964" width="46.796875" bestFit="1" customWidth="1"/>
    <col min="1965" max="1965" width="21.8984375" bestFit="1" customWidth="1"/>
    <col min="1966" max="1966" width="23.296875" bestFit="1" customWidth="1"/>
    <col min="1967" max="1967" width="25.5" bestFit="1" customWidth="1"/>
    <col min="1968" max="1968" width="29.8984375" bestFit="1" customWidth="1"/>
    <col min="1969" max="1969" width="30.3984375" bestFit="1" customWidth="1"/>
    <col min="1970" max="1970" width="38.3984375" bestFit="1" customWidth="1"/>
    <col min="1971" max="1971" width="39.8984375" bestFit="1" customWidth="1"/>
    <col min="1972" max="1972" width="42" bestFit="1" customWidth="1"/>
    <col min="1973" max="1973" width="46.296875" bestFit="1" customWidth="1"/>
    <col min="1974" max="1974" width="46.796875" bestFit="1" customWidth="1"/>
    <col min="1975" max="1975" width="21.8984375" bestFit="1" customWidth="1"/>
    <col min="1976" max="1976" width="23.296875" bestFit="1" customWidth="1"/>
    <col min="1977" max="1977" width="25.5" bestFit="1" customWidth="1"/>
    <col min="1978" max="1978" width="29.8984375" bestFit="1" customWidth="1"/>
    <col min="1979" max="1979" width="30.3984375" bestFit="1" customWidth="1"/>
    <col min="1980" max="1980" width="38.3984375" bestFit="1" customWidth="1"/>
    <col min="1981" max="1981" width="39.8984375" bestFit="1" customWidth="1"/>
    <col min="1982" max="1982" width="42" bestFit="1" customWidth="1"/>
    <col min="1983" max="1983" width="46.296875" bestFit="1" customWidth="1"/>
    <col min="1984" max="1984" width="46.796875" bestFit="1" customWidth="1"/>
    <col min="1985" max="1985" width="38.3984375" bestFit="1" customWidth="1"/>
    <col min="1986" max="1986" width="39.8984375" bestFit="1" customWidth="1"/>
    <col min="1987" max="1987" width="42" bestFit="1" customWidth="1"/>
    <col min="1988" max="1988" width="46.296875" bestFit="1" customWidth="1"/>
    <col min="1989" max="1989" width="46.796875" bestFit="1" customWidth="1"/>
    <col min="1990" max="1990" width="21.8984375" bestFit="1" customWidth="1"/>
    <col min="1991" max="1991" width="23.296875" bestFit="1" customWidth="1"/>
    <col min="1992" max="1992" width="25.5" bestFit="1" customWidth="1"/>
    <col min="1993" max="1993" width="29.8984375" bestFit="1" customWidth="1"/>
    <col min="1994" max="1994" width="30.3984375" bestFit="1" customWidth="1"/>
    <col min="1995" max="1995" width="38.3984375" bestFit="1" customWidth="1"/>
    <col min="1996" max="1996" width="39.8984375" bestFit="1" customWidth="1"/>
    <col min="1997" max="1997" width="42" bestFit="1" customWidth="1"/>
    <col min="1998" max="1998" width="46.296875" bestFit="1" customWidth="1"/>
    <col min="1999" max="1999" width="46.796875" bestFit="1" customWidth="1"/>
    <col min="2000" max="2000" width="38.3984375" bestFit="1" customWidth="1"/>
    <col min="2001" max="2001" width="39.8984375" bestFit="1" customWidth="1"/>
    <col min="2002" max="2002" width="42" bestFit="1" customWidth="1"/>
    <col min="2003" max="2003" width="46.296875" bestFit="1" customWidth="1"/>
    <col min="2004" max="2004" width="46.796875" bestFit="1" customWidth="1"/>
    <col min="2005" max="2005" width="21.8984375" bestFit="1" customWidth="1"/>
    <col min="2006" max="2006" width="23.296875" bestFit="1" customWidth="1"/>
    <col min="2007" max="2007" width="25.5" bestFit="1" customWidth="1"/>
    <col min="2008" max="2008" width="29.8984375" bestFit="1" customWidth="1"/>
    <col min="2009" max="2009" width="30.3984375" bestFit="1" customWidth="1"/>
    <col min="2010" max="2010" width="38.3984375" bestFit="1" customWidth="1"/>
    <col min="2011" max="2011" width="39.8984375" bestFit="1" customWidth="1"/>
    <col min="2012" max="2012" width="42" bestFit="1" customWidth="1"/>
    <col min="2013" max="2013" width="46.296875" bestFit="1" customWidth="1"/>
    <col min="2014" max="2014" width="46.796875" bestFit="1" customWidth="1"/>
    <col min="2015" max="2015" width="38.3984375" bestFit="1" customWidth="1"/>
    <col min="2016" max="2016" width="39.8984375" bestFit="1" customWidth="1"/>
    <col min="2017" max="2017" width="42" bestFit="1" customWidth="1"/>
    <col min="2018" max="2018" width="46.296875" bestFit="1" customWidth="1"/>
    <col min="2019" max="2019" width="46.796875" bestFit="1" customWidth="1"/>
    <col min="2020" max="2020" width="21.8984375" bestFit="1" customWidth="1"/>
    <col min="2021" max="2021" width="23.296875" bestFit="1" customWidth="1"/>
    <col min="2022" max="2022" width="25.5" bestFit="1" customWidth="1"/>
    <col min="2023" max="2023" width="29.8984375" bestFit="1" customWidth="1"/>
    <col min="2024" max="2024" width="30.3984375" bestFit="1" customWidth="1"/>
    <col min="2025" max="2025" width="38.3984375" bestFit="1" customWidth="1"/>
    <col min="2026" max="2026" width="39.8984375" bestFit="1" customWidth="1"/>
    <col min="2027" max="2027" width="42" bestFit="1" customWidth="1"/>
    <col min="2028" max="2028" width="46.296875" bestFit="1" customWidth="1"/>
    <col min="2029" max="2029" width="46.796875" bestFit="1" customWidth="1"/>
    <col min="2030" max="2030" width="38.3984375" bestFit="1" customWidth="1"/>
    <col min="2031" max="2031" width="39.8984375" bestFit="1" customWidth="1"/>
    <col min="2032" max="2032" width="42" bestFit="1" customWidth="1"/>
    <col min="2033" max="2033" width="46.296875" bestFit="1" customWidth="1"/>
    <col min="2034" max="2034" width="46.796875" bestFit="1" customWidth="1"/>
    <col min="2035" max="2035" width="21.8984375" bestFit="1" customWidth="1"/>
    <col min="2036" max="2036" width="23.296875" bestFit="1" customWidth="1"/>
    <col min="2037" max="2037" width="25.5" bestFit="1" customWidth="1"/>
    <col min="2038" max="2038" width="29.8984375" bestFit="1" customWidth="1"/>
    <col min="2039" max="2039" width="30.3984375" bestFit="1" customWidth="1"/>
    <col min="2040" max="2040" width="38.3984375" bestFit="1" customWidth="1"/>
    <col min="2041" max="2041" width="39.8984375" bestFit="1" customWidth="1"/>
    <col min="2042" max="2042" width="42" bestFit="1" customWidth="1"/>
    <col min="2043" max="2043" width="46.296875" bestFit="1" customWidth="1"/>
    <col min="2044" max="2044" width="46.796875" bestFit="1" customWidth="1"/>
    <col min="2045" max="2045" width="38.3984375" bestFit="1" customWidth="1"/>
    <col min="2046" max="2046" width="39.8984375" bestFit="1" customWidth="1"/>
    <col min="2047" max="2047" width="42" bestFit="1" customWidth="1"/>
    <col min="2048" max="2048" width="46.296875" bestFit="1" customWidth="1"/>
    <col min="2049" max="2049" width="46.796875" bestFit="1" customWidth="1"/>
    <col min="2050" max="2050" width="21.8984375" bestFit="1" customWidth="1"/>
    <col min="2051" max="2051" width="23.296875" bestFit="1" customWidth="1"/>
    <col min="2052" max="2052" width="25.5" bestFit="1" customWidth="1"/>
    <col min="2053" max="2053" width="29.8984375" bestFit="1" customWidth="1"/>
    <col min="2054" max="2054" width="30.3984375" bestFit="1" customWidth="1"/>
    <col min="2055" max="2055" width="25.8984375" bestFit="1" customWidth="1"/>
    <col min="2056" max="2056" width="27.59765625" bestFit="1" customWidth="1"/>
    <col min="2057" max="2057" width="29.5" bestFit="1" customWidth="1"/>
    <col min="2058" max="2058" width="34" bestFit="1" customWidth="1"/>
    <col min="2059" max="2059" width="34.5" bestFit="1" customWidth="1"/>
    <col min="2060" max="2060" width="25.8984375" bestFit="1" customWidth="1"/>
    <col min="2061" max="2061" width="27.59765625" bestFit="1" customWidth="1"/>
    <col min="2062" max="2062" width="29.5" bestFit="1" customWidth="1"/>
    <col min="2063" max="2063" width="34" bestFit="1" customWidth="1"/>
    <col min="2064" max="2064" width="34.5" bestFit="1" customWidth="1"/>
    <col min="2065" max="2065" width="21.8984375" bestFit="1" customWidth="1"/>
    <col min="2066" max="2066" width="23.296875" bestFit="1" customWidth="1"/>
    <col min="2067" max="2067" width="25.5" bestFit="1" customWidth="1"/>
    <col min="2068" max="2068" width="29.8984375" bestFit="1" customWidth="1"/>
    <col min="2069" max="2069" width="30.3984375" bestFit="1" customWidth="1"/>
    <col min="2070" max="2070" width="38.3984375" bestFit="1" customWidth="1"/>
    <col min="2071" max="2071" width="39.8984375" bestFit="1" customWidth="1"/>
    <col min="2072" max="2072" width="42" bestFit="1" customWidth="1"/>
    <col min="2073" max="2073" width="46.296875" bestFit="1" customWidth="1"/>
    <col min="2074" max="2074" width="46.796875" bestFit="1" customWidth="1"/>
    <col min="2075" max="2075" width="21.8984375" bestFit="1" customWidth="1"/>
    <col min="2076" max="2076" width="23.296875" bestFit="1" customWidth="1"/>
    <col min="2077" max="2077" width="25.5" bestFit="1" customWidth="1"/>
    <col min="2078" max="2078" width="29.8984375" bestFit="1" customWidth="1"/>
    <col min="2079" max="2079" width="30.3984375" bestFit="1" customWidth="1"/>
    <col min="2080" max="2080" width="21.8984375" bestFit="1" customWidth="1"/>
    <col min="2081" max="2081" width="23.296875" bestFit="1" customWidth="1"/>
    <col min="2082" max="2082" width="25.5" bestFit="1" customWidth="1"/>
    <col min="2083" max="2083" width="29.8984375" bestFit="1" customWidth="1"/>
    <col min="2084" max="2084" width="30.3984375" bestFit="1" customWidth="1"/>
    <col min="2085" max="2085" width="38.3984375" bestFit="1" customWidth="1"/>
    <col min="2086" max="2086" width="39.8984375" bestFit="1" customWidth="1"/>
    <col min="2087" max="2087" width="42" bestFit="1" customWidth="1"/>
    <col min="2088" max="2088" width="46.296875" bestFit="1" customWidth="1"/>
    <col min="2089" max="2089" width="46.796875" bestFit="1" customWidth="1"/>
    <col min="2090" max="2090" width="38.3984375" bestFit="1" customWidth="1"/>
    <col min="2091" max="2091" width="39.8984375" bestFit="1" customWidth="1"/>
    <col min="2092" max="2092" width="42" bestFit="1" customWidth="1"/>
    <col min="2093" max="2093" width="46.296875" bestFit="1" customWidth="1"/>
    <col min="2094" max="2094" width="46.796875" bestFit="1" customWidth="1"/>
    <col min="2095" max="2095" width="21.8984375" bestFit="1" customWidth="1"/>
    <col min="2096" max="2096" width="23.296875" bestFit="1" customWidth="1"/>
    <col min="2097" max="2097" width="25.5" bestFit="1" customWidth="1"/>
    <col min="2098" max="2098" width="29.8984375" bestFit="1" customWidth="1"/>
    <col min="2099" max="2099" width="30.3984375" bestFit="1" customWidth="1"/>
    <col min="2100" max="2100" width="38.3984375" bestFit="1" customWidth="1"/>
    <col min="2101" max="2101" width="39.8984375" bestFit="1" customWidth="1"/>
    <col min="2102" max="2102" width="42" bestFit="1" customWidth="1"/>
    <col min="2103" max="2103" width="46.296875" bestFit="1" customWidth="1"/>
    <col min="2104" max="2104" width="46.796875" bestFit="1" customWidth="1"/>
    <col min="2105" max="2105" width="38.3984375" bestFit="1" customWidth="1"/>
    <col min="2106" max="2106" width="39.8984375" bestFit="1" customWidth="1"/>
    <col min="2107" max="2107" width="42" bestFit="1" customWidth="1"/>
    <col min="2108" max="2108" width="46.296875" bestFit="1" customWidth="1"/>
    <col min="2109" max="2109" width="46.796875" bestFit="1" customWidth="1"/>
    <col min="2110" max="2110" width="21.8984375" bestFit="1" customWidth="1"/>
    <col min="2111" max="2111" width="23.296875" bestFit="1" customWidth="1"/>
    <col min="2112" max="2112" width="25.5" bestFit="1" customWidth="1"/>
    <col min="2113" max="2113" width="29.8984375" bestFit="1" customWidth="1"/>
    <col min="2114" max="2114" width="30.3984375" bestFit="1" customWidth="1"/>
    <col min="2115" max="2115" width="38.3984375" bestFit="1" customWidth="1"/>
    <col min="2116" max="2116" width="39.8984375" bestFit="1" customWidth="1"/>
    <col min="2117" max="2117" width="42" bestFit="1" customWidth="1"/>
    <col min="2118" max="2118" width="46.296875" bestFit="1" customWidth="1"/>
    <col min="2119" max="2119" width="46.796875" bestFit="1" customWidth="1"/>
    <col min="2120" max="2120" width="38.3984375" bestFit="1" customWidth="1"/>
    <col min="2121" max="2121" width="39.8984375" bestFit="1" customWidth="1"/>
    <col min="2122" max="2122" width="42" bestFit="1" customWidth="1"/>
    <col min="2123" max="2123" width="46.296875" bestFit="1" customWidth="1"/>
    <col min="2124" max="2124" width="46.796875" bestFit="1" customWidth="1"/>
    <col min="2125" max="2125" width="21.8984375" bestFit="1" customWidth="1"/>
    <col min="2126" max="2126" width="23.296875" bestFit="1" customWidth="1"/>
    <col min="2127" max="2127" width="25.5" bestFit="1" customWidth="1"/>
    <col min="2128" max="2128" width="29.8984375" bestFit="1" customWidth="1"/>
    <col min="2129" max="2129" width="30.3984375" bestFit="1" customWidth="1"/>
    <col min="2130" max="2130" width="38.3984375" bestFit="1" customWidth="1"/>
    <col min="2131" max="2131" width="39.8984375" bestFit="1" customWidth="1"/>
    <col min="2132" max="2132" width="42" bestFit="1" customWidth="1"/>
    <col min="2133" max="2133" width="46.296875" bestFit="1" customWidth="1"/>
    <col min="2134" max="2134" width="46.796875" bestFit="1" customWidth="1"/>
    <col min="2135" max="2135" width="38.3984375" bestFit="1" customWidth="1"/>
    <col min="2136" max="2136" width="39.8984375" bestFit="1" customWidth="1"/>
    <col min="2137" max="2137" width="42" bestFit="1" customWidth="1"/>
    <col min="2138" max="2138" width="46.296875" bestFit="1" customWidth="1"/>
    <col min="2139" max="2139" width="46.796875" bestFit="1" customWidth="1"/>
    <col min="2140" max="2140" width="21.8984375" bestFit="1" customWidth="1"/>
    <col min="2141" max="2141" width="23.296875" bestFit="1" customWidth="1"/>
    <col min="2142" max="2142" width="25.5" bestFit="1" customWidth="1"/>
    <col min="2143" max="2143" width="29.8984375" bestFit="1" customWidth="1"/>
    <col min="2144" max="2144" width="30.3984375" bestFit="1" customWidth="1"/>
    <col min="2145" max="2145" width="38.3984375" bestFit="1" customWidth="1"/>
    <col min="2146" max="2146" width="39.8984375" bestFit="1" customWidth="1"/>
    <col min="2147" max="2147" width="42" bestFit="1" customWidth="1"/>
    <col min="2148" max="2148" width="46.296875" bestFit="1" customWidth="1"/>
    <col min="2149" max="2149" width="46.796875" bestFit="1" customWidth="1"/>
    <col min="2150" max="2150" width="38.3984375" bestFit="1" customWidth="1"/>
    <col min="2151" max="2151" width="39.8984375" bestFit="1" customWidth="1"/>
    <col min="2152" max="2152" width="42" bestFit="1" customWidth="1"/>
    <col min="2153" max="2153" width="46.296875" bestFit="1" customWidth="1"/>
    <col min="2154" max="2154" width="46.796875" bestFit="1" customWidth="1"/>
    <col min="2155" max="2155" width="21.8984375" bestFit="1" customWidth="1"/>
    <col min="2156" max="2156" width="23.296875" bestFit="1" customWidth="1"/>
    <col min="2157" max="2157" width="25.5" bestFit="1" customWidth="1"/>
    <col min="2158" max="2158" width="29.8984375" bestFit="1" customWidth="1"/>
    <col min="2159" max="2159" width="30.3984375" bestFit="1" customWidth="1"/>
    <col min="2160" max="2160" width="38.3984375" bestFit="1" customWidth="1"/>
    <col min="2161" max="2161" width="39.8984375" bestFit="1" customWidth="1"/>
    <col min="2162" max="2162" width="42" bestFit="1" customWidth="1"/>
    <col min="2163" max="2163" width="46.296875" bestFit="1" customWidth="1"/>
    <col min="2164" max="2164" width="46.796875" bestFit="1" customWidth="1"/>
    <col min="2165" max="2165" width="38.3984375" bestFit="1" customWidth="1"/>
    <col min="2166" max="2166" width="39.8984375" bestFit="1" customWidth="1"/>
    <col min="2167" max="2167" width="42" bestFit="1" customWidth="1"/>
    <col min="2168" max="2168" width="46.296875" bestFit="1" customWidth="1"/>
    <col min="2169" max="2169" width="46.796875" bestFit="1" customWidth="1"/>
    <col min="2170" max="2170" width="21.8984375" bestFit="1" customWidth="1"/>
    <col min="2171" max="2171" width="23.296875" bestFit="1" customWidth="1"/>
    <col min="2172" max="2172" width="25.5" bestFit="1" customWidth="1"/>
    <col min="2173" max="2173" width="29.8984375" bestFit="1" customWidth="1"/>
    <col min="2174" max="2174" width="30.3984375" bestFit="1" customWidth="1"/>
    <col min="2175" max="2175" width="38.3984375" bestFit="1" customWidth="1"/>
    <col min="2176" max="2176" width="39.8984375" bestFit="1" customWidth="1"/>
    <col min="2177" max="2177" width="42" bestFit="1" customWidth="1"/>
    <col min="2178" max="2178" width="46.296875" bestFit="1" customWidth="1"/>
    <col min="2179" max="2179" width="46.796875" bestFit="1" customWidth="1"/>
    <col min="2180" max="2180" width="38.3984375" bestFit="1" customWidth="1"/>
    <col min="2181" max="2181" width="39.8984375" bestFit="1" customWidth="1"/>
    <col min="2182" max="2182" width="42" bestFit="1" customWidth="1"/>
    <col min="2183" max="2183" width="46.296875" bestFit="1" customWidth="1"/>
    <col min="2184" max="2184" width="46.796875" bestFit="1" customWidth="1"/>
    <col min="2185" max="2185" width="21.8984375" bestFit="1" customWidth="1"/>
    <col min="2186" max="2186" width="23.296875" bestFit="1" customWidth="1"/>
    <col min="2187" max="2187" width="25.5" bestFit="1" customWidth="1"/>
    <col min="2188" max="2188" width="29.8984375" bestFit="1" customWidth="1"/>
    <col min="2189" max="2189" width="30.3984375" bestFit="1" customWidth="1"/>
    <col min="2190" max="2190" width="38.3984375" bestFit="1" customWidth="1"/>
    <col min="2191" max="2191" width="39.8984375" bestFit="1" customWidth="1"/>
    <col min="2192" max="2192" width="42" bestFit="1" customWidth="1"/>
    <col min="2193" max="2193" width="46.296875" bestFit="1" customWidth="1"/>
    <col min="2194" max="2194" width="46.796875" bestFit="1" customWidth="1"/>
    <col min="2195" max="2195" width="38.3984375" bestFit="1" customWidth="1"/>
    <col min="2196" max="2196" width="39.8984375" bestFit="1" customWidth="1"/>
    <col min="2197" max="2197" width="42" bestFit="1" customWidth="1"/>
    <col min="2198" max="2198" width="46.296875" bestFit="1" customWidth="1"/>
    <col min="2199" max="2199" width="46.796875" bestFit="1" customWidth="1"/>
    <col min="2200" max="2200" width="21.8984375" bestFit="1" customWidth="1"/>
    <col min="2201" max="2201" width="23.296875" bestFit="1" customWidth="1"/>
    <col min="2202" max="2202" width="25.5" bestFit="1" customWidth="1"/>
    <col min="2203" max="2203" width="29.8984375" bestFit="1" customWidth="1"/>
    <col min="2204" max="2204" width="30.3984375" bestFit="1" customWidth="1"/>
    <col min="2205" max="2205" width="38.3984375" bestFit="1" customWidth="1"/>
    <col min="2206" max="2206" width="39.8984375" bestFit="1" customWidth="1"/>
    <col min="2207" max="2207" width="42" bestFit="1" customWidth="1"/>
    <col min="2208" max="2208" width="46.296875" bestFit="1" customWidth="1"/>
    <col min="2209" max="2209" width="46.796875" bestFit="1" customWidth="1"/>
    <col min="2210" max="2210" width="38.3984375" bestFit="1" customWidth="1"/>
    <col min="2211" max="2211" width="39.8984375" bestFit="1" customWidth="1"/>
    <col min="2212" max="2212" width="42" bestFit="1" customWidth="1"/>
    <col min="2213" max="2213" width="46.296875" bestFit="1" customWidth="1"/>
    <col min="2214" max="2214" width="46.796875" bestFit="1" customWidth="1"/>
    <col min="2215" max="2215" width="21.8984375" bestFit="1" customWidth="1"/>
    <col min="2216" max="2216" width="23.296875" bestFit="1" customWidth="1"/>
    <col min="2217" max="2217" width="25.5" bestFit="1" customWidth="1"/>
    <col min="2218" max="2218" width="29.8984375" bestFit="1" customWidth="1"/>
    <col min="2219" max="2219" width="30.3984375" bestFit="1" customWidth="1"/>
    <col min="2220" max="2220" width="38.3984375" bestFit="1" customWidth="1"/>
    <col min="2221" max="2221" width="39.8984375" bestFit="1" customWidth="1"/>
    <col min="2222" max="2222" width="42" bestFit="1" customWidth="1"/>
    <col min="2223" max="2223" width="46.296875" bestFit="1" customWidth="1"/>
    <col min="2224" max="2224" width="46.796875" bestFit="1" customWidth="1"/>
    <col min="2225" max="2225" width="38.3984375" bestFit="1" customWidth="1"/>
    <col min="2226" max="2226" width="39.8984375" bestFit="1" customWidth="1"/>
    <col min="2227" max="2227" width="42" bestFit="1" customWidth="1"/>
    <col min="2228" max="2228" width="46.296875" bestFit="1" customWidth="1"/>
    <col min="2229" max="2229" width="46.796875" bestFit="1" customWidth="1"/>
    <col min="2230" max="2230" width="21.8984375" bestFit="1" customWidth="1"/>
    <col min="2231" max="2231" width="23.296875" bestFit="1" customWidth="1"/>
    <col min="2232" max="2232" width="25.5" bestFit="1" customWidth="1"/>
    <col min="2233" max="2233" width="29.8984375" bestFit="1" customWidth="1"/>
    <col min="2234" max="2234" width="30.3984375" bestFit="1" customWidth="1"/>
    <col min="2235" max="2235" width="38.3984375" bestFit="1" customWidth="1"/>
    <col min="2236" max="2236" width="39.8984375" bestFit="1" customWidth="1"/>
    <col min="2237" max="2237" width="42" bestFit="1" customWidth="1"/>
    <col min="2238" max="2238" width="46.296875" bestFit="1" customWidth="1"/>
    <col min="2239" max="2239" width="46.796875" bestFit="1" customWidth="1"/>
    <col min="2240" max="2240" width="38.3984375" bestFit="1" customWidth="1"/>
    <col min="2241" max="2241" width="39.8984375" bestFit="1" customWidth="1"/>
    <col min="2242" max="2242" width="42" bestFit="1" customWidth="1"/>
    <col min="2243" max="2243" width="46.296875" bestFit="1" customWidth="1"/>
    <col min="2244" max="2244" width="46.796875" bestFit="1" customWidth="1"/>
    <col min="2245" max="2245" width="21.8984375" bestFit="1" customWidth="1"/>
    <col min="2246" max="2246" width="23.296875" bestFit="1" customWidth="1"/>
    <col min="2247" max="2247" width="25.5" bestFit="1" customWidth="1"/>
    <col min="2248" max="2248" width="29.8984375" bestFit="1" customWidth="1"/>
    <col min="2249" max="2249" width="30.3984375" bestFit="1" customWidth="1"/>
    <col min="2250" max="2250" width="38.3984375" bestFit="1" customWidth="1"/>
    <col min="2251" max="2251" width="39.8984375" bestFit="1" customWidth="1"/>
    <col min="2252" max="2252" width="42" bestFit="1" customWidth="1"/>
    <col min="2253" max="2253" width="46.296875" bestFit="1" customWidth="1"/>
    <col min="2254" max="2254" width="46.796875" bestFit="1" customWidth="1"/>
    <col min="2255" max="2255" width="38.3984375" bestFit="1" customWidth="1"/>
    <col min="2256" max="2256" width="39.8984375" bestFit="1" customWidth="1"/>
    <col min="2257" max="2257" width="42" bestFit="1" customWidth="1"/>
    <col min="2258" max="2258" width="46.296875" bestFit="1" customWidth="1"/>
    <col min="2259" max="2259" width="46.796875" bestFit="1" customWidth="1"/>
    <col min="2260" max="2260" width="21.8984375" bestFit="1" customWidth="1"/>
    <col min="2261" max="2261" width="23.296875" bestFit="1" customWidth="1"/>
    <col min="2262" max="2262" width="25.5" bestFit="1" customWidth="1"/>
    <col min="2263" max="2263" width="29.8984375" bestFit="1" customWidth="1"/>
    <col min="2264" max="2264" width="30.3984375" bestFit="1" customWidth="1"/>
    <col min="2265" max="2265" width="38.3984375" bestFit="1" customWidth="1"/>
    <col min="2266" max="2266" width="39.8984375" bestFit="1" customWidth="1"/>
    <col min="2267" max="2267" width="42" bestFit="1" customWidth="1"/>
    <col min="2268" max="2268" width="46.296875" bestFit="1" customWidth="1"/>
    <col min="2269" max="2269" width="46.796875" bestFit="1" customWidth="1"/>
    <col min="2270" max="2270" width="38.3984375" bestFit="1" customWidth="1"/>
    <col min="2271" max="2271" width="39.8984375" bestFit="1" customWidth="1"/>
    <col min="2272" max="2272" width="42" bestFit="1" customWidth="1"/>
    <col min="2273" max="2273" width="46.296875" bestFit="1" customWidth="1"/>
    <col min="2274" max="2274" width="46.796875" bestFit="1" customWidth="1"/>
    <col min="2275" max="2275" width="21.8984375" bestFit="1" customWidth="1"/>
    <col min="2276" max="2276" width="23.296875" bestFit="1" customWidth="1"/>
    <col min="2277" max="2277" width="25.5" bestFit="1" customWidth="1"/>
    <col min="2278" max="2278" width="29.8984375" bestFit="1" customWidth="1"/>
    <col min="2279" max="2279" width="30.3984375" bestFit="1" customWidth="1"/>
    <col min="2280" max="2280" width="38.3984375" bestFit="1" customWidth="1"/>
    <col min="2281" max="2281" width="39.8984375" bestFit="1" customWidth="1"/>
    <col min="2282" max="2282" width="42" bestFit="1" customWidth="1"/>
    <col min="2283" max="2283" width="46.296875" bestFit="1" customWidth="1"/>
    <col min="2284" max="2284" width="46.796875" bestFit="1" customWidth="1"/>
    <col min="2285" max="2285" width="38.3984375" bestFit="1" customWidth="1"/>
    <col min="2286" max="2286" width="39.8984375" bestFit="1" customWidth="1"/>
    <col min="2287" max="2287" width="42" bestFit="1" customWidth="1"/>
    <col min="2288" max="2288" width="46.296875" bestFit="1" customWidth="1"/>
    <col min="2289" max="2289" width="46.796875" bestFit="1" customWidth="1"/>
    <col min="2290" max="2290" width="21.8984375" bestFit="1" customWidth="1"/>
    <col min="2291" max="2291" width="23.296875" bestFit="1" customWidth="1"/>
    <col min="2292" max="2292" width="25.5" bestFit="1" customWidth="1"/>
    <col min="2293" max="2293" width="29.8984375" bestFit="1" customWidth="1"/>
    <col min="2294" max="2294" width="30.3984375" bestFit="1" customWidth="1"/>
    <col min="2295" max="2295" width="25.8984375" bestFit="1" customWidth="1"/>
    <col min="2296" max="2296" width="27.59765625" bestFit="1" customWidth="1"/>
    <col min="2297" max="2297" width="29.5" bestFit="1" customWidth="1"/>
    <col min="2298" max="2298" width="34" bestFit="1" customWidth="1"/>
    <col min="2299" max="2299" width="34.5" bestFit="1" customWidth="1"/>
    <col min="2300" max="2300" width="25.8984375" bestFit="1" customWidth="1"/>
    <col min="2301" max="2301" width="27.59765625" bestFit="1" customWidth="1"/>
    <col min="2302" max="2302" width="29.5" bestFit="1" customWidth="1"/>
    <col min="2303" max="2303" width="34" bestFit="1" customWidth="1"/>
    <col min="2304" max="2304" width="34.5" bestFit="1" customWidth="1"/>
    <col min="2305" max="2305" width="21.8984375" bestFit="1" customWidth="1"/>
    <col min="2306" max="2306" width="23.296875" bestFit="1" customWidth="1"/>
    <col min="2307" max="2307" width="25.5" bestFit="1" customWidth="1"/>
    <col min="2308" max="2308" width="29.8984375" bestFit="1" customWidth="1"/>
    <col min="2309" max="2309" width="30.3984375" bestFit="1" customWidth="1"/>
    <col min="2310" max="2310" width="38.3984375" bestFit="1" customWidth="1"/>
    <col min="2311" max="2311" width="39.8984375" bestFit="1" customWidth="1"/>
    <col min="2312" max="2312" width="42" bestFit="1" customWidth="1"/>
    <col min="2313" max="2313" width="46.296875" bestFit="1" customWidth="1"/>
    <col min="2314" max="2314" width="46.796875" bestFit="1" customWidth="1"/>
    <col min="2315" max="2315" width="38.3984375" bestFit="1" customWidth="1"/>
    <col min="2316" max="2316" width="39.8984375" bestFit="1" customWidth="1"/>
    <col min="2317" max="2317" width="42" bestFit="1" customWidth="1"/>
    <col min="2318" max="2318" width="46.296875" bestFit="1" customWidth="1"/>
    <col min="2319" max="2319" width="46.796875" bestFit="1" customWidth="1"/>
    <col min="2320" max="2320" width="21.8984375" bestFit="1" customWidth="1"/>
    <col min="2321" max="2321" width="23.296875" bestFit="1" customWidth="1"/>
    <col min="2322" max="2322" width="25.5" bestFit="1" customWidth="1"/>
    <col min="2323" max="2323" width="29.8984375" bestFit="1" customWidth="1"/>
    <col min="2324" max="2324" width="30.3984375" bestFit="1" customWidth="1"/>
    <col min="2325" max="2325" width="26.8984375" bestFit="1" customWidth="1"/>
    <col min="2326" max="2326" width="28.5" bestFit="1" customWidth="1"/>
    <col min="2327" max="2327" width="30.59765625" bestFit="1" customWidth="1"/>
    <col min="2328" max="2328" width="35" bestFit="1" customWidth="1"/>
    <col min="2329" max="2329" width="35.5" bestFit="1" customWidth="1"/>
    <col min="2330" max="2330" width="26.8984375" bestFit="1" customWidth="1"/>
    <col min="2331" max="2331" width="28.5" bestFit="1" customWidth="1"/>
    <col min="2332" max="2332" width="30.59765625" bestFit="1" customWidth="1"/>
    <col min="2333" max="2333" width="35" bestFit="1" customWidth="1"/>
    <col min="2334" max="2334" width="35.5" bestFit="1" customWidth="1"/>
    <col min="2335" max="2335" width="21.8984375" bestFit="1" customWidth="1"/>
    <col min="2336" max="2336" width="23.296875" bestFit="1" customWidth="1"/>
    <col min="2337" max="2337" width="25.5" bestFit="1" customWidth="1"/>
    <col min="2338" max="2338" width="29.8984375" bestFit="1" customWidth="1"/>
    <col min="2339" max="2339" width="30.3984375" bestFit="1" customWidth="1"/>
    <col min="2340" max="2340" width="38.3984375" bestFit="1" customWidth="1"/>
    <col min="2341" max="2341" width="39.8984375" bestFit="1" customWidth="1"/>
    <col min="2342" max="2342" width="42" bestFit="1" customWidth="1"/>
    <col min="2343" max="2343" width="46.296875" bestFit="1" customWidth="1"/>
    <col min="2344" max="2344" width="46.796875" bestFit="1" customWidth="1"/>
    <col min="2345" max="2345" width="38.3984375" bestFit="1" customWidth="1"/>
    <col min="2346" max="2346" width="39.8984375" bestFit="1" customWidth="1"/>
    <col min="2347" max="2347" width="42" bestFit="1" customWidth="1"/>
    <col min="2348" max="2348" width="46.296875" bestFit="1" customWidth="1"/>
    <col min="2349" max="2349" width="46.796875" bestFit="1" customWidth="1"/>
    <col min="2350" max="2350" width="21.8984375" bestFit="1" customWidth="1"/>
    <col min="2351" max="2351" width="23.296875" bestFit="1" customWidth="1"/>
    <col min="2352" max="2352" width="25.5" bestFit="1" customWidth="1"/>
    <col min="2353" max="2353" width="29.8984375" bestFit="1" customWidth="1"/>
    <col min="2354" max="2354" width="30.3984375" bestFit="1" customWidth="1"/>
    <col min="2355" max="2355" width="21.8984375" bestFit="1" customWidth="1"/>
    <col min="2356" max="2356" width="23.296875" bestFit="1" customWidth="1"/>
    <col min="2357" max="2357" width="25.5" bestFit="1" customWidth="1"/>
    <col min="2358" max="2358" width="29.8984375" bestFit="1" customWidth="1"/>
    <col min="2359" max="2359" width="30.3984375" bestFit="1" customWidth="1"/>
    <col min="2360" max="2360" width="21.8984375" bestFit="1" customWidth="1"/>
    <col min="2361" max="2361" width="23.296875" bestFit="1" customWidth="1"/>
    <col min="2362" max="2362" width="25.5" bestFit="1" customWidth="1"/>
    <col min="2363" max="2363" width="29.8984375" bestFit="1" customWidth="1"/>
    <col min="2364" max="2364" width="30.3984375" bestFit="1" customWidth="1"/>
    <col min="2365" max="2365" width="21.8984375" bestFit="1" customWidth="1"/>
    <col min="2366" max="2366" width="23.296875" bestFit="1" customWidth="1"/>
    <col min="2367" max="2367" width="25.5" bestFit="1" customWidth="1"/>
    <col min="2368" max="2368" width="29.8984375" bestFit="1" customWidth="1"/>
    <col min="2369" max="2369" width="30.3984375" bestFit="1" customWidth="1"/>
    <col min="2370" max="2370" width="22.3984375" bestFit="1" customWidth="1"/>
    <col min="2371" max="2371" width="23.796875" bestFit="1" customWidth="1"/>
    <col min="2372" max="2372" width="25.8984375" bestFit="1" customWidth="1"/>
    <col min="2373" max="2373" width="30.3984375" bestFit="1" customWidth="1"/>
    <col min="2374" max="2374" width="30.8984375" bestFit="1" customWidth="1"/>
    <col min="2375" max="2375" width="22.3984375" bestFit="1" customWidth="1"/>
    <col min="2376" max="2376" width="23.796875" bestFit="1" customWidth="1"/>
    <col min="2377" max="2377" width="25.8984375" bestFit="1" customWidth="1"/>
    <col min="2378" max="2378" width="30.3984375" bestFit="1" customWidth="1"/>
    <col min="2379" max="2379" width="30.8984375" bestFit="1" customWidth="1"/>
    <col min="2380" max="2380" width="26.3984375" bestFit="1" customWidth="1"/>
    <col min="2381" max="2381" width="27.8984375" bestFit="1" customWidth="1"/>
    <col min="2382" max="2382" width="30" bestFit="1" customWidth="1"/>
    <col min="2383" max="2383" width="34.296875" bestFit="1" customWidth="1"/>
    <col min="2384" max="2384" width="34.796875" bestFit="1" customWidth="1"/>
    <col min="2385" max="2385" width="26.3984375" bestFit="1" customWidth="1"/>
    <col min="2386" max="2386" width="27.8984375" bestFit="1" customWidth="1"/>
    <col min="2387" max="2387" width="30" bestFit="1" customWidth="1"/>
    <col min="2388" max="2388" width="34.296875" bestFit="1" customWidth="1"/>
    <col min="2389" max="2389" width="34.796875" bestFit="1" customWidth="1"/>
    <col min="2390" max="2390" width="29.8984375" bestFit="1" customWidth="1"/>
    <col min="2391" max="2391" width="42.09765625" bestFit="1" customWidth="1"/>
    <col min="2392" max="2392" width="41.8984375" bestFit="1" customWidth="1"/>
    <col min="2393" max="2393" width="42" bestFit="1" customWidth="1"/>
    <col min="2394" max="2394" width="46.296875" bestFit="1" customWidth="1"/>
    <col min="2395" max="2395" width="42.09765625" bestFit="1" customWidth="1"/>
    <col min="2396" max="2396" width="41.8984375" bestFit="1" customWidth="1"/>
    <col min="2397" max="2397" width="42" bestFit="1" customWidth="1"/>
    <col min="2398" max="2398" width="46.296875" bestFit="1" customWidth="1"/>
    <col min="2399" max="2399" width="25.59765625" bestFit="1" customWidth="1"/>
    <col min="2400" max="2401" width="25.5" bestFit="1" customWidth="1"/>
    <col min="2402" max="2402" width="29.8984375" bestFit="1" customWidth="1"/>
    <col min="2403" max="2403" width="42.09765625" bestFit="1" customWidth="1"/>
    <col min="2404" max="2404" width="41.8984375" bestFit="1" customWidth="1"/>
    <col min="2405" max="2405" width="42" bestFit="1" customWidth="1"/>
    <col min="2406" max="2406" width="46.296875" bestFit="1" customWidth="1"/>
    <col min="2407" max="2407" width="42.09765625" bestFit="1" customWidth="1"/>
    <col min="2408" max="2408" width="41.8984375" bestFit="1" customWidth="1"/>
    <col min="2409" max="2409" width="42" bestFit="1" customWidth="1"/>
    <col min="2410" max="2410" width="46.296875" bestFit="1" customWidth="1"/>
    <col min="2411" max="2411" width="25.59765625" bestFit="1" customWidth="1"/>
    <col min="2412" max="2413" width="25.5" bestFit="1" customWidth="1"/>
    <col min="2414" max="2414" width="29.8984375" bestFit="1" customWidth="1"/>
    <col min="2415" max="2415" width="42.09765625" bestFit="1" customWidth="1"/>
    <col min="2416" max="2416" width="41.8984375" bestFit="1" customWidth="1"/>
    <col min="2417" max="2417" width="42" bestFit="1" customWidth="1"/>
    <col min="2418" max="2418" width="46.296875" bestFit="1" customWidth="1"/>
    <col min="2419" max="2419" width="42.09765625" bestFit="1" customWidth="1"/>
    <col min="2420" max="2420" width="41.8984375" bestFit="1" customWidth="1"/>
    <col min="2421" max="2421" width="42" bestFit="1" customWidth="1"/>
    <col min="2422" max="2422" width="46.296875" bestFit="1" customWidth="1"/>
    <col min="2423" max="2423" width="25.59765625" bestFit="1" customWidth="1"/>
    <col min="2424" max="2425" width="25.5" bestFit="1" customWidth="1"/>
    <col min="2426" max="2426" width="29.8984375" bestFit="1" customWidth="1"/>
    <col min="2427" max="2427" width="42.09765625" bestFit="1" customWidth="1"/>
    <col min="2428" max="2428" width="41.8984375" bestFit="1" customWidth="1"/>
    <col min="2429" max="2429" width="42" bestFit="1" customWidth="1"/>
    <col min="2430" max="2430" width="46.296875" bestFit="1" customWidth="1"/>
    <col min="2431" max="2431" width="42.09765625" bestFit="1" customWidth="1"/>
    <col min="2432" max="2432" width="41.8984375" bestFit="1" customWidth="1"/>
    <col min="2433" max="2433" width="42" bestFit="1" customWidth="1"/>
    <col min="2434" max="2434" width="46.296875" bestFit="1" customWidth="1"/>
    <col min="2435" max="2435" width="25.59765625" bestFit="1" customWidth="1"/>
    <col min="2436" max="2437" width="25.5" bestFit="1" customWidth="1"/>
    <col min="2438" max="2438" width="29.8984375" bestFit="1" customWidth="1"/>
    <col min="2439" max="2439" width="29.69921875" bestFit="1" customWidth="1"/>
    <col min="2440" max="2441" width="29.5" bestFit="1" customWidth="1"/>
    <col min="2442" max="2442" width="34" bestFit="1" customWidth="1"/>
    <col min="2443" max="2443" width="29.69921875" bestFit="1" customWidth="1"/>
    <col min="2444" max="2445" width="29.5" bestFit="1" customWidth="1"/>
    <col min="2446" max="2446" width="34" bestFit="1" customWidth="1"/>
    <col min="2447" max="2447" width="25.59765625" bestFit="1" customWidth="1"/>
    <col min="2448" max="2449" width="25.5" bestFit="1" customWidth="1"/>
    <col min="2450" max="2450" width="29.8984375" bestFit="1" customWidth="1"/>
    <col min="2451" max="2451" width="30.59765625" bestFit="1" customWidth="1"/>
    <col min="2452" max="2452" width="30.5" bestFit="1" customWidth="1"/>
    <col min="2453" max="2453" width="30.59765625" bestFit="1" customWidth="1"/>
    <col min="2454" max="2454" width="35" bestFit="1" customWidth="1"/>
    <col min="2455" max="2455" width="30.59765625" bestFit="1" customWidth="1"/>
    <col min="2456" max="2456" width="30.5" bestFit="1" customWidth="1"/>
    <col min="2457" max="2457" width="30.59765625" bestFit="1" customWidth="1"/>
    <col min="2458" max="2458" width="35" bestFit="1" customWidth="1"/>
    <col min="2459" max="2459" width="25.59765625" bestFit="1" customWidth="1"/>
    <col min="2460" max="2461" width="25.5" bestFit="1" customWidth="1"/>
    <col min="2462" max="2462" width="29.8984375" bestFit="1" customWidth="1"/>
    <col min="2463" max="2463" width="42.09765625" bestFit="1" customWidth="1"/>
    <col min="2464" max="2464" width="41.8984375" bestFit="1" customWidth="1"/>
    <col min="2465" max="2465" width="42" bestFit="1" customWidth="1"/>
    <col min="2466" max="2466" width="46.296875" bestFit="1" customWidth="1"/>
    <col min="2467" max="2467" width="42.09765625" bestFit="1" customWidth="1"/>
    <col min="2468" max="2468" width="41.8984375" bestFit="1" customWidth="1"/>
    <col min="2469" max="2469" width="42" bestFit="1" customWidth="1"/>
    <col min="2470" max="2470" width="46.296875" bestFit="1" customWidth="1"/>
    <col min="2471" max="2471" width="25.59765625" bestFit="1" customWidth="1"/>
    <col min="2472" max="2473" width="25.5" bestFit="1" customWidth="1"/>
    <col min="2474" max="2474" width="29.8984375" bestFit="1" customWidth="1"/>
    <col min="2475" max="2475" width="26.09765625" bestFit="1" customWidth="1"/>
    <col min="2476" max="2477" width="25.8984375" bestFit="1" customWidth="1"/>
    <col min="2478" max="2478" width="30.3984375" bestFit="1" customWidth="1"/>
    <col min="2479" max="2479" width="26.09765625" bestFit="1" customWidth="1"/>
    <col min="2480" max="2481" width="25.8984375" bestFit="1" customWidth="1"/>
    <col min="2482" max="2482" width="30.3984375" bestFit="1" customWidth="1"/>
    <col min="2483" max="2483" width="26.09765625" bestFit="1" customWidth="1"/>
    <col min="2484" max="2485" width="25.8984375" bestFit="1" customWidth="1"/>
    <col min="2486" max="2486" width="30.3984375" bestFit="1" customWidth="1"/>
    <col min="2487" max="2487" width="30.09765625" bestFit="1" customWidth="1"/>
    <col min="2488" max="2488" width="29.8984375" bestFit="1" customWidth="1"/>
    <col min="2489" max="2489" width="30" bestFit="1" customWidth="1"/>
    <col min="2490" max="2490" width="34.296875" bestFit="1" customWidth="1"/>
    <col min="2491" max="2491" width="28" bestFit="1" customWidth="1"/>
    <col min="2492" max="2492" width="25.59765625" bestFit="1" customWidth="1"/>
    <col min="2493" max="2494" width="25.5" bestFit="1" customWidth="1"/>
    <col min="2495" max="2495" width="42.09765625" bestFit="1" customWidth="1"/>
    <col min="2496" max="2496" width="41.8984375" bestFit="1" customWidth="1"/>
    <col min="2497" max="2497" width="42" bestFit="1" customWidth="1"/>
    <col min="2498" max="2498" width="42.09765625" bestFit="1" customWidth="1"/>
    <col min="2499" max="2499" width="41.8984375" bestFit="1" customWidth="1"/>
    <col min="2500" max="2500" width="42" bestFit="1" customWidth="1"/>
    <col min="2501" max="2501" width="26.09765625" bestFit="1" customWidth="1"/>
    <col min="2502" max="2503" width="25.8984375" bestFit="1" customWidth="1"/>
    <col min="2504" max="2504" width="42.09765625" bestFit="1" customWidth="1"/>
    <col min="2505" max="2505" width="41.8984375" bestFit="1" customWidth="1"/>
    <col min="2506" max="2506" width="42" bestFit="1" customWidth="1"/>
    <col min="2507" max="2507" width="25.59765625" bestFit="1" customWidth="1"/>
    <col min="2508" max="2509" width="25.5" bestFit="1" customWidth="1"/>
    <col min="2510" max="2510" width="42.09765625" bestFit="1" customWidth="1"/>
    <col min="2511" max="2511" width="41.8984375" bestFit="1" customWidth="1"/>
    <col min="2512" max="2512" width="42" bestFit="1" customWidth="1"/>
    <col min="2513" max="2513" width="42.09765625" bestFit="1" customWidth="1"/>
    <col min="2514" max="2514" width="41.8984375" bestFit="1" customWidth="1"/>
    <col min="2515" max="2515" width="42" bestFit="1" customWidth="1"/>
    <col min="2516" max="2516" width="42.09765625" bestFit="1" customWidth="1"/>
    <col min="2517" max="2517" width="41.8984375" bestFit="1" customWidth="1"/>
    <col min="2518" max="2518" width="42" bestFit="1" customWidth="1"/>
    <col min="2519" max="2519" width="42.09765625" bestFit="1" customWidth="1"/>
    <col min="2520" max="2520" width="41.8984375" bestFit="1" customWidth="1"/>
    <col min="2521" max="2521" width="42" bestFit="1" customWidth="1"/>
    <col min="2522" max="2522" width="25.59765625" bestFit="1" customWidth="1"/>
    <col min="2523" max="2524" width="25.5" bestFit="1" customWidth="1"/>
    <col min="2525" max="2525" width="42.09765625" bestFit="1" customWidth="1"/>
    <col min="2526" max="2526" width="41.8984375" bestFit="1" customWidth="1"/>
    <col min="2527" max="2527" width="42" bestFit="1" customWidth="1"/>
    <col min="2528" max="2528" width="42.09765625" bestFit="1" customWidth="1"/>
    <col min="2529" max="2529" width="41.8984375" bestFit="1" customWidth="1"/>
    <col min="2530" max="2530" width="42" bestFit="1" customWidth="1"/>
    <col min="2531" max="2531" width="42.09765625" bestFit="1" customWidth="1"/>
    <col min="2532" max="2532" width="41.8984375" bestFit="1" customWidth="1"/>
    <col min="2533" max="2533" width="42" bestFit="1" customWidth="1"/>
    <col min="2534" max="2534" width="25.59765625" bestFit="1" customWidth="1"/>
    <col min="2535" max="2536" width="25.5" bestFit="1" customWidth="1"/>
    <col min="2537" max="2537" width="29.69921875" bestFit="1" customWidth="1"/>
    <col min="2538" max="2539" width="29.5" bestFit="1" customWidth="1"/>
    <col min="2540" max="2540" width="29.69921875" bestFit="1" customWidth="1"/>
    <col min="2541" max="2542" width="29.5" bestFit="1" customWidth="1"/>
    <col min="2543" max="2543" width="42.09765625" bestFit="1" customWidth="1"/>
    <col min="2544" max="2544" width="41.8984375" bestFit="1" customWidth="1"/>
    <col min="2545" max="2545" width="42" bestFit="1" customWidth="1"/>
    <col min="2546" max="2546" width="42.09765625" bestFit="1" customWidth="1"/>
    <col min="2547" max="2547" width="41.8984375" bestFit="1" customWidth="1"/>
    <col min="2548" max="2548" width="42" bestFit="1" customWidth="1"/>
    <col min="2549" max="2549" width="25.59765625" bestFit="1" customWidth="1"/>
    <col min="2550" max="2551" width="25.5" bestFit="1" customWidth="1"/>
    <col min="2552" max="2552" width="42.09765625" bestFit="1" customWidth="1"/>
    <col min="2553" max="2553" width="41.8984375" bestFit="1" customWidth="1"/>
    <col min="2554" max="2554" width="42" bestFit="1" customWidth="1"/>
    <col min="2555" max="2555" width="42.09765625" bestFit="1" customWidth="1"/>
    <col min="2556" max="2556" width="41.8984375" bestFit="1" customWidth="1"/>
    <col min="2557" max="2557" width="42" bestFit="1" customWidth="1"/>
    <col min="2558" max="2558" width="25.59765625" bestFit="1" customWidth="1"/>
    <col min="2559" max="2560" width="25.5" bestFit="1" customWidth="1"/>
    <col min="2561" max="2561" width="26.09765625" bestFit="1" customWidth="1"/>
    <col min="2562" max="2563" width="25.8984375" bestFit="1" customWidth="1"/>
    <col min="2564" max="2564" width="26.09765625" bestFit="1" customWidth="1"/>
    <col min="2565" max="2566" width="25.8984375" bestFit="1" customWidth="1"/>
    <col min="2567" max="2567" width="26.09765625" bestFit="1" customWidth="1"/>
    <col min="2568" max="2569" width="25.8984375" bestFit="1" customWidth="1"/>
    <col min="2570" max="2570" width="26.09765625" bestFit="1" customWidth="1"/>
    <col min="2571" max="2572" width="25.8984375" bestFit="1" customWidth="1"/>
    <col min="2573" max="2573" width="30.09765625" bestFit="1" customWidth="1"/>
    <col min="2574" max="2574" width="29.8984375" bestFit="1" customWidth="1"/>
    <col min="2575" max="2575" width="30" bestFit="1" customWidth="1"/>
  </cols>
  <sheetData>
    <row r="1" spans="1:83" ht="39.75" customHeight="1" x14ac:dyDescent="0.25">
      <c r="A1" s="35" t="s">
        <v>257</v>
      </c>
      <c r="B1" s="23" t="s">
        <v>6</v>
      </c>
      <c r="C1" s="23" t="s">
        <v>90</v>
      </c>
      <c r="D1" s="14" t="s">
        <v>196</v>
      </c>
      <c r="E1" s="14" t="s">
        <v>5</v>
      </c>
      <c r="F1" s="15" t="s">
        <v>10</v>
      </c>
      <c r="G1" s="16" t="s">
        <v>52</v>
      </c>
      <c r="H1" s="16" t="s">
        <v>53</v>
      </c>
      <c r="I1" s="17" t="s">
        <v>54</v>
      </c>
      <c r="J1" s="17" t="s">
        <v>130</v>
      </c>
      <c r="K1" s="21" t="s">
        <v>11</v>
      </c>
      <c r="L1" s="14" t="s">
        <v>55</v>
      </c>
      <c r="M1" s="14" t="s">
        <v>56</v>
      </c>
      <c r="N1" s="14" t="s">
        <v>57</v>
      </c>
      <c r="O1" s="14" t="s">
        <v>131</v>
      </c>
      <c r="P1" s="14" t="s">
        <v>12</v>
      </c>
      <c r="Q1" s="14" t="s">
        <v>58</v>
      </c>
      <c r="R1" s="14" t="s">
        <v>59</v>
      </c>
      <c r="S1" s="14" t="s">
        <v>60</v>
      </c>
      <c r="T1" s="14" t="s">
        <v>132</v>
      </c>
      <c r="U1" s="14" t="s">
        <v>13</v>
      </c>
      <c r="V1" s="14" t="s">
        <v>61</v>
      </c>
      <c r="W1" s="14" t="s">
        <v>62</v>
      </c>
      <c r="X1" s="14" t="s">
        <v>63</v>
      </c>
      <c r="Y1" s="14" t="s">
        <v>133</v>
      </c>
      <c r="Z1" s="14" t="s">
        <v>14</v>
      </c>
      <c r="AA1" s="14" t="s">
        <v>64</v>
      </c>
      <c r="AB1" s="14" t="s">
        <v>65</v>
      </c>
      <c r="AC1" s="14" t="s">
        <v>66</v>
      </c>
      <c r="AD1" s="14" t="s">
        <v>134</v>
      </c>
      <c r="AE1" s="14" t="s">
        <v>15</v>
      </c>
      <c r="AF1" s="14" t="s">
        <v>67</v>
      </c>
      <c r="AG1" s="14" t="s">
        <v>68</v>
      </c>
      <c r="AH1" s="14" t="s">
        <v>69</v>
      </c>
      <c r="AI1" s="14" t="s">
        <v>135</v>
      </c>
      <c r="AJ1" s="14" t="s">
        <v>16</v>
      </c>
      <c r="AK1" s="14" t="s">
        <v>70</v>
      </c>
      <c r="AL1" s="14" t="s">
        <v>71</v>
      </c>
      <c r="AM1" s="14" t="s">
        <v>72</v>
      </c>
      <c r="AN1" s="14" t="s">
        <v>136</v>
      </c>
      <c r="AO1" s="14" t="s">
        <v>17</v>
      </c>
      <c r="AP1" s="14" t="s">
        <v>73</v>
      </c>
      <c r="AQ1" s="14" t="s">
        <v>74</v>
      </c>
      <c r="AR1" s="14" t="s">
        <v>75</v>
      </c>
      <c r="AS1" s="14" t="s">
        <v>137</v>
      </c>
      <c r="AT1" s="14" t="s">
        <v>18</v>
      </c>
      <c r="AU1" s="14" t="s">
        <v>76</v>
      </c>
      <c r="AV1" s="14" t="s">
        <v>77</v>
      </c>
      <c r="AW1" s="14" t="s">
        <v>78</v>
      </c>
      <c r="AX1" s="14" t="s">
        <v>138</v>
      </c>
      <c r="AY1" s="14" t="s">
        <v>19</v>
      </c>
      <c r="AZ1" s="14" t="s">
        <v>79</v>
      </c>
      <c r="BA1" s="14" t="s">
        <v>80</v>
      </c>
      <c r="BB1" s="14" t="s">
        <v>81</v>
      </c>
      <c r="BC1" s="23" t="s">
        <v>139</v>
      </c>
      <c r="BD1" s="35" t="s">
        <v>6</v>
      </c>
      <c r="BE1" s="35" t="s">
        <v>90</v>
      </c>
      <c r="BF1" s="98" t="s">
        <v>196</v>
      </c>
      <c r="BG1" s="35" t="s">
        <v>5</v>
      </c>
      <c r="BH1" s="35" t="s">
        <v>187</v>
      </c>
      <c r="BI1" s="35" t="s">
        <v>107</v>
      </c>
      <c r="BJ1" s="35" t="s">
        <v>21</v>
      </c>
      <c r="BK1" s="35" t="s">
        <v>102</v>
      </c>
      <c r="BL1" s="35" t="s">
        <v>7</v>
      </c>
      <c r="BM1" s="35" t="s">
        <v>106</v>
      </c>
      <c r="BN1" s="35" t="s">
        <v>140</v>
      </c>
      <c r="BO1" s="35" t="s">
        <v>215</v>
      </c>
      <c r="BP1" s="35" t="s">
        <v>210</v>
      </c>
      <c r="BQ1" s="35" t="s">
        <v>112</v>
      </c>
      <c r="BT1" s="35" t="s">
        <v>201</v>
      </c>
      <c r="BU1" s="35" t="s">
        <v>5</v>
      </c>
      <c r="BV1" s="35" t="s">
        <v>199</v>
      </c>
      <c r="BW1" s="35" t="s">
        <v>198</v>
      </c>
      <c r="BX1" s="35" t="s">
        <v>197</v>
      </c>
      <c r="BY1" s="93" t="s">
        <v>196</v>
      </c>
      <c r="BZ1" s="93" t="s">
        <v>143</v>
      </c>
      <c r="CA1" s="93" t="s">
        <v>24</v>
      </c>
      <c r="CB1" s="93" t="s">
        <v>22</v>
      </c>
      <c r="CC1" s="93" t="s">
        <v>216</v>
      </c>
      <c r="CD1" s="93" t="s">
        <v>200</v>
      </c>
      <c r="CE1" s="93" t="s">
        <v>218</v>
      </c>
    </row>
    <row r="2" spans="1:83" x14ac:dyDescent="0.25">
      <c r="A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17.083529411764708</v>
      </c>
      <c r="B2" s="18" t="str">
        <f>TEXT(preçodiario[[#This Row],[data]],"MMM")</f>
        <v>jan</v>
      </c>
      <c r="C2" s="18" t="str">
        <f>TEXT(preçodiario[[#This Row],[data]],"ddd")</f>
        <v>qui</v>
      </c>
      <c r="D2" s="96">
        <f>WEEKNUM(preçodiario[[#This Row],[data]],13)</f>
        <v>1</v>
      </c>
      <c r="E2" s="37">
        <v>46023</v>
      </c>
      <c r="F2" s="19">
        <f>IFERROR(SUMIFS(estoque[valor total],estoque[data],preçodiario[[#This Row],[data]],estoque[fornecedor],"&lt;&gt;saída",estoque[produto],preçodiario[[#Headers],[OVO BRANCO A]])/SUMIFS(estoque[quantidade],estoque[data],preçodiario[[#This Row],[data]],estoque[fornecedor],"&lt;&gt;saída",estoque[produto],preçodiario[[#Headers],[OVO BRANCO A]]),"")</f>
        <v>17.083529411764708</v>
      </c>
      <c r="G2" s="22">
        <f>(SUMIFS(estoque[quantidade],estoque[produto],preçodiario[[#Headers],[OVO BRANCO A]],estoque[fornecedor],"&lt;&gt;saída",estoque[data],preçodiario[[#This Row],[data]]))-(SUMIFS(estoque[quantidade],estoque[produto],preçodiario[[#Headers],[OVO BRANCO A]],estoque[fornecedor],"saída",estoque[data],preçodiario[[#This Row],[data]]))</f>
        <v>17</v>
      </c>
      <c r="H2" s="22">
        <f>SUMIFS(estoque[quantidade],estoque[fornecedor],"&lt;&gt;saída",estoque[produto],preçodiario[[#Headers],[OVO BRANCO A]],estoque[data],preçodiario[[#This Row],[data]])</f>
        <v>17</v>
      </c>
      <c r="I2" s="20">
        <f>SUMIFS(estoque[valor total],estoque[fornecedor],"&lt;&gt;saída",estoque[produto],preçodiario[[#Headers],[OVO BRANCO A]],estoque[data],preçodiario[[#This Row],[data]])</f>
        <v>290.42</v>
      </c>
      <c r="J2" s="20">
        <f>IFERROR(preçodiario[[#This Row],[estoque A]]*preçodiario[[#This Row],[OVO BRANCO A]],0)</f>
        <v>290.42</v>
      </c>
      <c r="K2" s="19">
        <f>IFERROR(SUMIFS(estoque[valor total],estoque[data],preçodiario[[#This Row],[data]],estoque[fornecedor],"&lt;&gt;saída",estoque[produto],preçodiario[[#Headers],[OVO BRANCO B]])/SUMIFS(estoque[quantidade],estoque[data],preçodiario[[#This Row],[data]],estoque[fornecedor],"&lt;&gt;saída",estoque[produto],preçodiario[[#Headers],[OVO BRANCO B]]),"")</f>
        <v>16.098860759493672</v>
      </c>
      <c r="L2" s="22">
        <f>(SUMIFS(estoque[quantidade],estoque[produto],preçodiario[[#Headers],[OVO BRANCO B]],estoque[fornecedor],"&lt;&gt;saída",estoque[data],preçodiario[[#This Row],[data]]))-(SUMIFS(estoque[quantidade],estoque[produto],preçodiario[[#Headers],[OVO BRANCO B]],estoque[fornecedor],"saída",estoque[data],preçodiario[[#This Row],[data]]))</f>
        <v>79</v>
      </c>
      <c r="M2" s="22">
        <f>SUMIFS(estoque[quantidade],estoque[fornecedor],"&lt;&gt;saída",estoque[produto],preçodiario[[#Headers],[OVO BRANCO B]],estoque[data],preçodiario[[#This Row],[data]])</f>
        <v>79</v>
      </c>
      <c r="N2" s="20">
        <f>SUMIFS(estoque[valor total],estoque[fornecedor],"&lt;&gt;saída",estoque[produto],preçodiario[[#Headers],[OVO BRANCO B]],estoque[data],preçodiario[[#This Row],[data]])</f>
        <v>1271.81</v>
      </c>
      <c r="O2" s="20">
        <f>IFERROR(preçodiario[[#This Row],[OVO BRANCO B]]*preçodiario[[#This Row],[estoque B]],0)</f>
        <v>1271.8100000000002</v>
      </c>
      <c r="P2" s="19">
        <f>IFERROR(SUMIFS(estoque[valor total],estoque[data],preçodiario[[#This Row],[data]],estoque[fornecedor],"&lt;&gt;saída",estoque[produto],preçodiario[[#Headers],[OVO BRANCO C]])/SUMIFS(estoque[quantidade],estoque[data],preçodiario[[#This Row],[data]],estoque[fornecedor],"&lt;&gt;saída",estoque[produto],preçodiario[[#Headers],[OVO BRANCO C]]),"")</f>
        <v>14.583333333333334</v>
      </c>
      <c r="Q2" s="22">
        <f>(SUMIFS(estoque[quantidade],estoque[produto],preçodiario[[#Headers],[OVO BRANCO C]],estoque[fornecedor],"&lt;&gt;saída",estoque[data],preçodiario[[#This Row],[data]]))-(SUMIFS(estoque[quantidade],estoque[produto],preçodiario[[#Headers],[OVO BRANCO C]],estoque[fornecedor],"saída",estoque[data],preçodiario[[#This Row],[data]]))</f>
        <v>81</v>
      </c>
      <c r="R2" s="22">
        <f>SUMIFS(estoque[quantidade],estoque[fornecedor],"&lt;&gt;saída",estoque[produto],preçodiario[[#Headers],[OVO BRANCO C]],estoque[data],preçodiario[[#This Row],[data]])</f>
        <v>81</v>
      </c>
      <c r="S2" s="20">
        <f>SUMIFS(estoque[valor total],estoque[fornecedor],"&lt;&gt;saída",estoque[produto],preçodiario[[#Headers],[OVO BRANCO C]],estoque[data],preçodiario[[#This Row],[data]])</f>
        <v>1181.25</v>
      </c>
      <c r="T2" s="20">
        <f>IFERROR(preçodiario[[#This Row],[OVO BRANCO C]]*preçodiario[[#This Row],[estoque C]],0)</f>
        <v>1181.25</v>
      </c>
      <c r="U2" s="19">
        <f>IFERROR(SUMIFS(estoque[valor total],estoque[data],preçodiario[[#This Row],[data]],estoque[fornecedor],"&lt;&gt;saída",estoque[produto],preçodiario[[#Headers],[OVO BRANCO EXTRA]])/SUMIFS(estoque[quantidade],estoque[data],preçodiario[[#This Row],[data]],estoque[fornecedor],"&lt;&gt;saída",estoque[produto],preçodiario[[#Headers],[OVO BRANCO EXTRA]]),"")</f>
        <v>17.525306122448981</v>
      </c>
      <c r="V2" s="22">
        <f>(SUMIFS(estoque[quantidade],estoque[produto],preçodiario[[#Headers],[OVO BRANCO EXTRA]],estoque[fornecedor],"&lt;&gt;saída",estoque[data],preçodiario[[#This Row],[data]]))-(SUMIFS(estoque[quantidade],estoque[produto],preçodiario[[#Headers],[OVO BRANCO EXTRA]],estoque[fornecedor],"saída",estoque[data],preçodiario[[#This Row],[data]]))</f>
        <v>49</v>
      </c>
      <c r="W2" s="22">
        <f>SUMIFS(estoque[quantidade],estoque[fornecedor],"&lt;&gt;saída",estoque[produto],preçodiario[[#Headers],[OVO BRANCO EXTRA]],estoque[data],preçodiario[[#This Row],[data]])</f>
        <v>49</v>
      </c>
      <c r="X2" s="20">
        <f>SUMIFS(estoque[valor total],estoque[fornecedor],"&lt;&gt;saída",estoque[produto],preçodiario[[#Headers],[OVO BRANCO EXTRA]],estoque[data],preçodiario[[#This Row],[data]])</f>
        <v>858.74</v>
      </c>
      <c r="Y2" s="20">
        <f>IFERROR(preçodiario[[#This Row],[estoque E]]*preçodiario[[#This Row],[OVO BRANCO EXTRA]],0)</f>
        <v>858.74000000000012</v>
      </c>
      <c r="Z2" s="19" t="str">
        <f>IFERROR(SUMIFS(estoque[valor total],estoque[data],preçodiario[[#This Row],[data]],estoque[fornecedor],"&lt;&gt;saída",estoque[produto],preçodiario[[#Headers],[OVO BRANCO JUMBO]])/SUMIFS(estoque[quantidade],estoque[data],preçodiario[[#This Row],[data]],estoque[fornecedor],"&lt;&gt;saída",estoque[produto],preçodiario[[#Headers],[OVO BRANCO JUMBO]]),"")</f>
        <v/>
      </c>
      <c r="AA2" s="22">
        <f>(SUMIFS(estoque[quantidade],estoque[produto],preçodiario[[#Headers],[OVO BRANCO JUMBO]],estoque[fornecedor],"&lt;&gt;saída",estoque[data],preçodiario[[#This Row],[data]]))-(SUMIFS(estoque[quantidade],estoque[produto],preçodiario[[#Headers],[OVO BRANCO JUMBO]],estoque[fornecedor],"saída",estoque[data],preçodiario[[#This Row],[data]]))</f>
        <v>0</v>
      </c>
      <c r="AB2" s="22">
        <f>SUMIFS(estoque[quantidade],estoque[fornecedor],"&lt;&gt;saída",estoque[produto],preçodiario[[#Headers],[OVO BRANCO JUMBO]],estoque[data],preçodiario[[#This Row],[data]])</f>
        <v>0</v>
      </c>
      <c r="AC2" s="20">
        <f>SUMIFS(estoque[valor total],estoque[fornecedor],"&lt;&gt;saída",estoque[produto],preçodiario[[#Headers],[OVO BRANCO JUMBO]],estoque[data],preçodiario[[#This Row],[data]])</f>
        <v>0</v>
      </c>
      <c r="AD2" s="20">
        <f>IFERROR(preçodiario[[#This Row],[OVO BRANCO JUMBO]]*preçodiario[[#This Row],[estoque J]],0)</f>
        <v>0</v>
      </c>
      <c r="AE2" s="19" t="str">
        <f>IFERROR(SUMIFS(estoque[valor total],estoque[data],preçodiario[[#This Row],[data]],estoque[fornecedor],"&lt;&gt;saída",estoque[produto],preçodiario[[#Headers],[OVO VERMELHO A]])/SUMIFS(estoque[quantidade],estoque[data],preçodiario[[#This Row],[data]],estoque[fornecedor],"&lt;&gt;saída",estoque[produto],preçodiario[[#Headers],[OVO VERMELHO A]]),"")</f>
        <v/>
      </c>
      <c r="AF2" s="22">
        <f>(SUMIFS(estoque[quantidade],estoque[produto],preçodiario[[#Headers],[OVO VERMELHO A]],estoque[fornecedor],"&lt;&gt;saída",estoque[data],preçodiario[[#This Row],[data]]))-(SUMIFS(estoque[quantidade],estoque[produto],preçodiario[[#Headers],[OVO VERMELHO A]],estoque[fornecedor],"saída",estoque[data],preçodiario[[#This Row],[data]]))</f>
        <v>0</v>
      </c>
      <c r="AG2" s="22">
        <f>SUMIFS(estoque[quantidade],estoque[fornecedor],"&lt;&gt;saída",estoque[produto],preçodiario[[#Headers],[OVO VERMELHO A]],estoque[data],preçodiario[[#This Row],[data]])</f>
        <v>0</v>
      </c>
      <c r="AH2" s="20">
        <f>SUMIFS(estoque[valor total],estoque[fornecedor],"&lt;&gt;saída",estoque[produto],preçodiario[[#Headers],[OVO VERMELHO A]],estoque[data],preçodiario[[#This Row],[data]])</f>
        <v>0</v>
      </c>
      <c r="AI2" s="20">
        <f>IFERROR(preçodiario[[#This Row],[OVO VERMELHO A]]*preçodiario[[#This Row],[estoque AV]],0)</f>
        <v>0</v>
      </c>
      <c r="AJ2" s="19" t="str">
        <f>IFERROR(SUMIFS(estoque[valor total],estoque[data],preçodiario[[#This Row],[data]],estoque[fornecedor],"&lt;&gt;saída",estoque[produto],preçodiario[[#Headers],[OVO VERMELHO B]])/SUMIFS(estoque[quantidade],estoque[data],preçodiario[[#This Row],[data]],estoque[fornecedor],"&lt;&gt;saída",estoque[produto],preçodiario[[#Headers],[OVO VERMELHO B]]),"")</f>
        <v/>
      </c>
      <c r="AK2" s="22">
        <f>(SUMIFS(estoque[quantidade],estoque[produto],preçodiario[[#Headers],[OVO VERMELHO B]],estoque[fornecedor],"&lt;&gt;saída",estoque[data],preçodiario[[#This Row],[data]]))-(SUMIFS(estoque[quantidade],estoque[produto],preçodiario[[#Headers],[OVO VERMELHO B]],estoque[fornecedor],"saída",estoque[data],preçodiario[[#This Row],[data]]))</f>
        <v>0</v>
      </c>
      <c r="AL2" s="22">
        <f>SUMIFS(estoque[quantidade],estoque[fornecedor],"&lt;&gt;saída",estoque[produto],preçodiario[[#Headers],[OVO VERMELHO B]],estoque[data],preçodiario[[#This Row],[data]])</f>
        <v>0</v>
      </c>
      <c r="AM2" s="20">
        <f>SUMIFS(estoque[valor total],estoque[fornecedor],"&lt;&gt;saída",estoque[produto],preçodiario[[#Headers],[OVO VERMELHO B]],estoque[data],preçodiario[[#This Row],[data]])</f>
        <v>0</v>
      </c>
      <c r="AN2" s="20">
        <f>IFERROR(preçodiario[[#This Row],[OVO VERMELHO B]]*preçodiario[[#This Row],[estoque BV]],0)</f>
        <v>0</v>
      </c>
      <c r="AO2" s="19" t="str">
        <f>IFERROR(SUMIFS(estoque[valor total],estoque[data],preçodiario[[#This Row],[data]],estoque[fornecedor],"&lt;&gt;saída",estoque[produto],preçodiario[[#Headers],[OVO VERMELHO C]])/SUMIFS(estoque[quantidade],estoque[data],preçodiario[[#This Row],[data]],estoque[fornecedor],"&lt;&gt;saída",estoque[produto],preçodiario[[#Headers],[OVO VERMELHO C]]),"")</f>
        <v/>
      </c>
      <c r="AP2" s="22">
        <f>(SUMIFS(estoque[quantidade],estoque[produto],preçodiario[[#Headers],[OVO VERMELHO C]],estoque[fornecedor],"&lt;&gt;saída",estoque[data],preçodiario[[#This Row],[data]]))-(SUMIFS(estoque[quantidade],estoque[produto],preçodiario[[#Headers],[OVO VERMELHO C]],estoque[fornecedor],"saída",estoque[data],preçodiario[[#This Row],[data]]))</f>
        <v>0</v>
      </c>
      <c r="AQ2" s="22">
        <f>SUMIFS(estoque[quantidade],estoque[fornecedor],"&lt;&gt;saída",estoque[produto],preçodiario[[#Headers],[OVO VERMELHO C]],estoque[data],preçodiario[[#This Row],[data]])</f>
        <v>0</v>
      </c>
      <c r="AR2" s="20">
        <f>SUMIFS(estoque[valor total],estoque[fornecedor],"&lt;&gt;saída",estoque[produto],preçodiario[[#Headers],[OVO VERMELHO C]],estoque[data],preçodiario[[#This Row],[data]])</f>
        <v>0</v>
      </c>
      <c r="AS2" s="20">
        <f>IFERROR(preçodiario[[#This Row],[OVO VERMELHO C]]*preçodiario[[#This Row],[estoque CV]],0)</f>
        <v>0</v>
      </c>
      <c r="AT2" s="19" t="str">
        <f>IFERROR(SUMIFS(estoque[valor total],estoque[data],preçodiario[[#This Row],[data]],estoque[fornecedor],"&lt;&gt;saída",estoque[produto],preçodiario[[#Headers],[OVO VERMELHO EXTRA]])/SUMIFS(estoque[quantidade],estoque[data],preçodiario[[#This Row],[data]],estoque[fornecedor],"&lt;&gt;saída",estoque[produto],preçodiario[[#Headers],[OVO VERMELHO EXTRA]]),"")</f>
        <v/>
      </c>
      <c r="AU2" s="22">
        <f>(SUMIFS(estoque[quantidade],estoque[produto],preçodiario[[#Headers],[OVO VERMELHO EXTRA]],estoque[fornecedor],"&lt;&gt;saída",estoque[data],preçodiario[[#This Row],[data]]))-(SUMIFS(estoque[quantidade],estoque[produto],preçodiario[[#Headers],[OVO VERMELHO EXTRA]],estoque[fornecedor],"saída",estoque[data],preçodiario[[#This Row],[data]]))</f>
        <v>0</v>
      </c>
      <c r="AV2" s="22">
        <f>SUMIFS(estoque[quantidade],estoque[fornecedor],"&lt;&gt;saída",estoque[produto],preçodiario[[#Headers],[OVO VERMELHO EXTRA]],estoque[data],preçodiario[[#This Row],[data]])</f>
        <v>0</v>
      </c>
      <c r="AW2" s="20">
        <f>SUMIFS(estoque[valor total],estoque[fornecedor],"&lt;&gt;saída",estoque[produto],preçodiario[[#Headers],[OVO VERMELHO EXTRA]],estoque[data],preçodiario[[#This Row],[data]])</f>
        <v>0</v>
      </c>
      <c r="AX2" s="20">
        <f>IFERROR(preçodiario[[#This Row],[OVO VERMELHO EXTRA]]*preçodiario[[#This Row],[estoque EV]],0)</f>
        <v>0</v>
      </c>
      <c r="AY2" s="19" t="str">
        <f>IFERROR(SUMIFS(estoque[valor total],estoque[data],preçodiario[[#This Row],[data]],estoque[fornecedor],"&lt;&gt;saída",estoque[produto],preçodiario[[#Headers],[OVO VERMELHO JUMBO]])/SUMIFS(estoque[quantidade],estoque[data],preçodiario[[#This Row],[data]],estoque[fornecedor],"&lt;&gt;saída",estoque[produto],preçodiario[[#Headers],[OVO VERMELHO JUMBO]]),"")</f>
        <v/>
      </c>
      <c r="AZ2" s="22">
        <f>(SUMIFS(estoque[quantidade],estoque[produto],preçodiario[[#Headers],[OVO VERMELHO JUMBO]],estoque[fornecedor],"&lt;&gt;saída",estoque[data],preçodiario[[#This Row],[data]]))-(SUMIFS(estoque[quantidade],estoque[produto],preçodiario[[#Headers],[OVO VERMELHO JUMBO]],estoque[fornecedor],"saída",estoque[data],preçodiario[[#This Row],[data]]))</f>
        <v>0</v>
      </c>
      <c r="BA2" s="22">
        <f>SUMIFS(estoque[quantidade],estoque[fornecedor],"&lt;&gt;saída",estoque[produto],preçodiario[[#Headers],[OVO VERMELHO JUMBO]],estoque[data],preçodiario[[#This Row],[data]])</f>
        <v>0</v>
      </c>
      <c r="BB2" s="20">
        <f>SUMIFS(estoque[valor total],estoque[fornecedor],"&lt;&gt;saída",estoque[produto],preçodiario[[#Headers],[OVO VERMELHO JUMBO]],estoque[data],preçodiario[[#This Row],[data]])</f>
        <v>0</v>
      </c>
      <c r="BC2" s="20">
        <f>IFERROR(preçodiario[[#This Row],[OVO VERMELHO JUMBO]]*preçodiario[[#This Row],[estoque JV]],0)</f>
        <v>0</v>
      </c>
      <c r="BD2" t="str">
        <f>TEXT(vendaAno[[#This Row],[data]],"mmm")</f>
        <v>jan</v>
      </c>
      <c r="BE2" t="str">
        <f>TEXT(vendaAno[[#This Row],[data]],"ddd")</f>
        <v>qui</v>
      </c>
      <c r="BF2" s="82">
        <f>WEEKNUM(vendaAno[[#This Row],[data]],13)</f>
        <v>1</v>
      </c>
      <c r="BG2" s="27">
        <f>preçodiario[[#This Row],[data]]</f>
        <v>46023</v>
      </c>
      <c r="BH2" s="8">
        <f>IF(SUMIFS(estoque[valor total],estoque[fornecedor],"&lt;&gt;saída",estoque[data],vendaAno[[#This Row],[data]])=0,"",SUMIFS(estoque[valor total],estoque[fornecedor],"&lt;&gt;saída",estoque[data],vendaAno[[#This Row],[data]]))</f>
        <v>3602.2200000000003</v>
      </c>
      <c r="BI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" s="79">
        <f>(SUMIFS(estoque[quantidade],estoque[fornecedor],"&lt;&gt;saída",estoque[data],vendaAno[[#This Row],[data]])-SUMIFS(estoque[quantidade],estoque[fornecedor],"saída",estoque[data],vendaAno[[#This Row],[data]]))/12</f>
        <v>18.833333333333332</v>
      </c>
      <c r="BK2" s="79" t="str">
        <f>IF(SUMIFS(estoque[quantidade],estoque[fornecedor],"saída",estoque[data],vendaAno[[#This Row],[data]])/12=0,"",SUMIFS(estoque[quantidade],estoque[fornecedor],"saída",estoque[data],vendaAno[[#This Row],[data]])/12)</f>
        <v/>
      </c>
      <c r="BL2" s="8"/>
      <c r="BM2" s="10" t="str">
        <f>IFERROR(vendaAno[[#This Row],[lucro]]/vendaAno[[#This Row],[valor de venda]],"")</f>
        <v/>
      </c>
      <c r="BN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3602.2200000000003</v>
      </c>
      <c r="BO2" s="8">
        <f>vendaAno[[#This Row],[lucro]]-150</f>
        <v>-150</v>
      </c>
      <c r="BP2" s="81"/>
      <c r="BQ2" s="7" t="str">
        <f>IFERROR(vendaAno[[#This Row],[lucro]]/(vendaAno[[#This Row],[venda]]*12),"")</f>
        <v/>
      </c>
      <c r="BT2" s="94">
        <f ca="1">WEEKNUM(PvPcML[[#This Row],[data]],13)</f>
        <v>31</v>
      </c>
      <c r="BU2" s="132">
        <f ca="1">TODAY()</f>
        <v>46233</v>
      </c>
      <c r="BV2" s="8">
        <f ca="1">IFERROR(IF(SUMIFS(vendaAno[valor de venda],vendaAno[data],PvPcML[[#This Row],[data]])=0,AVERAGE(BV3:BV4),SUMIFS(vendaAno[valor de venda],vendaAno[data],PvPcML[[#This Row],[data]])/(SUMIFS(vendaAno[venda],vendaAno[data],PvPcML[[#This Row],[data]])*12)),"")</f>
        <v>19.078571428571429</v>
      </c>
      <c r="BW2" s="8">
        <f ca="1">IFERROR(IF(SUMIFS(vendaAno[valor de venda],vendaAno[data],PvPcML[[#This Row],[data]])=0,AVERAGE(BW3:BW4),SUMIFS(vendaAno[valor de venda],vendaAno[data],PvPcML[[#This Row],[data]])/(SUMIFS(vendaAno[venda],vendaAno[data],PvPcML[[#This Row],[data]])*12)-PvPcML[[#This Row],[lucro médio]]),"")</f>
        <v>15.432023809523809</v>
      </c>
      <c r="BX2" s="8">
        <f ca="1">IF(SUMIFS(vendaAno[valor de venda],vendaAno[data],PvPcML[[#This Row],[data]])=0,AVERAGE(BX3:BX4),SUMIFS(vendaAno[[lucro médio ]],vendaAno[data],PvPcML[[#This Row],[data]]))</f>
        <v>3.6465476190476194</v>
      </c>
      <c r="BY2" s="90">
        <v>1</v>
      </c>
      <c r="BZ2" s="88">
        <v>46023</v>
      </c>
      <c r="CA2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15.333333333333336</v>
      </c>
      <c r="CB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6.5</v>
      </c>
      <c r="CC2" s="8">
        <f ca="1">IFERROR(SUMIFS(vendaAno[lucro],vendaAno[data],"&gt;="&amp;semanal[[#This Row],[semana]],vendaAno[data],"&lt;="&amp;semanal[[#This Row],[semana]]+6)/((semanal[[#This Row],[varejo]]+semanal[[#This Row],[atacado]])*12),"")</f>
        <v>3.2085114503816796</v>
      </c>
      <c r="CD2" s="82">
        <f>IFERROR(AVERAGEIFS(vendaAno[venda],vendaAno[data],"&gt;="&amp;semanal[[#This Row],[semana]],vendaAno[data],"&lt;="&amp;semanal[[#This Row],[semana]]+6),"")</f>
        <v>3.6388888888888893</v>
      </c>
      <c r="CE2" s="82">
        <f ca="1">IFERROR((150/semanal[[#This Row],[lucro médio por cartela]])/12,"")</f>
        <v>3.8958876081034464</v>
      </c>
    </row>
    <row r="3" spans="1:83" x14ac:dyDescent="0.25">
      <c r="A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17.083529411764708</v>
      </c>
      <c r="B3" s="18" t="str">
        <f>TEXT(preçodiario[[#This Row],[data]],"MMM")</f>
        <v>jan</v>
      </c>
      <c r="C3" s="18" t="str">
        <f>TEXT(preçodiario[[#This Row],[data]],"ddd")</f>
        <v>sex</v>
      </c>
      <c r="D3" s="96">
        <f>WEEKNUM(preçodiario[[#This Row],[data]],13)</f>
        <v>1</v>
      </c>
      <c r="E3" s="37">
        <v>46024</v>
      </c>
      <c r="F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Row],[data]])),((F2*G2)+SUMIFS(estoque[valor total],estoque[produto],preçodiario[[#Headers],[OVO BRANCO A]],estoque[data],preçodiario[[#This Row],[data]],estoque[fornecedor],"&lt;&gt;saída"))/(G2+(SUMIFS(estoque[quantidade],estoque[produto],preçodiario[[#Headers],[OVO BRANCO A]],estoque[fornecedor],"&lt;&gt;saída",estoque[data],preçodiario[[#This Row],[data]])))))</f>
        <v>17.083529411764708</v>
      </c>
      <c r="G3" s="22">
        <f>IF(preçodiario[[#This Row],[entrada A]]=0,G2-(SUMIFS(estoque[quantidade],estoque[fornecedor],"saída",estoque[produto],preçodiario[[#Headers],[OVO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Row],[data]]))+G2+preçodiario[[#This Row],[entrada A]])</f>
        <v>10</v>
      </c>
      <c r="H3" s="22">
        <f>SUMIFS(estoque[quantidade],estoque[fornecedor],"&lt;&gt;saída",estoque[produto],preçodiario[[#Headers],[OVO BRANCO A]],estoque[data],preçodiario[[#This Row],[data]])</f>
        <v>0</v>
      </c>
      <c r="I3" s="20">
        <f>SUMIFS(estoque[valor total],estoque[fornecedor],"&lt;&gt;saída",estoque[produto],preçodiario[[#Headers],[OVO BRANCO A]],estoque[data],preçodiario[[#This Row],[data]])</f>
        <v>0</v>
      </c>
      <c r="J3" s="20">
        <f>IFERROR(preçodiario[[#This Row],[estoque A]]*preçodiario[[#This Row],[OVO BRANCO A]],0)</f>
        <v>170.83529411764709</v>
      </c>
      <c r="K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Row],[data]])),((K2*L2)+SUMIFS(estoque[valor total],estoque[produto],preçodiario[[#Headers],[OVO BRANCO B]],estoque[data],preçodiario[[#This Row],[data]],estoque[fornecedor],"&lt;&gt;saída"))/(L2+(SUMIFS(estoque[quantidade],estoque[produto],preçodiario[[#Headers],[OVO BRANCO B]],estoque[fornecedor],"&lt;&gt;saída",estoque[data],preçodiario[[#This Row],[data]])))))</f>
        <v>16.098860759493672</v>
      </c>
      <c r="L3" s="22">
        <f>IF(preçodiario[[#This Row],[entrada B]]=0,L2-(SUMIFS(estoque[quantidade],estoque[fornecedor],"saída",estoque[produto],preçodiario[[#Headers],[OVO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Row],[data]]))+L2+preçodiario[[#This Row],[entrada B]])</f>
        <v>78</v>
      </c>
      <c r="M3" s="22">
        <f>SUMIFS(estoque[quantidade],estoque[fornecedor],"&lt;&gt;saída",estoque[produto],preçodiario[[#Headers],[OVO BRANCO B]],estoque[data],preçodiario[[#This Row],[data]])</f>
        <v>0</v>
      </c>
      <c r="N3" s="20">
        <f>SUMIFS(estoque[valor total],estoque[fornecedor],"&lt;&gt;saída",estoque[produto],preçodiario[[#Headers],[OVO BRANCO B]],estoque[data],preçodiario[[#This Row],[data]])</f>
        <v>0</v>
      </c>
      <c r="O3" s="20">
        <f>IFERROR(preçodiario[[#This Row],[OVO BRANCO B]]*preçodiario[[#This Row],[estoque B]],0)</f>
        <v>1255.7111392405063</v>
      </c>
      <c r="P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Row],[data]])),((P2*Q2)+SUMIFS(estoque[valor total],estoque[produto],preçodiario[[#Headers],[OVO BRANCO C]],estoque[data],preçodiario[[#This Row],[data]],estoque[fornecedor],"&lt;&gt;saída"))/(Q2+(SUMIFS(estoque[quantidade],estoque[produto],preçodiario[[#Headers],[OVO BRANCO C]],estoque[fornecedor],"&lt;&gt;saída",estoque[data],preçodiario[[#This Row],[data]])))))</f>
        <v>14.583333333333334</v>
      </c>
      <c r="Q3" s="22">
        <f>IF(preçodiario[[#This Row],[entrada C]]=0,Q2-(SUMIFS(estoque[quantidade],estoque[fornecedor],"saída",estoque[produto],preçodiario[[#Headers],[OVO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Row],[data]]))+Q2+preçodiario[[#This Row],[entrada C]])</f>
        <v>75</v>
      </c>
      <c r="R3" s="22">
        <f>SUMIFS(estoque[quantidade],estoque[fornecedor],"&lt;&gt;saída",estoque[produto],preçodiario[[#Headers],[OVO BRANCO C]],estoque[data],preçodiario[[#This Row],[data]])</f>
        <v>0</v>
      </c>
      <c r="S3" s="20">
        <f>SUMIFS(estoque[valor total],estoque[fornecedor],"&lt;&gt;saída",estoque[produto],preçodiario[[#Headers],[OVO BRANCO C]],estoque[data],preçodiario[[#This Row],[data]])</f>
        <v>0</v>
      </c>
      <c r="T3" s="20">
        <f>IFERROR(preçodiario[[#This Row],[OVO BRANCO C]]*preçodiario[[#This Row],[estoque C]],0)</f>
        <v>1093.75</v>
      </c>
      <c r="U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Row],[data]])),((U2*V2)+SUMIFS(estoque[valor total],estoque[produto],preçodiario[[#Headers],[OVO BRANCO EXTRA]],estoque[data],preçodiario[[#This Row],[data]],estoque[fornecedor],"&lt;&gt;saída"))/(V2+(SUMIFS(estoque[quantidade],estoque[produto],preçodiario[[#Headers],[OVO BRANCO EXTRA]],estoque[fornecedor],"&lt;&gt;saída",estoque[data],preçodiario[[#This Row],[data]])))))</f>
        <v>17.525306122448981</v>
      </c>
      <c r="V3" s="22">
        <f>IF(preçodiario[[#This Row],[entrada E]]=0,V2-(SUMIFS(estoque[quantidade],estoque[fornecedor],"saída",estoque[produto],preçodiario[[#Headers],[OVO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Row],[data]]))+V2+preçodiario[[#This Row],[entrada E]])</f>
        <v>37</v>
      </c>
      <c r="W3" s="22">
        <f>SUMIFS(estoque[quantidade],estoque[fornecedor],"&lt;&gt;saída",estoque[produto],preçodiario[[#Headers],[OVO BRANCO EXTRA]],estoque[data],preçodiario[[#This Row],[data]])</f>
        <v>0</v>
      </c>
      <c r="X3" s="20">
        <f>SUMIFS(estoque[valor total],estoque[fornecedor],"&lt;&gt;saída",estoque[produto],preçodiario[[#Headers],[OVO BRANCO EXTRA]],estoque[data],preçodiario[[#This Row],[data]])</f>
        <v>0</v>
      </c>
      <c r="Y3" s="20">
        <f>IFERROR(preçodiario[[#This Row],[estoque E]]*preçodiario[[#This Row],[OVO BRANCO EXTRA]],0)</f>
        <v>648.43632653061229</v>
      </c>
      <c r="Z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Row],[data]])),((Z2*AA2)+SUMIFS(estoque[valor total],estoque[produto],preçodiario[[#Headers],[OVO BRANCO JUMBO]],estoque[data],preçodiario[[#This Row],[data]],estoque[fornecedor],"&lt;&gt;saída"))/(AA2+(SUMIFS(estoque[quantidade],estoque[produto],preçodiario[[#Headers],[OVO BRANCO JUMBO]],estoque[fornecedor],"&lt;&gt;saída",estoque[data],preçodiario[[#This Row],[data]])))))</f>
        <v/>
      </c>
      <c r="AA3" s="22">
        <f>IF(preçodiario[[#This Row],[entrada J]]=0,AA2-(SUMIFS(estoque[quantidade],estoque[fornecedor],"saída",estoque[produto],preçodiario[[#Headers],[OVO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Row],[data]]))+AA2+preçodiario[[#This Row],[entrada J]])</f>
        <v>0</v>
      </c>
      <c r="AB3" s="22">
        <f>SUMIFS(estoque[quantidade],estoque[fornecedor],"&lt;&gt;saída",estoque[produto],preçodiario[[#Headers],[OVO BRANCO JUMBO]],estoque[data],preçodiario[[#This Row],[data]])</f>
        <v>0</v>
      </c>
      <c r="AC3" s="20">
        <f>SUMIFS(estoque[valor total],estoque[fornecedor],"&lt;&gt;saída",estoque[produto],preçodiario[[#Headers],[OVO BRANCO JUMBO]],estoque[data],preçodiario[[#This Row],[data]])</f>
        <v>0</v>
      </c>
      <c r="AD3" s="20">
        <f>IFERROR(preçodiario[[#This Row],[OVO BRANCO JUMBO]]*preçodiario[[#This Row],[estoque J]],0)</f>
        <v>0</v>
      </c>
      <c r="AE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Row],[data]])),((AE2*AF2)+SUMIFS(estoque[valor total],estoque[produto],preçodiario[[#Headers],[OVO VERMELHO A]],estoque[data],preçodiario[[#This Row],[data]],estoque[fornecedor],"&lt;&gt;saída"))/(AF2+(SUMIFS(estoque[quantidade],estoque[produto],preçodiario[[#Headers],[OVO VERMELHO A]],estoque[fornecedor],"&lt;&gt;saída",estoque[data],preçodiario[[#This Row],[data]])))))</f>
        <v/>
      </c>
      <c r="AF3" s="22">
        <f>IF(preçodiario[[#This Row],[entrada AV]]=0,AF2-(SUMIFS(estoque[quantidade],estoque[fornecedor],"saída",estoque[produto],preçodiario[[#Headers],[OVO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Row],[data]]))+AF2+preçodiario[[#This Row],[entrada AV]])</f>
        <v>0</v>
      </c>
      <c r="AG3" s="22">
        <f>SUMIFS(estoque[quantidade],estoque[fornecedor],"&lt;&gt;saída",estoque[produto],preçodiario[[#Headers],[OVO VERMELHO A]],estoque[data],preçodiario[[#This Row],[data]])</f>
        <v>0</v>
      </c>
      <c r="AH3" s="20">
        <f>SUMIFS(estoque[valor total],estoque[fornecedor],"&lt;&gt;saída",estoque[produto],preçodiario[[#Headers],[OVO VERMELHO A]],estoque[data],preçodiario[[#This Row],[data]])</f>
        <v>0</v>
      </c>
      <c r="AI3" s="20">
        <f>IFERROR(preçodiario[[#This Row],[OVO VERMELHO A]]*preçodiario[[#This Row],[estoque AV]],0)</f>
        <v>0</v>
      </c>
      <c r="AJ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Row],[data]])),((AJ2*AK2)+SUMIFS(estoque[valor total],estoque[produto],preçodiario[[#Headers],[OVO VERMELHO B]],estoque[data],preçodiario[[#This Row],[data]],estoque[fornecedor],"&lt;&gt;saída"))/(AK2+(SUMIFS(estoque[quantidade],estoque[produto],preçodiario[[#Headers],[OVO VERMELHO B]],estoque[fornecedor],"&lt;&gt;saída",estoque[data],preçodiario[[#This Row],[data]])))))</f>
        <v/>
      </c>
      <c r="AK3" s="22">
        <f>IF(preçodiario[[#This Row],[entrada BV]]=0,AK2-(SUMIFS(estoque[quantidade],estoque[fornecedor],"saída",estoque[produto],preçodiario[[#Headers],[OVO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Row],[data]]))+AK2+preçodiario[[#This Row],[entrada BV]])</f>
        <v>0</v>
      </c>
      <c r="AL3" s="22">
        <f>SUMIFS(estoque[quantidade],estoque[fornecedor],"&lt;&gt;saída",estoque[produto],preçodiario[[#Headers],[OVO VERMELHO B]],estoque[data],preçodiario[[#This Row],[data]])</f>
        <v>0</v>
      </c>
      <c r="AM3" s="20">
        <f>SUMIFS(estoque[valor total],estoque[fornecedor],"&lt;&gt;saída",estoque[produto],preçodiario[[#Headers],[OVO VERMELHO B]],estoque[data],preçodiario[[#This Row],[data]])</f>
        <v>0</v>
      </c>
      <c r="AN3" s="20">
        <f>IFERROR(preçodiario[[#This Row],[OVO VERMELHO B]]*preçodiario[[#This Row],[estoque BV]],0)</f>
        <v>0</v>
      </c>
      <c r="AO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Row],[data]])),((AO2*AP2)+SUMIFS(estoque[valor total],estoque[produto],preçodiario[[#Headers],[OVO VERMELHO C]],estoque[data],preçodiario[[#This Row],[data]],estoque[fornecedor],"&lt;&gt;saída"))/(AP2+(SUMIFS(estoque[quantidade],estoque[produto],preçodiario[[#Headers],[OVO VERMELHO C]],estoque[fornecedor],"&lt;&gt;saída",estoque[data],preçodiario[[#This Row],[data]])))))</f>
        <v/>
      </c>
      <c r="AP3" s="22">
        <f>IF(preçodiario[[#This Row],[entrada CV]]=0,AP2-(SUMIFS(estoque[quantidade],estoque[fornecedor],"saída",estoque[produto],preçodiario[[#Headers],[OVO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Row],[data]]))+AP2+preçodiario[[#This Row],[entrada CV]])</f>
        <v>0</v>
      </c>
      <c r="AQ3" s="22">
        <f>SUMIFS(estoque[quantidade],estoque[fornecedor],"&lt;&gt;saída",estoque[produto],preçodiario[[#Headers],[OVO VERMELHO C]],estoque[data],preçodiario[[#This Row],[data]])</f>
        <v>0</v>
      </c>
      <c r="AR3" s="20">
        <f>SUMIFS(estoque[valor total],estoque[fornecedor],"&lt;&gt;saída",estoque[produto],preçodiario[[#Headers],[OVO VERMELHO C]],estoque[data],preçodiario[[#This Row],[data]])</f>
        <v>0</v>
      </c>
      <c r="AS3" s="20">
        <f>IFERROR(preçodiario[[#This Row],[OVO VERMELHO C]]*preçodiario[[#This Row],[estoque CV]],0)</f>
        <v>0</v>
      </c>
      <c r="AT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Row],[data]])),((AT2*AU2)+SUMIFS(estoque[valor total],estoque[produto],preçodiario[[#Headers],[OVO VERMELHO EXTRA]],estoque[data],preçodiario[[#This Row],[data]],estoque[fornecedor],"&lt;&gt;saída"))/(AU2+(SUMIFS(estoque[quantidade],estoque[produto],preçodiario[[#Headers],[OVO VERMELHO EXTRA]],estoque[fornecedor],"&lt;&gt;saída",estoque[data],preçodiario[[#This Row],[data]])))))</f>
        <v/>
      </c>
      <c r="AU3" s="22">
        <f>IF(preçodiario[[#This Row],[entrada EV]]=0,AU2-(SUMIFS(estoque[quantidade],estoque[fornecedor],"saída",estoque[produto],preçodiario[[#Headers],[OVO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Row],[data]]))+AU2+preçodiario[[#This Row],[entrada EV]])</f>
        <v>0</v>
      </c>
      <c r="AV3" s="22">
        <f>SUMIFS(estoque[quantidade],estoque[fornecedor],"&lt;&gt;saída",estoque[produto],preçodiario[[#Headers],[OVO VERMELHO EXTRA]],estoque[data],preçodiario[[#This Row],[data]])</f>
        <v>0</v>
      </c>
      <c r="AW3" s="20">
        <f>SUMIFS(estoque[valor total],estoque[fornecedor],"&lt;&gt;saída",estoque[produto],preçodiario[[#Headers],[OVO VERMELHO EXTRA]],estoque[data],preçodiario[[#This Row],[data]])</f>
        <v>0</v>
      </c>
      <c r="AX3" s="20">
        <f>IFERROR(preçodiario[[#This Row],[OVO VERMELHO EXTRA]]*preçodiario[[#This Row],[estoque EV]],0)</f>
        <v>0</v>
      </c>
      <c r="AY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Row],[data]])),((AY2*AZ2)+SUMIFS(estoque[valor total],estoque[produto],preçodiario[[#Headers],[OVO VERMELHO JUMBO]],estoque[data],preçodiario[[#This Row],[data]],estoque[fornecedor],"&lt;&gt;saída"))/(AZ2+(SUMIFS(estoque[quantidade],estoque[produto],preçodiario[[#Headers],[OVO VERMELHO JUMBO]],estoque[fornecedor],"&lt;&gt;saída",estoque[data],preçodiario[[#This Row],[data]])))))</f>
        <v/>
      </c>
      <c r="AZ3" s="22">
        <f>IF(preçodiario[[#This Row],[entrada JV]]=0,AZ2-(SUMIFS(estoque[quantidade],estoque[fornecedor],"saída",estoque[produto],preçodiario[[#Headers],[OVO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Row],[data]]))+AZ2+preçodiario[[#This Row],[entrada JV]])</f>
        <v>0</v>
      </c>
      <c r="BA3" s="22">
        <f>SUMIFS(estoque[quantidade],estoque[fornecedor],"&lt;&gt;saída",estoque[produto],preçodiario[[#Headers],[OVO VERMELHO JUMBO]],estoque[data],preçodiario[[#This Row],[data]])</f>
        <v>0</v>
      </c>
      <c r="BB3" s="20">
        <f>SUMIFS(estoque[valor total],estoque[fornecedor],"&lt;&gt;saída",estoque[produto],preçodiario[[#Headers],[OVO VERMELHO JUMBO]],estoque[data],preçodiario[[#This Row],[data]])</f>
        <v>0</v>
      </c>
      <c r="BC3" s="20">
        <f>IFERROR(preçodiario[[#This Row],[OVO VERMELHO JUMBO]]*preçodiario[[#This Row],[estoque JV]],0)</f>
        <v>0</v>
      </c>
      <c r="BD3" t="str">
        <f>TEXT(vendaAno[[#This Row],[data]],"mmm")</f>
        <v>jan</v>
      </c>
      <c r="BE3" t="str">
        <f>TEXT(vendaAno[[#This Row],[data]],"ddd")</f>
        <v>sex</v>
      </c>
      <c r="BF3" s="82">
        <f>WEEKNUM(vendaAno[[#This Row],[data]],13)</f>
        <v>1</v>
      </c>
      <c r="BG3" s="27">
        <f>preçodiario[[#This Row],[data]]</f>
        <v>46024</v>
      </c>
      <c r="BH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" s="8">
        <f>IF(SUMIFS(estoque[valor total],estoque[fornecedor],"saída",estoque[data],vendaAno[[#This Row],[data]])=0,"",SUMIFS(estoque[valor total],estoque[fornecedor],"saída",estoque[data],vendaAno[[#This Row],[data]]))</f>
        <v>507</v>
      </c>
      <c r="BJ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Row],[data]]))/12+BJ2,"")</f>
        <v>16.666666666666664</v>
      </c>
      <c r="BK3" s="79">
        <f>IF(SUMIFS(estoque[quantidade],estoque[fornecedor],"saída",estoque[data],vendaAno[[#This Row],[data]])/12=0,"",SUMIFS(estoque[quantidade],estoque[fornecedor],"saída",estoque[data],vendaAno[[#This Row],[data]])/12)</f>
        <v>2.1666666666666665</v>
      </c>
      <c r="BL3" s="8">
        <f ca="1">IF(vendaAno[[#This Row],[data]]&lt;=TODAY(),IF(SUMIFS(estoque[lucro],estoque[fornecedor],"saída",estoque[data],vendaAno[[#This Row],[data]])=0,AVERAGE(#REF!),SUMIFS(estoque[lucro],estoque[fornecedor],"saída",estoque[data],vendaAno[[#This Row],[data]])),"")</f>
        <v>73.52000000000001</v>
      </c>
      <c r="BM3" s="10">
        <f ca="1">IFERROR(vendaAno[[#This Row],[lucro]]/vendaAno[[#This Row],[valor de venda]],"")</f>
        <v>0.14500986193293888</v>
      </c>
      <c r="BN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3168.7327598887659</v>
      </c>
      <c r="BO3" s="8">
        <f ca="1">IF(TODAY()&gt;=vendaAno[[#This Row],[data]],IF(vendaAno[[#This Row],[N°]]=BF2,vendaAno[[#This Row],[lucro]]-173.33+BO2,vendaAno[[#This Row],[lucro]]-150),"")</f>
        <v>-249.81</v>
      </c>
      <c r="BP3" s="81">
        <f ca="1">IF(TODAY()&gt;=vendaAno[[#This Row],[data]],vendaAno[[#This Row],[venda]]*12*7,"")</f>
        <v>182</v>
      </c>
      <c r="BQ3" s="7">
        <f ca="1">IFERROR(vendaAno[[#This Row],[lucro]]/(vendaAno[[#This Row],[venda]]*12),"")</f>
        <v>2.8276923076923079</v>
      </c>
      <c r="BT3" s="95">
        <f ca="1">WEEKNUM(PvPcML[[#This Row],[data]],13)</f>
        <v>31</v>
      </c>
      <c r="BU3" s="132">
        <f ca="1">BU2-1</f>
        <v>46232</v>
      </c>
      <c r="BV3" s="7">
        <f ca="1">IFERROR(SUMIFS(vendaAno[valor de venda],vendaAno[data],PvPcML[[#This Row],[data]])/(SUMIFS(vendaAno[venda],vendaAno[data],PvPcML[[#This Row],[data]])*12),"")</f>
        <v>18.357142857142858</v>
      </c>
      <c r="BW3" s="7">
        <f ca="1">IFERROR(SUMIFS(vendaAno[valor de venda],vendaAno[data],PvPcML[[#This Row],[data]])/(SUMIFS(vendaAno[venda],vendaAno[data],PvPcML[[#This Row],[data]])*12)-PvPcML[[#This Row],[lucro médio]],"")</f>
        <v>15.250714285714286</v>
      </c>
      <c r="BX3" s="7">
        <f ca="1">IF(SUMIFS(vendaAno[[lucro médio ]],vendaAno[data],PvPcML[[#This Row],[data]])=0,"",SUMIFS(vendaAno[[lucro médio ]],vendaAno[data],PvPcML[[#This Row],[data]]))</f>
        <v>3.1064285714285718</v>
      </c>
      <c r="BY3" s="91">
        <v>2</v>
      </c>
      <c r="BZ3" s="89">
        <f>BZ2+7</f>
        <v>46030</v>
      </c>
      <c r="CA3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18.333333333333336</v>
      </c>
      <c r="CB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3.3333333333333335</v>
      </c>
      <c r="CC3" s="7">
        <f ca="1">IFERROR(SUMIFS(vendaAno[lucro],vendaAno[data],"&gt;="&amp;semanal[[#This Row],[semana]],vendaAno[data],"&lt;="&amp;semanal[[#This Row],[semana]]+6)/((semanal[[#This Row],[varejo]]+semanal[[#This Row],[atacado]])*12),"")</f>
        <v>3.2541748294217481</v>
      </c>
      <c r="CD3" s="82">
        <f>IFERROR(AVERAGEIFS(vendaAno[venda],vendaAno[data],"&gt;="&amp;semanal[[#This Row],[semana]],vendaAno[data],"&lt;="&amp;semanal[[#This Row],[semana]]+6),"")</f>
        <v>3.0952380952380953</v>
      </c>
      <c r="CE3" s="82">
        <f ca="1">IFERROR((150/semanal[[#This Row],[lucro médio por cartela]])/12,"")</f>
        <v>3.8412195580226993</v>
      </c>
    </row>
    <row r="4" spans="1:83" x14ac:dyDescent="0.25">
      <c r="A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4" s="18" t="str">
        <f>TEXT(preçodiario[[#This Row],[data]],"MMM")</f>
        <v>jan</v>
      </c>
      <c r="C4" s="18" t="str">
        <f>TEXT(preçodiario[[#This Row],[data]],"ddd")</f>
        <v>sáb</v>
      </c>
      <c r="D4" s="96">
        <f>WEEKNUM(preçodiario[[#This Row],[data]],13)</f>
        <v>1</v>
      </c>
      <c r="E4" s="37">
        <v>46025</v>
      </c>
      <c r="F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Row],[data]])),((F3*G3)+SUMIFS(estoque[valor total],estoque[produto],preçodiario[[#Headers],[OVO BRANCO A]],estoque[data],preçodiario[[#This Row],[data]],estoque[fornecedor],"&lt;&gt;saída"))/(G3+(SUMIFS(estoque[quantidade],estoque[produto],preçodiario[[#Headers],[OVO BRANCO A]],estoque[fornecedor],"&lt;&gt;saída",estoque[data],preçodiario[[#This Row],[data]])))))</f>
        <v>16.698733031674209</v>
      </c>
      <c r="G4" s="22">
        <f>IF(preçodiario[[#This Row],[entrada A]]=0,G3-(SUMIFS(estoque[quantidade],estoque[fornecedor],"saída",estoque[produto],preçodiario[[#Headers],[OVO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Row],[data]]))+G3+preçodiario[[#This Row],[entrada A]])</f>
        <v>129</v>
      </c>
      <c r="H4" s="22">
        <f>SUMIFS(estoque[quantidade],estoque[fornecedor],"&lt;&gt;saída",estoque[produto],preçodiario[[#Headers],[OVO BRANCO A]],estoque[data],preçodiario[[#This Row],[data]])</f>
        <v>120</v>
      </c>
      <c r="I4" s="20">
        <f>SUMIFS(estoque[valor total],estoque[fornecedor],"&lt;&gt;saída",estoque[produto],preçodiario[[#Headers],[OVO BRANCO A]],estoque[data],preçodiario[[#This Row],[data]])</f>
        <v>2000</v>
      </c>
      <c r="J4" s="20">
        <f>IFERROR(preçodiario[[#This Row],[estoque A]]*preçodiario[[#This Row],[OVO BRANCO A]],0)</f>
        <v>2154.136561085973</v>
      </c>
      <c r="K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Row],[data]])),((K3*L3)+SUMIFS(estoque[valor total],estoque[produto],preçodiario[[#Headers],[OVO BRANCO B]],estoque[data],preçodiario[[#This Row],[data]],estoque[fornecedor],"&lt;&gt;saída"))/(L3+(SUMIFS(estoque[quantidade],estoque[produto],preçodiario[[#Headers],[OVO BRANCO B]],estoque[fornecedor],"&lt;&gt;saída",estoque[data],preçodiario[[#This Row],[data]])))))</f>
        <v>16.036383718044181</v>
      </c>
      <c r="L4" s="22">
        <f>IF(preçodiario[[#This Row],[entrada B]]=0,L3-(SUMIFS(estoque[quantidade],estoque[fornecedor],"saída",estoque[produto],preçodiario[[#Headers],[OVO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Row],[data]]))+L3+preçodiario[[#This Row],[entrada B]])</f>
        <v>102</v>
      </c>
      <c r="M4" s="22">
        <f>SUMIFS(estoque[quantidade],estoque[fornecedor],"&lt;&gt;saída",estoque[produto],preçodiario[[#Headers],[OVO BRANCO B]],estoque[data],preçodiario[[#This Row],[data]])</f>
        <v>24</v>
      </c>
      <c r="N4" s="20">
        <f>SUMIFS(estoque[valor total],estoque[fornecedor],"&lt;&gt;saída",estoque[produto],preçodiario[[#Headers],[OVO BRANCO B]],estoque[data],preçodiario[[#This Row],[data]])</f>
        <v>380</v>
      </c>
      <c r="O4" s="20">
        <f>IFERROR(preçodiario[[#This Row],[OVO BRANCO B]]*preçodiario[[#This Row],[estoque B]],0)</f>
        <v>1635.7111392405066</v>
      </c>
      <c r="P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Row],[data]])),((P3*Q3)+SUMIFS(estoque[valor total],estoque[produto],preçodiario[[#Headers],[OVO BRANCO C]],estoque[data],preçodiario[[#This Row],[data]],estoque[fornecedor],"&lt;&gt;saída"))/(Q3+(SUMIFS(estoque[quantidade],estoque[produto],preçodiario[[#Headers],[OVO BRANCO C]],estoque[fornecedor],"&lt;&gt;saída",estoque[data],preçodiario[[#This Row],[data]])))))</f>
        <v>14.583333333333334</v>
      </c>
      <c r="Q4" s="22">
        <f>IF(preçodiario[[#This Row],[entrada C]]=0,Q3-(SUMIFS(estoque[quantidade],estoque[fornecedor],"saída",estoque[produto],preçodiario[[#Headers],[OVO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Row],[data]]))+Q3+preçodiario[[#This Row],[entrada C]])</f>
        <v>75</v>
      </c>
      <c r="R4" s="22">
        <f>SUMIFS(estoque[quantidade],estoque[fornecedor],"&lt;&gt;saída",estoque[produto],preçodiario[[#Headers],[OVO BRANCO C]],estoque[data],preçodiario[[#This Row],[data]])</f>
        <v>0</v>
      </c>
      <c r="S4" s="20">
        <f>SUMIFS(estoque[valor total],estoque[fornecedor],"&lt;&gt;saída",estoque[produto],preçodiario[[#Headers],[OVO BRANCO C]],estoque[data],preçodiario[[#This Row],[data]])</f>
        <v>0</v>
      </c>
      <c r="T4" s="20">
        <f>IFERROR(preçodiario[[#This Row],[OVO BRANCO C]]*preçodiario[[#This Row],[estoque C]],0)</f>
        <v>1093.75</v>
      </c>
      <c r="U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Row],[data]])),((U3*V3)+SUMIFS(estoque[valor total],estoque[produto],preçodiario[[#Headers],[OVO BRANCO EXTRA]],estoque[data],preçodiario[[#This Row],[data]],estoque[fornecedor],"&lt;&gt;saída"))/(V3+(SUMIFS(estoque[quantidade],estoque[produto],preçodiario[[#Headers],[OVO BRANCO EXTRA]],estoque[fornecedor],"&lt;&gt;saída",estoque[data],preçodiario[[#This Row],[data]])))))</f>
        <v>17.196112596762845</v>
      </c>
      <c r="V4" s="22">
        <f>IF(preçodiario[[#This Row],[entrada E]]=0,V3-(SUMIFS(estoque[quantidade],estoque[fornecedor],"saída",estoque[produto],preçodiario[[#Headers],[OVO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Row],[data]]))+V3+preçodiario[[#This Row],[entrada E]])</f>
        <v>145</v>
      </c>
      <c r="W4" s="22">
        <f>SUMIFS(estoque[quantidade],estoque[fornecedor],"&lt;&gt;saída",estoque[produto],preçodiario[[#Headers],[OVO BRANCO EXTRA]],estoque[data],preçodiario[[#This Row],[data]])</f>
        <v>108</v>
      </c>
      <c r="X4" s="20">
        <f>SUMIFS(estoque[valor total],estoque[fornecedor],"&lt;&gt;saída",estoque[produto],preçodiario[[#Headers],[OVO BRANCO EXTRA]],estoque[data],preçodiario[[#This Row],[data]])</f>
        <v>1845</v>
      </c>
      <c r="Y4" s="20">
        <f>IFERROR(preçodiario[[#This Row],[estoque E]]*preçodiario[[#This Row],[OVO BRANCO EXTRA]],0)</f>
        <v>2493.4363265306124</v>
      </c>
      <c r="Z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Row],[data]])),((Z3*AA3)+SUMIFS(estoque[valor total],estoque[produto],preçodiario[[#Headers],[OVO BRANCO JUMBO]],estoque[data],preçodiario[[#This Row],[data]],estoque[fornecedor],"&lt;&gt;saída"))/(AA3+(SUMIFS(estoque[quantidade],estoque[produto],preçodiario[[#Headers],[OVO BRANCO JUMBO]],estoque[fornecedor],"&lt;&gt;saída",estoque[data],preçodiario[[#This Row],[data]])))))</f>
        <v>18.333333333333332</v>
      </c>
      <c r="AA4" s="22">
        <f>IF(preçodiario[[#This Row],[entrada J]]=0,AA3-(SUMIFS(estoque[quantidade],estoque[fornecedor],"saída",estoque[produto],preçodiario[[#Headers],[OVO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Row],[data]]))+AA3+preçodiario[[#This Row],[entrada J]])</f>
        <v>21</v>
      </c>
      <c r="AB4" s="22">
        <f>SUMIFS(estoque[quantidade],estoque[fornecedor],"&lt;&gt;saída",estoque[produto],preçodiario[[#Headers],[OVO BRANCO JUMBO]],estoque[data],preçodiario[[#This Row],[data]])</f>
        <v>24</v>
      </c>
      <c r="AC4" s="20">
        <f>SUMIFS(estoque[valor total],estoque[fornecedor],"&lt;&gt;saída",estoque[produto],preçodiario[[#Headers],[OVO BRANCO JUMBO]],estoque[data],preçodiario[[#This Row],[data]])</f>
        <v>440</v>
      </c>
      <c r="AD4" s="20">
        <f>IFERROR(preçodiario[[#This Row],[OVO BRANCO JUMBO]]*preçodiario[[#This Row],[estoque J]],0)</f>
        <v>385</v>
      </c>
      <c r="AE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Row],[data]])),((AE3*AF3)+SUMIFS(estoque[valor total],estoque[produto],preçodiario[[#Headers],[OVO VERMELHO A]],estoque[data],preçodiario[[#This Row],[data]],estoque[fornecedor],"&lt;&gt;saída"))/(AF3+(SUMIFS(estoque[quantidade],estoque[produto],preçodiario[[#Headers],[OVO VERMELHO A]],estoque[fornecedor],"&lt;&gt;saída",estoque[data],preçodiario[[#This Row],[data]])))))</f>
        <v/>
      </c>
      <c r="AF4" s="22">
        <f>IF(preçodiario[[#This Row],[entrada AV]]=0,AF3-(SUMIFS(estoque[quantidade],estoque[fornecedor],"saída",estoque[produto],preçodiario[[#Headers],[OVO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Row],[data]]))+AF3+preçodiario[[#This Row],[entrada AV]])</f>
        <v>0</v>
      </c>
      <c r="AG4" s="22">
        <f>SUMIFS(estoque[quantidade],estoque[fornecedor],"&lt;&gt;saída",estoque[produto],preçodiario[[#Headers],[OVO VERMELHO A]],estoque[data],preçodiario[[#This Row],[data]])</f>
        <v>0</v>
      </c>
      <c r="AH4" s="20">
        <f>SUMIFS(estoque[valor total],estoque[fornecedor],"&lt;&gt;saída",estoque[produto],preçodiario[[#Headers],[OVO VERMELHO A]],estoque[data],preçodiario[[#This Row],[data]])</f>
        <v>0</v>
      </c>
      <c r="AI4" s="20">
        <f>IFERROR(preçodiario[[#This Row],[OVO VERMELHO A]]*preçodiario[[#This Row],[estoque AV]],0)</f>
        <v>0</v>
      </c>
      <c r="AJ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Row],[data]])),((AJ3*AK3)+SUMIFS(estoque[valor total],estoque[produto],preçodiario[[#Headers],[OVO VERMELHO B]],estoque[data],preçodiario[[#This Row],[data]],estoque[fornecedor],"&lt;&gt;saída"))/(AK3+(SUMIFS(estoque[quantidade],estoque[produto],preçodiario[[#Headers],[OVO VERMELHO B]],estoque[fornecedor],"&lt;&gt;saída",estoque[data],preçodiario[[#This Row],[data]])))))</f>
        <v/>
      </c>
      <c r="AK4" s="22">
        <f>IF(preçodiario[[#This Row],[entrada BV]]=0,AK3-(SUMIFS(estoque[quantidade],estoque[fornecedor],"saída",estoque[produto],preçodiario[[#Headers],[OVO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Row],[data]]))+AK3+preçodiario[[#This Row],[entrada BV]])</f>
        <v>0</v>
      </c>
      <c r="AL4" s="22">
        <f>SUMIFS(estoque[quantidade],estoque[fornecedor],"&lt;&gt;saída",estoque[produto],preçodiario[[#Headers],[OVO VERMELHO B]],estoque[data],preçodiario[[#This Row],[data]])</f>
        <v>0</v>
      </c>
      <c r="AM4" s="20">
        <f>SUMIFS(estoque[valor total],estoque[fornecedor],"&lt;&gt;saída",estoque[produto],preçodiario[[#Headers],[OVO VERMELHO B]],estoque[data],preçodiario[[#This Row],[data]])</f>
        <v>0</v>
      </c>
      <c r="AN4" s="20">
        <f>IFERROR(preçodiario[[#This Row],[OVO VERMELHO B]]*preçodiario[[#This Row],[estoque BV]],0)</f>
        <v>0</v>
      </c>
      <c r="AO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Row],[data]])),((AO3*AP3)+SUMIFS(estoque[valor total],estoque[produto],preçodiario[[#Headers],[OVO VERMELHO C]],estoque[data],preçodiario[[#This Row],[data]],estoque[fornecedor],"&lt;&gt;saída"))/(AP3+(SUMIFS(estoque[quantidade],estoque[produto],preçodiario[[#Headers],[OVO VERMELHO C]],estoque[fornecedor],"&lt;&gt;saída",estoque[data],preçodiario[[#This Row],[data]])))))</f>
        <v/>
      </c>
      <c r="AP4" s="22">
        <f>IF(preçodiario[[#This Row],[entrada CV]]=0,AP3-(SUMIFS(estoque[quantidade],estoque[fornecedor],"saída",estoque[produto],preçodiario[[#Headers],[OVO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Row],[data]]))+AP3+preçodiario[[#This Row],[entrada CV]])</f>
        <v>0</v>
      </c>
      <c r="AQ4" s="22">
        <f>SUMIFS(estoque[quantidade],estoque[fornecedor],"&lt;&gt;saída",estoque[produto],preçodiario[[#Headers],[OVO VERMELHO C]],estoque[data],preçodiario[[#This Row],[data]])</f>
        <v>0</v>
      </c>
      <c r="AR4" s="20">
        <f>SUMIFS(estoque[valor total],estoque[fornecedor],"&lt;&gt;saída",estoque[produto],preçodiario[[#Headers],[OVO VERMELHO C]],estoque[data],preçodiario[[#This Row],[data]])</f>
        <v>0</v>
      </c>
      <c r="AS4" s="20">
        <f>IFERROR(preçodiario[[#This Row],[OVO VERMELHO C]]*preçodiario[[#This Row],[estoque CV]],0)</f>
        <v>0</v>
      </c>
      <c r="AT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Row],[data]])),((AT3*AU3)+SUMIFS(estoque[valor total],estoque[produto],preçodiario[[#Headers],[OVO VERMELHO EXTRA]],estoque[data],preçodiario[[#This Row],[data]],estoque[fornecedor],"&lt;&gt;saída"))/(AU3+(SUMIFS(estoque[quantidade],estoque[produto],preçodiario[[#Headers],[OVO VERMELHO EXTRA]],estoque[fornecedor],"&lt;&gt;saída",estoque[data],preçodiario[[#This Row],[data]])))))</f>
        <v/>
      </c>
      <c r="AU4" s="22">
        <f>IF(preçodiario[[#This Row],[entrada EV]]=0,AU3-(SUMIFS(estoque[quantidade],estoque[fornecedor],"saída",estoque[produto],preçodiario[[#Headers],[OVO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Row],[data]]))+AU3+preçodiario[[#This Row],[entrada EV]])</f>
        <v>0</v>
      </c>
      <c r="AV4" s="22">
        <f>SUMIFS(estoque[quantidade],estoque[fornecedor],"&lt;&gt;saída",estoque[produto],preçodiario[[#Headers],[OVO VERMELHO EXTRA]],estoque[data],preçodiario[[#This Row],[data]])</f>
        <v>0</v>
      </c>
      <c r="AW4" s="20">
        <f>SUMIFS(estoque[valor total],estoque[fornecedor],"&lt;&gt;saída",estoque[produto],preçodiario[[#Headers],[OVO VERMELHO EXTRA]],estoque[data],preçodiario[[#This Row],[data]])</f>
        <v>0</v>
      </c>
      <c r="AX4" s="20">
        <f>IFERROR(preçodiario[[#This Row],[OVO VERMELHO EXTRA]]*preçodiario[[#This Row],[estoque EV]],0)</f>
        <v>0</v>
      </c>
      <c r="AY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Row],[data]])),((AY3*AZ3)+SUMIFS(estoque[valor total],estoque[produto],preçodiario[[#Headers],[OVO VERMELHO JUMBO]],estoque[data],preçodiario[[#This Row],[data]],estoque[fornecedor],"&lt;&gt;saída"))/(AZ3+(SUMIFS(estoque[quantidade],estoque[produto],preçodiario[[#Headers],[OVO VERMELHO JUMBO]],estoque[fornecedor],"&lt;&gt;saída",estoque[data],preçodiario[[#This Row],[data]])))))</f>
        <v/>
      </c>
      <c r="AZ4" s="22">
        <f>IF(preçodiario[[#This Row],[entrada JV]]=0,AZ3-(SUMIFS(estoque[quantidade],estoque[fornecedor],"saída",estoque[produto],preçodiario[[#Headers],[OVO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Row],[data]]))+AZ3+preçodiario[[#This Row],[entrada JV]])</f>
        <v>0</v>
      </c>
      <c r="BA4" s="22">
        <f>SUMIFS(estoque[quantidade],estoque[fornecedor],"&lt;&gt;saída",estoque[produto],preçodiario[[#Headers],[OVO VERMELHO JUMBO]],estoque[data],preçodiario[[#This Row],[data]])</f>
        <v>0</v>
      </c>
      <c r="BB4" s="20">
        <f>SUMIFS(estoque[valor total],estoque[fornecedor],"&lt;&gt;saída",estoque[produto],preçodiario[[#Headers],[OVO VERMELHO JUMBO]],estoque[data],preçodiario[[#This Row],[data]])</f>
        <v>0</v>
      </c>
      <c r="BC4" s="20">
        <f>IFERROR(preçodiario[[#This Row],[OVO VERMELHO JUMBO]]*preçodiario[[#This Row],[estoque JV]],0)</f>
        <v>0</v>
      </c>
      <c r="BD4" t="str">
        <f>TEXT(vendaAno[[#This Row],[data]],"mmm")</f>
        <v>jan</v>
      </c>
      <c r="BE4" t="str">
        <f>TEXT(vendaAno[[#This Row],[data]],"ddd")</f>
        <v>sáb</v>
      </c>
      <c r="BF4" s="82">
        <f>WEEKNUM(vendaAno[[#This Row],[data]],13)</f>
        <v>1</v>
      </c>
      <c r="BG4" s="27">
        <f>preçodiario[[#This Row],[data]]</f>
        <v>46025</v>
      </c>
      <c r="BH4" s="8">
        <f>IF(SUMIFS(estoque[valor total],estoque[fornecedor],"&lt;&gt;saída",estoque[data],vendaAno[[#This Row],[data]])=0,"",SUMIFS(estoque[valor total],estoque[fornecedor],"&lt;&gt;saída",estoque[data],vendaAno[[#This Row],[data]]))</f>
        <v>4665</v>
      </c>
      <c r="BI4" s="8">
        <f>IF(SUMIFS(estoque[valor total],estoque[fornecedor],"saída",estoque[data],vendaAno[[#This Row],[data]])=0,"",SUMIFS(estoque[valor total],estoque[fornecedor],"saída",estoque[data],vendaAno[[#This Row],[data]]))</f>
        <v>95</v>
      </c>
      <c r="BJ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Row],[data]]))/12+BJ3,"")</f>
        <v>39.333333333333329</v>
      </c>
      <c r="BK4" s="79">
        <f>IF(SUMIFS(estoque[quantidade],estoque[fornecedor],"saída",estoque[data],vendaAno[[#This Row],[data]])/12=0,"",SUMIFS(estoque[quantidade],estoque[fornecedor],"saída",estoque[data],vendaAno[[#This Row],[data]])/12)</f>
        <v>0.33333333333333331</v>
      </c>
      <c r="BL4" s="8">
        <f ca="1">IF(vendaAno[[#This Row],[data]]&lt;=TODAY(),IF(SUMIFS(estoque[lucro],estoque[fornecedor],"saída",estoque[data],vendaAno[[#This Row],[data]])=0,AVERAGE(BL1:BL3),SUMIFS(estoque[lucro],estoque[fornecedor],"saída",estoque[data],vendaAno[[#This Row],[data]])),"")</f>
        <v>23.3</v>
      </c>
      <c r="BM4" s="10">
        <f ca="1">IFERROR(vendaAno[[#This Row],[lucro]]/vendaAno[[#This Row],[valor de venda]],"")</f>
        <v>0.24526315789473685</v>
      </c>
      <c r="BN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7762.0340268570917</v>
      </c>
      <c r="BO4" s="8">
        <f ca="1">IF(TODAY()&gt;=vendaAno[[#This Row],[data]],IF(vendaAno[[#This Row],[N°]]=BF3,vendaAno[[#This Row],[lucro]]-173.33+BO3,vendaAno[[#This Row],[lucro]]-150),"")</f>
        <v>-399.84000000000003</v>
      </c>
      <c r="BP4" s="81">
        <f ca="1">IF(TODAY()&gt;=vendaAno[[#This Row],[data]],vendaAno[[#This Row],[venda]]*12*7,"")</f>
        <v>28</v>
      </c>
      <c r="BQ4" s="7">
        <f ca="1">IFERROR(vendaAno[[#This Row],[lucro]]/(vendaAno[[#This Row],[venda]]*12),"")</f>
        <v>5.8250000000000002</v>
      </c>
      <c r="BT4" s="95">
        <f ca="1">WEEKNUM(PvPcML[[#This Row],[data]],13)</f>
        <v>30</v>
      </c>
      <c r="BU4" s="132">
        <f t="shared" ref="BU4:BU62" ca="1" si="0">BU3-1</f>
        <v>46231</v>
      </c>
      <c r="BV4" s="7">
        <f ca="1">IFERROR(SUMIFS(vendaAno[valor de venda],vendaAno[data],PvPcML[[#This Row],[data]])/(SUMIFS(vendaAno[venda],vendaAno[data],PvPcML[[#This Row],[data]])*12),"")</f>
        <v>19.8</v>
      </c>
      <c r="BW4" s="7">
        <f ca="1">IFERROR(SUMIFS(vendaAno[valor de venda],vendaAno[data],PvPcML[[#This Row],[data]])/(SUMIFS(vendaAno[venda],vendaAno[data],PvPcML[[#This Row],[data]])*12)-PvPcML[[#This Row],[lucro médio]],"")</f>
        <v>15.613333333333333</v>
      </c>
      <c r="BX4" s="7">
        <f ca="1">IF(SUMIFS(vendaAno[[lucro médio ]],vendaAno[data],PvPcML[[#This Row],[data]])=0,"",SUMIFS(vendaAno[[lucro médio ]],vendaAno[data],PvPcML[[#This Row],[data]]))</f>
        <v>4.1866666666666665</v>
      </c>
      <c r="BY4" s="90">
        <v>3</v>
      </c>
      <c r="BZ4" s="89">
        <f t="shared" ref="BZ4:BZ54" si="1">BZ3+7</f>
        <v>46037</v>
      </c>
      <c r="CA4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15.750000000000002</v>
      </c>
      <c r="CB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3.1666666666666665</v>
      </c>
      <c r="CC4" s="7">
        <f ca="1">IFERROR(SUMIFS(vendaAno[lucro],vendaAno[data],"&gt;="&amp;semanal[[#This Row],[semana]],vendaAno[data],"&lt;="&amp;semanal[[#This Row],[semana]]+6)/((semanal[[#This Row],[varejo]]+semanal[[#This Row],[atacado]])*12),"")</f>
        <v>4.2918942731277525</v>
      </c>
      <c r="CD4" s="82">
        <f>IFERROR(AVERAGEIFS(vendaAno[venda],vendaAno[data],"&gt;="&amp;semanal[[#This Row],[semana]],vendaAno[data],"&lt;="&amp;semanal[[#This Row],[semana]]+6),"")</f>
        <v>2.7023809523809526</v>
      </c>
      <c r="CE4" s="82">
        <f ca="1">IFERROR((150/semanal[[#This Row],[lucro médio por cartela]])/12,"")</f>
        <v>2.912466897953319</v>
      </c>
    </row>
    <row r="5" spans="1:83" x14ac:dyDescent="0.25">
      <c r="A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5" s="18" t="str">
        <f>TEXT(preçodiario[[#This Row],[data]],"MMM")</f>
        <v>jan</v>
      </c>
      <c r="C5" s="18" t="str">
        <f>TEXT(preçodiario[[#This Row],[data]],"ddd")</f>
        <v>dom</v>
      </c>
      <c r="D5" s="96">
        <f>WEEKNUM(preçodiario[[#This Row],[data]],13)</f>
        <v>1</v>
      </c>
      <c r="E5" s="37">
        <v>46026</v>
      </c>
      <c r="F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Row],[data]])),((F4*G4)+SUMIFS(estoque[valor total],estoque[produto],preçodiario[[#Headers],[OVO BRANCO A]],estoque[data],preçodiario[[#This Row],[data]],estoque[fornecedor],"&lt;&gt;saída"))/(G4+(SUMIFS(estoque[quantidade],estoque[produto],preçodiario[[#Headers],[OVO BRANCO A]],estoque[fornecedor],"&lt;&gt;saída",estoque[data],preçodiario[[#This Row],[data]])))))</f>
        <v>16.698733031674209</v>
      </c>
      <c r="G5" s="22">
        <f>IF(preçodiario[[#This Row],[entrada A]]=0,G4-(SUMIFS(estoque[quantidade],estoque[fornecedor],"saída",estoque[produto],preçodiario[[#Headers],[OVO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Row],[data]]))+G4+preçodiario[[#This Row],[entrada A]])</f>
        <v>122</v>
      </c>
      <c r="H5" s="22">
        <f>SUMIFS(estoque[quantidade],estoque[fornecedor],"&lt;&gt;saída",estoque[produto],preçodiario[[#Headers],[OVO BRANCO A]],estoque[data],preçodiario[[#This Row],[data]])</f>
        <v>0</v>
      </c>
      <c r="I5" s="20">
        <f>SUMIFS(estoque[valor total],estoque[fornecedor],"&lt;&gt;saída",estoque[produto],preçodiario[[#Headers],[OVO BRANCO A]],estoque[data],preçodiario[[#This Row],[data]])</f>
        <v>0</v>
      </c>
      <c r="J5" s="20">
        <f>IFERROR(preçodiario[[#This Row],[estoque A]]*preçodiario[[#This Row],[OVO BRANCO A]],0)</f>
        <v>2037.2454298642535</v>
      </c>
      <c r="K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Row],[data]])),((K4*L4)+SUMIFS(estoque[valor total],estoque[produto],preçodiario[[#Headers],[OVO BRANCO B]],estoque[data],preçodiario[[#This Row],[data]],estoque[fornecedor],"&lt;&gt;saída"))/(L4+(SUMIFS(estoque[quantidade],estoque[produto],preçodiario[[#Headers],[OVO BRANCO B]],estoque[fornecedor],"&lt;&gt;saída",estoque[data],preçodiario[[#This Row],[data]])))))</f>
        <v>16.036383718044181</v>
      </c>
      <c r="L5" s="22">
        <f>IF(preçodiario[[#This Row],[entrada B]]=0,L4-(SUMIFS(estoque[quantidade],estoque[fornecedor],"saída",estoque[produto],preçodiario[[#Headers],[OVO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Row],[data]]))+L4+preçodiario[[#This Row],[entrada B]])</f>
        <v>90</v>
      </c>
      <c r="M5" s="22">
        <f>SUMIFS(estoque[quantidade],estoque[fornecedor],"&lt;&gt;saída",estoque[produto],preçodiario[[#Headers],[OVO BRANCO B]],estoque[data],preçodiario[[#This Row],[data]])</f>
        <v>0</v>
      </c>
      <c r="N5" s="20">
        <f>SUMIFS(estoque[valor total],estoque[fornecedor],"&lt;&gt;saída",estoque[produto],preçodiario[[#Headers],[OVO BRANCO B]],estoque[data],preçodiario[[#This Row],[data]])</f>
        <v>0</v>
      </c>
      <c r="O5" s="20">
        <f>IFERROR(preçodiario[[#This Row],[OVO BRANCO B]]*preçodiario[[#This Row],[estoque B]],0)</f>
        <v>1443.2745346239763</v>
      </c>
      <c r="P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Row],[data]])),((P4*Q4)+SUMIFS(estoque[valor total],estoque[produto],preçodiario[[#Headers],[OVO BRANCO C]],estoque[data],preçodiario[[#This Row],[data]],estoque[fornecedor],"&lt;&gt;saída"))/(Q4+(SUMIFS(estoque[quantidade],estoque[produto],preçodiario[[#Headers],[OVO BRANCO C]],estoque[fornecedor],"&lt;&gt;saída",estoque[data],preçodiario[[#This Row],[data]])))))</f>
        <v>14.583333333333334</v>
      </c>
      <c r="Q5" s="22">
        <f>IF(preçodiario[[#This Row],[entrada C]]=0,Q4-(SUMIFS(estoque[quantidade],estoque[fornecedor],"saída",estoque[produto],preçodiario[[#Headers],[OVO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Row],[data]]))+Q4+preçodiario[[#This Row],[entrada C]])</f>
        <v>68</v>
      </c>
      <c r="R5" s="22">
        <f>SUMIFS(estoque[quantidade],estoque[fornecedor],"&lt;&gt;saída",estoque[produto],preçodiario[[#Headers],[OVO BRANCO C]],estoque[data],preçodiario[[#This Row],[data]])</f>
        <v>0</v>
      </c>
      <c r="S5" s="20">
        <f>SUMIFS(estoque[valor total],estoque[fornecedor],"&lt;&gt;saída",estoque[produto],preçodiario[[#Headers],[OVO BRANCO C]],estoque[data],preçodiario[[#This Row],[data]])</f>
        <v>0</v>
      </c>
      <c r="T5" s="20">
        <f>IFERROR(preçodiario[[#This Row],[OVO BRANCO C]]*preçodiario[[#This Row],[estoque C]],0)</f>
        <v>991.66666666666674</v>
      </c>
      <c r="U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Row],[data]])),((U4*V4)+SUMIFS(estoque[valor total],estoque[produto],preçodiario[[#Headers],[OVO BRANCO EXTRA]],estoque[data],preçodiario[[#This Row],[data]],estoque[fornecedor],"&lt;&gt;saída"))/(V4+(SUMIFS(estoque[quantidade],estoque[produto],preçodiario[[#Headers],[OVO BRANCO EXTRA]],estoque[fornecedor],"&lt;&gt;saída",estoque[data],preçodiario[[#This Row],[data]])))))</f>
        <v>17.196112596762845</v>
      </c>
      <c r="V5" s="22">
        <f>IF(preçodiario[[#This Row],[entrada E]]=0,V4-(SUMIFS(estoque[quantidade],estoque[fornecedor],"saída",estoque[produto],preçodiario[[#Headers],[OVO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Row],[data]]))+V4+preçodiario[[#This Row],[entrada E]])</f>
        <v>125</v>
      </c>
      <c r="W5" s="22">
        <f>SUMIFS(estoque[quantidade],estoque[fornecedor],"&lt;&gt;saída",estoque[produto],preçodiario[[#Headers],[OVO BRANCO EXTRA]],estoque[data],preçodiario[[#This Row],[data]])</f>
        <v>0</v>
      </c>
      <c r="X5" s="20">
        <f>SUMIFS(estoque[valor total],estoque[fornecedor],"&lt;&gt;saída",estoque[produto],preçodiario[[#Headers],[OVO BRANCO EXTRA]],estoque[data],preçodiario[[#This Row],[data]])</f>
        <v>0</v>
      </c>
      <c r="Y5" s="20">
        <f>IFERROR(preçodiario[[#This Row],[estoque E]]*preçodiario[[#This Row],[OVO BRANCO EXTRA]],0)</f>
        <v>2149.5140745953554</v>
      </c>
      <c r="Z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Row],[data]])),((Z4*AA4)+SUMIFS(estoque[valor total],estoque[produto],preçodiario[[#Headers],[OVO BRANCO JUMBO]],estoque[data],preçodiario[[#This Row],[data]],estoque[fornecedor],"&lt;&gt;saída"))/(AA4+(SUMIFS(estoque[quantidade],estoque[produto],preçodiario[[#Headers],[OVO BRANCO JUMBO]],estoque[fornecedor],"&lt;&gt;saída",estoque[data],preçodiario[[#This Row],[data]])))))</f>
        <v>18.333333333333332</v>
      </c>
      <c r="AA5" s="22">
        <f>IF(preçodiario[[#This Row],[entrada J]]=0,AA4-(SUMIFS(estoque[quantidade],estoque[fornecedor],"saída",estoque[produto],preçodiario[[#Headers],[OVO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Row],[data]]))+AA4+preçodiario[[#This Row],[entrada J]])</f>
        <v>19</v>
      </c>
      <c r="AB5" s="22">
        <f>SUMIFS(estoque[quantidade],estoque[fornecedor],"&lt;&gt;saída",estoque[produto],preçodiario[[#Headers],[OVO BRANCO JUMBO]],estoque[data],preçodiario[[#This Row],[data]])</f>
        <v>0</v>
      </c>
      <c r="AC5" s="20">
        <f>SUMIFS(estoque[valor total],estoque[fornecedor],"&lt;&gt;saída",estoque[produto],preçodiario[[#Headers],[OVO BRANCO JUMBO]],estoque[data],preçodiario[[#This Row],[data]])</f>
        <v>0</v>
      </c>
      <c r="AD5" s="20">
        <f>IFERROR(preçodiario[[#This Row],[OVO BRANCO JUMBO]]*preçodiario[[#This Row],[estoque J]],0)</f>
        <v>348.33333333333331</v>
      </c>
      <c r="AE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Row],[data]])),((AE4*AF4)+SUMIFS(estoque[valor total],estoque[produto],preçodiario[[#Headers],[OVO VERMELHO A]],estoque[data],preçodiario[[#This Row],[data]],estoque[fornecedor],"&lt;&gt;saída"))/(AF4+(SUMIFS(estoque[quantidade],estoque[produto],preçodiario[[#Headers],[OVO VERMELHO A]],estoque[fornecedor],"&lt;&gt;saída",estoque[data],preçodiario[[#This Row],[data]])))))</f>
        <v/>
      </c>
      <c r="AF5" s="22">
        <f>IF(preçodiario[[#This Row],[entrada AV]]=0,AF4-(SUMIFS(estoque[quantidade],estoque[fornecedor],"saída",estoque[produto],preçodiario[[#Headers],[OVO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Row],[data]]))+AF4+preçodiario[[#This Row],[entrada AV]])</f>
        <v>0</v>
      </c>
      <c r="AG5" s="22">
        <f>SUMIFS(estoque[quantidade],estoque[fornecedor],"&lt;&gt;saída",estoque[produto],preçodiario[[#Headers],[OVO VERMELHO A]],estoque[data],preçodiario[[#This Row],[data]])</f>
        <v>0</v>
      </c>
      <c r="AH5" s="20">
        <f>SUMIFS(estoque[valor total],estoque[fornecedor],"&lt;&gt;saída",estoque[produto],preçodiario[[#Headers],[OVO VERMELHO A]],estoque[data],preçodiario[[#This Row],[data]])</f>
        <v>0</v>
      </c>
      <c r="AI5" s="20">
        <f>IFERROR(preçodiario[[#This Row],[OVO VERMELHO A]]*preçodiario[[#This Row],[estoque AV]],0)</f>
        <v>0</v>
      </c>
      <c r="AJ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Row],[data]])),((AJ4*AK4)+SUMIFS(estoque[valor total],estoque[produto],preçodiario[[#Headers],[OVO VERMELHO B]],estoque[data],preçodiario[[#This Row],[data]],estoque[fornecedor],"&lt;&gt;saída"))/(AK4+(SUMIFS(estoque[quantidade],estoque[produto],preçodiario[[#Headers],[OVO VERMELHO B]],estoque[fornecedor],"&lt;&gt;saída",estoque[data],preçodiario[[#This Row],[data]])))))</f>
        <v/>
      </c>
      <c r="AK5" s="22">
        <f>IF(preçodiario[[#This Row],[entrada BV]]=0,AK4-(SUMIFS(estoque[quantidade],estoque[fornecedor],"saída",estoque[produto],preçodiario[[#Headers],[OVO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Row],[data]]))+AK4+preçodiario[[#This Row],[entrada BV]])</f>
        <v>0</v>
      </c>
      <c r="AL5" s="22">
        <f>SUMIFS(estoque[quantidade],estoque[fornecedor],"&lt;&gt;saída",estoque[produto],preçodiario[[#Headers],[OVO VERMELHO B]],estoque[data],preçodiario[[#This Row],[data]])</f>
        <v>0</v>
      </c>
      <c r="AM5" s="20">
        <f>SUMIFS(estoque[valor total],estoque[fornecedor],"&lt;&gt;saída",estoque[produto],preçodiario[[#Headers],[OVO VERMELHO B]],estoque[data],preçodiario[[#This Row],[data]])</f>
        <v>0</v>
      </c>
      <c r="AN5" s="20">
        <f>IFERROR(preçodiario[[#This Row],[OVO VERMELHO B]]*preçodiario[[#This Row],[estoque BV]],0)</f>
        <v>0</v>
      </c>
      <c r="AO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Row],[data]])),((AO4*AP4)+SUMIFS(estoque[valor total],estoque[produto],preçodiario[[#Headers],[OVO VERMELHO C]],estoque[data],preçodiario[[#This Row],[data]],estoque[fornecedor],"&lt;&gt;saída"))/(AP4+(SUMIFS(estoque[quantidade],estoque[produto],preçodiario[[#Headers],[OVO VERMELHO C]],estoque[fornecedor],"&lt;&gt;saída",estoque[data],preçodiario[[#This Row],[data]])))))</f>
        <v/>
      </c>
      <c r="AP5" s="22">
        <f>IF(preçodiario[[#This Row],[entrada CV]]=0,AP4-(SUMIFS(estoque[quantidade],estoque[fornecedor],"saída",estoque[produto],preçodiario[[#Headers],[OVO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Row],[data]]))+AP4+preçodiario[[#This Row],[entrada CV]])</f>
        <v>0</v>
      </c>
      <c r="AQ5" s="22">
        <f>SUMIFS(estoque[quantidade],estoque[fornecedor],"&lt;&gt;saída",estoque[produto],preçodiario[[#Headers],[OVO VERMELHO C]],estoque[data],preçodiario[[#This Row],[data]])</f>
        <v>0</v>
      </c>
      <c r="AR5" s="20">
        <f>SUMIFS(estoque[valor total],estoque[fornecedor],"&lt;&gt;saída",estoque[produto],preçodiario[[#Headers],[OVO VERMELHO C]],estoque[data],preçodiario[[#This Row],[data]])</f>
        <v>0</v>
      </c>
      <c r="AS5" s="20">
        <f>IFERROR(preçodiario[[#This Row],[OVO VERMELHO C]]*preçodiario[[#This Row],[estoque CV]],0)</f>
        <v>0</v>
      </c>
      <c r="AT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Row],[data]])),((AT4*AU4)+SUMIFS(estoque[valor total],estoque[produto],preçodiario[[#Headers],[OVO VERMELHO EXTRA]],estoque[data],preçodiario[[#This Row],[data]],estoque[fornecedor],"&lt;&gt;saída"))/(AU4+(SUMIFS(estoque[quantidade],estoque[produto],preçodiario[[#Headers],[OVO VERMELHO EXTRA]],estoque[fornecedor],"&lt;&gt;saída",estoque[data],preçodiario[[#This Row],[data]])))))</f>
        <v/>
      </c>
      <c r="AU5" s="22">
        <f>IF(preçodiario[[#This Row],[entrada EV]]=0,AU4-(SUMIFS(estoque[quantidade],estoque[fornecedor],"saída",estoque[produto],preçodiario[[#Headers],[OVO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Row],[data]]))+AU4+preçodiario[[#This Row],[entrada EV]])</f>
        <v>0</v>
      </c>
      <c r="AV5" s="22">
        <f>SUMIFS(estoque[quantidade],estoque[fornecedor],"&lt;&gt;saída",estoque[produto],preçodiario[[#Headers],[OVO VERMELHO EXTRA]],estoque[data],preçodiario[[#This Row],[data]])</f>
        <v>0</v>
      </c>
      <c r="AW5" s="20">
        <f>SUMIFS(estoque[valor total],estoque[fornecedor],"&lt;&gt;saída",estoque[produto],preçodiario[[#Headers],[OVO VERMELHO EXTRA]],estoque[data],preçodiario[[#This Row],[data]])</f>
        <v>0</v>
      </c>
      <c r="AX5" s="20">
        <f>IFERROR(preçodiario[[#This Row],[OVO VERMELHO EXTRA]]*preçodiario[[#This Row],[estoque EV]],0)</f>
        <v>0</v>
      </c>
      <c r="AY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Row],[data]])),((AY4*AZ4)+SUMIFS(estoque[valor total],estoque[produto],preçodiario[[#Headers],[OVO VERMELHO JUMBO]],estoque[data],preçodiario[[#This Row],[data]],estoque[fornecedor],"&lt;&gt;saída"))/(AZ4+(SUMIFS(estoque[quantidade],estoque[produto],preçodiario[[#Headers],[OVO VERMELHO JUMBO]],estoque[fornecedor],"&lt;&gt;saída",estoque[data],preçodiario[[#This Row],[data]])))))</f>
        <v/>
      </c>
      <c r="AZ5" s="22">
        <f>IF(preçodiario[[#This Row],[entrada JV]]=0,AZ4-(SUMIFS(estoque[quantidade],estoque[fornecedor],"saída",estoque[produto],preçodiario[[#Headers],[OVO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Row],[data]]))+AZ4+preçodiario[[#This Row],[entrada JV]])</f>
        <v>0</v>
      </c>
      <c r="BA5" s="22">
        <f>SUMIFS(estoque[quantidade],estoque[fornecedor],"&lt;&gt;saída",estoque[produto],preçodiario[[#Headers],[OVO VERMELHO JUMBO]],estoque[data],preçodiario[[#This Row],[data]])</f>
        <v>0</v>
      </c>
      <c r="BB5" s="20">
        <f>SUMIFS(estoque[valor total],estoque[fornecedor],"&lt;&gt;saída",estoque[produto],preçodiario[[#Headers],[OVO VERMELHO JUMBO]],estoque[data],preçodiario[[#This Row],[data]])</f>
        <v>0</v>
      </c>
      <c r="BC5" s="20">
        <f>IFERROR(preçodiario[[#This Row],[OVO VERMELHO JUMBO]]*preçodiario[[#This Row],[estoque JV]],0)</f>
        <v>0</v>
      </c>
      <c r="BD5" t="str">
        <f>TEXT(vendaAno[[#This Row],[data]],"mmm")</f>
        <v>jan</v>
      </c>
      <c r="BE5" t="str">
        <f>TEXT(vendaAno[[#This Row],[data]],"ddd")</f>
        <v>dom</v>
      </c>
      <c r="BF5" s="82">
        <f>WEEKNUM(vendaAno[[#This Row],[data]],13)</f>
        <v>1</v>
      </c>
      <c r="BG5" s="27">
        <f>preçodiario[[#This Row],[data]]</f>
        <v>46026</v>
      </c>
      <c r="BH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" s="8">
        <f>IF(SUMIFS(estoque[valor total],estoque[fornecedor],"saída",estoque[data],vendaAno[[#This Row],[data]])=0,"",SUMIFS(estoque[valor total],estoque[fornecedor],"saída",estoque[data],vendaAno[[#This Row],[data]]))</f>
        <v>938</v>
      </c>
      <c r="BJ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Row],[data]]))/12+BJ4,"")</f>
        <v>35.333333333333329</v>
      </c>
      <c r="BK5" s="79">
        <f>IF(SUMIFS(estoque[quantidade],estoque[fornecedor],"saída",estoque[data],vendaAno[[#This Row],[data]])/12=0,"",SUMIFS(estoque[quantidade],estoque[fornecedor],"saída",estoque[data],vendaAno[[#This Row],[data]])/12)</f>
        <v>4</v>
      </c>
      <c r="BL5" s="8">
        <f ca="1">IF(vendaAno[[#This Row],[data]]&lt;=TODAY(),IF(SUMIFS(estoque[lucro],estoque[fornecedor],"saída",estoque[data],vendaAno[[#This Row],[data]])=0,AVERAGE(BL2:BL4),SUMIFS(estoque[lucro],estoque[fornecedor],"saída",estoque[data],vendaAno[[#This Row],[data]])),"")</f>
        <v>146</v>
      </c>
      <c r="BM5" s="10">
        <f ca="1">IFERROR(vendaAno[[#This Row],[lucro]]/vendaAno[[#This Row],[valor de venda]],"")</f>
        <v>0.15565031982942432</v>
      </c>
      <c r="BN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6970.0340390835854</v>
      </c>
      <c r="BO5" s="8">
        <f ca="1">IF(TODAY()&gt;=vendaAno[[#This Row],[data]],IF(vendaAno[[#This Row],[N°]]=BF4,vendaAno[[#This Row],[lucro]]-173.33+BO4,vendaAno[[#This Row],[lucro]]-150),"")</f>
        <v>-427.17000000000007</v>
      </c>
      <c r="BP5" s="81">
        <f ca="1">IF(TODAY()&gt;=vendaAno[[#This Row],[data]],vendaAno[[#This Row],[venda]]*12*7,"")</f>
        <v>336</v>
      </c>
      <c r="BQ5" s="7">
        <f ca="1">IFERROR(vendaAno[[#This Row],[lucro]]/(vendaAno[[#This Row],[venda]]*12),"")</f>
        <v>3.0416666666666665</v>
      </c>
      <c r="BT5" s="95">
        <f ca="1">WEEKNUM(PvPcML[[#This Row],[data]],13)</f>
        <v>30</v>
      </c>
      <c r="BU5" s="132">
        <f t="shared" ca="1" si="0"/>
        <v>46230</v>
      </c>
      <c r="BV5" s="7">
        <f ca="1">IFERROR(SUMIFS(vendaAno[valor de venda],vendaAno[data],PvPcML[[#This Row],[data]])/(SUMIFS(vendaAno[venda],vendaAno[data],PvPcML[[#This Row],[data]])*12),"")</f>
        <v>18.861111111111111</v>
      </c>
      <c r="BW5" s="7">
        <f ca="1">IFERROR(SUMIFS(vendaAno[valor de venda],vendaAno[data],PvPcML[[#This Row],[data]])/(SUMIFS(vendaAno[venda],vendaAno[data],PvPcML[[#This Row],[data]])*12)-PvPcML[[#This Row],[lucro médio]],"")</f>
        <v>15.236111111111111</v>
      </c>
      <c r="BX5" s="7">
        <f ca="1">IF(SUMIFS(vendaAno[[lucro médio ]],vendaAno[data],PvPcML[[#This Row],[data]])=0,"",SUMIFS(vendaAno[[lucro médio ]],vendaAno[data],PvPcML[[#This Row],[data]]))</f>
        <v>3.625</v>
      </c>
      <c r="BY5" s="91">
        <v>4</v>
      </c>
      <c r="BZ5" s="89">
        <f t="shared" si="1"/>
        <v>46044</v>
      </c>
      <c r="CA5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14.166666666666664</v>
      </c>
      <c r="CB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5.916666666666667</v>
      </c>
      <c r="CC5" s="7">
        <f ca="1">IFERROR(SUMIFS(vendaAno[lucro],vendaAno[data],"&gt;="&amp;semanal[[#This Row],[semana]],vendaAno[data],"&lt;="&amp;semanal[[#This Row],[semana]]+6)/((semanal[[#This Row],[varejo]]+semanal[[#This Row],[atacado]])*12),"")</f>
        <v>4.0289211618257266</v>
      </c>
      <c r="CD5" s="82">
        <f>IFERROR(AVERAGEIFS(vendaAno[venda],vendaAno[data],"&gt;="&amp;semanal[[#This Row],[semana]],vendaAno[data],"&lt;="&amp;semanal[[#This Row],[semana]]+6),"")</f>
        <v>2.8690476190476191</v>
      </c>
      <c r="CE5" s="82">
        <f ca="1">IFERROR((150/semanal[[#This Row],[lucro médio por cartela]])/12,"")</f>
        <v>3.1025675355572258</v>
      </c>
    </row>
    <row r="6" spans="1:83" x14ac:dyDescent="0.25">
      <c r="A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6" s="18" t="str">
        <f>TEXT(preçodiario[[#This Row],[data]],"MMM")</f>
        <v>jan</v>
      </c>
      <c r="C6" s="18" t="str">
        <f>TEXT(preçodiario[[#This Row],[data]],"ddd")</f>
        <v>seg</v>
      </c>
      <c r="D6" s="96">
        <f>WEEKNUM(preçodiario[[#This Row],[data]],13)</f>
        <v>1</v>
      </c>
      <c r="E6" s="37">
        <v>46027</v>
      </c>
      <c r="F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Row],[data]])),((F5*G5)+SUMIFS(estoque[valor total],estoque[produto],preçodiario[[#Headers],[OVO BRANCO A]],estoque[data],preçodiario[[#This Row],[data]],estoque[fornecedor],"&lt;&gt;saída"))/(G5+(SUMIFS(estoque[quantidade],estoque[produto],preçodiario[[#Headers],[OVO BRANCO A]],estoque[fornecedor],"&lt;&gt;saída",estoque[data],preçodiario[[#This Row],[data]])))))</f>
        <v>16.698733031674209</v>
      </c>
      <c r="G6" s="22">
        <f>IF(preçodiario[[#This Row],[entrada A]]=0,G5-(SUMIFS(estoque[quantidade],estoque[fornecedor],"saída",estoque[produto],preçodiario[[#Headers],[OVO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Row],[data]]))+G5+preçodiario[[#This Row],[entrada A]])</f>
        <v>104</v>
      </c>
      <c r="H6" s="22">
        <f>SUMIFS(estoque[quantidade],estoque[fornecedor],"&lt;&gt;saída",estoque[produto],preçodiario[[#Headers],[OVO BRANCO A]],estoque[data],preçodiario[[#This Row],[data]])</f>
        <v>0</v>
      </c>
      <c r="I6" s="20">
        <f>SUMIFS(estoque[valor total],estoque[fornecedor],"&lt;&gt;saída",estoque[produto],preçodiario[[#Headers],[OVO BRANCO A]],estoque[data],preçodiario[[#This Row],[data]])</f>
        <v>0</v>
      </c>
      <c r="J6" s="20">
        <f>IFERROR(preçodiario[[#This Row],[estoque A]]*preçodiario[[#This Row],[OVO BRANCO A]],0)</f>
        <v>1736.6682352941177</v>
      </c>
      <c r="K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Row],[data]])),((K5*L5)+SUMIFS(estoque[valor total],estoque[produto],preçodiario[[#Headers],[OVO BRANCO B]],estoque[data],preçodiario[[#This Row],[data]],estoque[fornecedor],"&lt;&gt;saída"))/(L5+(SUMIFS(estoque[quantidade],estoque[produto],preçodiario[[#Headers],[OVO BRANCO B]],estoque[fornecedor],"&lt;&gt;saída",estoque[data],preçodiario[[#This Row],[data]])))))</f>
        <v>16.036383718044181</v>
      </c>
      <c r="L6" s="22">
        <f>IF(preçodiario[[#This Row],[entrada B]]=0,L5-(SUMIFS(estoque[quantidade],estoque[fornecedor],"saída",estoque[produto],preçodiario[[#Headers],[OVO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Row],[data]]))+L5+preçodiario[[#This Row],[entrada B]])</f>
        <v>73</v>
      </c>
      <c r="M6" s="22">
        <f>SUMIFS(estoque[quantidade],estoque[fornecedor],"&lt;&gt;saída",estoque[produto],preçodiario[[#Headers],[OVO BRANCO B]],estoque[data],preçodiario[[#This Row],[data]])</f>
        <v>0</v>
      </c>
      <c r="N6" s="20">
        <f>SUMIFS(estoque[valor total],estoque[fornecedor],"&lt;&gt;saída",estoque[produto],preçodiario[[#Headers],[OVO BRANCO B]],estoque[data],preçodiario[[#This Row],[data]])</f>
        <v>0</v>
      </c>
      <c r="O6" s="20">
        <f>IFERROR(preçodiario[[#This Row],[OVO BRANCO B]]*preçodiario[[#This Row],[estoque B]],0)</f>
        <v>1170.6560114172253</v>
      </c>
      <c r="P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Row],[data]])),((P5*Q5)+SUMIFS(estoque[valor total],estoque[produto],preçodiario[[#Headers],[OVO BRANCO C]],estoque[data],preçodiario[[#This Row],[data]],estoque[fornecedor],"&lt;&gt;saída"))/(Q5+(SUMIFS(estoque[quantidade],estoque[produto],preçodiario[[#Headers],[OVO BRANCO C]],estoque[fornecedor],"&lt;&gt;saída",estoque[data],preçodiario[[#This Row],[data]])))))</f>
        <v>14.583333333333334</v>
      </c>
      <c r="Q6" s="22">
        <f>IF(preçodiario[[#This Row],[entrada C]]=0,Q5-(SUMIFS(estoque[quantidade],estoque[fornecedor],"saída",estoque[produto],preçodiario[[#Headers],[OVO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Row],[data]]))+Q5+preçodiario[[#This Row],[entrada C]])</f>
        <v>62</v>
      </c>
      <c r="R6" s="22">
        <f>SUMIFS(estoque[quantidade],estoque[fornecedor],"&lt;&gt;saída",estoque[produto],preçodiario[[#Headers],[OVO BRANCO C]],estoque[data],preçodiario[[#This Row],[data]])</f>
        <v>0</v>
      </c>
      <c r="S6" s="20">
        <f>SUMIFS(estoque[valor total],estoque[fornecedor],"&lt;&gt;saída",estoque[produto],preçodiario[[#Headers],[OVO BRANCO C]],estoque[data],preçodiario[[#This Row],[data]])</f>
        <v>0</v>
      </c>
      <c r="T6" s="20">
        <f>IFERROR(preçodiario[[#This Row],[OVO BRANCO C]]*preçodiario[[#This Row],[estoque C]],0)</f>
        <v>904.16666666666674</v>
      </c>
      <c r="U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Row],[data]])),((U5*V5)+SUMIFS(estoque[valor total],estoque[produto],preçodiario[[#Headers],[OVO BRANCO EXTRA]],estoque[data],preçodiario[[#This Row],[data]],estoque[fornecedor],"&lt;&gt;saída"))/(V5+(SUMIFS(estoque[quantidade],estoque[produto],preçodiario[[#Headers],[OVO BRANCO EXTRA]],estoque[fornecedor],"&lt;&gt;saída",estoque[data],preçodiario[[#This Row],[data]])))))</f>
        <v>17.196112596762845</v>
      </c>
      <c r="V6" s="22">
        <f>IF(preçodiario[[#This Row],[entrada E]]=0,V5-(SUMIFS(estoque[quantidade],estoque[fornecedor],"saída",estoque[produto],preçodiario[[#Headers],[OVO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Row],[data]]))+V5+preçodiario[[#This Row],[entrada E]])</f>
        <v>96</v>
      </c>
      <c r="W6" s="22">
        <f>SUMIFS(estoque[quantidade],estoque[fornecedor],"&lt;&gt;saída",estoque[produto],preçodiario[[#Headers],[OVO BRANCO EXTRA]],estoque[data],preçodiario[[#This Row],[data]])</f>
        <v>0</v>
      </c>
      <c r="X6" s="20">
        <f>SUMIFS(estoque[valor total],estoque[fornecedor],"&lt;&gt;saída",estoque[produto],preçodiario[[#Headers],[OVO BRANCO EXTRA]],estoque[data],preçodiario[[#This Row],[data]])</f>
        <v>0</v>
      </c>
      <c r="Y6" s="20">
        <f>IFERROR(preçodiario[[#This Row],[estoque E]]*preçodiario[[#This Row],[OVO BRANCO EXTRA]],0)</f>
        <v>1650.8268092892331</v>
      </c>
      <c r="Z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Row],[data]])),((Z5*AA5)+SUMIFS(estoque[valor total],estoque[produto],preçodiario[[#Headers],[OVO BRANCO JUMBO]],estoque[data],preçodiario[[#This Row],[data]],estoque[fornecedor],"&lt;&gt;saída"))/(AA5+(SUMIFS(estoque[quantidade],estoque[produto],preçodiario[[#Headers],[OVO BRANCO JUMBO]],estoque[fornecedor],"&lt;&gt;saída",estoque[data],preçodiario[[#This Row],[data]])))))</f>
        <v>18.333333333333332</v>
      </c>
      <c r="AA6" s="22">
        <f>IF(preçodiario[[#This Row],[entrada J]]=0,AA5-(SUMIFS(estoque[quantidade],estoque[fornecedor],"saída",estoque[produto],preçodiario[[#Headers],[OVO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Row],[data]]))+AA5+preçodiario[[#This Row],[entrada J]])</f>
        <v>12</v>
      </c>
      <c r="AB6" s="22">
        <f>SUMIFS(estoque[quantidade],estoque[fornecedor],"&lt;&gt;saída",estoque[produto],preçodiario[[#Headers],[OVO BRANCO JUMBO]],estoque[data],preçodiario[[#This Row],[data]])</f>
        <v>0</v>
      </c>
      <c r="AC6" s="20">
        <f>SUMIFS(estoque[valor total],estoque[fornecedor],"&lt;&gt;saída",estoque[produto],preçodiario[[#Headers],[OVO BRANCO JUMBO]],estoque[data],preçodiario[[#This Row],[data]])</f>
        <v>0</v>
      </c>
      <c r="AD6" s="20">
        <f>IFERROR(preçodiario[[#This Row],[OVO BRANCO JUMBO]]*preçodiario[[#This Row],[estoque J]],0)</f>
        <v>220</v>
      </c>
      <c r="AE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Row],[data]])),((AE5*AF5)+SUMIFS(estoque[valor total],estoque[produto],preçodiario[[#Headers],[OVO VERMELHO A]],estoque[data],preçodiario[[#This Row],[data]],estoque[fornecedor],"&lt;&gt;saída"))/(AF5+(SUMIFS(estoque[quantidade],estoque[produto],preçodiario[[#Headers],[OVO VERMELHO A]],estoque[fornecedor],"&lt;&gt;saída",estoque[data],preçodiario[[#This Row],[data]])))))</f>
        <v/>
      </c>
      <c r="AF6" s="22">
        <f>IF(preçodiario[[#This Row],[entrada AV]]=0,AF5-(SUMIFS(estoque[quantidade],estoque[fornecedor],"saída",estoque[produto],preçodiario[[#Headers],[OVO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Row],[data]]))+AF5+preçodiario[[#This Row],[entrada AV]])</f>
        <v>0</v>
      </c>
      <c r="AG6" s="22">
        <f>SUMIFS(estoque[quantidade],estoque[fornecedor],"&lt;&gt;saída",estoque[produto],preçodiario[[#Headers],[OVO VERMELHO A]],estoque[data],preçodiario[[#This Row],[data]])</f>
        <v>0</v>
      </c>
      <c r="AH6" s="20">
        <f>SUMIFS(estoque[valor total],estoque[fornecedor],"&lt;&gt;saída",estoque[produto],preçodiario[[#Headers],[OVO VERMELHO A]],estoque[data],preçodiario[[#This Row],[data]])</f>
        <v>0</v>
      </c>
      <c r="AI6" s="20">
        <f>IFERROR(preçodiario[[#This Row],[OVO VERMELHO A]]*preçodiario[[#This Row],[estoque AV]],0)</f>
        <v>0</v>
      </c>
      <c r="AJ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Row],[data]])),((AJ5*AK5)+SUMIFS(estoque[valor total],estoque[produto],preçodiario[[#Headers],[OVO VERMELHO B]],estoque[data],preçodiario[[#This Row],[data]],estoque[fornecedor],"&lt;&gt;saída"))/(AK5+(SUMIFS(estoque[quantidade],estoque[produto],preçodiario[[#Headers],[OVO VERMELHO B]],estoque[fornecedor],"&lt;&gt;saída",estoque[data],preçodiario[[#This Row],[data]])))))</f>
        <v/>
      </c>
      <c r="AK6" s="22">
        <f>IF(preçodiario[[#This Row],[entrada BV]]=0,AK5-(SUMIFS(estoque[quantidade],estoque[fornecedor],"saída",estoque[produto],preçodiario[[#Headers],[OVO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Row],[data]]))+AK5+preçodiario[[#This Row],[entrada BV]])</f>
        <v>0</v>
      </c>
      <c r="AL6" s="22">
        <f>SUMIFS(estoque[quantidade],estoque[fornecedor],"&lt;&gt;saída",estoque[produto],preçodiario[[#Headers],[OVO VERMELHO B]],estoque[data],preçodiario[[#This Row],[data]])</f>
        <v>0</v>
      </c>
      <c r="AM6" s="20">
        <f>SUMIFS(estoque[valor total],estoque[fornecedor],"&lt;&gt;saída",estoque[produto],preçodiario[[#Headers],[OVO VERMELHO B]],estoque[data],preçodiario[[#This Row],[data]])</f>
        <v>0</v>
      </c>
      <c r="AN6" s="20">
        <f>IFERROR(preçodiario[[#This Row],[OVO VERMELHO B]]*preçodiario[[#This Row],[estoque BV]],0)</f>
        <v>0</v>
      </c>
      <c r="AO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Row],[data]])),((AO5*AP5)+SUMIFS(estoque[valor total],estoque[produto],preçodiario[[#Headers],[OVO VERMELHO C]],estoque[data],preçodiario[[#This Row],[data]],estoque[fornecedor],"&lt;&gt;saída"))/(AP5+(SUMIFS(estoque[quantidade],estoque[produto],preçodiario[[#Headers],[OVO VERMELHO C]],estoque[fornecedor],"&lt;&gt;saída",estoque[data],preçodiario[[#This Row],[data]])))))</f>
        <v/>
      </c>
      <c r="AP6" s="22">
        <f>IF(preçodiario[[#This Row],[entrada CV]]=0,AP5-(SUMIFS(estoque[quantidade],estoque[fornecedor],"saída",estoque[produto],preçodiario[[#Headers],[OVO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Row],[data]]))+AP5+preçodiario[[#This Row],[entrada CV]])</f>
        <v>0</v>
      </c>
      <c r="AQ6" s="22">
        <f>SUMIFS(estoque[quantidade],estoque[fornecedor],"&lt;&gt;saída",estoque[produto],preçodiario[[#Headers],[OVO VERMELHO C]],estoque[data],preçodiario[[#This Row],[data]])</f>
        <v>0</v>
      </c>
      <c r="AR6" s="20">
        <f>SUMIFS(estoque[valor total],estoque[fornecedor],"&lt;&gt;saída",estoque[produto],preçodiario[[#Headers],[OVO VERMELHO C]],estoque[data],preçodiario[[#This Row],[data]])</f>
        <v>0</v>
      </c>
      <c r="AS6" s="20">
        <f>IFERROR(preçodiario[[#This Row],[OVO VERMELHO C]]*preçodiario[[#This Row],[estoque CV]],0)</f>
        <v>0</v>
      </c>
      <c r="AT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Row],[data]])),((AT5*AU5)+SUMIFS(estoque[valor total],estoque[produto],preçodiario[[#Headers],[OVO VERMELHO EXTRA]],estoque[data],preçodiario[[#This Row],[data]],estoque[fornecedor],"&lt;&gt;saída"))/(AU5+(SUMIFS(estoque[quantidade],estoque[produto],preçodiario[[#Headers],[OVO VERMELHO EXTRA]],estoque[fornecedor],"&lt;&gt;saída",estoque[data],preçodiario[[#This Row],[data]])))))</f>
        <v/>
      </c>
      <c r="AU6" s="22">
        <f>IF(preçodiario[[#This Row],[entrada EV]]=0,AU5-(SUMIFS(estoque[quantidade],estoque[fornecedor],"saída",estoque[produto],preçodiario[[#Headers],[OVO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Row],[data]]))+AU5+preçodiario[[#This Row],[entrada EV]])</f>
        <v>0</v>
      </c>
      <c r="AV6" s="22">
        <f>SUMIFS(estoque[quantidade],estoque[fornecedor],"&lt;&gt;saída",estoque[produto],preçodiario[[#Headers],[OVO VERMELHO EXTRA]],estoque[data],preçodiario[[#This Row],[data]])</f>
        <v>0</v>
      </c>
      <c r="AW6" s="20">
        <f>SUMIFS(estoque[valor total],estoque[fornecedor],"&lt;&gt;saída",estoque[produto],preçodiario[[#Headers],[OVO VERMELHO EXTRA]],estoque[data],preçodiario[[#This Row],[data]])</f>
        <v>0</v>
      </c>
      <c r="AX6" s="20">
        <f>IFERROR(preçodiario[[#This Row],[OVO VERMELHO EXTRA]]*preçodiario[[#This Row],[estoque EV]],0)</f>
        <v>0</v>
      </c>
      <c r="AY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Row],[data]])),((AY5*AZ5)+SUMIFS(estoque[valor total],estoque[produto],preçodiario[[#Headers],[OVO VERMELHO JUMBO]],estoque[data],preçodiario[[#This Row],[data]],estoque[fornecedor],"&lt;&gt;saída"))/(AZ5+(SUMIFS(estoque[quantidade],estoque[produto],preçodiario[[#Headers],[OVO VERMELHO JUMBO]],estoque[fornecedor],"&lt;&gt;saída",estoque[data],preçodiario[[#This Row],[data]])))))</f>
        <v/>
      </c>
      <c r="AZ6" s="22">
        <f>IF(preçodiario[[#This Row],[entrada JV]]=0,AZ5-(SUMIFS(estoque[quantidade],estoque[fornecedor],"saída",estoque[produto],preçodiario[[#Headers],[OVO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Row],[data]]))+AZ5+preçodiario[[#This Row],[entrada JV]])</f>
        <v>0</v>
      </c>
      <c r="BA6" s="22">
        <f>SUMIFS(estoque[quantidade],estoque[fornecedor],"&lt;&gt;saída",estoque[produto],preçodiario[[#Headers],[OVO VERMELHO JUMBO]],estoque[data],preçodiario[[#This Row],[data]])</f>
        <v>0</v>
      </c>
      <c r="BB6" s="20">
        <f>SUMIFS(estoque[valor total],estoque[fornecedor],"&lt;&gt;saída",estoque[produto],preçodiario[[#Headers],[OVO VERMELHO JUMBO]],estoque[data],preçodiario[[#This Row],[data]])</f>
        <v>0</v>
      </c>
      <c r="BC6" s="20">
        <f>IFERROR(preçodiario[[#This Row],[OVO VERMELHO JUMBO]]*preçodiario[[#This Row],[estoque JV]],0)</f>
        <v>0</v>
      </c>
      <c r="BD6" t="str">
        <f>TEXT(vendaAno[[#This Row],[data]],"mmm")</f>
        <v>jan</v>
      </c>
      <c r="BE6" t="str">
        <f>TEXT(vendaAno[[#This Row],[data]],"ddd")</f>
        <v>seg</v>
      </c>
      <c r="BF6" s="82">
        <f>WEEKNUM(vendaAno[[#This Row],[data]],13)</f>
        <v>1</v>
      </c>
      <c r="BG6" s="27">
        <f>preçodiario[[#This Row],[data]]</f>
        <v>46027</v>
      </c>
      <c r="BH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" s="8">
        <f>IF(SUMIFS(estoque[valor total],estoque[fornecedor],"saída",estoque[data],vendaAno[[#This Row],[data]])=0,"",SUMIFS(estoque[valor total],estoque[fornecedor],"saída",estoque[data],vendaAno[[#This Row],[data]]))</f>
        <v>1509</v>
      </c>
      <c r="BJ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Row],[data]]))/12+BJ5,"")</f>
        <v>28.916666666666661</v>
      </c>
      <c r="BK6" s="79">
        <f>IF(SUMIFS(estoque[quantidade],estoque[fornecedor],"saída",estoque[data],vendaAno[[#This Row],[data]])/12=0,"",SUMIFS(estoque[quantidade],estoque[fornecedor],"saída",estoque[data],vendaAno[[#This Row],[data]])/12)</f>
        <v>6.416666666666667</v>
      </c>
      <c r="BL6" s="8">
        <f ca="1">IF(vendaAno[[#This Row],[data]]&lt;=TODAY(),IF(SUMIFS(estoque[lucro],estoque[fornecedor],"saída",estoque[data],vendaAno[[#This Row],[data]])=0,AVERAGE(BL3:BL5),SUMIFS(estoque[lucro],estoque[fornecedor],"saída",estoque[data],vendaAno[[#This Row],[data]])),"")</f>
        <v>221.28000000000003</v>
      </c>
      <c r="BM6" s="10">
        <f ca="1">IFERROR(vendaAno[[#This Row],[lucro]]/vendaAno[[#This Row],[valor de venda]],"")</f>
        <v>0.14664015904572567</v>
      </c>
      <c r="BN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5682.3177226672433</v>
      </c>
      <c r="BO6" s="8">
        <f ca="1">IF(TODAY()&gt;=vendaAno[[#This Row],[data]],IF(vendaAno[[#This Row],[N°]]=BF5,vendaAno[[#This Row],[lucro]]-173.33+BO5,vendaAno[[#This Row],[lucro]]-150),"")</f>
        <v>-379.22</v>
      </c>
      <c r="BP6" s="81">
        <f ca="1">IF(TODAY()&gt;=vendaAno[[#This Row],[data]],vendaAno[[#This Row],[venda]]*12*7,"")</f>
        <v>539</v>
      </c>
      <c r="BQ6" s="7">
        <f ca="1">IFERROR(vendaAno[[#This Row],[lucro]]/(vendaAno[[#This Row],[venda]]*12),"")</f>
        <v>2.8737662337662342</v>
      </c>
      <c r="BT6" s="95">
        <f ca="1">WEEKNUM(PvPcML[[#This Row],[data]],13)</f>
        <v>30</v>
      </c>
      <c r="BU6" s="132">
        <f t="shared" ca="1" si="0"/>
        <v>46229</v>
      </c>
      <c r="BV6" s="7">
        <f ca="1">IFERROR(SUMIFS(vendaAno[valor de venda],vendaAno[data],PvPcML[[#This Row],[data]])/(SUMIFS(vendaAno[venda],vendaAno[data],PvPcML[[#This Row],[data]])*12),"")</f>
        <v>18.828571428571429</v>
      </c>
      <c r="BW6" s="7">
        <f ca="1">IFERROR(SUMIFS(vendaAno[valor de venda],vendaAno[data],PvPcML[[#This Row],[data]])/(SUMIFS(vendaAno[venda],vendaAno[data],PvPcML[[#This Row],[data]])*12)-PvPcML[[#This Row],[lucro médio]],"")</f>
        <v>15.320857142857143</v>
      </c>
      <c r="BX6" s="7">
        <f ca="1">IF(SUMIFS(vendaAno[[lucro médio ]],vendaAno[data],PvPcML[[#This Row],[data]])=0,"",SUMIFS(vendaAno[[lucro médio ]],vendaAno[data],PvPcML[[#This Row],[data]]))</f>
        <v>3.5077142857142856</v>
      </c>
      <c r="BY6" s="90">
        <v>5</v>
      </c>
      <c r="BZ6" s="89">
        <f t="shared" si="1"/>
        <v>46051</v>
      </c>
      <c r="CA6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12.25</v>
      </c>
      <c r="CB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4.083333333333333</v>
      </c>
      <c r="CC6" s="7">
        <f ca="1">IFERROR(SUMIFS(vendaAno[lucro],vendaAno[data],"&gt;="&amp;semanal[[#This Row],[semana]],vendaAno[data],"&lt;="&amp;semanal[[#This Row],[semana]]+6)/((semanal[[#This Row],[varejo]]+semanal[[#This Row],[atacado]])*12),"")</f>
        <v>4.8306122448979592</v>
      </c>
      <c r="CD6" s="82">
        <f>IFERROR(AVERAGEIFS(vendaAno[venda],vendaAno[data],"&gt;="&amp;semanal[[#This Row],[semana]],vendaAno[data],"&lt;="&amp;semanal[[#This Row],[semana]]+6),"")</f>
        <v>2.333333333333333</v>
      </c>
      <c r="CE6" s="82">
        <f ca="1">IFERROR((150/semanal[[#This Row],[lucro médio por cartela]])/12,"")</f>
        <v>2.5876637093367134</v>
      </c>
    </row>
    <row r="7" spans="1:83" x14ac:dyDescent="0.25">
      <c r="A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16.698733031674209</v>
      </c>
      <c r="B7" s="18" t="str">
        <f>TEXT(preçodiario[[#This Row],[data]],"MMM")</f>
        <v>jan</v>
      </c>
      <c r="C7" s="18" t="str">
        <f>TEXT(preçodiario[[#This Row],[data]],"ddd")</f>
        <v>ter</v>
      </c>
      <c r="D7" s="96">
        <f>WEEKNUM(preçodiario[[#This Row],[data]],13)</f>
        <v>1</v>
      </c>
      <c r="E7" s="37">
        <v>46028</v>
      </c>
      <c r="F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Row],[data]])),((F6*G6)+SUMIFS(estoque[valor total],estoque[produto],preçodiario[[#Headers],[OVO BRANCO A]],estoque[data],preçodiario[[#This Row],[data]],estoque[fornecedor],"&lt;&gt;saída"))/(G6+(SUMIFS(estoque[quantidade],estoque[produto],preçodiario[[#Headers],[OVO BRANCO A]],estoque[fornecedor],"&lt;&gt;saída",estoque[data],preçodiario[[#This Row],[data]])))))</f>
        <v>16.698733031674209</v>
      </c>
      <c r="G7" s="22">
        <f>IF(preçodiario[[#This Row],[entrada A]]=0,G6-(SUMIFS(estoque[quantidade],estoque[fornecedor],"saída",estoque[produto],preçodiario[[#Headers],[OVO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Row],[data]]))+G6+preçodiario[[#This Row],[entrada A]])</f>
        <v>91</v>
      </c>
      <c r="H7" s="22">
        <f>SUMIFS(estoque[quantidade],estoque[fornecedor],"&lt;&gt;saída",estoque[produto],preçodiario[[#Headers],[OVO BRANCO A]],estoque[data],preçodiario[[#This Row],[data]])</f>
        <v>0</v>
      </c>
      <c r="I7" s="20">
        <f>SUMIFS(estoque[valor total],estoque[fornecedor],"&lt;&gt;saída",estoque[produto],preçodiario[[#Headers],[OVO BRANCO A]],estoque[data],preçodiario[[#This Row],[data]])</f>
        <v>0</v>
      </c>
      <c r="J7" s="20">
        <f>IFERROR(preçodiario[[#This Row],[estoque A]]*preçodiario[[#This Row],[OVO BRANCO A]],0)</f>
        <v>1519.5847058823531</v>
      </c>
      <c r="K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Row],[data]])),((K6*L6)+SUMIFS(estoque[valor total],estoque[produto],preçodiario[[#Headers],[OVO BRANCO B]],estoque[data],preçodiario[[#This Row],[data]],estoque[fornecedor],"&lt;&gt;saída"))/(L6+(SUMIFS(estoque[quantidade],estoque[produto],preçodiario[[#Headers],[OVO BRANCO B]],estoque[fornecedor],"&lt;&gt;saída",estoque[data],preçodiario[[#This Row],[data]])))))</f>
        <v>16.036383718044181</v>
      </c>
      <c r="L7" s="22">
        <f>IF(preçodiario[[#This Row],[entrada B]]=0,L6-(SUMIFS(estoque[quantidade],estoque[fornecedor],"saída",estoque[produto],preçodiario[[#Headers],[OVO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Row],[data]]))+L6+preçodiario[[#This Row],[entrada B]])</f>
        <v>72</v>
      </c>
      <c r="M7" s="22">
        <f>SUMIFS(estoque[quantidade],estoque[fornecedor],"&lt;&gt;saída",estoque[produto],preçodiario[[#Headers],[OVO BRANCO B]],estoque[data],preçodiario[[#This Row],[data]])</f>
        <v>0</v>
      </c>
      <c r="N7" s="20">
        <f>SUMIFS(estoque[valor total],estoque[fornecedor],"&lt;&gt;saída",estoque[produto],preçodiario[[#Headers],[OVO BRANCO B]],estoque[data],preçodiario[[#This Row],[data]])</f>
        <v>0</v>
      </c>
      <c r="O7" s="20">
        <f>IFERROR(preçodiario[[#This Row],[OVO BRANCO B]]*preçodiario[[#This Row],[estoque B]],0)</f>
        <v>1154.6196276991811</v>
      </c>
      <c r="P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Row],[data]])),((P6*Q6)+SUMIFS(estoque[valor total],estoque[produto],preçodiario[[#Headers],[OVO BRANCO C]],estoque[data],preçodiario[[#This Row],[data]],estoque[fornecedor],"&lt;&gt;saída"))/(Q6+(SUMIFS(estoque[quantidade],estoque[produto],preçodiario[[#Headers],[OVO BRANCO C]],estoque[fornecedor],"&lt;&gt;saída",estoque[data],preçodiario[[#This Row],[data]])))))</f>
        <v>14.583333333333334</v>
      </c>
      <c r="Q7" s="22">
        <f>IF(preçodiario[[#This Row],[entrada C]]=0,Q6-(SUMIFS(estoque[quantidade],estoque[fornecedor],"saída",estoque[produto],preçodiario[[#Headers],[OVO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Row],[data]]))+Q6+preçodiario[[#This Row],[entrada C]])</f>
        <v>55</v>
      </c>
      <c r="R7" s="22">
        <f>SUMIFS(estoque[quantidade],estoque[fornecedor],"&lt;&gt;saída",estoque[produto],preçodiario[[#Headers],[OVO BRANCO C]],estoque[data],preçodiario[[#This Row],[data]])</f>
        <v>0</v>
      </c>
      <c r="S7" s="20">
        <f>SUMIFS(estoque[valor total],estoque[fornecedor],"&lt;&gt;saída",estoque[produto],preçodiario[[#Headers],[OVO BRANCO C]],estoque[data],preçodiario[[#This Row],[data]])</f>
        <v>0</v>
      </c>
      <c r="T7" s="20">
        <f>IFERROR(preçodiario[[#This Row],[OVO BRANCO C]]*preçodiario[[#This Row],[estoque C]],0)</f>
        <v>802.08333333333337</v>
      </c>
      <c r="U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Row],[data]])),((U6*V6)+SUMIFS(estoque[valor total],estoque[produto],preçodiario[[#Headers],[OVO BRANCO EXTRA]],estoque[data],preçodiario[[#This Row],[data]],estoque[fornecedor],"&lt;&gt;saída"))/(V6+(SUMIFS(estoque[quantidade],estoque[produto],preçodiario[[#Headers],[OVO BRANCO EXTRA]],estoque[fornecedor],"&lt;&gt;saída",estoque[data],preçodiario[[#This Row],[data]])))))</f>
        <v>17.196112596762845</v>
      </c>
      <c r="V7" s="22">
        <f>IF(preçodiario[[#This Row],[entrada E]]=0,V6-(SUMIFS(estoque[quantidade],estoque[fornecedor],"saída",estoque[produto],preçodiario[[#Headers],[OVO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Row],[data]]))+V6+preçodiario[[#This Row],[entrada E]])</f>
        <v>80</v>
      </c>
      <c r="W7" s="22">
        <f>SUMIFS(estoque[quantidade],estoque[fornecedor],"&lt;&gt;saída",estoque[produto],preçodiario[[#Headers],[OVO BRANCO EXTRA]],estoque[data],preçodiario[[#This Row],[data]])</f>
        <v>0</v>
      </c>
      <c r="X7" s="20">
        <f>SUMIFS(estoque[valor total],estoque[fornecedor],"&lt;&gt;saída",estoque[produto],preçodiario[[#Headers],[OVO BRANCO EXTRA]],estoque[data],preçodiario[[#This Row],[data]])</f>
        <v>0</v>
      </c>
      <c r="Y7" s="20">
        <f>IFERROR(preçodiario[[#This Row],[estoque E]]*preçodiario[[#This Row],[OVO BRANCO EXTRA]],0)</f>
        <v>1375.6890077410276</v>
      </c>
      <c r="Z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Row],[data]])),((Z6*AA6)+SUMIFS(estoque[valor total],estoque[produto],preçodiario[[#Headers],[OVO BRANCO JUMBO]],estoque[data],preçodiario[[#This Row],[data]],estoque[fornecedor],"&lt;&gt;saída"))/(AA6+(SUMIFS(estoque[quantidade],estoque[produto],preçodiario[[#Headers],[OVO BRANCO JUMBO]],estoque[fornecedor],"&lt;&gt;saída",estoque[data],preçodiario[[#This Row],[data]])))))</f>
        <v>18.333333333333332</v>
      </c>
      <c r="AA7" s="22">
        <f>IF(preçodiario[[#This Row],[entrada J]]=0,AA6-(SUMIFS(estoque[quantidade],estoque[fornecedor],"saída",estoque[produto],preçodiario[[#Headers],[OVO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Row],[data]]))+AA6+preçodiario[[#This Row],[entrada J]])</f>
        <v>8</v>
      </c>
      <c r="AB7" s="22">
        <f>SUMIFS(estoque[quantidade],estoque[fornecedor],"&lt;&gt;saída",estoque[produto],preçodiario[[#Headers],[OVO BRANCO JUMBO]],estoque[data],preçodiario[[#This Row],[data]])</f>
        <v>0</v>
      </c>
      <c r="AC7" s="20">
        <f>SUMIFS(estoque[valor total],estoque[fornecedor],"&lt;&gt;saída",estoque[produto],preçodiario[[#Headers],[OVO BRANCO JUMBO]],estoque[data],preçodiario[[#This Row],[data]])</f>
        <v>0</v>
      </c>
      <c r="AD7" s="20">
        <f>IFERROR(preçodiario[[#This Row],[OVO BRANCO JUMBO]]*preçodiario[[#This Row],[estoque J]],0)</f>
        <v>146.66666666666666</v>
      </c>
      <c r="AE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Row],[data]])),((AE6*AF6)+SUMIFS(estoque[valor total],estoque[produto],preçodiario[[#Headers],[OVO VERMELHO A]],estoque[data],preçodiario[[#This Row],[data]],estoque[fornecedor],"&lt;&gt;saída"))/(AF6+(SUMIFS(estoque[quantidade],estoque[produto],preçodiario[[#Headers],[OVO VERMELHO A]],estoque[fornecedor],"&lt;&gt;saída",estoque[data],preçodiario[[#This Row],[data]])))))</f>
        <v/>
      </c>
      <c r="AF7" s="22">
        <f>IF(preçodiario[[#This Row],[entrada AV]]=0,AF6-(SUMIFS(estoque[quantidade],estoque[fornecedor],"saída",estoque[produto],preçodiario[[#Headers],[OVO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Row],[data]]))+AF6+preçodiario[[#This Row],[entrada AV]])</f>
        <v>0</v>
      </c>
      <c r="AG7" s="22">
        <f>SUMIFS(estoque[quantidade],estoque[fornecedor],"&lt;&gt;saída",estoque[produto],preçodiario[[#Headers],[OVO VERMELHO A]],estoque[data],preçodiario[[#This Row],[data]])</f>
        <v>0</v>
      </c>
      <c r="AH7" s="20">
        <f>SUMIFS(estoque[valor total],estoque[fornecedor],"&lt;&gt;saída",estoque[produto],preçodiario[[#Headers],[OVO VERMELHO A]],estoque[data],preçodiario[[#This Row],[data]])</f>
        <v>0</v>
      </c>
      <c r="AI7" s="20">
        <f>IFERROR(preçodiario[[#This Row],[OVO VERMELHO A]]*preçodiario[[#This Row],[estoque AV]],0)</f>
        <v>0</v>
      </c>
      <c r="AJ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Row],[data]])),((AJ6*AK6)+SUMIFS(estoque[valor total],estoque[produto],preçodiario[[#Headers],[OVO VERMELHO B]],estoque[data],preçodiario[[#This Row],[data]],estoque[fornecedor],"&lt;&gt;saída"))/(AK6+(SUMIFS(estoque[quantidade],estoque[produto],preçodiario[[#Headers],[OVO VERMELHO B]],estoque[fornecedor],"&lt;&gt;saída",estoque[data],preçodiario[[#This Row],[data]])))))</f>
        <v/>
      </c>
      <c r="AK7" s="22">
        <f>IF(preçodiario[[#This Row],[entrada BV]]=0,AK6-(SUMIFS(estoque[quantidade],estoque[fornecedor],"saída",estoque[produto],preçodiario[[#Headers],[OVO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Row],[data]]))+AK6+preçodiario[[#This Row],[entrada BV]])</f>
        <v>0</v>
      </c>
      <c r="AL7" s="22">
        <f>SUMIFS(estoque[quantidade],estoque[fornecedor],"&lt;&gt;saída",estoque[produto],preçodiario[[#Headers],[OVO VERMELHO B]],estoque[data],preçodiario[[#This Row],[data]])</f>
        <v>0</v>
      </c>
      <c r="AM7" s="20">
        <f>SUMIFS(estoque[valor total],estoque[fornecedor],"&lt;&gt;saída",estoque[produto],preçodiario[[#Headers],[OVO VERMELHO B]],estoque[data],preçodiario[[#This Row],[data]])</f>
        <v>0</v>
      </c>
      <c r="AN7" s="20">
        <f>IFERROR(preçodiario[[#This Row],[OVO VERMELHO B]]*preçodiario[[#This Row],[estoque BV]],0)</f>
        <v>0</v>
      </c>
      <c r="AO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Row],[data]])),((AO6*AP6)+SUMIFS(estoque[valor total],estoque[produto],preçodiario[[#Headers],[OVO VERMELHO C]],estoque[data],preçodiario[[#This Row],[data]],estoque[fornecedor],"&lt;&gt;saída"))/(AP6+(SUMIFS(estoque[quantidade],estoque[produto],preçodiario[[#Headers],[OVO VERMELHO C]],estoque[fornecedor],"&lt;&gt;saída",estoque[data],preçodiario[[#This Row],[data]])))))</f>
        <v/>
      </c>
      <c r="AP7" s="22">
        <f>IF(preçodiario[[#This Row],[entrada CV]]=0,AP6-(SUMIFS(estoque[quantidade],estoque[fornecedor],"saída",estoque[produto],preçodiario[[#Headers],[OVO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Row],[data]]))+AP6+preçodiario[[#This Row],[entrada CV]])</f>
        <v>0</v>
      </c>
      <c r="AQ7" s="22">
        <f>SUMIFS(estoque[quantidade],estoque[fornecedor],"&lt;&gt;saída",estoque[produto],preçodiario[[#Headers],[OVO VERMELHO C]],estoque[data],preçodiario[[#This Row],[data]])</f>
        <v>0</v>
      </c>
      <c r="AR7" s="20">
        <f>SUMIFS(estoque[valor total],estoque[fornecedor],"&lt;&gt;saída",estoque[produto],preçodiario[[#Headers],[OVO VERMELHO C]],estoque[data],preçodiario[[#This Row],[data]])</f>
        <v>0</v>
      </c>
      <c r="AS7" s="20">
        <f>IFERROR(preçodiario[[#This Row],[OVO VERMELHO C]]*preçodiario[[#This Row],[estoque CV]],0)</f>
        <v>0</v>
      </c>
      <c r="AT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Row],[data]])),((AT6*AU6)+SUMIFS(estoque[valor total],estoque[produto],preçodiario[[#Headers],[OVO VERMELHO EXTRA]],estoque[data],preçodiario[[#This Row],[data]],estoque[fornecedor],"&lt;&gt;saída"))/(AU6+(SUMIFS(estoque[quantidade],estoque[produto],preçodiario[[#Headers],[OVO VERMELHO EXTRA]],estoque[fornecedor],"&lt;&gt;saída",estoque[data],preçodiario[[#This Row],[data]])))))</f>
        <v/>
      </c>
      <c r="AU7" s="22">
        <f>IF(preçodiario[[#This Row],[entrada EV]]=0,AU6-(SUMIFS(estoque[quantidade],estoque[fornecedor],"saída",estoque[produto],preçodiario[[#Headers],[OVO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Row],[data]]))+AU6+preçodiario[[#This Row],[entrada EV]])</f>
        <v>0</v>
      </c>
      <c r="AV7" s="22">
        <f>SUMIFS(estoque[quantidade],estoque[fornecedor],"&lt;&gt;saída",estoque[produto],preçodiario[[#Headers],[OVO VERMELHO EXTRA]],estoque[data],preçodiario[[#This Row],[data]])</f>
        <v>0</v>
      </c>
      <c r="AW7" s="20">
        <f>SUMIFS(estoque[valor total],estoque[fornecedor],"&lt;&gt;saída",estoque[produto],preçodiario[[#Headers],[OVO VERMELHO EXTRA]],estoque[data],preçodiario[[#This Row],[data]])</f>
        <v>0</v>
      </c>
      <c r="AX7" s="20">
        <f>IFERROR(preçodiario[[#This Row],[OVO VERMELHO EXTRA]]*preçodiario[[#This Row],[estoque EV]],0)</f>
        <v>0</v>
      </c>
      <c r="AY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Row],[data]])),((AY6*AZ6)+SUMIFS(estoque[valor total],estoque[produto],preçodiario[[#Headers],[OVO VERMELHO JUMBO]],estoque[data],preçodiario[[#This Row],[data]],estoque[fornecedor],"&lt;&gt;saída"))/(AZ6+(SUMIFS(estoque[quantidade],estoque[produto],preçodiario[[#Headers],[OVO VERMELHO JUMBO]],estoque[fornecedor],"&lt;&gt;saída",estoque[data],preçodiario[[#This Row],[data]])))))</f>
        <v/>
      </c>
      <c r="AZ7" s="22">
        <f>IF(preçodiario[[#This Row],[entrada JV]]=0,AZ6-(SUMIFS(estoque[quantidade],estoque[fornecedor],"saída",estoque[produto],preçodiario[[#Headers],[OVO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Row],[data]]))+AZ6+preçodiario[[#This Row],[entrada JV]])</f>
        <v>0</v>
      </c>
      <c r="BA7" s="22">
        <f>SUMIFS(estoque[quantidade],estoque[fornecedor],"&lt;&gt;saída",estoque[produto],preçodiario[[#Headers],[OVO VERMELHO JUMBO]],estoque[data],preçodiario[[#This Row],[data]])</f>
        <v>0</v>
      </c>
      <c r="BB7" s="20">
        <f>SUMIFS(estoque[valor total],estoque[fornecedor],"&lt;&gt;saída",estoque[produto],preçodiario[[#Headers],[OVO VERMELHO JUMBO]],estoque[data],preçodiario[[#This Row],[data]])</f>
        <v>0</v>
      </c>
      <c r="BC7" s="20">
        <f>IFERROR(preçodiario[[#This Row],[OVO VERMELHO JUMBO]]*preçodiario[[#This Row],[estoque JV]],0)</f>
        <v>0</v>
      </c>
      <c r="BD7" t="str">
        <f>TEXT(vendaAno[[#This Row],[data]],"mmm")</f>
        <v>jan</v>
      </c>
      <c r="BE7" t="str">
        <f>TEXT(vendaAno[[#This Row],[data]],"ddd")</f>
        <v>ter</v>
      </c>
      <c r="BF7" s="82">
        <f>WEEKNUM(vendaAno[[#This Row],[data]],13)</f>
        <v>1</v>
      </c>
      <c r="BG7" s="27">
        <f>preçodiario[[#This Row],[data]]</f>
        <v>46028</v>
      </c>
      <c r="BH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" s="8">
        <f>IF(SUMIFS(estoque[valor total],estoque[fornecedor],"saída",estoque[data],vendaAno[[#This Row],[data]])=0,"",SUMIFS(estoque[valor total],estoque[fornecedor],"saída",estoque[data],vendaAno[[#This Row],[data]]))</f>
        <v>806</v>
      </c>
      <c r="BJ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Row],[data]]))/12+BJ6,"")</f>
        <v>25.499999999999993</v>
      </c>
      <c r="BK7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7" s="8">
        <f ca="1">IF(vendaAno[[#This Row],[data]]&lt;=TODAY(),IF(SUMIFS(estoque[lucro],estoque[fornecedor],"saída",estoque[data],vendaAno[[#This Row],[data]])=0,AVERAGE(BL4:BL6),SUMIFS(estoque[lucro],estoque[fornecedor],"saída",estoque[data],vendaAno[[#This Row],[data]])),"")</f>
        <v>122.33</v>
      </c>
      <c r="BM7" s="10">
        <f ca="1">IFERROR(vendaAno[[#This Row],[lucro]]/vendaAno[[#This Row],[valor de venda]],"")</f>
        <v>0.15177419354838709</v>
      </c>
      <c r="BN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4998.6433413225614</v>
      </c>
      <c r="BO7" s="8">
        <f ca="1">IF(TODAY()&gt;=vendaAno[[#This Row],[data]],IF(vendaAno[[#This Row],[N°]]=BF6,vendaAno[[#This Row],[lucro]]-173.33+BO6,vendaAno[[#This Row],[lucro]]-150),"")</f>
        <v>-430.22</v>
      </c>
      <c r="BP7" s="81">
        <f ca="1">IF(TODAY()&gt;=vendaAno[[#This Row],[data]],vendaAno[[#This Row],[venda]]*12*7,"")</f>
        <v>287</v>
      </c>
      <c r="BQ7" s="7">
        <f ca="1">IFERROR(vendaAno[[#This Row],[lucro]]/(vendaAno[[#This Row],[venda]]*12),"")</f>
        <v>2.9836585365853656</v>
      </c>
      <c r="BT7" s="95">
        <f ca="1">WEEKNUM(PvPcML[[#This Row],[data]],13)</f>
        <v>30</v>
      </c>
      <c r="BU7" s="132">
        <f t="shared" ca="1" si="0"/>
        <v>46228</v>
      </c>
      <c r="BV7" s="7">
        <f ca="1">IFERROR(SUMIFS(vendaAno[valor de venda],vendaAno[data],PvPcML[[#This Row],[data]])/(SUMIFS(vendaAno[venda],vendaAno[data],PvPcML[[#This Row],[data]])*12),"")</f>
        <v>21.375</v>
      </c>
      <c r="BW7" s="7">
        <f ca="1">IFERROR(SUMIFS(vendaAno[valor de venda],vendaAno[data],PvPcML[[#This Row],[data]])/(SUMIFS(vendaAno[venda],vendaAno[data],PvPcML[[#This Row],[data]])*12)-PvPcML[[#This Row],[lucro médio]],"")</f>
        <v>15.821249999999999</v>
      </c>
      <c r="BX7" s="7">
        <f ca="1">IF(SUMIFS(vendaAno[[lucro médio ]],vendaAno[data],PvPcML[[#This Row],[data]])=0,"",SUMIFS(vendaAno[[lucro médio ]],vendaAno[data],PvPcML[[#This Row],[data]]))</f>
        <v>5.55375</v>
      </c>
      <c r="BY7" s="91">
        <v>6</v>
      </c>
      <c r="BZ7" s="89">
        <f t="shared" si="1"/>
        <v>46058</v>
      </c>
      <c r="CA7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17.583333333333332</v>
      </c>
      <c r="CB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6.75</v>
      </c>
      <c r="CC7" s="7">
        <f ca="1">IFERROR(SUMIFS(vendaAno[lucro],vendaAno[data],"&gt;="&amp;semanal[[#This Row],[semana]],vendaAno[data],"&lt;="&amp;semanal[[#This Row],[semana]]+6)/((semanal[[#This Row],[varejo]]+semanal[[#This Row],[atacado]])*12),"")</f>
        <v>4.009280821917808</v>
      </c>
      <c r="CD7" s="82">
        <f>IFERROR(AVERAGEIFS(vendaAno[venda],vendaAno[data],"&gt;="&amp;semanal[[#This Row],[semana]],vendaAno[data],"&lt;="&amp;semanal[[#This Row],[semana]]+6),"")</f>
        <v>3.4761904761904758</v>
      </c>
      <c r="CE7" s="82">
        <f ca="1">IFERROR((150/semanal[[#This Row],[lucro médio por cartela]])/12,"")</f>
        <v>3.1177661419138816</v>
      </c>
    </row>
    <row r="8" spans="1:83" x14ac:dyDescent="0.25">
      <c r="A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8" s="18" t="str">
        <f>TEXT(preçodiario[[#This Row],[data]],"MMM")</f>
        <v>jan</v>
      </c>
      <c r="C8" s="18" t="str">
        <f>TEXT(preçodiario[[#This Row],[data]],"ddd")</f>
        <v>qua</v>
      </c>
      <c r="D8" s="96">
        <f>WEEKNUM(preçodiario[[#This Row],[data]],13)</f>
        <v>2</v>
      </c>
      <c r="E8" s="37">
        <v>46029</v>
      </c>
      <c r="F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Row],[data]])),((F7*G7)+SUMIFS(estoque[valor total],estoque[produto],preçodiario[[#Headers],[OVO BRANCO A]],estoque[data],preçodiario[[#This Row],[data]],estoque[fornecedor],"&lt;&gt;saída"))/(G7+(SUMIFS(estoque[quantidade],estoque[produto],preçodiario[[#Headers],[OVO BRANCO A]],estoque[fornecedor],"&lt;&gt;saída",estoque[data],preçodiario[[#This Row],[data]])))))</f>
        <v>15.495662113186507</v>
      </c>
      <c r="G8" s="22">
        <f>IF(preçodiario[[#This Row],[entrada A]]=0,G7-(SUMIFS(estoque[quantidade],estoque[fornecedor],"saída",estoque[produto],preçodiario[[#Headers],[OVO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Row],[data]]))+G7+preçodiario[[#This Row],[entrada A]])</f>
        <v>201</v>
      </c>
      <c r="H8" s="22">
        <f>SUMIFS(estoque[quantidade],estoque[fornecedor],"&lt;&gt;saída",estoque[produto],preçodiario[[#Headers],[OVO BRANCO A]],estoque[data],preçodiario[[#This Row],[data]])</f>
        <v>120</v>
      </c>
      <c r="I8" s="20">
        <f>SUMIFS(estoque[valor total],estoque[fornecedor],"&lt;&gt;saída",estoque[produto],preçodiario[[#Headers],[OVO BRANCO A]],estoque[data],preçodiario[[#This Row],[data]])</f>
        <v>1750</v>
      </c>
      <c r="J8" s="20">
        <f>IFERROR(preçodiario[[#This Row],[estoque A]]*preçodiario[[#This Row],[OVO BRANCO A]],0)</f>
        <v>3114.6280847504877</v>
      </c>
      <c r="K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Row],[data]])),((K7*L7)+SUMIFS(estoque[valor total],estoque[produto],preçodiario[[#Headers],[OVO BRANCO B]],estoque[data],preçodiario[[#This Row],[data]],estoque[fornecedor],"&lt;&gt;saída"))/(L7+(SUMIFS(estoque[quantidade],estoque[produto],preçodiario[[#Headers],[OVO BRANCO B]],estoque[fornecedor],"&lt;&gt;saída",estoque[data],preçodiario[[#This Row],[data]])))))</f>
        <v>14.967973974399889</v>
      </c>
      <c r="L8" s="22">
        <f>IF(preçodiario[[#This Row],[entrada B]]=0,L7-(SUMIFS(estoque[quantidade],estoque[fornecedor],"saída",estoque[produto],preçodiario[[#Headers],[OVO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Row],[data]]))+L7+preçodiario[[#This Row],[entrada B]])</f>
        <v>168</v>
      </c>
      <c r="M8" s="22">
        <f>SUMIFS(estoque[quantidade],estoque[fornecedor],"&lt;&gt;saída",estoque[produto],preçodiario[[#Headers],[OVO BRANCO B]],estoque[data],preçodiario[[#This Row],[data]])</f>
        <v>96</v>
      </c>
      <c r="N8" s="20">
        <f>SUMIFS(estoque[valor total],estoque[fornecedor],"&lt;&gt;saída",estoque[produto],preçodiario[[#Headers],[OVO BRANCO B]],estoque[data],preçodiario[[#This Row],[data]])</f>
        <v>1360</v>
      </c>
      <c r="O8" s="20">
        <f>IFERROR(preçodiario[[#This Row],[OVO BRANCO B]]*preçodiario[[#This Row],[estoque B]],0)</f>
        <v>2514.6196276991814</v>
      </c>
      <c r="P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Row],[data]])),((P7*Q7)+SUMIFS(estoque[valor total],estoque[produto],preçodiario[[#Headers],[OVO BRANCO C]],estoque[data],preçodiario[[#This Row],[data]],estoque[fornecedor],"&lt;&gt;saída"))/(Q7+(SUMIFS(estoque[quantidade],estoque[produto],preçodiario[[#Headers],[OVO BRANCO C]],estoque[fornecedor],"&lt;&gt;saída",estoque[data],preçodiario[[#This Row],[data]])))))</f>
        <v>13.874671916010501</v>
      </c>
      <c r="Q8" s="22">
        <f>IF(preçodiario[[#This Row],[entrada C]]=0,Q7-(SUMIFS(estoque[quantidade],estoque[fornecedor],"saída",estoque[produto],preçodiario[[#Headers],[OVO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Row],[data]]))+Q7+preçodiario[[#This Row],[entrada C]])</f>
        <v>107</v>
      </c>
      <c r="R8" s="22">
        <f>SUMIFS(estoque[quantidade],estoque[fornecedor],"&lt;&gt;saída",estoque[produto],preçodiario[[#Headers],[OVO BRANCO C]],estoque[data],preçodiario[[#This Row],[data]])</f>
        <v>72</v>
      </c>
      <c r="S8" s="20">
        <f>SUMIFS(estoque[valor total],estoque[fornecedor],"&lt;&gt;saída",estoque[produto],preçodiario[[#Headers],[OVO BRANCO C]],estoque[data],preçodiario[[#This Row],[data]])</f>
        <v>960</v>
      </c>
      <c r="T8" s="20">
        <f>IFERROR(preçodiario[[#This Row],[OVO BRANCO C]]*preçodiario[[#This Row],[estoque C]],0)</f>
        <v>1484.5898950131236</v>
      </c>
      <c r="U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Row],[data]])),((U7*V7)+SUMIFS(estoque[valor total],estoque[produto],preçodiario[[#Headers],[OVO BRANCO EXTRA]],estoque[data],preçodiario[[#This Row],[data]],estoque[fornecedor],"&lt;&gt;saída"))/(V7+(SUMIFS(estoque[quantidade],estoque[produto],preçodiario[[#Headers],[OVO BRANCO EXTRA]],estoque[fornecedor],"&lt;&gt;saída",estoque[data],preçodiario[[#This Row],[data]])))))</f>
        <v>16.378445038705138</v>
      </c>
      <c r="V8" s="22">
        <f>IF(preçodiario[[#This Row],[entrada E]]=0,V7-(SUMIFS(estoque[quantidade],estoque[fornecedor],"saída",estoque[produto],preçodiario[[#Headers],[OVO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Row],[data]]))+V7+preçodiario[[#This Row],[entrada E]])</f>
        <v>170</v>
      </c>
      <c r="W8" s="22">
        <f>SUMIFS(estoque[quantidade],estoque[fornecedor],"&lt;&gt;saída",estoque[produto],preçodiario[[#Headers],[OVO BRANCO EXTRA]],estoque[data],preçodiario[[#This Row],[data]])</f>
        <v>120</v>
      </c>
      <c r="X8" s="20">
        <f>SUMIFS(estoque[valor total],estoque[fornecedor],"&lt;&gt;saída",estoque[produto],preçodiario[[#Headers],[OVO BRANCO EXTRA]],estoque[data],preçodiario[[#This Row],[data]])</f>
        <v>1900</v>
      </c>
      <c r="Y8" s="20">
        <f>IFERROR(preçodiario[[#This Row],[estoque E]]*preçodiario[[#This Row],[OVO BRANCO EXTRA]],0)</f>
        <v>2784.3356565798736</v>
      </c>
      <c r="Z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Row],[data]])),((Z7*AA7)+SUMIFS(estoque[valor total],estoque[produto],preçodiario[[#Headers],[OVO BRANCO JUMBO]],estoque[data],preçodiario[[#This Row],[data]],estoque[fornecedor],"&lt;&gt;saída"))/(AA7+(SUMIFS(estoque[quantidade],estoque[produto],preçodiario[[#Headers],[OVO BRANCO JUMBO]],estoque[fornecedor],"&lt;&gt;saída",estoque[data],preçodiario[[#This Row],[data]])))))</f>
        <v>17.333333333333332</v>
      </c>
      <c r="AA8" s="22">
        <f>IF(preçodiario[[#This Row],[entrada J]]=0,AA7-(SUMIFS(estoque[quantidade],estoque[fornecedor],"saída",estoque[produto],preçodiario[[#Headers],[OVO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Row],[data]]))+AA7+preçodiario[[#This Row],[entrada J]])</f>
        <v>14</v>
      </c>
      <c r="AB8" s="22">
        <f>SUMIFS(estoque[quantidade],estoque[fornecedor],"&lt;&gt;saída",estoque[produto],preçodiario[[#Headers],[OVO BRANCO JUMBO]],estoque[data],preçodiario[[#This Row],[data]])</f>
        <v>12</v>
      </c>
      <c r="AC8" s="20">
        <f>SUMIFS(estoque[valor total],estoque[fornecedor],"&lt;&gt;saída",estoque[produto],preçodiario[[#Headers],[OVO BRANCO JUMBO]],estoque[data],preçodiario[[#This Row],[data]])</f>
        <v>200</v>
      </c>
      <c r="AD8" s="20">
        <f>IFERROR(preçodiario[[#This Row],[OVO BRANCO JUMBO]]*preçodiario[[#This Row],[estoque J]],0)</f>
        <v>242.66666666666666</v>
      </c>
      <c r="AE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Row],[data]])),((AE7*AF7)+SUMIFS(estoque[valor total],estoque[produto],preçodiario[[#Headers],[OVO VERMELHO A]],estoque[data],preçodiario[[#This Row],[data]],estoque[fornecedor],"&lt;&gt;saída"))/(AF7+(SUMIFS(estoque[quantidade],estoque[produto],preçodiario[[#Headers],[OVO VERMELHO A]],estoque[fornecedor],"&lt;&gt;saída",estoque[data],preçodiario[[#This Row],[data]])))))</f>
        <v/>
      </c>
      <c r="AF8" s="22">
        <f>IF(preçodiario[[#This Row],[entrada AV]]=0,AF7-(SUMIFS(estoque[quantidade],estoque[fornecedor],"saída",estoque[produto],preçodiario[[#Headers],[OVO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Row],[data]]))+AF7+preçodiario[[#This Row],[entrada AV]])</f>
        <v>0</v>
      </c>
      <c r="AG8" s="22">
        <f>SUMIFS(estoque[quantidade],estoque[fornecedor],"&lt;&gt;saída",estoque[produto],preçodiario[[#Headers],[OVO VERMELHO A]],estoque[data],preçodiario[[#This Row],[data]])</f>
        <v>0</v>
      </c>
      <c r="AH8" s="20">
        <f>SUMIFS(estoque[valor total],estoque[fornecedor],"&lt;&gt;saída",estoque[produto],preçodiario[[#Headers],[OVO VERMELHO A]],estoque[data],preçodiario[[#This Row],[data]])</f>
        <v>0</v>
      </c>
      <c r="AI8" s="20">
        <f>IFERROR(preçodiario[[#This Row],[OVO VERMELHO A]]*preçodiario[[#This Row],[estoque AV]],0)</f>
        <v>0</v>
      </c>
      <c r="AJ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Row],[data]])),((AJ7*AK7)+SUMIFS(estoque[valor total],estoque[produto],preçodiario[[#Headers],[OVO VERMELHO B]],estoque[data],preçodiario[[#This Row],[data]],estoque[fornecedor],"&lt;&gt;saída"))/(AK7+(SUMIFS(estoque[quantidade],estoque[produto],preçodiario[[#Headers],[OVO VERMELHO B]],estoque[fornecedor],"&lt;&gt;saída",estoque[data],preçodiario[[#This Row],[data]])))))</f>
        <v/>
      </c>
      <c r="AK8" s="22">
        <f>IF(preçodiario[[#This Row],[entrada BV]]=0,AK7-(SUMIFS(estoque[quantidade],estoque[fornecedor],"saída",estoque[produto],preçodiario[[#Headers],[OVO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Row],[data]]))+AK7+preçodiario[[#This Row],[entrada BV]])</f>
        <v>0</v>
      </c>
      <c r="AL8" s="22">
        <f>SUMIFS(estoque[quantidade],estoque[fornecedor],"&lt;&gt;saída",estoque[produto],preçodiario[[#Headers],[OVO VERMELHO B]],estoque[data],preçodiario[[#This Row],[data]])</f>
        <v>0</v>
      </c>
      <c r="AM8" s="20">
        <f>SUMIFS(estoque[valor total],estoque[fornecedor],"&lt;&gt;saída",estoque[produto],preçodiario[[#Headers],[OVO VERMELHO B]],estoque[data],preçodiario[[#This Row],[data]])</f>
        <v>0</v>
      </c>
      <c r="AN8" s="20">
        <f>IFERROR(preçodiario[[#This Row],[OVO VERMELHO B]]*preçodiario[[#This Row],[estoque BV]],0)</f>
        <v>0</v>
      </c>
      <c r="AO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Row],[data]])),((AO7*AP7)+SUMIFS(estoque[valor total],estoque[produto],preçodiario[[#Headers],[OVO VERMELHO C]],estoque[data],preçodiario[[#This Row],[data]],estoque[fornecedor],"&lt;&gt;saída"))/(AP7+(SUMIFS(estoque[quantidade],estoque[produto],preçodiario[[#Headers],[OVO VERMELHO C]],estoque[fornecedor],"&lt;&gt;saída",estoque[data],preçodiario[[#This Row],[data]])))))</f>
        <v/>
      </c>
      <c r="AP8" s="22">
        <f>IF(preçodiario[[#This Row],[entrada CV]]=0,AP7-(SUMIFS(estoque[quantidade],estoque[fornecedor],"saída",estoque[produto],preçodiario[[#Headers],[OVO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Row],[data]]))+AP7+preçodiario[[#This Row],[entrada CV]])</f>
        <v>0</v>
      </c>
      <c r="AQ8" s="22">
        <f>SUMIFS(estoque[quantidade],estoque[fornecedor],"&lt;&gt;saída",estoque[produto],preçodiario[[#Headers],[OVO VERMELHO C]],estoque[data],preçodiario[[#This Row],[data]])</f>
        <v>0</v>
      </c>
      <c r="AR8" s="20">
        <f>SUMIFS(estoque[valor total],estoque[fornecedor],"&lt;&gt;saída",estoque[produto],preçodiario[[#Headers],[OVO VERMELHO C]],estoque[data],preçodiario[[#This Row],[data]])</f>
        <v>0</v>
      </c>
      <c r="AS8" s="20">
        <f>IFERROR(preçodiario[[#This Row],[OVO VERMELHO C]]*preçodiario[[#This Row],[estoque CV]],0)</f>
        <v>0</v>
      </c>
      <c r="AT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Row],[data]])),((AT7*AU7)+SUMIFS(estoque[valor total],estoque[produto],preçodiario[[#Headers],[OVO VERMELHO EXTRA]],estoque[data],preçodiario[[#This Row],[data]],estoque[fornecedor],"&lt;&gt;saída"))/(AU7+(SUMIFS(estoque[quantidade],estoque[produto],preçodiario[[#Headers],[OVO VERMELHO EXTRA]],estoque[fornecedor],"&lt;&gt;saída",estoque[data],preçodiario[[#This Row],[data]])))))</f>
        <v/>
      </c>
      <c r="AU8" s="22">
        <f>IF(preçodiario[[#This Row],[entrada EV]]=0,AU7-(SUMIFS(estoque[quantidade],estoque[fornecedor],"saída",estoque[produto],preçodiario[[#Headers],[OVO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Row],[data]]))+AU7+preçodiario[[#This Row],[entrada EV]])</f>
        <v>0</v>
      </c>
      <c r="AV8" s="22">
        <f>SUMIFS(estoque[quantidade],estoque[fornecedor],"&lt;&gt;saída",estoque[produto],preçodiario[[#Headers],[OVO VERMELHO EXTRA]],estoque[data],preçodiario[[#This Row],[data]])</f>
        <v>0</v>
      </c>
      <c r="AW8" s="20">
        <f>SUMIFS(estoque[valor total],estoque[fornecedor],"&lt;&gt;saída",estoque[produto],preçodiario[[#Headers],[OVO VERMELHO EXTRA]],estoque[data],preçodiario[[#This Row],[data]])</f>
        <v>0</v>
      </c>
      <c r="AX8" s="20">
        <f>IFERROR(preçodiario[[#This Row],[OVO VERMELHO EXTRA]]*preçodiario[[#This Row],[estoque EV]],0)</f>
        <v>0</v>
      </c>
      <c r="AY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Row],[data]])),((AY7*AZ7)+SUMIFS(estoque[valor total],estoque[produto],preçodiario[[#Headers],[OVO VERMELHO JUMBO]],estoque[data],preçodiario[[#This Row],[data]],estoque[fornecedor],"&lt;&gt;saída"))/(AZ7+(SUMIFS(estoque[quantidade],estoque[produto],preçodiario[[#Headers],[OVO VERMELHO JUMBO]],estoque[fornecedor],"&lt;&gt;saída",estoque[data],preçodiario[[#This Row],[data]])))))</f>
        <v/>
      </c>
      <c r="AZ8" s="22">
        <f>IF(preçodiario[[#This Row],[entrada JV]]=0,AZ7-(SUMIFS(estoque[quantidade],estoque[fornecedor],"saída",estoque[produto],preçodiario[[#Headers],[OVO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Row],[data]]))+AZ7+preçodiario[[#This Row],[entrada JV]])</f>
        <v>0</v>
      </c>
      <c r="BA8" s="22">
        <f>SUMIFS(estoque[quantidade],estoque[fornecedor],"&lt;&gt;saída",estoque[produto],preçodiario[[#Headers],[OVO VERMELHO JUMBO]],estoque[data],preçodiario[[#This Row],[data]])</f>
        <v>0</v>
      </c>
      <c r="BB8" s="20">
        <f>SUMIFS(estoque[valor total],estoque[fornecedor],"&lt;&gt;saída",estoque[produto],preçodiario[[#Headers],[OVO VERMELHO JUMBO]],estoque[data],preçodiario[[#This Row],[data]])</f>
        <v>0</v>
      </c>
      <c r="BC8" s="20">
        <f>IFERROR(preçodiario[[#This Row],[OVO VERMELHO JUMBO]]*preçodiario[[#This Row],[estoque JV]],0)</f>
        <v>0</v>
      </c>
      <c r="BD8" t="str">
        <f>TEXT(vendaAno[[#This Row],[data]],"mmm")</f>
        <v>jan</v>
      </c>
      <c r="BE8" t="str">
        <f>TEXT(vendaAno[[#This Row],[data]],"ddd")</f>
        <v>qua</v>
      </c>
      <c r="BF8" s="82">
        <f>WEEKNUM(vendaAno[[#This Row],[data]],13)</f>
        <v>2</v>
      </c>
      <c r="BG8" s="27">
        <f>preçodiario[[#This Row],[data]]</f>
        <v>46029</v>
      </c>
      <c r="BH8" s="8">
        <f>IF(SUMIFS(estoque[valor total],estoque[fornecedor],"&lt;&gt;saída",estoque[data],vendaAno[[#This Row],[data]])=0,"",SUMIFS(estoque[valor total],estoque[fornecedor],"&lt;&gt;saída",estoque[data],vendaAno[[#This Row],[data]]))</f>
        <v>6170</v>
      </c>
      <c r="BI8" s="8">
        <f>IF(SUMIFS(estoque[valor total],estoque[fornecedor],"saída",estoque[data],vendaAno[[#This Row],[data]])=0,"",SUMIFS(estoque[valor total],estoque[fornecedor],"saída",estoque[data],vendaAno[[#This Row],[data]]))</f>
        <v>1282</v>
      </c>
      <c r="BJ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Row],[data]]))/12+BJ7,"")</f>
        <v>54.999999999999993</v>
      </c>
      <c r="BK8" s="79">
        <f>IF(SUMIFS(estoque[quantidade],estoque[fornecedor],"saída",estoque[data],vendaAno[[#This Row],[data]])/12=0,"",SUMIFS(estoque[quantidade],estoque[fornecedor],"saída",estoque[data],vendaAno[[#This Row],[data]])/12)</f>
        <v>5.5</v>
      </c>
      <c r="BL8" s="8">
        <f ca="1">IF(vendaAno[[#This Row],[data]]&lt;=TODAY(),IF(SUMIFS(estoque[lucro],estoque[fornecedor],"saída",estoque[data],vendaAno[[#This Row],[data]])=0,AVERAGE(BL5:BL7),SUMIFS(estoque[lucro],estoque[fornecedor],"saída",estoque[data],vendaAno[[#This Row],[data]])),"")</f>
        <v>254.2</v>
      </c>
      <c r="BM8" s="10">
        <f ca="1">IFERROR(vendaAno[[#This Row],[lucro]]/vendaAno[[#This Row],[valor de venda]],"")</f>
        <v>0.19828393135725428</v>
      </c>
      <c r="BN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10140.839930709333</v>
      </c>
      <c r="BO8" s="8">
        <f ca="1">IF(TODAY()&gt;=vendaAno[[#This Row],[data]],IF(vendaAno[[#This Row],[N°]]=BF7,vendaAno[[#This Row],[lucro]]-173.33+BO7,vendaAno[[#This Row],[lucro]]-150),"")</f>
        <v>104.19999999999999</v>
      </c>
      <c r="BP8" s="81">
        <f ca="1">IF(TODAY()&gt;=vendaAno[[#This Row],[data]],SUM(BK2:BK8)*12,"")</f>
        <v>262</v>
      </c>
      <c r="BQ8" s="7">
        <f ca="1">IFERROR(vendaAno[[#This Row],[lucro]]/(vendaAno[[#This Row],[venda]]*12),"")</f>
        <v>3.8515151515151516</v>
      </c>
      <c r="BT8" s="95">
        <f ca="1">WEEKNUM(PvPcML[[#This Row],[data]],13)</f>
        <v>30</v>
      </c>
      <c r="BU8" s="132">
        <f t="shared" ca="1" si="0"/>
        <v>46227</v>
      </c>
      <c r="BV8" s="7">
        <f ca="1">IFERROR(SUMIFS(vendaAno[valor de venda],vendaAno[data],PvPcML[[#This Row],[data]])/(SUMIFS(vendaAno[venda],vendaAno[data],PvPcML[[#This Row],[data]])*12),"")</f>
        <v>20.184210526315791</v>
      </c>
      <c r="BW8" s="7">
        <f ca="1">IFERROR(SUMIFS(vendaAno[valor de venda],vendaAno[data],PvPcML[[#This Row],[data]])/(SUMIFS(vendaAno[venda],vendaAno[data],PvPcML[[#This Row],[data]])*12)-PvPcML[[#This Row],[lucro médio]],"")</f>
        <v>15.49526315789474</v>
      </c>
      <c r="BX8" s="7">
        <f ca="1">IF(SUMIFS(vendaAno[[lucro médio ]],vendaAno[data],PvPcML[[#This Row],[data]])=0,"",SUMIFS(vendaAno[[lucro médio ]],vendaAno[data],PvPcML[[#This Row],[data]]))</f>
        <v>4.6889473684210516</v>
      </c>
      <c r="BY8" s="90">
        <v>7</v>
      </c>
      <c r="BZ8" s="89">
        <f t="shared" si="1"/>
        <v>46065</v>
      </c>
      <c r="CA8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13.833333333333332</v>
      </c>
      <c r="CB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</v>
      </c>
      <c r="CC8" s="7">
        <f ca="1">IFERROR(SUMIFS(vendaAno[lucro],vendaAno[data],"&gt;="&amp;semanal[[#This Row],[semana]],vendaAno[data],"&lt;="&amp;semanal[[#This Row],[semana]]+6)/((semanal[[#This Row],[varejo]]+semanal[[#This Row],[atacado]])*12),"")</f>
        <v>4.1236915887850465</v>
      </c>
      <c r="CD8" s="82">
        <f>IFERROR(AVERAGEIFS(vendaAno[venda],vendaAno[data],"&gt;="&amp;semanal[[#This Row],[semana]],vendaAno[data],"&lt;="&amp;semanal[[#This Row],[semana]]+6),"")</f>
        <v>2.5476190476190474</v>
      </c>
      <c r="CE8" s="82">
        <f ca="1">IFERROR((150/semanal[[#This Row],[lucro médio por cartela]])/12,"")</f>
        <v>3.0312645189071588</v>
      </c>
    </row>
    <row r="9" spans="1:83" x14ac:dyDescent="0.25">
      <c r="A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9" s="18" t="str">
        <f>TEXT(preçodiario[[#This Row],[data]],"MMM")</f>
        <v>jan</v>
      </c>
      <c r="C9" s="18" t="str">
        <f>TEXT(preçodiario[[#This Row],[data]],"ddd")</f>
        <v>qui</v>
      </c>
      <c r="D9" s="96">
        <f>WEEKNUM(preçodiario[[#This Row],[data]],13)</f>
        <v>2</v>
      </c>
      <c r="E9" s="37">
        <v>46030</v>
      </c>
      <c r="F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Row],[data]])),((F8*G8)+SUMIFS(estoque[valor total],estoque[produto],preçodiario[[#Headers],[OVO BRANCO A]],estoque[data],preçodiario[[#This Row],[data]],estoque[fornecedor],"&lt;&gt;saída"))/(G8+(SUMIFS(estoque[quantidade],estoque[produto],preçodiario[[#Headers],[OVO BRANCO A]],estoque[fornecedor],"&lt;&gt;saída",estoque[data],preçodiario[[#This Row],[data]])))))</f>
        <v>15.495662113186507</v>
      </c>
      <c r="G9" s="22">
        <f>IF(preçodiario[[#This Row],[entrada A]]=0,G8-(SUMIFS(estoque[quantidade],estoque[fornecedor],"saída",estoque[produto],preçodiario[[#Headers],[OVO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Row],[data]]))+G8+preçodiario[[#This Row],[entrada A]])</f>
        <v>186</v>
      </c>
      <c r="H9" s="22">
        <f>SUMIFS(estoque[quantidade],estoque[fornecedor],"&lt;&gt;saída",estoque[produto],preçodiario[[#Headers],[OVO BRANCO A]],estoque[data],preçodiario[[#This Row],[data]])</f>
        <v>0</v>
      </c>
      <c r="I9" s="20">
        <f>SUMIFS(estoque[valor total],estoque[fornecedor],"&lt;&gt;saída",estoque[produto],preçodiario[[#Headers],[OVO BRANCO A]],estoque[data],preçodiario[[#This Row],[data]])</f>
        <v>0</v>
      </c>
      <c r="J9" s="20">
        <f>IFERROR(preçodiario[[#This Row],[estoque A]]*preçodiario[[#This Row],[OVO BRANCO A]],0)</f>
        <v>2882.1931530526904</v>
      </c>
      <c r="K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Row],[data]])),((K8*L8)+SUMIFS(estoque[valor total],estoque[produto],preçodiario[[#Headers],[OVO BRANCO B]],estoque[data],preçodiario[[#This Row],[data]],estoque[fornecedor],"&lt;&gt;saída"))/(L8+(SUMIFS(estoque[quantidade],estoque[produto],preçodiario[[#Headers],[OVO BRANCO B]],estoque[fornecedor],"&lt;&gt;saída",estoque[data],preçodiario[[#This Row],[data]])))))</f>
        <v>14.967973974399889</v>
      </c>
      <c r="L9" s="22">
        <f>IF(preçodiario[[#This Row],[entrada B]]=0,L8-(SUMIFS(estoque[quantidade],estoque[fornecedor],"saída",estoque[produto],preçodiario[[#Headers],[OVO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Row],[data]]))+L8+preçodiario[[#This Row],[entrada B]])</f>
        <v>160</v>
      </c>
      <c r="M9" s="22">
        <f>SUMIFS(estoque[quantidade],estoque[fornecedor],"&lt;&gt;saída",estoque[produto],preçodiario[[#Headers],[OVO BRANCO B]],estoque[data],preçodiario[[#This Row],[data]])</f>
        <v>0</v>
      </c>
      <c r="N9" s="20">
        <f>SUMIFS(estoque[valor total],estoque[fornecedor],"&lt;&gt;saída",estoque[produto],preçodiario[[#Headers],[OVO BRANCO B]],estoque[data],preçodiario[[#This Row],[data]])</f>
        <v>0</v>
      </c>
      <c r="O9" s="20">
        <f>IFERROR(preçodiario[[#This Row],[OVO BRANCO B]]*preçodiario[[#This Row],[estoque B]],0)</f>
        <v>2394.8758359039821</v>
      </c>
      <c r="P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Row],[data]])),((P8*Q8)+SUMIFS(estoque[valor total],estoque[produto],preçodiario[[#Headers],[OVO BRANCO C]],estoque[data],preçodiario[[#This Row],[data]],estoque[fornecedor],"&lt;&gt;saída"))/(Q8+(SUMIFS(estoque[quantidade],estoque[produto],preçodiario[[#Headers],[OVO BRANCO C]],estoque[fornecedor],"&lt;&gt;saída",estoque[data],preçodiario[[#This Row],[data]])))))</f>
        <v>13.874671916010501</v>
      </c>
      <c r="Q9" s="22">
        <f>IF(preçodiario[[#This Row],[entrada C]]=0,Q8-(SUMIFS(estoque[quantidade],estoque[fornecedor],"saída",estoque[produto],preçodiario[[#Headers],[OVO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Row],[data]]))+Q8+preçodiario[[#This Row],[entrada C]])</f>
        <v>102</v>
      </c>
      <c r="R9" s="22">
        <f>SUMIFS(estoque[quantidade],estoque[fornecedor],"&lt;&gt;saída",estoque[produto],preçodiario[[#Headers],[OVO BRANCO C]],estoque[data],preçodiario[[#This Row],[data]])</f>
        <v>0</v>
      </c>
      <c r="S9" s="20">
        <f>SUMIFS(estoque[valor total],estoque[fornecedor],"&lt;&gt;saída",estoque[produto],preçodiario[[#Headers],[OVO BRANCO C]],estoque[data],preçodiario[[#This Row],[data]])</f>
        <v>0</v>
      </c>
      <c r="T9" s="20">
        <f>IFERROR(preçodiario[[#This Row],[OVO BRANCO C]]*preçodiario[[#This Row],[estoque C]],0)</f>
        <v>1415.2165354330712</v>
      </c>
      <c r="U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Row],[data]])),((U8*V8)+SUMIFS(estoque[valor total],estoque[produto],preçodiario[[#Headers],[OVO BRANCO EXTRA]],estoque[data],preçodiario[[#This Row],[data]],estoque[fornecedor],"&lt;&gt;saída"))/(V8+(SUMIFS(estoque[quantidade],estoque[produto],preçodiario[[#Headers],[OVO BRANCO EXTRA]],estoque[fornecedor],"&lt;&gt;saída",estoque[data],preçodiario[[#This Row],[data]])))))</f>
        <v>16.378445038705138</v>
      </c>
      <c r="V9" s="22">
        <f>IF(preçodiario[[#This Row],[entrada E]]=0,V8-(SUMIFS(estoque[quantidade],estoque[fornecedor],"saída",estoque[produto],preçodiario[[#Headers],[OVO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Row],[data]]))+V8+preçodiario[[#This Row],[entrada E]])</f>
        <v>155</v>
      </c>
      <c r="W9" s="22">
        <f>SUMIFS(estoque[quantidade],estoque[fornecedor],"&lt;&gt;saída",estoque[produto],preçodiario[[#Headers],[OVO BRANCO EXTRA]],estoque[data],preçodiario[[#This Row],[data]])</f>
        <v>0</v>
      </c>
      <c r="X9" s="20">
        <f>SUMIFS(estoque[valor total],estoque[fornecedor],"&lt;&gt;saída",estoque[produto],preçodiario[[#Headers],[OVO BRANCO EXTRA]],estoque[data],preçodiario[[#This Row],[data]])</f>
        <v>0</v>
      </c>
      <c r="Y9" s="20">
        <f>IFERROR(preçodiario[[#This Row],[estoque E]]*preçodiario[[#This Row],[OVO BRANCO EXTRA]],0)</f>
        <v>2538.6589809992965</v>
      </c>
      <c r="Z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Row],[data]])),((Z8*AA8)+SUMIFS(estoque[valor total],estoque[produto],preçodiario[[#Headers],[OVO BRANCO JUMBO]],estoque[data],preçodiario[[#This Row],[data]],estoque[fornecedor],"&lt;&gt;saída"))/(AA8+(SUMIFS(estoque[quantidade],estoque[produto],preçodiario[[#Headers],[OVO BRANCO JUMBO]],estoque[fornecedor],"&lt;&gt;saída",estoque[data],preçodiario[[#This Row],[data]])))))</f>
        <v>17.333333333333332</v>
      </c>
      <c r="AA9" s="22">
        <f>IF(preçodiario[[#This Row],[entrada J]]=0,AA8-(SUMIFS(estoque[quantidade],estoque[fornecedor],"saída",estoque[produto],preçodiario[[#Headers],[OVO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Row],[data]]))+AA8+preçodiario[[#This Row],[entrada J]])</f>
        <v>6</v>
      </c>
      <c r="AB9" s="22">
        <f>SUMIFS(estoque[quantidade],estoque[fornecedor],"&lt;&gt;saída",estoque[produto],preçodiario[[#Headers],[OVO BRANCO JUMBO]],estoque[data],preçodiario[[#This Row],[data]])</f>
        <v>0</v>
      </c>
      <c r="AC9" s="20">
        <f>SUMIFS(estoque[valor total],estoque[fornecedor],"&lt;&gt;saída",estoque[produto],preçodiario[[#Headers],[OVO BRANCO JUMBO]],estoque[data],preçodiario[[#This Row],[data]])</f>
        <v>0</v>
      </c>
      <c r="AD9" s="20">
        <f>IFERROR(preçodiario[[#This Row],[OVO BRANCO JUMBO]]*preçodiario[[#This Row],[estoque J]],0)</f>
        <v>104</v>
      </c>
      <c r="AE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Row],[data]])),((AE8*AF8)+SUMIFS(estoque[valor total],estoque[produto],preçodiario[[#Headers],[OVO VERMELHO A]],estoque[data],preçodiario[[#This Row],[data]],estoque[fornecedor],"&lt;&gt;saída"))/(AF8+(SUMIFS(estoque[quantidade],estoque[produto],preçodiario[[#Headers],[OVO VERMELHO A]],estoque[fornecedor],"&lt;&gt;saída",estoque[data],preçodiario[[#This Row],[data]])))))</f>
        <v/>
      </c>
      <c r="AF9" s="22">
        <f>IF(preçodiario[[#This Row],[entrada AV]]=0,AF8-(SUMIFS(estoque[quantidade],estoque[fornecedor],"saída",estoque[produto],preçodiario[[#Headers],[OVO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Row],[data]]))+AF8+preçodiario[[#This Row],[entrada AV]])</f>
        <v>0</v>
      </c>
      <c r="AG9" s="22">
        <f>SUMIFS(estoque[quantidade],estoque[fornecedor],"&lt;&gt;saída",estoque[produto],preçodiario[[#Headers],[OVO VERMELHO A]],estoque[data],preçodiario[[#This Row],[data]])</f>
        <v>0</v>
      </c>
      <c r="AH9" s="20">
        <f>SUMIFS(estoque[valor total],estoque[fornecedor],"&lt;&gt;saída",estoque[produto],preçodiario[[#Headers],[OVO VERMELHO A]],estoque[data],preçodiario[[#This Row],[data]])</f>
        <v>0</v>
      </c>
      <c r="AI9" s="20">
        <f>IFERROR(preçodiario[[#This Row],[OVO VERMELHO A]]*preçodiario[[#This Row],[estoque AV]],0)</f>
        <v>0</v>
      </c>
      <c r="AJ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Row],[data]])),((AJ8*AK8)+SUMIFS(estoque[valor total],estoque[produto],preçodiario[[#Headers],[OVO VERMELHO B]],estoque[data],preçodiario[[#This Row],[data]],estoque[fornecedor],"&lt;&gt;saída"))/(AK8+(SUMIFS(estoque[quantidade],estoque[produto],preçodiario[[#Headers],[OVO VERMELHO B]],estoque[fornecedor],"&lt;&gt;saída",estoque[data],preçodiario[[#This Row],[data]])))))</f>
        <v/>
      </c>
      <c r="AK9" s="22">
        <f>IF(preçodiario[[#This Row],[entrada BV]]=0,AK8-(SUMIFS(estoque[quantidade],estoque[fornecedor],"saída",estoque[produto],preçodiario[[#Headers],[OVO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Row],[data]]))+AK8+preçodiario[[#This Row],[entrada BV]])</f>
        <v>0</v>
      </c>
      <c r="AL9" s="22">
        <f>SUMIFS(estoque[quantidade],estoque[fornecedor],"&lt;&gt;saída",estoque[produto],preçodiario[[#Headers],[OVO VERMELHO B]],estoque[data],preçodiario[[#This Row],[data]])</f>
        <v>0</v>
      </c>
      <c r="AM9" s="20">
        <f>SUMIFS(estoque[valor total],estoque[fornecedor],"&lt;&gt;saída",estoque[produto],preçodiario[[#Headers],[OVO VERMELHO B]],estoque[data],preçodiario[[#This Row],[data]])</f>
        <v>0</v>
      </c>
      <c r="AN9" s="20">
        <f>IFERROR(preçodiario[[#This Row],[OVO VERMELHO B]]*preçodiario[[#This Row],[estoque BV]],0)</f>
        <v>0</v>
      </c>
      <c r="AO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Row],[data]])),((AO8*AP8)+SUMIFS(estoque[valor total],estoque[produto],preçodiario[[#Headers],[OVO VERMELHO C]],estoque[data],preçodiario[[#This Row],[data]],estoque[fornecedor],"&lt;&gt;saída"))/(AP8+(SUMIFS(estoque[quantidade],estoque[produto],preçodiario[[#Headers],[OVO VERMELHO C]],estoque[fornecedor],"&lt;&gt;saída",estoque[data],preçodiario[[#This Row],[data]])))))</f>
        <v/>
      </c>
      <c r="AP9" s="22">
        <f>IF(preçodiario[[#This Row],[entrada CV]]=0,AP8-(SUMIFS(estoque[quantidade],estoque[fornecedor],"saída",estoque[produto],preçodiario[[#Headers],[OVO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Row],[data]]))+AP8+preçodiario[[#This Row],[entrada CV]])</f>
        <v>0</v>
      </c>
      <c r="AQ9" s="22">
        <f>SUMIFS(estoque[quantidade],estoque[fornecedor],"&lt;&gt;saída",estoque[produto],preçodiario[[#Headers],[OVO VERMELHO C]],estoque[data],preçodiario[[#This Row],[data]])</f>
        <v>0</v>
      </c>
      <c r="AR9" s="20">
        <f>SUMIFS(estoque[valor total],estoque[fornecedor],"&lt;&gt;saída",estoque[produto],preçodiario[[#Headers],[OVO VERMELHO C]],estoque[data],preçodiario[[#This Row],[data]])</f>
        <v>0</v>
      </c>
      <c r="AS9" s="20">
        <f>IFERROR(preçodiario[[#This Row],[OVO VERMELHO C]]*preçodiario[[#This Row],[estoque CV]],0)</f>
        <v>0</v>
      </c>
      <c r="AT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Row],[data]])),((AT8*AU8)+SUMIFS(estoque[valor total],estoque[produto],preçodiario[[#Headers],[OVO VERMELHO EXTRA]],estoque[data],preçodiario[[#This Row],[data]],estoque[fornecedor],"&lt;&gt;saída"))/(AU8+(SUMIFS(estoque[quantidade],estoque[produto],preçodiario[[#Headers],[OVO VERMELHO EXTRA]],estoque[fornecedor],"&lt;&gt;saída",estoque[data],preçodiario[[#This Row],[data]])))))</f>
        <v/>
      </c>
      <c r="AU9" s="22">
        <f>IF(preçodiario[[#This Row],[entrada EV]]=0,AU8-(SUMIFS(estoque[quantidade],estoque[fornecedor],"saída",estoque[produto],preçodiario[[#Headers],[OVO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Row],[data]]))+AU8+preçodiario[[#This Row],[entrada EV]])</f>
        <v>0</v>
      </c>
      <c r="AV9" s="22">
        <f>SUMIFS(estoque[quantidade],estoque[fornecedor],"&lt;&gt;saída",estoque[produto],preçodiario[[#Headers],[OVO VERMELHO EXTRA]],estoque[data],preçodiario[[#This Row],[data]])</f>
        <v>0</v>
      </c>
      <c r="AW9" s="20">
        <f>SUMIFS(estoque[valor total],estoque[fornecedor],"&lt;&gt;saída",estoque[produto],preçodiario[[#Headers],[OVO VERMELHO EXTRA]],estoque[data],preçodiario[[#This Row],[data]])</f>
        <v>0</v>
      </c>
      <c r="AX9" s="20">
        <f>IFERROR(preçodiario[[#This Row],[OVO VERMELHO EXTRA]]*preçodiario[[#This Row],[estoque EV]],0)</f>
        <v>0</v>
      </c>
      <c r="AY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Row],[data]])),((AY8*AZ8)+SUMIFS(estoque[valor total],estoque[produto],preçodiario[[#Headers],[OVO VERMELHO JUMBO]],estoque[data],preçodiario[[#This Row],[data]],estoque[fornecedor],"&lt;&gt;saída"))/(AZ8+(SUMIFS(estoque[quantidade],estoque[produto],preçodiario[[#Headers],[OVO VERMELHO JUMBO]],estoque[fornecedor],"&lt;&gt;saída",estoque[data],preçodiario[[#This Row],[data]])))))</f>
        <v/>
      </c>
      <c r="AZ9" s="22">
        <f>IF(preçodiario[[#This Row],[entrada JV]]=0,AZ8-(SUMIFS(estoque[quantidade],estoque[fornecedor],"saída",estoque[produto],preçodiario[[#Headers],[OVO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Row],[data]]))+AZ8+preçodiario[[#This Row],[entrada JV]])</f>
        <v>0</v>
      </c>
      <c r="BA9" s="22">
        <f>SUMIFS(estoque[quantidade],estoque[fornecedor],"&lt;&gt;saída",estoque[produto],preçodiario[[#Headers],[OVO VERMELHO JUMBO]],estoque[data],preçodiario[[#This Row],[data]])</f>
        <v>0</v>
      </c>
      <c r="BB9" s="20">
        <f>SUMIFS(estoque[valor total],estoque[fornecedor],"&lt;&gt;saída",estoque[produto],preçodiario[[#Headers],[OVO VERMELHO JUMBO]],estoque[data],preçodiario[[#This Row],[data]])</f>
        <v>0</v>
      </c>
      <c r="BC9" s="20">
        <f>IFERROR(preçodiario[[#This Row],[OVO VERMELHO JUMBO]]*preçodiario[[#This Row],[estoque JV]],0)</f>
        <v>0</v>
      </c>
      <c r="BD9" t="str">
        <f>TEXT(vendaAno[[#This Row],[data]],"mmm")</f>
        <v>jan</v>
      </c>
      <c r="BE9" t="str">
        <f>TEXT(vendaAno[[#This Row],[data]],"ddd")</f>
        <v>qui</v>
      </c>
      <c r="BF9" s="82">
        <f>WEEKNUM(vendaAno[[#This Row],[data]],13)</f>
        <v>2</v>
      </c>
      <c r="BG9" s="27">
        <f>preçodiario[[#This Row],[data]]</f>
        <v>46030</v>
      </c>
      <c r="BH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" s="8">
        <f>IF(SUMIFS(estoque[valor total],estoque[fornecedor],"saída",estoque[data],vendaAno[[#This Row],[data]])=0,"",SUMIFS(estoque[valor total],estoque[fornecedor],"saída",estoque[data],vendaAno[[#This Row],[data]]))</f>
        <v>882</v>
      </c>
      <c r="BJ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Row],[data]]))/12+BJ8,"")</f>
        <v>50.749999999999993</v>
      </c>
      <c r="BK9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9" s="8">
        <f ca="1">IF(vendaAno[[#This Row],[data]]&lt;=TODAY(),IF(SUMIFS(estoque[lucro],estoque[fornecedor],"saída",estoque[data],vendaAno[[#This Row],[data]])=0,AVERAGE(BL6:BL8),SUMIFS(estoque[lucro],estoque[fornecedor],"saída",estoque[data],vendaAno[[#This Row],[data]])),"")</f>
        <v>76.105455649654402</v>
      </c>
      <c r="BM9" s="10">
        <f ca="1">IFERROR(vendaAno[[#This Row],[lucro]]/vendaAno[[#This Row],[valor de venda]],"")</f>
        <v>8.6287364682147843E-2</v>
      </c>
      <c r="BN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9334.9445053890395</v>
      </c>
      <c r="BO9" s="8">
        <f ca="1">IF(TODAY()&gt;=vendaAno[[#This Row],[data]],IF(vendaAno[[#This Row],[N°]]=BF8,vendaAno[[#This Row],[lucro]]-173.33+BO8,vendaAno[[#This Row],[lucro]]-150),"")</f>
        <v>6.9754556496543785</v>
      </c>
      <c r="BP9" s="81">
        <f ca="1">IF(TODAY()&gt;=vendaAno[[#This Row],[data]],SUM(BK3:BK9)*12,"")</f>
        <v>313</v>
      </c>
      <c r="BQ9" s="7">
        <f ca="1">IFERROR(vendaAno[[#This Row],[lucro]]/(vendaAno[[#This Row],[venda]]*12),"")</f>
        <v>1.4922638362677334</v>
      </c>
      <c r="BT9" s="95">
        <f ca="1">WEEKNUM(PvPcML[[#This Row],[data]],13)</f>
        <v>30</v>
      </c>
      <c r="BU9" s="132">
        <f t="shared" ca="1" si="0"/>
        <v>46226</v>
      </c>
      <c r="BV9" s="7">
        <f ca="1">IFERROR(SUMIFS(vendaAno[valor de venda],vendaAno[data],PvPcML[[#This Row],[data]])/(SUMIFS(vendaAno[venda],vendaAno[data],PvPcML[[#This Row],[data]])*12),"")</f>
        <v>20</v>
      </c>
      <c r="BW9" s="7">
        <f ca="1">IFERROR(SUMIFS(vendaAno[valor de venda],vendaAno[data],PvPcML[[#This Row],[data]])/(SUMIFS(vendaAno[venda],vendaAno[data],PvPcML[[#This Row],[data]])*12)-PvPcML[[#This Row],[lucro médio]],"")</f>
        <v>15.379999999999999</v>
      </c>
      <c r="BX9" s="7">
        <f ca="1">IF(SUMIFS(vendaAno[[lucro médio ]],vendaAno[data],PvPcML[[#This Row],[data]])=0,"",SUMIFS(vendaAno[[lucro médio ]],vendaAno[data],PvPcML[[#This Row],[data]]))</f>
        <v>4.62</v>
      </c>
      <c r="BY9" s="91">
        <v>8</v>
      </c>
      <c r="BZ9" s="89">
        <f t="shared" si="1"/>
        <v>46072</v>
      </c>
      <c r="CA9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16.166666666666668</v>
      </c>
      <c r="CB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5.75</v>
      </c>
      <c r="CC9" s="7">
        <f ca="1">IFERROR(SUMIFS(vendaAno[lucro],vendaAno[data],"&gt;="&amp;semanal[[#This Row],[semana]],vendaAno[data],"&lt;="&amp;semanal[[#This Row],[semana]]+6)/((semanal[[#This Row],[varejo]]+semanal[[#This Row],[atacado]])*12),"")</f>
        <v>3.6400380228136884</v>
      </c>
      <c r="CD9" s="82">
        <f>IFERROR(AVERAGEIFS(vendaAno[venda],vendaAno[data],"&gt;="&amp;semanal[[#This Row],[semana]],vendaAno[data],"&lt;="&amp;semanal[[#This Row],[semana]]+6),"")</f>
        <v>3.1309523809523809</v>
      </c>
      <c r="CE9" s="82">
        <f ca="1">IFERROR((150/semanal[[#This Row],[lucro médio por cartela]])/12,"")</f>
        <v>3.4340300627787701</v>
      </c>
    </row>
    <row r="10" spans="1:83" x14ac:dyDescent="0.25">
      <c r="A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0" s="18" t="str">
        <f>TEXT(preçodiario[[#This Row],[data]],"MMM")</f>
        <v>jan</v>
      </c>
      <c r="C10" s="18" t="str">
        <f>TEXT(preçodiario[[#This Row],[data]],"ddd")</f>
        <v>sex</v>
      </c>
      <c r="D10" s="96">
        <f>WEEKNUM(preçodiario[[#This Row],[data]],13)</f>
        <v>2</v>
      </c>
      <c r="E10" s="37">
        <v>46031</v>
      </c>
      <c r="F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Row],[data]])),((F9*G9)+SUMIFS(estoque[valor total],estoque[produto],preçodiario[[#Headers],[OVO BRANCO A]],estoque[data],preçodiario[[#This Row],[data]],estoque[fornecedor],"&lt;&gt;saída"))/(G9+(SUMIFS(estoque[quantidade],estoque[produto],preçodiario[[#Headers],[OVO BRANCO A]],estoque[fornecedor],"&lt;&gt;saída",estoque[data],preçodiario[[#This Row],[data]])))))</f>
        <v>15.495662113186507</v>
      </c>
      <c r="G10" s="22">
        <f>IF(preçodiario[[#This Row],[entrada A]]=0,G9-(SUMIFS(estoque[quantidade],estoque[fornecedor],"saída",estoque[produto],preçodiario[[#Headers],[OVO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Row],[data]]))+G9+preçodiario[[#This Row],[entrada A]])</f>
        <v>177</v>
      </c>
      <c r="H10" s="22">
        <f>SUMIFS(estoque[quantidade],estoque[fornecedor],"&lt;&gt;saída",estoque[produto],preçodiario[[#Headers],[OVO BRANCO A]],estoque[data],preçodiario[[#This Row],[data]])</f>
        <v>0</v>
      </c>
      <c r="I10" s="20">
        <f>SUMIFS(estoque[valor total],estoque[fornecedor],"&lt;&gt;saída",estoque[produto],preçodiario[[#Headers],[OVO BRANCO A]],estoque[data],preçodiario[[#This Row],[data]])</f>
        <v>0</v>
      </c>
      <c r="J10" s="20">
        <f>IFERROR(preçodiario[[#This Row],[estoque A]]*preçodiario[[#This Row],[OVO BRANCO A]],0)</f>
        <v>2742.7321940340116</v>
      </c>
      <c r="K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Row],[data]])),((K9*L9)+SUMIFS(estoque[valor total],estoque[produto],preçodiario[[#Headers],[OVO BRANCO B]],estoque[data],preçodiario[[#This Row],[data]],estoque[fornecedor],"&lt;&gt;saída"))/(L9+(SUMIFS(estoque[quantidade],estoque[produto],preçodiario[[#Headers],[OVO BRANCO B]],estoque[fornecedor],"&lt;&gt;saída",estoque[data],preçodiario[[#This Row],[data]])))))</f>
        <v>14.967973974399888</v>
      </c>
      <c r="L10" s="22">
        <f>IF(preçodiario[[#This Row],[entrada B]]=0,L9-(SUMIFS(estoque[quantidade],estoque[fornecedor],"saída",estoque[produto],preçodiario[[#Headers],[OVO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Row],[data]]))+L9+preçodiario[[#This Row],[entrada B]])</f>
        <v>157</v>
      </c>
      <c r="M10" s="22">
        <f>SUMIFS(estoque[quantidade],estoque[fornecedor],"&lt;&gt;saída",estoque[produto],preçodiario[[#Headers],[OVO BRANCO B]],estoque[data],preçodiario[[#This Row],[data]])</f>
        <v>0</v>
      </c>
      <c r="N10" s="20">
        <f>SUMIFS(estoque[valor total],estoque[fornecedor],"&lt;&gt;saída",estoque[produto],preçodiario[[#Headers],[OVO BRANCO B]],estoque[data],preçodiario[[#This Row],[data]])</f>
        <v>0</v>
      </c>
      <c r="O10" s="20">
        <f>IFERROR(preçodiario[[#This Row],[OVO BRANCO B]]*preçodiario[[#This Row],[estoque B]],0)</f>
        <v>2349.9719139807826</v>
      </c>
      <c r="P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Row],[data]])),((P9*Q9)+SUMIFS(estoque[valor total],estoque[produto],preçodiario[[#Headers],[OVO BRANCO C]],estoque[data],preçodiario[[#This Row],[data]],estoque[fornecedor],"&lt;&gt;saída"))/(Q9+(SUMIFS(estoque[quantidade],estoque[produto],preçodiario[[#Headers],[OVO BRANCO C]],estoque[fornecedor],"&lt;&gt;saída",estoque[data],preçodiario[[#This Row],[data]])))))</f>
        <v>13.874671916010502</v>
      </c>
      <c r="Q10" s="22">
        <f>IF(preçodiario[[#This Row],[entrada C]]=0,Q9-(SUMIFS(estoque[quantidade],estoque[fornecedor],"saída",estoque[produto],preçodiario[[#Headers],[OVO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Row],[data]]))+Q9+preçodiario[[#This Row],[entrada C]])</f>
        <v>95</v>
      </c>
      <c r="R10" s="22">
        <f>SUMIFS(estoque[quantidade],estoque[fornecedor],"&lt;&gt;saída",estoque[produto],preçodiario[[#Headers],[OVO BRANCO C]],estoque[data],preçodiario[[#This Row],[data]])</f>
        <v>0</v>
      </c>
      <c r="S10" s="20">
        <f>SUMIFS(estoque[valor total],estoque[fornecedor],"&lt;&gt;saída",estoque[produto],preçodiario[[#Headers],[OVO BRANCO C]],estoque[data],preçodiario[[#This Row],[data]])</f>
        <v>0</v>
      </c>
      <c r="T10" s="20">
        <f>IFERROR(preçodiario[[#This Row],[OVO BRANCO C]]*preçodiario[[#This Row],[estoque C]],0)</f>
        <v>1318.0938320209978</v>
      </c>
      <c r="U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Row],[data]])),((U9*V9)+SUMIFS(estoque[valor total],estoque[produto],preçodiario[[#Headers],[OVO BRANCO EXTRA]],estoque[data],preçodiario[[#This Row],[data]],estoque[fornecedor],"&lt;&gt;saída"))/(V9+(SUMIFS(estoque[quantidade],estoque[produto],preçodiario[[#Headers],[OVO BRANCO EXTRA]],estoque[fornecedor],"&lt;&gt;saída",estoque[data],preçodiario[[#This Row],[data]])))))</f>
        <v>16.378445038705138</v>
      </c>
      <c r="V10" s="22">
        <f>IF(preçodiario[[#This Row],[entrada E]]=0,V9-(SUMIFS(estoque[quantidade],estoque[fornecedor],"saída",estoque[produto],preçodiario[[#Headers],[OVO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Row],[data]]))+V9+preçodiario[[#This Row],[entrada E]])</f>
        <v>136</v>
      </c>
      <c r="W10" s="22">
        <f>SUMIFS(estoque[quantidade],estoque[fornecedor],"&lt;&gt;saída",estoque[produto],preçodiario[[#Headers],[OVO BRANCO EXTRA]],estoque[data],preçodiario[[#This Row],[data]])</f>
        <v>0</v>
      </c>
      <c r="X10" s="20">
        <f>SUMIFS(estoque[valor total],estoque[fornecedor],"&lt;&gt;saída",estoque[produto],preçodiario[[#Headers],[OVO BRANCO EXTRA]],estoque[data],preçodiario[[#This Row],[data]])</f>
        <v>0</v>
      </c>
      <c r="Y10" s="20">
        <f>IFERROR(preçodiario[[#This Row],[estoque E]]*preçodiario[[#This Row],[OVO BRANCO EXTRA]],0)</f>
        <v>2227.4685252638988</v>
      </c>
      <c r="Z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Row],[data]])),((Z9*AA9)+SUMIFS(estoque[valor total],estoque[produto],preçodiario[[#Headers],[OVO BRANCO JUMBO]],estoque[data],preçodiario[[#This Row],[data]],estoque[fornecedor],"&lt;&gt;saída"))/(AA9+(SUMIFS(estoque[quantidade],estoque[produto],preçodiario[[#Headers],[OVO BRANCO JUMBO]],estoque[fornecedor],"&lt;&gt;saída",estoque[data],preçodiario[[#This Row],[data]])))))</f>
        <v>17.333333333333332</v>
      </c>
      <c r="AA10" s="22">
        <f>IF(preçodiario[[#This Row],[entrada J]]=0,AA9-(SUMIFS(estoque[quantidade],estoque[fornecedor],"saída",estoque[produto],preçodiario[[#Headers],[OVO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Row],[data]]))+AA9+preçodiario[[#This Row],[entrada J]])</f>
        <v>1</v>
      </c>
      <c r="AB10" s="22">
        <f>SUMIFS(estoque[quantidade],estoque[fornecedor],"&lt;&gt;saída",estoque[produto],preçodiario[[#Headers],[OVO BRANCO JUMBO]],estoque[data],preçodiario[[#This Row],[data]])</f>
        <v>0</v>
      </c>
      <c r="AC10" s="20">
        <f>SUMIFS(estoque[valor total],estoque[fornecedor],"&lt;&gt;saída",estoque[produto],preçodiario[[#Headers],[OVO BRANCO JUMBO]],estoque[data],preçodiario[[#This Row],[data]])</f>
        <v>0</v>
      </c>
      <c r="AD10" s="20">
        <f>IFERROR(preçodiario[[#This Row],[OVO BRANCO JUMBO]]*preçodiario[[#This Row],[estoque J]],0)</f>
        <v>17.333333333333332</v>
      </c>
      <c r="AE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Row],[data]])),((AE9*AF9)+SUMIFS(estoque[valor total],estoque[produto],preçodiario[[#Headers],[OVO VERMELHO A]],estoque[data],preçodiario[[#This Row],[data]],estoque[fornecedor],"&lt;&gt;saída"))/(AF9+(SUMIFS(estoque[quantidade],estoque[produto],preçodiario[[#Headers],[OVO VERMELHO A]],estoque[fornecedor],"&lt;&gt;saída",estoque[data],preçodiario[[#This Row],[data]])))))</f>
        <v/>
      </c>
      <c r="AF10" s="22">
        <f>IF(preçodiario[[#This Row],[entrada AV]]=0,AF9-(SUMIFS(estoque[quantidade],estoque[fornecedor],"saída",estoque[produto],preçodiario[[#Headers],[OVO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Row],[data]]))+AF9+preçodiario[[#This Row],[entrada AV]])</f>
        <v>0</v>
      </c>
      <c r="AG10" s="22">
        <f>SUMIFS(estoque[quantidade],estoque[fornecedor],"&lt;&gt;saída",estoque[produto],preçodiario[[#Headers],[OVO VERMELHO A]],estoque[data],preçodiario[[#This Row],[data]])</f>
        <v>0</v>
      </c>
      <c r="AH10" s="20">
        <f>SUMIFS(estoque[valor total],estoque[fornecedor],"&lt;&gt;saída",estoque[produto],preçodiario[[#Headers],[OVO VERMELHO A]],estoque[data],preçodiario[[#This Row],[data]])</f>
        <v>0</v>
      </c>
      <c r="AI10" s="20">
        <f>IFERROR(preçodiario[[#This Row],[OVO VERMELHO A]]*preçodiario[[#This Row],[estoque AV]],0)</f>
        <v>0</v>
      </c>
      <c r="AJ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Row],[data]])),((AJ9*AK9)+SUMIFS(estoque[valor total],estoque[produto],preçodiario[[#Headers],[OVO VERMELHO B]],estoque[data],preçodiario[[#This Row],[data]],estoque[fornecedor],"&lt;&gt;saída"))/(AK9+(SUMIFS(estoque[quantidade],estoque[produto],preçodiario[[#Headers],[OVO VERMELHO B]],estoque[fornecedor],"&lt;&gt;saída",estoque[data],preçodiario[[#This Row],[data]])))))</f>
        <v/>
      </c>
      <c r="AK10" s="22">
        <f>IF(preçodiario[[#This Row],[entrada BV]]=0,AK9-(SUMIFS(estoque[quantidade],estoque[fornecedor],"saída",estoque[produto],preçodiario[[#Headers],[OVO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Row],[data]]))+AK9+preçodiario[[#This Row],[entrada BV]])</f>
        <v>0</v>
      </c>
      <c r="AL10" s="22">
        <f>SUMIFS(estoque[quantidade],estoque[fornecedor],"&lt;&gt;saída",estoque[produto],preçodiario[[#Headers],[OVO VERMELHO B]],estoque[data],preçodiario[[#This Row],[data]])</f>
        <v>0</v>
      </c>
      <c r="AM10" s="20">
        <f>SUMIFS(estoque[valor total],estoque[fornecedor],"&lt;&gt;saída",estoque[produto],preçodiario[[#Headers],[OVO VERMELHO B]],estoque[data],preçodiario[[#This Row],[data]])</f>
        <v>0</v>
      </c>
      <c r="AN10" s="20">
        <f>IFERROR(preçodiario[[#This Row],[OVO VERMELHO B]]*preçodiario[[#This Row],[estoque BV]],0)</f>
        <v>0</v>
      </c>
      <c r="AO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Row],[data]])),((AO9*AP9)+SUMIFS(estoque[valor total],estoque[produto],preçodiario[[#Headers],[OVO VERMELHO C]],estoque[data],preçodiario[[#This Row],[data]],estoque[fornecedor],"&lt;&gt;saída"))/(AP9+(SUMIFS(estoque[quantidade],estoque[produto],preçodiario[[#Headers],[OVO VERMELHO C]],estoque[fornecedor],"&lt;&gt;saída",estoque[data],preçodiario[[#This Row],[data]])))))</f>
        <v/>
      </c>
      <c r="AP10" s="22">
        <f>IF(preçodiario[[#This Row],[entrada CV]]=0,AP9-(SUMIFS(estoque[quantidade],estoque[fornecedor],"saída",estoque[produto],preçodiario[[#Headers],[OVO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Row],[data]]))+AP9+preçodiario[[#This Row],[entrada CV]])</f>
        <v>0</v>
      </c>
      <c r="AQ10" s="22">
        <f>SUMIFS(estoque[quantidade],estoque[fornecedor],"&lt;&gt;saída",estoque[produto],preçodiario[[#Headers],[OVO VERMELHO C]],estoque[data],preçodiario[[#This Row],[data]])</f>
        <v>0</v>
      </c>
      <c r="AR10" s="20">
        <f>SUMIFS(estoque[valor total],estoque[fornecedor],"&lt;&gt;saída",estoque[produto],preçodiario[[#Headers],[OVO VERMELHO C]],estoque[data],preçodiario[[#This Row],[data]])</f>
        <v>0</v>
      </c>
      <c r="AS10" s="20">
        <f>IFERROR(preçodiario[[#This Row],[OVO VERMELHO C]]*preçodiario[[#This Row],[estoque CV]],0)</f>
        <v>0</v>
      </c>
      <c r="AT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Row],[data]])),((AT9*AU9)+SUMIFS(estoque[valor total],estoque[produto],preçodiario[[#Headers],[OVO VERMELHO EXTRA]],estoque[data],preçodiario[[#This Row],[data]],estoque[fornecedor],"&lt;&gt;saída"))/(AU9+(SUMIFS(estoque[quantidade],estoque[produto],preçodiario[[#Headers],[OVO VERMELHO EXTRA]],estoque[fornecedor],"&lt;&gt;saída",estoque[data],preçodiario[[#This Row],[data]])))))</f>
        <v/>
      </c>
      <c r="AU10" s="22">
        <f>IF(preçodiario[[#This Row],[entrada EV]]=0,AU9-(SUMIFS(estoque[quantidade],estoque[fornecedor],"saída",estoque[produto],preçodiario[[#Headers],[OVO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Row],[data]]))+AU9+preçodiario[[#This Row],[entrada EV]])</f>
        <v>0</v>
      </c>
      <c r="AV10" s="22">
        <f>SUMIFS(estoque[quantidade],estoque[fornecedor],"&lt;&gt;saída",estoque[produto],preçodiario[[#Headers],[OVO VERMELHO EXTRA]],estoque[data],preçodiario[[#This Row],[data]])</f>
        <v>0</v>
      </c>
      <c r="AW10" s="20">
        <f>SUMIFS(estoque[valor total],estoque[fornecedor],"&lt;&gt;saída",estoque[produto],preçodiario[[#Headers],[OVO VERMELHO EXTRA]],estoque[data],preçodiario[[#This Row],[data]])</f>
        <v>0</v>
      </c>
      <c r="AX10" s="20">
        <f>IFERROR(preçodiario[[#This Row],[OVO VERMELHO EXTRA]]*preçodiario[[#This Row],[estoque EV]],0)</f>
        <v>0</v>
      </c>
      <c r="AY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Row],[data]])),((AY9*AZ9)+SUMIFS(estoque[valor total],estoque[produto],preçodiario[[#Headers],[OVO VERMELHO JUMBO]],estoque[data],preçodiario[[#This Row],[data]],estoque[fornecedor],"&lt;&gt;saída"))/(AZ9+(SUMIFS(estoque[quantidade],estoque[produto],preçodiario[[#Headers],[OVO VERMELHO JUMBO]],estoque[fornecedor],"&lt;&gt;saída",estoque[data],preçodiario[[#This Row],[data]])))))</f>
        <v/>
      </c>
      <c r="AZ10" s="22">
        <f>IF(preçodiario[[#This Row],[entrada JV]]=0,AZ9-(SUMIFS(estoque[quantidade],estoque[fornecedor],"saída",estoque[produto],preçodiario[[#Headers],[OVO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Row],[data]]))+AZ9+preçodiario[[#This Row],[entrada JV]])</f>
        <v>0</v>
      </c>
      <c r="BA10" s="22">
        <f>SUMIFS(estoque[quantidade],estoque[fornecedor],"&lt;&gt;saída",estoque[produto],preçodiario[[#Headers],[OVO VERMELHO JUMBO]],estoque[data],preçodiario[[#This Row],[data]])</f>
        <v>0</v>
      </c>
      <c r="BB10" s="20">
        <f>SUMIFS(estoque[valor total],estoque[fornecedor],"&lt;&gt;saída",estoque[produto],preçodiario[[#Headers],[OVO VERMELHO JUMBO]],estoque[data],preçodiario[[#This Row],[data]])</f>
        <v>0</v>
      </c>
      <c r="BC10" s="20">
        <f>IFERROR(preçodiario[[#This Row],[OVO VERMELHO JUMBO]]*preçodiario[[#This Row],[estoque JV]],0)</f>
        <v>0</v>
      </c>
      <c r="BD10" t="str">
        <f>TEXT(vendaAno[[#This Row],[data]],"mmm")</f>
        <v>jan</v>
      </c>
      <c r="BE10" t="str">
        <f>TEXT(vendaAno[[#This Row],[data]],"ddd")</f>
        <v>sex</v>
      </c>
      <c r="BF10" s="82">
        <f>WEEKNUM(vendaAno[[#This Row],[data]],13)</f>
        <v>2</v>
      </c>
      <c r="BG10" s="27">
        <f>preçodiario[[#This Row],[data]]</f>
        <v>46031</v>
      </c>
      <c r="BH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" s="8">
        <f>IF(SUMIFS(estoque[valor total],estoque[fornecedor],"saída",estoque[data],vendaAno[[#This Row],[data]])=0,"",SUMIFS(estoque[valor total],estoque[fornecedor],"saída",estoque[data],vendaAno[[#This Row],[data]]))</f>
        <v>846</v>
      </c>
      <c r="BJ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Row],[data]]))/12+BJ9,"")</f>
        <v>47.166666666666657</v>
      </c>
      <c r="BK10" s="79">
        <f>IF(SUMIFS(estoque[quantidade],estoque[fornecedor],"saída",estoque[data],vendaAno[[#This Row],[data]])/12=0,"",SUMIFS(estoque[quantidade],estoque[fornecedor],"saída",estoque[data],vendaAno[[#This Row],[data]])/12)</f>
        <v>3.5833333333333335</v>
      </c>
      <c r="BL10" s="8">
        <f ca="1">IF(vendaAno[[#This Row],[data]]&lt;=TODAY(),IF(SUMIFS(estoque[lucro],estoque[fornecedor],"saída",estoque[data],vendaAno[[#This Row],[data]])=0,AVERAGE(BL7:BL9),SUMIFS(estoque[lucro],estoque[fornecedor],"saída",estoque[data],vendaAno[[#This Row],[data]])),"")</f>
        <v>166.67000000000002</v>
      </c>
      <c r="BM10" s="10">
        <f ca="1">IFERROR(vendaAno[[#This Row],[lucro]]/vendaAno[[#This Row],[valor de venda]],"")</f>
        <v>0.19700945626477542</v>
      </c>
      <c r="BN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8655.599798633024</v>
      </c>
      <c r="BO10" s="8">
        <f ca="1">IF(TODAY()&gt;=vendaAno[[#This Row],[data]],IF(vendaAno[[#This Row],[N°]]=BF9,vendaAno[[#This Row],[lucro]]-173.33+BO9,vendaAno[[#This Row],[lucro]]-150),"")</f>
        <v>0.31545564965438189</v>
      </c>
      <c r="BP10" s="81">
        <f ca="1">IF(TODAY()&gt;=vendaAno[[#This Row],[data]],SUM(BK4:BK10)*12,"")</f>
        <v>329.99999999999994</v>
      </c>
      <c r="BQ10" s="7">
        <f ca="1">IFERROR(vendaAno[[#This Row],[lucro]]/(vendaAno[[#This Row],[venda]]*12),"")</f>
        <v>3.8760465116279073</v>
      </c>
      <c r="BT10" s="95">
        <f ca="1">WEEKNUM(PvPcML[[#This Row],[data]],13)</f>
        <v>30</v>
      </c>
      <c r="BU10" s="132">
        <f t="shared" ca="1" si="0"/>
        <v>46225</v>
      </c>
      <c r="BV10" s="7">
        <f ca="1">IFERROR(SUMIFS(vendaAno[valor de venda],vendaAno[data],PvPcML[[#This Row],[data]])/(SUMIFS(vendaAno[venda],vendaAno[data],PvPcML[[#This Row],[data]])*12),"")</f>
        <v>18.107142857142858</v>
      </c>
      <c r="BW10" s="7">
        <f ca="1">IFERROR(SUMIFS(vendaAno[valor de venda],vendaAno[data],PvPcML[[#This Row],[data]])/(SUMIFS(vendaAno[venda],vendaAno[data],PvPcML[[#This Row],[data]])*12)-PvPcML[[#This Row],[lucro médio]],"")</f>
        <v>15.032142857142858</v>
      </c>
      <c r="BX10" s="7">
        <f ca="1">IF(SUMIFS(vendaAno[[lucro médio ]],vendaAno[data],PvPcML[[#This Row],[data]])=0,"",SUMIFS(vendaAno[[lucro médio ]],vendaAno[data],PvPcML[[#This Row],[data]]))</f>
        <v>3.0749999999999997</v>
      </c>
      <c r="BY10" s="90">
        <v>9</v>
      </c>
      <c r="BZ10" s="89">
        <f t="shared" si="1"/>
        <v>46079</v>
      </c>
      <c r="CA10" s="74">
        <f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16.250000000000004</v>
      </c>
      <c r="CB1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7</v>
      </c>
      <c r="CC10" s="7">
        <f ca="1">IFERROR(SUMIFS(vendaAno[lucro],vendaAno[data],"&gt;="&amp;semanal[[#This Row],[semana]],vendaAno[data],"&lt;="&amp;semanal[[#This Row],[semana]]+6)/((semanal[[#This Row],[varejo]]+semanal[[#This Row],[atacado]])*12),"")</f>
        <v>3.7246953405017917</v>
      </c>
      <c r="CD10" s="82">
        <f>IFERROR(AVERAGEIFS(vendaAno[venda],vendaAno[data],"&gt;="&amp;semanal[[#This Row],[semana]],vendaAno[data],"&lt;="&amp;semanal[[#This Row],[semana]]+6),"")</f>
        <v>3.3214285714285721</v>
      </c>
      <c r="CE10" s="82">
        <f ca="1">IFERROR((150/semanal[[#This Row],[lucro médio por cartela]])/12,"")</f>
        <v>3.3559791760890696</v>
      </c>
    </row>
    <row r="11" spans="1:83" x14ac:dyDescent="0.25">
      <c r="A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1" s="18" t="str">
        <f>TEXT(preçodiario[[#This Row],[data]],"MMM")</f>
        <v>jan</v>
      </c>
      <c r="C11" s="18" t="str">
        <f>TEXT(preçodiario[[#This Row],[data]],"ddd")</f>
        <v>sáb</v>
      </c>
      <c r="D11" s="96">
        <f>WEEKNUM(preçodiario[[#This Row],[data]],13)</f>
        <v>2</v>
      </c>
      <c r="E11" s="37">
        <v>46032</v>
      </c>
      <c r="F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Row],[data]])),((F10*G10)+SUMIFS(estoque[valor total],estoque[produto],preçodiario[[#Headers],[OVO BRANCO A]],estoque[data],preçodiario[[#This Row],[data]],estoque[fornecedor],"&lt;&gt;saída"))/(G10+(SUMIFS(estoque[quantidade],estoque[produto],preçodiario[[#Headers],[OVO BRANCO A]],estoque[fornecedor],"&lt;&gt;saída",estoque[data],preçodiario[[#This Row],[data]])))))</f>
        <v>15.495662113186507</v>
      </c>
      <c r="G11" s="22">
        <f>IF(preçodiario[[#This Row],[entrada A]]=0,G10-(SUMIFS(estoque[quantidade],estoque[fornecedor],"saída",estoque[produto],preçodiario[[#Headers],[OVO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Row],[data]]))+G10+preçodiario[[#This Row],[entrada A]])</f>
        <v>170</v>
      </c>
      <c r="H11" s="22">
        <f>SUMIFS(estoque[quantidade],estoque[fornecedor],"&lt;&gt;saída",estoque[produto],preçodiario[[#Headers],[OVO BRANCO A]],estoque[data],preçodiario[[#This Row],[data]])</f>
        <v>0</v>
      </c>
      <c r="I11" s="20">
        <f>SUMIFS(estoque[valor total],estoque[fornecedor],"&lt;&gt;saída",estoque[produto],preçodiario[[#Headers],[OVO BRANCO A]],estoque[data],preçodiario[[#This Row],[data]])</f>
        <v>0</v>
      </c>
      <c r="J11" s="20">
        <f>IFERROR(preçodiario[[#This Row],[estoque A]]*preçodiario[[#This Row],[OVO BRANCO A]],0)</f>
        <v>2634.2625592417062</v>
      </c>
      <c r="K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Row],[data]])),((K10*L10)+SUMIFS(estoque[valor total],estoque[produto],preçodiario[[#Headers],[OVO BRANCO B]],estoque[data],preçodiario[[#This Row],[data]],estoque[fornecedor],"&lt;&gt;saída"))/(L10+(SUMIFS(estoque[quantidade],estoque[produto],preçodiario[[#Headers],[OVO BRANCO B]],estoque[fornecedor],"&lt;&gt;saída",estoque[data],preçodiario[[#This Row],[data]])))))</f>
        <v>14.967973974399889</v>
      </c>
      <c r="L11" s="22">
        <f>IF(preçodiario[[#This Row],[entrada B]]=0,L10-(SUMIFS(estoque[quantidade],estoque[fornecedor],"saída",estoque[produto],preçodiario[[#Headers],[OVO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Row],[data]]))+L10+preçodiario[[#This Row],[entrada B]])</f>
        <v>157</v>
      </c>
      <c r="M11" s="22">
        <f>SUMIFS(estoque[quantidade],estoque[fornecedor],"&lt;&gt;saída",estoque[produto],preçodiario[[#Headers],[OVO BRANCO B]],estoque[data],preçodiario[[#This Row],[data]])</f>
        <v>0</v>
      </c>
      <c r="N11" s="20">
        <f>SUMIFS(estoque[valor total],estoque[fornecedor],"&lt;&gt;saída",estoque[produto],preçodiario[[#Headers],[OVO BRANCO B]],estoque[data],preçodiario[[#This Row],[data]])</f>
        <v>0</v>
      </c>
      <c r="O11" s="20">
        <f>IFERROR(preçodiario[[#This Row],[OVO BRANCO B]]*preçodiario[[#This Row],[estoque B]],0)</f>
        <v>2349.9719139807826</v>
      </c>
      <c r="P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Row],[data]])),((P10*Q10)+SUMIFS(estoque[valor total],estoque[produto],preçodiario[[#Headers],[OVO BRANCO C]],estoque[data],preçodiario[[#This Row],[data]],estoque[fornecedor],"&lt;&gt;saída"))/(Q10+(SUMIFS(estoque[quantidade],estoque[produto],preçodiario[[#Headers],[OVO BRANCO C]],estoque[fornecedor],"&lt;&gt;saída",estoque[data],preçodiario[[#This Row],[data]])))))</f>
        <v>13.874671916010502</v>
      </c>
      <c r="Q11" s="22">
        <f>IF(preçodiario[[#This Row],[entrada C]]=0,Q10-(SUMIFS(estoque[quantidade],estoque[fornecedor],"saída",estoque[produto],preçodiario[[#Headers],[OVO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Row],[data]]))+Q10+preçodiario[[#This Row],[entrada C]])</f>
        <v>93</v>
      </c>
      <c r="R11" s="22">
        <f>SUMIFS(estoque[quantidade],estoque[fornecedor],"&lt;&gt;saída",estoque[produto],preçodiario[[#Headers],[OVO BRANCO C]],estoque[data],preçodiario[[#This Row],[data]])</f>
        <v>0</v>
      </c>
      <c r="S11" s="20">
        <f>SUMIFS(estoque[valor total],estoque[fornecedor],"&lt;&gt;saída",estoque[produto],preçodiario[[#Headers],[OVO BRANCO C]],estoque[data],preçodiario[[#This Row],[data]])</f>
        <v>0</v>
      </c>
      <c r="T11" s="20">
        <f>IFERROR(preçodiario[[#This Row],[OVO BRANCO C]]*preçodiario[[#This Row],[estoque C]],0)</f>
        <v>1290.3444881889768</v>
      </c>
      <c r="U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Row],[data]])),((U10*V10)+SUMIFS(estoque[valor total],estoque[produto],preçodiario[[#Headers],[OVO BRANCO EXTRA]],estoque[data],preçodiario[[#This Row],[data]],estoque[fornecedor],"&lt;&gt;saída"))/(V10+(SUMIFS(estoque[quantidade],estoque[produto],preçodiario[[#Headers],[OVO BRANCO EXTRA]],estoque[fornecedor],"&lt;&gt;saída",estoque[data],preçodiario[[#This Row],[data]])))))</f>
        <v>16.378445038705138</v>
      </c>
      <c r="V11" s="22">
        <f>IF(preçodiario[[#This Row],[entrada E]]=0,V10-(SUMIFS(estoque[quantidade],estoque[fornecedor],"saída",estoque[produto],preçodiario[[#Headers],[OVO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Row],[data]]))+V10+preçodiario[[#This Row],[entrada E]])</f>
        <v>133</v>
      </c>
      <c r="W11" s="22">
        <f>SUMIFS(estoque[quantidade],estoque[fornecedor],"&lt;&gt;saída",estoque[produto],preçodiario[[#Headers],[OVO BRANCO EXTRA]],estoque[data],preçodiario[[#This Row],[data]])</f>
        <v>0</v>
      </c>
      <c r="X11" s="20">
        <f>SUMIFS(estoque[valor total],estoque[fornecedor],"&lt;&gt;saída",estoque[produto],preçodiario[[#Headers],[OVO BRANCO EXTRA]],estoque[data],preçodiario[[#This Row],[data]])</f>
        <v>0</v>
      </c>
      <c r="Y11" s="20">
        <f>IFERROR(preçodiario[[#This Row],[estoque E]]*preçodiario[[#This Row],[OVO BRANCO EXTRA]],0)</f>
        <v>2178.3331901477832</v>
      </c>
      <c r="Z1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Row],[data]])),((Z10*AA10)+SUMIFS(estoque[valor total],estoque[produto],preçodiario[[#Headers],[OVO BRANCO JUMBO]],estoque[data],preçodiario[[#This Row],[data]],estoque[fornecedor],"&lt;&gt;saída"))/(AA10+(SUMIFS(estoque[quantidade],estoque[produto],preçodiario[[#Headers],[OVO BRANCO JUMBO]],estoque[fornecedor],"&lt;&gt;saída",estoque[data],preçodiario[[#This Row],[data]])))))</f>
        <v/>
      </c>
      <c r="AA11" s="22">
        <f>IF(preçodiario[[#This Row],[entrada J]]=0,AA10-(SUMIFS(estoque[quantidade],estoque[fornecedor],"saída",estoque[produto],preçodiario[[#Headers],[OVO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Row],[data]]))+AA10+preçodiario[[#This Row],[entrada J]])</f>
        <v>0</v>
      </c>
      <c r="AB11" s="22">
        <f>SUMIFS(estoque[quantidade],estoque[fornecedor],"&lt;&gt;saída",estoque[produto],preçodiario[[#Headers],[OVO BRANCO JUMBO]],estoque[data],preçodiario[[#This Row],[data]])</f>
        <v>0</v>
      </c>
      <c r="AC11" s="20">
        <f>SUMIFS(estoque[valor total],estoque[fornecedor],"&lt;&gt;saída",estoque[produto],preçodiario[[#Headers],[OVO BRANCO JUMBO]],estoque[data],preçodiario[[#This Row],[data]])</f>
        <v>0</v>
      </c>
      <c r="AD11" s="20">
        <f>IFERROR(preçodiario[[#This Row],[OVO BRANCO JUMBO]]*preçodiario[[#This Row],[estoque J]],0)</f>
        <v>0</v>
      </c>
      <c r="AE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Row],[data]])),((AE10*AF10)+SUMIFS(estoque[valor total],estoque[produto],preçodiario[[#Headers],[OVO VERMELHO A]],estoque[data],preçodiario[[#This Row],[data]],estoque[fornecedor],"&lt;&gt;saída"))/(AF10+(SUMIFS(estoque[quantidade],estoque[produto],preçodiario[[#Headers],[OVO VERMELHO A]],estoque[fornecedor],"&lt;&gt;saída",estoque[data],preçodiario[[#This Row],[data]])))))</f>
        <v/>
      </c>
      <c r="AF11" s="22">
        <f>IF(preçodiario[[#This Row],[entrada AV]]=0,AF10-(SUMIFS(estoque[quantidade],estoque[fornecedor],"saída",estoque[produto],preçodiario[[#Headers],[OVO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Row],[data]]))+AF10+preçodiario[[#This Row],[entrada AV]])</f>
        <v>0</v>
      </c>
      <c r="AG11" s="22">
        <f>SUMIFS(estoque[quantidade],estoque[fornecedor],"&lt;&gt;saída",estoque[produto],preçodiario[[#Headers],[OVO VERMELHO A]],estoque[data],preçodiario[[#This Row],[data]])</f>
        <v>0</v>
      </c>
      <c r="AH11" s="20">
        <f>SUMIFS(estoque[valor total],estoque[fornecedor],"&lt;&gt;saída",estoque[produto],preçodiario[[#Headers],[OVO VERMELHO A]],estoque[data],preçodiario[[#This Row],[data]])</f>
        <v>0</v>
      </c>
      <c r="AI11" s="20">
        <f>IFERROR(preçodiario[[#This Row],[OVO VERMELHO A]]*preçodiario[[#This Row],[estoque AV]],0)</f>
        <v>0</v>
      </c>
      <c r="AJ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Row],[data]])),((AJ10*AK10)+SUMIFS(estoque[valor total],estoque[produto],preçodiario[[#Headers],[OVO VERMELHO B]],estoque[data],preçodiario[[#This Row],[data]],estoque[fornecedor],"&lt;&gt;saída"))/(AK10+(SUMIFS(estoque[quantidade],estoque[produto],preçodiario[[#Headers],[OVO VERMELHO B]],estoque[fornecedor],"&lt;&gt;saída",estoque[data],preçodiario[[#This Row],[data]])))))</f>
        <v/>
      </c>
      <c r="AK11" s="22">
        <f>IF(preçodiario[[#This Row],[entrada BV]]=0,AK10-(SUMIFS(estoque[quantidade],estoque[fornecedor],"saída",estoque[produto],preçodiario[[#Headers],[OVO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Row],[data]]))+AK10+preçodiario[[#This Row],[entrada BV]])</f>
        <v>0</v>
      </c>
      <c r="AL11" s="22">
        <f>SUMIFS(estoque[quantidade],estoque[fornecedor],"&lt;&gt;saída",estoque[produto],preçodiario[[#Headers],[OVO VERMELHO B]],estoque[data],preçodiario[[#This Row],[data]])</f>
        <v>0</v>
      </c>
      <c r="AM11" s="20">
        <f>SUMIFS(estoque[valor total],estoque[fornecedor],"&lt;&gt;saída",estoque[produto],preçodiario[[#Headers],[OVO VERMELHO B]],estoque[data],preçodiario[[#This Row],[data]])</f>
        <v>0</v>
      </c>
      <c r="AN11" s="20">
        <f>IFERROR(preçodiario[[#This Row],[OVO VERMELHO B]]*preçodiario[[#This Row],[estoque BV]],0)</f>
        <v>0</v>
      </c>
      <c r="AO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Row],[data]])),((AO10*AP10)+SUMIFS(estoque[valor total],estoque[produto],preçodiario[[#Headers],[OVO VERMELHO C]],estoque[data],preçodiario[[#This Row],[data]],estoque[fornecedor],"&lt;&gt;saída"))/(AP10+(SUMIFS(estoque[quantidade],estoque[produto],preçodiario[[#Headers],[OVO VERMELHO C]],estoque[fornecedor],"&lt;&gt;saída",estoque[data],preçodiario[[#This Row],[data]])))))</f>
        <v/>
      </c>
      <c r="AP11" s="22">
        <f>IF(preçodiario[[#This Row],[entrada CV]]=0,AP10-(SUMIFS(estoque[quantidade],estoque[fornecedor],"saída",estoque[produto],preçodiario[[#Headers],[OVO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Row],[data]]))+AP10+preçodiario[[#This Row],[entrada CV]])</f>
        <v>0</v>
      </c>
      <c r="AQ11" s="22">
        <f>SUMIFS(estoque[quantidade],estoque[fornecedor],"&lt;&gt;saída",estoque[produto],preçodiario[[#Headers],[OVO VERMELHO C]],estoque[data],preçodiario[[#This Row],[data]])</f>
        <v>0</v>
      </c>
      <c r="AR11" s="20">
        <f>SUMIFS(estoque[valor total],estoque[fornecedor],"&lt;&gt;saída",estoque[produto],preçodiario[[#Headers],[OVO VERMELHO C]],estoque[data],preçodiario[[#This Row],[data]])</f>
        <v>0</v>
      </c>
      <c r="AS11" s="20">
        <f>IFERROR(preçodiario[[#This Row],[OVO VERMELHO C]]*preçodiario[[#This Row],[estoque CV]],0)</f>
        <v>0</v>
      </c>
      <c r="AT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Row],[data]])),((AT10*AU10)+SUMIFS(estoque[valor total],estoque[produto],preçodiario[[#Headers],[OVO VERMELHO EXTRA]],estoque[data],preçodiario[[#This Row],[data]],estoque[fornecedor],"&lt;&gt;saída"))/(AU10+(SUMIFS(estoque[quantidade],estoque[produto],preçodiario[[#Headers],[OVO VERMELHO EXTRA]],estoque[fornecedor],"&lt;&gt;saída",estoque[data],preçodiario[[#This Row],[data]])))))</f>
        <v/>
      </c>
      <c r="AU11" s="22">
        <f>IF(preçodiario[[#This Row],[entrada EV]]=0,AU10-(SUMIFS(estoque[quantidade],estoque[fornecedor],"saída",estoque[produto],preçodiario[[#Headers],[OVO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Row],[data]]))+AU10+preçodiario[[#This Row],[entrada EV]])</f>
        <v>0</v>
      </c>
      <c r="AV11" s="22">
        <f>SUMIFS(estoque[quantidade],estoque[fornecedor],"&lt;&gt;saída",estoque[produto],preçodiario[[#Headers],[OVO VERMELHO EXTRA]],estoque[data],preçodiario[[#This Row],[data]])</f>
        <v>0</v>
      </c>
      <c r="AW11" s="20">
        <f>SUMIFS(estoque[valor total],estoque[fornecedor],"&lt;&gt;saída",estoque[produto],preçodiario[[#Headers],[OVO VERMELHO EXTRA]],estoque[data],preçodiario[[#This Row],[data]])</f>
        <v>0</v>
      </c>
      <c r="AX11" s="20">
        <f>IFERROR(preçodiario[[#This Row],[OVO VERMELHO EXTRA]]*preçodiario[[#This Row],[estoque EV]],0)</f>
        <v>0</v>
      </c>
      <c r="AY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Row],[data]])),((AY10*AZ10)+SUMIFS(estoque[valor total],estoque[produto],preçodiario[[#Headers],[OVO VERMELHO JUMBO]],estoque[data],preçodiario[[#This Row],[data]],estoque[fornecedor],"&lt;&gt;saída"))/(AZ10+(SUMIFS(estoque[quantidade],estoque[produto],preçodiario[[#Headers],[OVO VERMELHO JUMBO]],estoque[fornecedor],"&lt;&gt;saída",estoque[data],preçodiario[[#This Row],[data]])))))</f>
        <v/>
      </c>
      <c r="AZ11" s="22">
        <f>IF(preçodiario[[#This Row],[entrada JV]]=0,AZ10-(SUMIFS(estoque[quantidade],estoque[fornecedor],"saída",estoque[produto],preçodiario[[#Headers],[OVO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Row],[data]]))+AZ10+preçodiario[[#This Row],[entrada JV]])</f>
        <v>0</v>
      </c>
      <c r="BA11" s="22">
        <f>SUMIFS(estoque[quantidade],estoque[fornecedor],"&lt;&gt;saída",estoque[produto],preçodiario[[#Headers],[OVO VERMELHO JUMBO]],estoque[data],preçodiario[[#This Row],[data]])</f>
        <v>0</v>
      </c>
      <c r="BB11" s="20">
        <f>SUMIFS(estoque[valor total],estoque[fornecedor],"&lt;&gt;saída",estoque[produto],preçodiario[[#Headers],[OVO VERMELHO JUMBO]],estoque[data],preçodiario[[#This Row],[data]])</f>
        <v>0</v>
      </c>
      <c r="BC11" s="20">
        <f>IFERROR(preçodiario[[#This Row],[OVO VERMELHO JUMBO]]*preçodiario[[#This Row],[estoque JV]],0)</f>
        <v>0</v>
      </c>
      <c r="BD11" t="str">
        <f>TEXT(vendaAno[[#This Row],[data]],"mmm")</f>
        <v>jan</v>
      </c>
      <c r="BE11" t="str">
        <f>TEXT(vendaAno[[#This Row],[data]],"ddd")</f>
        <v>sáb</v>
      </c>
      <c r="BF11" s="82">
        <f>WEEKNUM(vendaAno[[#This Row],[data]],13)</f>
        <v>2</v>
      </c>
      <c r="BG11" s="27">
        <f>preçodiario[[#This Row],[data]]</f>
        <v>46032</v>
      </c>
      <c r="BH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" s="8">
        <f>IF(SUMIFS(estoque[valor total],estoque[fornecedor],"saída",estoque[data],vendaAno[[#This Row],[data]])=0,"",SUMIFS(estoque[valor total],estoque[fornecedor],"saída",estoque[data],vendaAno[[#This Row],[data]]))</f>
        <v>251</v>
      </c>
      <c r="BJ1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Row],[data]]))/12+BJ10,"")</f>
        <v>46.083333333333321</v>
      </c>
      <c r="BK11" s="79">
        <f>IF(SUMIFS(estoque[quantidade],estoque[fornecedor],"saída",estoque[data],vendaAno[[#This Row],[data]])/12=0,"",SUMIFS(estoque[quantidade],estoque[fornecedor],"saída",estoque[data],vendaAno[[#This Row],[data]])/12)</f>
        <v>1.0833333333333333</v>
      </c>
      <c r="BL11" s="8">
        <f ca="1">IF(vendaAno[[#This Row],[data]]&lt;=TODAY(),IF(SUMIFS(estoque[lucro],estoque[fornecedor],"saída",estoque[data],vendaAno[[#This Row],[data]])=0,AVERAGE(BL8:BL10),SUMIFS(estoque[lucro],estoque[fornecedor],"saída",estoque[data],vendaAno[[#This Row],[data]])),"")</f>
        <v>48.31</v>
      </c>
      <c r="BM11" s="10">
        <f ca="1">IFERROR(vendaAno[[#This Row],[lucro]]/vendaAno[[#This Row],[valor de venda]],"")</f>
        <v>0.19247011952191237</v>
      </c>
      <c r="BN1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8452.9121515592487</v>
      </c>
      <c r="BO11" s="8">
        <f ca="1">IF(TODAY()&gt;=vendaAno[[#This Row],[data]],IF(vendaAno[[#This Row],[N°]]=BF10,vendaAno[[#This Row],[lucro]]-173.33+BO10,vendaAno[[#This Row],[lucro]]-150),"")</f>
        <v>-124.70454435034563</v>
      </c>
      <c r="BP11" s="81">
        <f ca="1">IF(TODAY()&gt;=vendaAno[[#This Row],[data]],SUM(BK5:BK11)*12,"")</f>
        <v>339</v>
      </c>
      <c r="BQ11" s="7">
        <f ca="1">IFERROR(vendaAno[[#This Row],[lucro]]/(vendaAno[[#This Row],[venda]]*12),"")</f>
        <v>3.7161538461538464</v>
      </c>
      <c r="BT11" s="95">
        <f ca="1">WEEKNUM(PvPcML[[#This Row],[data]],13)</f>
        <v>29</v>
      </c>
      <c r="BU11" s="132">
        <f t="shared" ca="1" si="0"/>
        <v>46224</v>
      </c>
      <c r="BV11" s="7">
        <f ca="1">IFERROR(SUMIFS(vendaAno[valor de venda],vendaAno[data],PvPcML[[#This Row],[data]])/(SUMIFS(vendaAno[venda],vendaAno[data],PvPcML[[#This Row],[data]])*12),"")</f>
        <v>20.514285714285716</v>
      </c>
      <c r="BW11" s="7">
        <f ca="1">IFERROR(SUMIFS(vendaAno[valor de venda],vendaAno[data],PvPcML[[#This Row],[data]])/(SUMIFS(vendaAno[venda],vendaAno[data],PvPcML[[#This Row],[data]])*12)-PvPcML[[#This Row],[lucro médio]],"")</f>
        <v>15.604285714285716</v>
      </c>
      <c r="BX11" s="7">
        <f ca="1">IF(SUMIFS(vendaAno[[lucro médio ]],vendaAno[data],PvPcML[[#This Row],[data]])=0,"",SUMIFS(vendaAno[[lucro médio ]],vendaAno[data],PvPcML[[#This Row],[data]]))</f>
        <v>4.9099999999999993</v>
      </c>
      <c r="BY11" s="91">
        <v>10</v>
      </c>
      <c r="BZ11" s="89">
        <f t="shared" si="1"/>
        <v>46086</v>
      </c>
      <c r="CA1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14.416666666666668</v>
      </c>
      <c r="CB1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5.75</v>
      </c>
      <c r="CC11" s="7">
        <f ca="1">IFERROR(SUMIFS(vendaAno[lucro],vendaAno[data],"&gt;="&amp;semanal[[#This Row],[semana]],vendaAno[data],"&lt;="&amp;semanal[[#This Row],[semana]]+6)/((semanal[[#This Row],[varejo]]+semanal[[#This Row],[atacado]])*12),"")</f>
        <v>3.4627272727272729</v>
      </c>
      <c r="CD11" s="82">
        <f ca="1">IFERROR(AVERAGEIFS(vendaAno[venda],vendaAno[data],"&gt;="&amp;semanal[[#This Row],[semana]],vendaAno[data],"&lt;="&amp;semanal[[#This Row],[semana]]+6),"")</f>
        <v>2.8809523809523809</v>
      </c>
      <c r="CE11" s="82">
        <f ca="1">IFERROR((150/semanal[[#This Row],[lucro médio por cartela]])/12,"")</f>
        <v>3.6098713573116306</v>
      </c>
    </row>
    <row r="12" spans="1:83" x14ac:dyDescent="0.25">
      <c r="A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2" s="18" t="str">
        <f>TEXT(preçodiario[[#This Row],[data]],"MMM")</f>
        <v>jan</v>
      </c>
      <c r="C12" s="18" t="str">
        <f>TEXT(preçodiario[[#This Row],[data]],"ddd")</f>
        <v>dom</v>
      </c>
      <c r="D12" s="96">
        <f>WEEKNUM(preçodiario[[#This Row],[data]],13)</f>
        <v>2</v>
      </c>
      <c r="E12" s="37">
        <v>46033</v>
      </c>
      <c r="F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Row],[data]])),((F11*G11)+SUMIFS(estoque[valor total],estoque[produto],preçodiario[[#Headers],[OVO BRANCO A]],estoque[data],preçodiario[[#This Row],[data]],estoque[fornecedor],"&lt;&gt;saída"))/(G11+(SUMIFS(estoque[quantidade],estoque[produto],preçodiario[[#Headers],[OVO BRANCO A]],estoque[fornecedor],"&lt;&gt;saída",estoque[data],preçodiario[[#This Row],[data]])))))</f>
        <v>15.495662113186507</v>
      </c>
      <c r="G12" s="22">
        <f>IF(preçodiario[[#This Row],[entrada A]]=0,G11-(SUMIFS(estoque[quantidade],estoque[fornecedor],"saída",estoque[produto],preçodiario[[#Headers],[OVO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Row],[data]]))+G11+preçodiario[[#This Row],[entrada A]])</f>
        <v>169</v>
      </c>
      <c r="H12" s="22">
        <f>SUMIFS(estoque[quantidade],estoque[fornecedor],"&lt;&gt;saída",estoque[produto],preçodiario[[#Headers],[OVO BRANCO A]],estoque[data],preçodiario[[#This Row],[data]])</f>
        <v>0</v>
      </c>
      <c r="I12" s="20">
        <f>SUMIFS(estoque[valor total],estoque[fornecedor],"&lt;&gt;saída",estoque[produto],preçodiario[[#Headers],[OVO BRANCO A]],estoque[data],preçodiario[[#This Row],[data]])</f>
        <v>0</v>
      </c>
      <c r="J12" s="20">
        <f>IFERROR(preçodiario[[#This Row],[estoque A]]*preçodiario[[#This Row],[OVO BRANCO A]],0)</f>
        <v>2618.7668971285198</v>
      </c>
      <c r="K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Row],[data]])),((K11*L11)+SUMIFS(estoque[valor total],estoque[produto],preçodiario[[#Headers],[OVO BRANCO B]],estoque[data],preçodiario[[#This Row],[data]],estoque[fornecedor],"&lt;&gt;saída"))/(L11+(SUMIFS(estoque[quantidade],estoque[produto],preçodiario[[#Headers],[OVO BRANCO B]],estoque[fornecedor],"&lt;&gt;saída",estoque[data],preçodiario[[#This Row],[data]])))))</f>
        <v>14.967973974399889</v>
      </c>
      <c r="L12" s="22">
        <f>IF(preçodiario[[#This Row],[entrada B]]=0,L11-(SUMIFS(estoque[quantidade],estoque[fornecedor],"saída",estoque[produto],preçodiario[[#Headers],[OVO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Row],[data]]))+L11+preçodiario[[#This Row],[entrada B]])</f>
        <v>153</v>
      </c>
      <c r="M12" s="22">
        <f>SUMIFS(estoque[quantidade],estoque[fornecedor],"&lt;&gt;saída",estoque[produto],preçodiario[[#Headers],[OVO BRANCO B]],estoque[data],preçodiario[[#This Row],[data]])</f>
        <v>0</v>
      </c>
      <c r="N12" s="20">
        <f>SUMIFS(estoque[valor total],estoque[fornecedor],"&lt;&gt;saída",estoque[produto],preçodiario[[#Headers],[OVO BRANCO B]],estoque[data],preçodiario[[#This Row],[data]])</f>
        <v>0</v>
      </c>
      <c r="O12" s="20">
        <f>IFERROR(preçodiario[[#This Row],[OVO BRANCO B]]*preçodiario[[#This Row],[estoque B]],0)</f>
        <v>2290.1000180831829</v>
      </c>
      <c r="P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Row],[data]])),((P11*Q11)+SUMIFS(estoque[valor total],estoque[produto],preçodiario[[#Headers],[OVO BRANCO C]],estoque[data],preçodiario[[#This Row],[data]],estoque[fornecedor],"&lt;&gt;saída"))/(Q11+(SUMIFS(estoque[quantidade],estoque[produto],preçodiario[[#Headers],[OVO BRANCO C]],estoque[fornecedor],"&lt;&gt;saída",estoque[data],preçodiario[[#This Row],[data]])))))</f>
        <v>13.874671916010504</v>
      </c>
      <c r="Q12" s="22">
        <f>IF(preçodiario[[#This Row],[entrada C]]=0,Q11-(SUMIFS(estoque[quantidade],estoque[fornecedor],"saída",estoque[produto],preçodiario[[#Headers],[OVO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Row],[data]]))+Q11+preçodiario[[#This Row],[entrada C]])</f>
        <v>90</v>
      </c>
      <c r="R12" s="22">
        <f>SUMIFS(estoque[quantidade],estoque[fornecedor],"&lt;&gt;saída",estoque[produto],preçodiario[[#Headers],[OVO BRANCO C]],estoque[data],preçodiario[[#This Row],[data]])</f>
        <v>0</v>
      </c>
      <c r="S12" s="20">
        <f>SUMIFS(estoque[valor total],estoque[fornecedor],"&lt;&gt;saída",estoque[produto],preçodiario[[#Headers],[OVO BRANCO C]],estoque[data],preçodiario[[#This Row],[data]])</f>
        <v>0</v>
      </c>
      <c r="T12" s="20">
        <f>IFERROR(preçodiario[[#This Row],[OVO BRANCO C]]*preçodiario[[#This Row],[estoque C]],0)</f>
        <v>1248.7204724409453</v>
      </c>
      <c r="U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Row],[data]])),((U11*V11)+SUMIFS(estoque[valor total],estoque[produto],preçodiario[[#Headers],[OVO BRANCO EXTRA]],estoque[data],preçodiario[[#This Row],[data]],estoque[fornecedor],"&lt;&gt;saída"))/(V11+(SUMIFS(estoque[quantidade],estoque[produto],preçodiario[[#Headers],[OVO BRANCO EXTRA]],estoque[fornecedor],"&lt;&gt;saída",estoque[data],preçodiario[[#This Row],[data]])))))</f>
        <v>16.378445038705138</v>
      </c>
      <c r="V12" s="22">
        <f>IF(preçodiario[[#This Row],[entrada E]]=0,V11-(SUMIFS(estoque[quantidade],estoque[fornecedor],"saída",estoque[produto],preçodiario[[#Headers],[OVO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Row],[data]]))+V11+preçodiario[[#This Row],[entrada E]])</f>
        <v>128</v>
      </c>
      <c r="W12" s="22">
        <f>SUMIFS(estoque[quantidade],estoque[fornecedor],"&lt;&gt;saída",estoque[produto],preçodiario[[#Headers],[OVO BRANCO EXTRA]],estoque[data],preçodiario[[#This Row],[data]])</f>
        <v>0</v>
      </c>
      <c r="X12" s="20">
        <f>SUMIFS(estoque[valor total],estoque[fornecedor],"&lt;&gt;saída",estoque[produto],preçodiario[[#Headers],[OVO BRANCO EXTRA]],estoque[data],preçodiario[[#This Row],[data]])</f>
        <v>0</v>
      </c>
      <c r="Y12" s="20">
        <f>IFERROR(preçodiario[[#This Row],[estoque E]]*preçodiario[[#This Row],[OVO BRANCO EXTRA]],0)</f>
        <v>2096.4409649542577</v>
      </c>
      <c r="Z1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Row],[data]])),((Z11*AA11)+SUMIFS(estoque[valor total],estoque[produto],preçodiario[[#Headers],[OVO BRANCO JUMBO]],estoque[data],preçodiario[[#This Row],[data]],estoque[fornecedor],"&lt;&gt;saída"))/(AA11+(SUMIFS(estoque[quantidade],estoque[produto],preçodiario[[#Headers],[OVO BRANCO JUMBO]],estoque[fornecedor],"&lt;&gt;saída",estoque[data],preçodiario[[#This Row],[data]])))))</f>
        <v/>
      </c>
      <c r="AA12" s="22">
        <f>IF(preçodiario[[#This Row],[entrada J]]=0,AA11-(SUMIFS(estoque[quantidade],estoque[fornecedor],"saída",estoque[produto],preçodiario[[#Headers],[OVO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Row],[data]]))+AA11+preçodiario[[#This Row],[entrada J]])</f>
        <v>0</v>
      </c>
      <c r="AB12" s="22">
        <f>SUMIFS(estoque[quantidade],estoque[fornecedor],"&lt;&gt;saída",estoque[produto],preçodiario[[#Headers],[OVO BRANCO JUMBO]],estoque[data],preçodiario[[#This Row],[data]])</f>
        <v>0</v>
      </c>
      <c r="AC12" s="20">
        <f>SUMIFS(estoque[valor total],estoque[fornecedor],"&lt;&gt;saída",estoque[produto],preçodiario[[#Headers],[OVO BRANCO JUMBO]],estoque[data],preçodiario[[#This Row],[data]])</f>
        <v>0</v>
      </c>
      <c r="AD12" s="20">
        <f>IFERROR(preçodiario[[#This Row],[OVO BRANCO JUMBO]]*preçodiario[[#This Row],[estoque J]],0)</f>
        <v>0</v>
      </c>
      <c r="AE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Row],[data]])),((AE11*AF11)+SUMIFS(estoque[valor total],estoque[produto],preçodiario[[#Headers],[OVO VERMELHO A]],estoque[data],preçodiario[[#This Row],[data]],estoque[fornecedor],"&lt;&gt;saída"))/(AF11+(SUMIFS(estoque[quantidade],estoque[produto],preçodiario[[#Headers],[OVO VERMELHO A]],estoque[fornecedor],"&lt;&gt;saída",estoque[data],preçodiario[[#This Row],[data]])))))</f>
        <v/>
      </c>
      <c r="AF12" s="22">
        <f>IF(preçodiario[[#This Row],[entrada AV]]=0,AF11-(SUMIFS(estoque[quantidade],estoque[fornecedor],"saída",estoque[produto],preçodiario[[#Headers],[OVO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Row],[data]]))+AF11+preçodiario[[#This Row],[entrada AV]])</f>
        <v>0</v>
      </c>
      <c r="AG12" s="22">
        <f>SUMIFS(estoque[quantidade],estoque[fornecedor],"&lt;&gt;saída",estoque[produto],preçodiario[[#Headers],[OVO VERMELHO A]],estoque[data],preçodiario[[#This Row],[data]])</f>
        <v>0</v>
      </c>
      <c r="AH12" s="20">
        <f>SUMIFS(estoque[valor total],estoque[fornecedor],"&lt;&gt;saída",estoque[produto],preçodiario[[#Headers],[OVO VERMELHO A]],estoque[data],preçodiario[[#This Row],[data]])</f>
        <v>0</v>
      </c>
      <c r="AI12" s="20">
        <f>IFERROR(preçodiario[[#This Row],[OVO VERMELHO A]]*preçodiario[[#This Row],[estoque AV]],0)</f>
        <v>0</v>
      </c>
      <c r="AJ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Row],[data]])),((AJ11*AK11)+SUMIFS(estoque[valor total],estoque[produto],preçodiario[[#Headers],[OVO VERMELHO B]],estoque[data],preçodiario[[#This Row],[data]],estoque[fornecedor],"&lt;&gt;saída"))/(AK11+(SUMIFS(estoque[quantidade],estoque[produto],preçodiario[[#Headers],[OVO VERMELHO B]],estoque[fornecedor],"&lt;&gt;saída",estoque[data],preçodiario[[#This Row],[data]])))))</f>
        <v/>
      </c>
      <c r="AK12" s="22">
        <f>IF(preçodiario[[#This Row],[entrada BV]]=0,AK11-(SUMIFS(estoque[quantidade],estoque[fornecedor],"saída",estoque[produto],preçodiario[[#Headers],[OVO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Row],[data]]))+AK11+preçodiario[[#This Row],[entrada BV]])</f>
        <v>0</v>
      </c>
      <c r="AL12" s="22">
        <f>SUMIFS(estoque[quantidade],estoque[fornecedor],"&lt;&gt;saída",estoque[produto],preçodiario[[#Headers],[OVO VERMELHO B]],estoque[data],preçodiario[[#This Row],[data]])</f>
        <v>0</v>
      </c>
      <c r="AM12" s="20">
        <f>SUMIFS(estoque[valor total],estoque[fornecedor],"&lt;&gt;saída",estoque[produto],preçodiario[[#Headers],[OVO VERMELHO B]],estoque[data],preçodiario[[#This Row],[data]])</f>
        <v>0</v>
      </c>
      <c r="AN12" s="20">
        <f>IFERROR(preçodiario[[#This Row],[OVO VERMELHO B]]*preçodiario[[#This Row],[estoque BV]],0)</f>
        <v>0</v>
      </c>
      <c r="AO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Row],[data]])),((AO11*AP11)+SUMIFS(estoque[valor total],estoque[produto],preçodiario[[#Headers],[OVO VERMELHO C]],estoque[data],preçodiario[[#This Row],[data]],estoque[fornecedor],"&lt;&gt;saída"))/(AP11+(SUMIFS(estoque[quantidade],estoque[produto],preçodiario[[#Headers],[OVO VERMELHO C]],estoque[fornecedor],"&lt;&gt;saída",estoque[data],preçodiario[[#This Row],[data]])))))</f>
        <v/>
      </c>
      <c r="AP12" s="22">
        <f>IF(preçodiario[[#This Row],[entrada CV]]=0,AP11-(SUMIFS(estoque[quantidade],estoque[fornecedor],"saída",estoque[produto],preçodiario[[#Headers],[OVO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Row],[data]]))+AP11+preçodiario[[#This Row],[entrada CV]])</f>
        <v>0</v>
      </c>
      <c r="AQ12" s="22">
        <f>SUMIFS(estoque[quantidade],estoque[fornecedor],"&lt;&gt;saída",estoque[produto],preçodiario[[#Headers],[OVO VERMELHO C]],estoque[data],preçodiario[[#This Row],[data]])</f>
        <v>0</v>
      </c>
      <c r="AR12" s="20">
        <f>SUMIFS(estoque[valor total],estoque[fornecedor],"&lt;&gt;saída",estoque[produto],preçodiario[[#Headers],[OVO VERMELHO C]],estoque[data],preçodiario[[#This Row],[data]])</f>
        <v>0</v>
      </c>
      <c r="AS12" s="20">
        <f>IFERROR(preçodiario[[#This Row],[OVO VERMELHO C]]*preçodiario[[#This Row],[estoque CV]],0)</f>
        <v>0</v>
      </c>
      <c r="AT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Row],[data]])),((AT11*AU11)+SUMIFS(estoque[valor total],estoque[produto],preçodiario[[#Headers],[OVO VERMELHO EXTRA]],estoque[data],preçodiario[[#This Row],[data]],estoque[fornecedor],"&lt;&gt;saída"))/(AU11+(SUMIFS(estoque[quantidade],estoque[produto],preçodiario[[#Headers],[OVO VERMELHO EXTRA]],estoque[fornecedor],"&lt;&gt;saída",estoque[data],preçodiario[[#This Row],[data]])))))</f>
        <v/>
      </c>
      <c r="AU12" s="22">
        <f>IF(preçodiario[[#This Row],[entrada EV]]=0,AU11-(SUMIFS(estoque[quantidade],estoque[fornecedor],"saída",estoque[produto],preçodiario[[#Headers],[OVO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Row],[data]]))+AU11+preçodiario[[#This Row],[entrada EV]])</f>
        <v>0</v>
      </c>
      <c r="AV12" s="22">
        <f>SUMIFS(estoque[quantidade],estoque[fornecedor],"&lt;&gt;saída",estoque[produto],preçodiario[[#Headers],[OVO VERMELHO EXTRA]],estoque[data],preçodiario[[#This Row],[data]])</f>
        <v>0</v>
      </c>
      <c r="AW12" s="20">
        <f>SUMIFS(estoque[valor total],estoque[fornecedor],"&lt;&gt;saída",estoque[produto],preçodiario[[#Headers],[OVO VERMELHO EXTRA]],estoque[data],preçodiario[[#This Row],[data]])</f>
        <v>0</v>
      </c>
      <c r="AX12" s="20">
        <f>IFERROR(preçodiario[[#This Row],[OVO VERMELHO EXTRA]]*preçodiario[[#This Row],[estoque EV]],0)</f>
        <v>0</v>
      </c>
      <c r="AY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Row],[data]])),((AY11*AZ11)+SUMIFS(estoque[valor total],estoque[produto],preçodiario[[#Headers],[OVO VERMELHO JUMBO]],estoque[data],preçodiario[[#This Row],[data]],estoque[fornecedor],"&lt;&gt;saída"))/(AZ11+(SUMIFS(estoque[quantidade],estoque[produto],preçodiario[[#Headers],[OVO VERMELHO JUMBO]],estoque[fornecedor],"&lt;&gt;saída",estoque[data],preçodiario[[#This Row],[data]])))))</f>
        <v/>
      </c>
      <c r="AZ12" s="22">
        <f>IF(preçodiario[[#This Row],[entrada JV]]=0,AZ11-(SUMIFS(estoque[quantidade],estoque[fornecedor],"saída",estoque[produto],preçodiario[[#Headers],[OVO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Row],[data]]))+AZ11+preçodiario[[#This Row],[entrada JV]])</f>
        <v>0</v>
      </c>
      <c r="BA12" s="22">
        <f>SUMIFS(estoque[quantidade],estoque[fornecedor],"&lt;&gt;saída",estoque[produto],preçodiario[[#Headers],[OVO VERMELHO JUMBO]],estoque[data],preçodiario[[#This Row],[data]])</f>
        <v>0</v>
      </c>
      <c r="BB12" s="20">
        <f>SUMIFS(estoque[valor total],estoque[fornecedor],"&lt;&gt;saída",estoque[produto],preçodiario[[#Headers],[OVO VERMELHO JUMBO]],estoque[data],preçodiario[[#This Row],[data]])</f>
        <v>0</v>
      </c>
      <c r="BC12" s="20">
        <f>IFERROR(preçodiario[[#This Row],[OVO VERMELHO JUMBO]]*preçodiario[[#This Row],[estoque JV]],0)</f>
        <v>0</v>
      </c>
      <c r="BD12" t="str">
        <f>TEXT(vendaAno[[#This Row],[data]],"mmm")</f>
        <v>jan</v>
      </c>
      <c r="BE12" t="str">
        <f>TEXT(vendaAno[[#This Row],[data]],"ddd")</f>
        <v>dom</v>
      </c>
      <c r="BF12" s="82">
        <f>WEEKNUM(vendaAno[[#This Row],[data]],13)</f>
        <v>2</v>
      </c>
      <c r="BG12" s="27">
        <f>preçodiario[[#This Row],[data]]</f>
        <v>46033</v>
      </c>
      <c r="BH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" s="8">
        <f>IF(SUMIFS(estoque[valor total],estoque[fornecedor],"saída",estoque[data],vendaAno[[#This Row],[data]])=0,"",SUMIFS(estoque[valor total],estoque[fornecedor],"saída",estoque[data],vendaAno[[#This Row],[data]]))</f>
        <v>249</v>
      </c>
      <c r="BJ1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Row],[data]]))/12+BJ11,"")</f>
        <v>44.999999999999986</v>
      </c>
      <c r="BK12" s="79">
        <f>IF(SUMIFS(estoque[quantidade],estoque[fornecedor],"saída",estoque[data],vendaAno[[#This Row],[data]])/12=0,"",SUMIFS(estoque[quantidade],estoque[fornecedor],"saída",estoque[data],vendaAno[[#This Row],[data]])/12)</f>
        <v>1.0833333333333333</v>
      </c>
      <c r="BL12" s="8">
        <f ca="1">IF(vendaAno[[#This Row],[data]]&lt;=TODAY(),IF(SUMIFS(estoque[lucro],estoque[fornecedor],"saída",estoque[data],vendaAno[[#This Row],[data]])=0,AVERAGE(BL9:BL11),SUMIFS(estoque[lucro],estoque[fornecedor],"saída",estoque[data],vendaAno[[#This Row],[data]])),"")</f>
        <v>50.12</v>
      </c>
      <c r="BM12" s="10">
        <f ca="1">IFERROR(vendaAno[[#This Row],[lucro]]/vendaAno[[#This Row],[valor de venda]],"")</f>
        <v>0.201285140562249</v>
      </c>
      <c r="BN1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8254.0283526069052</v>
      </c>
      <c r="BO12" s="8">
        <f ca="1">IF(TODAY()&gt;=vendaAno[[#This Row],[data]],IF(vendaAno[[#This Row],[N°]]=BF11,vendaAno[[#This Row],[lucro]]-173.33+BO11,vendaAno[[#This Row],[lucro]]-150),"")</f>
        <v>-247.91454435034564</v>
      </c>
      <c r="BP12" s="81">
        <f ca="1">IF(TODAY()&gt;=vendaAno[[#This Row],[data]],SUM(BK6:BK12)*12,"")</f>
        <v>304</v>
      </c>
      <c r="BQ12" s="7">
        <f ca="1">IFERROR(vendaAno[[#This Row],[lucro]]/(vendaAno[[#This Row],[venda]]*12),"")</f>
        <v>3.8553846153846152</v>
      </c>
      <c r="BT12" s="95">
        <f ca="1">WEEKNUM(PvPcML[[#This Row],[data]],13)</f>
        <v>29</v>
      </c>
      <c r="BU12" s="132">
        <f t="shared" ca="1" si="0"/>
        <v>46223</v>
      </c>
      <c r="BV12" s="7">
        <f ca="1">IFERROR(SUMIFS(vendaAno[valor de venda],vendaAno[data],PvPcML[[#This Row],[data]])/(SUMIFS(vendaAno[venda],vendaAno[data],PvPcML[[#This Row],[data]])*12),"")</f>
        <v>19.16</v>
      </c>
      <c r="BW12" s="7">
        <f ca="1">IFERROR(SUMIFS(vendaAno[valor de venda],vendaAno[data],PvPcML[[#This Row],[data]])/(SUMIFS(vendaAno[venda],vendaAno[data],PvPcML[[#This Row],[data]])*12)-PvPcML[[#This Row],[lucro médio]],"")</f>
        <v>15.4152</v>
      </c>
      <c r="BX12" s="7">
        <f ca="1">IF(SUMIFS(vendaAno[[lucro médio ]],vendaAno[data],PvPcML[[#This Row],[data]])=0,"",SUMIFS(vendaAno[[lucro médio ]],vendaAno[data],PvPcML[[#This Row],[data]]))</f>
        <v>3.7448000000000001</v>
      </c>
      <c r="BY12" s="90">
        <v>11</v>
      </c>
      <c r="BZ12" s="89">
        <f t="shared" si="1"/>
        <v>46093</v>
      </c>
      <c r="CA12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14.250000000000004</v>
      </c>
      <c r="CB1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7.333333333333333</v>
      </c>
      <c r="CC12" s="7">
        <f ca="1">IFERROR(SUMIFS(vendaAno[lucro],vendaAno[data],"&gt;="&amp;semanal[[#This Row],[semana]],vendaAno[data],"&lt;="&amp;semanal[[#This Row],[semana]]+6)/((semanal[[#This Row],[varejo]]+semanal[[#This Row],[atacado]])*12),"")</f>
        <v>2.5985714285714283</v>
      </c>
      <c r="CD12" s="82">
        <f ca="1">IFERROR(AVERAGEIFS(vendaAno[venda],vendaAno[data],"&gt;="&amp;semanal[[#This Row],[semana]],vendaAno[data],"&lt;="&amp;semanal[[#This Row],[semana]]+6),"")</f>
        <v>3.0833333333333335</v>
      </c>
      <c r="CE12" s="82">
        <f ca="1">IFERROR((150/semanal[[#This Row],[lucro médio por cartela]])/12,"")</f>
        <v>4.8103353490929086</v>
      </c>
    </row>
    <row r="13" spans="1:83" x14ac:dyDescent="0.25">
      <c r="A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15.495662113186507</v>
      </c>
      <c r="B13" s="18" t="str">
        <f>TEXT(preçodiario[[#This Row],[data]],"MMM")</f>
        <v>jan</v>
      </c>
      <c r="C13" s="18" t="str">
        <f>TEXT(preçodiario[[#This Row],[data]],"ddd")</f>
        <v>seg</v>
      </c>
      <c r="D13" s="96">
        <f>WEEKNUM(preçodiario[[#This Row],[data]],13)</f>
        <v>2</v>
      </c>
      <c r="E13" s="37">
        <v>46034</v>
      </c>
      <c r="F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Row],[data]])),((F12*G12)+SUMIFS(estoque[valor total],estoque[produto],preçodiario[[#Headers],[OVO BRANCO A]],estoque[data],preçodiario[[#This Row],[data]],estoque[fornecedor],"&lt;&gt;saída"))/(G12+(SUMIFS(estoque[quantidade],estoque[produto],preçodiario[[#Headers],[OVO BRANCO A]],estoque[fornecedor],"&lt;&gt;saída",estoque[data],preçodiario[[#This Row],[data]])))))</f>
        <v>15.495662113186507</v>
      </c>
      <c r="G13" s="22">
        <f>IF(preçodiario[[#This Row],[entrada A]]=0,G12-(SUMIFS(estoque[quantidade],estoque[fornecedor],"saída",estoque[produto],preçodiario[[#Headers],[OVO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Row],[data]]))+G12+preçodiario[[#This Row],[entrada A]])</f>
        <v>162</v>
      </c>
      <c r="H13" s="22">
        <f>SUMIFS(estoque[quantidade],estoque[fornecedor],"&lt;&gt;saída",estoque[produto],preçodiario[[#Headers],[OVO BRANCO A]],estoque[data],preçodiario[[#This Row],[data]])</f>
        <v>0</v>
      </c>
      <c r="I13" s="20">
        <f>SUMIFS(estoque[valor total],estoque[fornecedor],"&lt;&gt;saída",estoque[produto],preçodiario[[#Headers],[OVO BRANCO A]],estoque[data],preçodiario[[#This Row],[data]])</f>
        <v>0</v>
      </c>
      <c r="J13" s="20">
        <f>IFERROR(preçodiario[[#This Row],[estoque A]]*preçodiario[[#This Row],[OVO BRANCO A]],0)</f>
        <v>2510.2972623362139</v>
      </c>
      <c r="K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Row],[data]])),((K12*L12)+SUMIFS(estoque[valor total],estoque[produto],preçodiario[[#Headers],[OVO BRANCO B]],estoque[data],preçodiario[[#This Row],[data]],estoque[fornecedor],"&lt;&gt;saída"))/(L12+(SUMIFS(estoque[quantidade],estoque[produto],preçodiario[[#Headers],[OVO BRANCO B]],estoque[fornecedor],"&lt;&gt;saída",estoque[data],preçodiario[[#This Row],[data]])))))</f>
        <v>14.967973974399888</v>
      </c>
      <c r="L13" s="22">
        <f>IF(preçodiario[[#This Row],[entrada B]]=0,L12-(SUMIFS(estoque[quantidade],estoque[fornecedor],"saída",estoque[produto],preçodiario[[#Headers],[OVO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Row],[data]]))+L12+preçodiario[[#This Row],[entrada B]])</f>
        <v>149</v>
      </c>
      <c r="M13" s="22">
        <f>SUMIFS(estoque[quantidade],estoque[fornecedor],"&lt;&gt;saída",estoque[produto],preçodiario[[#Headers],[OVO BRANCO B]],estoque[data],preçodiario[[#This Row],[data]])</f>
        <v>0</v>
      </c>
      <c r="N13" s="20">
        <f>SUMIFS(estoque[valor total],estoque[fornecedor],"&lt;&gt;saída",estoque[produto],preçodiario[[#Headers],[OVO BRANCO B]],estoque[data],preçodiario[[#This Row],[data]])</f>
        <v>0</v>
      </c>
      <c r="O13" s="20">
        <f>IFERROR(preçodiario[[#This Row],[OVO BRANCO B]]*preçodiario[[#This Row],[estoque B]],0)</f>
        <v>2230.2281221855833</v>
      </c>
      <c r="P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Row],[data]])),((P12*Q12)+SUMIFS(estoque[valor total],estoque[produto],preçodiario[[#Headers],[OVO BRANCO C]],estoque[data],preçodiario[[#This Row],[data]],estoque[fornecedor],"&lt;&gt;saída"))/(Q12+(SUMIFS(estoque[quantidade],estoque[produto],preçodiario[[#Headers],[OVO BRANCO C]],estoque[fornecedor],"&lt;&gt;saída",estoque[data],preçodiario[[#This Row],[data]])))))</f>
        <v>13.874671916010502</v>
      </c>
      <c r="Q13" s="22">
        <f>IF(preçodiario[[#This Row],[entrada C]]=0,Q12-(SUMIFS(estoque[quantidade],estoque[fornecedor],"saída",estoque[produto],preçodiario[[#Headers],[OVO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Row],[data]]))+Q12+preçodiario[[#This Row],[entrada C]])</f>
        <v>85</v>
      </c>
      <c r="R13" s="22">
        <f>SUMIFS(estoque[quantidade],estoque[fornecedor],"&lt;&gt;saída",estoque[produto],preçodiario[[#Headers],[OVO BRANCO C]],estoque[data],preçodiario[[#This Row],[data]])</f>
        <v>0</v>
      </c>
      <c r="S13" s="20">
        <f>SUMIFS(estoque[valor total],estoque[fornecedor],"&lt;&gt;saída",estoque[produto],preçodiario[[#Headers],[OVO BRANCO C]],estoque[data],preçodiario[[#This Row],[data]])</f>
        <v>0</v>
      </c>
      <c r="T13" s="20">
        <f>IFERROR(preçodiario[[#This Row],[OVO BRANCO C]]*preçodiario[[#This Row],[estoque C]],0)</f>
        <v>1179.3471128608926</v>
      </c>
      <c r="U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Row],[data]])),((U12*V12)+SUMIFS(estoque[valor total],estoque[produto],preçodiario[[#Headers],[OVO BRANCO EXTRA]],estoque[data],preçodiario[[#This Row],[data]],estoque[fornecedor],"&lt;&gt;saída"))/(V12+(SUMIFS(estoque[quantidade],estoque[produto],preçodiario[[#Headers],[OVO BRANCO EXTRA]],estoque[fornecedor],"&lt;&gt;saída",estoque[data],preçodiario[[#This Row],[data]])))))</f>
        <v>16.378445038705138</v>
      </c>
      <c r="V13" s="22">
        <f>IF(preçodiario[[#This Row],[entrada E]]=0,V12-(SUMIFS(estoque[quantidade],estoque[fornecedor],"saída",estoque[produto],preçodiario[[#Headers],[OVO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Row],[data]]))+V12+preçodiario[[#This Row],[entrada E]])</f>
        <v>104</v>
      </c>
      <c r="W13" s="22">
        <f>SUMIFS(estoque[quantidade],estoque[fornecedor],"&lt;&gt;saída",estoque[produto],preçodiario[[#Headers],[OVO BRANCO EXTRA]],estoque[data],preçodiario[[#This Row],[data]])</f>
        <v>0</v>
      </c>
      <c r="X13" s="20">
        <f>SUMIFS(estoque[valor total],estoque[fornecedor],"&lt;&gt;saída",estoque[produto],preçodiario[[#Headers],[OVO BRANCO EXTRA]],estoque[data],preçodiario[[#This Row],[data]])</f>
        <v>0</v>
      </c>
      <c r="Y13" s="20">
        <f>IFERROR(preçodiario[[#This Row],[estoque E]]*preçodiario[[#This Row],[OVO BRANCO EXTRA]],0)</f>
        <v>1703.3582840253343</v>
      </c>
      <c r="Z1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Row],[data]])),((Z12*AA12)+SUMIFS(estoque[valor total],estoque[produto],preçodiario[[#Headers],[OVO BRANCO JUMBO]],estoque[data],preçodiario[[#This Row],[data]],estoque[fornecedor],"&lt;&gt;saída"))/(AA12+(SUMIFS(estoque[quantidade],estoque[produto],preçodiario[[#Headers],[OVO BRANCO JUMBO]],estoque[fornecedor],"&lt;&gt;saída",estoque[data],preçodiario[[#This Row],[data]])))))</f>
        <v/>
      </c>
      <c r="AA13" s="22">
        <f>IF(preçodiario[[#This Row],[entrada J]]=0,AA12-(SUMIFS(estoque[quantidade],estoque[fornecedor],"saída",estoque[produto],preçodiario[[#Headers],[OVO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Row],[data]]))+AA12+preçodiario[[#This Row],[entrada J]])</f>
        <v>0</v>
      </c>
      <c r="AB13" s="22">
        <f>SUMIFS(estoque[quantidade],estoque[fornecedor],"&lt;&gt;saída",estoque[produto],preçodiario[[#Headers],[OVO BRANCO JUMBO]],estoque[data],preçodiario[[#This Row],[data]])</f>
        <v>0</v>
      </c>
      <c r="AC13" s="20">
        <f>SUMIFS(estoque[valor total],estoque[fornecedor],"&lt;&gt;saída",estoque[produto],preçodiario[[#Headers],[OVO BRANCO JUMBO]],estoque[data],preçodiario[[#This Row],[data]])</f>
        <v>0</v>
      </c>
      <c r="AD13" s="20">
        <f>IFERROR(preçodiario[[#This Row],[OVO BRANCO JUMBO]]*preçodiario[[#This Row],[estoque J]],0)</f>
        <v>0</v>
      </c>
      <c r="AE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Row],[data]])),((AE12*AF12)+SUMIFS(estoque[valor total],estoque[produto],preçodiario[[#Headers],[OVO VERMELHO A]],estoque[data],preçodiario[[#This Row],[data]],estoque[fornecedor],"&lt;&gt;saída"))/(AF12+(SUMIFS(estoque[quantidade],estoque[produto],preçodiario[[#Headers],[OVO VERMELHO A]],estoque[fornecedor],"&lt;&gt;saída",estoque[data],preçodiario[[#This Row],[data]])))))</f>
        <v/>
      </c>
      <c r="AF13" s="22">
        <f>IF(preçodiario[[#This Row],[entrada AV]]=0,AF12-(SUMIFS(estoque[quantidade],estoque[fornecedor],"saída",estoque[produto],preçodiario[[#Headers],[OVO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Row],[data]]))+AF12+preçodiario[[#This Row],[entrada AV]])</f>
        <v>0</v>
      </c>
      <c r="AG13" s="22">
        <f>SUMIFS(estoque[quantidade],estoque[fornecedor],"&lt;&gt;saída",estoque[produto],preçodiario[[#Headers],[OVO VERMELHO A]],estoque[data],preçodiario[[#This Row],[data]])</f>
        <v>0</v>
      </c>
      <c r="AH13" s="20">
        <f>SUMIFS(estoque[valor total],estoque[fornecedor],"&lt;&gt;saída",estoque[produto],preçodiario[[#Headers],[OVO VERMELHO A]],estoque[data],preçodiario[[#This Row],[data]])</f>
        <v>0</v>
      </c>
      <c r="AI13" s="20">
        <f>IFERROR(preçodiario[[#This Row],[OVO VERMELHO A]]*preçodiario[[#This Row],[estoque AV]],0)</f>
        <v>0</v>
      </c>
      <c r="AJ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Row],[data]])),((AJ12*AK12)+SUMIFS(estoque[valor total],estoque[produto],preçodiario[[#Headers],[OVO VERMELHO B]],estoque[data],preçodiario[[#This Row],[data]],estoque[fornecedor],"&lt;&gt;saída"))/(AK12+(SUMIFS(estoque[quantidade],estoque[produto],preçodiario[[#Headers],[OVO VERMELHO B]],estoque[fornecedor],"&lt;&gt;saída",estoque[data],preçodiario[[#This Row],[data]])))))</f>
        <v/>
      </c>
      <c r="AK13" s="22">
        <f>IF(preçodiario[[#This Row],[entrada BV]]=0,AK12-(SUMIFS(estoque[quantidade],estoque[fornecedor],"saída",estoque[produto],preçodiario[[#Headers],[OVO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Row],[data]]))+AK12+preçodiario[[#This Row],[entrada BV]])</f>
        <v>0</v>
      </c>
      <c r="AL13" s="22">
        <f>SUMIFS(estoque[quantidade],estoque[fornecedor],"&lt;&gt;saída",estoque[produto],preçodiario[[#Headers],[OVO VERMELHO B]],estoque[data],preçodiario[[#This Row],[data]])</f>
        <v>0</v>
      </c>
      <c r="AM13" s="20">
        <f>SUMIFS(estoque[valor total],estoque[fornecedor],"&lt;&gt;saída",estoque[produto],preçodiario[[#Headers],[OVO VERMELHO B]],estoque[data],preçodiario[[#This Row],[data]])</f>
        <v>0</v>
      </c>
      <c r="AN13" s="20">
        <f>IFERROR(preçodiario[[#This Row],[OVO VERMELHO B]]*preçodiario[[#This Row],[estoque BV]],0)</f>
        <v>0</v>
      </c>
      <c r="AO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Row],[data]])),((AO12*AP12)+SUMIFS(estoque[valor total],estoque[produto],preçodiario[[#Headers],[OVO VERMELHO C]],estoque[data],preçodiario[[#This Row],[data]],estoque[fornecedor],"&lt;&gt;saída"))/(AP12+(SUMIFS(estoque[quantidade],estoque[produto],preçodiario[[#Headers],[OVO VERMELHO C]],estoque[fornecedor],"&lt;&gt;saída",estoque[data],preçodiario[[#This Row],[data]])))))</f>
        <v/>
      </c>
      <c r="AP13" s="22">
        <f>IF(preçodiario[[#This Row],[entrada CV]]=0,AP12-(SUMIFS(estoque[quantidade],estoque[fornecedor],"saída",estoque[produto],preçodiario[[#Headers],[OVO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Row],[data]]))+AP12+preçodiario[[#This Row],[entrada CV]])</f>
        <v>0</v>
      </c>
      <c r="AQ13" s="22">
        <f>SUMIFS(estoque[quantidade],estoque[fornecedor],"&lt;&gt;saída",estoque[produto],preçodiario[[#Headers],[OVO VERMELHO C]],estoque[data],preçodiario[[#This Row],[data]])</f>
        <v>0</v>
      </c>
      <c r="AR13" s="20">
        <f>SUMIFS(estoque[valor total],estoque[fornecedor],"&lt;&gt;saída",estoque[produto],preçodiario[[#Headers],[OVO VERMELHO C]],estoque[data],preçodiario[[#This Row],[data]])</f>
        <v>0</v>
      </c>
      <c r="AS13" s="20">
        <f>IFERROR(preçodiario[[#This Row],[OVO VERMELHO C]]*preçodiario[[#This Row],[estoque CV]],0)</f>
        <v>0</v>
      </c>
      <c r="AT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Row],[data]])),((AT12*AU12)+SUMIFS(estoque[valor total],estoque[produto],preçodiario[[#Headers],[OVO VERMELHO EXTRA]],estoque[data],preçodiario[[#This Row],[data]],estoque[fornecedor],"&lt;&gt;saída"))/(AU12+(SUMIFS(estoque[quantidade],estoque[produto],preçodiario[[#Headers],[OVO VERMELHO EXTRA]],estoque[fornecedor],"&lt;&gt;saída",estoque[data],preçodiario[[#This Row],[data]])))))</f>
        <v/>
      </c>
      <c r="AU13" s="22">
        <f>IF(preçodiario[[#This Row],[entrada EV]]=0,AU12-(SUMIFS(estoque[quantidade],estoque[fornecedor],"saída",estoque[produto],preçodiario[[#Headers],[OVO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Row],[data]]))+AU12+preçodiario[[#This Row],[entrada EV]])</f>
        <v>0</v>
      </c>
      <c r="AV13" s="22">
        <f>SUMIFS(estoque[quantidade],estoque[fornecedor],"&lt;&gt;saída",estoque[produto],preçodiario[[#Headers],[OVO VERMELHO EXTRA]],estoque[data],preçodiario[[#This Row],[data]])</f>
        <v>0</v>
      </c>
      <c r="AW13" s="20">
        <f>SUMIFS(estoque[valor total],estoque[fornecedor],"&lt;&gt;saída",estoque[produto],preçodiario[[#Headers],[OVO VERMELHO EXTRA]],estoque[data],preçodiario[[#This Row],[data]])</f>
        <v>0</v>
      </c>
      <c r="AX13" s="20">
        <f>IFERROR(preçodiario[[#This Row],[OVO VERMELHO EXTRA]]*preçodiario[[#This Row],[estoque EV]],0)</f>
        <v>0</v>
      </c>
      <c r="AY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Row],[data]])),((AY12*AZ12)+SUMIFS(estoque[valor total],estoque[produto],preçodiario[[#Headers],[OVO VERMELHO JUMBO]],estoque[data],preçodiario[[#This Row],[data]],estoque[fornecedor],"&lt;&gt;saída"))/(AZ12+(SUMIFS(estoque[quantidade],estoque[produto],preçodiario[[#Headers],[OVO VERMELHO JUMBO]],estoque[fornecedor],"&lt;&gt;saída",estoque[data],preçodiario[[#This Row],[data]])))))</f>
        <v/>
      </c>
      <c r="AZ13" s="22">
        <f>IF(preçodiario[[#This Row],[entrada JV]]=0,AZ12-(SUMIFS(estoque[quantidade],estoque[fornecedor],"saída",estoque[produto],preçodiario[[#Headers],[OVO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Row],[data]]))+AZ12+preçodiario[[#This Row],[entrada JV]])</f>
        <v>0</v>
      </c>
      <c r="BA13" s="22">
        <f>SUMIFS(estoque[quantidade],estoque[fornecedor],"&lt;&gt;saída",estoque[produto],preçodiario[[#Headers],[OVO VERMELHO JUMBO]],estoque[data],preçodiario[[#This Row],[data]])</f>
        <v>0</v>
      </c>
      <c r="BB13" s="20">
        <f>SUMIFS(estoque[valor total],estoque[fornecedor],"&lt;&gt;saída",estoque[produto],preçodiario[[#Headers],[OVO VERMELHO JUMBO]],estoque[data],preçodiario[[#This Row],[data]])</f>
        <v>0</v>
      </c>
      <c r="BC13" s="20">
        <f>IFERROR(preçodiario[[#This Row],[OVO VERMELHO JUMBO]]*preçodiario[[#This Row],[estoque JV]],0)</f>
        <v>0</v>
      </c>
      <c r="BD13" t="str">
        <f>TEXT(vendaAno[[#This Row],[data]],"mmm")</f>
        <v>jan</v>
      </c>
      <c r="BE13" t="str">
        <f>TEXT(vendaAno[[#This Row],[data]],"ddd")</f>
        <v>seg</v>
      </c>
      <c r="BF13" s="82">
        <f>WEEKNUM(vendaAno[[#This Row],[data]],13)</f>
        <v>2</v>
      </c>
      <c r="BG13" s="27">
        <f>preçodiario[[#This Row],[data]]</f>
        <v>46034</v>
      </c>
      <c r="BH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" s="8">
        <f>IF(SUMIFS(estoque[valor total],estoque[fornecedor],"saída",estoque[data],vendaAno[[#This Row],[data]])=0,"",SUMIFS(estoque[valor total],estoque[fornecedor],"saída",estoque[data],vendaAno[[#This Row],[data]]))</f>
        <v>800</v>
      </c>
      <c r="BJ1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Row],[data]]))/12+BJ12,"")</f>
        <v>41.66666666666665</v>
      </c>
      <c r="BK13" s="79">
        <f>IF(SUMIFS(estoque[quantidade],estoque[fornecedor],"saída",estoque[data],vendaAno[[#This Row],[data]])/12=0,"",SUMIFS(estoque[quantidade],estoque[fornecedor],"saída",estoque[data],vendaAno[[#This Row],[data]])/12)</f>
        <v>3.3333333333333335</v>
      </c>
      <c r="BL13" s="8">
        <f ca="1">IF(vendaAno[[#This Row],[data]]&lt;=TODAY(),IF(SUMIFS(estoque[lucro],estoque[fornecedor],"saída",estoque[data],vendaAno[[#This Row],[data]])=0,AVERAGE(BL10:BL12),SUMIFS(estoque[lucro],estoque[fornecedor],"saída",estoque[data],vendaAno[[#This Row],[data]])),"")</f>
        <v>169.2</v>
      </c>
      <c r="BM13" s="10">
        <f ca="1">IFERROR(vendaAno[[#This Row],[lucro]]/vendaAno[[#This Row],[valor de venda]],"")</f>
        <v>0.21149999999999999</v>
      </c>
      <c r="BN1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7623.2307814080241</v>
      </c>
      <c r="BO13" s="8">
        <f ca="1">IF(TODAY()&gt;=vendaAno[[#This Row],[data]],IF(vendaAno[[#This Row],[N°]]=BF12,vendaAno[[#This Row],[lucro]]-173.33+BO12,vendaAno[[#This Row],[lucro]]-150),"")</f>
        <v>-252.04454435034566</v>
      </c>
      <c r="BP13" s="81">
        <f ca="1">IF(TODAY()&gt;=vendaAno[[#This Row],[data]],SUM(BK7:BK13)*12,"")</f>
        <v>266.99999999999994</v>
      </c>
      <c r="BQ13" s="7">
        <f ca="1">IFERROR(vendaAno[[#This Row],[lucro]]/(vendaAno[[#This Row],[venda]]*12),"")</f>
        <v>4.2299999999999995</v>
      </c>
      <c r="BT13" s="95">
        <f ca="1">WEEKNUM(PvPcML[[#This Row],[data]],13)</f>
        <v>29</v>
      </c>
      <c r="BU13" s="132">
        <f t="shared" ca="1" si="0"/>
        <v>46222</v>
      </c>
      <c r="BV13" s="7">
        <f ca="1">IFERROR(SUMIFS(vendaAno[valor de venda],vendaAno[data],PvPcML[[#This Row],[data]])/(SUMIFS(vendaAno[venda],vendaAno[data],PvPcML[[#This Row],[data]])*12),"")</f>
        <v>20.8125</v>
      </c>
      <c r="BW13" s="7">
        <f ca="1">IFERROR(SUMIFS(vendaAno[valor de venda],vendaAno[data],PvPcML[[#This Row],[data]])/(SUMIFS(vendaAno[venda],vendaAno[data],PvPcML[[#This Row],[data]])*12)-PvPcML[[#This Row],[lucro médio]],"")</f>
        <v>15.645</v>
      </c>
      <c r="BX13" s="7">
        <f ca="1">IF(SUMIFS(vendaAno[[lucro médio ]],vendaAno[data],PvPcML[[#This Row],[data]])=0,"",SUMIFS(vendaAno[[lucro médio ]],vendaAno[data],PvPcML[[#This Row],[data]]))</f>
        <v>5.1675000000000004</v>
      </c>
      <c r="BY13" s="91">
        <v>12</v>
      </c>
      <c r="BZ13" s="89">
        <f t="shared" si="1"/>
        <v>46100</v>
      </c>
      <c r="CA13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21.666666666666668</v>
      </c>
      <c r="CB1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4.166666666666667</v>
      </c>
      <c r="CC13" s="7">
        <f ca="1">IFERROR(SUMIFS(vendaAno[lucro],vendaAno[data],"&gt;="&amp;semanal[[#This Row],[semana]],vendaAno[data],"&lt;="&amp;semanal[[#This Row],[semana]]+6)/((semanal[[#This Row],[varejo]]+semanal[[#This Row],[atacado]])*12),"")</f>
        <v>3.3852580645161283</v>
      </c>
      <c r="CD13" s="82">
        <f ca="1">IFERROR(AVERAGEIFS(vendaAno[venda],vendaAno[data],"&gt;="&amp;semanal[[#This Row],[semana]],vendaAno[data],"&lt;="&amp;semanal[[#This Row],[semana]]+6),"")</f>
        <v>3.6904761904761907</v>
      </c>
      <c r="CE13" s="82">
        <f ca="1">IFERROR((150/semanal[[#This Row],[lucro médio por cartela]])/12,"")</f>
        <v>3.6924806799881846</v>
      </c>
    </row>
    <row r="14" spans="1:83" x14ac:dyDescent="0.25">
      <c r="A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4" s="18" t="str">
        <f>TEXT(preçodiario[[#This Row],[data]],"MMM")</f>
        <v>jan</v>
      </c>
      <c r="C14" s="18" t="str">
        <f>TEXT(preçodiario[[#This Row],[data]],"ddd")</f>
        <v>ter</v>
      </c>
      <c r="D14" s="96">
        <f>WEEKNUM(preçodiario[[#This Row],[data]],13)</f>
        <v>2</v>
      </c>
      <c r="E14" s="37">
        <v>46035</v>
      </c>
      <c r="F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Row],[data]])),((F13*G13)+SUMIFS(estoque[valor total],estoque[produto],preçodiario[[#Headers],[OVO BRANCO A]],estoque[data],preçodiario[[#This Row],[data]],estoque[fornecedor],"&lt;&gt;saída"))/(G13+(SUMIFS(estoque[quantidade],estoque[produto],preçodiario[[#Headers],[OVO BRANCO A]],estoque[fornecedor],"&lt;&gt;saída",estoque[data],preçodiario[[#This Row],[data]])))))</f>
        <v>15.495662113186505</v>
      </c>
      <c r="G14" s="22">
        <f>IF(preçodiario[[#This Row],[entrada A]]=0,G13-(SUMIFS(estoque[quantidade],estoque[fornecedor],"saída",estoque[produto],preçodiario[[#Headers],[OVO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Row],[data]]))+G13+preçodiario[[#This Row],[entrada A]])</f>
        <v>157</v>
      </c>
      <c r="H14" s="22">
        <f>SUMIFS(estoque[quantidade],estoque[fornecedor],"&lt;&gt;saída",estoque[produto],preçodiario[[#Headers],[OVO BRANCO A]],estoque[data],preçodiario[[#This Row],[data]])</f>
        <v>0</v>
      </c>
      <c r="I14" s="20">
        <f>SUMIFS(estoque[valor total],estoque[fornecedor],"&lt;&gt;saída",estoque[produto],preçodiario[[#Headers],[OVO BRANCO A]],estoque[data],preçodiario[[#This Row],[data]])</f>
        <v>0</v>
      </c>
      <c r="J14" s="20">
        <f>IFERROR(preçodiario[[#This Row],[estoque A]]*preçodiario[[#This Row],[OVO BRANCO A]],0)</f>
        <v>2432.8189517702813</v>
      </c>
      <c r="K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Row],[data]])),((K13*L13)+SUMIFS(estoque[valor total],estoque[produto],preçodiario[[#Headers],[OVO BRANCO B]],estoque[data],preçodiario[[#This Row],[data]],estoque[fornecedor],"&lt;&gt;saída"))/(L13+(SUMIFS(estoque[quantidade],estoque[produto],preçodiario[[#Headers],[OVO BRANCO B]],estoque[fornecedor],"&lt;&gt;saída",estoque[data],preçodiario[[#This Row],[data]])))))</f>
        <v>14.967973974399888</v>
      </c>
      <c r="L14" s="22">
        <f>IF(preçodiario[[#This Row],[entrada B]]=0,L13-(SUMIFS(estoque[quantidade],estoque[fornecedor],"saída",estoque[produto],preçodiario[[#Headers],[OVO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Row],[data]]))+L13+preçodiario[[#This Row],[entrada B]])</f>
        <v>144</v>
      </c>
      <c r="M14" s="22">
        <f>SUMIFS(estoque[quantidade],estoque[fornecedor],"&lt;&gt;saída",estoque[produto],preçodiario[[#Headers],[OVO BRANCO B]],estoque[data],preçodiario[[#This Row],[data]])</f>
        <v>0</v>
      </c>
      <c r="N14" s="20">
        <f>SUMIFS(estoque[valor total],estoque[fornecedor],"&lt;&gt;saída",estoque[produto],preçodiario[[#Headers],[OVO BRANCO B]],estoque[data],preçodiario[[#This Row],[data]])</f>
        <v>0</v>
      </c>
      <c r="O14" s="20">
        <f>IFERROR(preçodiario[[#This Row],[OVO BRANCO B]]*preçodiario[[#This Row],[estoque B]],0)</f>
        <v>2155.388252313584</v>
      </c>
      <c r="P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Row],[data]])),((P13*Q13)+SUMIFS(estoque[valor total],estoque[produto],preçodiario[[#Headers],[OVO BRANCO C]],estoque[data],preçodiario[[#This Row],[data]],estoque[fornecedor],"&lt;&gt;saída"))/(Q13+(SUMIFS(estoque[quantidade],estoque[produto],preçodiario[[#Headers],[OVO BRANCO C]],estoque[fornecedor],"&lt;&gt;saída",estoque[data],preçodiario[[#This Row],[data]])))))</f>
        <v>13.874671916010501</v>
      </c>
      <c r="Q14" s="22">
        <f>IF(preçodiario[[#This Row],[entrada C]]=0,Q13-(SUMIFS(estoque[quantidade],estoque[fornecedor],"saída",estoque[produto],preçodiario[[#Headers],[OVO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Row],[data]]))+Q13+preçodiario[[#This Row],[entrada C]])</f>
        <v>82</v>
      </c>
      <c r="R14" s="22">
        <f>SUMIFS(estoque[quantidade],estoque[fornecedor],"&lt;&gt;saída",estoque[produto],preçodiario[[#Headers],[OVO BRANCO C]],estoque[data],preçodiario[[#This Row],[data]])</f>
        <v>0</v>
      </c>
      <c r="S14" s="20">
        <f>SUMIFS(estoque[valor total],estoque[fornecedor],"&lt;&gt;saída",estoque[produto],preçodiario[[#Headers],[OVO BRANCO C]],estoque[data],preçodiario[[#This Row],[data]])</f>
        <v>0</v>
      </c>
      <c r="T14" s="20">
        <f>IFERROR(preçodiario[[#This Row],[OVO BRANCO C]]*preçodiario[[#This Row],[estoque C]],0)</f>
        <v>1137.7230971128611</v>
      </c>
      <c r="U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Row],[data]])),((U13*V13)+SUMIFS(estoque[valor total],estoque[produto],preçodiario[[#Headers],[OVO BRANCO EXTRA]],estoque[data],preçodiario[[#This Row],[data]],estoque[fornecedor],"&lt;&gt;saída"))/(V13+(SUMIFS(estoque[quantidade],estoque[produto],preçodiario[[#Headers],[OVO BRANCO EXTRA]],estoque[fornecedor],"&lt;&gt;saída",estoque[data],preçodiario[[#This Row],[data]])))))</f>
        <v>16.378445038705138</v>
      </c>
      <c r="V14" s="22">
        <f>IF(preçodiario[[#This Row],[entrada E]]=0,V13-(SUMIFS(estoque[quantidade],estoque[fornecedor],"saída",estoque[produto],preçodiario[[#Headers],[OVO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Row],[data]]))+V13+preçodiario[[#This Row],[entrada E]])</f>
        <v>78</v>
      </c>
      <c r="W14" s="22">
        <f>SUMIFS(estoque[quantidade],estoque[fornecedor],"&lt;&gt;saída",estoque[produto],preçodiario[[#Headers],[OVO BRANCO EXTRA]],estoque[data],preçodiario[[#This Row],[data]])</f>
        <v>0</v>
      </c>
      <c r="X14" s="20">
        <f>SUMIFS(estoque[valor total],estoque[fornecedor],"&lt;&gt;saída",estoque[produto],preçodiario[[#Headers],[OVO BRANCO EXTRA]],estoque[data],preçodiario[[#This Row],[data]])</f>
        <v>0</v>
      </c>
      <c r="Y14" s="20">
        <f>IFERROR(preçodiario[[#This Row],[estoque E]]*preçodiario[[#This Row],[OVO BRANCO EXTRA]],0)</f>
        <v>1277.5187130190006</v>
      </c>
      <c r="Z1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Row],[data]])),((Z13*AA13)+SUMIFS(estoque[valor total],estoque[produto],preçodiario[[#Headers],[OVO BRANCO JUMBO]],estoque[data],preçodiario[[#This Row],[data]],estoque[fornecedor],"&lt;&gt;saída"))/(AA13+(SUMIFS(estoque[quantidade],estoque[produto],preçodiario[[#Headers],[OVO BRANCO JUMBO]],estoque[fornecedor],"&lt;&gt;saída",estoque[data],preçodiario[[#This Row],[data]])))))</f>
        <v/>
      </c>
      <c r="AA14" s="22">
        <f>IF(preçodiario[[#This Row],[entrada J]]=0,AA13-(SUMIFS(estoque[quantidade],estoque[fornecedor],"saída",estoque[produto],preçodiario[[#Headers],[OVO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Row],[data]]))+AA13+preçodiario[[#This Row],[entrada J]])</f>
        <v>0</v>
      </c>
      <c r="AB14" s="22">
        <f>SUMIFS(estoque[quantidade],estoque[fornecedor],"&lt;&gt;saída",estoque[produto],preçodiario[[#Headers],[OVO BRANCO JUMBO]],estoque[data],preçodiario[[#This Row],[data]])</f>
        <v>0</v>
      </c>
      <c r="AC14" s="20">
        <f>SUMIFS(estoque[valor total],estoque[fornecedor],"&lt;&gt;saída",estoque[produto],preçodiario[[#Headers],[OVO BRANCO JUMBO]],estoque[data],preçodiario[[#This Row],[data]])</f>
        <v>0</v>
      </c>
      <c r="AD14" s="20">
        <f>IFERROR(preçodiario[[#This Row],[OVO BRANCO JUMBO]]*preçodiario[[#This Row],[estoque J]],0)</f>
        <v>0</v>
      </c>
      <c r="AE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Row],[data]])),((AE13*AF13)+SUMIFS(estoque[valor total],estoque[produto],preçodiario[[#Headers],[OVO VERMELHO A]],estoque[data],preçodiario[[#This Row],[data]],estoque[fornecedor],"&lt;&gt;saída"))/(AF13+(SUMIFS(estoque[quantidade],estoque[produto],preçodiario[[#Headers],[OVO VERMELHO A]],estoque[fornecedor],"&lt;&gt;saída",estoque[data],preçodiario[[#This Row],[data]])))))</f>
        <v/>
      </c>
      <c r="AF14" s="22">
        <f>IF(preçodiario[[#This Row],[entrada AV]]=0,AF13-(SUMIFS(estoque[quantidade],estoque[fornecedor],"saída",estoque[produto],preçodiario[[#Headers],[OVO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Row],[data]]))+AF13+preçodiario[[#This Row],[entrada AV]])</f>
        <v>0</v>
      </c>
      <c r="AG14" s="22">
        <f>SUMIFS(estoque[quantidade],estoque[fornecedor],"&lt;&gt;saída",estoque[produto],preçodiario[[#Headers],[OVO VERMELHO A]],estoque[data],preçodiario[[#This Row],[data]])</f>
        <v>0</v>
      </c>
      <c r="AH14" s="20">
        <f>SUMIFS(estoque[valor total],estoque[fornecedor],"&lt;&gt;saída",estoque[produto],preçodiario[[#Headers],[OVO VERMELHO A]],estoque[data],preçodiario[[#This Row],[data]])</f>
        <v>0</v>
      </c>
      <c r="AI14" s="20">
        <f>IFERROR(preçodiario[[#This Row],[OVO VERMELHO A]]*preçodiario[[#This Row],[estoque AV]],0)</f>
        <v>0</v>
      </c>
      <c r="AJ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Row],[data]])),((AJ13*AK13)+SUMIFS(estoque[valor total],estoque[produto],preçodiario[[#Headers],[OVO VERMELHO B]],estoque[data],preçodiario[[#This Row],[data]],estoque[fornecedor],"&lt;&gt;saída"))/(AK13+(SUMIFS(estoque[quantidade],estoque[produto],preçodiario[[#Headers],[OVO VERMELHO B]],estoque[fornecedor],"&lt;&gt;saída",estoque[data],preçodiario[[#This Row],[data]])))))</f>
        <v/>
      </c>
      <c r="AK14" s="22">
        <f>IF(preçodiario[[#This Row],[entrada BV]]=0,AK13-(SUMIFS(estoque[quantidade],estoque[fornecedor],"saída",estoque[produto],preçodiario[[#Headers],[OVO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Row],[data]]))+AK13+preçodiario[[#This Row],[entrada BV]])</f>
        <v>0</v>
      </c>
      <c r="AL14" s="22">
        <f>SUMIFS(estoque[quantidade],estoque[fornecedor],"&lt;&gt;saída",estoque[produto],preçodiario[[#Headers],[OVO VERMELHO B]],estoque[data],preçodiario[[#This Row],[data]])</f>
        <v>0</v>
      </c>
      <c r="AM14" s="20">
        <f>SUMIFS(estoque[valor total],estoque[fornecedor],"&lt;&gt;saída",estoque[produto],preçodiario[[#Headers],[OVO VERMELHO B]],estoque[data],preçodiario[[#This Row],[data]])</f>
        <v>0</v>
      </c>
      <c r="AN14" s="20">
        <f>IFERROR(preçodiario[[#This Row],[OVO VERMELHO B]]*preçodiario[[#This Row],[estoque BV]],0)</f>
        <v>0</v>
      </c>
      <c r="AO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Row],[data]])),((AO13*AP13)+SUMIFS(estoque[valor total],estoque[produto],preçodiario[[#Headers],[OVO VERMELHO C]],estoque[data],preçodiario[[#This Row],[data]],estoque[fornecedor],"&lt;&gt;saída"))/(AP13+(SUMIFS(estoque[quantidade],estoque[produto],preçodiario[[#Headers],[OVO VERMELHO C]],estoque[fornecedor],"&lt;&gt;saída",estoque[data],preçodiario[[#This Row],[data]])))))</f>
        <v/>
      </c>
      <c r="AP14" s="22">
        <f>IF(preçodiario[[#This Row],[entrada CV]]=0,AP13-(SUMIFS(estoque[quantidade],estoque[fornecedor],"saída",estoque[produto],preçodiario[[#Headers],[OVO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Row],[data]]))+AP13+preçodiario[[#This Row],[entrada CV]])</f>
        <v>0</v>
      </c>
      <c r="AQ14" s="22">
        <f>SUMIFS(estoque[quantidade],estoque[fornecedor],"&lt;&gt;saída",estoque[produto],preçodiario[[#Headers],[OVO VERMELHO C]],estoque[data],preçodiario[[#This Row],[data]])</f>
        <v>0</v>
      </c>
      <c r="AR14" s="20">
        <f>SUMIFS(estoque[valor total],estoque[fornecedor],"&lt;&gt;saída",estoque[produto],preçodiario[[#Headers],[OVO VERMELHO C]],estoque[data],preçodiario[[#This Row],[data]])</f>
        <v>0</v>
      </c>
      <c r="AS14" s="20">
        <f>IFERROR(preçodiario[[#This Row],[OVO VERMELHO C]]*preçodiario[[#This Row],[estoque CV]],0)</f>
        <v>0</v>
      </c>
      <c r="AT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Row],[data]])),((AT13*AU13)+SUMIFS(estoque[valor total],estoque[produto],preçodiario[[#Headers],[OVO VERMELHO EXTRA]],estoque[data],preçodiario[[#This Row],[data]],estoque[fornecedor],"&lt;&gt;saída"))/(AU13+(SUMIFS(estoque[quantidade],estoque[produto],preçodiario[[#Headers],[OVO VERMELHO EXTRA]],estoque[fornecedor],"&lt;&gt;saída",estoque[data],preçodiario[[#This Row],[data]])))))</f>
        <v/>
      </c>
      <c r="AU14" s="22">
        <f>IF(preçodiario[[#This Row],[entrada EV]]=0,AU13-(SUMIFS(estoque[quantidade],estoque[fornecedor],"saída",estoque[produto],preçodiario[[#Headers],[OVO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Row],[data]]))+AU13+preçodiario[[#This Row],[entrada EV]])</f>
        <v>0</v>
      </c>
      <c r="AV14" s="22">
        <f>SUMIFS(estoque[quantidade],estoque[fornecedor],"&lt;&gt;saída",estoque[produto],preçodiario[[#Headers],[OVO VERMELHO EXTRA]],estoque[data],preçodiario[[#This Row],[data]])</f>
        <v>0</v>
      </c>
      <c r="AW14" s="20">
        <f>SUMIFS(estoque[valor total],estoque[fornecedor],"&lt;&gt;saída",estoque[produto],preçodiario[[#Headers],[OVO VERMELHO EXTRA]],estoque[data],preçodiario[[#This Row],[data]])</f>
        <v>0</v>
      </c>
      <c r="AX14" s="20">
        <f>IFERROR(preçodiario[[#This Row],[OVO VERMELHO EXTRA]]*preçodiario[[#This Row],[estoque EV]],0)</f>
        <v>0</v>
      </c>
      <c r="AY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Row],[data]])),((AY13*AZ13)+SUMIFS(estoque[valor total],estoque[produto],preçodiario[[#Headers],[OVO VERMELHO JUMBO]],estoque[data],preçodiario[[#This Row],[data]],estoque[fornecedor],"&lt;&gt;saída"))/(AZ13+(SUMIFS(estoque[quantidade],estoque[produto],preçodiario[[#Headers],[OVO VERMELHO JUMBO]],estoque[fornecedor],"&lt;&gt;saída",estoque[data],preçodiario[[#This Row],[data]])))))</f>
        <v/>
      </c>
      <c r="AZ14" s="22">
        <f>IF(preçodiario[[#This Row],[entrada JV]]=0,AZ13-(SUMIFS(estoque[quantidade],estoque[fornecedor],"saída",estoque[produto],preçodiario[[#Headers],[OVO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Row],[data]]))+AZ13+preçodiario[[#This Row],[entrada JV]])</f>
        <v>0</v>
      </c>
      <c r="BA14" s="22">
        <f>SUMIFS(estoque[quantidade],estoque[fornecedor],"&lt;&gt;saída",estoque[produto],preçodiario[[#Headers],[OVO VERMELHO JUMBO]],estoque[data],preçodiario[[#This Row],[data]])</f>
        <v>0</v>
      </c>
      <c r="BB14" s="20">
        <f>SUMIFS(estoque[valor total],estoque[fornecedor],"&lt;&gt;saída",estoque[produto],preçodiario[[#Headers],[OVO VERMELHO JUMBO]],estoque[data],preçodiario[[#This Row],[data]])</f>
        <v>0</v>
      </c>
      <c r="BC14" s="20">
        <f>IFERROR(preçodiario[[#This Row],[OVO VERMELHO JUMBO]]*preçodiario[[#This Row],[estoque JV]],0)</f>
        <v>0</v>
      </c>
      <c r="BD14" t="str">
        <f>TEXT(vendaAno[[#This Row],[data]],"mmm")</f>
        <v>jan</v>
      </c>
      <c r="BE14" t="str">
        <f>TEXT(vendaAno[[#This Row],[data]],"ddd")</f>
        <v>ter</v>
      </c>
      <c r="BF14" s="82">
        <f>WEEKNUM(vendaAno[[#This Row],[data]],13)</f>
        <v>2</v>
      </c>
      <c r="BG14" s="27">
        <f>preçodiario[[#This Row],[data]]</f>
        <v>46035</v>
      </c>
      <c r="BH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" s="8">
        <f>IF(SUMIFS(estoque[valor total],estoque[fornecedor],"saída",estoque[data],vendaAno[[#This Row],[data]])=0,"",SUMIFS(estoque[valor total],estoque[fornecedor],"saída",estoque[data],vendaAno[[#This Row],[data]]))</f>
        <v>777</v>
      </c>
      <c r="BJ1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Row],[data]]))/12+BJ13,"")</f>
        <v>38.41666666666665</v>
      </c>
      <c r="BK14" s="79">
        <f>IF(SUMIFS(estoque[quantidade],estoque[fornecedor],"saída",estoque[data],vendaAno[[#This Row],[data]])/12=0,"",SUMIFS(estoque[quantidade],estoque[fornecedor],"saída",estoque[data],vendaAno[[#This Row],[data]])/12)</f>
        <v>3.25</v>
      </c>
      <c r="BL14" s="8">
        <f ca="1">IF(vendaAno[[#This Row],[data]]&lt;=TODAY(),IF(SUMIFS(estoque[lucro],estoque[fornecedor],"saída",estoque[data],vendaAno[[#This Row],[data]])=0,AVERAGE(BL11:BL13),SUMIFS(estoque[lucro],estoque[fornecedor],"saída",estoque[data],vendaAno[[#This Row],[data]])),"")</f>
        <v>157.22</v>
      </c>
      <c r="BM14" s="10">
        <f ca="1">IFERROR(vendaAno[[#This Row],[lucro]]/vendaAno[[#This Row],[valor de venda]],"")</f>
        <v>0.20234234234234233</v>
      </c>
      <c r="BN1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7003.4490142157265</v>
      </c>
      <c r="BO14" s="8">
        <f ca="1">IF(TODAY()&gt;=vendaAno[[#This Row],[data]],IF(vendaAno[[#This Row],[N°]]=BF13,vendaAno[[#This Row],[lucro]]-173.33+BO13,vendaAno[[#This Row],[lucro]]-150),"")</f>
        <v>-268.15454435034565</v>
      </c>
      <c r="BP14" s="81">
        <f ca="1">IF(TODAY()&gt;=vendaAno[[#This Row],[data]],SUM(BK8:BK14)*12,"")</f>
        <v>265</v>
      </c>
      <c r="BQ14" s="7">
        <f ca="1">IFERROR(vendaAno[[#This Row],[lucro]]/(vendaAno[[#This Row],[venda]]*12),"")</f>
        <v>4.0312820512820515</v>
      </c>
      <c r="BT14" s="95">
        <f ca="1">WEEKNUM(PvPcML[[#This Row],[data]],13)</f>
        <v>29</v>
      </c>
      <c r="BU14" s="132">
        <f t="shared" ca="1" si="0"/>
        <v>46221</v>
      </c>
      <c r="BV14" s="7">
        <f ca="1">IFERROR(SUMIFS(vendaAno[valor de venda],vendaAno[data],PvPcML[[#This Row],[data]])/(SUMIFS(vendaAno[venda],vendaAno[data],PvPcML[[#This Row],[data]])*12),"")</f>
        <v>20.5</v>
      </c>
      <c r="BW14" s="7">
        <f ca="1">IFERROR(SUMIFS(vendaAno[valor de venda],vendaAno[data],PvPcML[[#This Row],[data]])/(SUMIFS(vendaAno[venda],vendaAno[data],PvPcML[[#This Row],[data]])*12)-PvPcML[[#This Row],[lucro médio]],"")</f>
        <v>15.46857142857143</v>
      </c>
      <c r="BX14" s="7">
        <f ca="1">IF(SUMIFS(vendaAno[[lucro médio ]],vendaAno[data],PvPcML[[#This Row],[data]])=0,"",SUMIFS(vendaAno[[lucro médio ]],vendaAno[data],PvPcML[[#This Row],[data]]))</f>
        <v>5.0314285714285711</v>
      </c>
      <c r="BY14" s="90">
        <v>13</v>
      </c>
      <c r="BZ14" s="89">
        <f t="shared" si="1"/>
        <v>46107</v>
      </c>
      <c r="CA14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18.000000000000004</v>
      </c>
      <c r="CB1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3.8333333333333335</v>
      </c>
      <c r="CC14" s="7">
        <f ca="1">IFERROR(SUMIFS(vendaAno[lucro],vendaAno[data],"&gt;="&amp;semanal[[#This Row],[semana]],vendaAno[data],"&lt;="&amp;semanal[[#This Row],[semana]]+6)/((semanal[[#This Row],[varejo]]+semanal[[#This Row],[atacado]])*12),"")</f>
        <v>4.2902671755725192</v>
      </c>
      <c r="CD14" s="82">
        <f ca="1">IFERROR(AVERAGEIFS(vendaAno[venda],vendaAno[data],"&gt;="&amp;semanal[[#This Row],[semana]],vendaAno[data],"&lt;="&amp;semanal[[#This Row],[semana]]+6),"")</f>
        <v>3.1190476190476195</v>
      </c>
      <c r="CE14" s="82">
        <f ca="1">IFERROR((150/semanal[[#This Row],[lucro médio por cartela]])/12,"")</f>
        <v>2.9135714603442904</v>
      </c>
    </row>
    <row r="15" spans="1:83" x14ac:dyDescent="0.25">
      <c r="A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5" s="18" t="str">
        <f>TEXT(preçodiario[[#This Row],[data]],"MMM")</f>
        <v>jan</v>
      </c>
      <c r="C15" s="18" t="str">
        <f>TEXT(preçodiario[[#This Row],[data]],"ddd")</f>
        <v>qua</v>
      </c>
      <c r="D15" s="96">
        <f>WEEKNUM(preçodiario[[#This Row],[data]],13)</f>
        <v>3</v>
      </c>
      <c r="E15" s="37">
        <v>46036</v>
      </c>
      <c r="F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Row],[data]])),((F14*G14)+SUMIFS(estoque[valor total],estoque[produto],preçodiario[[#Headers],[OVO BRANCO A]],estoque[data],preçodiario[[#This Row],[data]],estoque[fornecedor],"&lt;&gt;saída"))/(G14+(SUMIFS(estoque[quantidade],estoque[produto],preçodiario[[#Headers],[OVO BRANCO A]],estoque[fornecedor],"&lt;&gt;saída",estoque[data],preçodiario[[#This Row],[data]])))))</f>
        <v>15.495662113186505</v>
      </c>
      <c r="G15" s="22">
        <f>IF(preçodiario[[#This Row],[entrada A]]=0,G14-(SUMIFS(estoque[quantidade],estoque[fornecedor],"saída",estoque[produto],preçodiario[[#Headers],[OVO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Row],[data]]))+G14+preçodiario[[#This Row],[entrada A]])</f>
        <v>150</v>
      </c>
      <c r="H15" s="22">
        <f>SUMIFS(estoque[quantidade],estoque[fornecedor],"&lt;&gt;saída",estoque[produto],preçodiario[[#Headers],[OVO BRANCO A]],estoque[data],preçodiario[[#This Row],[data]])</f>
        <v>0</v>
      </c>
      <c r="I15" s="20">
        <f>SUMIFS(estoque[valor total],estoque[fornecedor],"&lt;&gt;saída",estoque[produto],preçodiario[[#Headers],[OVO BRANCO A]],estoque[data],preçodiario[[#This Row],[data]])</f>
        <v>0</v>
      </c>
      <c r="J15" s="20">
        <f>IFERROR(preçodiario[[#This Row],[estoque A]]*preçodiario[[#This Row],[OVO BRANCO A]],0)</f>
        <v>2324.3493169779758</v>
      </c>
      <c r="K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Row],[data]])),((K14*L14)+SUMIFS(estoque[valor total],estoque[produto],preçodiario[[#Headers],[OVO BRANCO B]],estoque[data],preçodiario[[#This Row],[data]],estoque[fornecedor],"&lt;&gt;saída"))/(L14+(SUMIFS(estoque[quantidade],estoque[produto],preçodiario[[#Headers],[OVO BRANCO B]],estoque[fornecedor],"&lt;&gt;saída",estoque[data],preçodiario[[#This Row],[data]])))))</f>
        <v>14.967973974399889</v>
      </c>
      <c r="L15" s="22">
        <f>IF(preçodiario[[#This Row],[entrada B]]=0,L14-(SUMIFS(estoque[quantidade],estoque[fornecedor],"saída",estoque[produto],preçodiario[[#Headers],[OVO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Row],[data]]))+L14+preçodiario[[#This Row],[entrada B]])</f>
        <v>136</v>
      </c>
      <c r="M15" s="22">
        <f>SUMIFS(estoque[quantidade],estoque[fornecedor],"&lt;&gt;saída",estoque[produto],preçodiario[[#Headers],[OVO BRANCO B]],estoque[data],preçodiario[[#This Row],[data]])</f>
        <v>0</v>
      </c>
      <c r="N15" s="20">
        <f>SUMIFS(estoque[valor total],estoque[fornecedor],"&lt;&gt;saída",estoque[produto],preçodiario[[#Headers],[OVO BRANCO B]],estoque[data],preçodiario[[#This Row],[data]])</f>
        <v>0</v>
      </c>
      <c r="O15" s="20">
        <f>IFERROR(preçodiario[[#This Row],[OVO BRANCO B]]*preçodiario[[#This Row],[estoque B]],0)</f>
        <v>2035.6444605183849</v>
      </c>
      <c r="P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Row],[data]])),((P14*Q14)+SUMIFS(estoque[valor total],estoque[produto],preçodiario[[#Headers],[OVO BRANCO C]],estoque[data],preçodiario[[#This Row],[data]],estoque[fornecedor],"&lt;&gt;saída"))/(Q14+(SUMIFS(estoque[quantidade],estoque[produto],preçodiario[[#Headers],[OVO BRANCO C]],estoque[fornecedor],"&lt;&gt;saída",estoque[data],preçodiario[[#This Row],[data]])))))</f>
        <v>13.874671916010501</v>
      </c>
      <c r="Q15" s="22">
        <f>IF(preçodiario[[#This Row],[entrada C]]=0,Q14-(SUMIFS(estoque[quantidade],estoque[fornecedor],"saída",estoque[produto],preçodiario[[#Headers],[OVO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Row],[data]]))+Q14+preçodiario[[#This Row],[entrada C]])</f>
        <v>65</v>
      </c>
      <c r="R15" s="22">
        <f>SUMIFS(estoque[quantidade],estoque[fornecedor],"&lt;&gt;saída",estoque[produto],preçodiario[[#Headers],[OVO BRANCO C]],estoque[data],preçodiario[[#This Row],[data]])</f>
        <v>0</v>
      </c>
      <c r="S15" s="20">
        <f>SUMIFS(estoque[valor total],estoque[fornecedor],"&lt;&gt;saída",estoque[produto],preçodiario[[#Headers],[OVO BRANCO C]],estoque[data],preçodiario[[#This Row],[data]])</f>
        <v>0</v>
      </c>
      <c r="T15" s="20">
        <f>IFERROR(preçodiario[[#This Row],[OVO BRANCO C]]*preçodiario[[#This Row],[estoque C]],0)</f>
        <v>901.8536745406825</v>
      </c>
      <c r="U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Row],[data]])),((U14*V14)+SUMIFS(estoque[valor total],estoque[produto],preçodiario[[#Headers],[OVO BRANCO EXTRA]],estoque[data],preçodiario[[#This Row],[data]],estoque[fornecedor],"&lt;&gt;saída"))/(V14+(SUMIFS(estoque[quantidade],estoque[produto],preçodiario[[#Headers],[OVO BRANCO EXTRA]],estoque[fornecedor],"&lt;&gt;saída",estoque[data],preçodiario[[#This Row],[data]])))))</f>
        <v>16.378445038705138</v>
      </c>
      <c r="V15" s="22">
        <f>IF(preçodiario[[#This Row],[entrada E]]=0,V14-(SUMIFS(estoque[quantidade],estoque[fornecedor],"saída",estoque[produto],preçodiario[[#Headers],[OVO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Row],[data]]))+V14+preçodiario[[#This Row],[entrada E]])</f>
        <v>49</v>
      </c>
      <c r="W15" s="22">
        <f>SUMIFS(estoque[quantidade],estoque[fornecedor],"&lt;&gt;saída",estoque[produto],preçodiario[[#Headers],[OVO BRANCO EXTRA]],estoque[data],preçodiario[[#This Row],[data]])</f>
        <v>0</v>
      </c>
      <c r="X15" s="20">
        <f>SUMIFS(estoque[valor total],estoque[fornecedor],"&lt;&gt;saída",estoque[produto],preçodiario[[#Headers],[OVO BRANCO EXTRA]],estoque[data],preçodiario[[#This Row],[data]])</f>
        <v>0</v>
      </c>
      <c r="Y15" s="20">
        <f>IFERROR(preçodiario[[#This Row],[estoque E]]*preçodiario[[#This Row],[OVO BRANCO EXTRA]],0)</f>
        <v>802.54380689655181</v>
      </c>
      <c r="Z1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Row],[data]])),((Z14*AA14)+SUMIFS(estoque[valor total],estoque[produto],preçodiario[[#Headers],[OVO BRANCO JUMBO]],estoque[data],preçodiario[[#This Row],[data]],estoque[fornecedor],"&lt;&gt;saída"))/(AA14+(SUMIFS(estoque[quantidade],estoque[produto],preçodiario[[#Headers],[OVO BRANCO JUMBO]],estoque[fornecedor],"&lt;&gt;saída",estoque[data],preçodiario[[#This Row],[data]])))))</f>
        <v/>
      </c>
      <c r="AA15" s="22">
        <f>IF(preçodiario[[#This Row],[entrada J]]=0,AA14-(SUMIFS(estoque[quantidade],estoque[fornecedor],"saída",estoque[produto],preçodiario[[#Headers],[OVO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Row],[data]]))+AA14+preçodiario[[#This Row],[entrada J]])</f>
        <v>0</v>
      </c>
      <c r="AB15" s="22">
        <f>SUMIFS(estoque[quantidade],estoque[fornecedor],"&lt;&gt;saída",estoque[produto],preçodiario[[#Headers],[OVO BRANCO JUMBO]],estoque[data],preçodiario[[#This Row],[data]])</f>
        <v>0</v>
      </c>
      <c r="AC15" s="20">
        <f>SUMIFS(estoque[valor total],estoque[fornecedor],"&lt;&gt;saída",estoque[produto],preçodiario[[#Headers],[OVO BRANCO JUMBO]],estoque[data],preçodiario[[#This Row],[data]])</f>
        <v>0</v>
      </c>
      <c r="AD15" s="20">
        <f>IFERROR(preçodiario[[#This Row],[OVO BRANCO JUMBO]]*preçodiario[[#This Row],[estoque J]],0)</f>
        <v>0</v>
      </c>
      <c r="AE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Row],[data]])),((AE14*AF14)+SUMIFS(estoque[valor total],estoque[produto],preçodiario[[#Headers],[OVO VERMELHO A]],estoque[data],preçodiario[[#This Row],[data]],estoque[fornecedor],"&lt;&gt;saída"))/(AF14+(SUMIFS(estoque[quantidade],estoque[produto],preçodiario[[#Headers],[OVO VERMELHO A]],estoque[fornecedor],"&lt;&gt;saída",estoque[data],preçodiario[[#This Row],[data]])))))</f>
        <v/>
      </c>
      <c r="AF15" s="22">
        <f>IF(preçodiario[[#This Row],[entrada AV]]=0,AF14-(SUMIFS(estoque[quantidade],estoque[fornecedor],"saída",estoque[produto],preçodiario[[#Headers],[OVO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Row],[data]]))+AF14+preçodiario[[#This Row],[entrada AV]])</f>
        <v>0</v>
      </c>
      <c r="AG15" s="22">
        <f>SUMIFS(estoque[quantidade],estoque[fornecedor],"&lt;&gt;saída",estoque[produto],preçodiario[[#Headers],[OVO VERMELHO A]],estoque[data],preçodiario[[#This Row],[data]])</f>
        <v>0</v>
      </c>
      <c r="AH15" s="20">
        <f>SUMIFS(estoque[valor total],estoque[fornecedor],"&lt;&gt;saída",estoque[produto],preçodiario[[#Headers],[OVO VERMELHO A]],estoque[data],preçodiario[[#This Row],[data]])</f>
        <v>0</v>
      </c>
      <c r="AI15" s="20">
        <f>IFERROR(preçodiario[[#This Row],[OVO VERMELHO A]]*preçodiario[[#This Row],[estoque AV]],0)</f>
        <v>0</v>
      </c>
      <c r="AJ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Row],[data]])),((AJ14*AK14)+SUMIFS(estoque[valor total],estoque[produto],preçodiario[[#Headers],[OVO VERMELHO B]],estoque[data],preçodiario[[#This Row],[data]],estoque[fornecedor],"&lt;&gt;saída"))/(AK14+(SUMIFS(estoque[quantidade],estoque[produto],preçodiario[[#Headers],[OVO VERMELHO B]],estoque[fornecedor],"&lt;&gt;saída",estoque[data],preçodiario[[#This Row],[data]])))))</f>
        <v/>
      </c>
      <c r="AK15" s="22">
        <f>IF(preçodiario[[#This Row],[entrada BV]]=0,AK14-(SUMIFS(estoque[quantidade],estoque[fornecedor],"saída",estoque[produto],preçodiario[[#Headers],[OVO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Row],[data]]))+AK14+preçodiario[[#This Row],[entrada BV]])</f>
        <v>0</v>
      </c>
      <c r="AL15" s="22">
        <f>SUMIFS(estoque[quantidade],estoque[fornecedor],"&lt;&gt;saída",estoque[produto],preçodiario[[#Headers],[OVO VERMELHO B]],estoque[data],preçodiario[[#This Row],[data]])</f>
        <v>0</v>
      </c>
      <c r="AM15" s="20">
        <f>SUMIFS(estoque[valor total],estoque[fornecedor],"&lt;&gt;saída",estoque[produto],preçodiario[[#Headers],[OVO VERMELHO B]],estoque[data],preçodiario[[#This Row],[data]])</f>
        <v>0</v>
      </c>
      <c r="AN15" s="20">
        <f>IFERROR(preçodiario[[#This Row],[OVO VERMELHO B]]*preçodiario[[#This Row],[estoque BV]],0)</f>
        <v>0</v>
      </c>
      <c r="AO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Row],[data]])),((AO14*AP14)+SUMIFS(estoque[valor total],estoque[produto],preçodiario[[#Headers],[OVO VERMELHO C]],estoque[data],preçodiario[[#This Row],[data]],estoque[fornecedor],"&lt;&gt;saída"))/(AP14+(SUMIFS(estoque[quantidade],estoque[produto],preçodiario[[#Headers],[OVO VERMELHO C]],estoque[fornecedor],"&lt;&gt;saída",estoque[data],preçodiario[[#This Row],[data]])))))</f>
        <v/>
      </c>
      <c r="AP15" s="22">
        <f>IF(preçodiario[[#This Row],[entrada CV]]=0,AP14-(SUMIFS(estoque[quantidade],estoque[fornecedor],"saída",estoque[produto],preçodiario[[#Headers],[OVO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Row],[data]]))+AP14+preçodiario[[#This Row],[entrada CV]])</f>
        <v>0</v>
      </c>
      <c r="AQ15" s="22">
        <f>SUMIFS(estoque[quantidade],estoque[fornecedor],"&lt;&gt;saída",estoque[produto],preçodiario[[#Headers],[OVO VERMELHO C]],estoque[data],preçodiario[[#This Row],[data]])</f>
        <v>0</v>
      </c>
      <c r="AR15" s="20">
        <f>SUMIFS(estoque[valor total],estoque[fornecedor],"&lt;&gt;saída",estoque[produto],preçodiario[[#Headers],[OVO VERMELHO C]],estoque[data],preçodiario[[#This Row],[data]])</f>
        <v>0</v>
      </c>
      <c r="AS15" s="20">
        <f>IFERROR(preçodiario[[#This Row],[OVO VERMELHO C]]*preçodiario[[#This Row],[estoque CV]],0)</f>
        <v>0</v>
      </c>
      <c r="AT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Row],[data]])),((AT14*AU14)+SUMIFS(estoque[valor total],estoque[produto],preçodiario[[#Headers],[OVO VERMELHO EXTRA]],estoque[data],preçodiario[[#This Row],[data]],estoque[fornecedor],"&lt;&gt;saída"))/(AU14+(SUMIFS(estoque[quantidade],estoque[produto],preçodiario[[#Headers],[OVO VERMELHO EXTRA]],estoque[fornecedor],"&lt;&gt;saída",estoque[data],preçodiario[[#This Row],[data]])))))</f>
        <v/>
      </c>
      <c r="AU15" s="22">
        <f>IF(preçodiario[[#This Row],[entrada EV]]=0,AU14-(SUMIFS(estoque[quantidade],estoque[fornecedor],"saída",estoque[produto],preçodiario[[#Headers],[OVO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Row],[data]]))+AU14+preçodiario[[#This Row],[entrada EV]])</f>
        <v>0</v>
      </c>
      <c r="AV15" s="22">
        <f>SUMIFS(estoque[quantidade],estoque[fornecedor],"&lt;&gt;saída",estoque[produto],preçodiario[[#Headers],[OVO VERMELHO EXTRA]],estoque[data],preçodiario[[#This Row],[data]])</f>
        <v>0</v>
      </c>
      <c r="AW15" s="20">
        <f>SUMIFS(estoque[valor total],estoque[fornecedor],"&lt;&gt;saída",estoque[produto],preçodiario[[#Headers],[OVO VERMELHO EXTRA]],estoque[data],preçodiario[[#This Row],[data]])</f>
        <v>0</v>
      </c>
      <c r="AX15" s="20">
        <f>IFERROR(preçodiario[[#This Row],[OVO VERMELHO EXTRA]]*preçodiario[[#This Row],[estoque EV]],0)</f>
        <v>0</v>
      </c>
      <c r="AY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Row],[data]])),((AY14*AZ14)+SUMIFS(estoque[valor total],estoque[produto],preçodiario[[#Headers],[OVO VERMELHO JUMBO]],estoque[data],preçodiario[[#This Row],[data]],estoque[fornecedor],"&lt;&gt;saída"))/(AZ14+(SUMIFS(estoque[quantidade],estoque[produto],preçodiario[[#Headers],[OVO VERMELHO JUMBO]],estoque[fornecedor],"&lt;&gt;saída",estoque[data],preçodiario[[#This Row],[data]])))))</f>
        <v/>
      </c>
      <c r="AZ15" s="22">
        <f>IF(preçodiario[[#This Row],[entrada JV]]=0,AZ14-(SUMIFS(estoque[quantidade],estoque[fornecedor],"saída",estoque[produto],preçodiario[[#Headers],[OVO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Row],[data]]))+AZ14+preçodiario[[#This Row],[entrada JV]])</f>
        <v>0</v>
      </c>
      <c r="BA15" s="22">
        <f>SUMIFS(estoque[quantidade],estoque[fornecedor],"&lt;&gt;saída",estoque[produto],preçodiario[[#Headers],[OVO VERMELHO JUMBO]],estoque[data],preçodiario[[#This Row],[data]])</f>
        <v>0</v>
      </c>
      <c r="BB15" s="20">
        <f>SUMIFS(estoque[valor total],estoque[fornecedor],"&lt;&gt;saída",estoque[produto],preçodiario[[#Headers],[OVO VERMELHO JUMBO]],estoque[data],preçodiario[[#This Row],[data]])</f>
        <v>0</v>
      </c>
      <c r="BC15" s="20">
        <f>IFERROR(preçodiario[[#This Row],[OVO VERMELHO JUMBO]]*preçodiario[[#This Row],[estoque JV]],0)</f>
        <v>0</v>
      </c>
      <c r="BD15" t="str">
        <f>TEXT(vendaAno[[#This Row],[data]],"mmm")</f>
        <v>jan</v>
      </c>
      <c r="BE15" t="str">
        <f>TEXT(vendaAno[[#This Row],[data]],"ddd")</f>
        <v>qua</v>
      </c>
      <c r="BF15" s="82">
        <f>WEEKNUM(vendaAno[[#This Row],[data]],13)</f>
        <v>3</v>
      </c>
      <c r="BG15" s="27">
        <f>preçodiario[[#This Row],[data]]</f>
        <v>46036</v>
      </c>
      <c r="BH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" s="8">
        <f>IF(SUMIFS(estoque[valor total],estoque[fornecedor],"saída",estoque[data],vendaAno[[#This Row],[data]])=0,"",SUMIFS(estoque[valor total],estoque[fornecedor],"saída",estoque[data],vendaAno[[#This Row],[data]]))</f>
        <v>1117.5</v>
      </c>
      <c r="BJ1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Row],[data]]))/12+BJ14,"")</f>
        <v>33.333333333333314</v>
      </c>
      <c r="BK15" s="79">
        <f>IF(SUMIFS(estoque[quantidade],estoque[fornecedor],"saída",estoque[data],vendaAno[[#This Row],[data]])/12=0,"",SUMIFS(estoque[quantidade],estoque[fornecedor],"saída",estoque[data],vendaAno[[#This Row],[data]])/12)</f>
        <v>5.083333333333333</v>
      </c>
      <c r="BL15" s="8">
        <f ca="1">IF(vendaAno[[#This Row],[data]]&lt;=TODAY(),IF(SUMIFS(estoque[lucro],estoque[fornecedor],"saída",estoque[data],vendaAno[[#This Row],[data]])=0,AVERAGE(BL12:BL14),SUMIFS(estoque[lucro],estoque[fornecedor],"saída",estoque[data],vendaAno[[#This Row],[data]])),"")</f>
        <v>178.46</v>
      </c>
      <c r="BM15" s="10">
        <f ca="1">IFERROR(vendaAno[[#This Row],[lucro]]/vendaAno[[#This Row],[valor de venda]],"")</f>
        <v>0.15969574944071588</v>
      </c>
      <c r="BN1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6064.3912589335951</v>
      </c>
      <c r="BO15" s="8">
        <f ca="1">IF(TODAY()&gt;=vendaAno[[#This Row],[data]],IF(vendaAno[[#This Row],[N°]]=BF14,vendaAno[[#This Row],[lucro]]-173.33+BO14,vendaAno[[#This Row],[lucro]]-150),"")</f>
        <v>28.460000000000008</v>
      </c>
      <c r="BP15" s="81">
        <f ca="1">IF(TODAY()&gt;=vendaAno[[#This Row],[data]],SUM(BK9:BK15)*12,"")</f>
        <v>260</v>
      </c>
      <c r="BQ15" s="7">
        <f ca="1">IFERROR(vendaAno[[#This Row],[lucro]]/(vendaAno[[#This Row],[venda]]*12),"")</f>
        <v>2.9255737704918032</v>
      </c>
      <c r="BT15" s="95">
        <f ca="1">WEEKNUM(PvPcML[[#This Row],[data]],13)</f>
        <v>29</v>
      </c>
      <c r="BU15" s="132">
        <f t="shared" ca="1" si="0"/>
        <v>46220</v>
      </c>
      <c r="BV15" s="7">
        <f ca="1">IFERROR(SUMIFS(vendaAno[valor de venda],vendaAno[data],PvPcML[[#This Row],[data]])/(SUMIFS(vendaAno[venda],vendaAno[data],PvPcML[[#This Row],[data]])*12),"")</f>
        <v>21.315789473684209</v>
      </c>
      <c r="BW15" s="7">
        <f ca="1">IFERROR(SUMIFS(vendaAno[valor de venda],vendaAno[data],PvPcML[[#This Row],[data]])/(SUMIFS(vendaAno[venda],vendaAno[data],PvPcML[[#This Row],[data]])*12)-PvPcML[[#This Row],[lucro médio]],"")</f>
        <v>15.888947368421052</v>
      </c>
      <c r="BX15" s="7">
        <f ca="1">IF(SUMIFS(vendaAno[[lucro médio ]],vendaAno[data],PvPcML[[#This Row],[data]])=0,"",SUMIFS(vendaAno[[lucro médio ]],vendaAno[data],PvPcML[[#This Row],[data]]))</f>
        <v>5.426842105263157</v>
      </c>
      <c r="BY15" s="91">
        <v>14</v>
      </c>
      <c r="BZ15" s="89">
        <f t="shared" si="1"/>
        <v>46114</v>
      </c>
      <c r="CA15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16.583333333333329</v>
      </c>
      <c r="CB1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2.6666666666666665</v>
      </c>
      <c r="CC15" s="7">
        <f ca="1">IFERROR(SUMIFS(vendaAno[lucro],vendaAno[data],"&gt;="&amp;semanal[[#This Row],[semana]],vendaAno[data],"&lt;="&amp;semanal[[#This Row],[semana]]+6)/((semanal[[#This Row],[varejo]]+semanal[[#This Row],[atacado]])*12),"")</f>
        <v>4.857705627705629</v>
      </c>
      <c r="CD15" s="82">
        <f ca="1">IFERROR(AVERAGEIFS(vendaAno[venda],vendaAno[data],"&gt;="&amp;semanal[[#This Row],[semana]],vendaAno[data],"&lt;="&amp;semanal[[#This Row],[semana]]+6),"")</f>
        <v>2.7499999999999996</v>
      </c>
      <c r="CE15" s="82">
        <f ca="1">IFERROR((150/semanal[[#This Row],[lucro médio por cartela]])/12,"")</f>
        <v>2.5732312655396425</v>
      </c>
    </row>
    <row r="16" spans="1:83" x14ac:dyDescent="0.25">
      <c r="A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15.495662113186505</v>
      </c>
      <c r="B16" s="18" t="str">
        <f>TEXT(preçodiario[[#This Row],[data]],"MMM")</f>
        <v>jan</v>
      </c>
      <c r="C16" s="18" t="str">
        <f>TEXT(preçodiario[[#This Row],[data]],"ddd")</f>
        <v>qui</v>
      </c>
      <c r="D16" s="96">
        <f>WEEKNUM(preçodiario[[#This Row],[data]],13)</f>
        <v>3</v>
      </c>
      <c r="E16" s="37">
        <v>46037</v>
      </c>
      <c r="F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Row],[data]])),((F15*G15)+SUMIFS(estoque[valor total],estoque[produto],preçodiario[[#Headers],[OVO BRANCO A]],estoque[data],preçodiario[[#This Row],[data]],estoque[fornecedor],"&lt;&gt;saída"))/(G15+(SUMIFS(estoque[quantidade],estoque[produto],preçodiario[[#Headers],[OVO BRANCO A]],estoque[fornecedor],"&lt;&gt;saída",estoque[data],preçodiario[[#This Row],[data]])))))</f>
        <v>15.495662113186505</v>
      </c>
      <c r="G16" s="22">
        <f>IF(preçodiario[[#This Row],[entrada A]]=0,G15-(SUMIFS(estoque[quantidade],estoque[fornecedor],"saída",estoque[produto],preçodiario[[#Headers],[OVO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Row],[data]]))+G15+preçodiario[[#This Row],[entrada A]])</f>
        <v>144</v>
      </c>
      <c r="H16" s="22">
        <f>SUMIFS(estoque[quantidade],estoque[fornecedor],"&lt;&gt;saída",estoque[produto],preçodiario[[#Headers],[OVO BRANCO A]],estoque[data],preçodiario[[#This Row],[data]])</f>
        <v>0</v>
      </c>
      <c r="I16" s="20">
        <f>SUMIFS(estoque[valor total],estoque[fornecedor],"&lt;&gt;saída",estoque[produto],preçodiario[[#Headers],[OVO BRANCO A]],estoque[data],preçodiario[[#This Row],[data]])</f>
        <v>0</v>
      </c>
      <c r="J16" s="20">
        <f>IFERROR(preçodiario[[#This Row],[estoque A]]*preçodiario[[#This Row],[OVO BRANCO A]],0)</f>
        <v>2231.3753442988568</v>
      </c>
      <c r="K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Row],[data]])),((K15*L15)+SUMIFS(estoque[valor total],estoque[produto],preçodiario[[#Headers],[OVO BRANCO B]],estoque[data],preçodiario[[#This Row],[data]],estoque[fornecedor],"&lt;&gt;saída"))/(L15+(SUMIFS(estoque[quantidade],estoque[produto],preçodiario[[#Headers],[OVO BRANCO B]],estoque[fornecedor],"&lt;&gt;saída",estoque[data],preçodiario[[#This Row],[data]])))))</f>
        <v>14.967973974399889</v>
      </c>
      <c r="L16" s="22">
        <f>IF(preçodiario[[#This Row],[entrada B]]=0,L15-(SUMIFS(estoque[quantidade],estoque[fornecedor],"saída",estoque[produto],preçodiario[[#Headers],[OVO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Row],[data]]))+L15+preçodiario[[#This Row],[entrada B]])</f>
        <v>129</v>
      </c>
      <c r="M16" s="22">
        <f>SUMIFS(estoque[quantidade],estoque[fornecedor],"&lt;&gt;saída",estoque[produto],preçodiario[[#Headers],[OVO BRANCO B]],estoque[data],preçodiario[[#This Row],[data]])</f>
        <v>0</v>
      </c>
      <c r="N16" s="20">
        <f>SUMIFS(estoque[valor total],estoque[fornecedor],"&lt;&gt;saída",estoque[produto],preçodiario[[#Headers],[OVO BRANCO B]],estoque[data],preçodiario[[#This Row],[data]])</f>
        <v>0</v>
      </c>
      <c r="O16" s="20">
        <f>IFERROR(preçodiario[[#This Row],[OVO BRANCO B]]*preçodiario[[#This Row],[estoque B]],0)</f>
        <v>1930.8686426975858</v>
      </c>
      <c r="P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Row],[data]])),((P15*Q15)+SUMIFS(estoque[valor total],estoque[produto],preçodiario[[#Headers],[OVO BRANCO C]],estoque[data],preçodiario[[#This Row],[data]],estoque[fornecedor],"&lt;&gt;saída"))/(Q15+(SUMIFS(estoque[quantidade],estoque[produto],preçodiario[[#Headers],[OVO BRANCO C]],estoque[fornecedor],"&lt;&gt;saída",estoque[data],preçodiario[[#This Row],[data]])))))</f>
        <v>13.874671916010501</v>
      </c>
      <c r="Q16" s="22">
        <f>IF(preçodiario[[#This Row],[entrada C]]=0,Q15-(SUMIFS(estoque[quantidade],estoque[fornecedor],"saída",estoque[produto],preçodiario[[#Headers],[OVO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Row],[data]]))+Q15+preçodiario[[#This Row],[entrada C]])</f>
        <v>63</v>
      </c>
      <c r="R16" s="22">
        <f>SUMIFS(estoque[quantidade],estoque[fornecedor],"&lt;&gt;saída",estoque[produto],preçodiario[[#Headers],[OVO BRANCO C]],estoque[data],preçodiario[[#This Row],[data]])</f>
        <v>0</v>
      </c>
      <c r="S16" s="20">
        <f>SUMIFS(estoque[valor total],estoque[fornecedor],"&lt;&gt;saída",estoque[produto],preçodiario[[#Headers],[OVO BRANCO C]],estoque[data],preçodiario[[#This Row],[data]])</f>
        <v>0</v>
      </c>
      <c r="T16" s="20">
        <f>IFERROR(preçodiario[[#This Row],[OVO BRANCO C]]*preçodiario[[#This Row],[estoque C]],0)</f>
        <v>874.10433070866156</v>
      </c>
      <c r="U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Row],[data]])),((U15*V15)+SUMIFS(estoque[valor total],estoque[produto],preçodiario[[#Headers],[OVO BRANCO EXTRA]],estoque[data],preçodiario[[#This Row],[data]],estoque[fornecedor],"&lt;&gt;saída"))/(V15+(SUMIFS(estoque[quantidade],estoque[produto],preçodiario[[#Headers],[OVO BRANCO EXTRA]],estoque[fornecedor],"&lt;&gt;saída",estoque[data],preçodiario[[#This Row],[data]])))))</f>
        <v>16.378445038705138</v>
      </c>
      <c r="V16" s="22">
        <f>IF(preçodiario[[#This Row],[entrada E]]=0,V15-(SUMIFS(estoque[quantidade],estoque[fornecedor],"saída",estoque[produto],preçodiario[[#Headers],[OVO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Row],[data]]))+V15+preçodiario[[#This Row],[entrada E]])</f>
        <v>33</v>
      </c>
      <c r="W16" s="22">
        <f>SUMIFS(estoque[quantidade],estoque[fornecedor],"&lt;&gt;saída",estoque[produto],preçodiario[[#Headers],[OVO BRANCO EXTRA]],estoque[data],preçodiario[[#This Row],[data]])</f>
        <v>0</v>
      </c>
      <c r="X16" s="20">
        <f>SUMIFS(estoque[valor total],estoque[fornecedor],"&lt;&gt;saída",estoque[produto],preçodiario[[#Headers],[OVO BRANCO EXTRA]],estoque[data],preçodiario[[#This Row],[data]])</f>
        <v>0</v>
      </c>
      <c r="Y16" s="20">
        <f>IFERROR(preçodiario[[#This Row],[estoque E]]*preçodiario[[#This Row],[OVO BRANCO EXTRA]],0)</f>
        <v>540.48868627726961</v>
      </c>
      <c r="Z1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Row],[data]])),((Z15*AA15)+SUMIFS(estoque[valor total],estoque[produto],preçodiario[[#Headers],[OVO BRANCO JUMBO]],estoque[data],preçodiario[[#This Row],[data]],estoque[fornecedor],"&lt;&gt;saída"))/(AA15+(SUMIFS(estoque[quantidade],estoque[produto],preçodiario[[#Headers],[OVO BRANCO JUMBO]],estoque[fornecedor],"&lt;&gt;saída",estoque[data],preçodiario[[#This Row],[data]])))))</f>
        <v/>
      </c>
      <c r="AA16" s="22">
        <f>IF(preçodiario[[#This Row],[entrada J]]=0,AA15-(SUMIFS(estoque[quantidade],estoque[fornecedor],"saída",estoque[produto],preçodiario[[#Headers],[OVO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Row],[data]]))+AA15+preçodiario[[#This Row],[entrada J]])</f>
        <v>0</v>
      </c>
      <c r="AB16" s="22">
        <f>SUMIFS(estoque[quantidade],estoque[fornecedor],"&lt;&gt;saída",estoque[produto],preçodiario[[#Headers],[OVO BRANCO JUMBO]],estoque[data],preçodiario[[#This Row],[data]])</f>
        <v>0</v>
      </c>
      <c r="AC16" s="20">
        <f>SUMIFS(estoque[valor total],estoque[fornecedor],"&lt;&gt;saída",estoque[produto],preçodiario[[#Headers],[OVO BRANCO JUMBO]],estoque[data],preçodiario[[#This Row],[data]])</f>
        <v>0</v>
      </c>
      <c r="AD16" s="20">
        <f>IFERROR(preçodiario[[#This Row],[OVO BRANCO JUMBO]]*preçodiario[[#This Row],[estoque J]],0)</f>
        <v>0</v>
      </c>
      <c r="AE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Row],[data]])),((AE15*AF15)+SUMIFS(estoque[valor total],estoque[produto],preçodiario[[#Headers],[OVO VERMELHO A]],estoque[data],preçodiario[[#This Row],[data]],estoque[fornecedor],"&lt;&gt;saída"))/(AF15+(SUMIFS(estoque[quantidade],estoque[produto],preçodiario[[#Headers],[OVO VERMELHO A]],estoque[fornecedor],"&lt;&gt;saída",estoque[data],preçodiario[[#This Row],[data]])))))</f>
        <v/>
      </c>
      <c r="AF16" s="22">
        <f>IF(preçodiario[[#This Row],[entrada AV]]=0,AF15-(SUMIFS(estoque[quantidade],estoque[fornecedor],"saída",estoque[produto],preçodiario[[#Headers],[OVO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Row],[data]]))+AF15+preçodiario[[#This Row],[entrada AV]])</f>
        <v>0</v>
      </c>
      <c r="AG16" s="22">
        <f>SUMIFS(estoque[quantidade],estoque[fornecedor],"&lt;&gt;saída",estoque[produto],preçodiario[[#Headers],[OVO VERMELHO A]],estoque[data],preçodiario[[#This Row],[data]])</f>
        <v>0</v>
      </c>
      <c r="AH16" s="20">
        <f>SUMIFS(estoque[valor total],estoque[fornecedor],"&lt;&gt;saída",estoque[produto],preçodiario[[#Headers],[OVO VERMELHO A]],estoque[data],preçodiario[[#This Row],[data]])</f>
        <v>0</v>
      </c>
      <c r="AI16" s="20">
        <f>IFERROR(preçodiario[[#This Row],[OVO VERMELHO A]]*preçodiario[[#This Row],[estoque AV]],0)</f>
        <v>0</v>
      </c>
      <c r="AJ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Row],[data]])),((AJ15*AK15)+SUMIFS(estoque[valor total],estoque[produto],preçodiario[[#Headers],[OVO VERMELHO B]],estoque[data],preçodiario[[#This Row],[data]],estoque[fornecedor],"&lt;&gt;saída"))/(AK15+(SUMIFS(estoque[quantidade],estoque[produto],preçodiario[[#Headers],[OVO VERMELHO B]],estoque[fornecedor],"&lt;&gt;saída",estoque[data],preçodiario[[#This Row],[data]])))))</f>
        <v/>
      </c>
      <c r="AK16" s="22">
        <f>IF(preçodiario[[#This Row],[entrada BV]]=0,AK15-(SUMIFS(estoque[quantidade],estoque[fornecedor],"saída",estoque[produto],preçodiario[[#Headers],[OVO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Row],[data]]))+AK15+preçodiario[[#This Row],[entrada BV]])</f>
        <v>0</v>
      </c>
      <c r="AL16" s="22">
        <f>SUMIFS(estoque[quantidade],estoque[fornecedor],"&lt;&gt;saída",estoque[produto],preçodiario[[#Headers],[OVO VERMELHO B]],estoque[data],preçodiario[[#This Row],[data]])</f>
        <v>0</v>
      </c>
      <c r="AM16" s="20">
        <f>SUMIFS(estoque[valor total],estoque[fornecedor],"&lt;&gt;saída",estoque[produto],preçodiario[[#Headers],[OVO VERMELHO B]],estoque[data],preçodiario[[#This Row],[data]])</f>
        <v>0</v>
      </c>
      <c r="AN16" s="20">
        <f>IFERROR(preçodiario[[#This Row],[OVO VERMELHO B]]*preçodiario[[#This Row],[estoque BV]],0)</f>
        <v>0</v>
      </c>
      <c r="AO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Row],[data]])),((AO15*AP15)+SUMIFS(estoque[valor total],estoque[produto],preçodiario[[#Headers],[OVO VERMELHO C]],estoque[data],preçodiario[[#This Row],[data]],estoque[fornecedor],"&lt;&gt;saída"))/(AP15+(SUMIFS(estoque[quantidade],estoque[produto],preçodiario[[#Headers],[OVO VERMELHO C]],estoque[fornecedor],"&lt;&gt;saída",estoque[data],preçodiario[[#This Row],[data]])))))</f>
        <v/>
      </c>
      <c r="AP16" s="22">
        <f>IF(preçodiario[[#This Row],[entrada CV]]=0,AP15-(SUMIFS(estoque[quantidade],estoque[fornecedor],"saída",estoque[produto],preçodiario[[#Headers],[OVO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Row],[data]]))+AP15+preçodiario[[#This Row],[entrada CV]])</f>
        <v>0</v>
      </c>
      <c r="AQ16" s="22">
        <f>SUMIFS(estoque[quantidade],estoque[fornecedor],"&lt;&gt;saída",estoque[produto],preçodiario[[#Headers],[OVO VERMELHO C]],estoque[data],preçodiario[[#This Row],[data]])</f>
        <v>0</v>
      </c>
      <c r="AR16" s="20">
        <f>SUMIFS(estoque[valor total],estoque[fornecedor],"&lt;&gt;saída",estoque[produto],preçodiario[[#Headers],[OVO VERMELHO C]],estoque[data],preçodiario[[#This Row],[data]])</f>
        <v>0</v>
      </c>
      <c r="AS16" s="20">
        <f>IFERROR(preçodiario[[#This Row],[OVO VERMELHO C]]*preçodiario[[#This Row],[estoque CV]],0)</f>
        <v>0</v>
      </c>
      <c r="AT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Row],[data]])),((AT15*AU15)+SUMIFS(estoque[valor total],estoque[produto],preçodiario[[#Headers],[OVO VERMELHO EXTRA]],estoque[data],preçodiario[[#This Row],[data]],estoque[fornecedor],"&lt;&gt;saída"))/(AU15+(SUMIFS(estoque[quantidade],estoque[produto],preçodiario[[#Headers],[OVO VERMELHO EXTRA]],estoque[fornecedor],"&lt;&gt;saída",estoque[data],preçodiario[[#This Row],[data]])))))</f>
        <v/>
      </c>
      <c r="AU16" s="22">
        <f>IF(preçodiario[[#This Row],[entrada EV]]=0,AU15-(SUMIFS(estoque[quantidade],estoque[fornecedor],"saída",estoque[produto],preçodiario[[#Headers],[OVO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Row],[data]]))+AU15+preçodiario[[#This Row],[entrada EV]])</f>
        <v>0</v>
      </c>
      <c r="AV16" s="22">
        <f>SUMIFS(estoque[quantidade],estoque[fornecedor],"&lt;&gt;saída",estoque[produto],preçodiario[[#Headers],[OVO VERMELHO EXTRA]],estoque[data],preçodiario[[#This Row],[data]])</f>
        <v>0</v>
      </c>
      <c r="AW16" s="20">
        <f>SUMIFS(estoque[valor total],estoque[fornecedor],"&lt;&gt;saída",estoque[produto],preçodiario[[#Headers],[OVO VERMELHO EXTRA]],estoque[data],preçodiario[[#This Row],[data]])</f>
        <v>0</v>
      </c>
      <c r="AX16" s="20">
        <f>IFERROR(preçodiario[[#This Row],[OVO VERMELHO EXTRA]]*preçodiario[[#This Row],[estoque EV]],0)</f>
        <v>0</v>
      </c>
      <c r="AY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Row],[data]])),((AY15*AZ15)+SUMIFS(estoque[valor total],estoque[produto],preçodiario[[#Headers],[OVO VERMELHO JUMBO]],estoque[data],preçodiario[[#This Row],[data]],estoque[fornecedor],"&lt;&gt;saída"))/(AZ15+(SUMIFS(estoque[quantidade],estoque[produto],preçodiario[[#Headers],[OVO VERMELHO JUMBO]],estoque[fornecedor],"&lt;&gt;saída",estoque[data],preçodiario[[#This Row],[data]])))))</f>
        <v/>
      </c>
      <c r="AZ16" s="22">
        <f>IF(preçodiario[[#This Row],[entrada JV]]=0,AZ15-(SUMIFS(estoque[quantidade],estoque[fornecedor],"saída",estoque[produto],preçodiario[[#Headers],[OVO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Row],[data]]))+AZ15+preçodiario[[#This Row],[entrada JV]])</f>
        <v>0</v>
      </c>
      <c r="BA16" s="22">
        <f>SUMIFS(estoque[quantidade],estoque[fornecedor],"&lt;&gt;saída",estoque[produto],preçodiario[[#Headers],[OVO VERMELHO JUMBO]],estoque[data],preçodiario[[#This Row],[data]])</f>
        <v>0</v>
      </c>
      <c r="BB16" s="20">
        <f>SUMIFS(estoque[valor total],estoque[fornecedor],"&lt;&gt;saída",estoque[produto],preçodiario[[#Headers],[OVO VERMELHO JUMBO]],estoque[data],preçodiario[[#This Row],[data]])</f>
        <v>0</v>
      </c>
      <c r="BC16" s="20">
        <f>IFERROR(preçodiario[[#This Row],[OVO VERMELHO JUMBO]]*preçodiario[[#This Row],[estoque JV]],0)</f>
        <v>0</v>
      </c>
      <c r="BD16" t="str">
        <f>TEXT(vendaAno[[#This Row],[data]],"mmm")</f>
        <v>jan</v>
      </c>
      <c r="BE16" t="str">
        <f>TEXT(vendaAno[[#This Row],[data]],"ddd")</f>
        <v>qui</v>
      </c>
      <c r="BF16" s="82">
        <f>WEEKNUM(vendaAno[[#This Row],[data]],13)</f>
        <v>3</v>
      </c>
      <c r="BG16" s="27">
        <f>preçodiario[[#This Row],[data]]</f>
        <v>46037</v>
      </c>
      <c r="BH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" s="8">
        <f>IF(SUMIFS(estoque[valor total],estoque[fornecedor],"saída",estoque[data],vendaAno[[#This Row],[data]])=0,"",SUMIFS(estoque[valor total],estoque[fornecedor],"saída",estoque[data],vendaAno[[#This Row],[data]]))</f>
        <v>607</v>
      </c>
      <c r="BJ1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Row],[data]]))/12+BJ15,"")</f>
        <v>30.749999999999982</v>
      </c>
      <c r="BK16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16" s="8">
        <f ca="1">IF(vendaAno[[#This Row],[data]]&lt;=TODAY(),IF(SUMIFS(estoque[lucro],estoque[fornecedor],"saída",estoque[data],vendaAno[[#This Row],[data]])=0,AVERAGE(BL13:BL15),SUMIFS(estoque[lucro],estoque[fornecedor],"saída",estoque[data],vendaAno[[#This Row],[data]])),"")</f>
        <v>119.44</v>
      </c>
      <c r="BM16" s="10">
        <f ca="1">IFERROR(vendaAno[[#This Row],[lucro]]/vendaAno[[#This Row],[valor de venda]],"")</f>
        <v>0.19677100494233937</v>
      </c>
      <c r="BN1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5576.8370039823731</v>
      </c>
      <c r="BO16" s="8">
        <f ca="1">IF(TODAY()&gt;=vendaAno[[#This Row],[data]],IF(vendaAno[[#This Row],[N°]]=BF15,vendaAno[[#This Row],[lucro]]-173.33+BO15,vendaAno[[#This Row],[lucro]]-150),"")</f>
        <v>-25.430000000000007</v>
      </c>
      <c r="BP16" s="81">
        <f ca="1">IF(TODAY()&gt;=vendaAno[[#This Row],[data]],SUM(BK10:BK16)*12,"")</f>
        <v>240</v>
      </c>
      <c r="BQ16" s="7">
        <f ca="1">IFERROR(vendaAno[[#This Row],[lucro]]/(vendaAno[[#This Row],[venda]]*12),"")</f>
        <v>3.8529032258064517</v>
      </c>
      <c r="BT16" s="95">
        <f ca="1">WEEKNUM(PvPcML[[#This Row],[data]],13)</f>
        <v>29</v>
      </c>
      <c r="BU16" s="132">
        <f t="shared" ca="1" si="0"/>
        <v>46219</v>
      </c>
      <c r="BV16" s="7">
        <f ca="1">IFERROR(SUMIFS(vendaAno[valor de venda],vendaAno[data],PvPcML[[#This Row],[data]])/(SUMIFS(vendaAno[venda],vendaAno[data],PvPcML[[#This Row],[data]])*12),"")</f>
        <v>19.882352941176471</v>
      </c>
      <c r="BW16" s="7">
        <f ca="1">IFERROR(SUMIFS(vendaAno[valor de venda],vendaAno[data],PvPcML[[#This Row],[data]])/(SUMIFS(vendaAno[venda],vendaAno[data],PvPcML[[#This Row],[data]])*12)-PvPcML[[#This Row],[lucro médio]],"")</f>
        <v>15.577352941176471</v>
      </c>
      <c r="BX16" s="7">
        <f ca="1">IF(SUMIFS(vendaAno[[lucro médio ]],vendaAno[data],PvPcML[[#This Row],[data]])=0,"",SUMIFS(vendaAno[[lucro médio ]],vendaAno[data],PvPcML[[#This Row],[data]]))</f>
        <v>4.3049999999999997</v>
      </c>
      <c r="BY16" s="90">
        <v>15</v>
      </c>
      <c r="BZ16" s="89">
        <f t="shared" si="1"/>
        <v>46121</v>
      </c>
      <c r="CA16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15.916666666666666</v>
      </c>
      <c r="CB1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3.5833333333333335</v>
      </c>
      <c r="CC16" s="7">
        <f ca="1">IFERROR(SUMIFS(vendaAno[lucro],vendaAno[data],"&gt;="&amp;semanal[[#This Row],[semana]],vendaAno[data],"&lt;="&amp;semanal[[#This Row],[semana]]+6)/((semanal[[#This Row],[varejo]]+semanal[[#This Row],[atacado]])*12),"")</f>
        <v>4.6219658119658122</v>
      </c>
      <c r="CD16" s="82">
        <f ca="1">IFERROR(AVERAGEIFS(vendaAno[venda],vendaAno[data],"&gt;="&amp;semanal[[#This Row],[semana]],vendaAno[data],"&lt;="&amp;semanal[[#This Row],[semana]]+6),"")</f>
        <v>2.7857142857142856</v>
      </c>
      <c r="CE16" s="82">
        <f ca="1">IFERROR((150/semanal[[#This Row],[lucro médio por cartela]])/12,"")</f>
        <v>2.7044769495349219</v>
      </c>
    </row>
    <row r="17" spans="1:83" x14ac:dyDescent="0.25">
      <c r="A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7" s="18" t="str">
        <f>TEXT(preçodiario[[#This Row],[data]],"MMM")</f>
        <v>jan</v>
      </c>
      <c r="C17" s="18" t="str">
        <f>TEXT(preçodiario[[#This Row],[data]],"ddd")</f>
        <v>sex</v>
      </c>
      <c r="D17" s="96">
        <f>WEEKNUM(preçodiario[[#This Row],[data]],13)</f>
        <v>3</v>
      </c>
      <c r="E17" s="37">
        <v>46038</v>
      </c>
      <c r="F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Row],[data]])),((F16*G16)+SUMIFS(estoque[valor total],estoque[produto],preçodiario[[#Headers],[OVO BRANCO A]],estoque[data],preçodiario[[#This Row],[data]],estoque[fornecedor],"&lt;&gt;saída"))/(G16+(SUMIFS(estoque[quantidade],estoque[produto],preçodiario[[#Headers],[OVO BRANCO A]],estoque[fornecedor],"&lt;&gt;saída",estoque[data],preçodiario[[#This Row],[data]])))))</f>
        <v>15.349879138719887</v>
      </c>
      <c r="G17" s="22">
        <f>IF(preçodiario[[#This Row],[entrada A]]=0,G16-(SUMIFS(estoque[quantidade],estoque[fornecedor],"saída",estoque[produto],preçodiario[[#Headers],[OVO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Row],[data]]))+G16+preçodiario[[#This Row],[entrada A]])</f>
        <v>190</v>
      </c>
      <c r="H17" s="22">
        <f>SUMIFS(estoque[quantidade],estoque[fornecedor],"&lt;&gt;saída",estoque[produto],preçodiario[[#Headers],[OVO BRANCO A]],estoque[data],preçodiario[[#This Row],[data]])</f>
        <v>60</v>
      </c>
      <c r="I17" s="20">
        <f>SUMIFS(estoque[valor total],estoque[fornecedor],"&lt;&gt;saída",estoque[produto],preçodiario[[#Headers],[OVO BRANCO A]],estoque[data],preçodiario[[#This Row],[data]])</f>
        <v>900</v>
      </c>
      <c r="J17" s="20">
        <f>IFERROR(preçodiario[[#This Row],[estoque A]]*preçodiario[[#This Row],[OVO BRANCO A]],0)</f>
        <v>2916.4770363567786</v>
      </c>
      <c r="K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Row],[data]])),((K16*L16)+SUMIFS(estoque[valor total],estoque[produto],preçodiario[[#Headers],[OVO BRANCO B]],estoque[data],preçodiario[[#This Row],[data]],estoque[fornecedor],"&lt;&gt;saída"))/(L16+(SUMIFS(estoque[quantidade],estoque[produto],preçodiario[[#Headers],[OVO BRANCO B]],estoque[fornecedor],"&lt;&gt;saída",estoque[data],preçodiario[[#This Row],[data]])))))</f>
        <v>14.967973974399889</v>
      </c>
      <c r="L17" s="22">
        <f>IF(preçodiario[[#This Row],[entrada B]]=0,L16-(SUMIFS(estoque[quantidade],estoque[fornecedor],"saída",estoque[produto],preçodiario[[#Headers],[OVO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Row],[data]]))+L16+preçodiario[[#This Row],[entrada B]])</f>
        <v>113</v>
      </c>
      <c r="M17" s="22">
        <f>SUMIFS(estoque[quantidade],estoque[fornecedor],"&lt;&gt;saída",estoque[produto],preçodiario[[#Headers],[OVO BRANCO B]],estoque[data],preçodiario[[#This Row],[data]])</f>
        <v>0</v>
      </c>
      <c r="N17" s="20">
        <f>SUMIFS(estoque[valor total],estoque[fornecedor],"&lt;&gt;saída",estoque[produto],preçodiario[[#Headers],[OVO BRANCO B]],estoque[data],preçodiario[[#This Row],[data]])</f>
        <v>0</v>
      </c>
      <c r="O17" s="20">
        <f>IFERROR(preçodiario[[#This Row],[OVO BRANCO B]]*preçodiario[[#This Row],[estoque B]],0)</f>
        <v>1691.3810591071874</v>
      </c>
      <c r="P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Row],[data]])),((P16*Q16)+SUMIFS(estoque[valor total],estoque[produto],preçodiario[[#Headers],[OVO BRANCO C]],estoque[data],preçodiario[[#This Row],[data]],estoque[fornecedor],"&lt;&gt;saída"))/(Q16+(SUMIFS(estoque[quantidade],estoque[produto],preçodiario[[#Headers],[OVO BRANCO C]],estoque[fornecedor],"&lt;&gt;saída",estoque[data],preçodiario[[#This Row],[data]])))))</f>
        <v>13.874671916010501</v>
      </c>
      <c r="Q17" s="22">
        <f>IF(preçodiario[[#This Row],[entrada C]]=0,Q16-(SUMIFS(estoque[quantidade],estoque[fornecedor],"saída",estoque[produto],preçodiario[[#Headers],[OVO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Row],[data]]))+Q16+preçodiario[[#This Row],[entrada C]])</f>
        <v>60</v>
      </c>
      <c r="R17" s="22">
        <f>SUMIFS(estoque[quantidade],estoque[fornecedor],"&lt;&gt;saída",estoque[produto],preçodiario[[#Headers],[OVO BRANCO C]],estoque[data],preçodiario[[#This Row],[data]])</f>
        <v>0</v>
      </c>
      <c r="S17" s="20">
        <f>SUMIFS(estoque[valor total],estoque[fornecedor],"&lt;&gt;saída",estoque[produto],preçodiario[[#Headers],[OVO BRANCO C]],estoque[data],preçodiario[[#This Row],[data]])</f>
        <v>0</v>
      </c>
      <c r="T17" s="20">
        <f>IFERROR(preçodiario[[#This Row],[OVO BRANCO C]]*preçodiario[[#This Row],[estoque C]],0)</f>
        <v>832.48031496063004</v>
      </c>
      <c r="U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Row],[data]])),((U16*V16)+SUMIFS(estoque[valor total],estoque[produto],preçodiario[[#Headers],[OVO BRANCO EXTRA]],estoque[data],preçodiario[[#This Row],[data]],estoque[fornecedor],"&lt;&gt;saída"))/(V16+(SUMIFS(estoque[quantidade],estoque[produto],preçodiario[[#Headers],[OVO BRANCO EXTRA]],estoque[fornecedor],"&lt;&gt;saída",estoque[data],preçodiario[[#This Row],[data]])))))</f>
        <v>15.275689007741027</v>
      </c>
      <c r="V17" s="22">
        <f>IF(preçodiario[[#This Row],[entrada E]]=0,V16-(SUMIFS(estoque[quantidade],estoque[fornecedor],"saída",estoque[produto],preçodiario[[#Headers],[OVO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Row],[data]]))+V16+preçodiario[[#This Row],[entrada E]])</f>
        <v>150</v>
      </c>
      <c r="W17" s="22">
        <f>SUMIFS(estoque[quantidade],estoque[fornecedor],"&lt;&gt;saída",estoque[produto],preçodiario[[#Headers],[OVO BRANCO EXTRA]],estoque[data],preçodiario[[#This Row],[data]])</f>
        <v>132</v>
      </c>
      <c r="X17" s="20">
        <f>SUMIFS(estoque[valor total],estoque[fornecedor],"&lt;&gt;saída",estoque[produto],preçodiario[[#Headers],[OVO BRANCO EXTRA]],estoque[data],preçodiario[[#This Row],[data]])</f>
        <v>1980</v>
      </c>
      <c r="Y17" s="20">
        <f>IFERROR(preçodiario[[#This Row],[estoque E]]*preçodiario[[#This Row],[OVO BRANCO EXTRA]],0)</f>
        <v>2291.353351161154</v>
      </c>
      <c r="Z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Row],[data]])),((Z16*AA16)+SUMIFS(estoque[valor total],estoque[produto],preçodiario[[#Headers],[OVO BRANCO JUMBO]],estoque[data],preçodiario[[#This Row],[data]],estoque[fornecedor],"&lt;&gt;saída"))/(AA16+(SUMIFS(estoque[quantidade],estoque[produto],preçodiario[[#Headers],[OVO BRANCO JUMBO]],estoque[fornecedor],"&lt;&gt;saída",estoque[data],preçodiario[[#This Row],[data]])))))</f>
        <v>17.5</v>
      </c>
      <c r="AA17" s="22">
        <f>IF(preçodiario[[#This Row],[entrada J]]=0,AA16-(SUMIFS(estoque[quantidade],estoque[fornecedor],"saída",estoque[produto],preçodiario[[#Headers],[OVO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Row],[data]]))+AA16+preçodiario[[#This Row],[entrada J]])</f>
        <v>18</v>
      </c>
      <c r="AB17" s="22">
        <f>SUMIFS(estoque[quantidade],estoque[fornecedor],"&lt;&gt;saída",estoque[produto],preçodiario[[#Headers],[OVO BRANCO JUMBO]],estoque[data],preçodiario[[#This Row],[data]])</f>
        <v>24</v>
      </c>
      <c r="AC17" s="20">
        <f>SUMIFS(estoque[valor total],estoque[fornecedor],"&lt;&gt;saída",estoque[produto],preçodiario[[#Headers],[OVO BRANCO JUMBO]],estoque[data],preçodiario[[#This Row],[data]])</f>
        <v>420</v>
      </c>
      <c r="AD17" s="20">
        <f>IFERROR(preçodiario[[#This Row],[OVO BRANCO JUMBO]]*preçodiario[[#This Row],[estoque J]],0)</f>
        <v>315</v>
      </c>
      <c r="AE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Row],[data]])),((AE16*AF16)+SUMIFS(estoque[valor total],estoque[produto],preçodiario[[#Headers],[OVO VERMELHO A]],estoque[data],preçodiario[[#This Row],[data]],estoque[fornecedor],"&lt;&gt;saída"))/(AF16+(SUMIFS(estoque[quantidade],estoque[produto],preçodiario[[#Headers],[OVO VERMELHO A]],estoque[fornecedor],"&lt;&gt;saída",estoque[data],preçodiario[[#This Row],[data]])))))</f>
        <v/>
      </c>
      <c r="AF17" s="22">
        <f>IF(preçodiario[[#This Row],[entrada AV]]=0,AF16-(SUMIFS(estoque[quantidade],estoque[fornecedor],"saída",estoque[produto],preçodiario[[#Headers],[OVO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Row],[data]]))+AF16+preçodiario[[#This Row],[entrada AV]])</f>
        <v>0</v>
      </c>
      <c r="AG17" s="22">
        <f>SUMIFS(estoque[quantidade],estoque[fornecedor],"&lt;&gt;saída",estoque[produto],preçodiario[[#Headers],[OVO VERMELHO A]],estoque[data],preçodiario[[#This Row],[data]])</f>
        <v>0</v>
      </c>
      <c r="AH17" s="20">
        <f>SUMIFS(estoque[valor total],estoque[fornecedor],"&lt;&gt;saída",estoque[produto],preçodiario[[#Headers],[OVO VERMELHO A]],estoque[data],preçodiario[[#This Row],[data]])</f>
        <v>0</v>
      </c>
      <c r="AI17" s="20">
        <f>IFERROR(preçodiario[[#This Row],[OVO VERMELHO A]]*preçodiario[[#This Row],[estoque AV]],0)</f>
        <v>0</v>
      </c>
      <c r="AJ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Row],[data]])),((AJ16*AK16)+SUMIFS(estoque[valor total],estoque[produto],preçodiario[[#Headers],[OVO VERMELHO B]],estoque[data],preçodiario[[#This Row],[data]],estoque[fornecedor],"&lt;&gt;saída"))/(AK16+(SUMIFS(estoque[quantidade],estoque[produto],preçodiario[[#Headers],[OVO VERMELHO B]],estoque[fornecedor],"&lt;&gt;saída",estoque[data],preçodiario[[#This Row],[data]])))))</f>
        <v/>
      </c>
      <c r="AK17" s="22">
        <f>IF(preçodiario[[#This Row],[entrada BV]]=0,AK16-(SUMIFS(estoque[quantidade],estoque[fornecedor],"saída",estoque[produto],preçodiario[[#Headers],[OVO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Row],[data]]))+AK16+preçodiario[[#This Row],[entrada BV]])</f>
        <v>0</v>
      </c>
      <c r="AL17" s="22">
        <f>SUMIFS(estoque[quantidade],estoque[fornecedor],"&lt;&gt;saída",estoque[produto],preçodiario[[#Headers],[OVO VERMELHO B]],estoque[data],preçodiario[[#This Row],[data]])</f>
        <v>0</v>
      </c>
      <c r="AM17" s="20">
        <f>SUMIFS(estoque[valor total],estoque[fornecedor],"&lt;&gt;saída",estoque[produto],preçodiario[[#Headers],[OVO VERMELHO B]],estoque[data],preçodiario[[#This Row],[data]])</f>
        <v>0</v>
      </c>
      <c r="AN17" s="20">
        <f>IFERROR(preçodiario[[#This Row],[OVO VERMELHO B]]*preçodiario[[#This Row],[estoque BV]],0)</f>
        <v>0</v>
      </c>
      <c r="AO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Row],[data]])),((AO16*AP16)+SUMIFS(estoque[valor total],estoque[produto],preçodiario[[#Headers],[OVO VERMELHO C]],estoque[data],preçodiario[[#This Row],[data]],estoque[fornecedor],"&lt;&gt;saída"))/(AP16+(SUMIFS(estoque[quantidade],estoque[produto],preçodiario[[#Headers],[OVO VERMELHO C]],estoque[fornecedor],"&lt;&gt;saída",estoque[data],preçodiario[[#This Row],[data]])))))</f>
        <v/>
      </c>
      <c r="AP17" s="22">
        <f>IF(preçodiario[[#This Row],[entrada CV]]=0,AP16-(SUMIFS(estoque[quantidade],estoque[fornecedor],"saída",estoque[produto],preçodiario[[#Headers],[OVO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Row],[data]]))+AP16+preçodiario[[#This Row],[entrada CV]])</f>
        <v>0</v>
      </c>
      <c r="AQ17" s="22">
        <f>SUMIFS(estoque[quantidade],estoque[fornecedor],"&lt;&gt;saída",estoque[produto],preçodiario[[#Headers],[OVO VERMELHO C]],estoque[data],preçodiario[[#This Row],[data]])</f>
        <v>0</v>
      </c>
      <c r="AR17" s="20">
        <f>SUMIFS(estoque[valor total],estoque[fornecedor],"&lt;&gt;saída",estoque[produto],preçodiario[[#Headers],[OVO VERMELHO C]],estoque[data],preçodiario[[#This Row],[data]])</f>
        <v>0</v>
      </c>
      <c r="AS17" s="20">
        <f>IFERROR(preçodiario[[#This Row],[OVO VERMELHO C]]*preçodiario[[#This Row],[estoque CV]],0)</f>
        <v>0</v>
      </c>
      <c r="AT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Row],[data]])),((AT16*AU16)+SUMIFS(estoque[valor total],estoque[produto],preçodiario[[#Headers],[OVO VERMELHO EXTRA]],estoque[data],preçodiario[[#This Row],[data]],estoque[fornecedor],"&lt;&gt;saída"))/(AU16+(SUMIFS(estoque[quantidade],estoque[produto],preçodiario[[#Headers],[OVO VERMELHO EXTRA]],estoque[fornecedor],"&lt;&gt;saída",estoque[data],preçodiario[[#This Row],[data]])))))</f>
        <v/>
      </c>
      <c r="AU17" s="22">
        <f>IF(preçodiario[[#This Row],[entrada EV]]=0,AU16-(SUMIFS(estoque[quantidade],estoque[fornecedor],"saída",estoque[produto],preçodiario[[#Headers],[OVO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Row],[data]]))+AU16+preçodiario[[#This Row],[entrada EV]])</f>
        <v>0</v>
      </c>
      <c r="AV17" s="22">
        <f>SUMIFS(estoque[quantidade],estoque[fornecedor],"&lt;&gt;saída",estoque[produto],preçodiario[[#Headers],[OVO VERMELHO EXTRA]],estoque[data],preçodiario[[#This Row],[data]])</f>
        <v>0</v>
      </c>
      <c r="AW17" s="20">
        <f>SUMIFS(estoque[valor total],estoque[fornecedor],"&lt;&gt;saída",estoque[produto],preçodiario[[#Headers],[OVO VERMELHO EXTRA]],estoque[data],preçodiario[[#This Row],[data]])</f>
        <v>0</v>
      </c>
      <c r="AX17" s="20">
        <f>IFERROR(preçodiario[[#This Row],[OVO VERMELHO EXTRA]]*preçodiario[[#This Row],[estoque EV]],0)</f>
        <v>0</v>
      </c>
      <c r="AY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Row],[data]])),((AY16*AZ16)+SUMIFS(estoque[valor total],estoque[produto],preçodiario[[#Headers],[OVO VERMELHO JUMBO]],estoque[data],preçodiario[[#This Row],[data]],estoque[fornecedor],"&lt;&gt;saída"))/(AZ16+(SUMIFS(estoque[quantidade],estoque[produto],preçodiario[[#Headers],[OVO VERMELHO JUMBO]],estoque[fornecedor],"&lt;&gt;saída",estoque[data],preçodiario[[#This Row],[data]])))))</f>
        <v/>
      </c>
      <c r="AZ17" s="22">
        <f>IF(preçodiario[[#This Row],[entrada JV]]=0,AZ16-(SUMIFS(estoque[quantidade],estoque[fornecedor],"saída",estoque[produto],preçodiario[[#Headers],[OVO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Row],[data]]))+AZ16+preçodiario[[#This Row],[entrada JV]])</f>
        <v>0</v>
      </c>
      <c r="BA17" s="22">
        <f>SUMIFS(estoque[quantidade],estoque[fornecedor],"&lt;&gt;saída",estoque[produto],preçodiario[[#Headers],[OVO VERMELHO JUMBO]],estoque[data],preçodiario[[#This Row],[data]])</f>
        <v>0</v>
      </c>
      <c r="BB17" s="20">
        <f>SUMIFS(estoque[valor total],estoque[fornecedor],"&lt;&gt;saída",estoque[produto],preçodiario[[#Headers],[OVO VERMELHO JUMBO]],estoque[data],preçodiario[[#This Row],[data]])</f>
        <v>0</v>
      </c>
      <c r="BC17" s="20">
        <f>IFERROR(preçodiario[[#This Row],[OVO VERMELHO JUMBO]]*preçodiario[[#This Row],[estoque JV]],0)</f>
        <v>0</v>
      </c>
      <c r="BD17" t="str">
        <f>TEXT(vendaAno[[#This Row],[data]],"mmm")</f>
        <v>jan</v>
      </c>
      <c r="BE17" t="str">
        <f>TEXT(vendaAno[[#This Row],[data]],"ddd")</f>
        <v>sex</v>
      </c>
      <c r="BF17" s="82">
        <f>WEEKNUM(vendaAno[[#This Row],[data]],13)</f>
        <v>3</v>
      </c>
      <c r="BG17" s="27">
        <f>preçodiario[[#This Row],[data]]</f>
        <v>46038</v>
      </c>
      <c r="BH17" s="8">
        <f>IF(SUMIFS(estoque[valor total],estoque[fornecedor],"&lt;&gt;saída",estoque[data],vendaAno[[#This Row],[data]])=0,"",SUMIFS(estoque[valor total],estoque[fornecedor],"&lt;&gt;saída",estoque[data],vendaAno[[#This Row],[data]]))</f>
        <v>3300</v>
      </c>
      <c r="BI17" s="8">
        <f>IF(SUMIFS(estoque[valor total],estoque[fornecedor],"saída",estoque[data],vendaAno[[#This Row],[data]])=0,"",SUMIFS(estoque[valor total],estoque[fornecedor],"saída",estoque[data],vendaAno[[#This Row],[data]]))</f>
        <v>1059</v>
      </c>
      <c r="BJ1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Row],[data]]))/12+BJ16,"")</f>
        <v>44.249999999999986</v>
      </c>
      <c r="BK17" s="79">
        <f>IF(SUMIFS(estoque[quantidade],estoque[fornecedor],"saída",estoque[data],vendaAno[[#This Row],[data]])/12=0,"",SUMIFS(estoque[quantidade],estoque[fornecedor],"saída",estoque[data],vendaAno[[#This Row],[data]])/12)</f>
        <v>4.5</v>
      </c>
      <c r="BL17" s="8">
        <f ca="1">IF(vendaAno[[#This Row],[data]]&lt;=TODAY(),IF(SUMIFS(estoque[lucro],estoque[fornecedor],"saída",estoque[data],vendaAno[[#This Row],[data]])=0,AVERAGE(BL14:BL16),SUMIFS(estoque[lucro],estoque[fornecedor],"saída",estoque[data],vendaAno[[#This Row],[data]])),"")</f>
        <v>218.84999999999997</v>
      </c>
      <c r="BM17" s="10">
        <f ca="1">IFERROR(vendaAno[[#This Row],[lucro]]/vendaAno[[#This Row],[valor de venda]],"")</f>
        <v>0.20665722379603396</v>
      </c>
      <c r="BN1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8046.6917615857501</v>
      </c>
      <c r="BO17" s="8">
        <f ca="1">IF(TODAY()&gt;=vendaAno[[#This Row],[data]],IF(vendaAno[[#This Row],[N°]]=BF16,vendaAno[[#This Row],[lucro]]-173.33+BO16,vendaAno[[#This Row],[lucro]]-150),"")</f>
        <v>20.089999999999947</v>
      </c>
      <c r="BP17" s="81">
        <f ca="1">IF(TODAY()&gt;=vendaAno[[#This Row],[data]],SUM(BK11:BK17)*12,"")</f>
        <v>250.99999999999997</v>
      </c>
      <c r="BQ17" s="7">
        <f ca="1">IFERROR(vendaAno[[#This Row],[lucro]]/(vendaAno[[#This Row],[venda]]*12),"")</f>
        <v>4.0527777777777771</v>
      </c>
      <c r="BT17" s="95">
        <f ca="1">WEEKNUM(PvPcML[[#This Row],[data]],13)</f>
        <v>29</v>
      </c>
      <c r="BU17" s="132">
        <f t="shared" ca="1" si="0"/>
        <v>46218</v>
      </c>
      <c r="BV17" s="7">
        <f ca="1">IFERROR(SUMIFS(vendaAno[valor de venda],vendaAno[data],PvPcML[[#This Row],[data]])/(SUMIFS(vendaAno[venda],vendaAno[data],PvPcML[[#This Row],[data]])*12),"")</f>
        <v>19.692307692307693</v>
      </c>
      <c r="BW17" s="7">
        <f ca="1">IFERROR(SUMIFS(vendaAno[valor de venda],vendaAno[data],PvPcML[[#This Row],[data]])/(SUMIFS(vendaAno[venda],vendaAno[data],PvPcML[[#This Row],[data]])*12)-PvPcML[[#This Row],[lucro médio]],"")</f>
        <v>15.316923076923079</v>
      </c>
      <c r="BX17" s="7">
        <f ca="1">IF(SUMIFS(vendaAno[[lucro médio ]],vendaAno[data],PvPcML[[#This Row],[data]])=0,"",SUMIFS(vendaAno[[lucro médio ]],vendaAno[data],PvPcML[[#This Row],[data]]))</f>
        <v>4.3753846153846148</v>
      </c>
      <c r="BY17" s="91">
        <v>16</v>
      </c>
      <c r="BZ17" s="89">
        <f t="shared" si="1"/>
        <v>46128</v>
      </c>
      <c r="CA17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14.499999999999996</v>
      </c>
      <c r="CB1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5.166666666666667</v>
      </c>
      <c r="CC17" s="7">
        <f ca="1">IFERROR(SUMIFS(vendaAno[lucro],vendaAno[data],"&gt;="&amp;semanal[[#This Row],[semana]],vendaAno[data],"&lt;="&amp;semanal[[#This Row],[semana]]+6)/((semanal[[#This Row],[varejo]]+semanal[[#This Row],[atacado]])*12),"")</f>
        <v>4.2118644067796609</v>
      </c>
      <c r="CD17" s="82">
        <f ca="1">IFERROR(AVERAGEIFS(vendaAno[venda],vendaAno[data],"&gt;="&amp;semanal[[#This Row],[semana]],vendaAno[data],"&lt;="&amp;semanal[[#This Row],[semana]]+6),"")</f>
        <v>2.8095238095238093</v>
      </c>
      <c r="CE17" s="82">
        <f ca="1">IFERROR((150/semanal[[#This Row],[lucro médio por cartela]])/12,"")</f>
        <v>2.9678068410462775</v>
      </c>
    </row>
    <row r="18" spans="1:83" x14ac:dyDescent="0.25">
      <c r="A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8" s="18" t="str">
        <f>TEXT(preçodiario[[#This Row],[data]],"MMM")</f>
        <v>jan</v>
      </c>
      <c r="C18" s="18" t="str">
        <f>TEXT(preçodiario[[#This Row],[data]],"ddd")</f>
        <v>sáb</v>
      </c>
      <c r="D18" s="96">
        <f>WEEKNUM(preçodiario[[#This Row],[data]],13)</f>
        <v>3</v>
      </c>
      <c r="E18" s="37">
        <v>46039</v>
      </c>
      <c r="F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Row],[data]])),((F17*G17)+SUMIFS(estoque[valor total],estoque[produto],preçodiario[[#Headers],[OVO BRANCO A]],estoque[data],preçodiario[[#This Row],[data]],estoque[fornecedor],"&lt;&gt;saída"))/(G17+(SUMIFS(estoque[quantidade],estoque[produto],preçodiario[[#Headers],[OVO BRANCO A]],estoque[fornecedor],"&lt;&gt;saída",estoque[data],preçodiario[[#This Row],[data]])))))</f>
        <v>15.349879138719887</v>
      </c>
      <c r="G18" s="22">
        <f>IF(preçodiario[[#This Row],[entrada A]]=0,G17-(SUMIFS(estoque[quantidade],estoque[fornecedor],"saída",estoque[produto],preçodiario[[#Headers],[OVO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Row],[data]]))+G17+preçodiario[[#This Row],[entrada A]])</f>
        <v>187</v>
      </c>
      <c r="H18" s="22">
        <f>SUMIFS(estoque[quantidade],estoque[fornecedor],"&lt;&gt;saída",estoque[produto],preçodiario[[#Headers],[OVO BRANCO A]],estoque[data],preçodiario[[#This Row],[data]])</f>
        <v>0</v>
      </c>
      <c r="I18" s="20">
        <f>SUMIFS(estoque[valor total],estoque[fornecedor],"&lt;&gt;saída",estoque[produto],preçodiario[[#Headers],[OVO BRANCO A]],estoque[data],preçodiario[[#This Row],[data]])</f>
        <v>0</v>
      </c>
      <c r="J18" s="20">
        <f>IFERROR(preçodiario[[#This Row],[estoque A]]*preçodiario[[#This Row],[OVO BRANCO A]],0)</f>
        <v>2870.4273989406188</v>
      </c>
      <c r="K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Row],[data]])),((K17*L17)+SUMIFS(estoque[valor total],estoque[produto],preçodiario[[#Headers],[OVO BRANCO B]],estoque[data],preçodiario[[#This Row],[data]],estoque[fornecedor],"&lt;&gt;saída"))/(L17+(SUMIFS(estoque[quantidade],estoque[produto],preçodiario[[#Headers],[OVO BRANCO B]],estoque[fornecedor],"&lt;&gt;saída",estoque[data],preçodiario[[#This Row],[data]])))))</f>
        <v>14.967973974399889</v>
      </c>
      <c r="L18" s="22">
        <f>IF(preçodiario[[#This Row],[entrada B]]=0,L17-(SUMIFS(estoque[quantidade],estoque[fornecedor],"saída",estoque[produto],preçodiario[[#Headers],[OVO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Row],[data]]))+L17+preçodiario[[#This Row],[entrada B]])</f>
        <v>112</v>
      </c>
      <c r="M18" s="22">
        <f>SUMIFS(estoque[quantidade],estoque[fornecedor],"&lt;&gt;saída",estoque[produto],preçodiario[[#Headers],[OVO BRANCO B]],estoque[data],preçodiario[[#This Row],[data]])</f>
        <v>0</v>
      </c>
      <c r="N18" s="20">
        <f>SUMIFS(estoque[valor total],estoque[fornecedor],"&lt;&gt;saída",estoque[produto],preçodiario[[#Headers],[OVO BRANCO B]],estoque[data],preçodiario[[#This Row],[data]])</f>
        <v>0</v>
      </c>
      <c r="O18" s="20">
        <f>IFERROR(preçodiario[[#This Row],[OVO BRANCO B]]*preçodiario[[#This Row],[estoque B]],0)</f>
        <v>1676.4130851327877</v>
      </c>
      <c r="P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Row],[data]])),((P17*Q17)+SUMIFS(estoque[valor total],estoque[produto],preçodiario[[#Headers],[OVO BRANCO C]],estoque[data],preçodiario[[#This Row],[data]],estoque[fornecedor],"&lt;&gt;saída"))/(Q17+(SUMIFS(estoque[quantidade],estoque[produto],preçodiario[[#Headers],[OVO BRANCO C]],estoque[fornecedor],"&lt;&gt;saída",estoque[data],preçodiario[[#This Row],[data]])))))</f>
        <v>13.874671916010501</v>
      </c>
      <c r="Q18" s="22">
        <f>IF(preçodiario[[#This Row],[entrada C]]=0,Q17-(SUMIFS(estoque[quantidade],estoque[fornecedor],"saída",estoque[produto],preçodiario[[#Headers],[OVO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Row],[data]]))+Q17+preçodiario[[#This Row],[entrada C]])</f>
        <v>60</v>
      </c>
      <c r="R18" s="22">
        <f>SUMIFS(estoque[quantidade],estoque[fornecedor],"&lt;&gt;saída",estoque[produto],preçodiario[[#Headers],[OVO BRANCO C]],estoque[data],preçodiario[[#This Row],[data]])</f>
        <v>0</v>
      </c>
      <c r="S18" s="20">
        <f>SUMIFS(estoque[valor total],estoque[fornecedor],"&lt;&gt;saída",estoque[produto],preçodiario[[#Headers],[OVO BRANCO C]],estoque[data],preçodiario[[#This Row],[data]])</f>
        <v>0</v>
      </c>
      <c r="T18" s="20">
        <f>IFERROR(preçodiario[[#This Row],[OVO BRANCO C]]*preçodiario[[#This Row],[estoque C]],0)</f>
        <v>832.48031496063004</v>
      </c>
      <c r="U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Row],[data]])),((U17*V17)+SUMIFS(estoque[valor total],estoque[produto],preçodiario[[#Headers],[OVO BRANCO EXTRA]],estoque[data],preçodiario[[#This Row],[data]],estoque[fornecedor],"&lt;&gt;saída"))/(V17+(SUMIFS(estoque[quantidade],estoque[produto],preçodiario[[#Headers],[OVO BRANCO EXTRA]],estoque[fornecedor],"&lt;&gt;saída",estoque[data],preçodiario[[#This Row],[data]])))))</f>
        <v>15.275689007741027</v>
      </c>
      <c r="V18" s="22">
        <f>IF(preçodiario[[#This Row],[entrada E]]=0,V17-(SUMIFS(estoque[quantidade],estoque[fornecedor],"saída",estoque[produto],preçodiario[[#Headers],[OVO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Row],[data]]))+V17+preçodiario[[#This Row],[entrada E]])</f>
        <v>149</v>
      </c>
      <c r="W18" s="22">
        <f>SUMIFS(estoque[quantidade],estoque[fornecedor],"&lt;&gt;saída",estoque[produto],preçodiario[[#Headers],[OVO BRANCO EXTRA]],estoque[data],preçodiario[[#This Row],[data]])</f>
        <v>0</v>
      </c>
      <c r="X18" s="20">
        <f>SUMIFS(estoque[valor total],estoque[fornecedor],"&lt;&gt;saída",estoque[produto],preçodiario[[#Headers],[OVO BRANCO EXTRA]],estoque[data],preçodiario[[#This Row],[data]])</f>
        <v>0</v>
      </c>
      <c r="Y18" s="20">
        <f>IFERROR(preçodiario[[#This Row],[estoque E]]*preçodiario[[#This Row],[OVO BRANCO EXTRA]],0)</f>
        <v>2276.0776621534133</v>
      </c>
      <c r="Z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Row],[data]])),((Z17*AA17)+SUMIFS(estoque[valor total],estoque[produto],preçodiario[[#Headers],[OVO BRANCO JUMBO]],estoque[data],preçodiario[[#This Row],[data]],estoque[fornecedor],"&lt;&gt;saída"))/(AA17+(SUMIFS(estoque[quantidade],estoque[produto],preçodiario[[#Headers],[OVO BRANCO JUMBO]],estoque[fornecedor],"&lt;&gt;saída",estoque[data],preçodiario[[#This Row],[data]])))))</f>
        <v>17.5</v>
      </c>
      <c r="AA18" s="22">
        <f>IF(preçodiario[[#This Row],[entrada J]]=0,AA17-(SUMIFS(estoque[quantidade],estoque[fornecedor],"saída",estoque[produto],preçodiario[[#Headers],[OVO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Row],[data]]))+AA17+preçodiario[[#This Row],[entrada J]])</f>
        <v>17</v>
      </c>
      <c r="AB18" s="22">
        <f>SUMIFS(estoque[quantidade],estoque[fornecedor],"&lt;&gt;saída",estoque[produto],preçodiario[[#Headers],[OVO BRANCO JUMBO]],estoque[data],preçodiario[[#This Row],[data]])</f>
        <v>0</v>
      </c>
      <c r="AC18" s="20">
        <f>SUMIFS(estoque[valor total],estoque[fornecedor],"&lt;&gt;saída",estoque[produto],preçodiario[[#Headers],[OVO BRANCO JUMBO]],estoque[data],preçodiario[[#This Row],[data]])</f>
        <v>0</v>
      </c>
      <c r="AD18" s="20">
        <f>IFERROR(preçodiario[[#This Row],[OVO BRANCO JUMBO]]*preçodiario[[#This Row],[estoque J]],0)</f>
        <v>297.5</v>
      </c>
      <c r="AE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Row],[data]])),((AE17*AF17)+SUMIFS(estoque[valor total],estoque[produto],preçodiario[[#Headers],[OVO VERMELHO A]],estoque[data],preçodiario[[#This Row],[data]],estoque[fornecedor],"&lt;&gt;saída"))/(AF17+(SUMIFS(estoque[quantidade],estoque[produto],preçodiario[[#Headers],[OVO VERMELHO A]],estoque[fornecedor],"&lt;&gt;saída",estoque[data],preçodiario[[#This Row],[data]])))))</f>
        <v/>
      </c>
      <c r="AF18" s="22">
        <f>IF(preçodiario[[#This Row],[entrada AV]]=0,AF17-(SUMIFS(estoque[quantidade],estoque[fornecedor],"saída",estoque[produto],preçodiario[[#Headers],[OVO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Row],[data]]))+AF17+preçodiario[[#This Row],[entrada AV]])</f>
        <v>0</v>
      </c>
      <c r="AG18" s="22">
        <f>SUMIFS(estoque[quantidade],estoque[fornecedor],"&lt;&gt;saída",estoque[produto],preçodiario[[#Headers],[OVO VERMELHO A]],estoque[data],preçodiario[[#This Row],[data]])</f>
        <v>0</v>
      </c>
      <c r="AH18" s="20">
        <f>SUMIFS(estoque[valor total],estoque[fornecedor],"&lt;&gt;saída",estoque[produto],preçodiario[[#Headers],[OVO VERMELHO A]],estoque[data],preçodiario[[#This Row],[data]])</f>
        <v>0</v>
      </c>
      <c r="AI18" s="20">
        <f>IFERROR(preçodiario[[#This Row],[OVO VERMELHO A]]*preçodiario[[#This Row],[estoque AV]],0)</f>
        <v>0</v>
      </c>
      <c r="AJ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Row],[data]])),((AJ17*AK17)+SUMIFS(estoque[valor total],estoque[produto],preçodiario[[#Headers],[OVO VERMELHO B]],estoque[data],preçodiario[[#This Row],[data]],estoque[fornecedor],"&lt;&gt;saída"))/(AK17+(SUMIFS(estoque[quantidade],estoque[produto],preçodiario[[#Headers],[OVO VERMELHO B]],estoque[fornecedor],"&lt;&gt;saída",estoque[data],preçodiario[[#This Row],[data]])))))</f>
        <v/>
      </c>
      <c r="AK18" s="22">
        <f>IF(preçodiario[[#This Row],[entrada BV]]=0,AK17-(SUMIFS(estoque[quantidade],estoque[fornecedor],"saída",estoque[produto],preçodiario[[#Headers],[OVO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Row],[data]]))+AK17+preçodiario[[#This Row],[entrada BV]])</f>
        <v>0</v>
      </c>
      <c r="AL18" s="22">
        <f>SUMIFS(estoque[quantidade],estoque[fornecedor],"&lt;&gt;saída",estoque[produto],preçodiario[[#Headers],[OVO VERMELHO B]],estoque[data],preçodiario[[#This Row],[data]])</f>
        <v>0</v>
      </c>
      <c r="AM18" s="20">
        <f>SUMIFS(estoque[valor total],estoque[fornecedor],"&lt;&gt;saída",estoque[produto],preçodiario[[#Headers],[OVO VERMELHO B]],estoque[data],preçodiario[[#This Row],[data]])</f>
        <v>0</v>
      </c>
      <c r="AN18" s="20">
        <f>IFERROR(preçodiario[[#This Row],[OVO VERMELHO B]]*preçodiario[[#This Row],[estoque BV]],0)</f>
        <v>0</v>
      </c>
      <c r="AO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Row],[data]])),((AO17*AP17)+SUMIFS(estoque[valor total],estoque[produto],preçodiario[[#Headers],[OVO VERMELHO C]],estoque[data],preçodiario[[#This Row],[data]],estoque[fornecedor],"&lt;&gt;saída"))/(AP17+(SUMIFS(estoque[quantidade],estoque[produto],preçodiario[[#Headers],[OVO VERMELHO C]],estoque[fornecedor],"&lt;&gt;saída",estoque[data],preçodiario[[#This Row],[data]])))))</f>
        <v/>
      </c>
      <c r="AP18" s="22">
        <f>IF(preçodiario[[#This Row],[entrada CV]]=0,AP17-(SUMIFS(estoque[quantidade],estoque[fornecedor],"saída",estoque[produto],preçodiario[[#Headers],[OVO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Row],[data]]))+AP17+preçodiario[[#This Row],[entrada CV]])</f>
        <v>0</v>
      </c>
      <c r="AQ18" s="22">
        <f>SUMIFS(estoque[quantidade],estoque[fornecedor],"&lt;&gt;saída",estoque[produto],preçodiario[[#Headers],[OVO VERMELHO C]],estoque[data],preçodiario[[#This Row],[data]])</f>
        <v>0</v>
      </c>
      <c r="AR18" s="20">
        <f>SUMIFS(estoque[valor total],estoque[fornecedor],"&lt;&gt;saída",estoque[produto],preçodiario[[#Headers],[OVO VERMELHO C]],estoque[data],preçodiario[[#This Row],[data]])</f>
        <v>0</v>
      </c>
      <c r="AS18" s="20">
        <f>IFERROR(preçodiario[[#This Row],[OVO VERMELHO C]]*preçodiario[[#This Row],[estoque CV]],0)</f>
        <v>0</v>
      </c>
      <c r="AT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Row],[data]])),((AT17*AU17)+SUMIFS(estoque[valor total],estoque[produto],preçodiario[[#Headers],[OVO VERMELHO EXTRA]],estoque[data],preçodiario[[#This Row],[data]],estoque[fornecedor],"&lt;&gt;saída"))/(AU17+(SUMIFS(estoque[quantidade],estoque[produto],preçodiario[[#Headers],[OVO VERMELHO EXTRA]],estoque[fornecedor],"&lt;&gt;saída",estoque[data],preçodiario[[#This Row],[data]])))))</f>
        <v/>
      </c>
      <c r="AU18" s="22">
        <f>IF(preçodiario[[#This Row],[entrada EV]]=0,AU17-(SUMIFS(estoque[quantidade],estoque[fornecedor],"saída",estoque[produto],preçodiario[[#Headers],[OVO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Row],[data]]))+AU17+preçodiario[[#This Row],[entrada EV]])</f>
        <v>0</v>
      </c>
      <c r="AV18" s="22">
        <f>SUMIFS(estoque[quantidade],estoque[fornecedor],"&lt;&gt;saída",estoque[produto],preçodiario[[#Headers],[OVO VERMELHO EXTRA]],estoque[data],preçodiario[[#This Row],[data]])</f>
        <v>0</v>
      </c>
      <c r="AW18" s="20">
        <f>SUMIFS(estoque[valor total],estoque[fornecedor],"&lt;&gt;saída",estoque[produto],preçodiario[[#Headers],[OVO VERMELHO EXTRA]],estoque[data],preçodiario[[#This Row],[data]])</f>
        <v>0</v>
      </c>
      <c r="AX18" s="20">
        <f>IFERROR(preçodiario[[#This Row],[OVO VERMELHO EXTRA]]*preçodiario[[#This Row],[estoque EV]],0)</f>
        <v>0</v>
      </c>
      <c r="AY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Row],[data]])),((AY17*AZ17)+SUMIFS(estoque[valor total],estoque[produto],preçodiario[[#Headers],[OVO VERMELHO JUMBO]],estoque[data],preçodiario[[#This Row],[data]],estoque[fornecedor],"&lt;&gt;saída"))/(AZ17+(SUMIFS(estoque[quantidade],estoque[produto],preçodiario[[#Headers],[OVO VERMELHO JUMBO]],estoque[fornecedor],"&lt;&gt;saída",estoque[data],preçodiario[[#This Row],[data]])))))</f>
        <v/>
      </c>
      <c r="AZ18" s="22">
        <f>IF(preçodiario[[#This Row],[entrada JV]]=0,AZ17-(SUMIFS(estoque[quantidade],estoque[fornecedor],"saída",estoque[produto],preçodiario[[#Headers],[OVO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Row],[data]]))+AZ17+preçodiario[[#This Row],[entrada JV]])</f>
        <v>0</v>
      </c>
      <c r="BA18" s="22">
        <f>SUMIFS(estoque[quantidade],estoque[fornecedor],"&lt;&gt;saída",estoque[produto],preçodiario[[#Headers],[OVO VERMELHO JUMBO]],estoque[data],preçodiario[[#This Row],[data]])</f>
        <v>0</v>
      </c>
      <c r="BB18" s="20">
        <f>SUMIFS(estoque[valor total],estoque[fornecedor],"&lt;&gt;saída",estoque[produto],preçodiario[[#Headers],[OVO VERMELHO JUMBO]],estoque[data],preçodiario[[#This Row],[data]])</f>
        <v>0</v>
      </c>
      <c r="BC18" s="20">
        <f>IFERROR(preçodiario[[#This Row],[OVO VERMELHO JUMBO]]*preçodiario[[#This Row],[estoque JV]],0)</f>
        <v>0</v>
      </c>
      <c r="BD18" t="str">
        <f>TEXT(vendaAno[[#This Row],[data]],"mmm")</f>
        <v>jan</v>
      </c>
      <c r="BE18" t="str">
        <f>TEXT(vendaAno[[#This Row],[data]],"ddd")</f>
        <v>sáb</v>
      </c>
      <c r="BF18" s="82">
        <f>WEEKNUM(vendaAno[[#This Row],[data]],13)</f>
        <v>3</v>
      </c>
      <c r="BG18" s="27">
        <f>preçodiario[[#This Row],[data]]</f>
        <v>46039</v>
      </c>
      <c r="BH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" s="8">
        <f>IF(SUMIFS(estoque[valor total],estoque[fornecedor],"saída",estoque[data],vendaAno[[#This Row],[data]])=0,"",SUMIFS(estoque[valor total],estoque[fornecedor],"saída",estoque[data],vendaAno[[#This Row],[data]]))</f>
        <v>123</v>
      </c>
      <c r="BJ1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Row],[data]]))/12+BJ17,"")</f>
        <v>43.749999999999986</v>
      </c>
      <c r="BK18" s="79">
        <f>IF(SUMIFS(estoque[quantidade],estoque[fornecedor],"saída",estoque[data],vendaAno[[#This Row],[data]])/12=0,"",SUMIFS(estoque[quantidade],estoque[fornecedor],"saída",estoque[data],vendaAno[[#This Row],[data]])/12)</f>
        <v>0.5</v>
      </c>
      <c r="BL18" s="8">
        <f ca="1">IF(vendaAno[[#This Row],[data]]&lt;=TODAY(),IF(SUMIFS(estoque[lucro],estoque[fornecedor],"saída",estoque[data],vendaAno[[#This Row],[data]])=0,AVERAGE(BL15:BL17),SUMIFS(estoque[lucro],estoque[fornecedor],"saída",estoque[data],vendaAno[[#This Row],[data]])),"")</f>
        <v>28.54</v>
      </c>
      <c r="BM18" s="10">
        <f ca="1">IFERROR(vendaAno[[#This Row],[lucro]]/vendaAno[[#This Row],[valor de venda]],"")</f>
        <v>0.23203252032520325</v>
      </c>
      <c r="BN1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7952.8984611874494</v>
      </c>
      <c r="BO18" s="8">
        <f ca="1">IF(TODAY()&gt;=vendaAno[[#This Row],[data]],IF(vendaAno[[#This Row],[N°]]=BF17,vendaAno[[#This Row],[lucro]]-173.33+BO17,vendaAno[[#This Row],[lucro]]-150),"")</f>
        <v>-124.70000000000007</v>
      </c>
      <c r="BP18" s="81">
        <f ca="1">IF(TODAY()&gt;=vendaAno[[#This Row],[data]],SUM(BK12:BK18)*12,"")</f>
        <v>244.00000000000003</v>
      </c>
      <c r="BQ18" s="7">
        <f ca="1">IFERROR(vendaAno[[#This Row],[lucro]]/(vendaAno[[#This Row],[venda]]*12),"")</f>
        <v>4.7566666666666668</v>
      </c>
      <c r="BT18" s="95">
        <f ca="1">WEEKNUM(PvPcML[[#This Row],[data]],13)</f>
        <v>28</v>
      </c>
      <c r="BU18" s="132">
        <f t="shared" ca="1" si="0"/>
        <v>46217</v>
      </c>
      <c r="BV18" s="7">
        <f ca="1">IFERROR(SUMIFS(vendaAno[valor de venda],vendaAno[data],PvPcML[[#This Row],[data]])/(SUMIFS(vendaAno[venda],vendaAno[data],PvPcML[[#This Row],[data]])*12),"")</f>
        <v>19.208333333333332</v>
      </c>
      <c r="BW18" s="7">
        <f ca="1">IFERROR(SUMIFS(vendaAno[valor de venda],vendaAno[data],PvPcML[[#This Row],[data]])/(SUMIFS(vendaAno[venda],vendaAno[data],PvPcML[[#This Row],[data]])*12)-PvPcML[[#This Row],[lucro médio]],"")</f>
        <v>15.255833333333333</v>
      </c>
      <c r="BX18" s="7">
        <f ca="1">IF(SUMIFS(vendaAno[[lucro médio ]],vendaAno[data],PvPcML[[#This Row],[data]])=0,"",SUMIFS(vendaAno[[lucro médio ]],vendaAno[data],PvPcML[[#This Row],[data]]))</f>
        <v>3.9524999999999992</v>
      </c>
      <c r="BY18" s="90">
        <v>17</v>
      </c>
      <c r="BZ18" s="89">
        <f t="shared" si="1"/>
        <v>46135</v>
      </c>
      <c r="CA18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11.75</v>
      </c>
      <c r="CB1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4.5</v>
      </c>
      <c r="CC18" s="7">
        <f ca="1">IFERROR(SUMIFS(vendaAno[lucro],vendaAno[data],"&gt;="&amp;semanal[[#This Row],[semana]],vendaAno[data],"&lt;="&amp;semanal[[#This Row],[semana]]+6)/((semanal[[#This Row],[varejo]]+semanal[[#This Row],[atacado]])*12),"")</f>
        <v>4.1335384615384614</v>
      </c>
      <c r="CD18" s="82">
        <f ca="1">IFERROR(AVERAGEIFS(vendaAno[venda],vendaAno[data],"&gt;="&amp;semanal[[#This Row],[semana]],vendaAno[data],"&lt;="&amp;semanal[[#This Row],[semana]]+6),"")</f>
        <v>2.3214285714285716</v>
      </c>
      <c r="CE18" s="82">
        <f ca="1">IFERROR((150/semanal[[#This Row],[lucro médio por cartela]])/12,"")</f>
        <v>3.0240434717880009</v>
      </c>
    </row>
    <row r="19" spans="1:83" x14ac:dyDescent="0.25">
      <c r="A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19" s="18" t="str">
        <f>TEXT(preçodiario[[#This Row],[data]],"MMM")</f>
        <v>jan</v>
      </c>
      <c r="C19" s="18" t="str">
        <f>TEXT(preçodiario[[#This Row],[data]],"ddd")</f>
        <v>dom</v>
      </c>
      <c r="D19" s="96">
        <f>WEEKNUM(preçodiario[[#This Row],[data]],13)</f>
        <v>3</v>
      </c>
      <c r="E19" s="37">
        <v>46040</v>
      </c>
      <c r="F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Row],[data]])),((F18*G18)+SUMIFS(estoque[valor total],estoque[produto],preçodiario[[#Headers],[OVO BRANCO A]],estoque[data],preçodiario[[#This Row],[data]],estoque[fornecedor],"&lt;&gt;saída"))/(G18+(SUMIFS(estoque[quantidade],estoque[produto],preçodiario[[#Headers],[OVO BRANCO A]],estoque[fornecedor],"&lt;&gt;saída",estoque[data],preçodiario[[#This Row],[data]])))))</f>
        <v>15.349879138719887</v>
      </c>
      <c r="G19" s="22">
        <f>IF(preçodiario[[#This Row],[entrada A]]=0,G18-(SUMIFS(estoque[quantidade],estoque[fornecedor],"saída",estoque[produto],preçodiario[[#Headers],[OVO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Row],[data]]))+G18+preçodiario[[#This Row],[entrada A]])</f>
        <v>187</v>
      </c>
      <c r="H19" s="22">
        <f>SUMIFS(estoque[quantidade],estoque[fornecedor],"&lt;&gt;saída",estoque[produto],preçodiario[[#Headers],[OVO BRANCO A]],estoque[data],preçodiario[[#This Row],[data]])</f>
        <v>0</v>
      </c>
      <c r="I19" s="20">
        <f>SUMIFS(estoque[valor total],estoque[fornecedor],"&lt;&gt;saída",estoque[produto],preçodiario[[#Headers],[OVO BRANCO A]],estoque[data],preçodiario[[#This Row],[data]])</f>
        <v>0</v>
      </c>
      <c r="J19" s="20">
        <f>IFERROR(preçodiario[[#This Row],[estoque A]]*preçodiario[[#This Row],[OVO BRANCO A]],0)</f>
        <v>2870.4273989406188</v>
      </c>
      <c r="K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Row],[data]])),((K18*L18)+SUMIFS(estoque[valor total],estoque[produto],preçodiario[[#Headers],[OVO BRANCO B]],estoque[data],preçodiario[[#This Row],[data]],estoque[fornecedor],"&lt;&gt;saída"))/(L18+(SUMIFS(estoque[quantidade],estoque[produto],preçodiario[[#Headers],[OVO BRANCO B]],estoque[fornecedor],"&lt;&gt;saída",estoque[data],preçodiario[[#This Row],[data]])))))</f>
        <v>14.967973974399891</v>
      </c>
      <c r="L19" s="22">
        <f>IF(preçodiario[[#This Row],[entrada B]]=0,L18-(SUMIFS(estoque[quantidade],estoque[fornecedor],"saída",estoque[produto],preçodiario[[#Headers],[OVO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Row],[data]]))+L18+preçodiario[[#This Row],[entrada B]])</f>
        <v>98</v>
      </c>
      <c r="M19" s="22">
        <f>SUMIFS(estoque[quantidade],estoque[fornecedor],"&lt;&gt;saída",estoque[produto],preçodiario[[#Headers],[OVO BRANCO B]],estoque[data],preçodiario[[#This Row],[data]])</f>
        <v>0</v>
      </c>
      <c r="N19" s="20">
        <f>SUMIFS(estoque[valor total],estoque[fornecedor],"&lt;&gt;saída",estoque[produto],preçodiario[[#Headers],[OVO BRANCO B]],estoque[data],preçodiario[[#This Row],[data]])</f>
        <v>0</v>
      </c>
      <c r="O19" s="20">
        <f>IFERROR(preçodiario[[#This Row],[OVO BRANCO B]]*preçodiario[[#This Row],[estoque B]],0)</f>
        <v>1466.8614494911894</v>
      </c>
      <c r="P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Row],[data]])),((P18*Q18)+SUMIFS(estoque[valor total],estoque[produto],preçodiario[[#Headers],[OVO BRANCO C]],estoque[data],preçodiario[[#This Row],[data]],estoque[fornecedor],"&lt;&gt;saída"))/(Q18+(SUMIFS(estoque[quantidade],estoque[produto],preçodiario[[#Headers],[OVO BRANCO C]],estoque[fornecedor],"&lt;&gt;saída",estoque[data],preçodiario[[#This Row],[data]])))))</f>
        <v>13.874671916010501</v>
      </c>
      <c r="Q19" s="22">
        <f>IF(preçodiario[[#This Row],[entrada C]]=0,Q18-(SUMIFS(estoque[quantidade],estoque[fornecedor],"saída",estoque[produto],preçodiario[[#Headers],[OVO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Row],[data]]))+Q18+preçodiario[[#This Row],[entrada C]])</f>
        <v>58</v>
      </c>
      <c r="R19" s="22">
        <f>SUMIFS(estoque[quantidade],estoque[fornecedor],"&lt;&gt;saída",estoque[produto],preçodiario[[#Headers],[OVO BRANCO C]],estoque[data],preçodiario[[#This Row],[data]])</f>
        <v>0</v>
      </c>
      <c r="S19" s="20">
        <f>SUMIFS(estoque[valor total],estoque[fornecedor],"&lt;&gt;saída",estoque[produto],preçodiario[[#Headers],[OVO BRANCO C]],estoque[data],preçodiario[[#This Row],[data]])</f>
        <v>0</v>
      </c>
      <c r="T19" s="20">
        <f>IFERROR(preçodiario[[#This Row],[OVO BRANCO C]]*preçodiario[[#This Row],[estoque C]],0)</f>
        <v>804.73097112860899</v>
      </c>
      <c r="U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Row],[data]])),((U18*V18)+SUMIFS(estoque[valor total],estoque[produto],preçodiario[[#Headers],[OVO BRANCO EXTRA]],estoque[data],preçodiario[[#This Row],[data]],estoque[fornecedor],"&lt;&gt;saída"))/(V18+(SUMIFS(estoque[quantidade],estoque[produto],preçodiario[[#Headers],[OVO BRANCO EXTRA]],estoque[fornecedor],"&lt;&gt;saída",estoque[data],preçodiario[[#This Row],[data]])))))</f>
        <v>15.275689007741029</v>
      </c>
      <c r="V19" s="22">
        <f>IF(preçodiario[[#This Row],[entrada E]]=0,V18-(SUMIFS(estoque[quantidade],estoque[fornecedor],"saída",estoque[produto],preçodiario[[#Headers],[OVO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Row],[data]]))+V18+preçodiario[[#This Row],[entrada E]])</f>
        <v>137</v>
      </c>
      <c r="W19" s="22">
        <f>SUMIFS(estoque[quantidade],estoque[fornecedor],"&lt;&gt;saída",estoque[produto],preçodiario[[#Headers],[OVO BRANCO EXTRA]],estoque[data],preçodiario[[#This Row],[data]])</f>
        <v>0</v>
      </c>
      <c r="X19" s="20">
        <f>SUMIFS(estoque[valor total],estoque[fornecedor],"&lt;&gt;saída",estoque[produto],preçodiario[[#Headers],[OVO BRANCO EXTRA]],estoque[data],preçodiario[[#This Row],[data]])</f>
        <v>0</v>
      </c>
      <c r="Y19" s="20">
        <f>IFERROR(preçodiario[[#This Row],[estoque E]]*preçodiario[[#This Row],[OVO BRANCO EXTRA]],0)</f>
        <v>2092.7693940605209</v>
      </c>
      <c r="Z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Row],[data]])),((Z18*AA18)+SUMIFS(estoque[valor total],estoque[produto],preçodiario[[#Headers],[OVO BRANCO JUMBO]],estoque[data],preçodiario[[#This Row],[data]],estoque[fornecedor],"&lt;&gt;saída"))/(AA18+(SUMIFS(estoque[quantidade],estoque[produto],preçodiario[[#Headers],[OVO BRANCO JUMBO]],estoque[fornecedor],"&lt;&gt;saída",estoque[data],preçodiario[[#This Row],[data]])))))</f>
        <v>17.5</v>
      </c>
      <c r="AA19" s="22">
        <f>IF(preçodiario[[#This Row],[entrada J]]=0,AA18-(SUMIFS(estoque[quantidade],estoque[fornecedor],"saída",estoque[produto],preçodiario[[#Headers],[OVO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Row],[data]]))+AA18+preçodiario[[#This Row],[entrada J]])</f>
        <v>14</v>
      </c>
      <c r="AB19" s="22">
        <f>SUMIFS(estoque[quantidade],estoque[fornecedor],"&lt;&gt;saída",estoque[produto],preçodiario[[#Headers],[OVO BRANCO JUMBO]],estoque[data],preçodiario[[#This Row],[data]])</f>
        <v>0</v>
      </c>
      <c r="AC19" s="20">
        <f>SUMIFS(estoque[valor total],estoque[fornecedor],"&lt;&gt;saída",estoque[produto],preçodiario[[#Headers],[OVO BRANCO JUMBO]],estoque[data],preçodiario[[#This Row],[data]])</f>
        <v>0</v>
      </c>
      <c r="AD19" s="20">
        <f>IFERROR(preçodiario[[#This Row],[OVO BRANCO JUMBO]]*preçodiario[[#This Row],[estoque J]],0)</f>
        <v>245</v>
      </c>
      <c r="AE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Row],[data]])),((AE18*AF18)+SUMIFS(estoque[valor total],estoque[produto],preçodiario[[#Headers],[OVO VERMELHO A]],estoque[data],preçodiario[[#This Row],[data]],estoque[fornecedor],"&lt;&gt;saída"))/(AF18+(SUMIFS(estoque[quantidade],estoque[produto],preçodiario[[#Headers],[OVO VERMELHO A]],estoque[fornecedor],"&lt;&gt;saída",estoque[data],preçodiario[[#This Row],[data]])))))</f>
        <v/>
      </c>
      <c r="AF19" s="22">
        <f>IF(preçodiario[[#This Row],[entrada AV]]=0,AF18-(SUMIFS(estoque[quantidade],estoque[fornecedor],"saída",estoque[produto],preçodiario[[#Headers],[OVO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Row],[data]]))+AF18+preçodiario[[#This Row],[entrada AV]])</f>
        <v>0</v>
      </c>
      <c r="AG19" s="22">
        <f>SUMIFS(estoque[quantidade],estoque[fornecedor],"&lt;&gt;saída",estoque[produto],preçodiario[[#Headers],[OVO VERMELHO A]],estoque[data],preçodiario[[#This Row],[data]])</f>
        <v>0</v>
      </c>
      <c r="AH19" s="20">
        <f>SUMIFS(estoque[valor total],estoque[fornecedor],"&lt;&gt;saída",estoque[produto],preçodiario[[#Headers],[OVO VERMELHO A]],estoque[data],preçodiario[[#This Row],[data]])</f>
        <v>0</v>
      </c>
      <c r="AI19" s="20">
        <f>IFERROR(preçodiario[[#This Row],[OVO VERMELHO A]]*preçodiario[[#This Row],[estoque AV]],0)</f>
        <v>0</v>
      </c>
      <c r="AJ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Row],[data]])),((AJ18*AK18)+SUMIFS(estoque[valor total],estoque[produto],preçodiario[[#Headers],[OVO VERMELHO B]],estoque[data],preçodiario[[#This Row],[data]],estoque[fornecedor],"&lt;&gt;saída"))/(AK18+(SUMIFS(estoque[quantidade],estoque[produto],preçodiario[[#Headers],[OVO VERMELHO B]],estoque[fornecedor],"&lt;&gt;saída",estoque[data],preçodiario[[#This Row],[data]])))))</f>
        <v/>
      </c>
      <c r="AK19" s="22">
        <f>IF(preçodiario[[#This Row],[entrada BV]]=0,AK18-(SUMIFS(estoque[quantidade],estoque[fornecedor],"saída",estoque[produto],preçodiario[[#Headers],[OVO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Row],[data]]))+AK18+preçodiario[[#This Row],[entrada BV]])</f>
        <v>0</v>
      </c>
      <c r="AL19" s="22">
        <f>SUMIFS(estoque[quantidade],estoque[fornecedor],"&lt;&gt;saída",estoque[produto],preçodiario[[#Headers],[OVO VERMELHO B]],estoque[data],preçodiario[[#This Row],[data]])</f>
        <v>0</v>
      </c>
      <c r="AM19" s="20">
        <f>SUMIFS(estoque[valor total],estoque[fornecedor],"&lt;&gt;saída",estoque[produto],preçodiario[[#Headers],[OVO VERMELHO B]],estoque[data],preçodiario[[#This Row],[data]])</f>
        <v>0</v>
      </c>
      <c r="AN19" s="20">
        <f>IFERROR(preçodiario[[#This Row],[OVO VERMELHO B]]*preçodiario[[#This Row],[estoque BV]],0)</f>
        <v>0</v>
      </c>
      <c r="AO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Row],[data]])),((AO18*AP18)+SUMIFS(estoque[valor total],estoque[produto],preçodiario[[#Headers],[OVO VERMELHO C]],estoque[data],preçodiario[[#This Row],[data]],estoque[fornecedor],"&lt;&gt;saída"))/(AP18+(SUMIFS(estoque[quantidade],estoque[produto],preçodiario[[#Headers],[OVO VERMELHO C]],estoque[fornecedor],"&lt;&gt;saída",estoque[data],preçodiario[[#This Row],[data]])))))</f>
        <v/>
      </c>
      <c r="AP19" s="22">
        <f>IF(preçodiario[[#This Row],[entrada CV]]=0,AP18-(SUMIFS(estoque[quantidade],estoque[fornecedor],"saída",estoque[produto],preçodiario[[#Headers],[OVO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Row],[data]]))+AP18+preçodiario[[#This Row],[entrada CV]])</f>
        <v>0</v>
      </c>
      <c r="AQ19" s="22">
        <f>SUMIFS(estoque[quantidade],estoque[fornecedor],"&lt;&gt;saída",estoque[produto],preçodiario[[#Headers],[OVO VERMELHO C]],estoque[data],preçodiario[[#This Row],[data]])</f>
        <v>0</v>
      </c>
      <c r="AR19" s="20">
        <f>SUMIFS(estoque[valor total],estoque[fornecedor],"&lt;&gt;saída",estoque[produto],preçodiario[[#Headers],[OVO VERMELHO C]],estoque[data],preçodiario[[#This Row],[data]])</f>
        <v>0</v>
      </c>
      <c r="AS19" s="20">
        <f>IFERROR(preçodiario[[#This Row],[OVO VERMELHO C]]*preçodiario[[#This Row],[estoque CV]],0)</f>
        <v>0</v>
      </c>
      <c r="AT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Row],[data]])),((AT18*AU18)+SUMIFS(estoque[valor total],estoque[produto],preçodiario[[#Headers],[OVO VERMELHO EXTRA]],estoque[data],preçodiario[[#This Row],[data]],estoque[fornecedor],"&lt;&gt;saída"))/(AU18+(SUMIFS(estoque[quantidade],estoque[produto],preçodiario[[#Headers],[OVO VERMELHO EXTRA]],estoque[fornecedor],"&lt;&gt;saída",estoque[data],preçodiario[[#This Row],[data]])))))</f>
        <v/>
      </c>
      <c r="AU19" s="22">
        <f>IF(preçodiario[[#This Row],[entrada EV]]=0,AU18-(SUMIFS(estoque[quantidade],estoque[fornecedor],"saída",estoque[produto],preçodiario[[#Headers],[OVO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Row],[data]]))+AU18+preçodiario[[#This Row],[entrada EV]])</f>
        <v>0</v>
      </c>
      <c r="AV19" s="22">
        <f>SUMIFS(estoque[quantidade],estoque[fornecedor],"&lt;&gt;saída",estoque[produto],preçodiario[[#Headers],[OVO VERMELHO EXTRA]],estoque[data],preçodiario[[#This Row],[data]])</f>
        <v>0</v>
      </c>
      <c r="AW19" s="20">
        <f>SUMIFS(estoque[valor total],estoque[fornecedor],"&lt;&gt;saída",estoque[produto],preçodiario[[#Headers],[OVO VERMELHO EXTRA]],estoque[data],preçodiario[[#This Row],[data]])</f>
        <v>0</v>
      </c>
      <c r="AX19" s="20">
        <f>IFERROR(preçodiario[[#This Row],[OVO VERMELHO EXTRA]]*preçodiario[[#This Row],[estoque EV]],0)</f>
        <v>0</v>
      </c>
      <c r="AY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Row],[data]])),((AY18*AZ18)+SUMIFS(estoque[valor total],estoque[produto],preçodiario[[#Headers],[OVO VERMELHO JUMBO]],estoque[data],preçodiario[[#This Row],[data]],estoque[fornecedor],"&lt;&gt;saída"))/(AZ18+(SUMIFS(estoque[quantidade],estoque[produto],preçodiario[[#Headers],[OVO VERMELHO JUMBO]],estoque[fornecedor],"&lt;&gt;saída",estoque[data],preçodiario[[#This Row],[data]])))))</f>
        <v/>
      </c>
      <c r="AZ19" s="22">
        <f>IF(preçodiario[[#This Row],[entrada JV]]=0,AZ18-(SUMIFS(estoque[quantidade],estoque[fornecedor],"saída",estoque[produto],preçodiario[[#Headers],[OVO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Row],[data]]))+AZ18+preçodiario[[#This Row],[entrada JV]])</f>
        <v>0</v>
      </c>
      <c r="BA19" s="22">
        <f>SUMIFS(estoque[quantidade],estoque[fornecedor],"&lt;&gt;saída",estoque[produto],preçodiario[[#Headers],[OVO VERMELHO JUMBO]],estoque[data],preçodiario[[#This Row],[data]])</f>
        <v>0</v>
      </c>
      <c r="BB19" s="20">
        <f>SUMIFS(estoque[valor total],estoque[fornecedor],"&lt;&gt;saída",estoque[produto],preçodiario[[#Headers],[OVO VERMELHO JUMBO]],estoque[data],preçodiario[[#This Row],[data]])</f>
        <v>0</v>
      </c>
      <c r="BC19" s="20">
        <f>IFERROR(preçodiario[[#This Row],[OVO VERMELHO JUMBO]]*preçodiario[[#This Row],[estoque JV]],0)</f>
        <v>0</v>
      </c>
      <c r="BD19" t="str">
        <f>TEXT(vendaAno[[#This Row],[data]],"mmm")</f>
        <v>jan</v>
      </c>
      <c r="BE19" t="str">
        <f>TEXT(vendaAno[[#This Row],[data]],"ddd")</f>
        <v>dom</v>
      </c>
      <c r="BF19" s="82">
        <f>WEEKNUM(vendaAno[[#This Row],[data]],13)</f>
        <v>3</v>
      </c>
      <c r="BG19" s="27">
        <f>preçodiario[[#This Row],[data]]</f>
        <v>46040</v>
      </c>
      <c r="BH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" s="8">
        <f>IF(SUMIFS(estoque[valor total],estoque[fornecedor],"saída",estoque[data],vendaAno[[#This Row],[data]])=0,"",SUMIFS(estoque[valor total],estoque[fornecedor],"saída",estoque[data],vendaAno[[#This Row],[data]]))</f>
        <v>601</v>
      </c>
      <c r="BJ1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Row],[data]]))/12+BJ18,"")</f>
        <v>41.16666666666665</v>
      </c>
      <c r="BK19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19" s="8">
        <f ca="1">IF(vendaAno[[#This Row],[data]]&lt;=TODAY(),IF(SUMIFS(estoque[lucro],estoque[fornecedor],"saída",estoque[data],vendaAno[[#This Row],[data]])=0,AVERAGE(BL16:BL18),SUMIFS(estoque[lucro],estoque[fornecedor],"saída",estoque[data],vendaAno[[#This Row],[data]])),"")</f>
        <v>119.89</v>
      </c>
      <c r="BM19" s="10">
        <f ca="1">IFERROR(vendaAno[[#This Row],[lucro]]/vendaAno[[#This Row],[valor de venda]],"")</f>
        <v>0.19948419301164724</v>
      </c>
      <c r="BN1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7479.7892136209375</v>
      </c>
      <c r="BO19" s="8">
        <f ca="1">IF(TODAY()&gt;=vendaAno[[#This Row],[data]],IF(vendaAno[[#This Row],[N°]]=BF18,vendaAno[[#This Row],[lucro]]-173.33+BO18,vendaAno[[#This Row],[lucro]]-150),"")</f>
        <v>-178.1400000000001</v>
      </c>
      <c r="BP19" s="81">
        <f ca="1">IF(TODAY()&gt;=vendaAno[[#This Row],[data]],SUM(BK13:BK19)*12,"")</f>
        <v>262</v>
      </c>
      <c r="BQ19" s="7">
        <f ca="1">IFERROR(vendaAno[[#This Row],[lucro]]/(vendaAno[[#This Row],[venda]]*12),"")</f>
        <v>3.8674193548387099</v>
      </c>
      <c r="BT19" s="95">
        <f ca="1">WEEKNUM(PvPcML[[#This Row],[data]],13)</f>
        <v>28</v>
      </c>
      <c r="BU19" s="132">
        <f t="shared" ca="1" si="0"/>
        <v>46216</v>
      </c>
      <c r="BV19" s="7">
        <f ca="1">IFERROR(SUMIFS(vendaAno[valor de venda],vendaAno[data],PvPcML[[#This Row],[data]])/(SUMIFS(vendaAno[venda],vendaAno[data],PvPcML[[#This Row],[data]])*12),"")</f>
        <v>19.3</v>
      </c>
      <c r="BW19" s="7">
        <f ca="1">IFERROR(SUMIFS(vendaAno[valor de venda],vendaAno[data],PvPcML[[#This Row],[data]])/(SUMIFS(vendaAno[venda],vendaAno[data],PvPcML[[#This Row],[data]])*12)-PvPcML[[#This Row],[lucro médio]],"")</f>
        <v>15.122</v>
      </c>
      <c r="BX19" s="7">
        <f ca="1">IF(SUMIFS(vendaAno[[lucro médio ]],vendaAno[data],PvPcML[[#This Row],[data]])=0,"",SUMIFS(vendaAno[[lucro médio ]],vendaAno[data],PvPcML[[#This Row],[data]]))</f>
        <v>4.1779999999999999</v>
      </c>
      <c r="BY19" s="91">
        <v>18</v>
      </c>
      <c r="BZ19" s="89">
        <f t="shared" si="1"/>
        <v>46142</v>
      </c>
      <c r="CA19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</v>
      </c>
      <c r="CB1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3.75</v>
      </c>
      <c r="CC19" s="7">
        <f ca="1">IFERROR(SUMIFS(vendaAno[lucro],vendaAno[data],"&gt;="&amp;semanal[[#This Row],[semana]],vendaAno[data],"&lt;="&amp;semanal[[#This Row],[semana]]+6)/((semanal[[#This Row],[varejo]]+semanal[[#This Row],[atacado]])*12),"")</f>
        <v>4.1605472636815923</v>
      </c>
      <c r="CD19" s="82">
        <f ca="1">IFERROR(AVERAGEIFS(vendaAno[venda],vendaAno[data],"&gt;="&amp;semanal[[#This Row],[semana]],vendaAno[data],"&lt;="&amp;semanal[[#This Row],[semana]]+6),"")</f>
        <v>2.3928571428571428</v>
      </c>
      <c r="CE19" s="82">
        <f ca="1">IFERROR((150/semanal[[#This Row],[lucro médio por cartela]])/12,"")</f>
        <v>3.0044124505243519</v>
      </c>
    </row>
    <row r="20" spans="1:83" x14ac:dyDescent="0.25">
      <c r="A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0" s="18" t="str">
        <f>TEXT(preçodiario[[#This Row],[data]],"MMM")</f>
        <v>jan</v>
      </c>
      <c r="C20" s="18" t="str">
        <f>TEXT(preçodiario[[#This Row],[data]],"ddd")</f>
        <v>seg</v>
      </c>
      <c r="D20" s="96">
        <f>WEEKNUM(preçodiario[[#This Row],[data]],13)</f>
        <v>3</v>
      </c>
      <c r="E20" s="37">
        <v>46041</v>
      </c>
      <c r="F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Row],[data]])),((F19*G19)+SUMIFS(estoque[valor total],estoque[produto],preçodiario[[#Headers],[OVO BRANCO A]],estoque[data],preçodiario[[#This Row],[data]],estoque[fornecedor],"&lt;&gt;saída"))/(G19+(SUMIFS(estoque[quantidade],estoque[produto],preçodiario[[#Headers],[OVO BRANCO A]],estoque[fornecedor],"&lt;&gt;saída",estoque[data],preçodiario[[#This Row],[data]])))))</f>
        <v>15.349879138719887</v>
      </c>
      <c r="G20" s="22">
        <f>IF(preçodiario[[#This Row],[entrada A]]=0,G19-(SUMIFS(estoque[quantidade],estoque[fornecedor],"saída",estoque[produto],preçodiario[[#Headers],[OVO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Row],[data]]))+G19+preçodiario[[#This Row],[entrada A]])</f>
        <v>180</v>
      </c>
      <c r="H20" s="22">
        <f>SUMIFS(estoque[quantidade],estoque[fornecedor],"&lt;&gt;saída",estoque[produto],preçodiario[[#Headers],[OVO BRANCO A]],estoque[data],preçodiario[[#This Row],[data]])</f>
        <v>0</v>
      </c>
      <c r="I20" s="20">
        <f>SUMIFS(estoque[valor total],estoque[fornecedor],"&lt;&gt;saída",estoque[produto],preçodiario[[#Headers],[OVO BRANCO A]],estoque[data],preçodiario[[#This Row],[data]])</f>
        <v>0</v>
      </c>
      <c r="J20" s="20">
        <f>IFERROR(preçodiario[[#This Row],[estoque A]]*preçodiario[[#This Row],[OVO BRANCO A]],0)</f>
        <v>2762.9782449695795</v>
      </c>
      <c r="K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Row],[data]])),((K19*L19)+SUMIFS(estoque[valor total],estoque[produto],preçodiario[[#Headers],[OVO BRANCO B]],estoque[data],preçodiario[[#This Row],[data]],estoque[fornecedor],"&lt;&gt;saída"))/(L19+(SUMIFS(estoque[quantidade],estoque[produto],preçodiario[[#Headers],[OVO BRANCO B]],estoque[fornecedor],"&lt;&gt;saída",estoque[data],preçodiario[[#This Row],[data]])))))</f>
        <v>14.967973974399893</v>
      </c>
      <c r="L20" s="22">
        <f>IF(preçodiario[[#This Row],[entrada B]]=0,L19-(SUMIFS(estoque[quantidade],estoque[fornecedor],"saída",estoque[produto],preçodiario[[#Headers],[OVO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Row],[data]]))+L19+preçodiario[[#This Row],[entrada B]])</f>
        <v>92</v>
      </c>
      <c r="M20" s="22">
        <f>SUMIFS(estoque[quantidade],estoque[fornecedor],"&lt;&gt;saída",estoque[produto],preçodiario[[#Headers],[OVO BRANCO B]],estoque[data],preçodiario[[#This Row],[data]])</f>
        <v>0</v>
      </c>
      <c r="N20" s="20">
        <f>SUMIFS(estoque[valor total],estoque[fornecedor],"&lt;&gt;saída",estoque[produto],preçodiario[[#Headers],[OVO BRANCO B]],estoque[data],preçodiario[[#This Row],[data]])</f>
        <v>0</v>
      </c>
      <c r="O20" s="20">
        <f>IFERROR(preçodiario[[#This Row],[OVO BRANCO B]]*preçodiario[[#This Row],[estoque B]],0)</f>
        <v>1377.0536056447902</v>
      </c>
      <c r="P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Row],[data]])),((P19*Q19)+SUMIFS(estoque[valor total],estoque[produto],preçodiario[[#Headers],[OVO BRANCO C]],estoque[data],preçodiario[[#This Row],[data]],estoque[fornecedor],"&lt;&gt;saída"))/(Q19+(SUMIFS(estoque[quantidade],estoque[produto],preçodiario[[#Headers],[OVO BRANCO C]],estoque[fornecedor],"&lt;&gt;saída",estoque[data],preçodiario[[#This Row],[data]])))))</f>
        <v>13.874671916010501</v>
      </c>
      <c r="Q20" s="22">
        <f>IF(preçodiario[[#This Row],[entrada C]]=0,Q19-(SUMIFS(estoque[quantidade],estoque[fornecedor],"saída",estoque[produto],preçodiario[[#Headers],[OVO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Row],[data]]))+Q19+preçodiario[[#This Row],[entrada C]])</f>
        <v>55</v>
      </c>
      <c r="R20" s="22">
        <f>SUMIFS(estoque[quantidade],estoque[fornecedor],"&lt;&gt;saída",estoque[produto],preçodiario[[#Headers],[OVO BRANCO C]],estoque[data],preçodiario[[#This Row],[data]])</f>
        <v>0</v>
      </c>
      <c r="S20" s="20">
        <f>SUMIFS(estoque[valor total],estoque[fornecedor],"&lt;&gt;saída",estoque[produto],preçodiario[[#Headers],[OVO BRANCO C]],estoque[data],preçodiario[[#This Row],[data]])</f>
        <v>0</v>
      </c>
      <c r="T20" s="20">
        <f>IFERROR(preçodiario[[#This Row],[OVO BRANCO C]]*preçodiario[[#This Row],[estoque C]],0)</f>
        <v>763.10695538057757</v>
      </c>
      <c r="U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Row],[data]])),((U19*V19)+SUMIFS(estoque[valor total],estoque[produto],preçodiario[[#Headers],[OVO BRANCO EXTRA]],estoque[data],preçodiario[[#This Row],[data]],estoque[fornecedor],"&lt;&gt;saída"))/(V19+(SUMIFS(estoque[quantidade],estoque[produto],preçodiario[[#Headers],[OVO BRANCO EXTRA]],estoque[fornecedor],"&lt;&gt;saída",estoque[data],preçodiario[[#This Row],[data]])))))</f>
        <v>15.275689007741029</v>
      </c>
      <c r="V20" s="22">
        <f>IF(preçodiario[[#This Row],[entrada E]]=0,V19-(SUMIFS(estoque[quantidade],estoque[fornecedor],"saída",estoque[produto],preçodiario[[#Headers],[OVO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Row],[data]]))+V19+preçodiario[[#This Row],[entrada E]])</f>
        <v>121</v>
      </c>
      <c r="W20" s="22">
        <f>SUMIFS(estoque[quantidade],estoque[fornecedor],"&lt;&gt;saída",estoque[produto],preçodiario[[#Headers],[OVO BRANCO EXTRA]],estoque[data],preçodiario[[#This Row],[data]])</f>
        <v>0</v>
      </c>
      <c r="X20" s="20">
        <f>SUMIFS(estoque[valor total],estoque[fornecedor],"&lt;&gt;saída",estoque[produto],preçodiario[[#Headers],[OVO BRANCO EXTRA]],estoque[data],preçodiario[[#This Row],[data]])</f>
        <v>0</v>
      </c>
      <c r="Y20" s="20">
        <f>IFERROR(preçodiario[[#This Row],[estoque E]]*preçodiario[[#This Row],[OVO BRANCO EXTRA]],0)</f>
        <v>1848.3583699366645</v>
      </c>
      <c r="Z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Row],[data]])),((Z19*AA19)+SUMIFS(estoque[valor total],estoque[produto],preçodiario[[#Headers],[OVO BRANCO JUMBO]],estoque[data],preçodiario[[#This Row],[data]],estoque[fornecedor],"&lt;&gt;saída"))/(AA19+(SUMIFS(estoque[quantidade],estoque[produto],preçodiario[[#Headers],[OVO BRANCO JUMBO]],estoque[fornecedor],"&lt;&gt;saída",estoque[data],preçodiario[[#This Row],[data]])))))</f>
        <v>17.5</v>
      </c>
      <c r="AA20" s="22">
        <f>IF(preçodiario[[#This Row],[entrada J]]=0,AA19-(SUMIFS(estoque[quantidade],estoque[fornecedor],"saída",estoque[produto],preçodiario[[#Headers],[OVO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Row],[data]]))+AA19+preçodiario[[#This Row],[entrada J]])</f>
        <v>9</v>
      </c>
      <c r="AB20" s="22">
        <f>SUMIFS(estoque[quantidade],estoque[fornecedor],"&lt;&gt;saída",estoque[produto],preçodiario[[#Headers],[OVO BRANCO JUMBO]],estoque[data],preçodiario[[#This Row],[data]])</f>
        <v>0</v>
      </c>
      <c r="AC20" s="20">
        <f>SUMIFS(estoque[valor total],estoque[fornecedor],"&lt;&gt;saída",estoque[produto],preçodiario[[#Headers],[OVO BRANCO JUMBO]],estoque[data],preçodiario[[#This Row],[data]])</f>
        <v>0</v>
      </c>
      <c r="AD20" s="20">
        <f>IFERROR(preçodiario[[#This Row],[OVO BRANCO JUMBO]]*preçodiario[[#This Row],[estoque J]],0)</f>
        <v>157.5</v>
      </c>
      <c r="AE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Row],[data]])),((AE19*AF19)+SUMIFS(estoque[valor total],estoque[produto],preçodiario[[#Headers],[OVO VERMELHO A]],estoque[data],preçodiario[[#This Row],[data]],estoque[fornecedor],"&lt;&gt;saída"))/(AF19+(SUMIFS(estoque[quantidade],estoque[produto],preçodiario[[#Headers],[OVO VERMELHO A]],estoque[fornecedor],"&lt;&gt;saída",estoque[data],preçodiario[[#This Row],[data]])))))</f>
        <v/>
      </c>
      <c r="AF20" s="22">
        <f>IF(preçodiario[[#This Row],[entrada AV]]=0,AF19-(SUMIFS(estoque[quantidade],estoque[fornecedor],"saída",estoque[produto],preçodiario[[#Headers],[OVO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Row],[data]]))+AF19+preçodiario[[#This Row],[entrada AV]])</f>
        <v>0</v>
      </c>
      <c r="AG20" s="22">
        <f>SUMIFS(estoque[quantidade],estoque[fornecedor],"&lt;&gt;saída",estoque[produto],preçodiario[[#Headers],[OVO VERMELHO A]],estoque[data],preçodiario[[#This Row],[data]])</f>
        <v>0</v>
      </c>
      <c r="AH20" s="20">
        <f>SUMIFS(estoque[valor total],estoque[fornecedor],"&lt;&gt;saída",estoque[produto],preçodiario[[#Headers],[OVO VERMELHO A]],estoque[data],preçodiario[[#This Row],[data]])</f>
        <v>0</v>
      </c>
      <c r="AI20" s="20">
        <f>IFERROR(preçodiario[[#This Row],[OVO VERMELHO A]]*preçodiario[[#This Row],[estoque AV]],0)</f>
        <v>0</v>
      </c>
      <c r="AJ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Row],[data]])),((AJ19*AK19)+SUMIFS(estoque[valor total],estoque[produto],preçodiario[[#Headers],[OVO VERMELHO B]],estoque[data],preçodiario[[#This Row],[data]],estoque[fornecedor],"&lt;&gt;saída"))/(AK19+(SUMIFS(estoque[quantidade],estoque[produto],preçodiario[[#Headers],[OVO VERMELHO B]],estoque[fornecedor],"&lt;&gt;saída",estoque[data],preçodiario[[#This Row],[data]])))))</f>
        <v/>
      </c>
      <c r="AK20" s="22">
        <f>IF(preçodiario[[#This Row],[entrada BV]]=0,AK19-(SUMIFS(estoque[quantidade],estoque[fornecedor],"saída",estoque[produto],preçodiario[[#Headers],[OVO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Row],[data]]))+AK19+preçodiario[[#This Row],[entrada BV]])</f>
        <v>0</v>
      </c>
      <c r="AL20" s="22">
        <f>SUMIFS(estoque[quantidade],estoque[fornecedor],"&lt;&gt;saída",estoque[produto],preçodiario[[#Headers],[OVO VERMELHO B]],estoque[data],preçodiario[[#This Row],[data]])</f>
        <v>0</v>
      </c>
      <c r="AM20" s="20">
        <f>SUMIFS(estoque[valor total],estoque[fornecedor],"&lt;&gt;saída",estoque[produto],preçodiario[[#Headers],[OVO VERMELHO B]],estoque[data],preçodiario[[#This Row],[data]])</f>
        <v>0</v>
      </c>
      <c r="AN20" s="20">
        <f>IFERROR(preçodiario[[#This Row],[OVO VERMELHO B]]*preçodiario[[#This Row],[estoque BV]],0)</f>
        <v>0</v>
      </c>
      <c r="AO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Row],[data]])),((AO19*AP19)+SUMIFS(estoque[valor total],estoque[produto],preçodiario[[#Headers],[OVO VERMELHO C]],estoque[data],preçodiario[[#This Row],[data]],estoque[fornecedor],"&lt;&gt;saída"))/(AP19+(SUMIFS(estoque[quantidade],estoque[produto],preçodiario[[#Headers],[OVO VERMELHO C]],estoque[fornecedor],"&lt;&gt;saída",estoque[data],preçodiario[[#This Row],[data]])))))</f>
        <v/>
      </c>
      <c r="AP20" s="22">
        <f>IF(preçodiario[[#This Row],[entrada CV]]=0,AP19-(SUMIFS(estoque[quantidade],estoque[fornecedor],"saída",estoque[produto],preçodiario[[#Headers],[OVO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Row],[data]]))+AP19+preçodiario[[#This Row],[entrada CV]])</f>
        <v>0</v>
      </c>
      <c r="AQ20" s="22">
        <f>SUMIFS(estoque[quantidade],estoque[fornecedor],"&lt;&gt;saída",estoque[produto],preçodiario[[#Headers],[OVO VERMELHO C]],estoque[data],preçodiario[[#This Row],[data]])</f>
        <v>0</v>
      </c>
      <c r="AR20" s="20">
        <f>SUMIFS(estoque[valor total],estoque[fornecedor],"&lt;&gt;saída",estoque[produto],preçodiario[[#Headers],[OVO VERMELHO C]],estoque[data],preçodiario[[#This Row],[data]])</f>
        <v>0</v>
      </c>
      <c r="AS20" s="20">
        <f>IFERROR(preçodiario[[#This Row],[OVO VERMELHO C]]*preçodiario[[#This Row],[estoque CV]],0)</f>
        <v>0</v>
      </c>
      <c r="AT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Row],[data]])),((AT19*AU19)+SUMIFS(estoque[valor total],estoque[produto],preçodiario[[#Headers],[OVO VERMELHO EXTRA]],estoque[data],preçodiario[[#This Row],[data]],estoque[fornecedor],"&lt;&gt;saída"))/(AU19+(SUMIFS(estoque[quantidade],estoque[produto],preçodiario[[#Headers],[OVO VERMELHO EXTRA]],estoque[fornecedor],"&lt;&gt;saída",estoque[data],preçodiario[[#This Row],[data]])))))</f>
        <v/>
      </c>
      <c r="AU20" s="22">
        <f>IF(preçodiario[[#This Row],[entrada EV]]=0,AU19-(SUMIFS(estoque[quantidade],estoque[fornecedor],"saída",estoque[produto],preçodiario[[#Headers],[OVO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Row],[data]]))+AU19+preçodiario[[#This Row],[entrada EV]])</f>
        <v>0</v>
      </c>
      <c r="AV20" s="22">
        <f>SUMIFS(estoque[quantidade],estoque[fornecedor],"&lt;&gt;saída",estoque[produto],preçodiario[[#Headers],[OVO VERMELHO EXTRA]],estoque[data],preçodiario[[#This Row],[data]])</f>
        <v>0</v>
      </c>
      <c r="AW20" s="20">
        <f>SUMIFS(estoque[valor total],estoque[fornecedor],"&lt;&gt;saída",estoque[produto],preçodiario[[#Headers],[OVO VERMELHO EXTRA]],estoque[data],preçodiario[[#This Row],[data]])</f>
        <v>0</v>
      </c>
      <c r="AX20" s="20">
        <f>IFERROR(preçodiario[[#This Row],[OVO VERMELHO EXTRA]]*preçodiario[[#This Row],[estoque EV]],0)</f>
        <v>0</v>
      </c>
      <c r="AY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Row],[data]])),((AY19*AZ19)+SUMIFS(estoque[valor total],estoque[produto],preçodiario[[#Headers],[OVO VERMELHO JUMBO]],estoque[data],preçodiario[[#This Row],[data]],estoque[fornecedor],"&lt;&gt;saída"))/(AZ19+(SUMIFS(estoque[quantidade],estoque[produto],preçodiario[[#Headers],[OVO VERMELHO JUMBO]],estoque[fornecedor],"&lt;&gt;saída",estoque[data],preçodiario[[#This Row],[data]])))))</f>
        <v/>
      </c>
      <c r="AZ20" s="22">
        <f>IF(preçodiario[[#This Row],[entrada JV]]=0,AZ19-(SUMIFS(estoque[quantidade],estoque[fornecedor],"saída",estoque[produto],preçodiario[[#Headers],[OVO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Row],[data]]))+AZ19+preçodiario[[#This Row],[entrada JV]])</f>
        <v>0</v>
      </c>
      <c r="BA20" s="22">
        <f>SUMIFS(estoque[quantidade],estoque[fornecedor],"&lt;&gt;saída",estoque[produto],preçodiario[[#Headers],[OVO VERMELHO JUMBO]],estoque[data],preçodiario[[#This Row],[data]])</f>
        <v>0</v>
      </c>
      <c r="BB20" s="20">
        <f>SUMIFS(estoque[valor total],estoque[fornecedor],"&lt;&gt;saída",estoque[produto],preçodiario[[#Headers],[OVO VERMELHO JUMBO]],estoque[data],preçodiario[[#This Row],[data]])</f>
        <v>0</v>
      </c>
      <c r="BC20" s="20">
        <f>IFERROR(preçodiario[[#This Row],[OVO VERMELHO JUMBO]]*preçodiario[[#This Row],[estoque JV]],0)</f>
        <v>0</v>
      </c>
      <c r="BD20" t="str">
        <f>TEXT(vendaAno[[#This Row],[data]],"mmm")</f>
        <v>jan</v>
      </c>
      <c r="BE20" t="str">
        <f>TEXT(vendaAno[[#This Row],[data]],"ddd")</f>
        <v>seg</v>
      </c>
      <c r="BF20" s="82">
        <f>WEEKNUM(vendaAno[[#This Row],[data]],13)</f>
        <v>3</v>
      </c>
      <c r="BG20" s="27">
        <f>preçodiario[[#This Row],[data]]</f>
        <v>46041</v>
      </c>
      <c r="BH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" s="8">
        <f>IF(SUMIFS(estoque[valor total],estoque[fornecedor],"saída",estoque[data],vendaAno[[#This Row],[data]])=0,"",SUMIFS(estoque[valor total],estoque[fornecedor],"saída",estoque[data],vendaAno[[#This Row],[data]]))</f>
        <v>767</v>
      </c>
      <c r="BJ2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Row],[data]]))/12+BJ19,"")</f>
        <v>38.083333333333314</v>
      </c>
      <c r="BK20" s="79">
        <f>IF(SUMIFS(estoque[quantidade],estoque[fornecedor],"saída",estoque[data],vendaAno[[#This Row],[data]])/12=0,"",SUMIFS(estoque[quantidade],estoque[fornecedor],"saída",estoque[data],vendaAno[[#This Row],[data]])/12)</f>
        <v>3.0833333333333335</v>
      </c>
      <c r="BL20" s="8">
        <f ca="1">IF(vendaAno[[#This Row],[data]]&lt;=TODAY(),IF(SUMIFS(estoque[lucro],estoque[fornecedor],"saída",estoque[data],vendaAno[[#This Row],[data]])=0,AVERAGE(BL17:BL19),SUMIFS(estoque[lucro],estoque[fornecedor],"saída",estoque[data],vendaAno[[#This Row],[data]])),"")</f>
        <v>185.54000000000002</v>
      </c>
      <c r="BM20" s="10">
        <f ca="1">IFERROR(vendaAno[[#This Row],[lucro]]/vendaAno[[#This Row],[valor de venda]],"")</f>
        <v>0.24190352020860498</v>
      </c>
      <c r="BN2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6908.9971759316113</v>
      </c>
      <c r="BO20" s="8">
        <f ca="1">IF(TODAY()&gt;=vendaAno[[#This Row],[data]],IF(vendaAno[[#This Row],[N°]]=BF19,vendaAno[[#This Row],[lucro]]-173.33+BO19,vendaAno[[#This Row],[lucro]]-150),"")</f>
        <v>-165.93000000000009</v>
      </c>
      <c r="BP20" s="81">
        <f ca="1">IF(TODAY()&gt;=vendaAno[[#This Row],[data]],SUM(BK14:BK20)*12,"")</f>
        <v>259</v>
      </c>
      <c r="BQ20" s="7">
        <f ca="1">IFERROR(vendaAno[[#This Row],[lucro]]/(vendaAno[[#This Row],[venda]]*12),"")</f>
        <v>5.0145945945945956</v>
      </c>
      <c r="BT20" s="95">
        <f ca="1">WEEKNUM(PvPcML[[#This Row],[data]],13)</f>
        <v>28</v>
      </c>
      <c r="BU20" s="132">
        <f t="shared" ca="1" si="0"/>
        <v>46215</v>
      </c>
      <c r="BV20" s="7">
        <f ca="1">IFERROR(SUMIFS(vendaAno[valor de venda],vendaAno[data],PvPcML[[#This Row],[data]])/(SUMIFS(vendaAno[venda],vendaAno[data],PvPcML[[#This Row],[data]])*12),"")</f>
        <v>19.916666666666668</v>
      </c>
      <c r="BW20" s="7">
        <f ca="1">IFERROR(SUMIFS(vendaAno[valor de venda],vendaAno[data],PvPcML[[#This Row],[data]])/(SUMIFS(vendaAno[venda],vendaAno[data],PvPcML[[#This Row],[data]])*12)-PvPcML[[#This Row],[lucro médio]],"")</f>
        <v>15.431458333333335</v>
      </c>
      <c r="BX20" s="7">
        <f ca="1">IF(SUMIFS(vendaAno[[lucro médio ]],vendaAno[data],PvPcML[[#This Row],[data]])=0,"",SUMIFS(vendaAno[[lucro médio ]],vendaAno[data],PvPcML[[#This Row],[data]]))</f>
        <v>4.4852083333333335</v>
      </c>
      <c r="BY20" s="90">
        <v>19</v>
      </c>
      <c r="BZ20" s="89">
        <f t="shared" si="1"/>
        <v>46149</v>
      </c>
      <c r="CA20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11.583333333333332</v>
      </c>
      <c r="CB2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2.5</v>
      </c>
      <c r="CC20" s="7">
        <f ca="1">IFERROR(SUMIFS(vendaAno[lucro],vendaAno[data],"&gt;="&amp;semanal[[#This Row],[semana]],vendaAno[data],"&lt;="&amp;semanal[[#This Row],[semana]]+6)/((semanal[[#This Row],[varejo]]+semanal[[#This Row],[atacado]])*12),"")</f>
        <v>4.3169822485207101</v>
      </c>
      <c r="CD20" s="82">
        <f ca="1">IFERROR(AVERAGEIFS(vendaAno[venda],vendaAno[data],"&gt;="&amp;semanal[[#This Row],[semana]],vendaAno[data],"&lt;="&amp;semanal[[#This Row],[semana]]+6),"")</f>
        <v>2.0119047619047619</v>
      </c>
      <c r="CE20" s="82">
        <f ca="1">IFERROR((150/semanal[[#This Row],[lucro médio por cartela]])/12,"")</f>
        <v>2.8955412092054225</v>
      </c>
    </row>
    <row r="21" spans="1:83" x14ac:dyDescent="0.25">
      <c r="A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1" s="18" t="str">
        <f>TEXT(preçodiario[[#This Row],[data]],"MMM")</f>
        <v>jan</v>
      </c>
      <c r="C21" s="18" t="str">
        <f>TEXT(preçodiario[[#This Row],[data]],"ddd")</f>
        <v>ter</v>
      </c>
      <c r="D21" s="96">
        <f>WEEKNUM(preçodiario[[#This Row],[data]],13)</f>
        <v>3</v>
      </c>
      <c r="E21" s="37">
        <v>46042</v>
      </c>
      <c r="F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Row],[data]])),((F20*G20)+SUMIFS(estoque[valor total],estoque[produto],preçodiario[[#Headers],[OVO BRANCO A]],estoque[data],preçodiario[[#This Row],[data]],estoque[fornecedor],"&lt;&gt;saída"))/(G20+(SUMIFS(estoque[quantidade],estoque[produto],preçodiario[[#Headers],[OVO BRANCO A]],estoque[fornecedor],"&lt;&gt;saída",estoque[data],preçodiario[[#This Row],[data]])))))</f>
        <v>15.349879138719887</v>
      </c>
      <c r="G21" s="22">
        <f>IF(preçodiario[[#This Row],[entrada A]]=0,G20-(SUMIFS(estoque[quantidade],estoque[fornecedor],"saída",estoque[produto],preçodiario[[#Headers],[OVO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Row],[data]]))+G20+preçodiario[[#This Row],[entrada A]])</f>
        <v>165</v>
      </c>
      <c r="H21" s="22">
        <f>SUMIFS(estoque[quantidade],estoque[fornecedor],"&lt;&gt;saída",estoque[produto],preçodiario[[#Headers],[OVO BRANCO A]],estoque[data],preçodiario[[#This Row],[data]])</f>
        <v>0</v>
      </c>
      <c r="I21" s="20">
        <f>SUMIFS(estoque[valor total],estoque[fornecedor],"&lt;&gt;saída",estoque[produto],preçodiario[[#Headers],[OVO BRANCO A]],estoque[data],preçodiario[[#This Row],[data]])</f>
        <v>0</v>
      </c>
      <c r="J21" s="20">
        <f>IFERROR(preçodiario[[#This Row],[estoque A]]*preçodiario[[#This Row],[OVO BRANCO A]],0)</f>
        <v>2532.7300578887812</v>
      </c>
      <c r="K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Row],[data]])),((K20*L20)+SUMIFS(estoque[valor total],estoque[produto],preçodiario[[#Headers],[OVO BRANCO B]],estoque[data],preçodiario[[#This Row],[data]],estoque[fornecedor],"&lt;&gt;saída"))/(L20+(SUMIFS(estoque[quantidade],estoque[produto],preçodiario[[#Headers],[OVO BRANCO B]],estoque[fornecedor],"&lt;&gt;saída",estoque[data],preçodiario[[#This Row],[data]])))))</f>
        <v>14.967973974399893</v>
      </c>
      <c r="L21" s="22">
        <f>IF(preçodiario[[#This Row],[entrada B]]=0,L20-(SUMIFS(estoque[quantidade],estoque[fornecedor],"saída",estoque[produto],preçodiario[[#Headers],[OVO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Row],[data]]))+L20+preçodiario[[#This Row],[entrada B]])</f>
        <v>87</v>
      </c>
      <c r="M21" s="22">
        <f>SUMIFS(estoque[quantidade],estoque[fornecedor],"&lt;&gt;saída",estoque[produto],preçodiario[[#Headers],[OVO BRANCO B]],estoque[data],preçodiario[[#This Row],[data]])</f>
        <v>0</v>
      </c>
      <c r="N21" s="20">
        <f>SUMIFS(estoque[valor total],estoque[fornecedor],"&lt;&gt;saída",estoque[produto],preçodiario[[#Headers],[OVO BRANCO B]],estoque[data],preçodiario[[#This Row],[data]])</f>
        <v>0</v>
      </c>
      <c r="O21" s="20">
        <f>IFERROR(preçodiario[[#This Row],[OVO BRANCO B]]*preçodiario[[#This Row],[estoque B]],0)</f>
        <v>1302.2137357727906</v>
      </c>
      <c r="P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Row],[data]])),((P20*Q20)+SUMIFS(estoque[valor total],estoque[produto],preçodiario[[#Headers],[OVO BRANCO C]],estoque[data],preçodiario[[#This Row],[data]],estoque[fornecedor],"&lt;&gt;saída"))/(Q20+(SUMIFS(estoque[quantidade],estoque[produto],preçodiario[[#Headers],[OVO BRANCO C]],estoque[fornecedor],"&lt;&gt;saída",estoque[data],preçodiario[[#This Row],[data]])))))</f>
        <v>13.874671916010501</v>
      </c>
      <c r="Q21" s="22">
        <f>IF(preçodiario[[#This Row],[entrada C]]=0,Q20-(SUMIFS(estoque[quantidade],estoque[fornecedor],"saída",estoque[produto],preçodiario[[#Headers],[OVO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Row],[data]]))+Q20+preçodiario[[#This Row],[entrada C]])</f>
        <v>55</v>
      </c>
      <c r="R21" s="22">
        <f>SUMIFS(estoque[quantidade],estoque[fornecedor],"&lt;&gt;saída",estoque[produto],preçodiario[[#Headers],[OVO BRANCO C]],estoque[data],preçodiario[[#This Row],[data]])</f>
        <v>0</v>
      </c>
      <c r="S21" s="20">
        <f>SUMIFS(estoque[valor total],estoque[fornecedor],"&lt;&gt;saída",estoque[produto],preçodiario[[#Headers],[OVO BRANCO C]],estoque[data],preçodiario[[#This Row],[data]])</f>
        <v>0</v>
      </c>
      <c r="T21" s="20">
        <f>IFERROR(preçodiario[[#This Row],[OVO BRANCO C]]*preçodiario[[#This Row],[estoque C]],0)</f>
        <v>763.10695538057757</v>
      </c>
      <c r="U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Row],[data]])),((U20*V20)+SUMIFS(estoque[valor total],estoque[produto],preçodiario[[#Headers],[OVO BRANCO EXTRA]],estoque[data],preçodiario[[#This Row],[data]],estoque[fornecedor],"&lt;&gt;saída"))/(V20+(SUMIFS(estoque[quantidade],estoque[produto],preçodiario[[#Headers],[OVO BRANCO EXTRA]],estoque[fornecedor],"&lt;&gt;saída",estoque[data],preçodiario[[#This Row],[data]])))))</f>
        <v>15.275689007741029</v>
      </c>
      <c r="V21" s="22">
        <f>IF(preçodiario[[#This Row],[entrada E]]=0,V20-(SUMIFS(estoque[quantidade],estoque[fornecedor],"saída",estoque[produto],preçodiario[[#Headers],[OVO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Row],[data]]))+V20+preçodiario[[#This Row],[entrada E]])</f>
        <v>101</v>
      </c>
      <c r="W21" s="22">
        <f>SUMIFS(estoque[quantidade],estoque[fornecedor],"&lt;&gt;saída",estoque[produto],preçodiario[[#Headers],[OVO BRANCO EXTRA]],estoque[data],preçodiario[[#This Row],[data]])</f>
        <v>0</v>
      </c>
      <c r="X21" s="20">
        <f>SUMIFS(estoque[valor total],estoque[fornecedor],"&lt;&gt;saída",estoque[produto],preçodiario[[#Headers],[OVO BRANCO EXTRA]],estoque[data],preçodiario[[#This Row],[data]])</f>
        <v>0</v>
      </c>
      <c r="Y21" s="20">
        <f>IFERROR(preçodiario[[#This Row],[estoque E]]*preçodiario[[#This Row],[OVO BRANCO EXTRA]],0)</f>
        <v>1542.844589781844</v>
      </c>
      <c r="Z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Row],[data]])),((Z20*AA20)+SUMIFS(estoque[valor total],estoque[produto],preçodiario[[#Headers],[OVO BRANCO JUMBO]],estoque[data],preçodiario[[#This Row],[data]],estoque[fornecedor],"&lt;&gt;saída"))/(AA20+(SUMIFS(estoque[quantidade],estoque[produto],preçodiario[[#Headers],[OVO BRANCO JUMBO]],estoque[fornecedor],"&lt;&gt;saída",estoque[data],preçodiario[[#This Row],[data]])))))</f>
        <v>17.5</v>
      </c>
      <c r="AA21" s="22">
        <f>IF(preçodiario[[#This Row],[entrada J]]=0,AA20-(SUMIFS(estoque[quantidade],estoque[fornecedor],"saída",estoque[produto],preçodiario[[#Headers],[OVO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Row],[data]]))+AA20+preçodiario[[#This Row],[entrada J]])</f>
        <v>2</v>
      </c>
      <c r="AB21" s="22">
        <f>SUMIFS(estoque[quantidade],estoque[fornecedor],"&lt;&gt;saída",estoque[produto],preçodiario[[#Headers],[OVO BRANCO JUMBO]],estoque[data],preçodiario[[#This Row],[data]])</f>
        <v>0</v>
      </c>
      <c r="AC21" s="20">
        <f>SUMIFS(estoque[valor total],estoque[fornecedor],"&lt;&gt;saída",estoque[produto],preçodiario[[#Headers],[OVO BRANCO JUMBO]],estoque[data],preçodiario[[#This Row],[data]])</f>
        <v>0</v>
      </c>
      <c r="AD21" s="20">
        <f>IFERROR(preçodiario[[#This Row],[OVO BRANCO JUMBO]]*preçodiario[[#This Row],[estoque J]],0)</f>
        <v>35</v>
      </c>
      <c r="AE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Row],[data]])),((AE20*AF20)+SUMIFS(estoque[valor total],estoque[produto],preçodiario[[#Headers],[OVO VERMELHO A]],estoque[data],preçodiario[[#This Row],[data]],estoque[fornecedor],"&lt;&gt;saída"))/(AF20+(SUMIFS(estoque[quantidade],estoque[produto],preçodiario[[#Headers],[OVO VERMELHO A]],estoque[fornecedor],"&lt;&gt;saída",estoque[data],preçodiario[[#This Row],[data]])))))</f>
        <v/>
      </c>
      <c r="AF21" s="22">
        <f>IF(preçodiario[[#This Row],[entrada AV]]=0,AF20-(SUMIFS(estoque[quantidade],estoque[fornecedor],"saída",estoque[produto],preçodiario[[#Headers],[OVO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Row],[data]]))+AF20+preçodiario[[#This Row],[entrada AV]])</f>
        <v>0</v>
      </c>
      <c r="AG21" s="22">
        <f>SUMIFS(estoque[quantidade],estoque[fornecedor],"&lt;&gt;saída",estoque[produto],preçodiario[[#Headers],[OVO VERMELHO A]],estoque[data],preçodiario[[#This Row],[data]])</f>
        <v>0</v>
      </c>
      <c r="AH21" s="20">
        <f>SUMIFS(estoque[valor total],estoque[fornecedor],"&lt;&gt;saída",estoque[produto],preçodiario[[#Headers],[OVO VERMELHO A]],estoque[data],preçodiario[[#This Row],[data]])</f>
        <v>0</v>
      </c>
      <c r="AI21" s="20">
        <f>IFERROR(preçodiario[[#This Row],[OVO VERMELHO A]]*preçodiario[[#This Row],[estoque AV]],0)</f>
        <v>0</v>
      </c>
      <c r="AJ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Row],[data]])),((AJ20*AK20)+SUMIFS(estoque[valor total],estoque[produto],preçodiario[[#Headers],[OVO VERMELHO B]],estoque[data],preçodiario[[#This Row],[data]],estoque[fornecedor],"&lt;&gt;saída"))/(AK20+(SUMIFS(estoque[quantidade],estoque[produto],preçodiario[[#Headers],[OVO VERMELHO B]],estoque[fornecedor],"&lt;&gt;saída",estoque[data],preçodiario[[#This Row],[data]])))))</f>
        <v/>
      </c>
      <c r="AK21" s="22">
        <f>IF(preçodiario[[#This Row],[entrada BV]]=0,AK20-(SUMIFS(estoque[quantidade],estoque[fornecedor],"saída",estoque[produto],preçodiario[[#Headers],[OVO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Row],[data]]))+AK20+preçodiario[[#This Row],[entrada BV]])</f>
        <v>0</v>
      </c>
      <c r="AL21" s="22">
        <f>SUMIFS(estoque[quantidade],estoque[fornecedor],"&lt;&gt;saída",estoque[produto],preçodiario[[#Headers],[OVO VERMELHO B]],estoque[data],preçodiario[[#This Row],[data]])</f>
        <v>0</v>
      </c>
      <c r="AM21" s="20">
        <f>SUMIFS(estoque[valor total],estoque[fornecedor],"&lt;&gt;saída",estoque[produto],preçodiario[[#Headers],[OVO VERMELHO B]],estoque[data],preçodiario[[#This Row],[data]])</f>
        <v>0</v>
      </c>
      <c r="AN21" s="20">
        <f>IFERROR(preçodiario[[#This Row],[OVO VERMELHO B]]*preçodiario[[#This Row],[estoque BV]],0)</f>
        <v>0</v>
      </c>
      <c r="AO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Row],[data]])),((AO20*AP20)+SUMIFS(estoque[valor total],estoque[produto],preçodiario[[#Headers],[OVO VERMELHO C]],estoque[data],preçodiario[[#This Row],[data]],estoque[fornecedor],"&lt;&gt;saída"))/(AP20+(SUMIFS(estoque[quantidade],estoque[produto],preçodiario[[#Headers],[OVO VERMELHO C]],estoque[fornecedor],"&lt;&gt;saída",estoque[data],preçodiario[[#This Row],[data]])))))</f>
        <v/>
      </c>
      <c r="AP21" s="22">
        <f>IF(preçodiario[[#This Row],[entrada CV]]=0,AP20-(SUMIFS(estoque[quantidade],estoque[fornecedor],"saída",estoque[produto],preçodiario[[#Headers],[OVO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Row],[data]]))+AP20+preçodiario[[#This Row],[entrada CV]])</f>
        <v>0</v>
      </c>
      <c r="AQ21" s="22">
        <f>SUMIFS(estoque[quantidade],estoque[fornecedor],"&lt;&gt;saída",estoque[produto],preçodiario[[#Headers],[OVO VERMELHO C]],estoque[data],preçodiario[[#This Row],[data]])</f>
        <v>0</v>
      </c>
      <c r="AR21" s="20">
        <f>SUMIFS(estoque[valor total],estoque[fornecedor],"&lt;&gt;saída",estoque[produto],preçodiario[[#Headers],[OVO VERMELHO C]],estoque[data],preçodiario[[#This Row],[data]])</f>
        <v>0</v>
      </c>
      <c r="AS21" s="20">
        <f>IFERROR(preçodiario[[#This Row],[OVO VERMELHO C]]*preçodiario[[#This Row],[estoque CV]],0)</f>
        <v>0</v>
      </c>
      <c r="AT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Row],[data]])),((AT20*AU20)+SUMIFS(estoque[valor total],estoque[produto],preçodiario[[#Headers],[OVO VERMELHO EXTRA]],estoque[data],preçodiario[[#This Row],[data]],estoque[fornecedor],"&lt;&gt;saída"))/(AU20+(SUMIFS(estoque[quantidade],estoque[produto],preçodiario[[#Headers],[OVO VERMELHO EXTRA]],estoque[fornecedor],"&lt;&gt;saída",estoque[data],preçodiario[[#This Row],[data]])))))</f>
        <v/>
      </c>
      <c r="AU21" s="22">
        <f>IF(preçodiario[[#This Row],[entrada EV]]=0,AU20-(SUMIFS(estoque[quantidade],estoque[fornecedor],"saída",estoque[produto],preçodiario[[#Headers],[OVO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Row],[data]]))+AU20+preçodiario[[#This Row],[entrada EV]])</f>
        <v>0</v>
      </c>
      <c r="AV21" s="22">
        <f>SUMIFS(estoque[quantidade],estoque[fornecedor],"&lt;&gt;saída",estoque[produto],preçodiario[[#Headers],[OVO VERMELHO EXTRA]],estoque[data],preçodiario[[#This Row],[data]])</f>
        <v>0</v>
      </c>
      <c r="AW21" s="20">
        <f>SUMIFS(estoque[valor total],estoque[fornecedor],"&lt;&gt;saída",estoque[produto],preçodiario[[#Headers],[OVO VERMELHO EXTRA]],estoque[data],preçodiario[[#This Row],[data]])</f>
        <v>0</v>
      </c>
      <c r="AX21" s="20">
        <f>IFERROR(preçodiario[[#This Row],[OVO VERMELHO EXTRA]]*preçodiario[[#This Row],[estoque EV]],0)</f>
        <v>0</v>
      </c>
      <c r="AY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Row],[data]])),((AY20*AZ20)+SUMIFS(estoque[valor total],estoque[produto],preçodiario[[#Headers],[OVO VERMELHO JUMBO]],estoque[data],preçodiario[[#This Row],[data]],estoque[fornecedor],"&lt;&gt;saída"))/(AZ20+(SUMIFS(estoque[quantidade],estoque[produto],preçodiario[[#Headers],[OVO VERMELHO JUMBO]],estoque[fornecedor],"&lt;&gt;saída",estoque[data],preçodiario[[#This Row],[data]])))))</f>
        <v/>
      </c>
      <c r="AZ21" s="22">
        <f>IF(preçodiario[[#This Row],[entrada JV]]=0,AZ20-(SUMIFS(estoque[quantidade],estoque[fornecedor],"saída",estoque[produto],preçodiario[[#Headers],[OVO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Row],[data]]))+AZ20+preçodiario[[#This Row],[entrada JV]])</f>
        <v>0</v>
      </c>
      <c r="BA21" s="22">
        <f>SUMIFS(estoque[quantidade],estoque[fornecedor],"&lt;&gt;saída",estoque[produto],preçodiario[[#Headers],[OVO VERMELHO JUMBO]],estoque[data],preçodiario[[#This Row],[data]])</f>
        <v>0</v>
      </c>
      <c r="BB21" s="20">
        <f>SUMIFS(estoque[valor total],estoque[fornecedor],"&lt;&gt;saída",estoque[produto],preçodiario[[#Headers],[OVO VERMELHO JUMBO]],estoque[data],preçodiario[[#This Row],[data]])</f>
        <v>0</v>
      </c>
      <c r="BC21" s="20">
        <f>IFERROR(preçodiario[[#This Row],[OVO VERMELHO JUMBO]]*preçodiario[[#This Row],[estoque JV]],0)</f>
        <v>0</v>
      </c>
      <c r="BD21" t="str">
        <f>TEXT(vendaAno[[#This Row],[data]],"mmm")</f>
        <v>jan</v>
      </c>
      <c r="BE21" t="str">
        <f>TEXT(vendaAno[[#This Row],[data]],"ddd")</f>
        <v>ter</v>
      </c>
      <c r="BF21" s="82">
        <f>WEEKNUM(vendaAno[[#This Row],[data]],13)</f>
        <v>3</v>
      </c>
      <c r="BG21" s="27">
        <f>preçodiario[[#This Row],[data]]</f>
        <v>46042</v>
      </c>
      <c r="BH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" s="8">
        <f>IF(SUMIFS(estoque[valor total],estoque[fornecedor],"saída",estoque[data],vendaAno[[#This Row],[data]])=0,"",SUMIFS(estoque[valor total],estoque[fornecedor],"saída",estoque[data],vendaAno[[#This Row],[data]]))</f>
        <v>952</v>
      </c>
      <c r="BJ2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Row],[data]]))/12+BJ20,"")</f>
        <v>34.16666666666665</v>
      </c>
      <c r="BK21" s="79">
        <f>IF(SUMIFS(estoque[quantidade],estoque[fornecedor],"saída",estoque[data],vendaAno[[#This Row],[data]])/12=0,"",SUMIFS(estoque[quantidade],estoque[fornecedor],"saída",estoque[data],vendaAno[[#This Row],[data]])/12)</f>
        <v>3.9166666666666665</v>
      </c>
      <c r="BL21" s="8">
        <f ca="1">IF(vendaAno[[#This Row],[data]]&lt;=TODAY(),IF(SUMIFS(estoque[lucro],estoque[fornecedor],"saída",estoque[data],vendaAno[[#This Row],[data]])=0,AVERAGE(BL18:BL20),SUMIFS(estoque[lucro],estoque[fornecedor],"saída",estoque[data],vendaAno[[#This Row],[data]])),"")</f>
        <v>205.56</v>
      </c>
      <c r="BM21" s="10">
        <f ca="1">IFERROR(vendaAno[[#This Row],[lucro]]/vendaAno[[#This Row],[valor de venda]],"")</f>
        <v>0.21592436974789916</v>
      </c>
      <c r="BN2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6175.8953388239934</v>
      </c>
      <c r="BO21" s="8">
        <f ca="1">IF(TODAY()&gt;=vendaAno[[#This Row],[data]],IF(vendaAno[[#This Row],[N°]]=BF20,vendaAno[[#This Row],[lucro]]-173.33+BO20,vendaAno[[#This Row],[lucro]]-150),"")</f>
        <v>-133.7000000000001</v>
      </c>
      <c r="BP21" s="81">
        <f ca="1">IF(TODAY()&gt;=vendaAno[[#This Row],[data]],SUM(BK15:BK21)*12,"")</f>
        <v>267</v>
      </c>
      <c r="BQ21" s="7">
        <f ca="1">IFERROR(vendaAno[[#This Row],[lucro]]/(vendaAno[[#This Row],[venda]]*12),"")</f>
        <v>4.3736170212765959</v>
      </c>
      <c r="BT21" s="95">
        <f ca="1">WEEKNUM(PvPcML[[#This Row],[data]],13)</f>
        <v>28</v>
      </c>
      <c r="BU21" s="132">
        <f t="shared" ca="1" si="0"/>
        <v>46214</v>
      </c>
      <c r="BV21" s="7">
        <f ca="1">IFERROR(SUMIFS(vendaAno[valor de venda],vendaAno[data],PvPcML[[#This Row],[data]])/(SUMIFS(vendaAno[venda],vendaAno[data],PvPcML[[#This Row],[data]])*12),"")</f>
        <v>21.48</v>
      </c>
      <c r="BW21" s="7">
        <f ca="1">IFERROR(SUMIFS(vendaAno[valor de venda],vendaAno[data],PvPcML[[#This Row],[data]])/(SUMIFS(vendaAno[venda],vendaAno[data],PvPcML[[#This Row],[data]])*12)-PvPcML[[#This Row],[lucro médio]],"")</f>
        <v>15.854400000000002</v>
      </c>
      <c r="BX21" s="7">
        <f ca="1">IF(SUMIFS(vendaAno[[lucro médio ]],vendaAno[data],PvPcML[[#This Row],[data]])=0,"",SUMIFS(vendaAno[[lucro médio ]],vendaAno[data],PvPcML[[#This Row],[data]]))</f>
        <v>5.6255999999999995</v>
      </c>
      <c r="BY21" s="91">
        <v>20</v>
      </c>
      <c r="BZ21" s="89">
        <f t="shared" si="1"/>
        <v>46156</v>
      </c>
      <c r="CA2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12.000000000000004</v>
      </c>
      <c r="CB2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5.583333333333333</v>
      </c>
      <c r="CC21" s="7">
        <f ca="1">IFERROR(SUMIFS(vendaAno[lucro],vendaAno[data],"&gt;="&amp;semanal[[#This Row],[semana]],vendaAno[data],"&lt;="&amp;semanal[[#This Row],[semana]]+6)/((semanal[[#This Row],[varejo]]+semanal[[#This Row],[atacado]])*12),"")</f>
        <v>4.7322748815165872</v>
      </c>
      <c r="CD21" s="82">
        <f ca="1">IFERROR(AVERAGEIFS(vendaAno[venda],vendaAno[data],"&gt;="&amp;semanal[[#This Row],[semana]],vendaAno[data],"&lt;="&amp;semanal[[#This Row],[semana]]+6),"")</f>
        <v>2.5119047619047623</v>
      </c>
      <c r="CE21" s="82">
        <f ca="1">IFERROR((150/semanal[[#This Row],[lucro médio por cartela]])/12,"")</f>
        <v>2.6414357392514849</v>
      </c>
    </row>
    <row r="22" spans="1:83" x14ac:dyDescent="0.25">
      <c r="A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2" s="18" t="str">
        <f>TEXT(preçodiario[[#This Row],[data]],"MMM")</f>
        <v>jan</v>
      </c>
      <c r="C22" s="18" t="str">
        <f>TEXT(preçodiario[[#This Row],[data]],"ddd")</f>
        <v>qua</v>
      </c>
      <c r="D22" s="96">
        <f>WEEKNUM(preçodiario[[#This Row],[data]],13)</f>
        <v>4</v>
      </c>
      <c r="E22" s="37">
        <v>46043</v>
      </c>
      <c r="F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Row],[data]])),((F21*G21)+SUMIFS(estoque[valor total],estoque[produto],preçodiario[[#Headers],[OVO BRANCO A]],estoque[data],preçodiario[[#This Row],[data]],estoque[fornecedor],"&lt;&gt;saída"))/(G21+(SUMIFS(estoque[quantidade],estoque[produto],preçodiario[[#Headers],[OVO BRANCO A]],estoque[fornecedor],"&lt;&gt;saída",estoque[data],preçodiario[[#This Row],[data]])))))</f>
        <v>15.349879138719887</v>
      </c>
      <c r="G22" s="22">
        <f>IF(preçodiario[[#This Row],[entrada A]]=0,G21-(SUMIFS(estoque[quantidade],estoque[fornecedor],"saída",estoque[produto],preçodiario[[#Headers],[OVO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Row],[data]]))+G21+preçodiario[[#This Row],[entrada A]])</f>
        <v>161</v>
      </c>
      <c r="H22" s="22">
        <f>SUMIFS(estoque[quantidade],estoque[fornecedor],"&lt;&gt;saída",estoque[produto],preçodiario[[#Headers],[OVO BRANCO A]],estoque[data],preçodiario[[#This Row],[data]])</f>
        <v>0</v>
      </c>
      <c r="I22" s="20">
        <f>SUMIFS(estoque[valor total],estoque[fornecedor],"&lt;&gt;saída",estoque[produto],preçodiario[[#Headers],[OVO BRANCO A]],estoque[data],preçodiario[[#This Row],[data]])</f>
        <v>0</v>
      </c>
      <c r="J22" s="20">
        <f>IFERROR(preçodiario[[#This Row],[estoque A]]*preçodiario[[#This Row],[OVO BRANCO A]],0)</f>
        <v>2471.3305413339017</v>
      </c>
      <c r="K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Row],[data]])),((K21*L21)+SUMIFS(estoque[valor total],estoque[produto],preçodiario[[#Headers],[OVO BRANCO B]],estoque[data],preçodiario[[#This Row],[data]],estoque[fornecedor],"&lt;&gt;saída"))/(L21+(SUMIFS(estoque[quantidade],estoque[produto],preçodiario[[#Headers],[OVO BRANCO B]],estoque[fornecedor],"&lt;&gt;saída",estoque[data],preçodiario[[#This Row],[data]])))))</f>
        <v>14.967973974399893</v>
      </c>
      <c r="L22" s="22">
        <f>IF(preçodiario[[#This Row],[entrada B]]=0,L21-(SUMIFS(estoque[quantidade],estoque[fornecedor],"saída",estoque[produto],preçodiario[[#Headers],[OVO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Row],[data]]))+L21+preçodiario[[#This Row],[entrada B]])</f>
        <v>83</v>
      </c>
      <c r="M22" s="22">
        <f>SUMIFS(estoque[quantidade],estoque[fornecedor],"&lt;&gt;saída",estoque[produto],preçodiario[[#Headers],[OVO BRANCO B]],estoque[data],preçodiario[[#This Row],[data]])</f>
        <v>0</v>
      </c>
      <c r="N22" s="20">
        <f>SUMIFS(estoque[valor total],estoque[fornecedor],"&lt;&gt;saída",estoque[produto],preçodiario[[#Headers],[OVO BRANCO B]],estoque[data],preçodiario[[#This Row],[data]])</f>
        <v>0</v>
      </c>
      <c r="O22" s="20">
        <f>IFERROR(preçodiario[[#This Row],[OVO BRANCO B]]*preçodiario[[#This Row],[estoque B]],0)</f>
        <v>1242.3418398751912</v>
      </c>
      <c r="P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Row],[data]])),((P21*Q21)+SUMIFS(estoque[valor total],estoque[produto],preçodiario[[#Headers],[OVO BRANCO C]],estoque[data],preçodiario[[#This Row],[data]],estoque[fornecedor],"&lt;&gt;saída"))/(Q21+(SUMIFS(estoque[quantidade],estoque[produto],preçodiario[[#Headers],[OVO BRANCO C]],estoque[fornecedor],"&lt;&gt;saída",estoque[data],preçodiario[[#This Row],[data]])))))</f>
        <v>13.874671916010501</v>
      </c>
      <c r="Q22" s="22">
        <f>IF(preçodiario[[#This Row],[entrada C]]=0,Q21-(SUMIFS(estoque[quantidade],estoque[fornecedor],"saída",estoque[produto],preçodiario[[#Headers],[OVO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Row],[data]]))+Q21+preçodiario[[#This Row],[entrada C]])</f>
        <v>54</v>
      </c>
      <c r="R22" s="22">
        <f>SUMIFS(estoque[quantidade],estoque[fornecedor],"&lt;&gt;saída",estoque[produto],preçodiario[[#Headers],[OVO BRANCO C]],estoque[data],preçodiario[[#This Row],[data]])</f>
        <v>0</v>
      </c>
      <c r="S22" s="20">
        <f>SUMIFS(estoque[valor total],estoque[fornecedor],"&lt;&gt;saída",estoque[produto],preçodiario[[#Headers],[OVO BRANCO C]],estoque[data],preçodiario[[#This Row],[data]])</f>
        <v>0</v>
      </c>
      <c r="T22" s="20">
        <f>IFERROR(preçodiario[[#This Row],[OVO BRANCO C]]*preçodiario[[#This Row],[estoque C]],0)</f>
        <v>749.23228346456699</v>
      </c>
      <c r="U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Row],[data]])),((U21*V21)+SUMIFS(estoque[valor total],estoque[produto],preçodiario[[#Headers],[OVO BRANCO EXTRA]],estoque[data],preçodiario[[#This Row],[data]],estoque[fornecedor],"&lt;&gt;saída"))/(V21+(SUMIFS(estoque[quantidade],estoque[produto],preçodiario[[#Headers],[OVO BRANCO EXTRA]],estoque[fornecedor],"&lt;&gt;saída",estoque[data],preçodiario[[#This Row],[data]])))))</f>
        <v>15.275689007741029</v>
      </c>
      <c r="V22" s="22">
        <f>IF(preçodiario[[#This Row],[entrada E]]=0,V21-(SUMIFS(estoque[quantidade],estoque[fornecedor],"saída",estoque[produto],preçodiario[[#Headers],[OVO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Row],[data]]))+V21+preçodiario[[#This Row],[entrada E]])</f>
        <v>91</v>
      </c>
      <c r="W22" s="22">
        <f>SUMIFS(estoque[quantidade],estoque[fornecedor],"&lt;&gt;saída",estoque[produto],preçodiario[[#Headers],[OVO BRANCO EXTRA]],estoque[data],preçodiario[[#This Row],[data]])</f>
        <v>0</v>
      </c>
      <c r="X22" s="20">
        <f>SUMIFS(estoque[valor total],estoque[fornecedor],"&lt;&gt;saída",estoque[produto],preçodiario[[#Headers],[OVO BRANCO EXTRA]],estoque[data],preçodiario[[#This Row],[data]])</f>
        <v>0</v>
      </c>
      <c r="Y22" s="20">
        <f>IFERROR(preçodiario[[#This Row],[estoque E]]*preçodiario[[#This Row],[OVO BRANCO EXTRA]],0)</f>
        <v>1390.0876997044336</v>
      </c>
      <c r="Z2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Row],[data]])),((Z21*AA21)+SUMIFS(estoque[valor total],estoque[produto],preçodiario[[#Headers],[OVO BRANCO JUMBO]],estoque[data],preçodiario[[#This Row],[data]],estoque[fornecedor],"&lt;&gt;saída"))/(AA21+(SUMIFS(estoque[quantidade],estoque[produto],preçodiario[[#Headers],[OVO BRANCO JUMBO]],estoque[fornecedor],"&lt;&gt;saída",estoque[data],preçodiario[[#This Row],[data]])))))</f>
        <v/>
      </c>
      <c r="AA22" s="22">
        <f>IF(preçodiario[[#This Row],[entrada J]]=0,AA21-(SUMIFS(estoque[quantidade],estoque[fornecedor],"saída",estoque[produto],preçodiario[[#Headers],[OVO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Row],[data]]))+AA21+preçodiario[[#This Row],[entrada J]])</f>
        <v>0</v>
      </c>
      <c r="AB22" s="22">
        <f>SUMIFS(estoque[quantidade],estoque[fornecedor],"&lt;&gt;saída",estoque[produto],preçodiario[[#Headers],[OVO BRANCO JUMBO]],estoque[data],preçodiario[[#This Row],[data]])</f>
        <v>0</v>
      </c>
      <c r="AC22" s="20">
        <f>SUMIFS(estoque[valor total],estoque[fornecedor],"&lt;&gt;saída",estoque[produto],preçodiario[[#Headers],[OVO BRANCO JUMBO]],estoque[data],preçodiario[[#This Row],[data]])</f>
        <v>0</v>
      </c>
      <c r="AD22" s="20">
        <f>IFERROR(preçodiario[[#This Row],[OVO BRANCO JUMBO]]*preçodiario[[#This Row],[estoque J]],0)</f>
        <v>0</v>
      </c>
      <c r="AE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Row],[data]])),((AE21*AF21)+SUMIFS(estoque[valor total],estoque[produto],preçodiario[[#Headers],[OVO VERMELHO A]],estoque[data],preçodiario[[#This Row],[data]],estoque[fornecedor],"&lt;&gt;saída"))/(AF21+(SUMIFS(estoque[quantidade],estoque[produto],preçodiario[[#Headers],[OVO VERMELHO A]],estoque[fornecedor],"&lt;&gt;saída",estoque[data],preçodiario[[#This Row],[data]])))))</f>
        <v/>
      </c>
      <c r="AF22" s="22">
        <f>IF(preçodiario[[#This Row],[entrada AV]]=0,AF21-(SUMIFS(estoque[quantidade],estoque[fornecedor],"saída",estoque[produto],preçodiario[[#Headers],[OVO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Row],[data]]))+AF21+preçodiario[[#This Row],[entrada AV]])</f>
        <v>0</v>
      </c>
      <c r="AG22" s="22">
        <f>SUMIFS(estoque[quantidade],estoque[fornecedor],"&lt;&gt;saída",estoque[produto],preçodiario[[#Headers],[OVO VERMELHO A]],estoque[data],preçodiario[[#This Row],[data]])</f>
        <v>0</v>
      </c>
      <c r="AH22" s="20">
        <f>SUMIFS(estoque[valor total],estoque[fornecedor],"&lt;&gt;saída",estoque[produto],preçodiario[[#Headers],[OVO VERMELHO A]],estoque[data],preçodiario[[#This Row],[data]])</f>
        <v>0</v>
      </c>
      <c r="AI22" s="20">
        <f>IFERROR(preçodiario[[#This Row],[OVO VERMELHO A]]*preçodiario[[#This Row],[estoque AV]],0)</f>
        <v>0</v>
      </c>
      <c r="AJ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Row],[data]])),((AJ21*AK21)+SUMIFS(estoque[valor total],estoque[produto],preçodiario[[#Headers],[OVO VERMELHO B]],estoque[data],preçodiario[[#This Row],[data]],estoque[fornecedor],"&lt;&gt;saída"))/(AK21+(SUMIFS(estoque[quantidade],estoque[produto],preçodiario[[#Headers],[OVO VERMELHO B]],estoque[fornecedor],"&lt;&gt;saída",estoque[data],preçodiario[[#This Row],[data]])))))</f>
        <v/>
      </c>
      <c r="AK22" s="22">
        <f>IF(preçodiario[[#This Row],[entrada BV]]=0,AK21-(SUMIFS(estoque[quantidade],estoque[fornecedor],"saída",estoque[produto],preçodiario[[#Headers],[OVO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Row],[data]]))+AK21+preçodiario[[#This Row],[entrada BV]])</f>
        <v>0</v>
      </c>
      <c r="AL22" s="22">
        <f>SUMIFS(estoque[quantidade],estoque[fornecedor],"&lt;&gt;saída",estoque[produto],preçodiario[[#Headers],[OVO VERMELHO B]],estoque[data],preçodiario[[#This Row],[data]])</f>
        <v>0</v>
      </c>
      <c r="AM22" s="20">
        <f>SUMIFS(estoque[valor total],estoque[fornecedor],"&lt;&gt;saída",estoque[produto],preçodiario[[#Headers],[OVO VERMELHO B]],estoque[data],preçodiario[[#This Row],[data]])</f>
        <v>0</v>
      </c>
      <c r="AN22" s="20">
        <f>IFERROR(preçodiario[[#This Row],[OVO VERMELHO B]]*preçodiario[[#This Row],[estoque BV]],0)</f>
        <v>0</v>
      </c>
      <c r="AO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Row],[data]])),((AO21*AP21)+SUMIFS(estoque[valor total],estoque[produto],preçodiario[[#Headers],[OVO VERMELHO C]],estoque[data],preçodiario[[#This Row],[data]],estoque[fornecedor],"&lt;&gt;saída"))/(AP21+(SUMIFS(estoque[quantidade],estoque[produto],preçodiario[[#Headers],[OVO VERMELHO C]],estoque[fornecedor],"&lt;&gt;saída",estoque[data],preçodiario[[#This Row],[data]])))))</f>
        <v/>
      </c>
      <c r="AP22" s="22">
        <f>IF(preçodiario[[#This Row],[entrada CV]]=0,AP21-(SUMIFS(estoque[quantidade],estoque[fornecedor],"saída",estoque[produto],preçodiario[[#Headers],[OVO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Row],[data]]))+AP21+preçodiario[[#This Row],[entrada CV]])</f>
        <v>0</v>
      </c>
      <c r="AQ22" s="22">
        <f>SUMIFS(estoque[quantidade],estoque[fornecedor],"&lt;&gt;saída",estoque[produto],preçodiario[[#Headers],[OVO VERMELHO C]],estoque[data],preçodiario[[#This Row],[data]])</f>
        <v>0</v>
      </c>
      <c r="AR22" s="20">
        <f>SUMIFS(estoque[valor total],estoque[fornecedor],"&lt;&gt;saída",estoque[produto],preçodiario[[#Headers],[OVO VERMELHO C]],estoque[data],preçodiario[[#This Row],[data]])</f>
        <v>0</v>
      </c>
      <c r="AS22" s="20">
        <f>IFERROR(preçodiario[[#This Row],[OVO VERMELHO C]]*preçodiario[[#This Row],[estoque CV]],0)</f>
        <v>0</v>
      </c>
      <c r="AT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Row],[data]])),((AT21*AU21)+SUMIFS(estoque[valor total],estoque[produto],preçodiario[[#Headers],[OVO VERMELHO EXTRA]],estoque[data],preçodiario[[#This Row],[data]],estoque[fornecedor],"&lt;&gt;saída"))/(AU21+(SUMIFS(estoque[quantidade],estoque[produto],preçodiario[[#Headers],[OVO VERMELHO EXTRA]],estoque[fornecedor],"&lt;&gt;saída",estoque[data],preçodiario[[#This Row],[data]])))))</f>
        <v/>
      </c>
      <c r="AU22" s="22">
        <f>IF(preçodiario[[#This Row],[entrada EV]]=0,AU21-(SUMIFS(estoque[quantidade],estoque[fornecedor],"saída",estoque[produto],preçodiario[[#Headers],[OVO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Row],[data]]))+AU21+preçodiario[[#This Row],[entrada EV]])</f>
        <v>0</v>
      </c>
      <c r="AV22" s="22">
        <f>SUMIFS(estoque[quantidade],estoque[fornecedor],"&lt;&gt;saída",estoque[produto],preçodiario[[#Headers],[OVO VERMELHO EXTRA]],estoque[data],preçodiario[[#This Row],[data]])</f>
        <v>0</v>
      </c>
      <c r="AW22" s="20">
        <f>SUMIFS(estoque[valor total],estoque[fornecedor],"&lt;&gt;saída",estoque[produto],preçodiario[[#Headers],[OVO VERMELHO EXTRA]],estoque[data],preçodiario[[#This Row],[data]])</f>
        <v>0</v>
      </c>
      <c r="AX22" s="20">
        <f>IFERROR(preçodiario[[#This Row],[OVO VERMELHO EXTRA]]*preçodiario[[#This Row],[estoque EV]],0)</f>
        <v>0</v>
      </c>
      <c r="AY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Row],[data]])),((AY21*AZ21)+SUMIFS(estoque[valor total],estoque[produto],preçodiario[[#Headers],[OVO VERMELHO JUMBO]],estoque[data],preçodiario[[#This Row],[data]],estoque[fornecedor],"&lt;&gt;saída"))/(AZ21+(SUMIFS(estoque[quantidade],estoque[produto],preçodiario[[#Headers],[OVO VERMELHO JUMBO]],estoque[fornecedor],"&lt;&gt;saída",estoque[data],preçodiario[[#This Row],[data]])))))</f>
        <v/>
      </c>
      <c r="AZ22" s="22">
        <f>IF(preçodiario[[#This Row],[entrada JV]]=0,AZ21-(SUMIFS(estoque[quantidade],estoque[fornecedor],"saída",estoque[produto],preçodiario[[#Headers],[OVO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Row],[data]]))+AZ21+preçodiario[[#This Row],[entrada JV]])</f>
        <v>0</v>
      </c>
      <c r="BA22" s="22">
        <f>SUMIFS(estoque[quantidade],estoque[fornecedor],"&lt;&gt;saída",estoque[produto],preçodiario[[#Headers],[OVO VERMELHO JUMBO]],estoque[data],preçodiario[[#This Row],[data]])</f>
        <v>0</v>
      </c>
      <c r="BB22" s="20">
        <f>SUMIFS(estoque[valor total],estoque[fornecedor],"&lt;&gt;saída",estoque[produto],preçodiario[[#Headers],[OVO VERMELHO JUMBO]],estoque[data],preçodiario[[#This Row],[data]])</f>
        <v>0</v>
      </c>
      <c r="BC22" s="20">
        <f>IFERROR(preçodiario[[#This Row],[OVO VERMELHO JUMBO]]*preçodiario[[#This Row],[estoque JV]],0)</f>
        <v>0</v>
      </c>
      <c r="BD22" t="str">
        <f>TEXT(vendaAno[[#This Row],[data]],"mmm")</f>
        <v>jan</v>
      </c>
      <c r="BE22" t="str">
        <f>TEXT(vendaAno[[#This Row],[data]],"ddd")</f>
        <v>qua</v>
      </c>
      <c r="BF22" s="82">
        <f>WEEKNUM(vendaAno[[#This Row],[data]],13)</f>
        <v>4</v>
      </c>
      <c r="BG22" s="27">
        <f>preçodiario[[#This Row],[data]]</f>
        <v>46043</v>
      </c>
      <c r="BH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" s="8">
        <f>IF(SUMIFS(estoque[valor total],estoque[fornecedor],"saída",estoque[data],vendaAno[[#This Row],[data]])=0,"",SUMIFS(estoque[valor total],estoque[fornecedor],"saída",estoque[data],vendaAno[[#This Row],[data]]))</f>
        <v>426</v>
      </c>
      <c r="BJ2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Row],[data]]))/12+BJ21,"")</f>
        <v>32.41666666666665</v>
      </c>
      <c r="BK22" s="79">
        <f>IF(SUMIFS(estoque[quantidade],estoque[fornecedor],"saída",estoque[data],vendaAno[[#This Row],[data]])/12=0,"",SUMIFS(estoque[quantidade],estoque[fornecedor],"saída",estoque[data],vendaAno[[#This Row],[data]])/12)</f>
        <v>1.75</v>
      </c>
      <c r="BL22" s="8">
        <f ca="1">IF(vendaAno[[#This Row],[data]]&lt;=TODAY(),IF(SUMIFS(estoque[lucro],estoque[fornecedor],"saída",estoque[data],vendaAno[[#This Row],[data]])=0,AVERAGE(BL19:BL21),SUMIFS(estoque[lucro],estoque[fornecedor],"saída",estoque[data],vendaAno[[#This Row],[data]])),"")</f>
        <v>96.439999999999984</v>
      </c>
      <c r="BM22" s="10">
        <f ca="1">IFERROR(vendaAno[[#This Row],[lucro]]/vendaAno[[#This Row],[valor de venda]],"")</f>
        <v>0.22638497652582157</v>
      </c>
      <c r="BN2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5852.992364378093</v>
      </c>
      <c r="BO22" s="8">
        <f ca="1">IF(TODAY()&gt;=vendaAno[[#This Row],[data]],IF(vendaAno[[#This Row],[N°]]=BF21,vendaAno[[#This Row],[lucro]]-173.33+BO21,vendaAno[[#This Row],[lucro]]-150),"")</f>
        <v>-53.560000000000016</v>
      </c>
      <c r="BP22" s="81">
        <f ca="1">IF(TODAY()&gt;=vendaAno[[#This Row],[data]],SUM(BK16:BK22)*12,"")</f>
        <v>227</v>
      </c>
      <c r="BQ22" s="7">
        <f ca="1">IFERROR(vendaAno[[#This Row],[lucro]]/(vendaAno[[#This Row],[venda]]*12),"")</f>
        <v>4.5923809523809513</v>
      </c>
      <c r="BT22" s="95">
        <f ca="1">WEEKNUM(PvPcML[[#This Row],[data]],13)</f>
        <v>28</v>
      </c>
      <c r="BU22" s="132">
        <f t="shared" ca="1" si="0"/>
        <v>46213</v>
      </c>
      <c r="BV22" s="7">
        <f ca="1">IFERROR(SUMIFS(vendaAno[valor de venda],vendaAno[data],PvPcML[[#This Row],[data]])/(SUMIFS(vendaAno[venda],vendaAno[data],PvPcML[[#This Row],[data]])*12),"")</f>
        <v>19.478260869565219</v>
      </c>
      <c r="BW22" s="7">
        <f ca="1">IFERROR(SUMIFS(vendaAno[valor de venda],vendaAno[data],PvPcML[[#This Row],[data]])/(SUMIFS(vendaAno[venda],vendaAno[data],PvPcML[[#This Row],[data]])*12)-PvPcML[[#This Row],[lucro médio]],"")</f>
        <v>15.52913043478261</v>
      </c>
      <c r="BX22" s="7">
        <f ca="1">IF(SUMIFS(vendaAno[[lucro médio ]],vendaAno[data],PvPcML[[#This Row],[data]])=0,"",SUMIFS(vendaAno[[lucro médio ]],vendaAno[data],PvPcML[[#This Row],[data]]))</f>
        <v>3.9491304347826088</v>
      </c>
      <c r="BY22" s="90">
        <v>21</v>
      </c>
      <c r="BZ22" s="89">
        <f t="shared" si="1"/>
        <v>46163</v>
      </c>
      <c r="CA22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13.249999999999998</v>
      </c>
      <c r="CB22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2.1666666666666665</v>
      </c>
      <c r="CC22" s="7">
        <f ca="1">IFERROR(SUMIFS(vendaAno[lucro],vendaAno[data],"&gt;="&amp;semanal[[#This Row],[semana]],vendaAno[data],"&lt;="&amp;semanal[[#This Row],[semana]]+6)/((semanal[[#This Row],[varejo]]+semanal[[#This Row],[atacado]])*12),"")</f>
        <v>4.4976216216216223</v>
      </c>
      <c r="CD22" s="82">
        <f ca="1">IFERROR(AVERAGEIFS(vendaAno[venda],vendaAno[data],"&gt;="&amp;semanal[[#This Row],[semana]],vendaAno[data],"&lt;="&amp;semanal[[#This Row],[semana]]+6),"")</f>
        <v>2.2023809523809521</v>
      </c>
      <c r="CE22" s="82">
        <f ca="1">IFERROR((150/semanal[[#This Row],[lucro médio por cartela]])/12,"")</f>
        <v>2.779246688940701</v>
      </c>
    </row>
    <row r="23" spans="1:83" x14ac:dyDescent="0.25">
      <c r="A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3" s="18" t="str">
        <f>TEXT(preçodiario[[#This Row],[data]],"MMM")</f>
        <v>jan</v>
      </c>
      <c r="C23" s="18" t="str">
        <f>TEXT(preçodiario[[#This Row],[data]],"ddd")</f>
        <v>qui</v>
      </c>
      <c r="D23" s="96">
        <f>WEEKNUM(preçodiario[[#This Row],[data]],13)</f>
        <v>4</v>
      </c>
      <c r="E23" s="37">
        <v>46044</v>
      </c>
      <c r="F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Row],[data]])),((F22*G22)+SUMIFS(estoque[valor total],estoque[produto],preçodiario[[#Headers],[OVO BRANCO A]],estoque[data],preçodiario[[#This Row],[data]],estoque[fornecedor],"&lt;&gt;saída"))/(G22+(SUMIFS(estoque[quantidade],estoque[produto],preçodiario[[#Headers],[OVO BRANCO A]],estoque[fornecedor],"&lt;&gt;saída",estoque[data],preçodiario[[#This Row],[data]])))))</f>
        <v>15.349879138719887</v>
      </c>
      <c r="G23" s="22">
        <f>IF(preçodiario[[#This Row],[entrada A]]=0,G22-(SUMIFS(estoque[quantidade],estoque[fornecedor],"saída",estoque[produto],preçodiario[[#Headers],[OVO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Row],[data]]))+G22+preçodiario[[#This Row],[entrada A]])</f>
        <v>153</v>
      </c>
      <c r="H23" s="22">
        <f>SUMIFS(estoque[quantidade],estoque[fornecedor],"&lt;&gt;saída",estoque[produto],preçodiario[[#Headers],[OVO BRANCO A]],estoque[data],preçodiario[[#This Row],[data]])</f>
        <v>0</v>
      </c>
      <c r="I23" s="20">
        <f>SUMIFS(estoque[valor total],estoque[fornecedor],"&lt;&gt;saída",estoque[produto],preçodiario[[#Headers],[OVO BRANCO A]],estoque[data],preçodiario[[#This Row],[data]])</f>
        <v>0</v>
      </c>
      <c r="J23" s="20">
        <f>IFERROR(preçodiario[[#This Row],[estoque A]]*preçodiario[[#This Row],[OVO BRANCO A]],0)</f>
        <v>2348.5315082241427</v>
      </c>
      <c r="K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Row],[data]])),((K22*L22)+SUMIFS(estoque[valor total],estoque[produto],preçodiario[[#Headers],[OVO BRANCO B]],estoque[data],preçodiario[[#This Row],[data]],estoque[fornecedor],"&lt;&gt;saída"))/(L22+(SUMIFS(estoque[quantidade],estoque[produto],preçodiario[[#Headers],[OVO BRANCO B]],estoque[fornecedor],"&lt;&gt;saída",estoque[data],preçodiario[[#This Row],[data]])))))</f>
        <v>14.967973974399895</v>
      </c>
      <c r="L23" s="22">
        <f>IF(preçodiario[[#This Row],[entrada B]]=0,L22-(SUMIFS(estoque[quantidade],estoque[fornecedor],"saída",estoque[produto],preçodiario[[#Headers],[OVO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Row],[data]]))+L22+preçodiario[[#This Row],[entrada B]])</f>
        <v>82</v>
      </c>
      <c r="M23" s="22">
        <f>SUMIFS(estoque[quantidade],estoque[fornecedor],"&lt;&gt;saída",estoque[produto],preçodiario[[#Headers],[OVO BRANCO B]],estoque[data],preçodiario[[#This Row],[data]])</f>
        <v>0</v>
      </c>
      <c r="N23" s="20">
        <f>SUMIFS(estoque[valor total],estoque[fornecedor],"&lt;&gt;saída",estoque[produto],preçodiario[[#Headers],[OVO BRANCO B]],estoque[data],preçodiario[[#This Row],[data]])</f>
        <v>0</v>
      </c>
      <c r="O23" s="20">
        <f>IFERROR(preçodiario[[#This Row],[OVO BRANCO B]]*preçodiario[[#This Row],[estoque B]],0)</f>
        <v>1227.3738659007913</v>
      </c>
      <c r="P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Row],[data]])),((P22*Q22)+SUMIFS(estoque[valor total],estoque[produto],preçodiario[[#Headers],[OVO BRANCO C]],estoque[data],preçodiario[[#This Row],[data]],estoque[fornecedor],"&lt;&gt;saída"))/(Q22+(SUMIFS(estoque[quantidade],estoque[produto],preçodiario[[#Headers],[OVO BRANCO C]],estoque[fornecedor],"&lt;&gt;saída",estoque[data],preçodiario[[#This Row],[data]])))))</f>
        <v>13.874671916010501</v>
      </c>
      <c r="Q23" s="22">
        <f>IF(preçodiario[[#This Row],[entrada C]]=0,Q22-(SUMIFS(estoque[quantidade],estoque[fornecedor],"saída",estoque[produto],preçodiario[[#Headers],[OVO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Row],[data]]))+Q22+preçodiario[[#This Row],[entrada C]])</f>
        <v>53</v>
      </c>
      <c r="R23" s="22">
        <f>SUMIFS(estoque[quantidade],estoque[fornecedor],"&lt;&gt;saída",estoque[produto],preçodiario[[#Headers],[OVO BRANCO C]],estoque[data],preçodiario[[#This Row],[data]])</f>
        <v>0</v>
      </c>
      <c r="S23" s="20">
        <f>SUMIFS(estoque[valor total],estoque[fornecedor],"&lt;&gt;saída",estoque[produto],preçodiario[[#Headers],[OVO BRANCO C]],estoque[data],preçodiario[[#This Row],[data]])</f>
        <v>0</v>
      </c>
      <c r="T23" s="20">
        <f>IFERROR(preçodiario[[#This Row],[OVO BRANCO C]]*preçodiario[[#This Row],[estoque C]],0)</f>
        <v>735.35761154855652</v>
      </c>
      <c r="U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Row],[data]])),((U22*V22)+SUMIFS(estoque[valor total],estoque[produto],preçodiario[[#Headers],[OVO BRANCO EXTRA]],estoque[data],preçodiario[[#This Row],[data]],estoque[fornecedor],"&lt;&gt;saída"))/(V22+(SUMIFS(estoque[quantidade],estoque[produto],preçodiario[[#Headers],[OVO BRANCO EXTRA]],estoque[fornecedor],"&lt;&gt;saída",estoque[data],preçodiario[[#This Row],[data]])))))</f>
        <v>15.275689007741029</v>
      </c>
      <c r="V23" s="22">
        <f>IF(preçodiario[[#This Row],[entrada E]]=0,V22-(SUMIFS(estoque[quantidade],estoque[fornecedor],"saída",estoque[produto],preçodiario[[#Headers],[OVO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Row],[data]]))+V22+preçodiario[[#This Row],[entrada E]])</f>
        <v>74</v>
      </c>
      <c r="W23" s="22">
        <f>SUMIFS(estoque[quantidade],estoque[fornecedor],"&lt;&gt;saída",estoque[produto],preçodiario[[#Headers],[OVO BRANCO EXTRA]],estoque[data],preçodiario[[#This Row],[data]])</f>
        <v>0</v>
      </c>
      <c r="X23" s="20">
        <f>SUMIFS(estoque[valor total],estoque[fornecedor],"&lt;&gt;saída",estoque[produto],preçodiario[[#Headers],[OVO BRANCO EXTRA]],estoque[data],preçodiario[[#This Row],[data]])</f>
        <v>0</v>
      </c>
      <c r="Y23" s="20">
        <f>IFERROR(preçodiario[[#This Row],[estoque E]]*preçodiario[[#This Row],[OVO BRANCO EXTRA]],0)</f>
        <v>1130.4009865728362</v>
      </c>
      <c r="Z2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Row],[data]])),((Z22*AA22)+SUMIFS(estoque[valor total],estoque[produto],preçodiario[[#Headers],[OVO BRANCO JUMBO]],estoque[data],preçodiario[[#This Row],[data]],estoque[fornecedor],"&lt;&gt;saída"))/(AA22+(SUMIFS(estoque[quantidade],estoque[produto],preçodiario[[#Headers],[OVO BRANCO JUMBO]],estoque[fornecedor],"&lt;&gt;saída",estoque[data],preçodiario[[#This Row],[data]])))))</f>
        <v/>
      </c>
      <c r="AA23" s="22">
        <f>IF(preçodiario[[#This Row],[entrada J]]=0,AA22-(SUMIFS(estoque[quantidade],estoque[fornecedor],"saída",estoque[produto],preçodiario[[#Headers],[OVO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Row],[data]]))+AA22+preçodiario[[#This Row],[entrada J]])</f>
        <v>0</v>
      </c>
      <c r="AB23" s="22">
        <f>SUMIFS(estoque[quantidade],estoque[fornecedor],"&lt;&gt;saída",estoque[produto],preçodiario[[#Headers],[OVO BRANCO JUMBO]],estoque[data],preçodiario[[#This Row],[data]])</f>
        <v>0</v>
      </c>
      <c r="AC23" s="20">
        <f>SUMIFS(estoque[valor total],estoque[fornecedor],"&lt;&gt;saída",estoque[produto],preçodiario[[#Headers],[OVO BRANCO JUMBO]],estoque[data],preçodiario[[#This Row],[data]])</f>
        <v>0</v>
      </c>
      <c r="AD23" s="20">
        <f>IFERROR(preçodiario[[#This Row],[OVO BRANCO JUMBO]]*preçodiario[[#This Row],[estoque J]],0)</f>
        <v>0</v>
      </c>
      <c r="AE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Row],[data]])),((AE22*AF22)+SUMIFS(estoque[valor total],estoque[produto],preçodiario[[#Headers],[OVO VERMELHO A]],estoque[data],preçodiario[[#This Row],[data]],estoque[fornecedor],"&lt;&gt;saída"))/(AF22+(SUMIFS(estoque[quantidade],estoque[produto],preçodiario[[#Headers],[OVO VERMELHO A]],estoque[fornecedor],"&lt;&gt;saída",estoque[data],preçodiario[[#This Row],[data]])))))</f>
        <v/>
      </c>
      <c r="AF23" s="22">
        <f>IF(preçodiario[[#This Row],[entrada AV]]=0,AF22-(SUMIFS(estoque[quantidade],estoque[fornecedor],"saída",estoque[produto],preçodiario[[#Headers],[OVO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Row],[data]]))+AF22+preçodiario[[#This Row],[entrada AV]])</f>
        <v>0</v>
      </c>
      <c r="AG23" s="22">
        <f>SUMIFS(estoque[quantidade],estoque[fornecedor],"&lt;&gt;saída",estoque[produto],preçodiario[[#Headers],[OVO VERMELHO A]],estoque[data],preçodiario[[#This Row],[data]])</f>
        <v>0</v>
      </c>
      <c r="AH23" s="20">
        <f>SUMIFS(estoque[valor total],estoque[fornecedor],"&lt;&gt;saída",estoque[produto],preçodiario[[#Headers],[OVO VERMELHO A]],estoque[data],preçodiario[[#This Row],[data]])</f>
        <v>0</v>
      </c>
      <c r="AI23" s="20">
        <f>IFERROR(preçodiario[[#This Row],[OVO VERMELHO A]]*preçodiario[[#This Row],[estoque AV]],0)</f>
        <v>0</v>
      </c>
      <c r="AJ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Row],[data]])),((AJ22*AK22)+SUMIFS(estoque[valor total],estoque[produto],preçodiario[[#Headers],[OVO VERMELHO B]],estoque[data],preçodiario[[#This Row],[data]],estoque[fornecedor],"&lt;&gt;saída"))/(AK22+(SUMIFS(estoque[quantidade],estoque[produto],preçodiario[[#Headers],[OVO VERMELHO B]],estoque[fornecedor],"&lt;&gt;saída",estoque[data],preçodiario[[#This Row],[data]])))))</f>
        <v/>
      </c>
      <c r="AK23" s="22">
        <f>IF(preçodiario[[#This Row],[entrada BV]]=0,AK22-(SUMIFS(estoque[quantidade],estoque[fornecedor],"saída",estoque[produto],preçodiario[[#Headers],[OVO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Row],[data]]))+AK22+preçodiario[[#This Row],[entrada BV]])</f>
        <v>0</v>
      </c>
      <c r="AL23" s="22">
        <f>SUMIFS(estoque[quantidade],estoque[fornecedor],"&lt;&gt;saída",estoque[produto],preçodiario[[#Headers],[OVO VERMELHO B]],estoque[data],preçodiario[[#This Row],[data]])</f>
        <v>0</v>
      </c>
      <c r="AM23" s="20">
        <f>SUMIFS(estoque[valor total],estoque[fornecedor],"&lt;&gt;saída",estoque[produto],preçodiario[[#Headers],[OVO VERMELHO B]],estoque[data],preçodiario[[#This Row],[data]])</f>
        <v>0</v>
      </c>
      <c r="AN23" s="20">
        <f>IFERROR(preçodiario[[#This Row],[OVO VERMELHO B]]*preçodiario[[#This Row],[estoque BV]],0)</f>
        <v>0</v>
      </c>
      <c r="AO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Row],[data]])),((AO22*AP22)+SUMIFS(estoque[valor total],estoque[produto],preçodiario[[#Headers],[OVO VERMELHO C]],estoque[data],preçodiario[[#This Row],[data]],estoque[fornecedor],"&lt;&gt;saída"))/(AP22+(SUMIFS(estoque[quantidade],estoque[produto],preçodiario[[#Headers],[OVO VERMELHO C]],estoque[fornecedor],"&lt;&gt;saída",estoque[data],preçodiario[[#This Row],[data]])))))</f>
        <v/>
      </c>
      <c r="AP23" s="22">
        <f>IF(preçodiario[[#This Row],[entrada CV]]=0,AP22-(SUMIFS(estoque[quantidade],estoque[fornecedor],"saída",estoque[produto],preçodiario[[#Headers],[OVO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Row],[data]]))+AP22+preçodiario[[#This Row],[entrada CV]])</f>
        <v>0</v>
      </c>
      <c r="AQ23" s="22">
        <f>SUMIFS(estoque[quantidade],estoque[fornecedor],"&lt;&gt;saída",estoque[produto],preçodiario[[#Headers],[OVO VERMELHO C]],estoque[data],preçodiario[[#This Row],[data]])</f>
        <v>0</v>
      </c>
      <c r="AR23" s="20">
        <f>SUMIFS(estoque[valor total],estoque[fornecedor],"&lt;&gt;saída",estoque[produto],preçodiario[[#Headers],[OVO VERMELHO C]],estoque[data],preçodiario[[#This Row],[data]])</f>
        <v>0</v>
      </c>
      <c r="AS23" s="20">
        <f>IFERROR(preçodiario[[#This Row],[OVO VERMELHO C]]*preçodiario[[#This Row],[estoque CV]],0)</f>
        <v>0</v>
      </c>
      <c r="AT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Row],[data]])),((AT22*AU22)+SUMIFS(estoque[valor total],estoque[produto],preçodiario[[#Headers],[OVO VERMELHO EXTRA]],estoque[data],preçodiario[[#This Row],[data]],estoque[fornecedor],"&lt;&gt;saída"))/(AU22+(SUMIFS(estoque[quantidade],estoque[produto],preçodiario[[#Headers],[OVO VERMELHO EXTRA]],estoque[fornecedor],"&lt;&gt;saída",estoque[data],preçodiario[[#This Row],[data]])))))</f>
        <v/>
      </c>
      <c r="AU23" s="22">
        <f>IF(preçodiario[[#This Row],[entrada EV]]=0,AU22-(SUMIFS(estoque[quantidade],estoque[fornecedor],"saída",estoque[produto],preçodiario[[#Headers],[OVO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Row],[data]]))+AU22+preçodiario[[#This Row],[entrada EV]])</f>
        <v>0</v>
      </c>
      <c r="AV23" s="22">
        <f>SUMIFS(estoque[quantidade],estoque[fornecedor],"&lt;&gt;saída",estoque[produto],preçodiario[[#Headers],[OVO VERMELHO EXTRA]],estoque[data],preçodiario[[#This Row],[data]])</f>
        <v>0</v>
      </c>
      <c r="AW23" s="20">
        <f>SUMIFS(estoque[valor total],estoque[fornecedor],"&lt;&gt;saída",estoque[produto],preçodiario[[#Headers],[OVO VERMELHO EXTRA]],estoque[data],preçodiario[[#This Row],[data]])</f>
        <v>0</v>
      </c>
      <c r="AX23" s="20">
        <f>IFERROR(preçodiario[[#This Row],[OVO VERMELHO EXTRA]]*preçodiario[[#This Row],[estoque EV]],0)</f>
        <v>0</v>
      </c>
      <c r="AY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Row],[data]])),((AY22*AZ22)+SUMIFS(estoque[valor total],estoque[produto],preçodiario[[#Headers],[OVO VERMELHO JUMBO]],estoque[data],preçodiario[[#This Row],[data]],estoque[fornecedor],"&lt;&gt;saída"))/(AZ22+(SUMIFS(estoque[quantidade],estoque[produto],preçodiario[[#Headers],[OVO VERMELHO JUMBO]],estoque[fornecedor],"&lt;&gt;saída",estoque[data],preçodiario[[#This Row],[data]])))))</f>
        <v/>
      </c>
      <c r="AZ23" s="22">
        <f>IF(preçodiario[[#This Row],[entrada JV]]=0,AZ22-(SUMIFS(estoque[quantidade],estoque[fornecedor],"saída",estoque[produto],preçodiario[[#Headers],[OVO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Row],[data]]))+AZ22+preçodiario[[#This Row],[entrada JV]])</f>
        <v>0</v>
      </c>
      <c r="BA23" s="22">
        <f>SUMIFS(estoque[quantidade],estoque[fornecedor],"&lt;&gt;saída",estoque[produto],preçodiario[[#Headers],[OVO VERMELHO JUMBO]],estoque[data],preçodiario[[#This Row],[data]])</f>
        <v>0</v>
      </c>
      <c r="BB23" s="20">
        <f>SUMIFS(estoque[valor total],estoque[fornecedor],"&lt;&gt;saída",estoque[produto],preçodiario[[#Headers],[OVO VERMELHO JUMBO]],estoque[data],preçodiario[[#This Row],[data]])</f>
        <v>0</v>
      </c>
      <c r="BC23" s="20">
        <f>IFERROR(preçodiario[[#This Row],[OVO VERMELHO JUMBO]]*preçodiario[[#This Row],[estoque JV]],0)</f>
        <v>0</v>
      </c>
      <c r="BD23" t="str">
        <f>TEXT(vendaAno[[#This Row],[data]],"mmm")</f>
        <v>jan</v>
      </c>
      <c r="BE23" t="str">
        <f>TEXT(vendaAno[[#This Row],[data]],"ddd")</f>
        <v>qui</v>
      </c>
      <c r="BF23" s="82">
        <f>WEEKNUM(vendaAno[[#This Row],[data]],13)</f>
        <v>4</v>
      </c>
      <c r="BG23" s="27">
        <f>preçodiario[[#This Row],[data]]</f>
        <v>46044</v>
      </c>
      <c r="BH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" s="8">
        <f>IF(SUMIFS(estoque[valor total],estoque[fornecedor],"saída",estoque[data],vendaAno[[#This Row],[data]])=0,"",SUMIFS(estoque[valor total],estoque[fornecedor],"saída",estoque[data],vendaAno[[#This Row],[data]]))</f>
        <v>551</v>
      </c>
      <c r="BJ2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Row],[data]]))/12+BJ22,"")</f>
        <v>30.16666666666665</v>
      </c>
      <c r="BK23" s="79">
        <f>IF(SUMIFS(estoque[quantidade],estoque[fornecedor],"saída",estoque[data],vendaAno[[#This Row],[data]])/12=0,"",SUMIFS(estoque[quantidade],estoque[fornecedor],"saída",estoque[data],vendaAno[[#This Row],[data]])/12)</f>
        <v>2.25</v>
      </c>
      <c r="BL23" s="8">
        <f ca="1">IF(vendaAno[[#This Row],[data]]&lt;=TODAY(),IF(SUMIFS(estoque[lucro],estoque[fornecedor],"saída",estoque[data],vendaAno[[#This Row],[data]])=0,AVERAGE(BL20:BL22),SUMIFS(estoque[lucro],estoque[fornecedor],"saída",estoque[data],vendaAno[[#This Row],[data]])),"")</f>
        <v>128.33999999999997</v>
      </c>
      <c r="BM23" s="10">
        <f ca="1">IFERROR(vendaAno[[#This Row],[lucro]]/vendaAno[[#This Row],[valor de venda]],"")</f>
        <v>0.23292196007259525</v>
      </c>
      <c r="BN2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5441.6639722463269</v>
      </c>
      <c r="BO23" s="8">
        <f ca="1">IF(TODAY()&gt;=vendaAno[[#This Row],[data]],IF(vendaAno[[#This Row],[N°]]=BF22,vendaAno[[#This Row],[lucro]]-173.33+BO22,vendaAno[[#This Row],[lucro]]-150),"")</f>
        <v>-98.550000000000054</v>
      </c>
      <c r="BP23" s="81">
        <f ca="1">IF(TODAY()&gt;=vendaAno[[#This Row],[data]],SUM(BK17:BK23)*12,"")</f>
        <v>223.00000000000003</v>
      </c>
      <c r="BQ23" s="7">
        <f ca="1">IFERROR(vendaAno[[#This Row],[lucro]]/(vendaAno[[#This Row],[venda]]*12),"")</f>
        <v>4.7533333333333321</v>
      </c>
      <c r="BT23" s="95">
        <f ca="1">WEEKNUM(PvPcML[[#This Row],[data]],13)</f>
        <v>28</v>
      </c>
      <c r="BU23" s="132">
        <f t="shared" ca="1" si="0"/>
        <v>46212</v>
      </c>
      <c r="BV23" s="7">
        <f ca="1">IFERROR(SUMIFS(vendaAno[valor de venda],vendaAno[data],PvPcML[[#This Row],[data]])/(SUMIFS(vendaAno[venda],vendaAno[data],PvPcML[[#This Row],[data]])*12),"")</f>
        <v>19.878787878787879</v>
      </c>
      <c r="BW23" s="7">
        <f ca="1">IFERROR(SUMIFS(vendaAno[valor de venda],vendaAno[data],PvPcML[[#This Row],[data]])/(SUMIFS(vendaAno[venda],vendaAno[data],PvPcML[[#This Row],[data]])*12)-PvPcML[[#This Row],[lucro médio]],"")</f>
        <v>15.530909090909091</v>
      </c>
      <c r="BX23" s="7">
        <f ca="1">IF(SUMIFS(vendaAno[[lucro médio ]],vendaAno[data],PvPcML[[#This Row],[data]])=0,"",SUMIFS(vendaAno[[lucro médio ]],vendaAno[data],PvPcML[[#This Row],[data]]))</f>
        <v>4.3478787878787877</v>
      </c>
      <c r="BY23" s="91">
        <v>22</v>
      </c>
      <c r="BZ23" s="89">
        <f t="shared" si="1"/>
        <v>46170</v>
      </c>
      <c r="CA23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17.166666666666668</v>
      </c>
      <c r="CB23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3" s="7">
        <f ca="1">IFERROR(SUMIFS(vendaAno[lucro],vendaAno[data],"&gt;="&amp;semanal[[#This Row],[semana]],vendaAno[data],"&lt;="&amp;semanal[[#This Row],[semana]]+6)/((semanal[[#This Row],[varejo]]+semanal[[#This Row],[atacado]])*12),"")</f>
        <v>3.2854910714285714</v>
      </c>
      <c r="CD23" s="82">
        <f ca="1">IFERROR(AVERAGEIFS(vendaAno[venda],vendaAno[data],"&gt;="&amp;semanal[[#This Row],[semana]],vendaAno[data],"&lt;="&amp;semanal[[#This Row],[semana]]+6),"")</f>
        <v>2.666666666666667</v>
      </c>
      <c r="CE23" s="82">
        <f ca="1">IFERROR((150/semanal[[#This Row],[lucro médio por cartela]])/12,"")</f>
        <v>3.8046062911882603</v>
      </c>
    </row>
    <row r="24" spans="1:83" x14ac:dyDescent="0.25">
      <c r="A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15.349879138719887</v>
      </c>
      <c r="B24" s="18" t="str">
        <f>TEXT(preçodiario[[#This Row],[data]],"MMM")</f>
        <v>jan</v>
      </c>
      <c r="C24" s="18" t="str">
        <f>TEXT(preçodiario[[#This Row],[data]],"ddd")</f>
        <v>sex</v>
      </c>
      <c r="D24" s="96">
        <f>WEEKNUM(preçodiario[[#This Row],[data]],13)</f>
        <v>4</v>
      </c>
      <c r="E24" s="37">
        <v>46045</v>
      </c>
      <c r="F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Row],[data]])),((F23*G23)+SUMIFS(estoque[valor total],estoque[produto],preçodiario[[#Headers],[OVO BRANCO A]],estoque[data],preçodiario[[#This Row],[data]],estoque[fornecedor],"&lt;&gt;saída"))/(G23+(SUMIFS(estoque[quantidade],estoque[produto],preçodiario[[#Headers],[OVO BRANCO A]],estoque[fornecedor],"&lt;&gt;saída",estoque[data],preçodiario[[#This Row],[data]])))))</f>
        <v>15.349879138719887</v>
      </c>
      <c r="G24" s="22">
        <f>IF(preçodiario[[#This Row],[entrada A]]=0,G23-(SUMIFS(estoque[quantidade],estoque[fornecedor],"saída",estoque[produto],preçodiario[[#Headers],[OVO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Row],[data]]))+G23+preçodiario[[#This Row],[entrada A]])</f>
        <v>147</v>
      </c>
      <c r="H24" s="22">
        <f>SUMIFS(estoque[quantidade],estoque[fornecedor],"&lt;&gt;saída",estoque[produto],preçodiario[[#Headers],[OVO BRANCO A]],estoque[data],preçodiario[[#This Row],[data]])</f>
        <v>0</v>
      </c>
      <c r="I24" s="20">
        <f>SUMIFS(estoque[valor total],estoque[fornecedor],"&lt;&gt;saída",estoque[produto],preçodiario[[#Headers],[OVO BRANCO A]],estoque[data],preçodiario[[#This Row],[data]])</f>
        <v>0</v>
      </c>
      <c r="J24" s="20">
        <f>IFERROR(preçodiario[[#This Row],[estoque A]]*preçodiario[[#This Row],[OVO BRANCO A]],0)</f>
        <v>2256.4322333918235</v>
      </c>
      <c r="K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Row],[data]])),((K23*L23)+SUMIFS(estoque[valor total],estoque[produto],preçodiario[[#Headers],[OVO BRANCO B]],estoque[data],preçodiario[[#This Row],[data]],estoque[fornecedor],"&lt;&gt;saída"))/(L23+(SUMIFS(estoque[quantidade],estoque[produto],preçodiario[[#Headers],[OVO BRANCO B]],estoque[fornecedor],"&lt;&gt;saída",estoque[data],preçodiario[[#This Row],[data]])))))</f>
        <v>14.967973974399895</v>
      </c>
      <c r="L24" s="22">
        <f>IF(preçodiario[[#This Row],[entrada B]]=0,L23-(SUMIFS(estoque[quantidade],estoque[fornecedor],"saída",estoque[produto],preçodiario[[#Headers],[OVO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Row],[data]]))+L23+preçodiario[[#This Row],[entrada B]])</f>
        <v>67</v>
      </c>
      <c r="M24" s="22">
        <f>SUMIFS(estoque[quantidade],estoque[fornecedor],"&lt;&gt;saída",estoque[produto],preçodiario[[#Headers],[OVO BRANCO B]],estoque[data],preçodiario[[#This Row],[data]])</f>
        <v>0</v>
      </c>
      <c r="N24" s="20">
        <f>SUMIFS(estoque[valor total],estoque[fornecedor],"&lt;&gt;saída",estoque[produto],preçodiario[[#Headers],[OVO BRANCO B]],estoque[data],preçodiario[[#This Row],[data]])</f>
        <v>0</v>
      </c>
      <c r="O24" s="20">
        <f>IFERROR(preçodiario[[#This Row],[OVO BRANCO B]]*preçodiario[[#This Row],[estoque B]],0)</f>
        <v>1002.854256284793</v>
      </c>
      <c r="P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Row],[data]])),((P23*Q23)+SUMIFS(estoque[valor total],estoque[produto],preçodiario[[#Headers],[OVO BRANCO C]],estoque[data],preçodiario[[#This Row],[data]],estoque[fornecedor],"&lt;&gt;saída"))/(Q23+(SUMIFS(estoque[quantidade],estoque[produto],preçodiario[[#Headers],[OVO BRANCO C]],estoque[fornecedor],"&lt;&gt;saída",estoque[data],preçodiario[[#This Row],[data]])))))</f>
        <v>13.874671916010501</v>
      </c>
      <c r="Q24" s="22">
        <f>IF(preçodiario[[#This Row],[entrada C]]=0,Q23-(SUMIFS(estoque[quantidade],estoque[fornecedor],"saída",estoque[produto],preçodiario[[#Headers],[OVO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Row],[data]]))+Q23+preçodiario[[#This Row],[entrada C]])</f>
        <v>50</v>
      </c>
      <c r="R24" s="22">
        <f>SUMIFS(estoque[quantidade],estoque[fornecedor],"&lt;&gt;saída",estoque[produto],preçodiario[[#Headers],[OVO BRANCO C]],estoque[data],preçodiario[[#This Row],[data]])</f>
        <v>0</v>
      </c>
      <c r="S24" s="20">
        <f>SUMIFS(estoque[valor total],estoque[fornecedor],"&lt;&gt;saída",estoque[produto],preçodiario[[#Headers],[OVO BRANCO C]],estoque[data],preçodiario[[#This Row],[data]])</f>
        <v>0</v>
      </c>
      <c r="T24" s="20">
        <f>IFERROR(preçodiario[[#This Row],[OVO BRANCO C]]*preçodiario[[#This Row],[estoque C]],0)</f>
        <v>693.73359580052499</v>
      </c>
      <c r="U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Row],[data]])),((U23*V23)+SUMIFS(estoque[valor total],estoque[produto],preçodiario[[#Headers],[OVO BRANCO EXTRA]],estoque[data],preçodiario[[#This Row],[data]],estoque[fornecedor],"&lt;&gt;saída"))/(V23+(SUMIFS(estoque[quantidade],estoque[produto],preçodiario[[#Headers],[OVO BRANCO EXTRA]],estoque[fornecedor],"&lt;&gt;saída",estoque[data],preçodiario[[#This Row],[data]])))))</f>
        <v>15.275689007741031</v>
      </c>
      <c r="V24" s="22">
        <f>IF(preçodiario[[#This Row],[entrada E]]=0,V23-(SUMIFS(estoque[quantidade],estoque[fornecedor],"saída",estoque[produto],preçodiario[[#Headers],[OVO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Row],[data]]))+V23+preçodiario[[#This Row],[entrada E]])</f>
        <v>65</v>
      </c>
      <c r="W24" s="22">
        <f>SUMIFS(estoque[quantidade],estoque[fornecedor],"&lt;&gt;saída",estoque[produto],preçodiario[[#Headers],[OVO BRANCO EXTRA]],estoque[data],preçodiario[[#This Row],[data]])</f>
        <v>0</v>
      </c>
      <c r="X24" s="20">
        <f>SUMIFS(estoque[valor total],estoque[fornecedor],"&lt;&gt;saída",estoque[produto],preçodiario[[#Headers],[OVO BRANCO EXTRA]],estoque[data],preçodiario[[#This Row],[data]])</f>
        <v>0</v>
      </c>
      <c r="Y24" s="20">
        <f>IFERROR(preçodiario[[#This Row],[estoque E]]*preçodiario[[#This Row],[OVO BRANCO EXTRA]],0)</f>
        <v>992.91978550316696</v>
      </c>
      <c r="Z2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Row],[data]])),((Z23*AA23)+SUMIFS(estoque[valor total],estoque[produto],preçodiario[[#Headers],[OVO BRANCO JUMBO]],estoque[data],preçodiario[[#This Row],[data]],estoque[fornecedor],"&lt;&gt;saída"))/(AA23+(SUMIFS(estoque[quantidade],estoque[produto],preçodiario[[#Headers],[OVO BRANCO JUMBO]],estoque[fornecedor],"&lt;&gt;saída",estoque[data],preçodiario[[#This Row],[data]])))))</f>
        <v/>
      </c>
      <c r="AA24" s="22">
        <f>IF(preçodiario[[#This Row],[entrada J]]=0,AA23-(SUMIFS(estoque[quantidade],estoque[fornecedor],"saída",estoque[produto],preçodiario[[#Headers],[OVO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Row],[data]]))+AA23+preçodiario[[#This Row],[entrada J]])</f>
        <v>0</v>
      </c>
      <c r="AB24" s="22">
        <f>SUMIFS(estoque[quantidade],estoque[fornecedor],"&lt;&gt;saída",estoque[produto],preçodiario[[#Headers],[OVO BRANCO JUMBO]],estoque[data],preçodiario[[#This Row],[data]])</f>
        <v>0</v>
      </c>
      <c r="AC24" s="20">
        <f>SUMIFS(estoque[valor total],estoque[fornecedor],"&lt;&gt;saída",estoque[produto],preçodiario[[#Headers],[OVO BRANCO JUMBO]],estoque[data],preçodiario[[#This Row],[data]])</f>
        <v>0</v>
      </c>
      <c r="AD24" s="20">
        <f>IFERROR(preçodiario[[#This Row],[OVO BRANCO JUMBO]]*preçodiario[[#This Row],[estoque J]],0)</f>
        <v>0</v>
      </c>
      <c r="AE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Row],[data]])),((AE23*AF23)+SUMIFS(estoque[valor total],estoque[produto],preçodiario[[#Headers],[OVO VERMELHO A]],estoque[data],preçodiario[[#This Row],[data]],estoque[fornecedor],"&lt;&gt;saída"))/(AF23+(SUMIFS(estoque[quantidade],estoque[produto],preçodiario[[#Headers],[OVO VERMELHO A]],estoque[fornecedor],"&lt;&gt;saída",estoque[data],preçodiario[[#This Row],[data]])))))</f>
        <v/>
      </c>
      <c r="AF24" s="22">
        <f>IF(preçodiario[[#This Row],[entrada AV]]=0,AF23-(SUMIFS(estoque[quantidade],estoque[fornecedor],"saída",estoque[produto],preçodiario[[#Headers],[OVO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Row],[data]]))+AF23+preçodiario[[#This Row],[entrada AV]])</f>
        <v>0</v>
      </c>
      <c r="AG24" s="22">
        <f>SUMIFS(estoque[quantidade],estoque[fornecedor],"&lt;&gt;saída",estoque[produto],preçodiario[[#Headers],[OVO VERMELHO A]],estoque[data],preçodiario[[#This Row],[data]])</f>
        <v>0</v>
      </c>
      <c r="AH24" s="20">
        <f>SUMIFS(estoque[valor total],estoque[fornecedor],"&lt;&gt;saída",estoque[produto],preçodiario[[#Headers],[OVO VERMELHO A]],estoque[data],preçodiario[[#This Row],[data]])</f>
        <v>0</v>
      </c>
      <c r="AI24" s="20">
        <f>IFERROR(preçodiario[[#This Row],[OVO VERMELHO A]]*preçodiario[[#This Row],[estoque AV]],0)</f>
        <v>0</v>
      </c>
      <c r="AJ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Row],[data]])),((AJ23*AK23)+SUMIFS(estoque[valor total],estoque[produto],preçodiario[[#Headers],[OVO VERMELHO B]],estoque[data],preçodiario[[#This Row],[data]],estoque[fornecedor],"&lt;&gt;saída"))/(AK23+(SUMIFS(estoque[quantidade],estoque[produto],preçodiario[[#Headers],[OVO VERMELHO B]],estoque[fornecedor],"&lt;&gt;saída",estoque[data],preçodiario[[#This Row],[data]])))))</f>
        <v/>
      </c>
      <c r="AK24" s="22">
        <f>IF(preçodiario[[#This Row],[entrada BV]]=0,AK23-(SUMIFS(estoque[quantidade],estoque[fornecedor],"saída",estoque[produto],preçodiario[[#Headers],[OVO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Row],[data]]))+AK23+preçodiario[[#This Row],[entrada BV]])</f>
        <v>0</v>
      </c>
      <c r="AL24" s="22">
        <f>SUMIFS(estoque[quantidade],estoque[fornecedor],"&lt;&gt;saída",estoque[produto],preçodiario[[#Headers],[OVO VERMELHO B]],estoque[data],preçodiario[[#This Row],[data]])</f>
        <v>0</v>
      </c>
      <c r="AM24" s="20">
        <f>SUMIFS(estoque[valor total],estoque[fornecedor],"&lt;&gt;saída",estoque[produto],preçodiario[[#Headers],[OVO VERMELHO B]],estoque[data],preçodiario[[#This Row],[data]])</f>
        <v>0</v>
      </c>
      <c r="AN24" s="20">
        <f>IFERROR(preçodiario[[#This Row],[OVO VERMELHO B]]*preçodiario[[#This Row],[estoque BV]],0)</f>
        <v>0</v>
      </c>
      <c r="AO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Row],[data]])),((AO23*AP23)+SUMIFS(estoque[valor total],estoque[produto],preçodiario[[#Headers],[OVO VERMELHO C]],estoque[data],preçodiario[[#This Row],[data]],estoque[fornecedor],"&lt;&gt;saída"))/(AP23+(SUMIFS(estoque[quantidade],estoque[produto],preçodiario[[#Headers],[OVO VERMELHO C]],estoque[fornecedor],"&lt;&gt;saída",estoque[data],preçodiario[[#This Row],[data]])))))</f>
        <v/>
      </c>
      <c r="AP24" s="22">
        <f>IF(preçodiario[[#This Row],[entrada CV]]=0,AP23-(SUMIFS(estoque[quantidade],estoque[fornecedor],"saída",estoque[produto],preçodiario[[#Headers],[OVO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Row],[data]]))+AP23+preçodiario[[#This Row],[entrada CV]])</f>
        <v>0</v>
      </c>
      <c r="AQ24" s="22">
        <f>SUMIFS(estoque[quantidade],estoque[fornecedor],"&lt;&gt;saída",estoque[produto],preçodiario[[#Headers],[OVO VERMELHO C]],estoque[data],preçodiario[[#This Row],[data]])</f>
        <v>0</v>
      </c>
      <c r="AR24" s="20">
        <f>SUMIFS(estoque[valor total],estoque[fornecedor],"&lt;&gt;saída",estoque[produto],preçodiario[[#Headers],[OVO VERMELHO C]],estoque[data],preçodiario[[#This Row],[data]])</f>
        <v>0</v>
      </c>
      <c r="AS24" s="20">
        <f>IFERROR(preçodiario[[#This Row],[OVO VERMELHO C]]*preçodiario[[#This Row],[estoque CV]],0)</f>
        <v>0</v>
      </c>
      <c r="AT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Row],[data]])),((AT23*AU23)+SUMIFS(estoque[valor total],estoque[produto],preçodiario[[#Headers],[OVO VERMELHO EXTRA]],estoque[data],preçodiario[[#This Row],[data]],estoque[fornecedor],"&lt;&gt;saída"))/(AU23+(SUMIFS(estoque[quantidade],estoque[produto],preçodiario[[#Headers],[OVO VERMELHO EXTRA]],estoque[fornecedor],"&lt;&gt;saída",estoque[data],preçodiario[[#This Row],[data]])))))</f>
        <v/>
      </c>
      <c r="AU24" s="22">
        <f>IF(preçodiario[[#This Row],[entrada EV]]=0,AU23-(SUMIFS(estoque[quantidade],estoque[fornecedor],"saída",estoque[produto],preçodiario[[#Headers],[OVO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Row],[data]]))+AU23+preçodiario[[#This Row],[entrada EV]])</f>
        <v>0</v>
      </c>
      <c r="AV24" s="22">
        <f>SUMIFS(estoque[quantidade],estoque[fornecedor],"&lt;&gt;saída",estoque[produto],preçodiario[[#Headers],[OVO VERMELHO EXTRA]],estoque[data],preçodiario[[#This Row],[data]])</f>
        <v>0</v>
      </c>
      <c r="AW24" s="20">
        <f>SUMIFS(estoque[valor total],estoque[fornecedor],"&lt;&gt;saída",estoque[produto],preçodiario[[#Headers],[OVO VERMELHO EXTRA]],estoque[data],preçodiario[[#This Row],[data]])</f>
        <v>0</v>
      </c>
      <c r="AX24" s="20">
        <f>IFERROR(preçodiario[[#This Row],[OVO VERMELHO EXTRA]]*preçodiario[[#This Row],[estoque EV]],0)</f>
        <v>0</v>
      </c>
      <c r="AY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Row],[data]])),((AY23*AZ23)+SUMIFS(estoque[valor total],estoque[produto],preçodiario[[#Headers],[OVO VERMELHO JUMBO]],estoque[data],preçodiario[[#This Row],[data]],estoque[fornecedor],"&lt;&gt;saída"))/(AZ23+(SUMIFS(estoque[quantidade],estoque[produto],preçodiario[[#Headers],[OVO VERMELHO JUMBO]],estoque[fornecedor],"&lt;&gt;saída",estoque[data],preçodiario[[#This Row],[data]])))))</f>
        <v/>
      </c>
      <c r="AZ24" s="22">
        <f>IF(preçodiario[[#This Row],[entrada JV]]=0,AZ23-(SUMIFS(estoque[quantidade],estoque[fornecedor],"saída",estoque[produto],preçodiario[[#Headers],[OVO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Row],[data]]))+AZ23+preçodiario[[#This Row],[entrada JV]])</f>
        <v>0</v>
      </c>
      <c r="BA24" s="22">
        <f>SUMIFS(estoque[quantidade],estoque[fornecedor],"&lt;&gt;saída",estoque[produto],preçodiario[[#Headers],[OVO VERMELHO JUMBO]],estoque[data],preçodiario[[#This Row],[data]])</f>
        <v>0</v>
      </c>
      <c r="BB24" s="20">
        <f>SUMIFS(estoque[valor total],estoque[fornecedor],"&lt;&gt;saída",estoque[produto],preçodiario[[#Headers],[OVO VERMELHO JUMBO]],estoque[data],preçodiario[[#This Row],[data]])</f>
        <v>0</v>
      </c>
      <c r="BC24" s="20">
        <f>IFERROR(preçodiario[[#This Row],[OVO VERMELHO JUMBO]]*preçodiario[[#This Row],[estoque JV]],0)</f>
        <v>0</v>
      </c>
      <c r="BD24" t="str">
        <f>TEXT(vendaAno[[#This Row],[data]],"mmm")</f>
        <v>jan</v>
      </c>
      <c r="BE24" t="str">
        <f>TEXT(vendaAno[[#This Row],[data]],"ddd")</f>
        <v>sex</v>
      </c>
      <c r="BF24" s="82">
        <f>WEEKNUM(vendaAno[[#This Row],[data]],13)</f>
        <v>4</v>
      </c>
      <c r="BG24" s="27">
        <f>preçodiario[[#This Row],[data]]</f>
        <v>46045</v>
      </c>
      <c r="BH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" s="8">
        <f>IF(SUMIFS(estoque[valor total],estoque[fornecedor],"saída",estoque[data],vendaAno[[#This Row],[data]])=0,"",SUMIFS(estoque[valor total],estoque[fornecedor],"saída",estoque[data],vendaAno[[#This Row],[data]]))</f>
        <v>596.5</v>
      </c>
      <c r="BJ2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Row],[data]]))/12+BJ23,"")</f>
        <v>27.41666666666665</v>
      </c>
      <c r="BK24" s="79">
        <f>IF(SUMIFS(estoque[quantidade],estoque[fornecedor],"saída",estoque[data],vendaAno[[#This Row],[data]])/12=0,"",SUMIFS(estoque[quantidade],estoque[fornecedor],"saída",estoque[data],vendaAno[[#This Row],[data]])/12)</f>
        <v>2.75</v>
      </c>
      <c r="BL24" s="8">
        <f ca="1">IF(vendaAno[[#This Row],[data]]&lt;=TODAY(),IF(SUMIFS(estoque[lucro],estoque[fornecedor],"saída",estoque[data],vendaAno[[#This Row],[data]])=0,AVERAGE(BL21:BL23),SUMIFS(estoque[lucro],estoque[fornecedor],"saída",estoque[data],vendaAno[[#This Row],[data]])),"")</f>
        <v>100.78000000000002</v>
      </c>
      <c r="BM24" s="10">
        <f ca="1">IFERROR(vendaAno[[#This Row],[lucro]]/vendaAno[[#This Row],[valor de venda]],"")</f>
        <v>0.1689522212908634</v>
      </c>
      <c r="BN2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4945.9398709803081</v>
      </c>
      <c r="BO24" s="8">
        <f ca="1">IF(TODAY()&gt;=vendaAno[[#This Row],[data]],IF(vendaAno[[#This Row],[N°]]=BF23,vendaAno[[#This Row],[lucro]]-173.33+BO23,vendaAno[[#This Row],[lucro]]-150),"")</f>
        <v>-171.10000000000005</v>
      </c>
      <c r="BP24" s="81">
        <f ca="1">IF(TODAY()&gt;=vendaAno[[#This Row],[data]],SUM(BK18:BK24)*12,"")</f>
        <v>202.00000000000003</v>
      </c>
      <c r="BQ24" s="7">
        <f ca="1">IFERROR(vendaAno[[#This Row],[lucro]]/(vendaAno[[#This Row],[venda]]*12),"")</f>
        <v>3.0539393939393946</v>
      </c>
      <c r="BT24" s="95">
        <f ca="1">WEEKNUM(PvPcML[[#This Row],[data]],13)</f>
        <v>28</v>
      </c>
      <c r="BU24" s="132">
        <f t="shared" ca="1" si="0"/>
        <v>46211</v>
      </c>
      <c r="BV24" s="7">
        <f ca="1">IFERROR(SUMIFS(vendaAno[valor de venda],vendaAno[data],PvPcML[[#This Row],[data]])/(SUMIFS(vendaAno[venda],vendaAno[data],PvPcML[[#This Row],[data]])*12),"")</f>
        <v>20.523809523809526</v>
      </c>
      <c r="BW24" s="7">
        <f ca="1">IFERROR(SUMIFS(vendaAno[valor de venda],vendaAno[data],PvPcML[[#This Row],[data]])/(SUMIFS(vendaAno[venda],vendaAno[data],PvPcML[[#This Row],[data]])*12)-PvPcML[[#This Row],[lucro médio]],"")</f>
        <v>15.933333333333335</v>
      </c>
      <c r="BX24" s="7">
        <f ca="1">IF(SUMIFS(vendaAno[[lucro médio ]],vendaAno[data],PvPcML[[#This Row],[data]])=0,"",SUMIFS(vendaAno[[lucro médio ]],vendaAno[data],PvPcML[[#This Row],[data]]))</f>
        <v>4.5904761904761902</v>
      </c>
      <c r="BY24" s="90">
        <v>23</v>
      </c>
      <c r="BZ24" s="89">
        <f t="shared" si="1"/>
        <v>46177</v>
      </c>
      <c r="CA24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15.583333333333336</v>
      </c>
      <c r="CB24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4" s="7">
        <f ca="1">IFERROR(SUMIFS(vendaAno[lucro],vendaAno[data],"&gt;="&amp;semanal[[#This Row],[semana]],vendaAno[data],"&lt;="&amp;semanal[[#This Row],[semana]]+6)/((semanal[[#This Row],[varejo]]+semanal[[#This Row],[atacado]])*12),"")</f>
        <v>2.5698048780487803</v>
      </c>
      <c r="CD24" s="82">
        <f ca="1">IFERROR(AVERAGEIFS(vendaAno[venda],vendaAno[data],"&gt;="&amp;semanal[[#This Row],[semana]],vendaAno[data],"&lt;="&amp;semanal[[#This Row],[semana]]+6),"")</f>
        <v>2.4404761904761907</v>
      </c>
      <c r="CE24" s="82">
        <f ca="1">IFERROR((150/semanal[[#This Row],[lucro médio por cartela]])/12,"")</f>
        <v>4.8641825326018866</v>
      </c>
    </row>
    <row r="25" spans="1:83" x14ac:dyDescent="0.25">
      <c r="A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5" s="18" t="str">
        <f>TEXT(preçodiario[[#This Row],[data]],"MMM")</f>
        <v>jan</v>
      </c>
      <c r="C25" s="18" t="str">
        <f>TEXT(preçodiario[[#This Row],[data]],"ddd")</f>
        <v>sáb</v>
      </c>
      <c r="D25" s="96">
        <f>WEEKNUM(preçodiario[[#This Row],[data]],13)</f>
        <v>4</v>
      </c>
      <c r="E25" s="37">
        <v>46046</v>
      </c>
      <c r="F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Row],[data]])),((F24*G24)+SUMIFS(estoque[valor total],estoque[produto],preçodiario[[#Headers],[OVO BRANCO A]],estoque[data],preçodiario[[#This Row],[data]],estoque[fornecedor],"&lt;&gt;saída"))/(G24+(SUMIFS(estoque[quantidade],estoque[produto],preçodiario[[#Headers],[OVO BRANCO A]],estoque[fornecedor],"&lt;&gt;saída",estoque[data],preçodiario[[#This Row],[data]])))))</f>
        <v>15.349879138719889</v>
      </c>
      <c r="G25" s="22">
        <f>IF(preçodiario[[#This Row],[entrada A]]=0,G24-(SUMIFS(estoque[quantidade],estoque[fornecedor],"saída",estoque[produto],preçodiario[[#Headers],[OVO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Row],[data]]))+G24+preçodiario[[#This Row],[entrada A]])</f>
        <v>129</v>
      </c>
      <c r="H25" s="22">
        <f>SUMIFS(estoque[quantidade],estoque[fornecedor],"&lt;&gt;saída",estoque[produto],preçodiario[[#Headers],[OVO BRANCO A]],estoque[data],preçodiario[[#This Row],[data]])</f>
        <v>0</v>
      </c>
      <c r="I25" s="20">
        <f>SUMIFS(estoque[valor total],estoque[fornecedor],"&lt;&gt;saída",estoque[produto],preçodiario[[#Headers],[OVO BRANCO A]],estoque[data],preçodiario[[#This Row],[data]])</f>
        <v>0</v>
      </c>
      <c r="J25" s="20">
        <f>IFERROR(preçodiario[[#This Row],[estoque A]]*preçodiario[[#This Row],[OVO BRANCO A]],0)</f>
        <v>1980.1344088948656</v>
      </c>
      <c r="K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Row],[data]])),((K24*L24)+SUMIFS(estoque[valor total],estoque[produto],preçodiario[[#Headers],[OVO BRANCO B]],estoque[data],preçodiario[[#This Row],[data]],estoque[fornecedor],"&lt;&gt;saída"))/(L24+(SUMIFS(estoque[quantidade],estoque[produto],preçodiario[[#Headers],[OVO BRANCO B]],estoque[fornecedor],"&lt;&gt;saída",estoque[data],preçodiario[[#This Row],[data]])))))</f>
        <v>14.967973974399895</v>
      </c>
      <c r="L25" s="22">
        <f>IF(preçodiario[[#This Row],[entrada B]]=0,L24-(SUMIFS(estoque[quantidade],estoque[fornecedor],"saída",estoque[produto],preçodiario[[#Headers],[OVO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Row],[data]]))+L24+preçodiario[[#This Row],[entrada B]])</f>
        <v>66</v>
      </c>
      <c r="M25" s="22">
        <f>SUMIFS(estoque[quantidade],estoque[fornecedor],"&lt;&gt;saída",estoque[produto],preçodiario[[#Headers],[OVO BRANCO B]],estoque[data],preçodiario[[#This Row],[data]])</f>
        <v>0</v>
      </c>
      <c r="N25" s="20">
        <f>SUMIFS(estoque[valor total],estoque[fornecedor],"&lt;&gt;saída",estoque[produto],preçodiario[[#Headers],[OVO BRANCO B]],estoque[data],preçodiario[[#This Row],[data]])</f>
        <v>0</v>
      </c>
      <c r="O25" s="20">
        <f>IFERROR(preçodiario[[#This Row],[OVO BRANCO B]]*preçodiario[[#This Row],[estoque B]],0)</f>
        <v>987.88628231039309</v>
      </c>
      <c r="P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Row],[data]])),((P24*Q24)+SUMIFS(estoque[valor total],estoque[produto],preçodiario[[#Headers],[OVO BRANCO C]],estoque[data],preçodiario[[#This Row],[data]],estoque[fornecedor],"&lt;&gt;saída"))/(Q24+(SUMIFS(estoque[quantidade],estoque[produto],preçodiario[[#Headers],[OVO BRANCO C]],estoque[fornecedor],"&lt;&gt;saída",estoque[data],preçodiario[[#This Row],[data]])))))</f>
        <v>13.874671916010501</v>
      </c>
      <c r="Q25" s="22">
        <f>IF(preçodiario[[#This Row],[entrada C]]=0,Q24-(SUMIFS(estoque[quantidade],estoque[fornecedor],"saída",estoque[produto],preçodiario[[#Headers],[OVO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Row],[data]]))+Q24+preçodiario[[#This Row],[entrada C]])</f>
        <v>49</v>
      </c>
      <c r="R25" s="22">
        <f>SUMIFS(estoque[quantidade],estoque[fornecedor],"&lt;&gt;saída",estoque[produto],preçodiario[[#Headers],[OVO BRANCO C]],estoque[data],preçodiario[[#This Row],[data]])</f>
        <v>0</v>
      </c>
      <c r="S25" s="20">
        <f>SUMIFS(estoque[valor total],estoque[fornecedor],"&lt;&gt;saída",estoque[produto],preçodiario[[#Headers],[OVO BRANCO C]],estoque[data],preçodiario[[#This Row],[data]])</f>
        <v>0</v>
      </c>
      <c r="T25" s="20">
        <f>IFERROR(preçodiario[[#This Row],[OVO BRANCO C]]*preçodiario[[#This Row],[estoque C]],0)</f>
        <v>679.85892388451452</v>
      </c>
      <c r="U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Row],[data]])),((U24*V24)+SUMIFS(estoque[valor total],estoque[produto],preçodiario[[#Headers],[OVO BRANCO EXTRA]],estoque[data],preçodiario[[#This Row],[data]],estoque[fornecedor],"&lt;&gt;saída"))/(V24+(SUMIFS(estoque[quantidade],estoque[produto],preçodiario[[#Headers],[OVO BRANCO EXTRA]],estoque[fornecedor],"&lt;&gt;saída",estoque[data],preçodiario[[#This Row],[data]])))))</f>
        <v>15.275689007741031</v>
      </c>
      <c r="V25" s="22">
        <f>IF(preçodiario[[#This Row],[entrada E]]=0,V24-(SUMIFS(estoque[quantidade],estoque[fornecedor],"saída",estoque[produto],preçodiario[[#Headers],[OVO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Row],[data]]))+V24+preçodiario[[#This Row],[entrada E]])</f>
        <v>62</v>
      </c>
      <c r="W25" s="22">
        <f>SUMIFS(estoque[quantidade],estoque[fornecedor],"&lt;&gt;saída",estoque[produto],preçodiario[[#Headers],[OVO BRANCO EXTRA]],estoque[data],preçodiario[[#This Row],[data]])</f>
        <v>0</v>
      </c>
      <c r="X25" s="20">
        <f>SUMIFS(estoque[valor total],estoque[fornecedor],"&lt;&gt;saída",estoque[produto],preçodiario[[#Headers],[OVO BRANCO EXTRA]],estoque[data],preçodiario[[#This Row],[data]])</f>
        <v>0</v>
      </c>
      <c r="Y25" s="20">
        <f>IFERROR(preçodiario[[#This Row],[estoque E]]*preçodiario[[#This Row],[OVO BRANCO EXTRA]],0)</f>
        <v>947.09271847994387</v>
      </c>
      <c r="Z2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Row],[data]])),((Z24*AA24)+SUMIFS(estoque[valor total],estoque[produto],preçodiario[[#Headers],[OVO BRANCO JUMBO]],estoque[data],preçodiario[[#This Row],[data]],estoque[fornecedor],"&lt;&gt;saída"))/(AA24+(SUMIFS(estoque[quantidade],estoque[produto],preçodiario[[#Headers],[OVO BRANCO JUMBO]],estoque[fornecedor],"&lt;&gt;saída",estoque[data],preçodiario[[#This Row],[data]])))))</f>
        <v/>
      </c>
      <c r="AA25" s="22">
        <f>IF(preçodiario[[#This Row],[entrada J]]=0,AA24-(SUMIFS(estoque[quantidade],estoque[fornecedor],"saída",estoque[produto],preçodiario[[#Headers],[OVO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Row],[data]]))+AA24+preçodiario[[#This Row],[entrada J]])</f>
        <v>0</v>
      </c>
      <c r="AB25" s="22">
        <f>SUMIFS(estoque[quantidade],estoque[fornecedor],"&lt;&gt;saída",estoque[produto],preçodiario[[#Headers],[OVO BRANCO JUMBO]],estoque[data],preçodiario[[#This Row],[data]])</f>
        <v>0</v>
      </c>
      <c r="AC25" s="20">
        <f>SUMIFS(estoque[valor total],estoque[fornecedor],"&lt;&gt;saída",estoque[produto],preçodiario[[#Headers],[OVO BRANCO JUMBO]],estoque[data],preçodiario[[#This Row],[data]])</f>
        <v>0</v>
      </c>
      <c r="AD25" s="20">
        <f>IFERROR(preçodiario[[#This Row],[OVO BRANCO JUMBO]]*preçodiario[[#This Row],[estoque J]],0)</f>
        <v>0</v>
      </c>
      <c r="AE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Row],[data]])),((AE24*AF24)+SUMIFS(estoque[valor total],estoque[produto],preçodiario[[#Headers],[OVO VERMELHO A]],estoque[data],preçodiario[[#This Row],[data]],estoque[fornecedor],"&lt;&gt;saída"))/(AF24+(SUMIFS(estoque[quantidade],estoque[produto],preçodiario[[#Headers],[OVO VERMELHO A]],estoque[fornecedor],"&lt;&gt;saída",estoque[data],preçodiario[[#This Row],[data]])))))</f>
        <v/>
      </c>
      <c r="AF25" s="22">
        <f>IF(preçodiario[[#This Row],[entrada AV]]=0,AF24-(SUMIFS(estoque[quantidade],estoque[fornecedor],"saída",estoque[produto],preçodiario[[#Headers],[OVO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Row],[data]]))+AF24+preçodiario[[#This Row],[entrada AV]])</f>
        <v>0</v>
      </c>
      <c r="AG25" s="22">
        <f>SUMIFS(estoque[quantidade],estoque[fornecedor],"&lt;&gt;saída",estoque[produto],preçodiario[[#Headers],[OVO VERMELHO A]],estoque[data],preçodiario[[#This Row],[data]])</f>
        <v>0</v>
      </c>
      <c r="AH25" s="20">
        <f>SUMIFS(estoque[valor total],estoque[fornecedor],"&lt;&gt;saída",estoque[produto],preçodiario[[#Headers],[OVO VERMELHO A]],estoque[data],preçodiario[[#This Row],[data]])</f>
        <v>0</v>
      </c>
      <c r="AI25" s="20">
        <f>IFERROR(preçodiario[[#This Row],[OVO VERMELHO A]]*preçodiario[[#This Row],[estoque AV]],0)</f>
        <v>0</v>
      </c>
      <c r="AJ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Row],[data]])),((AJ24*AK24)+SUMIFS(estoque[valor total],estoque[produto],preçodiario[[#Headers],[OVO VERMELHO B]],estoque[data],preçodiario[[#This Row],[data]],estoque[fornecedor],"&lt;&gt;saída"))/(AK24+(SUMIFS(estoque[quantidade],estoque[produto],preçodiario[[#Headers],[OVO VERMELHO B]],estoque[fornecedor],"&lt;&gt;saída",estoque[data],preçodiario[[#This Row],[data]])))))</f>
        <v/>
      </c>
      <c r="AK25" s="22">
        <f>IF(preçodiario[[#This Row],[entrada BV]]=0,AK24-(SUMIFS(estoque[quantidade],estoque[fornecedor],"saída",estoque[produto],preçodiario[[#Headers],[OVO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Row],[data]]))+AK24+preçodiario[[#This Row],[entrada BV]])</f>
        <v>0</v>
      </c>
      <c r="AL25" s="22">
        <f>SUMIFS(estoque[quantidade],estoque[fornecedor],"&lt;&gt;saída",estoque[produto],preçodiario[[#Headers],[OVO VERMELHO B]],estoque[data],preçodiario[[#This Row],[data]])</f>
        <v>0</v>
      </c>
      <c r="AM25" s="20">
        <f>SUMIFS(estoque[valor total],estoque[fornecedor],"&lt;&gt;saída",estoque[produto],preçodiario[[#Headers],[OVO VERMELHO B]],estoque[data],preçodiario[[#This Row],[data]])</f>
        <v>0</v>
      </c>
      <c r="AN25" s="20">
        <f>IFERROR(preçodiario[[#This Row],[OVO VERMELHO B]]*preçodiario[[#This Row],[estoque BV]],0)</f>
        <v>0</v>
      </c>
      <c r="AO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Row],[data]])),((AO24*AP24)+SUMIFS(estoque[valor total],estoque[produto],preçodiario[[#Headers],[OVO VERMELHO C]],estoque[data],preçodiario[[#This Row],[data]],estoque[fornecedor],"&lt;&gt;saída"))/(AP24+(SUMIFS(estoque[quantidade],estoque[produto],preçodiario[[#Headers],[OVO VERMELHO C]],estoque[fornecedor],"&lt;&gt;saída",estoque[data],preçodiario[[#This Row],[data]])))))</f>
        <v/>
      </c>
      <c r="AP25" s="22">
        <f>IF(preçodiario[[#This Row],[entrada CV]]=0,AP24-(SUMIFS(estoque[quantidade],estoque[fornecedor],"saída",estoque[produto],preçodiario[[#Headers],[OVO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Row],[data]]))+AP24+preçodiario[[#This Row],[entrada CV]])</f>
        <v>0</v>
      </c>
      <c r="AQ25" s="22">
        <f>SUMIFS(estoque[quantidade],estoque[fornecedor],"&lt;&gt;saída",estoque[produto],preçodiario[[#Headers],[OVO VERMELHO C]],estoque[data],preçodiario[[#This Row],[data]])</f>
        <v>0</v>
      </c>
      <c r="AR25" s="20">
        <f>SUMIFS(estoque[valor total],estoque[fornecedor],"&lt;&gt;saída",estoque[produto],preçodiario[[#Headers],[OVO VERMELHO C]],estoque[data],preçodiario[[#This Row],[data]])</f>
        <v>0</v>
      </c>
      <c r="AS25" s="20">
        <f>IFERROR(preçodiario[[#This Row],[OVO VERMELHO C]]*preçodiario[[#This Row],[estoque CV]],0)</f>
        <v>0</v>
      </c>
      <c r="AT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Row],[data]])),((AT24*AU24)+SUMIFS(estoque[valor total],estoque[produto],preçodiario[[#Headers],[OVO VERMELHO EXTRA]],estoque[data],preçodiario[[#This Row],[data]],estoque[fornecedor],"&lt;&gt;saída"))/(AU24+(SUMIFS(estoque[quantidade],estoque[produto],preçodiario[[#Headers],[OVO VERMELHO EXTRA]],estoque[fornecedor],"&lt;&gt;saída",estoque[data],preçodiario[[#This Row],[data]])))))</f>
        <v/>
      </c>
      <c r="AU25" s="22">
        <f>IF(preçodiario[[#This Row],[entrada EV]]=0,AU24-(SUMIFS(estoque[quantidade],estoque[fornecedor],"saída",estoque[produto],preçodiario[[#Headers],[OVO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Row],[data]]))+AU24+preçodiario[[#This Row],[entrada EV]])</f>
        <v>0</v>
      </c>
      <c r="AV25" s="22">
        <f>SUMIFS(estoque[quantidade],estoque[fornecedor],"&lt;&gt;saída",estoque[produto],preçodiario[[#Headers],[OVO VERMELHO EXTRA]],estoque[data],preçodiario[[#This Row],[data]])</f>
        <v>0</v>
      </c>
      <c r="AW25" s="20">
        <f>SUMIFS(estoque[valor total],estoque[fornecedor],"&lt;&gt;saída",estoque[produto],preçodiario[[#Headers],[OVO VERMELHO EXTRA]],estoque[data],preçodiario[[#This Row],[data]])</f>
        <v>0</v>
      </c>
      <c r="AX25" s="20">
        <f>IFERROR(preçodiario[[#This Row],[OVO VERMELHO EXTRA]]*preçodiario[[#This Row],[estoque EV]],0)</f>
        <v>0</v>
      </c>
      <c r="AY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Row],[data]])),((AY24*AZ24)+SUMIFS(estoque[valor total],estoque[produto],preçodiario[[#Headers],[OVO VERMELHO JUMBO]],estoque[data],preçodiario[[#This Row],[data]],estoque[fornecedor],"&lt;&gt;saída"))/(AZ24+(SUMIFS(estoque[quantidade],estoque[produto],preçodiario[[#Headers],[OVO VERMELHO JUMBO]],estoque[fornecedor],"&lt;&gt;saída",estoque[data],preçodiario[[#This Row],[data]])))))</f>
        <v/>
      </c>
      <c r="AZ25" s="22">
        <f>IF(preçodiario[[#This Row],[entrada JV]]=0,AZ24-(SUMIFS(estoque[quantidade],estoque[fornecedor],"saída",estoque[produto],preçodiario[[#Headers],[OVO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Row],[data]]))+AZ24+preçodiario[[#This Row],[entrada JV]])</f>
        <v>0</v>
      </c>
      <c r="BA25" s="22">
        <f>SUMIFS(estoque[quantidade],estoque[fornecedor],"&lt;&gt;saída",estoque[produto],preçodiario[[#Headers],[OVO VERMELHO JUMBO]],estoque[data],preçodiario[[#This Row],[data]])</f>
        <v>0</v>
      </c>
      <c r="BB25" s="20">
        <f>SUMIFS(estoque[valor total],estoque[fornecedor],"&lt;&gt;saída",estoque[produto],preçodiario[[#Headers],[OVO VERMELHO JUMBO]],estoque[data],preçodiario[[#This Row],[data]])</f>
        <v>0</v>
      </c>
      <c r="BC25" s="20">
        <f>IFERROR(preçodiario[[#This Row],[OVO VERMELHO JUMBO]]*preçodiario[[#This Row],[estoque JV]],0)</f>
        <v>0</v>
      </c>
      <c r="BD25" t="str">
        <f>TEXT(vendaAno[[#This Row],[data]],"mmm")</f>
        <v>jan</v>
      </c>
      <c r="BE25" t="str">
        <f>TEXT(vendaAno[[#This Row],[data]],"ddd")</f>
        <v>sáb</v>
      </c>
      <c r="BF25" s="82">
        <f>WEEKNUM(vendaAno[[#This Row],[data]],13)</f>
        <v>4</v>
      </c>
      <c r="BG25" s="27">
        <f>preçodiario[[#This Row],[data]]</f>
        <v>46046</v>
      </c>
      <c r="BH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" s="8">
        <f>IF(SUMIFS(estoque[valor total],estoque[fornecedor],"saída",estoque[data],vendaAno[[#This Row],[data]])=0,"",SUMIFS(estoque[valor total],estoque[fornecedor],"saída",estoque[data],vendaAno[[#This Row],[data]]))</f>
        <v>417</v>
      </c>
      <c r="BJ2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Row],[data]]))/12+BJ24,"")</f>
        <v>25.499999999999982</v>
      </c>
      <c r="BK25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25" s="8">
        <f ca="1">IF(vendaAno[[#This Row],[data]]&lt;=TODAY(),IF(SUMIFS(estoque[lucro],estoque[fornecedor],"saída",estoque[data],vendaAno[[#This Row],[data]])=0,AVERAGE(BL22:BL24),SUMIFS(estoque[lucro],estoque[fornecedor],"saída",estoque[data],vendaAno[[#This Row],[data]])),"")</f>
        <v>66.03</v>
      </c>
      <c r="BM25" s="10">
        <f ca="1">IFERROR(vendaAno[[#This Row],[lucro]]/vendaAno[[#This Row],[valor de venda]],"")</f>
        <v>0.15834532374100721</v>
      </c>
      <c r="BN2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4594.9723335697172</v>
      </c>
      <c r="BO25" s="8">
        <f ca="1">IF(TODAY()&gt;=vendaAno[[#This Row],[data]],IF(vendaAno[[#This Row],[N°]]=BF24,vendaAno[[#This Row],[lucro]]-173.33+BO24,vendaAno[[#This Row],[lucro]]-150),"")</f>
        <v>-278.40000000000009</v>
      </c>
      <c r="BP25" s="81">
        <f ca="1">IF(TODAY()&gt;=vendaAno[[#This Row],[data]],SUM(BK19:BK25)*12,"")</f>
        <v>219.00000000000006</v>
      </c>
      <c r="BQ25" s="7">
        <f ca="1">IFERROR(vendaAno[[#This Row],[lucro]]/(vendaAno[[#This Row],[venda]]*12),"")</f>
        <v>2.8708695652173915</v>
      </c>
      <c r="BT25" s="95">
        <f ca="1">WEEKNUM(PvPcML[[#This Row],[data]],13)</f>
        <v>27</v>
      </c>
      <c r="BU25" s="132">
        <f t="shared" ca="1" si="0"/>
        <v>46210</v>
      </c>
      <c r="BV25" s="7">
        <f ca="1">IFERROR(SUMIFS(vendaAno[valor de venda],vendaAno[data],PvPcML[[#This Row],[data]])/(SUMIFS(vendaAno[venda],vendaAno[data],PvPcML[[#This Row],[data]])*12),"")</f>
        <v>19.861111111111111</v>
      </c>
      <c r="BW25" s="7">
        <f ca="1">IFERROR(SUMIFS(vendaAno[valor de venda],vendaAno[data],PvPcML[[#This Row],[data]])/(SUMIFS(vendaAno[venda],vendaAno[data],PvPcML[[#This Row],[data]])*12)-PvPcML[[#This Row],[lucro médio]],"")</f>
        <v>15.55638888888889</v>
      </c>
      <c r="BX25" s="7">
        <f ca="1">IF(SUMIFS(vendaAno[[lucro médio ]],vendaAno[data],PvPcML[[#This Row],[data]])=0,"",SUMIFS(vendaAno[[lucro médio ]],vendaAno[data],PvPcML[[#This Row],[data]]))</f>
        <v>4.304722222222221</v>
      </c>
      <c r="BY25" s="91">
        <v>24</v>
      </c>
      <c r="BZ25" s="89">
        <f t="shared" si="1"/>
        <v>46184</v>
      </c>
      <c r="CA25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14.083333333333334</v>
      </c>
      <c r="CB25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5" s="7">
        <f ca="1">IFERROR(SUMIFS(vendaAno[lucro],vendaAno[data],"&gt;="&amp;semanal[[#This Row],[semana]],vendaAno[data],"&lt;="&amp;semanal[[#This Row],[semana]]+6)/((semanal[[#This Row],[varejo]]+semanal[[#This Row],[atacado]])*12),"")</f>
        <v>2.6652941176470586</v>
      </c>
      <c r="CD25" s="82">
        <f ca="1">IFERROR(AVERAGEIFS(vendaAno[venda],vendaAno[data],"&gt;="&amp;semanal[[#This Row],[semana]],vendaAno[data],"&lt;="&amp;semanal[[#This Row],[semana]]+6),"")</f>
        <v>2.2261904761904763</v>
      </c>
      <c r="CE25" s="82">
        <f ca="1">IFERROR((150/semanal[[#This Row],[lucro médio por cartela]])/12,"")</f>
        <v>4.6899139262855885</v>
      </c>
    </row>
    <row r="26" spans="1:83" x14ac:dyDescent="0.25">
      <c r="A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6" s="18" t="str">
        <f>TEXT(preçodiario[[#This Row],[data]],"MMM")</f>
        <v>jan</v>
      </c>
      <c r="C26" s="18" t="str">
        <f>TEXT(preçodiario[[#This Row],[data]],"ddd")</f>
        <v>dom</v>
      </c>
      <c r="D26" s="96">
        <f>WEEKNUM(preçodiario[[#This Row],[data]],13)</f>
        <v>4</v>
      </c>
      <c r="E26" s="37">
        <v>46047</v>
      </c>
      <c r="F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Row],[data]])),((F25*G25)+SUMIFS(estoque[valor total],estoque[produto],preçodiario[[#Headers],[OVO BRANCO A]],estoque[data],preçodiario[[#This Row],[data]],estoque[fornecedor],"&lt;&gt;saída"))/(G25+(SUMIFS(estoque[quantidade],estoque[produto],preçodiario[[#Headers],[OVO BRANCO A]],estoque[fornecedor],"&lt;&gt;saída",estoque[data],preçodiario[[#This Row],[data]])))))</f>
        <v>15.349879138719889</v>
      </c>
      <c r="G26" s="22">
        <f>IF(preçodiario[[#This Row],[entrada A]]=0,G25-(SUMIFS(estoque[quantidade],estoque[fornecedor],"saída",estoque[produto],preçodiario[[#Headers],[OVO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Row],[data]]))+G25+preçodiario[[#This Row],[entrada A]])</f>
        <v>121</v>
      </c>
      <c r="H26" s="22">
        <f>SUMIFS(estoque[quantidade],estoque[fornecedor],"&lt;&gt;saída",estoque[produto],preçodiario[[#Headers],[OVO BRANCO A]],estoque[data],preçodiario[[#This Row],[data]])</f>
        <v>0</v>
      </c>
      <c r="I26" s="20">
        <f>SUMIFS(estoque[valor total],estoque[fornecedor],"&lt;&gt;saída",estoque[produto],preçodiario[[#Headers],[OVO BRANCO A]],estoque[data],preçodiario[[#This Row],[data]])</f>
        <v>0</v>
      </c>
      <c r="J26" s="20">
        <f>IFERROR(preçodiario[[#This Row],[estoque A]]*preçodiario[[#This Row],[OVO BRANCO A]],0)</f>
        <v>1857.3353757851064</v>
      </c>
      <c r="K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Row],[data]])),((K25*L25)+SUMIFS(estoque[valor total],estoque[produto],preçodiario[[#Headers],[OVO BRANCO B]],estoque[data],preçodiario[[#This Row],[data]],estoque[fornecedor],"&lt;&gt;saída"))/(L25+(SUMIFS(estoque[quantidade],estoque[produto],preçodiario[[#Headers],[OVO BRANCO B]],estoque[fornecedor],"&lt;&gt;saída",estoque[data],preçodiario[[#This Row],[data]])))))</f>
        <v>14.967973974399895</v>
      </c>
      <c r="L26" s="22">
        <f>IF(preçodiario[[#This Row],[entrada B]]=0,L25-(SUMIFS(estoque[quantidade],estoque[fornecedor],"saída",estoque[produto],preçodiario[[#Headers],[OVO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Row],[data]]))+L25+preçodiario[[#This Row],[entrada B]])</f>
        <v>65</v>
      </c>
      <c r="M26" s="22">
        <f>SUMIFS(estoque[quantidade],estoque[fornecedor],"&lt;&gt;saída",estoque[produto],preçodiario[[#Headers],[OVO BRANCO B]],estoque[data],preçodiario[[#This Row],[data]])</f>
        <v>0</v>
      </c>
      <c r="N26" s="20">
        <f>SUMIFS(estoque[valor total],estoque[fornecedor],"&lt;&gt;saída",estoque[produto],preçodiario[[#Headers],[OVO BRANCO B]],estoque[data],preçodiario[[#This Row],[data]])</f>
        <v>0</v>
      </c>
      <c r="O26" s="20">
        <f>IFERROR(preçodiario[[#This Row],[OVO BRANCO B]]*preçodiario[[#This Row],[estoque B]],0)</f>
        <v>972.91830833599317</v>
      </c>
      <c r="P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Row],[data]])),((P25*Q25)+SUMIFS(estoque[valor total],estoque[produto],preçodiario[[#Headers],[OVO BRANCO C]],estoque[data],preçodiario[[#This Row],[data]],estoque[fornecedor],"&lt;&gt;saída"))/(Q25+(SUMIFS(estoque[quantidade],estoque[produto],preçodiario[[#Headers],[OVO BRANCO C]],estoque[fornecedor],"&lt;&gt;saída",estoque[data],preçodiario[[#This Row],[data]])))))</f>
        <v>13.874671916010501</v>
      </c>
      <c r="Q26" s="22">
        <f>IF(preçodiario[[#This Row],[entrada C]]=0,Q25-(SUMIFS(estoque[quantidade],estoque[fornecedor],"saída",estoque[produto],preçodiario[[#Headers],[OVO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Row],[data]]))+Q25+preçodiario[[#This Row],[entrada C]])</f>
        <v>46</v>
      </c>
      <c r="R26" s="22">
        <f>SUMIFS(estoque[quantidade],estoque[fornecedor],"&lt;&gt;saída",estoque[produto],preçodiario[[#Headers],[OVO BRANCO C]],estoque[data],preçodiario[[#This Row],[data]])</f>
        <v>0</v>
      </c>
      <c r="S26" s="20">
        <f>SUMIFS(estoque[valor total],estoque[fornecedor],"&lt;&gt;saída",estoque[produto],preçodiario[[#Headers],[OVO BRANCO C]],estoque[data],preçodiario[[#This Row],[data]])</f>
        <v>0</v>
      </c>
      <c r="T26" s="20">
        <f>IFERROR(preçodiario[[#This Row],[OVO BRANCO C]]*preçodiario[[#This Row],[estoque C]],0)</f>
        <v>638.234908136483</v>
      </c>
      <c r="U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Row],[data]])),((U25*V25)+SUMIFS(estoque[valor total],estoque[produto],preçodiario[[#Headers],[OVO BRANCO EXTRA]],estoque[data],preçodiario[[#This Row],[data]],estoque[fornecedor],"&lt;&gt;saída"))/(V25+(SUMIFS(estoque[quantidade],estoque[produto],preçodiario[[#Headers],[OVO BRANCO EXTRA]],estoque[fornecedor],"&lt;&gt;saída",estoque[data],preçodiario[[#This Row],[data]])))))</f>
        <v>15.275689007741031</v>
      </c>
      <c r="V26" s="22">
        <f>IF(preçodiario[[#This Row],[entrada E]]=0,V25-(SUMIFS(estoque[quantidade],estoque[fornecedor],"saída",estoque[produto],preçodiario[[#Headers],[OVO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Row],[data]]))+V25+preçodiario[[#This Row],[entrada E]])</f>
        <v>51</v>
      </c>
      <c r="W26" s="22">
        <f>SUMIFS(estoque[quantidade],estoque[fornecedor],"&lt;&gt;saída",estoque[produto],preçodiario[[#Headers],[OVO BRANCO EXTRA]],estoque[data],preçodiario[[#This Row],[data]])</f>
        <v>0</v>
      </c>
      <c r="X26" s="20">
        <f>SUMIFS(estoque[valor total],estoque[fornecedor],"&lt;&gt;saída",estoque[produto],preçodiario[[#Headers],[OVO BRANCO EXTRA]],estoque[data],preçodiario[[#This Row],[data]])</f>
        <v>0</v>
      </c>
      <c r="Y26" s="20">
        <f>IFERROR(preçodiario[[#This Row],[estoque E]]*preçodiario[[#This Row],[OVO BRANCO EXTRA]],0)</f>
        <v>779.0601393947926</v>
      </c>
      <c r="Z2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Row],[data]])),((Z25*AA25)+SUMIFS(estoque[valor total],estoque[produto],preçodiario[[#Headers],[OVO BRANCO JUMBO]],estoque[data],preçodiario[[#This Row],[data]],estoque[fornecedor],"&lt;&gt;saída"))/(AA25+(SUMIFS(estoque[quantidade],estoque[produto],preçodiario[[#Headers],[OVO BRANCO JUMBO]],estoque[fornecedor],"&lt;&gt;saída",estoque[data],preçodiario[[#This Row],[data]])))))</f>
        <v/>
      </c>
      <c r="AA26" s="22">
        <f>IF(preçodiario[[#This Row],[entrada J]]=0,AA25-(SUMIFS(estoque[quantidade],estoque[fornecedor],"saída",estoque[produto],preçodiario[[#Headers],[OVO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Row],[data]]))+AA25+preçodiario[[#This Row],[entrada J]])</f>
        <v>0</v>
      </c>
      <c r="AB26" s="22">
        <f>SUMIFS(estoque[quantidade],estoque[fornecedor],"&lt;&gt;saída",estoque[produto],preçodiario[[#Headers],[OVO BRANCO JUMBO]],estoque[data],preçodiario[[#This Row],[data]])</f>
        <v>0</v>
      </c>
      <c r="AC26" s="20">
        <f>SUMIFS(estoque[valor total],estoque[fornecedor],"&lt;&gt;saída",estoque[produto],preçodiario[[#Headers],[OVO BRANCO JUMBO]],estoque[data],preçodiario[[#This Row],[data]])</f>
        <v>0</v>
      </c>
      <c r="AD26" s="20">
        <f>IFERROR(preçodiario[[#This Row],[OVO BRANCO JUMBO]]*preçodiario[[#This Row],[estoque J]],0)</f>
        <v>0</v>
      </c>
      <c r="AE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Row],[data]])),((AE25*AF25)+SUMIFS(estoque[valor total],estoque[produto],preçodiario[[#Headers],[OVO VERMELHO A]],estoque[data],preçodiario[[#This Row],[data]],estoque[fornecedor],"&lt;&gt;saída"))/(AF25+(SUMIFS(estoque[quantidade],estoque[produto],preçodiario[[#Headers],[OVO VERMELHO A]],estoque[fornecedor],"&lt;&gt;saída",estoque[data],preçodiario[[#This Row],[data]])))))</f>
        <v/>
      </c>
      <c r="AF26" s="22">
        <f>IF(preçodiario[[#This Row],[entrada AV]]=0,AF25-(SUMIFS(estoque[quantidade],estoque[fornecedor],"saída",estoque[produto],preçodiario[[#Headers],[OVO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Row],[data]]))+AF25+preçodiario[[#This Row],[entrada AV]])</f>
        <v>0</v>
      </c>
      <c r="AG26" s="22">
        <f>SUMIFS(estoque[quantidade],estoque[fornecedor],"&lt;&gt;saída",estoque[produto],preçodiario[[#Headers],[OVO VERMELHO A]],estoque[data],preçodiario[[#This Row],[data]])</f>
        <v>0</v>
      </c>
      <c r="AH26" s="20">
        <f>SUMIFS(estoque[valor total],estoque[fornecedor],"&lt;&gt;saída",estoque[produto],preçodiario[[#Headers],[OVO VERMELHO A]],estoque[data],preçodiario[[#This Row],[data]])</f>
        <v>0</v>
      </c>
      <c r="AI26" s="20">
        <f>IFERROR(preçodiario[[#This Row],[OVO VERMELHO A]]*preçodiario[[#This Row],[estoque AV]],0)</f>
        <v>0</v>
      </c>
      <c r="AJ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Row],[data]])),((AJ25*AK25)+SUMIFS(estoque[valor total],estoque[produto],preçodiario[[#Headers],[OVO VERMELHO B]],estoque[data],preçodiario[[#This Row],[data]],estoque[fornecedor],"&lt;&gt;saída"))/(AK25+(SUMIFS(estoque[quantidade],estoque[produto],preçodiario[[#Headers],[OVO VERMELHO B]],estoque[fornecedor],"&lt;&gt;saída",estoque[data],preçodiario[[#This Row],[data]])))))</f>
        <v/>
      </c>
      <c r="AK26" s="22">
        <f>IF(preçodiario[[#This Row],[entrada BV]]=0,AK25-(SUMIFS(estoque[quantidade],estoque[fornecedor],"saída",estoque[produto],preçodiario[[#Headers],[OVO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Row],[data]]))+AK25+preçodiario[[#This Row],[entrada BV]])</f>
        <v>0</v>
      </c>
      <c r="AL26" s="22">
        <f>SUMIFS(estoque[quantidade],estoque[fornecedor],"&lt;&gt;saída",estoque[produto],preçodiario[[#Headers],[OVO VERMELHO B]],estoque[data],preçodiario[[#This Row],[data]])</f>
        <v>0</v>
      </c>
      <c r="AM26" s="20">
        <f>SUMIFS(estoque[valor total],estoque[fornecedor],"&lt;&gt;saída",estoque[produto],preçodiario[[#Headers],[OVO VERMELHO B]],estoque[data],preçodiario[[#This Row],[data]])</f>
        <v>0</v>
      </c>
      <c r="AN26" s="20">
        <f>IFERROR(preçodiario[[#This Row],[OVO VERMELHO B]]*preçodiario[[#This Row],[estoque BV]],0)</f>
        <v>0</v>
      </c>
      <c r="AO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Row],[data]])),((AO25*AP25)+SUMIFS(estoque[valor total],estoque[produto],preçodiario[[#Headers],[OVO VERMELHO C]],estoque[data],preçodiario[[#This Row],[data]],estoque[fornecedor],"&lt;&gt;saída"))/(AP25+(SUMIFS(estoque[quantidade],estoque[produto],preçodiario[[#Headers],[OVO VERMELHO C]],estoque[fornecedor],"&lt;&gt;saída",estoque[data],preçodiario[[#This Row],[data]])))))</f>
        <v/>
      </c>
      <c r="AP26" s="22">
        <f>IF(preçodiario[[#This Row],[entrada CV]]=0,AP25-(SUMIFS(estoque[quantidade],estoque[fornecedor],"saída",estoque[produto],preçodiario[[#Headers],[OVO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Row],[data]]))+AP25+preçodiario[[#This Row],[entrada CV]])</f>
        <v>0</v>
      </c>
      <c r="AQ26" s="22">
        <f>SUMIFS(estoque[quantidade],estoque[fornecedor],"&lt;&gt;saída",estoque[produto],preçodiario[[#Headers],[OVO VERMELHO C]],estoque[data],preçodiario[[#This Row],[data]])</f>
        <v>0</v>
      </c>
      <c r="AR26" s="20">
        <f>SUMIFS(estoque[valor total],estoque[fornecedor],"&lt;&gt;saída",estoque[produto],preçodiario[[#Headers],[OVO VERMELHO C]],estoque[data],preçodiario[[#This Row],[data]])</f>
        <v>0</v>
      </c>
      <c r="AS26" s="20">
        <f>IFERROR(preçodiario[[#This Row],[OVO VERMELHO C]]*preçodiario[[#This Row],[estoque CV]],0)</f>
        <v>0</v>
      </c>
      <c r="AT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Row],[data]])),((AT25*AU25)+SUMIFS(estoque[valor total],estoque[produto],preçodiario[[#Headers],[OVO VERMELHO EXTRA]],estoque[data],preçodiario[[#This Row],[data]],estoque[fornecedor],"&lt;&gt;saída"))/(AU25+(SUMIFS(estoque[quantidade],estoque[produto],preçodiario[[#Headers],[OVO VERMELHO EXTRA]],estoque[fornecedor],"&lt;&gt;saída",estoque[data],preçodiario[[#This Row],[data]])))))</f>
        <v/>
      </c>
      <c r="AU26" s="22">
        <f>IF(preçodiario[[#This Row],[entrada EV]]=0,AU25-(SUMIFS(estoque[quantidade],estoque[fornecedor],"saída",estoque[produto],preçodiario[[#Headers],[OVO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Row],[data]]))+AU25+preçodiario[[#This Row],[entrada EV]])</f>
        <v>0</v>
      </c>
      <c r="AV26" s="22">
        <f>SUMIFS(estoque[quantidade],estoque[fornecedor],"&lt;&gt;saída",estoque[produto],preçodiario[[#Headers],[OVO VERMELHO EXTRA]],estoque[data],preçodiario[[#This Row],[data]])</f>
        <v>0</v>
      </c>
      <c r="AW26" s="20">
        <f>SUMIFS(estoque[valor total],estoque[fornecedor],"&lt;&gt;saída",estoque[produto],preçodiario[[#Headers],[OVO VERMELHO EXTRA]],estoque[data],preçodiario[[#This Row],[data]])</f>
        <v>0</v>
      </c>
      <c r="AX26" s="20">
        <f>IFERROR(preçodiario[[#This Row],[OVO VERMELHO EXTRA]]*preçodiario[[#This Row],[estoque EV]],0)</f>
        <v>0</v>
      </c>
      <c r="AY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Row],[data]])),((AY25*AZ25)+SUMIFS(estoque[valor total],estoque[produto],preçodiario[[#Headers],[OVO VERMELHO JUMBO]],estoque[data],preçodiario[[#This Row],[data]],estoque[fornecedor],"&lt;&gt;saída"))/(AZ25+(SUMIFS(estoque[quantidade],estoque[produto],preçodiario[[#Headers],[OVO VERMELHO JUMBO]],estoque[fornecedor],"&lt;&gt;saída",estoque[data],preçodiario[[#This Row],[data]])))))</f>
        <v/>
      </c>
      <c r="AZ26" s="22">
        <f>IF(preçodiario[[#This Row],[entrada JV]]=0,AZ25-(SUMIFS(estoque[quantidade],estoque[fornecedor],"saída",estoque[produto],preçodiario[[#Headers],[OVO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Row],[data]]))+AZ25+preçodiario[[#This Row],[entrada JV]])</f>
        <v>0</v>
      </c>
      <c r="BA26" s="22">
        <f>SUMIFS(estoque[quantidade],estoque[fornecedor],"&lt;&gt;saída",estoque[produto],preçodiario[[#Headers],[OVO VERMELHO JUMBO]],estoque[data],preçodiario[[#This Row],[data]])</f>
        <v>0</v>
      </c>
      <c r="BB26" s="20">
        <f>SUMIFS(estoque[valor total],estoque[fornecedor],"&lt;&gt;saída",estoque[produto],preçodiario[[#Headers],[OVO VERMELHO JUMBO]],estoque[data],preçodiario[[#This Row],[data]])</f>
        <v>0</v>
      </c>
      <c r="BC26" s="20">
        <f>IFERROR(preçodiario[[#This Row],[OVO VERMELHO JUMBO]]*preçodiario[[#This Row],[estoque JV]],0)</f>
        <v>0</v>
      </c>
      <c r="BD26" t="str">
        <f>TEXT(vendaAno[[#This Row],[data]],"mmm")</f>
        <v>jan</v>
      </c>
      <c r="BE26" t="str">
        <f>TEXT(vendaAno[[#This Row],[data]],"ddd")</f>
        <v>dom</v>
      </c>
      <c r="BF26" s="82">
        <f>WEEKNUM(vendaAno[[#This Row],[data]],13)</f>
        <v>4</v>
      </c>
      <c r="BG26" s="27">
        <f>preçodiario[[#This Row],[data]]</f>
        <v>46047</v>
      </c>
      <c r="BH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" s="8">
        <f>IF(SUMIFS(estoque[valor total],estoque[fornecedor],"saída",estoque[data],vendaAno[[#This Row],[data]])=0,"",SUMIFS(estoque[valor total],estoque[fornecedor],"saída",estoque[data],vendaAno[[#This Row],[data]]))</f>
        <v>448</v>
      </c>
      <c r="BJ2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Row],[data]]))/12+BJ25,"")</f>
        <v>23.583333333333314</v>
      </c>
      <c r="BK26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26" s="8">
        <f ca="1">IF(vendaAno[[#This Row],[data]]&lt;=TODAY(),IF(SUMIFS(estoque[lucro],estoque[fornecedor],"saída",estoque[data],vendaAno[[#This Row],[data]])=0,AVERAGE(BL23:BL25),SUMIFS(estoque[lucro],estoque[fornecedor],"saída",estoque[data],vendaAno[[#This Row],[data]])),"")</f>
        <v>100.58</v>
      </c>
      <c r="BM26" s="10">
        <f ca="1">IFERROR(vendaAno[[#This Row],[lucro]]/vendaAno[[#This Row],[valor de venda]],"")</f>
        <v>0.22450892857142857</v>
      </c>
      <c r="BN2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4247.548731652375</v>
      </c>
      <c r="BO26" s="8">
        <f ca="1">IF(TODAY()&gt;=vendaAno[[#This Row],[data]],IF(vendaAno[[#This Row],[N°]]=BF25,vendaAno[[#This Row],[lucro]]-173.33+BO25,vendaAno[[#This Row],[lucro]]-150),"")</f>
        <v>-351.15000000000009</v>
      </c>
      <c r="BP26" s="81">
        <f ca="1">IF(TODAY()&gt;=vendaAno[[#This Row],[data]],SUM(BK20:BK26)*12,"")</f>
        <v>211</v>
      </c>
      <c r="BQ26" s="7">
        <f ca="1">IFERROR(vendaAno[[#This Row],[lucro]]/(vendaAno[[#This Row],[venda]]*12),"")</f>
        <v>4.3730434782608691</v>
      </c>
      <c r="BT26" s="95">
        <f ca="1">WEEKNUM(PvPcML[[#This Row],[data]],13)</f>
        <v>27</v>
      </c>
      <c r="BU26" s="132">
        <f t="shared" ca="1" si="0"/>
        <v>46209</v>
      </c>
      <c r="BV26" s="7">
        <f ca="1">IFERROR(SUMIFS(vendaAno[valor de venda],vendaAno[data],PvPcML[[#This Row],[data]])/(SUMIFS(vendaAno[venda],vendaAno[data],PvPcML[[#This Row],[data]])*12),"")</f>
        <v>21.115384615384617</v>
      </c>
      <c r="BW26" s="7">
        <f ca="1">IFERROR(SUMIFS(vendaAno[valor de venda],vendaAno[data],PvPcML[[#This Row],[data]])/(SUMIFS(vendaAno[venda],vendaAno[data],PvPcML[[#This Row],[data]])*12)-PvPcML[[#This Row],[lucro médio]],"")</f>
        <v>15.978461538461538</v>
      </c>
      <c r="BX26" s="7">
        <f ca="1">IF(SUMIFS(vendaAno[[lucro médio ]],vendaAno[data],PvPcML[[#This Row],[data]])=0,"",SUMIFS(vendaAno[[lucro médio ]],vendaAno[data],PvPcML[[#This Row],[data]]))</f>
        <v>5.136923076923078</v>
      </c>
      <c r="BY26" s="90">
        <v>25</v>
      </c>
      <c r="BZ26" s="89">
        <f t="shared" si="1"/>
        <v>46191</v>
      </c>
      <c r="CA26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19.333333333333332</v>
      </c>
      <c r="CB26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2.25</v>
      </c>
      <c r="CC26" s="7">
        <f ca="1">IFERROR(SUMIFS(vendaAno[lucro],vendaAno[data],"&gt;="&amp;semanal[[#This Row],[semana]],vendaAno[data],"&lt;="&amp;semanal[[#This Row],[semana]]+6)/((semanal[[#This Row],[varejo]]+semanal[[#This Row],[atacado]])*12),"")</f>
        <v>3.1370270270270271</v>
      </c>
      <c r="CD26" s="82">
        <f ca="1">IFERROR(AVERAGEIFS(vendaAno[venda],vendaAno[data],"&gt;="&amp;semanal[[#This Row],[semana]],vendaAno[data],"&lt;="&amp;semanal[[#This Row],[semana]]+6),"")</f>
        <v>3.083333333333333</v>
      </c>
      <c r="CE26" s="82">
        <f ca="1">IFERROR((150/semanal[[#This Row],[lucro médio por cartela]])/12,"")</f>
        <v>3.9846644266390974</v>
      </c>
    </row>
    <row r="27" spans="1:83" x14ac:dyDescent="0.25">
      <c r="A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15.349879138719889</v>
      </c>
      <c r="B27" s="18" t="str">
        <f>TEXT(preçodiario[[#This Row],[data]],"MMM")</f>
        <v>jan</v>
      </c>
      <c r="C27" s="18" t="str">
        <f>TEXT(preçodiario[[#This Row],[data]],"ddd")</f>
        <v>seg</v>
      </c>
      <c r="D27" s="96">
        <f>WEEKNUM(preçodiario[[#This Row],[data]],13)</f>
        <v>4</v>
      </c>
      <c r="E27" s="37">
        <v>46048</v>
      </c>
      <c r="F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Row],[data]])),((F26*G26)+SUMIFS(estoque[valor total],estoque[produto],preçodiario[[#Headers],[OVO BRANCO A]],estoque[data],preçodiario[[#This Row],[data]],estoque[fornecedor],"&lt;&gt;saída"))/(G26+(SUMIFS(estoque[quantidade],estoque[produto],preçodiario[[#Headers],[OVO BRANCO A]],estoque[fornecedor],"&lt;&gt;saída",estoque[data],preçodiario[[#This Row],[data]])))))</f>
        <v>15.349879138719889</v>
      </c>
      <c r="G27" s="22">
        <f>IF(preçodiario[[#This Row],[entrada A]]=0,G26-(SUMIFS(estoque[quantidade],estoque[fornecedor],"saída",estoque[produto],preçodiario[[#Headers],[OVO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Row],[data]]))+G26+preçodiario[[#This Row],[entrada A]])</f>
        <v>109</v>
      </c>
      <c r="H27" s="22">
        <f>SUMIFS(estoque[quantidade],estoque[fornecedor],"&lt;&gt;saída",estoque[produto],preçodiario[[#Headers],[OVO BRANCO A]],estoque[data],preçodiario[[#This Row],[data]])</f>
        <v>0</v>
      </c>
      <c r="I27" s="20">
        <f>SUMIFS(estoque[valor total],estoque[fornecedor],"&lt;&gt;saída",estoque[produto],preçodiario[[#Headers],[OVO BRANCO A]],estoque[data],preçodiario[[#This Row],[data]])</f>
        <v>0</v>
      </c>
      <c r="J27" s="20">
        <f>IFERROR(preçodiario[[#This Row],[estoque A]]*preçodiario[[#This Row],[OVO BRANCO A]],0)</f>
        <v>1673.136826120468</v>
      </c>
      <c r="K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Row],[data]])),((K26*L26)+SUMIFS(estoque[valor total],estoque[produto],preçodiario[[#Headers],[OVO BRANCO B]],estoque[data],preçodiario[[#This Row],[data]],estoque[fornecedor],"&lt;&gt;saída"))/(L26+(SUMIFS(estoque[quantidade],estoque[produto],preçodiario[[#Headers],[OVO BRANCO B]],estoque[fornecedor],"&lt;&gt;saída",estoque[data],preçodiario[[#This Row],[data]])))))</f>
        <v>14.967973974399895</v>
      </c>
      <c r="L27" s="22">
        <f>IF(preçodiario[[#This Row],[entrada B]]=0,L26-(SUMIFS(estoque[quantidade],estoque[fornecedor],"saída",estoque[produto],preçodiario[[#Headers],[OVO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Row],[data]]))+L26+preçodiario[[#This Row],[entrada B]])</f>
        <v>62</v>
      </c>
      <c r="M27" s="22">
        <f>SUMIFS(estoque[quantidade],estoque[fornecedor],"&lt;&gt;saída",estoque[produto],preçodiario[[#Headers],[OVO BRANCO B]],estoque[data],preçodiario[[#This Row],[data]])</f>
        <v>0</v>
      </c>
      <c r="N27" s="20">
        <f>SUMIFS(estoque[valor total],estoque[fornecedor],"&lt;&gt;saída",estoque[produto],preçodiario[[#Headers],[OVO BRANCO B]],estoque[data],preçodiario[[#This Row],[data]])</f>
        <v>0</v>
      </c>
      <c r="O27" s="20">
        <f>IFERROR(preçodiario[[#This Row],[OVO BRANCO B]]*preçodiario[[#This Row],[estoque B]],0)</f>
        <v>928.01438641279344</v>
      </c>
      <c r="P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Row],[data]])),((P26*Q26)+SUMIFS(estoque[valor total],estoque[produto],preçodiario[[#Headers],[OVO BRANCO C]],estoque[data],preçodiario[[#This Row],[data]],estoque[fornecedor],"&lt;&gt;saída"))/(Q26+(SUMIFS(estoque[quantidade],estoque[produto],preçodiario[[#Headers],[OVO BRANCO C]],estoque[fornecedor],"&lt;&gt;saída",estoque[data],preçodiario[[#This Row],[data]])))))</f>
        <v>13.874671916010501</v>
      </c>
      <c r="Q27" s="22">
        <f>IF(preçodiario[[#This Row],[entrada C]]=0,Q26-(SUMIFS(estoque[quantidade],estoque[fornecedor],"saída",estoque[produto],preçodiario[[#Headers],[OVO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Row],[data]]))+Q26+preçodiario[[#This Row],[entrada C]])</f>
        <v>42</v>
      </c>
      <c r="R27" s="22">
        <f>SUMIFS(estoque[quantidade],estoque[fornecedor],"&lt;&gt;saída",estoque[produto],preçodiario[[#Headers],[OVO BRANCO C]],estoque[data],preçodiario[[#This Row],[data]])</f>
        <v>0</v>
      </c>
      <c r="S27" s="20">
        <f>SUMIFS(estoque[valor total],estoque[fornecedor],"&lt;&gt;saída",estoque[produto],preçodiario[[#Headers],[OVO BRANCO C]],estoque[data],preçodiario[[#This Row],[data]])</f>
        <v>0</v>
      </c>
      <c r="T27" s="20">
        <f>IFERROR(preçodiario[[#This Row],[OVO BRANCO C]]*preçodiario[[#This Row],[estoque C]],0)</f>
        <v>582.736220472441</v>
      </c>
      <c r="U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Row],[data]])),((U26*V26)+SUMIFS(estoque[valor total],estoque[produto],preçodiario[[#Headers],[OVO BRANCO EXTRA]],estoque[data],preçodiario[[#This Row],[data]],estoque[fornecedor],"&lt;&gt;saída"))/(V26+(SUMIFS(estoque[quantidade],estoque[produto],preçodiario[[#Headers],[OVO BRANCO EXTRA]],estoque[fornecedor],"&lt;&gt;saída",estoque[data],preçodiario[[#This Row],[data]])))))</f>
        <v>15.275689007741031</v>
      </c>
      <c r="V27" s="22">
        <f>IF(preçodiario[[#This Row],[entrada E]]=0,V26-(SUMIFS(estoque[quantidade],estoque[fornecedor],"saída",estoque[produto],preçodiario[[#Headers],[OVO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Row],[data]]))+V26+preçodiario[[#This Row],[entrada E]])</f>
        <v>35</v>
      </c>
      <c r="W27" s="22">
        <f>SUMIFS(estoque[quantidade],estoque[fornecedor],"&lt;&gt;saída",estoque[produto],preçodiario[[#Headers],[OVO BRANCO EXTRA]],estoque[data],preçodiario[[#This Row],[data]])</f>
        <v>0</v>
      </c>
      <c r="X27" s="20">
        <f>SUMIFS(estoque[valor total],estoque[fornecedor],"&lt;&gt;saída",estoque[produto],preçodiario[[#Headers],[OVO BRANCO EXTRA]],estoque[data],preçodiario[[#This Row],[data]])</f>
        <v>0</v>
      </c>
      <c r="Y27" s="20">
        <f>IFERROR(preçodiario[[#This Row],[estoque E]]*preçodiario[[#This Row],[OVO BRANCO EXTRA]],0)</f>
        <v>534.64911527093602</v>
      </c>
      <c r="Z2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Row],[data]])),((Z26*AA26)+SUMIFS(estoque[valor total],estoque[produto],preçodiario[[#Headers],[OVO BRANCO JUMBO]],estoque[data],preçodiario[[#This Row],[data]],estoque[fornecedor],"&lt;&gt;saída"))/(AA26+(SUMIFS(estoque[quantidade],estoque[produto],preçodiario[[#Headers],[OVO BRANCO JUMBO]],estoque[fornecedor],"&lt;&gt;saída",estoque[data],preçodiario[[#This Row],[data]])))))</f>
        <v/>
      </c>
      <c r="AA27" s="22">
        <f>IF(preçodiario[[#This Row],[entrada J]]=0,AA26-(SUMIFS(estoque[quantidade],estoque[fornecedor],"saída",estoque[produto],preçodiario[[#Headers],[OVO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Row],[data]]))+AA26+preçodiario[[#This Row],[entrada J]])</f>
        <v>0</v>
      </c>
      <c r="AB27" s="22">
        <f>SUMIFS(estoque[quantidade],estoque[fornecedor],"&lt;&gt;saída",estoque[produto],preçodiario[[#Headers],[OVO BRANCO JUMBO]],estoque[data],preçodiario[[#This Row],[data]])</f>
        <v>0</v>
      </c>
      <c r="AC27" s="20">
        <f>SUMIFS(estoque[valor total],estoque[fornecedor],"&lt;&gt;saída",estoque[produto],preçodiario[[#Headers],[OVO BRANCO JUMBO]],estoque[data],preçodiario[[#This Row],[data]])</f>
        <v>0</v>
      </c>
      <c r="AD27" s="20">
        <f>IFERROR(preçodiario[[#This Row],[OVO BRANCO JUMBO]]*preçodiario[[#This Row],[estoque J]],0)</f>
        <v>0</v>
      </c>
      <c r="AE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Row],[data]])),((AE26*AF26)+SUMIFS(estoque[valor total],estoque[produto],preçodiario[[#Headers],[OVO VERMELHO A]],estoque[data],preçodiario[[#This Row],[data]],estoque[fornecedor],"&lt;&gt;saída"))/(AF26+(SUMIFS(estoque[quantidade],estoque[produto],preçodiario[[#Headers],[OVO VERMELHO A]],estoque[fornecedor],"&lt;&gt;saída",estoque[data],preçodiario[[#This Row],[data]])))))</f>
        <v/>
      </c>
      <c r="AF27" s="22">
        <f>IF(preçodiario[[#This Row],[entrada AV]]=0,AF26-(SUMIFS(estoque[quantidade],estoque[fornecedor],"saída",estoque[produto],preçodiario[[#Headers],[OVO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Row],[data]]))+AF26+preçodiario[[#This Row],[entrada AV]])</f>
        <v>0</v>
      </c>
      <c r="AG27" s="22">
        <f>SUMIFS(estoque[quantidade],estoque[fornecedor],"&lt;&gt;saída",estoque[produto],preçodiario[[#Headers],[OVO VERMELHO A]],estoque[data],preçodiario[[#This Row],[data]])</f>
        <v>0</v>
      </c>
      <c r="AH27" s="20">
        <f>SUMIFS(estoque[valor total],estoque[fornecedor],"&lt;&gt;saída",estoque[produto],preçodiario[[#Headers],[OVO VERMELHO A]],estoque[data],preçodiario[[#This Row],[data]])</f>
        <v>0</v>
      </c>
      <c r="AI27" s="20">
        <f>IFERROR(preçodiario[[#This Row],[OVO VERMELHO A]]*preçodiario[[#This Row],[estoque AV]],0)</f>
        <v>0</v>
      </c>
      <c r="AJ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Row],[data]])),((AJ26*AK26)+SUMIFS(estoque[valor total],estoque[produto],preçodiario[[#Headers],[OVO VERMELHO B]],estoque[data],preçodiario[[#This Row],[data]],estoque[fornecedor],"&lt;&gt;saída"))/(AK26+(SUMIFS(estoque[quantidade],estoque[produto],preçodiario[[#Headers],[OVO VERMELHO B]],estoque[fornecedor],"&lt;&gt;saída",estoque[data],preçodiario[[#This Row],[data]])))))</f>
        <v/>
      </c>
      <c r="AK27" s="22">
        <f>IF(preçodiario[[#This Row],[entrada BV]]=0,AK26-(SUMIFS(estoque[quantidade],estoque[fornecedor],"saída",estoque[produto],preçodiario[[#Headers],[OVO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Row],[data]]))+AK26+preçodiario[[#This Row],[entrada BV]])</f>
        <v>0</v>
      </c>
      <c r="AL27" s="22">
        <f>SUMIFS(estoque[quantidade],estoque[fornecedor],"&lt;&gt;saída",estoque[produto],preçodiario[[#Headers],[OVO VERMELHO B]],estoque[data],preçodiario[[#This Row],[data]])</f>
        <v>0</v>
      </c>
      <c r="AM27" s="20">
        <f>SUMIFS(estoque[valor total],estoque[fornecedor],"&lt;&gt;saída",estoque[produto],preçodiario[[#Headers],[OVO VERMELHO B]],estoque[data],preçodiario[[#This Row],[data]])</f>
        <v>0</v>
      </c>
      <c r="AN27" s="20">
        <f>IFERROR(preçodiario[[#This Row],[OVO VERMELHO B]]*preçodiario[[#This Row],[estoque BV]],0)</f>
        <v>0</v>
      </c>
      <c r="AO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Row],[data]])),((AO26*AP26)+SUMIFS(estoque[valor total],estoque[produto],preçodiario[[#Headers],[OVO VERMELHO C]],estoque[data],preçodiario[[#This Row],[data]],estoque[fornecedor],"&lt;&gt;saída"))/(AP26+(SUMIFS(estoque[quantidade],estoque[produto],preçodiario[[#Headers],[OVO VERMELHO C]],estoque[fornecedor],"&lt;&gt;saída",estoque[data],preçodiario[[#This Row],[data]])))))</f>
        <v/>
      </c>
      <c r="AP27" s="22">
        <f>IF(preçodiario[[#This Row],[entrada CV]]=0,AP26-(SUMIFS(estoque[quantidade],estoque[fornecedor],"saída",estoque[produto],preçodiario[[#Headers],[OVO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Row],[data]]))+AP26+preçodiario[[#This Row],[entrada CV]])</f>
        <v>0</v>
      </c>
      <c r="AQ27" s="22">
        <f>SUMIFS(estoque[quantidade],estoque[fornecedor],"&lt;&gt;saída",estoque[produto],preçodiario[[#Headers],[OVO VERMELHO C]],estoque[data],preçodiario[[#This Row],[data]])</f>
        <v>0</v>
      </c>
      <c r="AR27" s="20">
        <f>SUMIFS(estoque[valor total],estoque[fornecedor],"&lt;&gt;saída",estoque[produto],preçodiario[[#Headers],[OVO VERMELHO C]],estoque[data],preçodiario[[#This Row],[data]])</f>
        <v>0</v>
      </c>
      <c r="AS27" s="20">
        <f>IFERROR(preçodiario[[#This Row],[OVO VERMELHO C]]*preçodiario[[#This Row],[estoque CV]],0)</f>
        <v>0</v>
      </c>
      <c r="AT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Row],[data]])),((AT26*AU26)+SUMIFS(estoque[valor total],estoque[produto],preçodiario[[#Headers],[OVO VERMELHO EXTRA]],estoque[data],preçodiario[[#This Row],[data]],estoque[fornecedor],"&lt;&gt;saída"))/(AU26+(SUMIFS(estoque[quantidade],estoque[produto],preçodiario[[#Headers],[OVO VERMELHO EXTRA]],estoque[fornecedor],"&lt;&gt;saída",estoque[data],preçodiario[[#This Row],[data]])))))</f>
        <v/>
      </c>
      <c r="AU27" s="22">
        <f>IF(preçodiario[[#This Row],[entrada EV]]=0,AU26-(SUMIFS(estoque[quantidade],estoque[fornecedor],"saída",estoque[produto],preçodiario[[#Headers],[OVO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Row],[data]]))+AU26+preçodiario[[#This Row],[entrada EV]])</f>
        <v>0</v>
      </c>
      <c r="AV27" s="22">
        <f>SUMIFS(estoque[quantidade],estoque[fornecedor],"&lt;&gt;saída",estoque[produto],preçodiario[[#Headers],[OVO VERMELHO EXTRA]],estoque[data],preçodiario[[#This Row],[data]])</f>
        <v>0</v>
      </c>
      <c r="AW27" s="20">
        <f>SUMIFS(estoque[valor total],estoque[fornecedor],"&lt;&gt;saída",estoque[produto],preçodiario[[#Headers],[OVO VERMELHO EXTRA]],estoque[data],preçodiario[[#This Row],[data]])</f>
        <v>0</v>
      </c>
      <c r="AX27" s="20">
        <f>IFERROR(preçodiario[[#This Row],[OVO VERMELHO EXTRA]]*preçodiario[[#This Row],[estoque EV]],0)</f>
        <v>0</v>
      </c>
      <c r="AY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Row],[data]])),((AY26*AZ26)+SUMIFS(estoque[valor total],estoque[produto],preçodiario[[#Headers],[OVO VERMELHO JUMBO]],estoque[data],preçodiario[[#This Row],[data]],estoque[fornecedor],"&lt;&gt;saída"))/(AZ26+(SUMIFS(estoque[quantidade],estoque[produto],preçodiario[[#Headers],[OVO VERMELHO JUMBO]],estoque[fornecedor],"&lt;&gt;saída",estoque[data],preçodiario[[#This Row],[data]])))))</f>
        <v/>
      </c>
      <c r="AZ27" s="22">
        <f>IF(preçodiario[[#This Row],[entrada JV]]=0,AZ26-(SUMIFS(estoque[quantidade],estoque[fornecedor],"saída",estoque[produto],preçodiario[[#Headers],[OVO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Row],[data]]))+AZ26+preçodiario[[#This Row],[entrada JV]])</f>
        <v>0</v>
      </c>
      <c r="BA27" s="22">
        <f>SUMIFS(estoque[quantidade],estoque[fornecedor],"&lt;&gt;saída",estoque[produto],preçodiario[[#Headers],[OVO VERMELHO JUMBO]],estoque[data],preçodiario[[#This Row],[data]])</f>
        <v>0</v>
      </c>
      <c r="BB27" s="20">
        <f>SUMIFS(estoque[valor total],estoque[fornecedor],"&lt;&gt;saída",estoque[produto],preçodiario[[#Headers],[OVO VERMELHO JUMBO]],estoque[data],preçodiario[[#This Row],[data]])</f>
        <v>0</v>
      </c>
      <c r="BC27" s="20">
        <f>IFERROR(preçodiario[[#This Row],[OVO VERMELHO JUMBO]]*preçodiario[[#This Row],[estoque JV]],0)</f>
        <v>0</v>
      </c>
      <c r="BD27" t="str">
        <f>TEXT(vendaAno[[#This Row],[data]],"mmm")</f>
        <v>jan</v>
      </c>
      <c r="BE27" t="str">
        <f>TEXT(vendaAno[[#This Row],[data]],"ddd")</f>
        <v>seg</v>
      </c>
      <c r="BF27" s="82">
        <f>WEEKNUM(vendaAno[[#This Row],[data]],13)</f>
        <v>4</v>
      </c>
      <c r="BG27" s="27">
        <f>preçodiario[[#This Row],[data]]</f>
        <v>46048</v>
      </c>
      <c r="BH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" s="8">
        <f>IF(SUMIFS(estoque[valor total],estoque[fornecedor],"saída",estoque[data],vendaAno[[#This Row],[data]])=0,"",SUMIFS(estoque[valor total],estoque[fornecedor],"saída",estoque[data],vendaAno[[#This Row],[data]]))</f>
        <v>665</v>
      </c>
      <c r="BJ2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Row],[data]]))/12+BJ26,"")</f>
        <v>20.666666666666647</v>
      </c>
      <c r="BK27" s="79">
        <f>IF(SUMIFS(estoque[quantidade],estoque[fornecedor],"saída",estoque[data],vendaAno[[#This Row],[data]])/12=0,"",SUMIFS(estoque[quantidade],estoque[fornecedor],"saída",estoque[data],vendaAno[[#This Row],[data]])/12)</f>
        <v>2.9166666666666665</v>
      </c>
      <c r="BL27" s="8">
        <f ca="1">IF(vendaAno[[#This Row],[data]]&lt;=TODAY(),IF(SUMIFS(estoque[lucro],estoque[fornecedor],"saída",estoque[data],vendaAno[[#This Row],[data]])=0,AVERAGE(BL24:BL26),SUMIFS(estoque[lucro],estoque[fornecedor],"saída",estoque[data],vendaAno[[#This Row],[data]])),"")</f>
        <v>135.99</v>
      </c>
      <c r="BM27" s="10">
        <f ca="1">IFERROR(vendaAno[[#This Row],[lucro]]/vendaAno[[#This Row],[valor de venda]],"")</f>
        <v>0.20449624060150376</v>
      </c>
      <c r="BN2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3718.5365482766383</v>
      </c>
      <c r="BO27" s="8">
        <f ca="1">IF(TODAY()&gt;=vendaAno[[#This Row],[data]],IF(vendaAno[[#This Row],[N°]]=BF26,vendaAno[[#This Row],[lucro]]-173.33+BO26,vendaAno[[#This Row],[lucro]]-150),"")</f>
        <v>-388.49000000000012</v>
      </c>
      <c r="BP27" s="81">
        <f ca="1">IF(TODAY()&gt;=vendaAno[[#This Row],[data]],SUM(BK21:BK27)*12,"")</f>
        <v>208.99999999999997</v>
      </c>
      <c r="BQ27" s="7">
        <f ca="1">IFERROR(vendaAno[[#This Row],[lucro]]/(vendaAno[[#This Row],[venda]]*12),"")</f>
        <v>3.8854285714285717</v>
      </c>
      <c r="BT27" s="95">
        <f ca="1">WEEKNUM(PvPcML[[#This Row],[data]],13)</f>
        <v>27</v>
      </c>
      <c r="BU27" s="132">
        <f t="shared" ca="1" si="0"/>
        <v>46208</v>
      </c>
      <c r="BV27" s="7">
        <f ca="1">IFERROR(SUMIFS(vendaAno[valor de venda],vendaAno[data],PvPcML[[#This Row],[data]])/(SUMIFS(vendaAno[venda],vendaAno[data],PvPcML[[#This Row],[data]])*12),"")</f>
        <v>20.368421052631579</v>
      </c>
      <c r="BW27" s="7">
        <f ca="1">IFERROR(SUMIFS(vendaAno[valor de venda],vendaAno[data],PvPcML[[#This Row],[data]])/(SUMIFS(vendaAno[venda],vendaAno[data],PvPcML[[#This Row],[data]])*12)-PvPcML[[#This Row],[lucro médio]],"")</f>
        <v>15.790526315789474</v>
      </c>
      <c r="BX27" s="7">
        <f ca="1">IF(SUMIFS(vendaAno[[lucro médio ]],vendaAno[data],PvPcML[[#This Row],[data]])=0,"",SUMIFS(vendaAno[[lucro médio ]],vendaAno[data],PvPcML[[#This Row],[data]]))</f>
        <v>4.5778947368421044</v>
      </c>
      <c r="BY27" s="91">
        <v>26</v>
      </c>
      <c r="BZ27" s="89">
        <f t="shared" si="1"/>
        <v>46198</v>
      </c>
      <c r="CA27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15.5</v>
      </c>
      <c r="CB27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27" s="7">
        <f ca="1">IFERROR(SUMIFS(vendaAno[lucro],vendaAno[data],"&gt;="&amp;semanal[[#This Row],[semana]],vendaAno[data],"&lt;="&amp;semanal[[#This Row],[semana]]+6)/((semanal[[#This Row],[varejo]]+semanal[[#This Row],[atacado]])*12),"")</f>
        <v>3.9444607843137258</v>
      </c>
      <c r="CD27" s="82">
        <f ca="1">IFERROR(AVERAGEIFS(vendaAno[venda],vendaAno[data],"&gt;="&amp;semanal[[#This Row],[semana]],vendaAno[data],"&lt;="&amp;semanal[[#This Row],[semana]]+6),"")</f>
        <v>2.4285714285714284</v>
      </c>
      <c r="CE27" s="82">
        <f ca="1">IFERROR((150/semanal[[#This Row],[lucro médio por cartela]])/12,"")</f>
        <v>3.1690009569140138</v>
      </c>
    </row>
    <row r="28" spans="1:83" x14ac:dyDescent="0.25">
      <c r="A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28" s="18" t="str">
        <f>TEXT(preçodiario[[#This Row],[data]],"MMM")</f>
        <v>jan</v>
      </c>
      <c r="C28" s="18" t="str">
        <f>TEXT(preçodiario[[#This Row],[data]],"ddd")</f>
        <v>ter</v>
      </c>
      <c r="D28" s="96">
        <f>WEEKNUM(preçodiario[[#This Row],[data]],13)</f>
        <v>4</v>
      </c>
      <c r="E28" s="37">
        <v>46049</v>
      </c>
      <c r="F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Row],[data]])),((F27*G27)+SUMIFS(estoque[valor total],estoque[produto],preçodiario[[#Headers],[OVO BRANCO A]],estoque[data],preçodiario[[#This Row],[data]],estoque[fornecedor],"&lt;&gt;saída"))/(G27+(SUMIFS(estoque[quantidade],estoque[produto],preçodiario[[#Headers],[OVO BRANCO A]],estoque[fornecedor],"&lt;&gt;saída",estoque[data],preçodiario[[#This Row],[data]])))))</f>
        <v>15.34987913871989</v>
      </c>
      <c r="G28" s="22">
        <f>IF(preçodiario[[#This Row],[entrada A]]=0,G27-(SUMIFS(estoque[quantidade],estoque[fornecedor],"saída",estoque[produto],preçodiario[[#Headers],[OVO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Row],[data]]))+G27+preçodiario[[#This Row],[entrada A]])</f>
        <v>95</v>
      </c>
      <c r="H28" s="22">
        <f>SUMIFS(estoque[quantidade],estoque[fornecedor],"&lt;&gt;saída",estoque[produto],preçodiario[[#Headers],[OVO BRANCO A]],estoque[data],preçodiario[[#This Row],[data]])</f>
        <v>0</v>
      </c>
      <c r="I28" s="20">
        <f>SUMIFS(estoque[valor total],estoque[fornecedor],"&lt;&gt;saída",estoque[produto],preçodiario[[#Headers],[OVO BRANCO A]],estoque[data],preçodiario[[#This Row],[data]])</f>
        <v>0</v>
      </c>
      <c r="J28" s="20">
        <f>IFERROR(preçodiario[[#This Row],[estoque A]]*preçodiario[[#This Row],[OVO BRANCO A]],0)</f>
        <v>1458.2385181783895</v>
      </c>
      <c r="K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Row],[data]])),((K27*L27)+SUMIFS(estoque[valor total],estoque[produto],preçodiario[[#Headers],[OVO BRANCO B]],estoque[data],preçodiario[[#This Row],[data]],estoque[fornecedor],"&lt;&gt;saída"))/(L27+(SUMIFS(estoque[quantidade],estoque[produto],preçodiario[[#Headers],[OVO BRANCO B]],estoque[fornecedor],"&lt;&gt;saída",estoque[data],preçodiario[[#This Row],[data]])))))</f>
        <v>13.340738386883482</v>
      </c>
      <c r="L28" s="22">
        <f>IF(preçodiario[[#This Row],[entrada B]]=0,L27-(SUMIFS(estoque[quantidade],estoque[fornecedor],"saída",estoque[produto],preçodiario[[#Headers],[OVO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Row],[data]]))+L27+preçodiario[[#This Row],[entrada B]])</f>
        <v>170</v>
      </c>
      <c r="M28" s="22">
        <f>SUMIFS(estoque[quantidade],estoque[fornecedor],"&lt;&gt;saída",estoque[produto],preçodiario[[#Headers],[OVO BRANCO B]],estoque[data],preçodiario[[#This Row],[data]])</f>
        <v>120</v>
      </c>
      <c r="N28" s="20">
        <f>SUMIFS(estoque[valor total],estoque[fornecedor],"&lt;&gt;saída",estoque[produto],preçodiario[[#Headers],[OVO BRANCO B]],estoque[data],preçodiario[[#This Row],[data]])</f>
        <v>1500</v>
      </c>
      <c r="O28" s="20">
        <f>IFERROR(preçodiario[[#This Row],[OVO BRANCO B]]*preçodiario[[#This Row],[estoque B]],0)</f>
        <v>2267.9255257701921</v>
      </c>
      <c r="P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Row],[data]])),((P27*Q27)+SUMIFS(estoque[valor total],estoque[produto],preçodiario[[#Headers],[OVO BRANCO C]],estoque[data],preçodiario[[#This Row],[data]],estoque[fornecedor],"&lt;&gt;saída"))/(Q27+(SUMIFS(estoque[quantidade],estoque[produto],preçodiario[[#Headers],[OVO BRANCO C]],estoque[fornecedor],"&lt;&gt;saída",estoque[data],preçodiario[[#This Row],[data]])))))</f>
        <v>13.874671916010501</v>
      </c>
      <c r="Q28" s="22">
        <f>IF(preçodiario[[#This Row],[entrada C]]=0,Q27-(SUMIFS(estoque[quantidade],estoque[fornecedor],"saída",estoque[produto],preçodiario[[#Headers],[OVO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Row],[data]]))+Q27+preçodiario[[#This Row],[entrada C]])</f>
        <v>38</v>
      </c>
      <c r="R28" s="22">
        <f>SUMIFS(estoque[quantidade],estoque[fornecedor],"&lt;&gt;saída",estoque[produto],preçodiario[[#Headers],[OVO BRANCO C]],estoque[data],preçodiario[[#This Row],[data]])</f>
        <v>0</v>
      </c>
      <c r="S28" s="20">
        <f>SUMIFS(estoque[valor total],estoque[fornecedor],"&lt;&gt;saída",estoque[produto],preçodiario[[#Headers],[OVO BRANCO C]],estoque[data],preçodiario[[#This Row],[data]])</f>
        <v>0</v>
      </c>
      <c r="T28" s="20">
        <f>IFERROR(preçodiario[[#This Row],[OVO BRANCO C]]*preçodiario[[#This Row],[estoque C]],0)</f>
        <v>527.23753280839901</v>
      </c>
      <c r="U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Row],[data]])),((U27*V27)+SUMIFS(estoque[valor total],estoque[produto],preçodiario[[#Headers],[OVO BRANCO EXTRA]],estoque[data],preçodiario[[#This Row],[data]],estoque[fornecedor],"&lt;&gt;saída"))/(V27+(SUMIFS(estoque[quantidade],estoque[produto],preçodiario[[#Headers],[OVO BRANCO EXTRA]],estoque[fornecedor],"&lt;&gt;saída",estoque[data],preçodiario[[#This Row],[data]])))))</f>
        <v>14.417091066264103</v>
      </c>
      <c r="V28" s="22">
        <f>IF(preçodiario[[#This Row],[entrada E]]=0,V27-(SUMIFS(estoque[quantidade],estoque[fornecedor],"saída",estoque[produto],preçodiario[[#Headers],[OVO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Row],[data]]))+V27+preçodiario[[#This Row],[entrada E]])</f>
        <v>140</v>
      </c>
      <c r="W28" s="22">
        <f>SUMIFS(estoque[quantidade],estoque[fornecedor],"&lt;&gt;saída",estoque[produto],preçodiario[[#Headers],[OVO BRANCO EXTRA]],estoque[data],preçodiario[[#This Row],[data]])</f>
        <v>120</v>
      </c>
      <c r="X28" s="20">
        <f>SUMIFS(estoque[valor total],estoque[fornecedor],"&lt;&gt;saída",estoque[produto],preçodiario[[#Headers],[OVO BRANCO EXTRA]],estoque[data],preçodiario[[#This Row],[data]])</f>
        <v>1700</v>
      </c>
      <c r="Y28" s="20">
        <f>IFERROR(preçodiario[[#This Row],[estoque E]]*preçodiario[[#This Row],[OVO BRANCO EXTRA]],0)</f>
        <v>2018.3927492769744</v>
      </c>
      <c r="Z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Row],[data]])),((Z27*AA27)+SUMIFS(estoque[valor total],estoque[produto],preçodiario[[#Headers],[OVO BRANCO JUMBO]],estoque[data],preçodiario[[#This Row],[data]],estoque[fornecedor],"&lt;&gt;saída"))/(AA27+(SUMIFS(estoque[quantidade],estoque[produto],preçodiario[[#Headers],[OVO BRANCO JUMBO]],estoque[fornecedor],"&lt;&gt;saída",estoque[data],preçodiario[[#This Row],[data]])))))</f>
        <v>15</v>
      </c>
      <c r="AA28" s="22">
        <f>IF(preçodiario[[#This Row],[entrada J]]=0,AA27-(SUMIFS(estoque[quantidade],estoque[fornecedor],"saída",estoque[produto],preçodiario[[#Headers],[OVO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Row],[data]]))+AA27+preçodiario[[#This Row],[entrada J]])</f>
        <v>114</v>
      </c>
      <c r="AB28" s="22">
        <f>SUMIFS(estoque[quantidade],estoque[fornecedor],"&lt;&gt;saída",estoque[produto],preçodiario[[#Headers],[OVO BRANCO JUMBO]],estoque[data],preçodiario[[#This Row],[data]])</f>
        <v>120</v>
      </c>
      <c r="AC28" s="20">
        <f>SUMIFS(estoque[valor total],estoque[fornecedor],"&lt;&gt;saída",estoque[produto],preçodiario[[#Headers],[OVO BRANCO JUMBO]],estoque[data],preçodiario[[#This Row],[data]])</f>
        <v>1800</v>
      </c>
      <c r="AD28" s="20">
        <f>IFERROR(preçodiario[[#This Row],[OVO BRANCO JUMBO]]*preçodiario[[#This Row],[estoque J]],0)</f>
        <v>1710</v>
      </c>
      <c r="AE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Row],[data]])),((AE27*AF27)+SUMIFS(estoque[valor total],estoque[produto],preçodiario[[#Headers],[OVO VERMELHO A]],estoque[data],preçodiario[[#This Row],[data]],estoque[fornecedor],"&lt;&gt;saída"))/(AF27+(SUMIFS(estoque[quantidade],estoque[produto],preçodiario[[#Headers],[OVO VERMELHO A]],estoque[fornecedor],"&lt;&gt;saída",estoque[data],preçodiario[[#This Row],[data]])))))</f>
        <v/>
      </c>
      <c r="AF28" s="22">
        <f>IF(preçodiario[[#This Row],[entrada AV]]=0,AF27-(SUMIFS(estoque[quantidade],estoque[fornecedor],"saída",estoque[produto],preçodiario[[#Headers],[OVO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Row],[data]]))+AF27+preçodiario[[#This Row],[entrada AV]])</f>
        <v>0</v>
      </c>
      <c r="AG28" s="22">
        <f>SUMIFS(estoque[quantidade],estoque[fornecedor],"&lt;&gt;saída",estoque[produto],preçodiario[[#Headers],[OVO VERMELHO A]],estoque[data],preçodiario[[#This Row],[data]])</f>
        <v>0</v>
      </c>
      <c r="AH28" s="20">
        <f>SUMIFS(estoque[valor total],estoque[fornecedor],"&lt;&gt;saída",estoque[produto],preçodiario[[#Headers],[OVO VERMELHO A]],estoque[data],preçodiario[[#This Row],[data]])</f>
        <v>0</v>
      </c>
      <c r="AI28" s="20">
        <f>IFERROR(preçodiario[[#This Row],[OVO VERMELHO A]]*preçodiario[[#This Row],[estoque AV]],0)</f>
        <v>0</v>
      </c>
      <c r="AJ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Row],[data]])),((AJ27*AK27)+SUMIFS(estoque[valor total],estoque[produto],preçodiario[[#Headers],[OVO VERMELHO B]],estoque[data],preçodiario[[#This Row],[data]],estoque[fornecedor],"&lt;&gt;saída"))/(AK27+(SUMIFS(estoque[quantidade],estoque[produto],preçodiario[[#Headers],[OVO VERMELHO B]],estoque[fornecedor],"&lt;&gt;saída",estoque[data],preçodiario[[#This Row],[data]])))))</f>
        <v/>
      </c>
      <c r="AK28" s="22">
        <f>IF(preçodiario[[#This Row],[entrada BV]]=0,AK27-(SUMIFS(estoque[quantidade],estoque[fornecedor],"saída",estoque[produto],preçodiario[[#Headers],[OVO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Row],[data]]))+AK27+preçodiario[[#This Row],[entrada BV]])</f>
        <v>0</v>
      </c>
      <c r="AL28" s="22">
        <f>SUMIFS(estoque[quantidade],estoque[fornecedor],"&lt;&gt;saída",estoque[produto],preçodiario[[#Headers],[OVO VERMELHO B]],estoque[data],preçodiario[[#This Row],[data]])</f>
        <v>0</v>
      </c>
      <c r="AM28" s="20">
        <f>SUMIFS(estoque[valor total],estoque[fornecedor],"&lt;&gt;saída",estoque[produto],preçodiario[[#Headers],[OVO VERMELHO B]],estoque[data],preçodiario[[#This Row],[data]])</f>
        <v>0</v>
      </c>
      <c r="AN28" s="20">
        <f>IFERROR(preçodiario[[#This Row],[OVO VERMELHO B]]*preçodiario[[#This Row],[estoque BV]],0)</f>
        <v>0</v>
      </c>
      <c r="AO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Row],[data]])),((AO27*AP27)+SUMIFS(estoque[valor total],estoque[produto],preçodiario[[#Headers],[OVO VERMELHO C]],estoque[data],preçodiario[[#This Row],[data]],estoque[fornecedor],"&lt;&gt;saída"))/(AP27+(SUMIFS(estoque[quantidade],estoque[produto],preçodiario[[#Headers],[OVO VERMELHO C]],estoque[fornecedor],"&lt;&gt;saída",estoque[data],preçodiario[[#This Row],[data]])))))</f>
        <v/>
      </c>
      <c r="AP28" s="22">
        <f>IF(preçodiario[[#This Row],[entrada CV]]=0,AP27-(SUMIFS(estoque[quantidade],estoque[fornecedor],"saída",estoque[produto],preçodiario[[#Headers],[OVO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Row],[data]]))+AP27+preçodiario[[#This Row],[entrada CV]])</f>
        <v>0</v>
      </c>
      <c r="AQ28" s="22">
        <f>SUMIFS(estoque[quantidade],estoque[fornecedor],"&lt;&gt;saída",estoque[produto],preçodiario[[#Headers],[OVO VERMELHO C]],estoque[data],preçodiario[[#This Row],[data]])</f>
        <v>0</v>
      </c>
      <c r="AR28" s="20">
        <f>SUMIFS(estoque[valor total],estoque[fornecedor],"&lt;&gt;saída",estoque[produto],preçodiario[[#Headers],[OVO VERMELHO C]],estoque[data],preçodiario[[#This Row],[data]])</f>
        <v>0</v>
      </c>
      <c r="AS28" s="20">
        <f>IFERROR(preçodiario[[#This Row],[OVO VERMELHO C]]*preçodiario[[#This Row],[estoque CV]],0)</f>
        <v>0</v>
      </c>
      <c r="AT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Row],[data]])),((AT27*AU27)+SUMIFS(estoque[valor total],estoque[produto],preçodiario[[#Headers],[OVO VERMELHO EXTRA]],estoque[data],preçodiario[[#This Row],[data]],estoque[fornecedor],"&lt;&gt;saída"))/(AU27+(SUMIFS(estoque[quantidade],estoque[produto],preçodiario[[#Headers],[OVO VERMELHO EXTRA]],estoque[fornecedor],"&lt;&gt;saída",estoque[data],preçodiario[[#This Row],[data]])))))</f>
        <v/>
      </c>
      <c r="AU28" s="22">
        <f>IF(preçodiario[[#This Row],[entrada EV]]=0,AU27-(SUMIFS(estoque[quantidade],estoque[fornecedor],"saída",estoque[produto],preçodiario[[#Headers],[OVO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Row],[data]]))+AU27+preçodiario[[#This Row],[entrada EV]])</f>
        <v>0</v>
      </c>
      <c r="AV28" s="22">
        <f>SUMIFS(estoque[quantidade],estoque[fornecedor],"&lt;&gt;saída",estoque[produto],preçodiario[[#Headers],[OVO VERMELHO EXTRA]],estoque[data],preçodiario[[#This Row],[data]])</f>
        <v>0</v>
      </c>
      <c r="AW28" s="20">
        <f>SUMIFS(estoque[valor total],estoque[fornecedor],"&lt;&gt;saída",estoque[produto],preçodiario[[#Headers],[OVO VERMELHO EXTRA]],estoque[data],preçodiario[[#This Row],[data]])</f>
        <v>0</v>
      </c>
      <c r="AX28" s="20">
        <f>IFERROR(preçodiario[[#This Row],[OVO VERMELHO EXTRA]]*preçodiario[[#This Row],[estoque EV]],0)</f>
        <v>0</v>
      </c>
      <c r="AY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Row],[data]])),((AY27*AZ27)+SUMIFS(estoque[valor total],estoque[produto],preçodiario[[#Headers],[OVO VERMELHO JUMBO]],estoque[data],preçodiario[[#This Row],[data]],estoque[fornecedor],"&lt;&gt;saída"))/(AZ27+(SUMIFS(estoque[quantidade],estoque[produto],preçodiario[[#Headers],[OVO VERMELHO JUMBO]],estoque[fornecedor],"&lt;&gt;saída",estoque[data],preçodiario[[#This Row],[data]])))))</f>
        <v/>
      </c>
      <c r="AZ28" s="22">
        <f>IF(preçodiario[[#This Row],[entrada JV]]=0,AZ27-(SUMIFS(estoque[quantidade],estoque[fornecedor],"saída",estoque[produto],preçodiario[[#Headers],[OVO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Row],[data]]))+AZ27+preçodiario[[#This Row],[entrada JV]])</f>
        <v>0</v>
      </c>
      <c r="BA28" s="22">
        <f>SUMIFS(estoque[quantidade],estoque[fornecedor],"&lt;&gt;saída",estoque[produto],preçodiario[[#Headers],[OVO VERMELHO JUMBO]],estoque[data],preçodiario[[#This Row],[data]])</f>
        <v>0</v>
      </c>
      <c r="BB28" s="20">
        <f>SUMIFS(estoque[valor total],estoque[fornecedor],"&lt;&gt;saída",estoque[produto],preçodiario[[#Headers],[OVO VERMELHO JUMBO]],estoque[data],preçodiario[[#This Row],[data]])</f>
        <v>0</v>
      </c>
      <c r="BC28" s="20">
        <f>IFERROR(preçodiario[[#This Row],[OVO VERMELHO JUMBO]]*preçodiario[[#This Row],[estoque JV]],0)</f>
        <v>0</v>
      </c>
      <c r="BD28" t="str">
        <f>TEXT(vendaAno[[#This Row],[data]],"mmm")</f>
        <v>jan</v>
      </c>
      <c r="BE28" t="str">
        <f>TEXT(vendaAno[[#This Row],[data]],"ddd")</f>
        <v>ter</v>
      </c>
      <c r="BF28" s="82">
        <f>WEEKNUM(vendaAno[[#This Row],[data]],13)</f>
        <v>4</v>
      </c>
      <c r="BG28" s="27">
        <f>preçodiario[[#This Row],[data]]</f>
        <v>46049</v>
      </c>
      <c r="BH28" s="8">
        <f>IF(SUMIFS(estoque[valor total],estoque[fornecedor],"&lt;&gt;saída",estoque[data],vendaAno[[#This Row],[data]])=0,"",SUMIFS(estoque[valor total],estoque[fornecedor],"&lt;&gt;saída",estoque[data],vendaAno[[#This Row],[data]]))</f>
        <v>5000</v>
      </c>
      <c r="BI28" s="8">
        <f>IF(SUMIFS(estoque[valor total],estoque[fornecedor],"saída",estoque[data],vendaAno[[#This Row],[data]])=0,"",SUMIFS(estoque[valor total],estoque[fornecedor],"saída",estoque[data],vendaAno[[#This Row],[data]]))</f>
        <v>982</v>
      </c>
      <c r="BJ2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Row],[data]]))/12+BJ27,"")</f>
        <v>46.416666666666643</v>
      </c>
      <c r="BK28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28" s="8">
        <f ca="1">IF(vendaAno[[#This Row],[data]]&lt;=TODAY(),IF(SUMIFS(estoque[lucro],estoque[fornecedor],"saída",estoque[data],vendaAno[[#This Row],[data]])=0,AVERAGE(BL25:BL27),SUMIFS(estoque[lucro],estoque[fornecedor],"saída",estoque[data],vendaAno[[#This Row],[data]])),"")</f>
        <v>245.24999999999997</v>
      </c>
      <c r="BM28" s="10">
        <f ca="1">IFERROR(vendaAno[[#This Row],[lucro]]/vendaAno[[#This Row],[valor de venda]],"")</f>
        <v>0.24974541751527493</v>
      </c>
      <c r="BN2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7981.7943260339553</v>
      </c>
      <c r="BO28" s="8">
        <f ca="1">IF(TODAY()&gt;=vendaAno[[#This Row],[data]],IF(vendaAno[[#This Row],[N°]]=BF27,vendaAno[[#This Row],[lucro]]-173.33+BO27,vendaAno[[#This Row],[lucro]]-150),"")</f>
        <v>-316.57000000000016</v>
      </c>
      <c r="BP28" s="81">
        <f ca="1">IF(TODAY()&gt;=vendaAno[[#This Row],[data]],SUM(BK22:BK28)*12,"")</f>
        <v>213</v>
      </c>
      <c r="BQ28" s="7">
        <f ca="1">IFERROR(vendaAno[[#This Row],[lucro]]/(vendaAno[[#This Row],[venda]]*12),"")</f>
        <v>4.8088235294117645</v>
      </c>
      <c r="BT28" s="95">
        <f ca="1">WEEKNUM(PvPcML[[#This Row],[data]],13)</f>
        <v>27</v>
      </c>
      <c r="BU28" s="132">
        <f t="shared" ca="1" si="0"/>
        <v>46207</v>
      </c>
      <c r="BV28" s="7">
        <f ca="1">IFERROR(SUMIFS(vendaAno[valor de venda],vendaAno[data],PvPcML[[#This Row],[data]])/(SUMIFS(vendaAno[venda],vendaAno[data],PvPcML[[#This Row],[data]])*12),"")</f>
        <v>19.595744680851062</v>
      </c>
      <c r="BW28" s="7">
        <f ca="1">IFERROR(SUMIFS(vendaAno[valor de venda],vendaAno[data],PvPcML[[#This Row],[data]])/(SUMIFS(vendaAno[venda],vendaAno[data],PvPcML[[#This Row],[data]])*12)-PvPcML[[#This Row],[lucro médio]],"")</f>
        <v>15.558723404255318</v>
      </c>
      <c r="BX28" s="7">
        <f ca="1">IF(SUMIFS(vendaAno[[lucro médio ]],vendaAno[data],PvPcML[[#This Row],[data]])=0,"",SUMIFS(vendaAno[[lucro médio ]],vendaAno[data],PvPcML[[#This Row],[data]]))</f>
        <v>4.0370212765957447</v>
      </c>
      <c r="BY28" s="90">
        <v>27</v>
      </c>
      <c r="BZ28" s="89">
        <f t="shared" si="1"/>
        <v>46205</v>
      </c>
      <c r="CA28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16.416666666666664</v>
      </c>
      <c r="CB28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2.5</v>
      </c>
      <c r="CC28" s="7">
        <f ca="1">IFERROR(SUMIFS(vendaAno[lucro],vendaAno[data],"&gt;="&amp;semanal[[#This Row],[semana]],vendaAno[data],"&lt;="&amp;semanal[[#This Row],[semana]]+6)/((semanal[[#This Row],[varejo]]+semanal[[#This Row],[atacado]])*12),"")</f>
        <v>4.3318942731277543</v>
      </c>
      <c r="CD28" s="82">
        <f ca="1">IFERROR(AVERAGEIFS(vendaAno[venda],vendaAno[data],"&gt;="&amp;semanal[[#This Row],[semana]],vendaAno[data],"&lt;="&amp;semanal[[#This Row],[semana]]+6),"")</f>
        <v>2.7023809523809521</v>
      </c>
      <c r="CE28" s="82">
        <f ca="1">IFERROR((150/semanal[[#This Row],[lucro médio por cartela]])/12,"")</f>
        <v>2.8855736571277473</v>
      </c>
    </row>
    <row r="29" spans="1:83" x14ac:dyDescent="0.25">
      <c r="A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29" s="18" t="str">
        <f>TEXT(preçodiario[[#This Row],[data]],"MMM")</f>
        <v>jan</v>
      </c>
      <c r="C29" s="18" t="str">
        <f>TEXT(preçodiario[[#This Row],[data]],"ddd")</f>
        <v>qua</v>
      </c>
      <c r="D29" s="96">
        <f>WEEKNUM(preçodiario[[#This Row],[data]],13)</f>
        <v>5</v>
      </c>
      <c r="E29" s="37">
        <v>46050</v>
      </c>
      <c r="F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Row],[data]])),((F28*G28)+SUMIFS(estoque[valor total],estoque[produto],preçodiario[[#Headers],[OVO BRANCO A]],estoque[data],preçodiario[[#This Row],[data]],estoque[fornecedor],"&lt;&gt;saída"))/(G28+(SUMIFS(estoque[quantidade],estoque[produto],preçodiario[[#Headers],[OVO BRANCO A]],estoque[fornecedor],"&lt;&gt;saída",estoque[data],preçodiario[[#This Row],[data]])))))</f>
        <v>15.34987913871989</v>
      </c>
      <c r="G29" s="22">
        <f>IF(preçodiario[[#This Row],[entrada A]]=0,G28-(SUMIFS(estoque[quantidade],estoque[fornecedor],"saída",estoque[produto],preçodiario[[#Headers],[OVO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Row],[data]]))+G28+preçodiario[[#This Row],[entrada A]])</f>
        <v>77</v>
      </c>
      <c r="H29" s="22">
        <f>SUMIFS(estoque[quantidade],estoque[fornecedor],"&lt;&gt;saída",estoque[produto],preçodiario[[#Headers],[OVO BRANCO A]],estoque[data],preçodiario[[#This Row],[data]])</f>
        <v>0</v>
      </c>
      <c r="I29" s="20">
        <f>SUMIFS(estoque[valor total],estoque[fornecedor],"&lt;&gt;saída",estoque[produto],preçodiario[[#Headers],[OVO BRANCO A]],estoque[data],preçodiario[[#This Row],[data]])</f>
        <v>0</v>
      </c>
      <c r="J29" s="20">
        <f>IFERROR(preçodiario[[#This Row],[estoque A]]*preçodiario[[#This Row],[OVO BRANCO A]],0)</f>
        <v>1181.9406936814316</v>
      </c>
      <c r="K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Row],[data]])),((K28*L28)+SUMIFS(estoque[valor total],estoque[produto],preçodiario[[#Headers],[OVO BRANCO B]],estoque[data],preçodiario[[#This Row],[data]],estoque[fornecedor],"&lt;&gt;saída"))/(L28+(SUMIFS(estoque[quantidade],estoque[produto],preçodiario[[#Headers],[OVO BRANCO B]],estoque[fornecedor],"&lt;&gt;saída",estoque[data],preçodiario[[#This Row],[data]])))))</f>
        <v>13.340738386883483</v>
      </c>
      <c r="L29" s="22">
        <f>IF(preçodiario[[#This Row],[entrada B]]=0,L28-(SUMIFS(estoque[quantidade],estoque[fornecedor],"saída",estoque[produto],preçodiario[[#Headers],[OVO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Row],[data]]))+L28+preçodiario[[#This Row],[entrada B]])</f>
        <v>155</v>
      </c>
      <c r="M29" s="22">
        <f>SUMIFS(estoque[quantidade],estoque[fornecedor],"&lt;&gt;saída",estoque[produto],preçodiario[[#Headers],[OVO BRANCO B]],estoque[data],preçodiario[[#This Row],[data]])</f>
        <v>0</v>
      </c>
      <c r="N29" s="20">
        <f>SUMIFS(estoque[valor total],estoque[fornecedor],"&lt;&gt;saída",estoque[produto],preçodiario[[#Headers],[OVO BRANCO B]],estoque[data],preçodiario[[#This Row],[data]])</f>
        <v>0</v>
      </c>
      <c r="O29" s="20">
        <f>IFERROR(preçodiario[[#This Row],[OVO BRANCO B]]*preçodiario[[#This Row],[estoque B]],0)</f>
        <v>2067.8144499669397</v>
      </c>
      <c r="P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Row],[data]])),((P28*Q28)+SUMIFS(estoque[valor total],estoque[produto],preçodiario[[#Headers],[OVO BRANCO C]],estoque[data],preçodiario[[#This Row],[data]],estoque[fornecedor],"&lt;&gt;saída"))/(Q28+(SUMIFS(estoque[quantidade],estoque[produto],preçodiario[[#Headers],[OVO BRANCO C]],estoque[fornecedor],"&lt;&gt;saída",estoque[data],preçodiario[[#This Row],[data]])))))</f>
        <v>13.874671916010501</v>
      </c>
      <c r="Q29" s="22">
        <f>IF(preçodiario[[#This Row],[entrada C]]=0,Q28-(SUMIFS(estoque[quantidade],estoque[fornecedor],"saída",estoque[produto],preçodiario[[#Headers],[OVO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Row],[data]]))+Q28+preçodiario[[#This Row],[entrada C]])</f>
        <v>36</v>
      </c>
      <c r="R29" s="22">
        <f>SUMIFS(estoque[quantidade],estoque[fornecedor],"&lt;&gt;saída",estoque[produto],preçodiario[[#Headers],[OVO BRANCO C]],estoque[data],preçodiario[[#This Row],[data]])</f>
        <v>0</v>
      </c>
      <c r="S29" s="20">
        <f>SUMIFS(estoque[valor total],estoque[fornecedor],"&lt;&gt;saída",estoque[produto],preçodiario[[#Headers],[OVO BRANCO C]],estoque[data],preçodiario[[#This Row],[data]])</f>
        <v>0</v>
      </c>
      <c r="T29" s="20">
        <f>IFERROR(preçodiario[[#This Row],[OVO BRANCO C]]*preçodiario[[#This Row],[estoque C]],0)</f>
        <v>499.48818897637801</v>
      </c>
      <c r="U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Row],[data]])),((U28*V28)+SUMIFS(estoque[valor total],estoque[produto],preçodiario[[#Headers],[OVO BRANCO EXTRA]],estoque[data],preçodiario[[#This Row],[data]],estoque[fornecedor],"&lt;&gt;saída"))/(V28+(SUMIFS(estoque[quantidade],estoque[produto],preçodiario[[#Headers],[OVO BRANCO EXTRA]],estoque[fornecedor],"&lt;&gt;saída",estoque[data],preçodiario[[#This Row],[data]])))))</f>
        <v>14.417091066264103</v>
      </c>
      <c r="V29" s="22">
        <f>IF(preçodiario[[#This Row],[entrada E]]=0,V28-(SUMIFS(estoque[quantidade],estoque[fornecedor],"saída",estoque[produto],preçodiario[[#Headers],[OVO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Row],[data]]))+V28+preçodiario[[#This Row],[entrada E]])</f>
        <v>126</v>
      </c>
      <c r="W29" s="22">
        <f>SUMIFS(estoque[quantidade],estoque[fornecedor],"&lt;&gt;saída",estoque[produto],preçodiario[[#Headers],[OVO BRANCO EXTRA]],estoque[data],preçodiario[[#This Row],[data]])</f>
        <v>0</v>
      </c>
      <c r="X29" s="20">
        <f>SUMIFS(estoque[valor total],estoque[fornecedor],"&lt;&gt;saída",estoque[produto],preçodiario[[#Headers],[OVO BRANCO EXTRA]],estoque[data],preçodiario[[#This Row],[data]])</f>
        <v>0</v>
      </c>
      <c r="Y29" s="20">
        <f>IFERROR(preçodiario[[#This Row],[estoque E]]*preçodiario[[#This Row],[OVO BRANCO EXTRA]],0)</f>
        <v>1816.5534743492769</v>
      </c>
      <c r="Z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Row],[data]])),((Z28*AA28)+SUMIFS(estoque[valor total],estoque[produto],preçodiario[[#Headers],[OVO BRANCO JUMBO]],estoque[data],preçodiario[[#This Row],[data]],estoque[fornecedor],"&lt;&gt;saída"))/(AA28+(SUMIFS(estoque[quantidade],estoque[produto],preçodiario[[#Headers],[OVO BRANCO JUMBO]],estoque[fornecedor],"&lt;&gt;saída",estoque[data],preçodiario[[#This Row],[data]])))))</f>
        <v>15</v>
      </c>
      <c r="AA29" s="22">
        <f>IF(preçodiario[[#This Row],[entrada J]]=0,AA28-(SUMIFS(estoque[quantidade],estoque[fornecedor],"saída",estoque[produto],preçodiario[[#Headers],[OVO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Row],[data]]))+AA28+preçodiario[[#This Row],[entrada J]])</f>
        <v>114</v>
      </c>
      <c r="AB29" s="22">
        <f>SUMIFS(estoque[quantidade],estoque[fornecedor],"&lt;&gt;saída",estoque[produto],preçodiario[[#Headers],[OVO BRANCO JUMBO]],estoque[data],preçodiario[[#This Row],[data]])</f>
        <v>0</v>
      </c>
      <c r="AC29" s="20">
        <f>SUMIFS(estoque[valor total],estoque[fornecedor],"&lt;&gt;saída",estoque[produto],preçodiario[[#Headers],[OVO BRANCO JUMBO]],estoque[data],preçodiario[[#This Row],[data]])</f>
        <v>0</v>
      </c>
      <c r="AD29" s="20">
        <f>IFERROR(preçodiario[[#This Row],[OVO BRANCO JUMBO]]*preçodiario[[#This Row],[estoque J]],0)</f>
        <v>1710</v>
      </c>
      <c r="AE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Row],[data]])),((AE28*AF28)+SUMIFS(estoque[valor total],estoque[produto],preçodiario[[#Headers],[OVO VERMELHO A]],estoque[data],preçodiario[[#This Row],[data]],estoque[fornecedor],"&lt;&gt;saída"))/(AF28+(SUMIFS(estoque[quantidade],estoque[produto],preçodiario[[#Headers],[OVO VERMELHO A]],estoque[fornecedor],"&lt;&gt;saída",estoque[data],preçodiario[[#This Row],[data]])))))</f>
        <v/>
      </c>
      <c r="AF29" s="22">
        <f>IF(preçodiario[[#This Row],[entrada AV]]=0,AF28-(SUMIFS(estoque[quantidade],estoque[fornecedor],"saída",estoque[produto],preçodiario[[#Headers],[OVO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Row],[data]]))+AF28+preçodiario[[#This Row],[entrada AV]])</f>
        <v>0</v>
      </c>
      <c r="AG29" s="22">
        <f>SUMIFS(estoque[quantidade],estoque[fornecedor],"&lt;&gt;saída",estoque[produto],preçodiario[[#Headers],[OVO VERMELHO A]],estoque[data],preçodiario[[#This Row],[data]])</f>
        <v>0</v>
      </c>
      <c r="AH29" s="20">
        <f>SUMIFS(estoque[valor total],estoque[fornecedor],"&lt;&gt;saída",estoque[produto],preçodiario[[#Headers],[OVO VERMELHO A]],estoque[data],preçodiario[[#This Row],[data]])</f>
        <v>0</v>
      </c>
      <c r="AI29" s="20">
        <f>IFERROR(preçodiario[[#This Row],[OVO VERMELHO A]]*preçodiario[[#This Row],[estoque AV]],0)</f>
        <v>0</v>
      </c>
      <c r="AJ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Row],[data]])),((AJ28*AK28)+SUMIFS(estoque[valor total],estoque[produto],preçodiario[[#Headers],[OVO VERMELHO B]],estoque[data],preçodiario[[#This Row],[data]],estoque[fornecedor],"&lt;&gt;saída"))/(AK28+(SUMIFS(estoque[quantidade],estoque[produto],preçodiario[[#Headers],[OVO VERMELHO B]],estoque[fornecedor],"&lt;&gt;saída",estoque[data],preçodiario[[#This Row],[data]])))))</f>
        <v/>
      </c>
      <c r="AK29" s="22">
        <f>IF(preçodiario[[#This Row],[entrada BV]]=0,AK28-(SUMIFS(estoque[quantidade],estoque[fornecedor],"saída",estoque[produto],preçodiario[[#Headers],[OVO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Row],[data]]))+AK28+preçodiario[[#This Row],[entrada BV]])</f>
        <v>0</v>
      </c>
      <c r="AL29" s="22">
        <f>SUMIFS(estoque[quantidade],estoque[fornecedor],"&lt;&gt;saída",estoque[produto],preçodiario[[#Headers],[OVO VERMELHO B]],estoque[data],preçodiario[[#This Row],[data]])</f>
        <v>0</v>
      </c>
      <c r="AM29" s="20">
        <f>SUMIFS(estoque[valor total],estoque[fornecedor],"&lt;&gt;saída",estoque[produto],preçodiario[[#Headers],[OVO VERMELHO B]],estoque[data],preçodiario[[#This Row],[data]])</f>
        <v>0</v>
      </c>
      <c r="AN29" s="20">
        <f>IFERROR(preçodiario[[#This Row],[OVO VERMELHO B]]*preçodiario[[#This Row],[estoque BV]],0)</f>
        <v>0</v>
      </c>
      <c r="AO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Row],[data]])),((AO28*AP28)+SUMIFS(estoque[valor total],estoque[produto],preçodiario[[#Headers],[OVO VERMELHO C]],estoque[data],preçodiario[[#This Row],[data]],estoque[fornecedor],"&lt;&gt;saída"))/(AP28+(SUMIFS(estoque[quantidade],estoque[produto],preçodiario[[#Headers],[OVO VERMELHO C]],estoque[fornecedor],"&lt;&gt;saída",estoque[data],preçodiario[[#This Row],[data]])))))</f>
        <v/>
      </c>
      <c r="AP29" s="22">
        <f>IF(preçodiario[[#This Row],[entrada CV]]=0,AP28-(SUMIFS(estoque[quantidade],estoque[fornecedor],"saída",estoque[produto],preçodiario[[#Headers],[OVO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Row],[data]]))+AP28+preçodiario[[#This Row],[entrada CV]])</f>
        <v>0</v>
      </c>
      <c r="AQ29" s="22">
        <f>SUMIFS(estoque[quantidade],estoque[fornecedor],"&lt;&gt;saída",estoque[produto],preçodiario[[#Headers],[OVO VERMELHO C]],estoque[data],preçodiario[[#This Row],[data]])</f>
        <v>0</v>
      </c>
      <c r="AR29" s="20">
        <f>SUMIFS(estoque[valor total],estoque[fornecedor],"&lt;&gt;saída",estoque[produto],preçodiario[[#Headers],[OVO VERMELHO C]],estoque[data],preçodiario[[#This Row],[data]])</f>
        <v>0</v>
      </c>
      <c r="AS29" s="20">
        <f>IFERROR(preçodiario[[#This Row],[OVO VERMELHO C]]*preçodiario[[#This Row],[estoque CV]],0)</f>
        <v>0</v>
      </c>
      <c r="AT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Row],[data]])),((AT28*AU28)+SUMIFS(estoque[valor total],estoque[produto],preçodiario[[#Headers],[OVO VERMELHO EXTRA]],estoque[data],preçodiario[[#This Row],[data]],estoque[fornecedor],"&lt;&gt;saída"))/(AU28+(SUMIFS(estoque[quantidade],estoque[produto],preçodiario[[#Headers],[OVO VERMELHO EXTRA]],estoque[fornecedor],"&lt;&gt;saída",estoque[data],preçodiario[[#This Row],[data]])))))</f>
        <v/>
      </c>
      <c r="AU29" s="22">
        <f>IF(preçodiario[[#This Row],[entrada EV]]=0,AU28-(SUMIFS(estoque[quantidade],estoque[fornecedor],"saída",estoque[produto],preçodiario[[#Headers],[OVO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Row],[data]]))+AU28+preçodiario[[#This Row],[entrada EV]])</f>
        <v>0</v>
      </c>
      <c r="AV29" s="22">
        <f>SUMIFS(estoque[quantidade],estoque[fornecedor],"&lt;&gt;saída",estoque[produto],preçodiario[[#Headers],[OVO VERMELHO EXTRA]],estoque[data],preçodiario[[#This Row],[data]])</f>
        <v>0</v>
      </c>
      <c r="AW29" s="20">
        <f>SUMIFS(estoque[valor total],estoque[fornecedor],"&lt;&gt;saída",estoque[produto],preçodiario[[#Headers],[OVO VERMELHO EXTRA]],estoque[data],preçodiario[[#This Row],[data]])</f>
        <v>0</v>
      </c>
      <c r="AX29" s="20">
        <f>IFERROR(preçodiario[[#This Row],[OVO VERMELHO EXTRA]]*preçodiario[[#This Row],[estoque EV]],0)</f>
        <v>0</v>
      </c>
      <c r="AY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Row],[data]])),((AY28*AZ28)+SUMIFS(estoque[valor total],estoque[produto],preçodiario[[#Headers],[OVO VERMELHO JUMBO]],estoque[data],preçodiario[[#This Row],[data]],estoque[fornecedor],"&lt;&gt;saída"))/(AZ28+(SUMIFS(estoque[quantidade],estoque[produto],preçodiario[[#Headers],[OVO VERMELHO JUMBO]],estoque[fornecedor],"&lt;&gt;saída",estoque[data],preçodiario[[#This Row],[data]])))))</f>
        <v/>
      </c>
      <c r="AZ29" s="22">
        <f>IF(preçodiario[[#This Row],[entrada JV]]=0,AZ28-(SUMIFS(estoque[quantidade],estoque[fornecedor],"saída",estoque[produto],preçodiario[[#Headers],[OVO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Row],[data]]))+AZ28+preçodiario[[#This Row],[entrada JV]])</f>
        <v>0</v>
      </c>
      <c r="BA29" s="22">
        <f>SUMIFS(estoque[quantidade],estoque[fornecedor],"&lt;&gt;saída",estoque[produto],preçodiario[[#Headers],[OVO VERMELHO JUMBO]],estoque[data],preçodiario[[#This Row],[data]])</f>
        <v>0</v>
      </c>
      <c r="BB29" s="20">
        <f>SUMIFS(estoque[valor total],estoque[fornecedor],"&lt;&gt;saída",estoque[produto],preçodiario[[#Headers],[OVO VERMELHO JUMBO]],estoque[data],preçodiario[[#This Row],[data]])</f>
        <v>0</v>
      </c>
      <c r="BC29" s="20">
        <f>IFERROR(preçodiario[[#This Row],[OVO VERMELHO JUMBO]]*preçodiario[[#This Row],[estoque JV]],0)</f>
        <v>0</v>
      </c>
      <c r="BD29" t="str">
        <f>TEXT(vendaAno[[#This Row],[data]],"mmm")</f>
        <v>jan</v>
      </c>
      <c r="BE29" t="str">
        <f>TEXT(vendaAno[[#This Row],[data]],"ddd")</f>
        <v>qua</v>
      </c>
      <c r="BF29" s="82">
        <f>WEEKNUM(vendaAno[[#This Row],[data]],13)</f>
        <v>5</v>
      </c>
      <c r="BG29" s="27">
        <f>preçodiario[[#This Row],[data]]</f>
        <v>46050</v>
      </c>
      <c r="BH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" s="8">
        <f>IF(SUMIFS(estoque[valor total],estoque[fornecedor],"saída",estoque[data],vendaAno[[#This Row],[data]])=0,"",SUMIFS(estoque[valor total],estoque[fornecedor],"saída",estoque[data],vendaAno[[#This Row],[data]]))</f>
        <v>900</v>
      </c>
      <c r="BJ2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Row],[data]]))/12+BJ28,"")</f>
        <v>42.333333333333307</v>
      </c>
      <c r="BK29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29" s="8">
        <f ca="1">IF(vendaAno[[#This Row],[data]]&lt;=TODAY(),IF(SUMIFS(estoque[lucro],estoque[fornecedor],"saída",estoque[data],vendaAno[[#This Row],[data]])=0,AVERAGE(BL26:BL28),SUMIFS(estoque[lucro],estoque[fornecedor],"saída",estoque[data],vendaAno[[#This Row],[data]])),"")</f>
        <v>194</v>
      </c>
      <c r="BM29" s="10">
        <f ca="1">IFERROR(vendaAno[[#This Row],[lucro]]/vendaAno[[#This Row],[valor de venda]],"")</f>
        <v>0.21555555555555556</v>
      </c>
      <c r="BN2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7275.7968069740273</v>
      </c>
      <c r="BO29" s="8">
        <f ca="1">IF(TODAY()&gt;=vendaAno[[#This Row],[data]],IF(vendaAno[[#This Row],[N°]]=BF28,vendaAno[[#This Row],[lucro]]-173.33+BO28,vendaAno[[#This Row],[lucro]]-150),"")</f>
        <v>44</v>
      </c>
      <c r="BP29" s="81">
        <f ca="1">IF(TODAY()&gt;=vendaAno[[#This Row],[data]],SUM(BK23:BK29)*12,"")</f>
        <v>241</v>
      </c>
      <c r="BQ29" s="7">
        <f ca="1">IFERROR(vendaAno[[#This Row],[lucro]]/(vendaAno[[#This Row],[venda]]*12),"")</f>
        <v>3.9591836734693877</v>
      </c>
      <c r="BT29" s="95">
        <f ca="1">WEEKNUM(PvPcML[[#This Row],[data]],13)</f>
        <v>27</v>
      </c>
      <c r="BU29" s="132">
        <f t="shared" ca="1" si="0"/>
        <v>46206</v>
      </c>
      <c r="BV29" s="7">
        <f ca="1">IFERROR(SUMIFS(vendaAno[valor de venda],vendaAno[data],PvPcML[[#This Row],[data]])/(SUMIFS(vendaAno[venda],vendaAno[data],PvPcML[[#This Row],[data]])*12),"")</f>
        <v>19.636363636363637</v>
      </c>
      <c r="BW29" s="7">
        <f ca="1">IFERROR(SUMIFS(vendaAno[valor de venda],vendaAno[data],PvPcML[[#This Row],[data]])/(SUMIFS(vendaAno[venda],vendaAno[data],PvPcML[[#This Row],[data]])*12)-PvPcML[[#This Row],[lucro médio]],"")</f>
        <v>15.518787878787879</v>
      </c>
      <c r="BX29" s="7">
        <f ca="1">IF(SUMIFS(vendaAno[[lucro médio ]],vendaAno[data],PvPcML[[#This Row],[data]])=0,"",SUMIFS(vendaAno[[lucro médio ]],vendaAno[data],PvPcML[[#This Row],[data]]))</f>
        <v>4.1175757575757572</v>
      </c>
      <c r="BY29" s="91">
        <v>28</v>
      </c>
      <c r="BZ29" s="89">
        <f t="shared" si="1"/>
        <v>46212</v>
      </c>
      <c r="CA29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15.166666666666668</v>
      </c>
      <c r="CB29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2</v>
      </c>
      <c r="CC29" s="7">
        <f ca="1">IFERROR(SUMIFS(vendaAno[lucro],vendaAno[data],"&gt;="&amp;semanal[[#This Row],[semana]],vendaAno[data],"&lt;="&amp;semanal[[#This Row],[semana]]+6)/((semanal[[#This Row],[varejo]]+semanal[[#This Row],[atacado]])*12),"")</f>
        <v>4.4131067961165051</v>
      </c>
      <c r="CD29" s="82">
        <f ca="1">IFERROR(AVERAGEIFS(vendaAno[venda],vendaAno[data],"&gt;="&amp;semanal[[#This Row],[semana]],vendaAno[data],"&lt;="&amp;semanal[[#This Row],[semana]]+6),"")</f>
        <v>2.4523809523809526</v>
      </c>
      <c r="CE29" s="82">
        <f ca="1">IFERROR((150/semanal[[#This Row],[lucro médio por cartela]])/12,"")</f>
        <v>2.8324716752832466</v>
      </c>
    </row>
    <row r="30" spans="1:83" x14ac:dyDescent="0.25">
      <c r="A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0" s="18" t="str">
        <f>TEXT(preçodiario[[#This Row],[data]],"MMM")</f>
        <v>jan</v>
      </c>
      <c r="C30" s="18" t="str">
        <f>TEXT(preçodiario[[#This Row],[data]],"ddd")</f>
        <v>qui</v>
      </c>
      <c r="D30" s="96">
        <f>WEEKNUM(preçodiario[[#This Row],[data]],13)</f>
        <v>5</v>
      </c>
      <c r="E30" s="37">
        <v>46051</v>
      </c>
      <c r="F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Row],[data]])),((F29*G29)+SUMIFS(estoque[valor total],estoque[produto],preçodiario[[#Headers],[OVO BRANCO A]],estoque[data],preçodiario[[#This Row],[data]],estoque[fornecedor],"&lt;&gt;saída"))/(G29+(SUMIFS(estoque[quantidade],estoque[produto],preçodiario[[#Headers],[OVO BRANCO A]],estoque[fornecedor],"&lt;&gt;saída",estoque[data],preçodiario[[#This Row],[data]])))))</f>
        <v>15.349879138719892</v>
      </c>
      <c r="G30" s="22">
        <f>IF(preçodiario[[#This Row],[entrada A]]=0,G29-(SUMIFS(estoque[quantidade],estoque[fornecedor],"saída",estoque[produto],preçodiario[[#Headers],[OVO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Row],[data]]))+G29+preçodiario[[#This Row],[entrada A]])</f>
        <v>74</v>
      </c>
      <c r="H30" s="22">
        <f>SUMIFS(estoque[quantidade],estoque[fornecedor],"&lt;&gt;saída",estoque[produto],preçodiario[[#Headers],[OVO BRANCO A]],estoque[data],preçodiario[[#This Row],[data]])</f>
        <v>0</v>
      </c>
      <c r="I30" s="20">
        <f>SUMIFS(estoque[valor total],estoque[fornecedor],"&lt;&gt;saída",estoque[produto],preçodiario[[#Headers],[OVO BRANCO A]],estoque[data],preçodiario[[#This Row],[data]])</f>
        <v>0</v>
      </c>
      <c r="J30" s="20">
        <f>IFERROR(preçodiario[[#This Row],[estoque A]]*preçodiario[[#This Row],[OVO BRANCO A]],0)</f>
        <v>1135.891056265272</v>
      </c>
      <c r="K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Row],[data]])),((K29*L29)+SUMIFS(estoque[valor total],estoque[produto],preçodiario[[#Headers],[OVO BRANCO B]],estoque[data],preçodiario[[#This Row],[data]],estoque[fornecedor],"&lt;&gt;saída"))/(L29+(SUMIFS(estoque[quantidade],estoque[produto],preçodiario[[#Headers],[OVO BRANCO B]],estoque[fornecedor],"&lt;&gt;saída",estoque[data],preçodiario[[#This Row],[data]])))))</f>
        <v>13.340738386883482</v>
      </c>
      <c r="L30" s="22">
        <f>IF(preçodiario[[#This Row],[entrada B]]=0,L29-(SUMIFS(estoque[quantidade],estoque[fornecedor],"saída",estoque[produto],preçodiario[[#Headers],[OVO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Row],[data]]))+L29+preçodiario[[#This Row],[entrada B]])</f>
        <v>151</v>
      </c>
      <c r="M30" s="22">
        <f>SUMIFS(estoque[quantidade],estoque[fornecedor],"&lt;&gt;saída",estoque[produto],preçodiario[[#Headers],[OVO BRANCO B]],estoque[data],preçodiario[[#This Row],[data]])</f>
        <v>0</v>
      </c>
      <c r="N30" s="20">
        <f>SUMIFS(estoque[valor total],estoque[fornecedor],"&lt;&gt;saída",estoque[produto],preçodiario[[#Headers],[OVO BRANCO B]],estoque[data],preçodiario[[#This Row],[data]])</f>
        <v>0</v>
      </c>
      <c r="O30" s="20">
        <f>IFERROR(preçodiario[[#This Row],[OVO BRANCO B]]*preçodiario[[#This Row],[estoque B]],0)</f>
        <v>2014.4514964194057</v>
      </c>
      <c r="P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Row],[data]])),((P29*Q29)+SUMIFS(estoque[valor total],estoque[produto],preçodiario[[#Headers],[OVO BRANCO C]],estoque[data],preçodiario[[#This Row],[data]],estoque[fornecedor],"&lt;&gt;saída"))/(Q29+(SUMIFS(estoque[quantidade],estoque[produto],preçodiario[[#Headers],[OVO BRANCO C]],estoque[fornecedor],"&lt;&gt;saída",estoque[data],preçodiario[[#This Row],[data]])))))</f>
        <v>13.874671916010501</v>
      </c>
      <c r="Q30" s="22">
        <f>IF(preçodiario[[#This Row],[entrada C]]=0,Q29-(SUMIFS(estoque[quantidade],estoque[fornecedor],"saída",estoque[produto],preçodiario[[#Headers],[OVO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Row],[data]]))+Q29+preçodiario[[#This Row],[entrada C]])</f>
        <v>34</v>
      </c>
      <c r="R30" s="22">
        <f>SUMIFS(estoque[quantidade],estoque[fornecedor],"&lt;&gt;saída",estoque[produto],preçodiario[[#Headers],[OVO BRANCO C]],estoque[data],preçodiario[[#This Row],[data]])</f>
        <v>0</v>
      </c>
      <c r="S30" s="20">
        <f>SUMIFS(estoque[valor total],estoque[fornecedor],"&lt;&gt;saída",estoque[produto],preçodiario[[#Headers],[OVO BRANCO C]],estoque[data],preçodiario[[#This Row],[data]])</f>
        <v>0</v>
      </c>
      <c r="T30" s="20">
        <f>IFERROR(preçodiario[[#This Row],[OVO BRANCO C]]*preçodiario[[#This Row],[estoque C]],0)</f>
        <v>471.73884514435701</v>
      </c>
      <c r="U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Row],[data]])),((U29*V29)+SUMIFS(estoque[valor total],estoque[produto],preçodiario[[#Headers],[OVO BRANCO EXTRA]],estoque[data],preçodiario[[#This Row],[data]],estoque[fornecedor],"&lt;&gt;saída"))/(V29+(SUMIFS(estoque[quantidade],estoque[produto],preçodiario[[#Headers],[OVO BRANCO EXTRA]],estoque[fornecedor],"&lt;&gt;saída",estoque[data],preçodiario[[#This Row],[data]])))))</f>
        <v>14.417091066264103</v>
      </c>
      <c r="V30" s="22">
        <f>IF(preçodiario[[#This Row],[entrada E]]=0,V29-(SUMIFS(estoque[quantidade],estoque[fornecedor],"saída",estoque[produto],preçodiario[[#Headers],[OVO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Row],[data]]))+V29+preçodiario[[#This Row],[entrada E]])</f>
        <v>116</v>
      </c>
      <c r="W30" s="22">
        <f>SUMIFS(estoque[quantidade],estoque[fornecedor],"&lt;&gt;saída",estoque[produto],preçodiario[[#Headers],[OVO BRANCO EXTRA]],estoque[data],preçodiario[[#This Row],[data]])</f>
        <v>0</v>
      </c>
      <c r="X30" s="20">
        <f>SUMIFS(estoque[valor total],estoque[fornecedor],"&lt;&gt;saída",estoque[produto],preçodiario[[#Headers],[OVO BRANCO EXTRA]],estoque[data],preçodiario[[#This Row],[data]])</f>
        <v>0</v>
      </c>
      <c r="Y30" s="20">
        <f>IFERROR(preçodiario[[#This Row],[estoque E]]*preçodiario[[#This Row],[OVO BRANCO EXTRA]],0)</f>
        <v>1672.3825636866359</v>
      </c>
      <c r="Z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Row],[data]])),((Z29*AA29)+SUMIFS(estoque[valor total],estoque[produto],preçodiario[[#Headers],[OVO BRANCO JUMBO]],estoque[data],preçodiario[[#This Row],[data]],estoque[fornecedor],"&lt;&gt;saída"))/(AA29+(SUMIFS(estoque[quantidade],estoque[produto],preçodiario[[#Headers],[OVO BRANCO JUMBO]],estoque[fornecedor],"&lt;&gt;saída",estoque[data],preçodiario[[#This Row],[data]])))))</f>
        <v>15</v>
      </c>
      <c r="AA30" s="22">
        <f>IF(preçodiario[[#This Row],[entrada J]]=0,AA29-(SUMIFS(estoque[quantidade],estoque[fornecedor],"saída",estoque[produto],preçodiario[[#Headers],[OVO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Row],[data]]))+AA29+preçodiario[[#This Row],[entrada J]])</f>
        <v>109</v>
      </c>
      <c r="AB30" s="22">
        <f>SUMIFS(estoque[quantidade],estoque[fornecedor],"&lt;&gt;saída",estoque[produto],preçodiario[[#Headers],[OVO BRANCO JUMBO]],estoque[data],preçodiario[[#This Row],[data]])</f>
        <v>0</v>
      </c>
      <c r="AC30" s="20">
        <f>SUMIFS(estoque[valor total],estoque[fornecedor],"&lt;&gt;saída",estoque[produto],preçodiario[[#Headers],[OVO BRANCO JUMBO]],estoque[data],preçodiario[[#This Row],[data]])</f>
        <v>0</v>
      </c>
      <c r="AD30" s="20">
        <f>IFERROR(preçodiario[[#This Row],[OVO BRANCO JUMBO]]*preçodiario[[#This Row],[estoque J]],0)</f>
        <v>1635</v>
      </c>
      <c r="AE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Row],[data]])),((AE29*AF29)+SUMIFS(estoque[valor total],estoque[produto],preçodiario[[#Headers],[OVO VERMELHO A]],estoque[data],preçodiario[[#This Row],[data]],estoque[fornecedor],"&lt;&gt;saída"))/(AF29+(SUMIFS(estoque[quantidade],estoque[produto],preçodiario[[#Headers],[OVO VERMELHO A]],estoque[fornecedor],"&lt;&gt;saída",estoque[data],preçodiario[[#This Row],[data]])))))</f>
        <v/>
      </c>
      <c r="AF30" s="22">
        <f>IF(preçodiario[[#This Row],[entrada AV]]=0,AF29-(SUMIFS(estoque[quantidade],estoque[fornecedor],"saída",estoque[produto],preçodiario[[#Headers],[OVO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Row],[data]]))+AF29+preçodiario[[#This Row],[entrada AV]])</f>
        <v>0</v>
      </c>
      <c r="AG30" s="22">
        <f>SUMIFS(estoque[quantidade],estoque[fornecedor],"&lt;&gt;saída",estoque[produto],preçodiario[[#Headers],[OVO VERMELHO A]],estoque[data],preçodiario[[#This Row],[data]])</f>
        <v>0</v>
      </c>
      <c r="AH30" s="20">
        <f>SUMIFS(estoque[valor total],estoque[fornecedor],"&lt;&gt;saída",estoque[produto],preçodiario[[#Headers],[OVO VERMELHO A]],estoque[data],preçodiario[[#This Row],[data]])</f>
        <v>0</v>
      </c>
      <c r="AI30" s="20">
        <f>IFERROR(preçodiario[[#This Row],[OVO VERMELHO A]]*preçodiario[[#This Row],[estoque AV]],0)</f>
        <v>0</v>
      </c>
      <c r="AJ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Row],[data]])),((AJ29*AK29)+SUMIFS(estoque[valor total],estoque[produto],preçodiario[[#Headers],[OVO VERMELHO B]],estoque[data],preçodiario[[#This Row],[data]],estoque[fornecedor],"&lt;&gt;saída"))/(AK29+(SUMIFS(estoque[quantidade],estoque[produto],preçodiario[[#Headers],[OVO VERMELHO B]],estoque[fornecedor],"&lt;&gt;saída",estoque[data],preçodiario[[#This Row],[data]])))))</f>
        <v/>
      </c>
      <c r="AK30" s="22">
        <f>IF(preçodiario[[#This Row],[entrada BV]]=0,AK29-(SUMIFS(estoque[quantidade],estoque[fornecedor],"saída",estoque[produto],preçodiario[[#Headers],[OVO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Row],[data]]))+AK29+preçodiario[[#This Row],[entrada BV]])</f>
        <v>0</v>
      </c>
      <c r="AL30" s="22">
        <f>SUMIFS(estoque[quantidade],estoque[fornecedor],"&lt;&gt;saída",estoque[produto],preçodiario[[#Headers],[OVO VERMELHO B]],estoque[data],preçodiario[[#This Row],[data]])</f>
        <v>0</v>
      </c>
      <c r="AM30" s="20">
        <f>SUMIFS(estoque[valor total],estoque[fornecedor],"&lt;&gt;saída",estoque[produto],preçodiario[[#Headers],[OVO VERMELHO B]],estoque[data],preçodiario[[#This Row],[data]])</f>
        <v>0</v>
      </c>
      <c r="AN30" s="20">
        <f>IFERROR(preçodiario[[#This Row],[OVO VERMELHO B]]*preçodiario[[#This Row],[estoque BV]],0)</f>
        <v>0</v>
      </c>
      <c r="AO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Row],[data]])),((AO29*AP29)+SUMIFS(estoque[valor total],estoque[produto],preçodiario[[#Headers],[OVO VERMELHO C]],estoque[data],preçodiario[[#This Row],[data]],estoque[fornecedor],"&lt;&gt;saída"))/(AP29+(SUMIFS(estoque[quantidade],estoque[produto],preçodiario[[#Headers],[OVO VERMELHO C]],estoque[fornecedor],"&lt;&gt;saída",estoque[data],preçodiario[[#This Row],[data]])))))</f>
        <v/>
      </c>
      <c r="AP30" s="22">
        <f>IF(preçodiario[[#This Row],[entrada CV]]=0,AP29-(SUMIFS(estoque[quantidade],estoque[fornecedor],"saída",estoque[produto],preçodiario[[#Headers],[OVO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Row],[data]]))+AP29+preçodiario[[#This Row],[entrada CV]])</f>
        <v>0</v>
      </c>
      <c r="AQ30" s="22">
        <f>SUMIFS(estoque[quantidade],estoque[fornecedor],"&lt;&gt;saída",estoque[produto],preçodiario[[#Headers],[OVO VERMELHO C]],estoque[data],preçodiario[[#This Row],[data]])</f>
        <v>0</v>
      </c>
      <c r="AR30" s="20">
        <f>SUMIFS(estoque[valor total],estoque[fornecedor],"&lt;&gt;saída",estoque[produto],preçodiario[[#Headers],[OVO VERMELHO C]],estoque[data],preçodiario[[#This Row],[data]])</f>
        <v>0</v>
      </c>
      <c r="AS30" s="20">
        <f>IFERROR(preçodiario[[#This Row],[OVO VERMELHO C]]*preçodiario[[#This Row],[estoque CV]],0)</f>
        <v>0</v>
      </c>
      <c r="AT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Row],[data]])),((AT29*AU29)+SUMIFS(estoque[valor total],estoque[produto],preçodiario[[#Headers],[OVO VERMELHO EXTRA]],estoque[data],preçodiario[[#This Row],[data]],estoque[fornecedor],"&lt;&gt;saída"))/(AU29+(SUMIFS(estoque[quantidade],estoque[produto],preçodiario[[#Headers],[OVO VERMELHO EXTRA]],estoque[fornecedor],"&lt;&gt;saída",estoque[data],preçodiario[[#This Row],[data]])))))</f>
        <v/>
      </c>
      <c r="AU30" s="22">
        <f>IF(preçodiario[[#This Row],[entrada EV]]=0,AU29-(SUMIFS(estoque[quantidade],estoque[fornecedor],"saída",estoque[produto],preçodiario[[#Headers],[OVO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Row],[data]]))+AU29+preçodiario[[#This Row],[entrada EV]])</f>
        <v>0</v>
      </c>
      <c r="AV30" s="22">
        <f>SUMIFS(estoque[quantidade],estoque[fornecedor],"&lt;&gt;saída",estoque[produto],preçodiario[[#Headers],[OVO VERMELHO EXTRA]],estoque[data],preçodiario[[#This Row],[data]])</f>
        <v>0</v>
      </c>
      <c r="AW30" s="20">
        <f>SUMIFS(estoque[valor total],estoque[fornecedor],"&lt;&gt;saída",estoque[produto],preçodiario[[#Headers],[OVO VERMELHO EXTRA]],estoque[data],preçodiario[[#This Row],[data]])</f>
        <v>0</v>
      </c>
      <c r="AX30" s="20">
        <f>IFERROR(preçodiario[[#This Row],[OVO VERMELHO EXTRA]]*preçodiario[[#This Row],[estoque EV]],0)</f>
        <v>0</v>
      </c>
      <c r="AY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Row],[data]])),((AY29*AZ29)+SUMIFS(estoque[valor total],estoque[produto],preçodiario[[#Headers],[OVO VERMELHO JUMBO]],estoque[data],preçodiario[[#This Row],[data]],estoque[fornecedor],"&lt;&gt;saída"))/(AZ29+(SUMIFS(estoque[quantidade],estoque[produto],preçodiario[[#Headers],[OVO VERMELHO JUMBO]],estoque[fornecedor],"&lt;&gt;saída",estoque[data],preçodiario[[#This Row],[data]])))))</f>
        <v/>
      </c>
      <c r="AZ30" s="22">
        <f>IF(preçodiario[[#This Row],[entrada JV]]=0,AZ29-(SUMIFS(estoque[quantidade],estoque[fornecedor],"saída",estoque[produto],preçodiario[[#Headers],[OVO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Row],[data]]))+AZ29+preçodiario[[#This Row],[entrada JV]])</f>
        <v>0</v>
      </c>
      <c r="BA30" s="22">
        <f>SUMIFS(estoque[quantidade],estoque[fornecedor],"&lt;&gt;saída",estoque[produto],preçodiario[[#Headers],[OVO VERMELHO JUMBO]],estoque[data],preçodiario[[#This Row],[data]])</f>
        <v>0</v>
      </c>
      <c r="BB30" s="20">
        <f>SUMIFS(estoque[valor total],estoque[fornecedor],"&lt;&gt;saída",estoque[produto],preçodiario[[#Headers],[OVO VERMELHO JUMBO]],estoque[data],preçodiario[[#This Row],[data]])</f>
        <v>0</v>
      </c>
      <c r="BC30" s="20">
        <f>IFERROR(preçodiario[[#This Row],[OVO VERMELHO JUMBO]]*preçodiario[[#This Row],[estoque JV]],0)</f>
        <v>0</v>
      </c>
      <c r="BD30" t="str">
        <f>TEXT(vendaAno[[#This Row],[data]],"mmm")</f>
        <v>jan</v>
      </c>
      <c r="BE30" t="str">
        <f>TEXT(vendaAno[[#This Row],[data]],"ddd")</f>
        <v>qui</v>
      </c>
      <c r="BF30" s="82">
        <f>WEEKNUM(vendaAno[[#This Row],[data]],13)</f>
        <v>5</v>
      </c>
      <c r="BG30" s="27">
        <f>preçodiario[[#This Row],[data]]</f>
        <v>46051</v>
      </c>
      <c r="BH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" s="8">
        <f>IF(SUMIFS(estoque[valor total],estoque[fornecedor],"saída",estoque[data],vendaAno[[#This Row],[data]])=0,"",SUMIFS(estoque[valor total],estoque[fornecedor],"saída",estoque[data],vendaAno[[#This Row],[data]]))</f>
        <v>499</v>
      </c>
      <c r="BJ3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Row],[data]]))/12+BJ29,"")</f>
        <v>40.333333333333307</v>
      </c>
      <c r="BK30" s="79">
        <f>IF(SUMIFS(estoque[quantidade],estoque[fornecedor],"saída",estoque[data],vendaAno[[#This Row],[data]])/12=0,"",SUMIFS(estoque[quantidade],estoque[fornecedor],"saída",estoque[data],vendaAno[[#This Row],[data]])/12)</f>
        <v>2</v>
      </c>
      <c r="BL30" s="8">
        <f ca="1">IF(vendaAno[[#This Row],[data]]&lt;=TODAY(),IF(SUMIFS(estoque[lucro],estoque[fornecedor],"saída",estoque[data],vendaAno[[#This Row],[data]])=0,AVERAGE(BL27:BL29),SUMIFS(estoque[lucro],estoque[fornecedor],"saída",estoque[data],vendaAno[[#This Row],[data]])),"")</f>
        <v>152.66999999999999</v>
      </c>
      <c r="BM30" s="10">
        <f ca="1">IFERROR(vendaAno[[#This Row],[lucro]]/vendaAno[[#This Row],[valor de venda]],"")</f>
        <v>0.30595190380761522</v>
      </c>
      <c r="BN3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6929.4639615156702</v>
      </c>
      <c r="BO30" s="8">
        <f ca="1">IF(TODAY()&gt;=vendaAno[[#This Row],[data]],IF(vendaAno[[#This Row],[N°]]=BF29,vendaAno[[#This Row],[lucro]]-173.33+BO29,vendaAno[[#This Row],[lucro]]-150),"")</f>
        <v>23.339999999999975</v>
      </c>
      <c r="BP30" s="81">
        <f ca="1">IF(TODAY()&gt;=vendaAno[[#This Row],[data]],SUM(BK24:BK30)*12,"")</f>
        <v>238</v>
      </c>
      <c r="BQ30" s="7">
        <f ca="1">IFERROR(vendaAno[[#This Row],[lucro]]/(vendaAno[[#This Row],[venda]]*12),"")</f>
        <v>6.3612499999999992</v>
      </c>
      <c r="BT30" s="95">
        <f ca="1">WEEKNUM(PvPcML[[#This Row],[data]],13)</f>
        <v>27</v>
      </c>
      <c r="BU30" s="132">
        <f t="shared" ca="1" si="0"/>
        <v>46205</v>
      </c>
      <c r="BV30" s="7">
        <f ca="1">IFERROR(SUMIFS(vendaAno[valor de venda],vendaAno[data],PvPcML[[#This Row],[data]])/(SUMIFS(vendaAno[venda],vendaAno[data],PvPcML[[#This Row],[data]])*12),"")</f>
        <v>19.711111111111112</v>
      </c>
      <c r="BW30" s="7">
        <f ca="1">IFERROR(SUMIFS(vendaAno[valor de venda],vendaAno[data],PvPcML[[#This Row],[data]])/(SUMIFS(vendaAno[venda],vendaAno[data],PvPcML[[#This Row],[data]])*12)-PvPcML[[#This Row],[lucro médio]],"")</f>
        <v>15.582000000000001</v>
      </c>
      <c r="BX30" s="7">
        <f ca="1">IF(SUMIFS(vendaAno[[lucro médio ]],vendaAno[data],PvPcML[[#This Row],[data]])=0,"",SUMIFS(vendaAno[[lucro médio ]],vendaAno[data],PvPcML[[#This Row],[data]]))</f>
        <v>4.1291111111111114</v>
      </c>
      <c r="BY30" s="90">
        <v>29</v>
      </c>
      <c r="BZ30" s="89">
        <f t="shared" si="1"/>
        <v>46219</v>
      </c>
      <c r="CA30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12.75</v>
      </c>
      <c r="CB30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30" s="7">
        <f ca="1">IFERROR(SUMIFS(vendaAno[lucro],vendaAno[data],"&gt;="&amp;semanal[[#This Row],[semana]],vendaAno[data],"&lt;="&amp;semanal[[#This Row],[semana]]+6)/((semanal[[#This Row],[varejo]]+semanal[[#This Row],[atacado]])*12),"")</f>
        <v>4.4103508771929825</v>
      </c>
      <c r="CD30" s="82">
        <f ca="1">IFERROR(AVERAGEIFS(vendaAno[venda],vendaAno[data],"&gt;="&amp;semanal[[#This Row],[semana]],vendaAno[data],"&lt;="&amp;semanal[[#This Row],[semana]]+6),"")</f>
        <v>2.0357142857142856</v>
      </c>
      <c r="CE30" s="82">
        <f ca="1">IFERROR((150/semanal[[#This Row],[lucro médio por cartela]])/12,"")</f>
        <v>2.8342416166116391</v>
      </c>
    </row>
    <row r="31" spans="1:83" x14ac:dyDescent="0.25">
      <c r="A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1" s="18" t="str">
        <f>TEXT(preçodiario[[#This Row],[data]],"MMM")</f>
        <v>jan</v>
      </c>
      <c r="C31" s="18" t="str">
        <f>TEXT(preçodiario[[#This Row],[data]],"ddd")</f>
        <v>sex</v>
      </c>
      <c r="D31" s="96">
        <f>WEEKNUM(preçodiario[[#This Row],[data]],13)</f>
        <v>5</v>
      </c>
      <c r="E31" s="37">
        <v>46052</v>
      </c>
      <c r="F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Row],[data]])),((F30*G30)+SUMIFS(estoque[valor total],estoque[produto],preçodiario[[#Headers],[OVO BRANCO A]],estoque[data],preçodiario[[#This Row],[data]],estoque[fornecedor],"&lt;&gt;saída"))/(G30+(SUMIFS(estoque[quantidade],estoque[produto],preçodiario[[#Headers],[OVO BRANCO A]],estoque[fornecedor],"&lt;&gt;saída",estoque[data],preçodiario[[#This Row],[data]])))))</f>
        <v>15.349879138719892</v>
      </c>
      <c r="G31" s="22">
        <f>IF(preçodiario[[#This Row],[entrada A]]=0,G30-(SUMIFS(estoque[quantidade],estoque[fornecedor],"saída",estoque[produto],preçodiario[[#Headers],[OVO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Row],[data]]))+G30+preçodiario[[#This Row],[entrada A]])</f>
        <v>69</v>
      </c>
      <c r="H31" s="22">
        <f>SUMIFS(estoque[quantidade],estoque[fornecedor],"&lt;&gt;saída",estoque[produto],preçodiario[[#Headers],[OVO BRANCO A]],estoque[data],preçodiario[[#This Row],[data]])</f>
        <v>0</v>
      </c>
      <c r="I31" s="20">
        <f>SUMIFS(estoque[valor total],estoque[fornecedor],"&lt;&gt;saída",estoque[produto],preçodiario[[#Headers],[OVO BRANCO A]],estoque[data],preçodiario[[#This Row],[data]])</f>
        <v>0</v>
      </c>
      <c r="J31" s="20">
        <f>IFERROR(preçodiario[[#This Row],[estoque A]]*preçodiario[[#This Row],[OVO BRANCO A]],0)</f>
        <v>1059.1416605716724</v>
      </c>
      <c r="K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Row],[data]])),((K30*L30)+SUMIFS(estoque[valor total],estoque[produto],preçodiario[[#Headers],[OVO BRANCO B]],estoque[data],preçodiario[[#This Row],[data]],estoque[fornecedor],"&lt;&gt;saída"))/(L30+(SUMIFS(estoque[quantidade],estoque[produto],preçodiario[[#Headers],[OVO BRANCO B]],estoque[fornecedor],"&lt;&gt;saída",estoque[data],preçodiario[[#This Row],[data]])))))</f>
        <v>13.340738386883482</v>
      </c>
      <c r="L31" s="22">
        <f>IF(preçodiario[[#This Row],[entrada B]]=0,L30-(SUMIFS(estoque[quantidade],estoque[fornecedor],"saída",estoque[produto],preçodiario[[#Headers],[OVO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Row],[data]]))+L30+preçodiario[[#This Row],[entrada B]])</f>
        <v>148</v>
      </c>
      <c r="M31" s="22">
        <f>SUMIFS(estoque[quantidade],estoque[fornecedor],"&lt;&gt;saída",estoque[produto],preçodiario[[#Headers],[OVO BRANCO B]],estoque[data],preçodiario[[#This Row],[data]])</f>
        <v>0</v>
      </c>
      <c r="N31" s="20">
        <f>SUMIFS(estoque[valor total],estoque[fornecedor],"&lt;&gt;saída",estoque[produto],preçodiario[[#Headers],[OVO BRANCO B]],estoque[data],preçodiario[[#This Row],[data]])</f>
        <v>0</v>
      </c>
      <c r="O31" s="20">
        <f>IFERROR(preçodiario[[#This Row],[OVO BRANCO B]]*preçodiario[[#This Row],[estoque B]],0)</f>
        <v>1974.4292812587553</v>
      </c>
      <c r="P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Row],[data]])),((P30*Q30)+SUMIFS(estoque[valor total],estoque[produto],preçodiario[[#Headers],[OVO BRANCO C]],estoque[data],preçodiario[[#This Row],[data]],estoque[fornecedor],"&lt;&gt;saída"))/(Q30+(SUMIFS(estoque[quantidade],estoque[produto],preçodiario[[#Headers],[OVO BRANCO C]],estoque[fornecedor],"&lt;&gt;saída",estoque[data],preçodiario[[#This Row],[data]])))))</f>
        <v>13.874671916010501</v>
      </c>
      <c r="Q31" s="22">
        <f>IF(preçodiario[[#This Row],[entrada C]]=0,Q30-(SUMIFS(estoque[quantidade],estoque[fornecedor],"saída",estoque[produto],preçodiario[[#Headers],[OVO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Row],[data]]))+Q30+preçodiario[[#This Row],[entrada C]])</f>
        <v>33</v>
      </c>
      <c r="R31" s="22">
        <f>SUMIFS(estoque[quantidade],estoque[fornecedor],"&lt;&gt;saída",estoque[produto],preçodiario[[#Headers],[OVO BRANCO C]],estoque[data],preçodiario[[#This Row],[data]])</f>
        <v>0</v>
      </c>
      <c r="S31" s="20">
        <f>SUMIFS(estoque[valor total],estoque[fornecedor],"&lt;&gt;saída",estoque[produto],preçodiario[[#Headers],[OVO BRANCO C]],estoque[data],preçodiario[[#This Row],[data]])</f>
        <v>0</v>
      </c>
      <c r="T31" s="20">
        <f>IFERROR(preçodiario[[#This Row],[OVO BRANCO C]]*preçodiario[[#This Row],[estoque C]],0)</f>
        <v>457.86417322834654</v>
      </c>
      <c r="U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Row],[data]])),((U30*V30)+SUMIFS(estoque[valor total],estoque[produto],preçodiario[[#Headers],[OVO BRANCO EXTRA]],estoque[data],preçodiario[[#This Row],[data]],estoque[fornecedor],"&lt;&gt;saída"))/(V30+(SUMIFS(estoque[quantidade],estoque[produto],preçodiario[[#Headers],[OVO BRANCO EXTRA]],estoque[fornecedor],"&lt;&gt;saída",estoque[data],preçodiario[[#This Row],[data]])))))</f>
        <v>14.417091066264103</v>
      </c>
      <c r="V31" s="22">
        <f>IF(preçodiario[[#This Row],[entrada E]]=0,V30-(SUMIFS(estoque[quantidade],estoque[fornecedor],"saída",estoque[produto],preçodiario[[#Headers],[OVO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Row],[data]]))+V30+preçodiario[[#This Row],[entrada E]])</f>
        <v>110</v>
      </c>
      <c r="W31" s="22">
        <f>SUMIFS(estoque[quantidade],estoque[fornecedor],"&lt;&gt;saída",estoque[produto],preçodiario[[#Headers],[OVO BRANCO EXTRA]],estoque[data],preçodiario[[#This Row],[data]])</f>
        <v>0</v>
      </c>
      <c r="X31" s="20">
        <f>SUMIFS(estoque[valor total],estoque[fornecedor],"&lt;&gt;saída",estoque[produto],preçodiario[[#Headers],[OVO BRANCO EXTRA]],estoque[data],preçodiario[[#This Row],[data]])</f>
        <v>0</v>
      </c>
      <c r="Y31" s="20">
        <f>IFERROR(preçodiario[[#This Row],[estoque E]]*preçodiario[[#This Row],[OVO BRANCO EXTRA]],0)</f>
        <v>1585.8800172890512</v>
      </c>
      <c r="Z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Row],[data]])),((Z30*AA30)+SUMIFS(estoque[valor total],estoque[produto],preçodiario[[#Headers],[OVO BRANCO JUMBO]],estoque[data],preçodiario[[#This Row],[data]],estoque[fornecedor],"&lt;&gt;saída"))/(AA30+(SUMIFS(estoque[quantidade],estoque[produto],preçodiario[[#Headers],[OVO BRANCO JUMBO]],estoque[fornecedor],"&lt;&gt;saída",estoque[data],preçodiario[[#This Row],[data]])))))</f>
        <v>15</v>
      </c>
      <c r="AA31" s="22">
        <f>IF(preçodiario[[#This Row],[entrada J]]=0,AA30-(SUMIFS(estoque[quantidade],estoque[fornecedor],"saída",estoque[produto],preçodiario[[#Headers],[OVO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Row],[data]]))+AA30+preçodiario[[#This Row],[entrada J]])</f>
        <v>108</v>
      </c>
      <c r="AB31" s="22">
        <f>SUMIFS(estoque[quantidade],estoque[fornecedor],"&lt;&gt;saída",estoque[produto],preçodiario[[#Headers],[OVO BRANCO JUMBO]],estoque[data],preçodiario[[#This Row],[data]])</f>
        <v>0</v>
      </c>
      <c r="AC31" s="20">
        <f>SUMIFS(estoque[valor total],estoque[fornecedor],"&lt;&gt;saída",estoque[produto],preçodiario[[#Headers],[OVO BRANCO JUMBO]],estoque[data],preçodiario[[#This Row],[data]])</f>
        <v>0</v>
      </c>
      <c r="AD31" s="20">
        <f>IFERROR(preçodiario[[#This Row],[OVO BRANCO JUMBO]]*preçodiario[[#This Row],[estoque J]],0)</f>
        <v>1620</v>
      </c>
      <c r="AE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Row],[data]])),((AE30*AF30)+SUMIFS(estoque[valor total],estoque[produto],preçodiario[[#Headers],[OVO VERMELHO A]],estoque[data],preçodiario[[#This Row],[data]],estoque[fornecedor],"&lt;&gt;saída"))/(AF30+(SUMIFS(estoque[quantidade],estoque[produto],preçodiario[[#Headers],[OVO VERMELHO A]],estoque[fornecedor],"&lt;&gt;saída",estoque[data],preçodiario[[#This Row],[data]])))))</f>
        <v/>
      </c>
      <c r="AF31" s="22">
        <f>IF(preçodiario[[#This Row],[entrada AV]]=0,AF30-(SUMIFS(estoque[quantidade],estoque[fornecedor],"saída",estoque[produto],preçodiario[[#Headers],[OVO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Row],[data]]))+AF30+preçodiario[[#This Row],[entrada AV]])</f>
        <v>0</v>
      </c>
      <c r="AG31" s="22">
        <f>SUMIFS(estoque[quantidade],estoque[fornecedor],"&lt;&gt;saída",estoque[produto],preçodiario[[#Headers],[OVO VERMELHO A]],estoque[data],preçodiario[[#This Row],[data]])</f>
        <v>0</v>
      </c>
      <c r="AH31" s="20">
        <f>SUMIFS(estoque[valor total],estoque[fornecedor],"&lt;&gt;saída",estoque[produto],preçodiario[[#Headers],[OVO VERMELHO A]],estoque[data],preçodiario[[#This Row],[data]])</f>
        <v>0</v>
      </c>
      <c r="AI31" s="20">
        <f>IFERROR(preçodiario[[#This Row],[OVO VERMELHO A]]*preçodiario[[#This Row],[estoque AV]],0)</f>
        <v>0</v>
      </c>
      <c r="AJ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Row],[data]])),((AJ30*AK30)+SUMIFS(estoque[valor total],estoque[produto],preçodiario[[#Headers],[OVO VERMELHO B]],estoque[data],preçodiario[[#This Row],[data]],estoque[fornecedor],"&lt;&gt;saída"))/(AK30+(SUMIFS(estoque[quantidade],estoque[produto],preçodiario[[#Headers],[OVO VERMELHO B]],estoque[fornecedor],"&lt;&gt;saída",estoque[data],preçodiario[[#This Row],[data]])))))</f>
        <v/>
      </c>
      <c r="AK31" s="22">
        <f>IF(preçodiario[[#This Row],[entrada BV]]=0,AK30-(SUMIFS(estoque[quantidade],estoque[fornecedor],"saída",estoque[produto],preçodiario[[#Headers],[OVO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Row],[data]]))+AK30+preçodiario[[#This Row],[entrada BV]])</f>
        <v>0</v>
      </c>
      <c r="AL31" s="22">
        <f>SUMIFS(estoque[quantidade],estoque[fornecedor],"&lt;&gt;saída",estoque[produto],preçodiario[[#Headers],[OVO VERMELHO B]],estoque[data],preçodiario[[#This Row],[data]])</f>
        <v>0</v>
      </c>
      <c r="AM31" s="20">
        <f>SUMIFS(estoque[valor total],estoque[fornecedor],"&lt;&gt;saída",estoque[produto],preçodiario[[#Headers],[OVO VERMELHO B]],estoque[data],preçodiario[[#This Row],[data]])</f>
        <v>0</v>
      </c>
      <c r="AN31" s="20">
        <f>IFERROR(preçodiario[[#This Row],[OVO VERMELHO B]]*preçodiario[[#This Row],[estoque BV]],0)</f>
        <v>0</v>
      </c>
      <c r="AO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Row],[data]])),((AO30*AP30)+SUMIFS(estoque[valor total],estoque[produto],preçodiario[[#Headers],[OVO VERMELHO C]],estoque[data],preçodiario[[#This Row],[data]],estoque[fornecedor],"&lt;&gt;saída"))/(AP30+(SUMIFS(estoque[quantidade],estoque[produto],preçodiario[[#Headers],[OVO VERMELHO C]],estoque[fornecedor],"&lt;&gt;saída",estoque[data],preçodiario[[#This Row],[data]])))))</f>
        <v/>
      </c>
      <c r="AP31" s="22">
        <f>IF(preçodiario[[#This Row],[entrada CV]]=0,AP30-(SUMIFS(estoque[quantidade],estoque[fornecedor],"saída",estoque[produto],preçodiario[[#Headers],[OVO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Row],[data]]))+AP30+preçodiario[[#This Row],[entrada CV]])</f>
        <v>0</v>
      </c>
      <c r="AQ31" s="22">
        <f>SUMIFS(estoque[quantidade],estoque[fornecedor],"&lt;&gt;saída",estoque[produto],preçodiario[[#Headers],[OVO VERMELHO C]],estoque[data],preçodiario[[#This Row],[data]])</f>
        <v>0</v>
      </c>
      <c r="AR31" s="20">
        <f>SUMIFS(estoque[valor total],estoque[fornecedor],"&lt;&gt;saída",estoque[produto],preçodiario[[#Headers],[OVO VERMELHO C]],estoque[data],preçodiario[[#This Row],[data]])</f>
        <v>0</v>
      </c>
      <c r="AS31" s="20">
        <f>IFERROR(preçodiario[[#This Row],[OVO VERMELHO C]]*preçodiario[[#This Row],[estoque CV]],0)</f>
        <v>0</v>
      </c>
      <c r="AT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Row],[data]])),((AT30*AU30)+SUMIFS(estoque[valor total],estoque[produto],preçodiario[[#Headers],[OVO VERMELHO EXTRA]],estoque[data],preçodiario[[#This Row],[data]],estoque[fornecedor],"&lt;&gt;saída"))/(AU30+(SUMIFS(estoque[quantidade],estoque[produto],preçodiario[[#Headers],[OVO VERMELHO EXTRA]],estoque[fornecedor],"&lt;&gt;saída",estoque[data],preçodiario[[#This Row],[data]])))))</f>
        <v/>
      </c>
      <c r="AU31" s="22">
        <f>IF(preçodiario[[#This Row],[entrada EV]]=0,AU30-(SUMIFS(estoque[quantidade],estoque[fornecedor],"saída",estoque[produto],preçodiario[[#Headers],[OVO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Row],[data]]))+AU30+preçodiario[[#This Row],[entrada EV]])</f>
        <v>0</v>
      </c>
      <c r="AV31" s="22">
        <f>SUMIFS(estoque[quantidade],estoque[fornecedor],"&lt;&gt;saída",estoque[produto],preçodiario[[#Headers],[OVO VERMELHO EXTRA]],estoque[data],preçodiario[[#This Row],[data]])</f>
        <v>0</v>
      </c>
      <c r="AW31" s="20">
        <f>SUMIFS(estoque[valor total],estoque[fornecedor],"&lt;&gt;saída",estoque[produto],preçodiario[[#Headers],[OVO VERMELHO EXTRA]],estoque[data],preçodiario[[#This Row],[data]])</f>
        <v>0</v>
      </c>
      <c r="AX31" s="20">
        <f>IFERROR(preçodiario[[#This Row],[OVO VERMELHO EXTRA]]*preçodiario[[#This Row],[estoque EV]],0)</f>
        <v>0</v>
      </c>
      <c r="AY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Row],[data]])),((AY30*AZ30)+SUMIFS(estoque[valor total],estoque[produto],preçodiario[[#Headers],[OVO VERMELHO JUMBO]],estoque[data],preçodiario[[#This Row],[data]],estoque[fornecedor],"&lt;&gt;saída"))/(AZ30+(SUMIFS(estoque[quantidade],estoque[produto],preçodiario[[#Headers],[OVO VERMELHO JUMBO]],estoque[fornecedor],"&lt;&gt;saída",estoque[data],preçodiario[[#This Row],[data]])))))</f>
        <v/>
      </c>
      <c r="AZ31" s="22">
        <f>IF(preçodiario[[#This Row],[entrada JV]]=0,AZ30-(SUMIFS(estoque[quantidade],estoque[fornecedor],"saída",estoque[produto],preçodiario[[#Headers],[OVO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Row],[data]]))+AZ30+preçodiario[[#This Row],[entrada JV]])</f>
        <v>0</v>
      </c>
      <c r="BA31" s="22">
        <f>SUMIFS(estoque[quantidade],estoque[fornecedor],"&lt;&gt;saída",estoque[produto],preçodiario[[#Headers],[OVO VERMELHO JUMBO]],estoque[data],preçodiario[[#This Row],[data]])</f>
        <v>0</v>
      </c>
      <c r="BB31" s="20">
        <f>SUMIFS(estoque[valor total],estoque[fornecedor],"&lt;&gt;saída",estoque[produto],preçodiario[[#Headers],[OVO VERMELHO JUMBO]],estoque[data],preçodiario[[#This Row],[data]])</f>
        <v>0</v>
      </c>
      <c r="BC31" s="20">
        <f>IFERROR(preçodiario[[#This Row],[OVO VERMELHO JUMBO]]*preçodiario[[#This Row],[estoque JV]],0)</f>
        <v>0</v>
      </c>
      <c r="BD31" t="str">
        <f>TEXT(vendaAno[[#This Row],[data]],"mmm")</f>
        <v>jan</v>
      </c>
      <c r="BE31" t="str">
        <f>TEXT(vendaAno[[#This Row],[data]],"ddd")</f>
        <v>sex</v>
      </c>
      <c r="BF31" s="82">
        <f>WEEKNUM(vendaAno[[#This Row],[data]],13)</f>
        <v>5</v>
      </c>
      <c r="BG31" s="27">
        <f>preçodiario[[#This Row],[data]]</f>
        <v>46052</v>
      </c>
      <c r="BH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" s="8">
        <f>IF(SUMIFS(estoque[valor total],estoque[fornecedor],"saída",estoque[data],vendaAno[[#This Row],[data]])=0,"",SUMIFS(estoque[valor total],estoque[fornecedor],"saída",estoque[data],vendaAno[[#This Row],[data]]))</f>
        <v>314</v>
      </c>
      <c r="BJ3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Row],[data]]))/12+BJ30,"")</f>
        <v>38.999999999999972</v>
      </c>
      <c r="BK31" s="79">
        <f>IF(SUMIFS(estoque[quantidade],estoque[fornecedor],"saída",estoque[data],vendaAno[[#This Row],[data]])/12=0,"",SUMIFS(estoque[quantidade],estoque[fornecedor],"saída",estoque[data],vendaAno[[#This Row],[data]])/12)</f>
        <v>1.3333333333333333</v>
      </c>
      <c r="BL31" s="8">
        <f ca="1">IF(vendaAno[[#This Row],[data]]&lt;=TODAY(),IF(SUMIFS(estoque[lucro],estoque[fornecedor],"saída",estoque[data],vendaAno[[#This Row],[data]])=0,AVERAGE(BL28:BL30),SUMIFS(estoque[lucro],estoque[fornecedor],"saída",estoque[data],vendaAno[[#This Row],[data]])),"")</f>
        <v>81.86</v>
      </c>
      <c r="BM31" s="10">
        <f ca="1">IFERROR(vendaAno[[#This Row],[lucro]]/vendaAno[[#This Row],[valor de venda]],"")</f>
        <v>0.26070063694267515</v>
      </c>
      <c r="BN3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6697.315132347826</v>
      </c>
      <c r="BO31" s="8">
        <f ca="1">IF(TODAY()&gt;=vendaAno[[#This Row],[data]],IF(vendaAno[[#This Row],[N°]]=BF30,vendaAno[[#This Row],[lucro]]-173.33+BO30,vendaAno[[#This Row],[lucro]]-150),"")</f>
        <v>-68.130000000000038</v>
      </c>
      <c r="BP31" s="81">
        <f ca="1">IF(TODAY()&gt;=vendaAno[[#This Row],[data]],SUM(BK25:BK31)*12,"")</f>
        <v>220.99999999999997</v>
      </c>
      <c r="BQ31" s="7">
        <f ca="1">IFERROR(vendaAno[[#This Row],[lucro]]/(vendaAno[[#This Row],[venda]]*12),"")</f>
        <v>5.11625</v>
      </c>
      <c r="BT31" s="95">
        <f ca="1">WEEKNUM(PvPcML[[#This Row],[data]],13)</f>
        <v>27</v>
      </c>
      <c r="BU31" s="132">
        <f t="shared" ca="1" si="0"/>
        <v>46204</v>
      </c>
      <c r="BV31" s="7">
        <f ca="1">IFERROR(SUMIFS(vendaAno[valor de venda],vendaAno[data],PvPcML[[#This Row],[data]])/(SUMIFS(vendaAno[venda],vendaAno[data],PvPcML[[#This Row],[data]])*12),"")</f>
        <v>19.170731707317074</v>
      </c>
      <c r="BW31" s="7">
        <f ca="1">IFERROR(SUMIFS(vendaAno[valor de venda],vendaAno[data],PvPcML[[#This Row],[data]])/(SUMIFS(vendaAno[venda],vendaAno[data],PvPcML[[#This Row],[data]])*12)-PvPcML[[#This Row],[lucro médio]],"")</f>
        <v>15.421219512195123</v>
      </c>
      <c r="BX31" s="7">
        <f ca="1">IF(SUMIFS(vendaAno[[lucro médio ]],vendaAno[data],PvPcML[[#This Row],[data]])=0,"",SUMIFS(vendaAno[[lucro médio ]],vendaAno[data],PvPcML[[#This Row],[data]]))</f>
        <v>3.7495121951219517</v>
      </c>
      <c r="BY31" s="91">
        <v>30</v>
      </c>
      <c r="BZ31" s="89">
        <f t="shared" si="1"/>
        <v>46226</v>
      </c>
      <c r="CA31" s="74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>13.5</v>
      </c>
      <c r="CB31" s="74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>1.5</v>
      </c>
      <c r="CC31" s="7">
        <f ca="1">IFERROR(SUMIFS(vendaAno[lucro],vendaAno[data],"&gt;="&amp;semanal[[#This Row],[semana]],vendaAno[data],"&lt;="&amp;semanal[[#This Row],[semana]]+6)/((semanal[[#This Row],[varejo]]+semanal[[#This Row],[atacado]])*12),"")</f>
        <v>3.9892222222222218</v>
      </c>
      <c r="CD31" s="82">
        <f ca="1">IFERROR(AVERAGEIFS(vendaAno[venda],vendaAno[data],"&gt;="&amp;semanal[[#This Row],[semana]],vendaAno[data],"&lt;="&amp;semanal[[#This Row],[semana]]+6),"")</f>
        <v>2.1428571428571428</v>
      </c>
      <c r="CE31" s="82">
        <f ca="1">IFERROR((150/semanal[[#This Row],[lucro médio por cartela]])/12,"")</f>
        <v>3.1334428877809657</v>
      </c>
    </row>
    <row r="32" spans="1:83" x14ac:dyDescent="0.25">
      <c r="A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2" s="18" t="str">
        <f>TEXT(preçodiario[[#This Row],[data]],"MMM")</f>
        <v>jan</v>
      </c>
      <c r="C32" s="18" t="str">
        <f>TEXT(preçodiario[[#This Row],[data]],"ddd")</f>
        <v>sáb</v>
      </c>
      <c r="D32" s="96">
        <f>WEEKNUM(preçodiario[[#This Row],[data]],13)</f>
        <v>5</v>
      </c>
      <c r="E32" s="37">
        <v>46053</v>
      </c>
      <c r="F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Row],[data]])),((F31*G31)+SUMIFS(estoque[valor total],estoque[produto],preçodiario[[#Headers],[OVO BRANCO A]],estoque[data],preçodiario[[#This Row],[data]],estoque[fornecedor],"&lt;&gt;saída"))/(G31+(SUMIFS(estoque[quantidade],estoque[produto],preçodiario[[#Headers],[OVO BRANCO A]],estoque[fornecedor],"&lt;&gt;saída",estoque[data],preçodiario[[#This Row],[data]])))))</f>
        <v>15.34987913871989</v>
      </c>
      <c r="G32" s="22">
        <f>IF(preçodiario[[#This Row],[entrada A]]=0,G31-(SUMIFS(estoque[quantidade],estoque[fornecedor],"saída",estoque[produto],preçodiario[[#Headers],[OVO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Row],[data]]))+G31+preçodiario[[#This Row],[entrada A]])</f>
        <v>66</v>
      </c>
      <c r="H32" s="22">
        <f>SUMIFS(estoque[quantidade],estoque[fornecedor],"&lt;&gt;saída",estoque[produto],preçodiario[[#Headers],[OVO BRANCO A]],estoque[data],preçodiario[[#This Row],[data]])</f>
        <v>0</v>
      </c>
      <c r="I32" s="20">
        <f>SUMIFS(estoque[valor total],estoque[fornecedor],"&lt;&gt;saída",estoque[produto],preçodiario[[#Headers],[OVO BRANCO A]],estoque[data],preçodiario[[#This Row],[data]])</f>
        <v>0</v>
      </c>
      <c r="J32" s="20">
        <f>IFERROR(preçodiario[[#This Row],[estoque A]]*preçodiario[[#This Row],[OVO BRANCO A]],0)</f>
        <v>1013.0920231555127</v>
      </c>
      <c r="K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Row],[data]])),((K31*L31)+SUMIFS(estoque[valor total],estoque[produto],preçodiario[[#Headers],[OVO BRANCO B]],estoque[data],preçodiario[[#This Row],[data]],estoque[fornecedor],"&lt;&gt;saída"))/(L31+(SUMIFS(estoque[quantidade],estoque[produto],preçodiario[[#Headers],[OVO BRANCO B]],estoque[fornecedor],"&lt;&gt;saída",estoque[data],preçodiario[[#This Row],[data]])))))</f>
        <v>13.340738386883482</v>
      </c>
      <c r="L32" s="22">
        <f>IF(preçodiario[[#This Row],[entrada B]]=0,L31-(SUMIFS(estoque[quantidade],estoque[fornecedor],"saída",estoque[produto],preçodiario[[#Headers],[OVO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Row],[data]]))+L31+preçodiario[[#This Row],[entrada B]])</f>
        <v>135</v>
      </c>
      <c r="M32" s="22">
        <f>SUMIFS(estoque[quantidade],estoque[fornecedor],"&lt;&gt;saída",estoque[produto],preçodiario[[#Headers],[OVO BRANCO B]],estoque[data],preçodiario[[#This Row],[data]])</f>
        <v>0</v>
      </c>
      <c r="N32" s="20">
        <f>SUMIFS(estoque[valor total],estoque[fornecedor],"&lt;&gt;saída",estoque[produto],preçodiario[[#Headers],[OVO BRANCO B]],estoque[data],preçodiario[[#This Row],[data]])</f>
        <v>0</v>
      </c>
      <c r="O32" s="20">
        <f>IFERROR(preçodiario[[#This Row],[OVO BRANCO B]]*preçodiario[[#This Row],[estoque B]],0)</f>
        <v>1800.9996822292701</v>
      </c>
      <c r="P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Row],[data]])),((P31*Q31)+SUMIFS(estoque[valor total],estoque[produto],preçodiario[[#Headers],[OVO BRANCO C]],estoque[data],preçodiario[[#This Row],[data]],estoque[fornecedor],"&lt;&gt;saída"))/(Q31+(SUMIFS(estoque[quantidade],estoque[produto],preçodiario[[#Headers],[OVO BRANCO C]],estoque[fornecedor],"&lt;&gt;saída",estoque[data],preçodiario[[#This Row],[data]])))))</f>
        <v>13.874671916010501</v>
      </c>
      <c r="Q32" s="22">
        <f>IF(preçodiario[[#This Row],[entrada C]]=0,Q31-(SUMIFS(estoque[quantidade],estoque[fornecedor],"saída",estoque[produto],preçodiario[[#Headers],[OVO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Row],[data]]))+Q31+preçodiario[[#This Row],[entrada C]])</f>
        <v>31</v>
      </c>
      <c r="R32" s="22">
        <f>SUMIFS(estoque[quantidade],estoque[fornecedor],"&lt;&gt;saída",estoque[produto],preçodiario[[#Headers],[OVO BRANCO C]],estoque[data],preçodiario[[#This Row],[data]])</f>
        <v>0</v>
      </c>
      <c r="S32" s="20">
        <f>SUMIFS(estoque[valor total],estoque[fornecedor],"&lt;&gt;saída",estoque[produto],preçodiario[[#Headers],[OVO BRANCO C]],estoque[data],preçodiario[[#This Row],[data]])</f>
        <v>0</v>
      </c>
      <c r="T32" s="20">
        <f>IFERROR(preçodiario[[#This Row],[OVO BRANCO C]]*preçodiario[[#This Row],[estoque C]],0)</f>
        <v>430.11482939632549</v>
      </c>
      <c r="U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Row],[data]])),((U31*V31)+SUMIFS(estoque[valor total],estoque[produto],preçodiario[[#Headers],[OVO BRANCO EXTRA]],estoque[data],preçodiario[[#This Row],[data]],estoque[fornecedor],"&lt;&gt;saída"))/(V31+(SUMIFS(estoque[quantidade],estoque[produto],preçodiario[[#Headers],[OVO BRANCO EXTRA]],estoque[fornecedor],"&lt;&gt;saída",estoque[data],preçodiario[[#This Row],[data]])))))</f>
        <v>14.417091066264103</v>
      </c>
      <c r="V32" s="22">
        <f>IF(preçodiario[[#This Row],[entrada E]]=0,V31-(SUMIFS(estoque[quantidade],estoque[fornecedor],"saída",estoque[produto],preçodiario[[#Headers],[OVO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Row],[data]]))+V31+preçodiario[[#This Row],[entrada E]])</f>
        <v>106</v>
      </c>
      <c r="W32" s="22">
        <f>SUMIFS(estoque[quantidade],estoque[fornecedor],"&lt;&gt;saída",estoque[produto],preçodiario[[#Headers],[OVO BRANCO EXTRA]],estoque[data],preçodiario[[#This Row],[data]])</f>
        <v>0</v>
      </c>
      <c r="X32" s="20">
        <f>SUMIFS(estoque[valor total],estoque[fornecedor],"&lt;&gt;saída",estoque[produto],preçodiario[[#Headers],[OVO BRANCO EXTRA]],estoque[data],preçodiario[[#This Row],[data]])</f>
        <v>0</v>
      </c>
      <c r="Y32" s="20">
        <f>IFERROR(preçodiario[[#This Row],[estoque E]]*preçodiario[[#This Row],[OVO BRANCO EXTRA]],0)</f>
        <v>1528.2116530239948</v>
      </c>
      <c r="Z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Row],[data]])),((Z31*AA31)+SUMIFS(estoque[valor total],estoque[produto],preçodiario[[#Headers],[OVO BRANCO JUMBO]],estoque[data],preçodiario[[#This Row],[data]],estoque[fornecedor],"&lt;&gt;saída"))/(AA31+(SUMIFS(estoque[quantidade],estoque[produto],preçodiario[[#Headers],[OVO BRANCO JUMBO]],estoque[fornecedor],"&lt;&gt;saída",estoque[data],preçodiario[[#This Row],[data]])))))</f>
        <v>15</v>
      </c>
      <c r="AA32" s="22">
        <f>IF(preçodiario[[#This Row],[entrada J]]=0,AA31-(SUMIFS(estoque[quantidade],estoque[fornecedor],"saída",estoque[produto],preçodiario[[#Headers],[OVO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Row],[data]]))+AA31+preçodiario[[#This Row],[entrada J]])</f>
        <v>104</v>
      </c>
      <c r="AB32" s="22">
        <f>SUMIFS(estoque[quantidade],estoque[fornecedor],"&lt;&gt;saída",estoque[produto],preçodiario[[#Headers],[OVO BRANCO JUMBO]],estoque[data],preçodiario[[#This Row],[data]])</f>
        <v>0</v>
      </c>
      <c r="AC32" s="20">
        <f>SUMIFS(estoque[valor total],estoque[fornecedor],"&lt;&gt;saída",estoque[produto],preçodiario[[#Headers],[OVO BRANCO JUMBO]],estoque[data],preçodiario[[#This Row],[data]])</f>
        <v>0</v>
      </c>
      <c r="AD32" s="20">
        <f>IFERROR(preçodiario[[#This Row],[OVO BRANCO JUMBO]]*preçodiario[[#This Row],[estoque J]],0)</f>
        <v>1560</v>
      </c>
      <c r="AE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Row],[data]])),((AE31*AF31)+SUMIFS(estoque[valor total],estoque[produto],preçodiario[[#Headers],[OVO VERMELHO A]],estoque[data],preçodiario[[#This Row],[data]],estoque[fornecedor],"&lt;&gt;saída"))/(AF31+(SUMIFS(estoque[quantidade],estoque[produto],preçodiario[[#Headers],[OVO VERMELHO A]],estoque[fornecedor],"&lt;&gt;saída",estoque[data],preçodiario[[#This Row],[data]])))))</f>
        <v/>
      </c>
      <c r="AF32" s="22">
        <f>IF(preçodiario[[#This Row],[entrada AV]]=0,AF31-(SUMIFS(estoque[quantidade],estoque[fornecedor],"saída",estoque[produto],preçodiario[[#Headers],[OVO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Row],[data]]))+AF31+preçodiario[[#This Row],[entrada AV]])</f>
        <v>0</v>
      </c>
      <c r="AG32" s="22">
        <f>SUMIFS(estoque[quantidade],estoque[fornecedor],"&lt;&gt;saída",estoque[produto],preçodiario[[#Headers],[OVO VERMELHO A]],estoque[data],preçodiario[[#This Row],[data]])</f>
        <v>0</v>
      </c>
      <c r="AH32" s="20">
        <f>SUMIFS(estoque[valor total],estoque[fornecedor],"&lt;&gt;saída",estoque[produto],preçodiario[[#Headers],[OVO VERMELHO A]],estoque[data],preçodiario[[#This Row],[data]])</f>
        <v>0</v>
      </c>
      <c r="AI32" s="20">
        <f>IFERROR(preçodiario[[#This Row],[OVO VERMELHO A]]*preçodiario[[#This Row],[estoque AV]],0)</f>
        <v>0</v>
      </c>
      <c r="AJ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Row],[data]])),((AJ31*AK31)+SUMIFS(estoque[valor total],estoque[produto],preçodiario[[#Headers],[OVO VERMELHO B]],estoque[data],preçodiario[[#This Row],[data]],estoque[fornecedor],"&lt;&gt;saída"))/(AK31+(SUMIFS(estoque[quantidade],estoque[produto],preçodiario[[#Headers],[OVO VERMELHO B]],estoque[fornecedor],"&lt;&gt;saída",estoque[data],preçodiario[[#This Row],[data]])))))</f>
        <v/>
      </c>
      <c r="AK32" s="22">
        <f>IF(preçodiario[[#This Row],[entrada BV]]=0,AK31-(SUMIFS(estoque[quantidade],estoque[fornecedor],"saída",estoque[produto],preçodiario[[#Headers],[OVO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Row],[data]]))+AK31+preçodiario[[#This Row],[entrada BV]])</f>
        <v>0</v>
      </c>
      <c r="AL32" s="22">
        <f>SUMIFS(estoque[quantidade],estoque[fornecedor],"&lt;&gt;saída",estoque[produto],preçodiario[[#Headers],[OVO VERMELHO B]],estoque[data],preçodiario[[#This Row],[data]])</f>
        <v>0</v>
      </c>
      <c r="AM32" s="20">
        <f>SUMIFS(estoque[valor total],estoque[fornecedor],"&lt;&gt;saída",estoque[produto],preçodiario[[#Headers],[OVO VERMELHO B]],estoque[data],preçodiario[[#This Row],[data]])</f>
        <v>0</v>
      </c>
      <c r="AN32" s="20">
        <f>IFERROR(preçodiario[[#This Row],[OVO VERMELHO B]]*preçodiario[[#This Row],[estoque BV]],0)</f>
        <v>0</v>
      </c>
      <c r="AO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Row],[data]])),((AO31*AP31)+SUMIFS(estoque[valor total],estoque[produto],preçodiario[[#Headers],[OVO VERMELHO C]],estoque[data],preçodiario[[#This Row],[data]],estoque[fornecedor],"&lt;&gt;saída"))/(AP31+(SUMIFS(estoque[quantidade],estoque[produto],preçodiario[[#Headers],[OVO VERMELHO C]],estoque[fornecedor],"&lt;&gt;saída",estoque[data],preçodiario[[#This Row],[data]])))))</f>
        <v/>
      </c>
      <c r="AP32" s="22">
        <f>IF(preçodiario[[#This Row],[entrada CV]]=0,AP31-(SUMIFS(estoque[quantidade],estoque[fornecedor],"saída",estoque[produto],preçodiario[[#Headers],[OVO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Row],[data]]))+AP31+preçodiario[[#This Row],[entrada CV]])</f>
        <v>0</v>
      </c>
      <c r="AQ32" s="22">
        <f>SUMIFS(estoque[quantidade],estoque[fornecedor],"&lt;&gt;saída",estoque[produto],preçodiario[[#Headers],[OVO VERMELHO C]],estoque[data],preçodiario[[#This Row],[data]])</f>
        <v>0</v>
      </c>
      <c r="AR32" s="20">
        <f>SUMIFS(estoque[valor total],estoque[fornecedor],"&lt;&gt;saída",estoque[produto],preçodiario[[#Headers],[OVO VERMELHO C]],estoque[data],preçodiario[[#This Row],[data]])</f>
        <v>0</v>
      </c>
      <c r="AS32" s="20">
        <f>IFERROR(preçodiario[[#This Row],[OVO VERMELHO C]]*preçodiario[[#This Row],[estoque CV]],0)</f>
        <v>0</v>
      </c>
      <c r="AT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Row],[data]])),((AT31*AU31)+SUMIFS(estoque[valor total],estoque[produto],preçodiario[[#Headers],[OVO VERMELHO EXTRA]],estoque[data],preçodiario[[#This Row],[data]],estoque[fornecedor],"&lt;&gt;saída"))/(AU31+(SUMIFS(estoque[quantidade],estoque[produto],preçodiario[[#Headers],[OVO VERMELHO EXTRA]],estoque[fornecedor],"&lt;&gt;saída",estoque[data],preçodiario[[#This Row],[data]])))))</f>
        <v/>
      </c>
      <c r="AU32" s="22">
        <f>IF(preçodiario[[#This Row],[entrada EV]]=0,AU31-(SUMIFS(estoque[quantidade],estoque[fornecedor],"saída",estoque[produto],preçodiario[[#Headers],[OVO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Row],[data]]))+AU31+preçodiario[[#This Row],[entrada EV]])</f>
        <v>0</v>
      </c>
      <c r="AV32" s="22">
        <f>SUMIFS(estoque[quantidade],estoque[fornecedor],"&lt;&gt;saída",estoque[produto],preçodiario[[#Headers],[OVO VERMELHO EXTRA]],estoque[data],preçodiario[[#This Row],[data]])</f>
        <v>0</v>
      </c>
      <c r="AW32" s="20">
        <f>SUMIFS(estoque[valor total],estoque[fornecedor],"&lt;&gt;saída",estoque[produto],preçodiario[[#Headers],[OVO VERMELHO EXTRA]],estoque[data],preçodiario[[#This Row],[data]])</f>
        <v>0</v>
      </c>
      <c r="AX32" s="20">
        <f>IFERROR(preçodiario[[#This Row],[OVO VERMELHO EXTRA]]*preçodiario[[#This Row],[estoque EV]],0)</f>
        <v>0</v>
      </c>
      <c r="AY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Row],[data]])),((AY31*AZ31)+SUMIFS(estoque[valor total],estoque[produto],preçodiario[[#Headers],[OVO VERMELHO JUMBO]],estoque[data],preçodiario[[#This Row],[data]],estoque[fornecedor],"&lt;&gt;saída"))/(AZ31+(SUMIFS(estoque[quantidade],estoque[produto],preçodiario[[#Headers],[OVO VERMELHO JUMBO]],estoque[fornecedor],"&lt;&gt;saída",estoque[data],preçodiario[[#This Row],[data]])))))</f>
        <v/>
      </c>
      <c r="AZ32" s="22">
        <f>IF(preçodiario[[#This Row],[entrada JV]]=0,AZ31-(SUMIFS(estoque[quantidade],estoque[fornecedor],"saída",estoque[produto],preçodiario[[#Headers],[OVO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Row],[data]]))+AZ31+preçodiario[[#This Row],[entrada JV]])</f>
        <v>0</v>
      </c>
      <c r="BA32" s="22">
        <f>SUMIFS(estoque[quantidade],estoque[fornecedor],"&lt;&gt;saída",estoque[produto],preçodiario[[#Headers],[OVO VERMELHO JUMBO]],estoque[data],preçodiario[[#This Row],[data]])</f>
        <v>0</v>
      </c>
      <c r="BB32" s="20">
        <f>SUMIFS(estoque[valor total],estoque[fornecedor],"&lt;&gt;saída",estoque[produto],preçodiario[[#Headers],[OVO VERMELHO JUMBO]],estoque[data],preçodiario[[#This Row],[data]])</f>
        <v>0</v>
      </c>
      <c r="BC32" s="20">
        <f>IFERROR(preçodiario[[#This Row],[OVO VERMELHO JUMBO]]*preçodiario[[#This Row],[estoque JV]],0)</f>
        <v>0</v>
      </c>
      <c r="BD32" t="str">
        <f>TEXT(vendaAno[[#This Row],[data]],"mmm")</f>
        <v>jan</v>
      </c>
      <c r="BE32" t="str">
        <f>TEXT(vendaAno[[#This Row],[data]],"ddd")</f>
        <v>sáb</v>
      </c>
      <c r="BF32" s="82">
        <f>WEEKNUM(vendaAno[[#This Row],[data]],13)</f>
        <v>5</v>
      </c>
      <c r="BG32" s="27">
        <f>preçodiario[[#This Row],[data]]</f>
        <v>46053</v>
      </c>
      <c r="BH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" s="8">
        <f>IF(SUMIFS(estoque[valor total],estoque[fornecedor],"saída",estoque[data],vendaAno[[#This Row],[data]])=0,"",SUMIFS(estoque[valor total],estoque[fornecedor],"saída",estoque[data],vendaAno[[#This Row],[data]]))</f>
        <v>464</v>
      </c>
      <c r="BJ3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Row],[data]]))/12+BJ31,"")</f>
        <v>36.833333333333307</v>
      </c>
      <c r="BK32" s="79">
        <f>IF(SUMIFS(estoque[quantidade],estoque[fornecedor],"saída",estoque[data],vendaAno[[#This Row],[data]])/12=0,"",SUMIFS(estoque[quantidade],estoque[fornecedor],"saída",estoque[data],vendaAno[[#This Row],[data]])/12)</f>
        <v>2.1666666666666665</v>
      </c>
      <c r="BL32" s="8">
        <f ca="1">IF(vendaAno[[#This Row],[data]]&lt;=TODAY(),IF(SUMIFS(estoque[lucro],estoque[fornecedor],"saída",estoque[data],vendaAno[[#This Row],[data]])=0,AVERAGE(BL29:BL31),SUMIFS(estoque[lucro],estoque[fornecedor],"saída",estoque[data],vendaAno[[#This Row],[data]])),"")</f>
        <v>99.100000000000009</v>
      </c>
      <c r="BM32" s="10">
        <f ca="1">IFERROR(vendaAno[[#This Row],[lucro]]/vendaAno[[#This Row],[valor de venda]],"")</f>
        <v>0.21357758620689657</v>
      </c>
      <c r="BN3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6332.4181878051031</v>
      </c>
      <c r="BO32" s="8">
        <f ca="1">IF(TODAY()&gt;=vendaAno[[#This Row],[data]],IF(vendaAno[[#This Row],[N°]]=BF31,vendaAno[[#This Row],[lucro]]-173.33+BO31,vendaAno[[#This Row],[lucro]]-150),"")</f>
        <v>-142.36000000000004</v>
      </c>
      <c r="BP32" s="81">
        <f ca="1">IF(TODAY()&gt;=vendaAno[[#This Row],[data]],SUM(BK26:BK32)*12,"")</f>
        <v>223.99999999999997</v>
      </c>
      <c r="BQ32" s="7">
        <f ca="1">IFERROR(vendaAno[[#This Row],[lucro]]/(vendaAno[[#This Row],[venda]]*12),"")</f>
        <v>3.8115384615384618</v>
      </c>
      <c r="BT32" s="95">
        <f ca="1">WEEKNUM(PvPcML[[#This Row],[data]],13)</f>
        <v>26</v>
      </c>
      <c r="BU32" s="132">
        <f t="shared" ca="1" si="0"/>
        <v>46203</v>
      </c>
      <c r="BV32" s="7">
        <f ca="1">IFERROR(SUMIFS(vendaAno[valor de venda],vendaAno[data],PvPcML[[#This Row],[data]])/(SUMIFS(vendaAno[venda],vendaAno[data],PvPcML[[#This Row],[data]])*12),"")</f>
        <v>19.108695652173914</v>
      </c>
      <c r="BW32" s="7">
        <f ca="1">IFERROR(SUMIFS(vendaAno[valor de venda],vendaAno[data],PvPcML[[#This Row],[data]])/(SUMIFS(vendaAno[venda],vendaAno[data],PvPcML[[#This Row],[data]])*12)-PvPcML[[#This Row],[lucro médio]],"")</f>
        <v>15.215217391304348</v>
      </c>
      <c r="BX32" s="7">
        <f ca="1">IF(SUMIFS(vendaAno[[lucro médio ]],vendaAno[data],PvPcML[[#This Row],[data]])=0,"",SUMIFS(vendaAno[[lucro médio ]],vendaAno[data],PvPcML[[#This Row],[data]]))</f>
        <v>3.8934782608695655</v>
      </c>
      <c r="BY32" s="90">
        <v>31</v>
      </c>
      <c r="BZ32" s="89">
        <f t="shared" si="1"/>
        <v>46233</v>
      </c>
      <c r="CA3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2" s="82">
        <f ca="1">IFERROR(AVERAGEIFS(vendaAno[venda],vendaAno[data],"&gt;="&amp;semanal[[#This Row],[semana]],vendaAno[data],"&lt;="&amp;semanal[[#This Row],[semana]]+6),"")</f>
        <v>2.1944444444444446</v>
      </c>
      <c r="CE32" s="82" t="str">
        <f ca="1">IFERROR((150/semanal[[#This Row],[lucro médio por cartela]])/12,"")</f>
        <v/>
      </c>
    </row>
    <row r="33" spans="1:101" x14ac:dyDescent="0.25">
      <c r="A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3" s="18" t="str">
        <f>TEXT(preçodiario[[#This Row],[data]],"MMM")</f>
        <v>fev</v>
      </c>
      <c r="C33" s="18" t="str">
        <f>TEXT(preçodiario[[#This Row],[data]],"ddd")</f>
        <v>dom</v>
      </c>
      <c r="D33" s="96">
        <f>WEEKNUM(preçodiario[[#This Row],[data]],13)</f>
        <v>5</v>
      </c>
      <c r="E33" s="37">
        <v>46054</v>
      </c>
      <c r="F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Row],[data]])),((F32*G32)+SUMIFS(estoque[valor total],estoque[produto],preçodiario[[#Headers],[OVO BRANCO A]],estoque[data],preçodiario[[#This Row],[data]],estoque[fornecedor],"&lt;&gt;saída"))/(G32+(SUMIFS(estoque[quantidade],estoque[produto],preçodiario[[#Headers],[OVO BRANCO A]],estoque[fornecedor],"&lt;&gt;saída",estoque[data],preçodiario[[#This Row],[data]])))))</f>
        <v>15.34987913871989</v>
      </c>
      <c r="G33" s="22">
        <f>IF(preçodiario[[#This Row],[entrada A]]=0,G32-(SUMIFS(estoque[quantidade],estoque[fornecedor],"saída",estoque[produto],preçodiario[[#Headers],[OVO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Row],[data]]))+G32+preçodiario[[#This Row],[entrada A]])</f>
        <v>54</v>
      </c>
      <c r="H33" s="22">
        <f>SUMIFS(estoque[quantidade],estoque[fornecedor],"&lt;&gt;saída",estoque[produto],preçodiario[[#Headers],[OVO BRANCO A]],estoque[data],preçodiario[[#This Row],[data]])</f>
        <v>0</v>
      </c>
      <c r="I33" s="20">
        <f>SUMIFS(estoque[valor total],estoque[fornecedor],"&lt;&gt;saída",estoque[produto],preçodiario[[#Headers],[OVO BRANCO A]],estoque[data],preçodiario[[#This Row],[data]])</f>
        <v>0</v>
      </c>
      <c r="J33" s="20">
        <f>IFERROR(preçodiario[[#This Row],[estoque A]]*preçodiario[[#This Row],[OVO BRANCO A]],0)</f>
        <v>828.89347349087404</v>
      </c>
      <c r="K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Row],[data]])),((K32*L32)+SUMIFS(estoque[valor total],estoque[produto],preçodiario[[#Headers],[OVO BRANCO B]],estoque[data],preçodiario[[#This Row],[data]],estoque[fornecedor],"&lt;&gt;saída"))/(L32+(SUMIFS(estoque[quantidade],estoque[produto],preçodiario[[#Headers],[OVO BRANCO B]],estoque[fornecedor],"&lt;&gt;saída",estoque[data],preçodiario[[#This Row],[data]])))))</f>
        <v>13.340738386883482</v>
      </c>
      <c r="L33" s="22">
        <f>IF(preçodiario[[#This Row],[entrada B]]=0,L32-(SUMIFS(estoque[quantidade],estoque[fornecedor],"saída",estoque[produto],preçodiario[[#Headers],[OVO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Row],[data]]))+L32+preçodiario[[#This Row],[entrada B]])</f>
        <v>135</v>
      </c>
      <c r="M33" s="22">
        <f>SUMIFS(estoque[quantidade],estoque[fornecedor],"&lt;&gt;saída",estoque[produto],preçodiario[[#Headers],[OVO BRANCO B]],estoque[data],preçodiario[[#This Row],[data]])</f>
        <v>0</v>
      </c>
      <c r="N33" s="20">
        <f>SUMIFS(estoque[valor total],estoque[fornecedor],"&lt;&gt;saída",estoque[produto],preçodiario[[#Headers],[OVO BRANCO B]],estoque[data],preçodiario[[#This Row],[data]])</f>
        <v>0</v>
      </c>
      <c r="O33" s="20">
        <f>IFERROR(preçodiario[[#This Row],[OVO BRANCO B]]*preçodiario[[#This Row],[estoque B]],0)</f>
        <v>1800.9996822292701</v>
      </c>
      <c r="P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Row],[data]])),((P32*Q32)+SUMIFS(estoque[valor total],estoque[produto],preçodiario[[#Headers],[OVO BRANCO C]],estoque[data],preçodiario[[#This Row],[data]],estoque[fornecedor],"&lt;&gt;saída"))/(Q32+(SUMIFS(estoque[quantidade],estoque[produto],preçodiario[[#Headers],[OVO BRANCO C]],estoque[fornecedor],"&lt;&gt;saída",estoque[data],preçodiario[[#This Row],[data]])))))</f>
        <v>13.874671916010501</v>
      </c>
      <c r="Q33" s="22">
        <f>IF(preçodiario[[#This Row],[entrada C]]=0,Q32-(SUMIFS(estoque[quantidade],estoque[fornecedor],"saída",estoque[produto],preçodiario[[#Headers],[OVO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Row],[data]]))+Q32+preçodiario[[#This Row],[entrada C]])</f>
        <v>31</v>
      </c>
      <c r="R33" s="22">
        <f>SUMIFS(estoque[quantidade],estoque[fornecedor],"&lt;&gt;saída",estoque[produto],preçodiario[[#Headers],[OVO BRANCO C]],estoque[data],preçodiario[[#This Row],[data]])</f>
        <v>0</v>
      </c>
      <c r="S33" s="20">
        <f>SUMIFS(estoque[valor total],estoque[fornecedor],"&lt;&gt;saída",estoque[produto],preçodiario[[#Headers],[OVO BRANCO C]],estoque[data],preçodiario[[#This Row],[data]])</f>
        <v>0</v>
      </c>
      <c r="T33" s="20">
        <f>IFERROR(preçodiario[[#This Row],[OVO BRANCO C]]*preçodiario[[#This Row],[estoque C]],0)</f>
        <v>430.11482939632549</v>
      </c>
      <c r="U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Row],[data]])),((U32*V32)+SUMIFS(estoque[valor total],estoque[produto],preçodiario[[#Headers],[OVO BRANCO EXTRA]],estoque[data],preçodiario[[#This Row],[data]],estoque[fornecedor],"&lt;&gt;saída"))/(V32+(SUMIFS(estoque[quantidade],estoque[produto],preçodiario[[#Headers],[OVO BRANCO EXTRA]],estoque[fornecedor],"&lt;&gt;saída",estoque[data],preçodiario[[#This Row],[data]])))))</f>
        <v>14.417091066264103</v>
      </c>
      <c r="V33" s="22">
        <f>IF(preçodiario[[#This Row],[entrada E]]=0,V32-(SUMIFS(estoque[quantidade],estoque[fornecedor],"saída",estoque[produto],preçodiario[[#Headers],[OVO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Row],[data]]))+V32+preçodiario[[#This Row],[entrada E]])</f>
        <v>96</v>
      </c>
      <c r="W33" s="22">
        <f>SUMIFS(estoque[quantidade],estoque[fornecedor],"&lt;&gt;saída",estoque[produto],preçodiario[[#Headers],[OVO BRANCO EXTRA]],estoque[data],preçodiario[[#This Row],[data]])</f>
        <v>0</v>
      </c>
      <c r="X33" s="20">
        <f>SUMIFS(estoque[valor total],estoque[fornecedor],"&lt;&gt;saída",estoque[produto],preçodiario[[#Headers],[OVO BRANCO EXTRA]],estoque[data],preçodiario[[#This Row],[data]])</f>
        <v>0</v>
      </c>
      <c r="Y33" s="20">
        <f>IFERROR(preçodiario[[#This Row],[estoque E]]*preçodiario[[#This Row],[OVO BRANCO EXTRA]],0)</f>
        <v>1384.0407423613538</v>
      </c>
      <c r="Z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Row],[data]])),((Z32*AA32)+SUMIFS(estoque[valor total],estoque[produto],preçodiario[[#Headers],[OVO BRANCO JUMBO]],estoque[data],preçodiario[[#This Row],[data]],estoque[fornecedor],"&lt;&gt;saída"))/(AA32+(SUMIFS(estoque[quantidade],estoque[produto],preçodiario[[#Headers],[OVO BRANCO JUMBO]],estoque[fornecedor],"&lt;&gt;saída",estoque[data],preçodiario[[#This Row],[data]])))))</f>
        <v>15</v>
      </c>
      <c r="AA33" s="22">
        <f>IF(preçodiario[[#This Row],[entrada J]]=0,AA32-(SUMIFS(estoque[quantidade],estoque[fornecedor],"saída",estoque[produto],preçodiario[[#Headers],[OVO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Row],[data]]))+AA32+preçodiario[[#This Row],[entrada J]])</f>
        <v>95</v>
      </c>
      <c r="AB33" s="22">
        <f>SUMIFS(estoque[quantidade],estoque[fornecedor],"&lt;&gt;saída",estoque[produto],preçodiario[[#Headers],[OVO BRANCO JUMBO]],estoque[data],preçodiario[[#This Row],[data]])</f>
        <v>0</v>
      </c>
      <c r="AC33" s="20">
        <f>SUMIFS(estoque[valor total],estoque[fornecedor],"&lt;&gt;saída",estoque[produto],preçodiario[[#Headers],[OVO BRANCO JUMBO]],estoque[data],preçodiario[[#This Row],[data]])</f>
        <v>0</v>
      </c>
      <c r="AD33" s="20">
        <f>IFERROR(preçodiario[[#This Row],[OVO BRANCO JUMBO]]*preçodiario[[#This Row],[estoque J]],0)</f>
        <v>1425</v>
      </c>
      <c r="AE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Row],[data]])),((AE32*AF32)+SUMIFS(estoque[valor total],estoque[produto],preçodiario[[#Headers],[OVO VERMELHO A]],estoque[data],preçodiario[[#This Row],[data]],estoque[fornecedor],"&lt;&gt;saída"))/(AF32+(SUMIFS(estoque[quantidade],estoque[produto],preçodiario[[#Headers],[OVO VERMELHO A]],estoque[fornecedor],"&lt;&gt;saída",estoque[data],preçodiario[[#This Row],[data]])))))</f>
        <v/>
      </c>
      <c r="AF33" s="22">
        <f>IF(preçodiario[[#This Row],[entrada AV]]=0,AF32-(SUMIFS(estoque[quantidade],estoque[fornecedor],"saída",estoque[produto],preçodiario[[#Headers],[OVO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Row],[data]]))+AF32+preçodiario[[#This Row],[entrada AV]])</f>
        <v>0</v>
      </c>
      <c r="AG33" s="22">
        <f>SUMIFS(estoque[quantidade],estoque[fornecedor],"&lt;&gt;saída",estoque[produto],preçodiario[[#Headers],[OVO VERMELHO A]],estoque[data],preçodiario[[#This Row],[data]])</f>
        <v>0</v>
      </c>
      <c r="AH33" s="20">
        <f>SUMIFS(estoque[valor total],estoque[fornecedor],"&lt;&gt;saída",estoque[produto],preçodiario[[#Headers],[OVO VERMELHO A]],estoque[data],preçodiario[[#This Row],[data]])</f>
        <v>0</v>
      </c>
      <c r="AI33" s="20">
        <f>IFERROR(preçodiario[[#This Row],[OVO VERMELHO A]]*preçodiario[[#This Row],[estoque AV]],0)</f>
        <v>0</v>
      </c>
      <c r="AJ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Row],[data]])),((AJ32*AK32)+SUMIFS(estoque[valor total],estoque[produto],preçodiario[[#Headers],[OVO VERMELHO B]],estoque[data],preçodiario[[#This Row],[data]],estoque[fornecedor],"&lt;&gt;saída"))/(AK32+(SUMIFS(estoque[quantidade],estoque[produto],preçodiario[[#Headers],[OVO VERMELHO B]],estoque[fornecedor],"&lt;&gt;saída",estoque[data],preçodiario[[#This Row],[data]])))))</f>
        <v/>
      </c>
      <c r="AK33" s="22">
        <f>IF(preçodiario[[#This Row],[entrada BV]]=0,AK32-(SUMIFS(estoque[quantidade],estoque[fornecedor],"saída",estoque[produto],preçodiario[[#Headers],[OVO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Row],[data]]))+AK32+preçodiario[[#This Row],[entrada BV]])</f>
        <v>0</v>
      </c>
      <c r="AL33" s="22">
        <f>SUMIFS(estoque[quantidade],estoque[fornecedor],"&lt;&gt;saída",estoque[produto],preçodiario[[#Headers],[OVO VERMELHO B]],estoque[data],preçodiario[[#This Row],[data]])</f>
        <v>0</v>
      </c>
      <c r="AM33" s="20">
        <f>SUMIFS(estoque[valor total],estoque[fornecedor],"&lt;&gt;saída",estoque[produto],preçodiario[[#Headers],[OVO VERMELHO B]],estoque[data],preçodiario[[#This Row],[data]])</f>
        <v>0</v>
      </c>
      <c r="AN33" s="20">
        <f>IFERROR(preçodiario[[#This Row],[OVO VERMELHO B]]*preçodiario[[#This Row],[estoque BV]],0)</f>
        <v>0</v>
      </c>
      <c r="AO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Row],[data]])),((AO32*AP32)+SUMIFS(estoque[valor total],estoque[produto],preçodiario[[#Headers],[OVO VERMELHO C]],estoque[data],preçodiario[[#This Row],[data]],estoque[fornecedor],"&lt;&gt;saída"))/(AP32+(SUMIFS(estoque[quantidade],estoque[produto],preçodiario[[#Headers],[OVO VERMELHO C]],estoque[fornecedor],"&lt;&gt;saída",estoque[data],preçodiario[[#This Row],[data]])))))</f>
        <v/>
      </c>
      <c r="AP33" s="22">
        <f>IF(preçodiario[[#This Row],[entrada CV]]=0,AP32-(SUMIFS(estoque[quantidade],estoque[fornecedor],"saída",estoque[produto],preçodiario[[#Headers],[OVO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Row],[data]]))+AP32+preçodiario[[#This Row],[entrada CV]])</f>
        <v>0</v>
      </c>
      <c r="AQ33" s="22">
        <f>SUMIFS(estoque[quantidade],estoque[fornecedor],"&lt;&gt;saída",estoque[produto],preçodiario[[#Headers],[OVO VERMELHO C]],estoque[data],preçodiario[[#This Row],[data]])</f>
        <v>0</v>
      </c>
      <c r="AR33" s="20">
        <f>SUMIFS(estoque[valor total],estoque[fornecedor],"&lt;&gt;saída",estoque[produto],preçodiario[[#Headers],[OVO VERMELHO C]],estoque[data],preçodiario[[#This Row],[data]])</f>
        <v>0</v>
      </c>
      <c r="AS33" s="20">
        <f>IFERROR(preçodiario[[#This Row],[OVO VERMELHO C]]*preçodiario[[#This Row],[estoque CV]],0)</f>
        <v>0</v>
      </c>
      <c r="AT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Row],[data]])),((AT32*AU32)+SUMIFS(estoque[valor total],estoque[produto],preçodiario[[#Headers],[OVO VERMELHO EXTRA]],estoque[data],preçodiario[[#This Row],[data]],estoque[fornecedor],"&lt;&gt;saída"))/(AU32+(SUMIFS(estoque[quantidade],estoque[produto],preçodiario[[#Headers],[OVO VERMELHO EXTRA]],estoque[fornecedor],"&lt;&gt;saída",estoque[data],preçodiario[[#This Row],[data]])))))</f>
        <v/>
      </c>
      <c r="AU33" s="22">
        <f>IF(preçodiario[[#This Row],[entrada EV]]=0,AU32-(SUMIFS(estoque[quantidade],estoque[fornecedor],"saída",estoque[produto],preçodiario[[#Headers],[OVO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Row],[data]]))+AU32+preçodiario[[#This Row],[entrada EV]])</f>
        <v>0</v>
      </c>
      <c r="AV33" s="22">
        <f>SUMIFS(estoque[quantidade],estoque[fornecedor],"&lt;&gt;saída",estoque[produto],preçodiario[[#Headers],[OVO VERMELHO EXTRA]],estoque[data],preçodiario[[#This Row],[data]])</f>
        <v>0</v>
      </c>
      <c r="AW33" s="20">
        <f>SUMIFS(estoque[valor total],estoque[fornecedor],"&lt;&gt;saída",estoque[produto],preçodiario[[#Headers],[OVO VERMELHO EXTRA]],estoque[data],preçodiario[[#This Row],[data]])</f>
        <v>0</v>
      </c>
      <c r="AX33" s="20">
        <f>IFERROR(preçodiario[[#This Row],[OVO VERMELHO EXTRA]]*preçodiario[[#This Row],[estoque EV]],0)</f>
        <v>0</v>
      </c>
      <c r="AY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Row],[data]])),((AY32*AZ32)+SUMIFS(estoque[valor total],estoque[produto],preçodiario[[#Headers],[OVO VERMELHO JUMBO]],estoque[data],preçodiario[[#This Row],[data]],estoque[fornecedor],"&lt;&gt;saída"))/(AZ32+(SUMIFS(estoque[quantidade],estoque[produto],preçodiario[[#Headers],[OVO VERMELHO JUMBO]],estoque[fornecedor],"&lt;&gt;saída",estoque[data],preçodiario[[#This Row],[data]])))))</f>
        <v/>
      </c>
      <c r="AZ33" s="22">
        <f>IF(preçodiario[[#This Row],[entrada JV]]=0,AZ32-(SUMIFS(estoque[quantidade],estoque[fornecedor],"saída",estoque[produto],preçodiario[[#Headers],[OVO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Row],[data]]))+AZ32+preçodiario[[#This Row],[entrada JV]])</f>
        <v>0</v>
      </c>
      <c r="BA33" s="22">
        <f>SUMIFS(estoque[quantidade],estoque[fornecedor],"&lt;&gt;saída",estoque[produto],preçodiario[[#Headers],[OVO VERMELHO JUMBO]],estoque[data],preçodiario[[#This Row],[data]])</f>
        <v>0</v>
      </c>
      <c r="BB33" s="20">
        <f>SUMIFS(estoque[valor total],estoque[fornecedor],"&lt;&gt;saída",estoque[produto],preçodiario[[#Headers],[OVO VERMELHO JUMBO]],estoque[data],preçodiario[[#This Row],[data]])</f>
        <v>0</v>
      </c>
      <c r="BC33" s="20">
        <f>IFERROR(preçodiario[[#This Row],[OVO VERMELHO JUMBO]]*preçodiario[[#This Row],[estoque JV]],0)</f>
        <v>0</v>
      </c>
      <c r="BD33" t="str">
        <f>TEXT(vendaAno[[#This Row],[data]],"mmm")</f>
        <v>fev</v>
      </c>
      <c r="BE33" t="str">
        <f>TEXT(vendaAno[[#This Row],[data]],"ddd")</f>
        <v>dom</v>
      </c>
      <c r="BF33" s="82">
        <f>WEEKNUM(vendaAno[[#This Row],[data]],13)</f>
        <v>5</v>
      </c>
      <c r="BG33" s="27">
        <f>preçodiario[[#This Row],[data]]</f>
        <v>46054</v>
      </c>
      <c r="BH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" s="8">
        <f>IF(SUMIFS(estoque[valor total],estoque[fornecedor],"saída",estoque[data],vendaAno[[#This Row],[data]])=0,"",SUMIFS(estoque[valor total],estoque[fornecedor],"saída",estoque[data],vendaAno[[#This Row],[data]]))</f>
        <v>601</v>
      </c>
      <c r="BJ3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Row],[data]]))/12+BJ32,"")</f>
        <v>34.249999999999972</v>
      </c>
      <c r="BK33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33" s="8">
        <f ca="1">IF(vendaAno[[#This Row],[data]]&lt;=TODAY(),IF(SUMIFS(estoque[lucro],estoque[fornecedor],"saída",estoque[data],vendaAno[[#This Row],[data]])=0,AVERAGE(BL30:BL32),SUMIFS(estoque[lucro],estoque[fornecedor],"saída",estoque[data],vendaAno[[#This Row],[data]])),"")</f>
        <v>137.63</v>
      </c>
      <c r="BM33" s="10">
        <f ca="1">IFERROR(vendaAno[[#This Row],[lucro]]/vendaAno[[#This Row],[valor de venda]],"")</f>
        <v>0.22900166389351082</v>
      </c>
      <c r="BN3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5869.0487274778243</v>
      </c>
      <c r="BO33" s="8">
        <f ca="1">IF(TODAY()&gt;=vendaAno[[#This Row],[data]],IF(vendaAno[[#This Row],[N°]]=BF32,vendaAno[[#This Row],[lucro]]-173.33+BO32,vendaAno[[#This Row],[lucro]]-150),"")</f>
        <v>-178.06000000000006</v>
      </c>
      <c r="BP33" s="81">
        <f ca="1">IF(TODAY()&gt;=vendaAno[[#This Row],[data]],SUM(BK27:BK33)*12,"")</f>
        <v>232</v>
      </c>
      <c r="BQ33" s="7">
        <f ca="1">IFERROR(vendaAno[[#This Row],[lucro]]/(vendaAno[[#This Row],[venda]]*12),"")</f>
        <v>4.4396774193548385</v>
      </c>
      <c r="BT33" s="95">
        <f ca="1">WEEKNUM(PvPcML[[#This Row],[data]],13)</f>
        <v>26</v>
      </c>
      <c r="BU33" s="132">
        <f t="shared" ca="1" si="0"/>
        <v>46202</v>
      </c>
      <c r="BV33" s="7">
        <f ca="1">IFERROR(SUMIFS(vendaAno[valor de venda],vendaAno[data],PvPcML[[#This Row],[data]])/(SUMIFS(vendaAno[venda],vendaAno[data],PvPcML[[#This Row],[data]])*12),"")</f>
        <v>19.666666666666668</v>
      </c>
      <c r="BW33" s="8">
        <f ca="1">IFERROR(SUMIFS(vendaAno[valor de venda],vendaAno[data],PvPcML[[#This Row],[data]])/(SUMIFS(vendaAno[venda],vendaAno[data],PvPcML[[#This Row],[data]])*12)-PvPcML[[#This Row],[lucro médio]],"")</f>
        <v>15.630555555555556</v>
      </c>
      <c r="BX33" s="7">
        <f ca="1">IF(SUMIFS(vendaAno[[lucro médio ]],vendaAno[data],PvPcML[[#This Row],[data]])=0,"",SUMIFS(vendaAno[[lucro médio ]],vendaAno[data],PvPcML[[#This Row],[data]]))</f>
        <v>4.0361111111111114</v>
      </c>
      <c r="BY33" s="91">
        <v>32</v>
      </c>
      <c r="BZ33" s="89">
        <f t="shared" si="1"/>
        <v>46240</v>
      </c>
      <c r="CA3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3" s="82" t="str">
        <f ca="1">IFERROR(AVERAGEIFS(vendaAno[venda],vendaAno[data],"&gt;="&amp;semanal[[#This Row],[semana]],vendaAno[data],"&lt;="&amp;semanal[[#This Row],[semana]]+6),"")</f>
        <v/>
      </c>
      <c r="CE33" s="82" t="str">
        <f ca="1">IFERROR((150/semanal[[#This Row],[lucro médio por cartela]])/12,"")</f>
        <v/>
      </c>
    </row>
    <row r="34" spans="1:101" x14ac:dyDescent="0.25">
      <c r="A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</v>
      </c>
      <c r="B34" s="18" t="str">
        <f>TEXT(preçodiario[[#This Row],[data]],"MMM")</f>
        <v>fev</v>
      </c>
      <c r="C34" s="18" t="str">
        <f>TEXT(preçodiario[[#This Row],[data]],"ddd")</f>
        <v>seg</v>
      </c>
      <c r="D34" s="96">
        <f>WEEKNUM(preçodiario[[#This Row],[data]],13)</f>
        <v>5</v>
      </c>
      <c r="E34" s="37">
        <v>46055</v>
      </c>
      <c r="F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Row],[data]])),((F33*G33)+SUMIFS(estoque[valor total],estoque[produto],preçodiario[[#Headers],[OVO BRANCO A]],estoque[data],preçodiario[[#This Row],[data]],estoque[fornecedor],"&lt;&gt;saída"))/(G33+(SUMIFS(estoque[quantidade],estoque[produto],preçodiario[[#Headers],[OVO BRANCO A]],estoque[fornecedor],"&lt;&gt;saída",estoque[data],preçodiario[[#This Row],[data]])))))</f>
        <v>15.34987913871989</v>
      </c>
      <c r="G34" s="22">
        <f>IF(preçodiario[[#This Row],[entrada A]]=0,G33-(SUMIFS(estoque[quantidade],estoque[fornecedor],"saída",estoque[produto],preçodiario[[#Headers],[OVO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Row],[data]]))+G33+preçodiario[[#This Row],[entrada A]])</f>
        <v>50</v>
      </c>
      <c r="H34" s="22">
        <f>SUMIFS(estoque[quantidade],estoque[fornecedor],"&lt;&gt;saída",estoque[produto],preçodiario[[#Headers],[OVO BRANCO A]],estoque[data],preçodiario[[#This Row],[data]])</f>
        <v>0</v>
      </c>
      <c r="I34" s="20">
        <f>SUMIFS(estoque[valor total],estoque[fornecedor],"&lt;&gt;saída",estoque[produto],preçodiario[[#Headers],[OVO BRANCO A]],estoque[data],preçodiario[[#This Row],[data]])</f>
        <v>0</v>
      </c>
      <c r="J34" s="20">
        <f>IFERROR(preçodiario[[#This Row],[estoque A]]*preçodiario[[#This Row],[OVO BRANCO A]],0)</f>
        <v>767.49395693599456</v>
      </c>
      <c r="K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Row],[data]])),((K33*L33)+SUMIFS(estoque[valor total],estoque[produto],preçodiario[[#Headers],[OVO BRANCO B]],estoque[data],preçodiario[[#This Row],[data]],estoque[fornecedor],"&lt;&gt;saída"))/(L33+(SUMIFS(estoque[quantidade],estoque[produto],preçodiario[[#Headers],[OVO BRANCO B]],estoque[fornecedor],"&lt;&gt;saída",estoque[data],preçodiario[[#This Row],[data]])))))</f>
        <v>13.340738386883482</v>
      </c>
      <c r="L34" s="22">
        <f>IF(preçodiario[[#This Row],[entrada B]]=0,L33-(SUMIFS(estoque[quantidade],estoque[fornecedor],"saída",estoque[produto],preçodiario[[#Headers],[OVO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Row],[data]]))+L33+preçodiario[[#This Row],[entrada B]])</f>
        <v>123</v>
      </c>
      <c r="M34" s="22">
        <f>SUMIFS(estoque[quantidade],estoque[fornecedor],"&lt;&gt;saída",estoque[produto],preçodiario[[#Headers],[OVO BRANCO B]],estoque[data],preçodiario[[#This Row],[data]])</f>
        <v>0</v>
      </c>
      <c r="N34" s="20">
        <f>SUMIFS(estoque[valor total],estoque[fornecedor],"&lt;&gt;saída",estoque[produto],preçodiario[[#Headers],[OVO BRANCO B]],estoque[data],preçodiario[[#This Row],[data]])</f>
        <v>0</v>
      </c>
      <c r="O34" s="20">
        <f>IFERROR(preçodiario[[#This Row],[OVO BRANCO B]]*preçodiario[[#This Row],[estoque B]],0)</f>
        <v>1640.9108215866681</v>
      </c>
      <c r="P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Row],[data]])),((P33*Q33)+SUMIFS(estoque[valor total],estoque[produto],preçodiario[[#Headers],[OVO BRANCO C]],estoque[data],preçodiario[[#This Row],[data]],estoque[fornecedor],"&lt;&gt;saída"))/(Q33+(SUMIFS(estoque[quantidade],estoque[produto],preçodiario[[#Headers],[OVO BRANCO C]],estoque[fornecedor],"&lt;&gt;saída",estoque[data],preçodiario[[#This Row],[data]])))))</f>
        <v>13.874671916010501</v>
      </c>
      <c r="Q34" s="22">
        <f>IF(preçodiario[[#This Row],[entrada C]]=0,Q33-(SUMIFS(estoque[quantidade],estoque[fornecedor],"saída",estoque[produto],preçodiario[[#Headers],[OVO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Row],[data]]))+Q33+preçodiario[[#This Row],[entrada C]])</f>
        <v>30</v>
      </c>
      <c r="R34" s="22">
        <f>SUMIFS(estoque[quantidade],estoque[fornecedor],"&lt;&gt;saída",estoque[produto],preçodiario[[#Headers],[OVO BRANCO C]],estoque[data],preçodiario[[#This Row],[data]])</f>
        <v>0</v>
      </c>
      <c r="S34" s="20">
        <f>SUMIFS(estoque[valor total],estoque[fornecedor],"&lt;&gt;saída",estoque[produto],preçodiario[[#Headers],[OVO BRANCO C]],estoque[data],preçodiario[[#This Row],[data]])</f>
        <v>0</v>
      </c>
      <c r="T34" s="20">
        <f>IFERROR(preçodiario[[#This Row],[OVO BRANCO C]]*preçodiario[[#This Row],[estoque C]],0)</f>
        <v>416.24015748031502</v>
      </c>
      <c r="U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Row],[data]])),((U33*V33)+SUMIFS(estoque[valor total],estoque[produto],preçodiario[[#Headers],[OVO BRANCO EXTRA]],estoque[data],preçodiario[[#This Row],[data]],estoque[fornecedor],"&lt;&gt;saída"))/(V33+(SUMIFS(estoque[quantidade],estoque[produto],preçodiario[[#Headers],[OVO BRANCO EXTRA]],estoque[fornecedor],"&lt;&gt;saída",estoque[data],preçodiario[[#This Row],[data]])))))</f>
        <v>14.417091066264101</v>
      </c>
      <c r="V34" s="22">
        <f>IF(preçodiario[[#This Row],[entrada E]]=0,V33-(SUMIFS(estoque[quantidade],estoque[fornecedor],"saída",estoque[produto],preçodiario[[#Headers],[OVO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Row],[data]]))+V33+preçodiario[[#This Row],[entrada E]])</f>
        <v>82</v>
      </c>
      <c r="W34" s="22">
        <f>SUMIFS(estoque[quantidade],estoque[fornecedor],"&lt;&gt;saída",estoque[produto],preçodiario[[#Headers],[OVO BRANCO EXTRA]],estoque[data],preçodiario[[#This Row],[data]])</f>
        <v>0</v>
      </c>
      <c r="X34" s="20">
        <f>SUMIFS(estoque[valor total],estoque[fornecedor],"&lt;&gt;saída",estoque[produto],preçodiario[[#Headers],[OVO BRANCO EXTRA]],estoque[data],preçodiario[[#This Row],[data]])</f>
        <v>0</v>
      </c>
      <c r="Y34" s="20">
        <f>IFERROR(preçodiario[[#This Row],[estoque E]]*preçodiario[[#This Row],[OVO BRANCO EXTRA]],0)</f>
        <v>1182.2014674336563</v>
      </c>
      <c r="Z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Row],[data]])),((Z33*AA33)+SUMIFS(estoque[valor total],estoque[produto],preçodiario[[#Headers],[OVO BRANCO JUMBO]],estoque[data],preçodiario[[#This Row],[data]],estoque[fornecedor],"&lt;&gt;saída"))/(AA33+(SUMIFS(estoque[quantidade],estoque[produto],preçodiario[[#Headers],[OVO BRANCO JUMBO]],estoque[fornecedor],"&lt;&gt;saída",estoque[data],preçodiario[[#This Row],[data]])))))</f>
        <v>15</v>
      </c>
      <c r="AA34" s="22">
        <f>IF(preçodiario[[#This Row],[entrada J]]=0,AA33-(SUMIFS(estoque[quantidade],estoque[fornecedor],"saída",estoque[produto],preçodiario[[#Headers],[OVO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Row],[data]]))+AA33+preçodiario[[#This Row],[entrada J]])</f>
        <v>91</v>
      </c>
      <c r="AB34" s="22">
        <f>SUMIFS(estoque[quantidade],estoque[fornecedor],"&lt;&gt;saída",estoque[produto],preçodiario[[#Headers],[OVO BRANCO JUMBO]],estoque[data],preçodiario[[#This Row],[data]])</f>
        <v>0</v>
      </c>
      <c r="AC34" s="20">
        <f>SUMIFS(estoque[valor total],estoque[fornecedor],"&lt;&gt;saída",estoque[produto],preçodiario[[#Headers],[OVO BRANCO JUMBO]],estoque[data],preçodiario[[#This Row],[data]])</f>
        <v>0</v>
      </c>
      <c r="AD34" s="20">
        <f>IFERROR(preçodiario[[#This Row],[OVO BRANCO JUMBO]]*preçodiario[[#This Row],[estoque J]],0)</f>
        <v>1365</v>
      </c>
      <c r="AE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Row],[data]])),((AE33*AF33)+SUMIFS(estoque[valor total],estoque[produto],preçodiario[[#Headers],[OVO VERMELHO A]],estoque[data],preçodiario[[#This Row],[data]],estoque[fornecedor],"&lt;&gt;saída"))/(AF33+(SUMIFS(estoque[quantidade],estoque[produto],preçodiario[[#Headers],[OVO VERMELHO A]],estoque[fornecedor],"&lt;&gt;saída",estoque[data],preçodiario[[#This Row],[data]])))))</f>
        <v/>
      </c>
      <c r="AF34" s="22">
        <f>IF(preçodiario[[#This Row],[entrada AV]]=0,AF33-(SUMIFS(estoque[quantidade],estoque[fornecedor],"saída",estoque[produto],preçodiario[[#Headers],[OVO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Row],[data]]))+AF33+preçodiario[[#This Row],[entrada AV]])</f>
        <v>0</v>
      </c>
      <c r="AG34" s="22">
        <f>SUMIFS(estoque[quantidade],estoque[fornecedor],"&lt;&gt;saída",estoque[produto],preçodiario[[#Headers],[OVO VERMELHO A]],estoque[data],preçodiario[[#This Row],[data]])</f>
        <v>0</v>
      </c>
      <c r="AH34" s="20">
        <f>SUMIFS(estoque[valor total],estoque[fornecedor],"&lt;&gt;saída",estoque[produto],preçodiario[[#Headers],[OVO VERMELHO A]],estoque[data],preçodiario[[#This Row],[data]])</f>
        <v>0</v>
      </c>
      <c r="AI34" s="20">
        <f>IFERROR(preçodiario[[#This Row],[OVO VERMELHO A]]*preçodiario[[#This Row],[estoque AV]],0)</f>
        <v>0</v>
      </c>
      <c r="AJ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Row],[data]])),((AJ33*AK33)+SUMIFS(estoque[valor total],estoque[produto],preçodiario[[#Headers],[OVO VERMELHO B]],estoque[data],preçodiario[[#This Row],[data]],estoque[fornecedor],"&lt;&gt;saída"))/(AK33+(SUMIFS(estoque[quantidade],estoque[produto],preçodiario[[#Headers],[OVO VERMELHO B]],estoque[fornecedor],"&lt;&gt;saída",estoque[data],preçodiario[[#This Row],[data]])))))</f>
        <v/>
      </c>
      <c r="AK34" s="22">
        <f>IF(preçodiario[[#This Row],[entrada BV]]=0,AK33-(SUMIFS(estoque[quantidade],estoque[fornecedor],"saída",estoque[produto],preçodiario[[#Headers],[OVO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Row],[data]]))+AK33+preçodiario[[#This Row],[entrada BV]])</f>
        <v>0</v>
      </c>
      <c r="AL34" s="22">
        <f>SUMIFS(estoque[quantidade],estoque[fornecedor],"&lt;&gt;saída",estoque[produto],preçodiario[[#Headers],[OVO VERMELHO B]],estoque[data],preçodiario[[#This Row],[data]])</f>
        <v>0</v>
      </c>
      <c r="AM34" s="20">
        <f>SUMIFS(estoque[valor total],estoque[fornecedor],"&lt;&gt;saída",estoque[produto],preçodiario[[#Headers],[OVO VERMELHO B]],estoque[data],preçodiario[[#This Row],[data]])</f>
        <v>0</v>
      </c>
      <c r="AN34" s="20">
        <f>IFERROR(preçodiario[[#This Row],[OVO VERMELHO B]]*preçodiario[[#This Row],[estoque BV]],0)</f>
        <v>0</v>
      </c>
      <c r="AO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Row],[data]])),((AO33*AP33)+SUMIFS(estoque[valor total],estoque[produto],preçodiario[[#Headers],[OVO VERMELHO C]],estoque[data],preçodiario[[#This Row],[data]],estoque[fornecedor],"&lt;&gt;saída"))/(AP33+(SUMIFS(estoque[quantidade],estoque[produto],preçodiario[[#Headers],[OVO VERMELHO C]],estoque[fornecedor],"&lt;&gt;saída",estoque[data],preçodiario[[#This Row],[data]])))))</f>
        <v/>
      </c>
      <c r="AP34" s="22">
        <f>IF(preçodiario[[#This Row],[entrada CV]]=0,AP33-(SUMIFS(estoque[quantidade],estoque[fornecedor],"saída",estoque[produto],preçodiario[[#Headers],[OVO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Row],[data]]))+AP33+preçodiario[[#This Row],[entrada CV]])</f>
        <v>0</v>
      </c>
      <c r="AQ34" s="22">
        <f>SUMIFS(estoque[quantidade],estoque[fornecedor],"&lt;&gt;saída",estoque[produto],preçodiario[[#Headers],[OVO VERMELHO C]],estoque[data],preçodiario[[#This Row],[data]])</f>
        <v>0</v>
      </c>
      <c r="AR34" s="20">
        <f>SUMIFS(estoque[valor total],estoque[fornecedor],"&lt;&gt;saída",estoque[produto],preçodiario[[#Headers],[OVO VERMELHO C]],estoque[data],preçodiario[[#This Row],[data]])</f>
        <v>0</v>
      </c>
      <c r="AS34" s="20">
        <f>IFERROR(preçodiario[[#This Row],[OVO VERMELHO C]]*preçodiario[[#This Row],[estoque CV]],0)</f>
        <v>0</v>
      </c>
      <c r="AT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Row],[data]])),((AT33*AU33)+SUMIFS(estoque[valor total],estoque[produto],preçodiario[[#Headers],[OVO VERMELHO EXTRA]],estoque[data],preçodiario[[#This Row],[data]],estoque[fornecedor],"&lt;&gt;saída"))/(AU33+(SUMIFS(estoque[quantidade],estoque[produto],preçodiario[[#Headers],[OVO VERMELHO EXTRA]],estoque[fornecedor],"&lt;&gt;saída",estoque[data],preçodiario[[#This Row],[data]])))))</f>
        <v/>
      </c>
      <c r="AU34" s="22">
        <f>IF(preçodiario[[#This Row],[entrada EV]]=0,AU33-(SUMIFS(estoque[quantidade],estoque[fornecedor],"saída",estoque[produto],preçodiario[[#Headers],[OVO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Row],[data]]))+AU33+preçodiario[[#This Row],[entrada EV]])</f>
        <v>0</v>
      </c>
      <c r="AV34" s="22">
        <f>SUMIFS(estoque[quantidade],estoque[fornecedor],"&lt;&gt;saída",estoque[produto],preçodiario[[#Headers],[OVO VERMELHO EXTRA]],estoque[data],preçodiario[[#This Row],[data]])</f>
        <v>0</v>
      </c>
      <c r="AW34" s="20">
        <f>SUMIFS(estoque[valor total],estoque[fornecedor],"&lt;&gt;saída",estoque[produto],preçodiario[[#Headers],[OVO VERMELHO EXTRA]],estoque[data],preçodiario[[#This Row],[data]])</f>
        <v>0</v>
      </c>
      <c r="AX34" s="20">
        <f>IFERROR(preçodiario[[#This Row],[OVO VERMELHO EXTRA]]*preçodiario[[#This Row],[estoque EV]],0)</f>
        <v>0</v>
      </c>
      <c r="AY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Row],[data]])),((AY33*AZ33)+SUMIFS(estoque[valor total],estoque[produto],preçodiario[[#Headers],[OVO VERMELHO JUMBO]],estoque[data],preçodiario[[#This Row],[data]],estoque[fornecedor],"&lt;&gt;saída"))/(AZ33+(SUMIFS(estoque[quantidade],estoque[produto],preçodiario[[#Headers],[OVO VERMELHO JUMBO]],estoque[fornecedor],"&lt;&gt;saída",estoque[data],preçodiario[[#This Row],[data]])))))</f>
        <v/>
      </c>
      <c r="AZ34" s="22">
        <f>IF(preçodiario[[#This Row],[entrada JV]]=0,AZ33-(SUMIFS(estoque[quantidade],estoque[fornecedor],"saída",estoque[produto],preçodiario[[#Headers],[OVO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Row],[data]]))+AZ33+preçodiario[[#This Row],[entrada JV]])</f>
        <v>0</v>
      </c>
      <c r="BA34" s="22">
        <f>SUMIFS(estoque[quantidade],estoque[fornecedor],"&lt;&gt;saída",estoque[produto],preçodiario[[#Headers],[OVO VERMELHO JUMBO]],estoque[data],preçodiario[[#This Row],[data]])</f>
        <v>0</v>
      </c>
      <c r="BB34" s="20">
        <f>SUMIFS(estoque[valor total],estoque[fornecedor],"&lt;&gt;saída",estoque[produto],preçodiario[[#Headers],[OVO VERMELHO JUMBO]],estoque[data],preçodiario[[#This Row],[data]])</f>
        <v>0</v>
      </c>
      <c r="BC34" s="20">
        <f>IFERROR(preçodiario[[#This Row],[OVO VERMELHO JUMBO]]*preçodiario[[#This Row],[estoque JV]],0)</f>
        <v>0</v>
      </c>
      <c r="BD34" t="str">
        <f>TEXT(vendaAno[[#This Row],[data]],"mmm")</f>
        <v>fev</v>
      </c>
      <c r="BE34" t="str">
        <f>TEXT(vendaAno[[#This Row],[data]],"ddd")</f>
        <v>seg</v>
      </c>
      <c r="BF34" s="82">
        <f>WEEKNUM(vendaAno[[#This Row],[data]],13)</f>
        <v>5</v>
      </c>
      <c r="BG34" s="27">
        <f>preçodiario[[#This Row],[data]]</f>
        <v>46055</v>
      </c>
      <c r="BH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" s="8">
        <f>IF(SUMIFS(estoque[valor total],estoque[fornecedor],"saída",estoque[data],vendaAno[[#This Row],[data]])=0,"",SUMIFS(estoque[valor total],estoque[fornecedor],"saída",estoque[data],vendaAno[[#This Row],[data]]))</f>
        <v>672.5</v>
      </c>
      <c r="BJ3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Row],[data]]))/12+BJ33,"")</f>
        <v>31.333333333333304</v>
      </c>
      <c r="BK34" s="79">
        <f>IF(SUMIFS(estoque[quantidade],estoque[fornecedor],"saída",estoque[data],vendaAno[[#This Row],[data]])/12=0,"",SUMIFS(estoque[quantidade],estoque[fornecedor],"saída",estoque[data],vendaAno[[#This Row],[data]])/12)</f>
        <v>2.9166666666666665</v>
      </c>
      <c r="BL34" s="8">
        <f ca="1">IF(vendaAno[[#This Row],[data]]&lt;=TODAY(),IF(SUMIFS(estoque[lucro],estoque[fornecedor],"saída",estoque[data],vendaAno[[#This Row],[data]])=0,AVERAGE(BL31:BL33),SUMIFS(estoque[lucro],estoque[fornecedor],"saída",estoque[data],vendaAno[[#This Row],[data]])),"")</f>
        <v>175.29999999999998</v>
      </c>
      <c r="BM34" s="10">
        <f ca="1">IFERROR(vendaAno[[#This Row],[lucro]]/vendaAno[[#This Row],[valor de venda]],"")</f>
        <v>0.26066914498141264</v>
      </c>
      <c r="BN3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5371.8464034366343</v>
      </c>
      <c r="BO34" s="8">
        <f ca="1">IF(TODAY()&gt;=vendaAno[[#This Row],[data]],IF(vendaAno[[#This Row],[N°]]=BF33,vendaAno[[#This Row],[lucro]]-173.33+BO33,vendaAno[[#This Row],[lucro]]-150),"")</f>
        <v>-176.09000000000009</v>
      </c>
      <c r="BP34" s="81">
        <f ca="1">IF(TODAY()&gt;=vendaAno[[#This Row],[data]],SUM(BK28:BK34)*12,"")</f>
        <v>232</v>
      </c>
      <c r="BQ34" s="7">
        <f ca="1">IFERROR(vendaAno[[#This Row],[lucro]]/(vendaAno[[#This Row],[venda]]*12),"")</f>
        <v>5.008571428571428</v>
      </c>
      <c r="BT34" s="95">
        <f ca="1">WEEKNUM(PvPcML[[#This Row],[data]],13)</f>
        <v>26</v>
      </c>
      <c r="BU34" s="132">
        <f t="shared" ca="1" si="0"/>
        <v>46201</v>
      </c>
      <c r="BV34" s="7">
        <f ca="1">IFERROR(SUMIFS(vendaAno[valor de venda],vendaAno[data],PvPcML[[#This Row],[data]])/(SUMIFS(vendaAno[venda],vendaAno[data],PvPcML[[#This Row],[data]])*12),"")</f>
        <v>20.2</v>
      </c>
      <c r="BW34" s="8">
        <f ca="1">IFERROR(SUMIFS(vendaAno[valor de venda],vendaAno[data],PvPcML[[#This Row],[data]])/(SUMIFS(vendaAno[venda],vendaAno[data],PvPcML[[#This Row],[data]])*12)-PvPcML[[#This Row],[lucro médio]],"")</f>
        <v>15.6724</v>
      </c>
      <c r="BX34" s="7">
        <f ca="1">IF(SUMIFS(vendaAno[[lucro médio ]],vendaAno[data],PvPcML[[#This Row],[data]])=0,"",SUMIFS(vendaAno[[lucro médio ]],vendaAno[data],PvPcML[[#This Row],[data]]))</f>
        <v>4.5275999999999996</v>
      </c>
      <c r="BY34" s="90">
        <v>33</v>
      </c>
      <c r="BZ34" s="89">
        <f t="shared" si="1"/>
        <v>46247</v>
      </c>
      <c r="CA3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4" s="82" t="str">
        <f ca="1">IFERROR(AVERAGEIFS(vendaAno[venda],vendaAno[data],"&gt;="&amp;semanal[[#This Row],[semana]],vendaAno[data],"&lt;="&amp;semanal[[#This Row],[semana]]+6),"")</f>
        <v/>
      </c>
      <c r="CE34" s="82" t="str">
        <f ca="1">IFERROR((150/semanal[[#This Row],[lucro médio por cartela]])/12,"")</f>
        <v/>
      </c>
    </row>
    <row r="35" spans="1:101" x14ac:dyDescent="0.25">
      <c r="A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5" s="18" t="str">
        <f>TEXT(preçodiario[[#This Row],[data]],"MMM")</f>
        <v>fev</v>
      </c>
      <c r="C35" s="18" t="str">
        <f>TEXT(preçodiario[[#This Row],[data]],"ddd")</f>
        <v>ter</v>
      </c>
      <c r="D35" s="96">
        <f>WEEKNUM(preçodiario[[#This Row],[data]],13)</f>
        <v>5</v>
      </c>
      <c r="E35" s="37">
        <v>46056</v>
      </c>
      <c r="F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Row],[data]])),((F34*G34)+SUMIFS(estoque[valor total],estoque[produto],preçodiario[[#Headers],[OVO BRANCO A]],estoque[data],preçodiario[[#This Row],[data]],estoque[fornecedor],"&lt;&gt;saída"))/(G34+(SUMIFS(estoque[quantidade],estoque[produto],preçodiario[[#Headers],[OVO BRANCO A]],estoque[fornecedor],"&lt;&gt;saída",estoque[data],preçodiario[[#This Row],[data]])))))</f>
        <v>15.349879138719892</v>
      </c>
      <c r="G35" s="22">
        <f>IF(preçodiario[[#This Row],[entrada A]]=0,G34-(SUMIFS(estoque[quantidade],estoque[fornecedor],"saída",estoque[produto],preçodiario[[#Headers],[OVO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Row],[data]]))+G34+preçodiario[[#This Row],[entrada A]])</f>
        <v>42</v>
      </c>
      <c r="H35" s="22">
        <f>SUMIFS(estoque[quantidade],estoque[fornecedor],"&lt;&gt;saída",estoque[produto],preçodiario[[#Headers],[OVO BRANCO A]],estoque[data],preçodiario[[#This Row],[data]])</f>
        <v>0</v>
      </c>
      <c r="I35" s="20">
        <f>SUMIFS(estoque[valor total],estoque[fornecedor],"&lt;&gt;saída",estoque[produto],preçodiario[[#Headers],[OVO BRANCO A]],estoque[data],preçodiario[[#This Row],[data]])</f>
        <v>0</v>
      </c>
      <c r="J35" s="20">
        <f>IFERROR(preçodiario[[#This Row],[estoque A]]*preçodiario[[#This Row],[OVO BRANCO A]],0)</f>
        <v>644.69492382623548</v>
      </c>
      <c r="K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Row],[data]])),((K34*L34)+SUMIFS(estoque[valor total],estoque[produto],preçodiario[[#Headers],[OVO BRANCO B]],estoque[data],preçodiario[[#This Row],[data]],estoque[fornecedor],"&lt;&gt;saída"))/(L34+(SUMIFS(estoque[quantidade],estoque[produto],preçodiario[[#Headers],[OVO BRANCO B]],estoque[fornecedor],"&lt;&gt;saída",estoque[data],preçodiario[[#This Row],[data]])))))</f>
        <v>13.34073838688348</v>
      </c>
      <c r="L35" s="22">
        <f>IF(preçodiario[[#This Row],[entrada B]]=0,L34-(SUMIFS(estoque[quantidade],estoque[fornecedor],"saída",estoque[produto],preçodiario[[#Headers],[OVO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Row],[data]]))+L34+preçodiario[[#This Row],[entrada B]])</f>
        <v>107</v>
      </c>
      <c r="M35" s="22">
        <f>SUMIFS(estoque[quantidade],estoque[fornecedor],"&lt;&gt;saída",estoque[produto],preçodiario[[#Headers],[OVO BRANCO B]],estoque[data],preçodiario[[#This Row],[data]])</f>
        <v>0</v>
      </c>
      <c r="N35" s="20">
        <f>SUMIFS(estoque[valor total],estoque[fornecedor],"&lt;&gt;saída",estoque[produto],preçodiario[[#Headers],[OVO BRANCO B]],estoque[data],preçodiario[[#This Row],[data]])</f>
        <v>0</v>
      </c>
      <c r="O35" s="20">
        <f>IFERROR(preçodiario[[#This Row],[OVO BRANCO B]]*preçodiario[[#This Row],[estoque B]],0)</f>
        <v>1427.4590073965323</v>
      </c>
      <c r="P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Row],[data]])),((P34*Q34)+SUMIFS(estoque[valor total],estoque[produto],preçodiario[[#Headers],[OVO BRANCO C]],estoque[data],preçodiario[[#This Row],[data]],estoque[fornecedor],"&lt;&gt;saída"))/(Q34+(SUMIFS(estoque[quantidade],estoque[produto],preçodiario[[#Headers],[OVO BRANCO C]],estoque[fornecedor],"&lt;&gt;saída",estoque[data],preçodiario[[#This Row],[data]])))))</f>
        <v>13.874671916010501</v>
      </c>
      <c r="Q35" s="22">
        <f>IF(preçodiario[[#This Row],[entrada C]]=0,Q34-(SUMIFS(estoque[quantidade],estoque[fornecedor],"saída",estoque[produto],preçodiario[[#Headers],[OVO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Row],[data]]))+Q34+preçodiario[[#This Row],[entrada C]])</f>
        <v>29</v>
      </c>
      <c r="R35" s="22">
        <f>SUMIFS(estoque[quantidade],estoque[fornecedor],"&lt;&gt;saída",estoque[produto],preçodiario[[#Headers],[OVO BRANCO C]],estoque[data],preçodiario[[#This Row],[data]])</f>
        <v>0</v>
      </c>
      <c r="S35" s="20">
        <f>SUMIFS(estoque[valor total],estoque[fornecedor],"&lt;&gt;saída",estoque[produto],preçodiario[[#Headers],[OVO BRANCO C]],estoque[data],preçodiario[[#This Row],[data]])</f>
        <v>0</v>
      </c>
      <c r="T35" s="20">
        <f>IFERROR(preçodiario[[#This Row],[OVO BRANCO C]]*preçodiario[[#This Row],[estoque C]],0)</f>
        <v>402.36548556430449</v>
      </c>
      <c r="U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Row],[data]])),((U34*V34)+SUMIFS(estoque[valor total],estoque[produto],preçodiario[[#Headers],[OVO BRANCO EXTRA]],estoque[data],preçodiario[[#This Row],[data]],estoque[fornecedor],"&lt;&gt;saída"))/(V34+(SUMIFS(estoque[quantidade],estoque[produto],preçodiario[[#Headers],[OVO BRANCO EXTRA]],estoque[fornecedor],"&lt;&gt;saída",estoque[data],preçodiario[[#This Row],[data]])))))</f>
        <v>14.417091066264101</v>
      </c>
      <c r="V35" s="22">
        <f>IF(preçodiario[[#This Row],[entrada E]]=0,V34-(SUMIFS(estoque[quantidade],estoque[fornecedor],"saída",estoque[produto],preçodiario[[#Headers],[OVO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Row],[data]]))+V34+preçodiario[[#This Row],[entrada E]])</f>
        <v>77</v>
      </c>
      <c r="W35" s="22">
        <f>SUMIFS(estoque[quantidade],estoque[fornecedor],"&lt;&gt;saída",estoque[produto],preçodiario[[#Headers],[OVO BRANCO EXTRA]],estoque[data],preçodiario[[#This Row],[data]])</f>
        <v>0</v>
      </c>
      <c r="X35" s="20">
        <f>SUMIFS(estoque[valor total],estoque[fornecedor],"&lt;&gt;saída",estoque[produto],preçodiario[[#Headers],[OVO BRANCO EXTRA]],estoque[data],preçodiario[[#This Row],[data]])</f>
        <v>0</v>
      </c>
      <c r="Y35" s="20">
        <f>IFERROR(preçodiario[[#This Row],[estoque E]]*preçodiario[[#This Row],[OVO BRANCO EXTRA]],0)</f>
        <v>1110.1160121023358</v>
      </c>
      <c r="Z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Row],[data]])),((Z34*AA34)+SUMIFS(estoque[valor total],estoque[produto],preçodiario[[#Headers],[OVO BRANCO JUMBO]],estoque[data],preçodiario[[#This Row],[data]],estoque[fornecedor],"&lt;&gt;saída"))/(AA34+(SUMIFS(estoque[quantidade],estoque[produto],preçodiario[[#Headers],[OVO BRANCO JUMBO]],estoque[fornecedor],"&lt;&gt;saída",estoque[data],preçodiario[[#This Row],[data]])))))</f>
        <v>15</v>
      </c>
      <c r="AA35" s="22">
        <f>IF(preçodiario[[#This Row],[entrada J]]=0,AA34-(SUMIFS(estoque[quantidade],estoque[fornecedor],"saída",estoque[produto],preçodiario[[#Headers],[OVO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Row],[data]]))+AA34+preçodiario[[#This Row],[entrada J]])</f>
        <v>80</v>
      </c>
      <c r="AB35" s="22">
        <f>SUMIFS(estoque[quantidade],estoque[fornecedor],"&lt;&gt;saída",estoque[produto],preçodiario[[#Headers],[OVO BRANCO JUMBO]],estoque[data],preçodiario[[#This Row],[data]])</f>
        <v>0</v>
      </c>
      <c r="AC35" s="20">
        <f>SUMIFS(estoque[valor total],estoque[fornecedor],"&lt;&gt;saída",estoque[produto],preçodiario[[#Headers],[OVO BRANCO JUMBO]],estoque[data],preçodiario[[#This Row],[data]])</f>
        <v>0</v>
      </c>
      <c r="AD35" s="20">
        <f>IFERROR(preçodiario[[#This Row],[OVO BRANCO JUMBO]]*preçodiario[[#This Row],[estoque J]],0)</f>
        <v>1200</v>
      </c>
      <c r="AE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Row],[data]])),((AE34*AF34)+SUMIFS(estoque[valor total],estoque[produto],preçodiario[[#Headers],[OVO VERMELHO A]],estoque[data],preçodiario[[#This Row],[data]],estoque[fornecedor],"&lt;&gt;saída"))/(AF34+(SUMIFS(estoque[quantidade],estoque[produto],preçodiario[[#Headers],[OVO VERMELHO A]],estoque[fornecedor],"&lt;&gt;saída",estoque[data],preçodiario[[#This Row],[data]])))))</f>
        <v/>
      </c>
      <c r="AF35" s="22">
        <f>IF(preçodiario[[#This Row],[entrada AV]]=0,AF34-(SUMIFS(estoque[quantidade],estoque[fornecedor],"saída",estoque[produto],preçodiario[[#Headers],[OVO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Row],[data]]))+AF34+preçodiario[[#This Row],[entrada AV]])</f>
        <v>0</v>
      </c>
      <c r="AG35" s="22">
        <f>SUMIFS(estoque[quantidade],estoque[fornecedor],"&lt;&gt;saída",estoque[produto],preçodiario[[#Headers],[OVO VERMELHO A]],estoque[data],preçodiario[[#This Row],[data]])</f>
        <v>0</v>
      </c>
      <c r="AH35" s="20">
        <f>SUMIFS(estoque[valor total],estoque[fornecedor],"&lt;&gt;saída",estoque[produto],preçodiario[[#Headers],[OVO VERMELHO A]],estoque[data],preçodiario[[#This Row],[data]])</f>
        <v>0</v>
      </c>
      <c r="AI35" s="20">
        <f>IFERROR(preçodiario[[#This Row],[OVO VERMELHO A]]*preçodiario[[#This Row],[estoque AV]],0)</f>
        <v>0</v>
      </c>
      <c r="AJ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Row],[data]])),((AJ34*AK34)+SUMIFS(estoque[valor total],estoque[produto],preçodiario[[#Headers],[OVO VERMELHO B]],estoque[data],preçodiario[[#This Row],[data]],estoque[fornecedor],"&lt;&gt;saída"))/(AK34+(SUMIFS(estoque[quantidade],estoque[produto],preçodiario[[#Headers],[OVO VERMELHO B]],estoque[fornecedor],"&lt;&gt;saída",estoque[data],preçodiario[[#This Row],[data]])))))</f>
        <v/>
      </c>
      <c r="AK35" s="22">
        <f>IF(preçodiario[[#This Row],[entrada BV]]=0,AK34-(SUMIFS(estoque[quantidade],estoque[fornecedor],"saída",estoque[produto],preçodiario[[#Headers],[OVO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Row],[data]]))+AK34+preçodiario[[#This Row],[entrada BV]])</f>
        <v>0</v>
      </c>
      <c r="AL35" s="22">
        <f>SUMIFS(estoque[quantidade],estoque[fornecedor],"&lt;&gt;saída",estoque[produto],preçodiario[[#Headers],[OVO VERMELHO B]],estoque[data],preçodiario[[#This Row],[data]])</f>
        <v>0</v>
      </c>
      <c r="AM35" s="20">
        <f>SUMIFS(estoque[valor total],estoque[fornecedor],"&lt;&gt;saída",estoque[produto],preçodiario[[#Headers],[OVO VERMELHO B]],estoque[data],preçodiario[[#This Row],[data]])</f>
        <v>0</v>
      </c>
      <c r="AN35" s="20">
        <f>IFERROR(preçodiario[[#This Row],[OVO VERMELHO B]]*preçodiario[[#This Row],[estoque BV]],0)</f>
        <v>0</v>
      </c>
      <c r="AO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Row],[data]])),((AO34*AP34)+SUMIFS(estoque[valor total],estoque[produto],preçodiario[[#Headers],[OVO VERMELHO C]],estoque[data],preçodiario[[#This Row],[data]],estoque[fornecedor],"&lt;&gt;saída"))/(AP34+(SUMIFS(estoque[quantidade],estoque[produto],preçodiario[[#Headers],[OVO VERMELHO C]],estoque[fornecedor],"&lt;&gt;saída",estoque[data],preçodiario[[#This Row],[data]])))))</f>
        <v/>
      </c>
      <c r="AP35" s="22">
        <f>IF(preçodiario[[#This Row],[entrada CV]]=0,AP34-(SUMIFS(estoque[quantidade],estoque[fornecedor],"saída",estoque[produto],preçodiario[[#Headers],[OVO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Row],[data]]))+AP34+preçodiario[[#This Row],[entrada CV]])</f>
        <v>0</v>
      </c>
      <c r="AQ35" s="22">
        <f>SUMIFS(estoque[quantidade],estoque[fornecedor],"&lt;&gt;saída",estoque[produto],preçodiario[[#Headers],[OVO VERMELHO C]],estoque[data],preçodiario[[#This Row],[data]])</f>
        <v>0</v>
      </c>
      <c r="AR35" s="20">
        <f>SUMIFS(estoque[valor total],estoque[fornecedor],"&lt;&gt;saída",estoque[produto],preçodiario[[#Headers],[OVO VERMELHO C]],estoque[data],preçodiario[[#This Row],[data]])</f>
        <v>0</v>
      </c>
      <c r="AS35" s="20">
        <f>IFERROR(preçodiario[[#This Row],[OVO VERMELHO C]]*preçodiario[[#This Row],[estoque CV]],0)</f>
        <v>0</v>
      </c>
      <c r="AT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Row],[data]])),((AT34*AU34)+SUMIFS(estoque[valor total],estoque[produto],preçodiario[[#Headers],[OVO VERMELHO EXTRA]],estoque[data],preçodiario[[#This Row],[data]],estoque[fornecedor],"&lt;&gt;saída"))/(AU34+(SUMIFS(estoque[quantidade],estoque[produto],preçodiario[[#Headers],[OVO VERMELHO EXTRA]],estoque[fornecedor],"&lt;&gt;saída",estoque[data],preçodiario[[#This Row],[data]])))))</f>
        <v/>
      </c>
      <c r="AU35" s="22">
        <f>IF(preçodiario[[#This Row],[entrada EV]]=0,AU34-(SUMIFS(estoque[quantidade],estoque[fornecedor],"saída",estoque[produto],preçodiario[[#Headers],[OVO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Row],[data]]))+AU34+preçodiario[[#This Row],[entrada EV]])</f>
        <v>0</v>
      </c>
      <c r="AV35" s="22">
        <f>SUMIFS(estoque[quantidade],estoque[fornecedor],"&lt;&gt;saída",estoque[produto],preçodiario[[#Headers],[OVO VERMELHO EXTRA]],estoque[data],preçodiario[[#This Row],[data]])</f>
        <v>0</v>
      </c>
      <c r="AW35" s="20">
        <f>SUMIFS(estoque[valor total],estoque[fornecedor],"&lt;&gt;saída",estoque[produto],preçodiario[[#Headers],[OVO VERMELHO EXTRA]],estoque[data],preçodiario[[#This Row],[data]])</f>
        <v>0</v>
      </c>
      <c r="AX35" s="20">
        <f>IFERROR(preçodiario[[#This Row],[OVO VERMELHO EXTRA]]*preçodiario[[#This Row],[estoque EV]],0)</f>
        <v>0</v>
      </c>
      <c r="AY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Row],[data]])),((AY34*AZ34)+SUMIFS(estoque[valor total],estoque[produto],preçodiario[[#Headers],[OVO VERMELHO JUMBO]],estoque[data],preçodiario[[#This Row],[data]],estoque[fornecedor],"&lt;&gt;saída"))/(AZ34+(SUMIFS(estoque[quantidade],estoque[produto],preçodiario[[#Headers],[OVO VERMELHO JUMBO]],estoque[fornecedor],"&lt;&gt;saída",estoque[data],preçodiario[[#This Row],[data]])))))</f>
        <v/>
      </c>
      <c r="AZ35" s="22">
        <f>IF(preçodiario[[#This Row],[entrada JV]]=0,AZ34-(SUMIFS(estoque[quantidade],estoque[fornecedor],"saída",estoque[produto],preçodiario[[#Headers],[OVO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Row],[data]]))+AZ34+preçodiario[[#This Row],[entrada JV]])</f>
        <v>0</v>
      </c>
      <c r="BA35" s="22">
        <f>SUMIFS(estoque[quantidade],estoque[fornecedor],"&lt;&gt;saída",estoque[produto],preçodiario[[#Headers],[OVO VERMELHO JUMBO]],estoque[data],preçodiario[[#This Row],[data]])</f>
        <v>0</v>
      </c>
      <c r="BB35" s="20">
        <f>SUMIFS(estoque[valor total],estoque[fornecedor],"&lt;&gt;saída",estoque[produto],preçodiario[[#Headers],[OVO VERMELHO JUMBO]],estoque[data],preçodiario[[#This Row],[data]])</f>
        <v>0</v>
      </c>
      <c r="BC35" s="20">
        <f>IFERROR(preçodiario[[#This Row],[OVO VERMELHO JUMBO]]*preçodiario[[#This Row],[estoque JV]],0)</f>
        <v>0</v>
      </c>
      <c r="BD35" t="str">
        <f>TEXT(vendaAno[[#This Row],[data]],"mmm")</f>
        <v>fev</v>
      </c>
      <c r="BE35" t="str">
        <f>TEXT(vendaAno[[#This Row],[data]],"ddd")</f>
        <v>ter</v>
      </c>
      <c r="BF35" s="82">
        <f>WEEKNUM(vendaAno[[#This Row],[data]],13)</f>
        <v>5</v>
      </c>
      <c r="BG35" s="27">
        <f>preçodiario[[#This Row],[data]]</f>
        <v>46056</v>
      </c>
      <c r="BH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" s="8">
        <f>IF(SUMIFS(estoque[valor total],estoque[fornecedor],"saída",estoque[data],vendaAno[[#This Row],[data]])=0,"",SUMIFS(estoque[valor total],estoque[fornecedor],"saída",estoque[data],vendaAno[[#This Row],[data]]))</f>
        <v>764.5</v>
      </c>
      <c r="BJ3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Row],[data]]))/12+BJ34,"")</f>
        <v>27.916666666666636</v>
      </c>
      <c r="BK35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35" s="8">
        <f ca="1">IF(vendaAno[[#This Row],[data]]&lt;=TODAY(),IF(SUMIFS(estoque[lucro],estoque[fornecedor],"saída",estoque[data],vendaAno[[#This Row],[data]])=0,AVERAGE(BL32:BL34),SUMIFS(estoque[lucro],estoque[fornecedor],"saída",estoque[data],vendaAno[[#This Row],[data]])),"")</f>
        <v>177.28999999999996</v>
      </c>
      <c r="BM35" s="10">
        <f ca="1">IFERROR(vendaAno[[#This Row],[lucro]]/vendaAno[[#This Row],[valor de venda]],"")</f>
        <v>0.23190320470896006</v>
      </c>
      <c r="BN3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4784.6354288894072</v>
      </c>
      <c r="BO35" s="8">
        <f ca="1">IF(TODAY()&gt;=vendaAno[[#This Row],[data]],IF(vendaAno[[#This Row],[N°]]=BF34,vendaAno[[#This Row],[lucro]]-173.33+BO34,vendaAno[[#This Row],[lucro]]-150),"")</f>
        <v>-172.13000000000014</v>
      </c>
      <c r="BP35" s="81">
        <f ca="1">IF(TODAY()&gt;=vendaAno[[#This Row],[data]],SUM(BK29:BK35)*12,"")</f>
        <v>222</v>
      </c>
      <c r="BQ35" s="7">
        <f ca="1">IFERROR(vendaAno[[#This Row],[lucro]]/(vendaAno[[#This Row],[venda]]*12),"")</f>
        <v>4.3241463414634138</v>
      </c>
      <c r="BT35" s="95">
        <f ca="1">WEEKNUM(PvPcML[[#This Row],[data]],13)</f>
        <v>26</v>
      </c>
      <c r="BU35" s="132">
        <f t="shared" ca="1" si="0"/>
        <v>46200</v>
      </c>
      <c r="BV35" s="7">
        <f ca="1">IFERROR(SUMIFS(vendaAno[valor de venda],vendaAno[data],PvPcML[[#This Row],[data]])/(SUMIFS(vendaAno[venda],vendaAno[data],PvPcML[[#This Row],[data]])*12),"")</f>
        <v>20.181818181818183</v>
      </c>
      <c r="BW35" s="8">
        <f ca="1">IFERROR(SUMIFS(vendaAno[valor de venda],vendaAno[data],PvPcML[[#This Row],[data]])/(SUMIFS(vendaAno[venda],vendaAno[data],PvPcML[[#This Row],[data]])*12)-PvPcML[[#This Row],[lucro médio]],"")</f>
        <v>15.671818181818184</v>
      </c>
      <c r="BX35" s="7">
        <f ca="1">IF(SUMIFS(vendaAno[[lucro médio ]],vendaAno[data],PvPcML[[#This Row],[data]])=0,"",SUMIFS(vendaAno[[lucro médio ]],vendaAno[data],PvPcML[[#This Row],[data]]))</f>
        <v>4.51</v>
      </c>
      <c r="BY35" s="91">
        <v>34</v>
      </c>
      <c r="BZ35" s="89">
        <f t="shared" si="1"/>
        <v>46254</v>
      </c>
      <c r="CA35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5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5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5" s="82" t="str">
        <f ca="1">IFERROR(AVERAGEIFS(vendaAno[venda],vendaAno[data],"&gt;="&amp;semanal[[#This Row],[semana]],vendaAno[data],"&lt;="&amp;semanal[[#This Row],[semana]]+6),"")</f>
        <v/>
      </c>
      <c r="CE35" s="82" t="str">
        <f ca="1">IFERROR((150/semanal[[#This Row],[lucro médio por cartela]])/12,"")</f>
        <v/>
      </c>
    </row>
    <row r="36" spans="1:101" x14ac:dyDescent="0.25">
      <c r="A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15.349879138719892</v>
      </c>
      <c r="B36" s="18" t="str">
        <f>TEXT(preçodiario[[#This Row],[data]],"MMM")</f>
        <v>fev</v>
      </c>
      <c r="C36" s="18" t="str">
        <f>TEXT(preçodiario[[#This Row],[data]],"ddd")</f>
        <v>qua</v>
      </c>
      <c r="D36" s="96">
        <f>WEEKNUM(preçodiario[[#This Row],[data]],13)</f>
        <v>6</v>
      </c>
      <c r="E36" s="37">
        <v>46057</v>
      </c>
      <c r="F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Row],[data]])),((F35*G35)+SUMIFS(estoque[valor total],estoque[produto],preçodiario[[#Headers],[OVO BRANCO A]],estoque[data],preçodiario[[#This Row],[data]],estoque[fornecedor],"&lt;&gt;saída"))/(G35+(SUMIFS(estoque[quantidade],estoque[produto],preçodiario[[#Headers],[OVO BRANCO A]],estoque[fornecedor],"&lt;&gt;saída",estoque[data],preçodiario[[#This Row],[data]])))))</f>
        <v>15.349879138719892</v>
      </c>
      <c r="G36" s="22">
        <f>IF(preçodiario[[#This Row],[entrada A]]=0,G35-(SUMIFS(estoque[quantidade],estoque[fornecedor],"saída",estoque[produto],preçodiario[[#Headers],[OVO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Row],[data]]))+G35+preçodiario[[#This Row],[entrada A]])</f>
        <v>35</v>
      </c>
      <c r="H36" s="22">
        <f>SUMIFS(estoque[quantidade],estoque[fornecedor],"&lt;&gt;saída",estoque[produto],preçodiario[[#Headers],[OVO BRANCO A]],estoque[data],preçodiario[[#This Row],[data]])</f>
        <v>0</v>
      </c>
      <c r="I36" s="20">
        <f>SUMIFS(estoque[valor total],estoque[fornecedor],"&lt;&gt;saída",estoque[produto],preçodiario[[#Headers],[OVO BRANCO A]],estoque[data],preçodiario[[#This Row],[data]])</f>
        <v>0</v>
      </c>
      <c r="J36" s="20">
        <f>IFERROR(preçodiario[[#This Row],[estoque A]]*preçodiario[[#This Row],[OVO BRANCO A]],0)</f>
        <v>537.24576985519627</v>
      </c>
      <c r="K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Row],[data]])),((K35*L35)+SUMIFS(estoque[valor total],estoque[produto],preçodiario[[#Headers],[OVO BRANCO B]],estoque[data],preçodiario[[#This Row],[data]],estoque[fornecedor],"&lt;&gt;saída"))/(L35+(SUMIFS(estoque[quantidade],estoque[produto],preçodiario[[#Headers],[OVO BRANCO B]],estoque[fornecedor],"&lt;&gt;saída",estoque[data],preçodiario[[#This Row],[data]])))))</f>
        <v>13.34073838688348</v>
      </c>
      <c r="L36" s="22">
        <f>IF(preçodiario[[#This Row],[entrada B]]=0,L35-(SUMIFS(estoque[quantidade],estoque[fornecedor],"saída",estoque[produto],preçodiario[[#Headers],[OVO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Row],[data]]))+L35+preçodiario[[#This Row],[entrada B]])</f>
        <v>105</v>
      </c>
      <c r="M36" s="22">
        <f>SUMIFS(estoque[quantidade],estoque[fornecedor],"&lt;&gt;saída",estoque[produto],preçodiario[[#Headers],[OVO BRANCO B]],estoque[data],preçodiario[[#This Row],[data]])</f>
        <v>0</v>
      </c>
      <c r="N36" s="20">
        <f>SUMIFS(estoque[valor total],estoque[fornecedor],"&lt;&gt;saída",estoque[produto],preçodiario[[#Headers],[OVO BRANCO B]],estoque[data],preçodiario[[#This Row],[data]])</f>
        <v>0</v>
      </c>
      <c r="O36" s="20">
        <f>IFERROR(preçodiario[[#This Row],[OVO BRANCO B]]*preçodiario[[#This Row],[estoque B]],0)</f>
        <v>1400.7775306227654</v>
      </c>
      <c r="P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Row],[data]])),((P35*Q35)+SUMIFS(estoque[valor total],estoque[produto],preçodiario[[#Headers],[OVO BRANCO C]],estoque[data],preçodiario[[#This Row],[data]],estoque[fornecedor],"&lt;&gt;saída"))/(Q35+(SUMIFS(estoque[quantidade],estoque[produto],preçodiario[[#Headers],[OVO BRANCO C]],estoque[fornecedor],"&lt;&gt;saída",estoque[data],preçodiario[[#This Row],[data]])))))</f>
        <v>13.874671916010501</v>
      </c>
      <c r="Q36" s="22">
        <f>IF(preçodiario[[#This Row],[entrada C]]=0,Q35-(SUMIFS(estoque[quantidade],estoque[fornecedor],"saída",estoque[produto],preçodiario[[#Headers],[OVO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Row],[data]]))+Q35+preçodiario[[#This Row],[entrada C]])</f>
        <v>29</v>
      </c>
      <c r="R36" s="22">
        <f>SUMIFS(estoque[quantidade],estoque[fornecedor],"&lt;&gt;saída",estoque[produto],preçodiario[[#Headers],[OVO BRANCO C]],estoque[data],preçodiario[[#This Row],[data]])</f>
        <v>0</v>
      </c>
      <c r="S36" s="20">
        <f>SUMIFS(estoque[valor total],estoque[fornecedor],"&lt;&gt;saída",estoque[produto],preçodiario[[#Headers],[OVO BRANCO C]],estoque[data],preçodiario[[#This Row],[data]])</f>
        <v>0</v>
      </c>
      <c r="T36" s="20">
        <f>IFERROR(preçodiario[[#This Row],[OVO BRANCO C]]*preçodiario[[#This Row],[estoque C]],0)</f>
        <v>402.36548556430449</v>
      </c>
      <c r="U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Row],[data]])),((U35*V35)+SUMIFS(estoque[valor total],estoque[produto],preçodiario[[#Headers],[OVO BRANCO EXTRA]],estoque[data],preçodiario[[#This Row],[data]],estoque[fornecedor],"&lt;&gt;saída"))/(V35+(SUMIFS(estoque[quantidade],estoque[produto],preçodiario[[#Headers],[OVO BRANCO EXTRA]],estoque[fornecedor],"&lt;&gt;saída",estoque[data],preçodiario[[#This Row],[data]])))))</f>
        <v>14.417091066264103</v>
      </c>
      <c r="V36" s="22">
        <f>IF(preçodiario[[#This Row],[entrada E]]=0,V35-(SUMIFS(estoque[quantidade],estoque[fornecedor],"saída",estoque[produto],preçodiario[[#Headers],[OVO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Row],[data]]))+V35+preçodiario[[#This Row],[entrada E]])</f>
        <v>70</v>
      </c>
      <c r="W36" s="22">
        <f>SUMIFS(estoque[quantidade],estoque[fornecedor],"&lt;&gt;saída",estoque[produto],preçodiario[[#Headers],[OVO BRANCO EXTRA]],estoque[data],preçodiario[[#This Row],[data]])</f>
        <v>0</v>
      </c>
      <c r="X36" s="20">
        <f>SUMIFS(estoque[valor total],estoque[fornecedor],"&lt;&gt;saída",estoque[produto],preçodiario[[#Headers],[OVO BRANCO EXTRA]],estoque[data],preçodiario[[#This Row],[data]])</f>
        <v>0</v>
      </c>
      <c r="Y36" s="20">
        <f>IFERROR(preçodiario[[#This Row],[estoque E]]*preçodiario[[#This Row],[OVO BRANCO EXTRA]],0)</f>
        <v>1009.1963746384872</v>
      </c>
      <c r="Z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Row],[data]])),((Z35*AA35)+SUMIFS(estoque[valor total],estoque[produto],preçodiario[[#Headers],[OVO BRANCO JUMBO]],estoque[data],preçodiario[[#This Row],[data]],estoque[fornecedor],"&lt;&gt;saída"))/(AA35+(SUMIFS(estoque[quantidade],estoque[produto],preçodiario[[#Headers],[OVO BRANCO JUMBO]],estoque[fornecedor],"&lt;&gt;saída",estoque[data],preçodiario[[#This Row],[data]])))))</f>
        <v>15</v>
      </c>
      <c r="AA36" s="22">
        <f>IF(preçodiario[[#This Row],[entrada J]]=0,AA35-(SUMIFS(estoque[quantidade],estoque[fornecedor],"saída",estoque[produto],preçodiario[[#Headers],[OVO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Row],[data]]))+AA35+preçodiario[[#This Row],[entrada J]])</f>
        <v>73</v>
      </c>
      <c r="AB36" s="22">
        <f>SUMIFS(estoque[quantidade],estoque[fornecedor],"&lt;&gt;saída",estoque[produto],preçodiario[[#Headers],[OVO BRANCO JUMBO]],estoque[data],preçodiario[[#This Row],[data]])</f>
        <v>0</v>
      </c>
      <c r="AC36" s="20">
        <f>SUMIFS(estoque[valor total],estoque[fornecedor],"&lt;&gt;saída",estoque[produto],preçodiario[[#Headers],[OVO BRANCO JUMBO]],estoque[data],preçodiario[[#This Row],[data]])</f>
        <v>0</v>
      </c>
      <c r="AD36" s="20">
        <f>IFERROR(preçodiario[[#This Row],[OVO BRANCO JUMBO]]*preçodiario[[#This Row],[estoque J]],0)</f>
        <v>1095</v>
      </c>
      <c r="AE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Row],[data]])),((AE35*AF35)+SUMIFS(estoque[valor total],estoque[produto],preçodiario[[#Headers],[OVO VERMELHO A]],estoque[data],preçodiario[[#This Row],[data]],estoque[fornecedor],"&lt;&gt;saída"))/(AF35+(SUMIFS(estoque[quantidade],estoque[produto],preçodiario[[#Headers],[OVO VERMELHO A]],estoque[fornecedor],"&lt;&gt;saída",estoque[data],preçodiario[[#This Row],[data]])))))</f>
        <v/>
      </c>
      <c r="AF36" s="22">
        <f>IF(preçodiario[[#This Row],[entrada AV]]=0,AF35-(SUMIFS(estoque[quantidade],estoque[fornecedor],"saída",estoque[produto],preçodiario[[#Headers],[OVO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Row],[data]]))+AF35+preçodiario[[#This Row],[entrada AV]])</f>
        <v>0</v>
      </c>
      <c r="AG36" s="22">
        <f>SUMIFS(estoque[quantidade],estoque[fornecedor],"&lt;&gt;saída",estoque[produto],preçodiario[[#Headers],[OVO VERMELHO A]],estoque[data],preçodiario[[#This Row],[data]])</f>
        <v>0</v>
      </c>
      <c r="AH36" s="20">
        <f>SUMIFS(estoque[valor total],estoque[fornecedor],"&lt;&gt;saída",estoque[produto],preçodiario[[#Headers],[OVO VERMELHO A]],estoque[data],preçodiario[[#This Row],[data]])</f>
        <v>0</v>
      </c>
      <c r="AI36" s="20">
        <f>IFERROR(preçodiario[[#This Row],[OVO VERMELHO A]]*preçodiario[[#This Row],[estoque AV]],0)</f>
        <v>0</v>
      </c>
      <c r="AJ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Row],[data]])),((AJ35*AK35)+SUMIFS(estoque[valor total],estoque[produto],preçodiario[[#Headers],[OVO VERMELHO B]],estoque[data],preçodiario[[#This Row],[data]],estoque[fornecedor],"&lt;&gt;saída"))/(AK35+(SUMIFS(estoque[quantidade],estoque[produto],preçodiario[[#Headers],[OVO VERMELHO B]],estoque[fornecedor],"&lt;&gt;saída",estoque[data],preçodiario[[#This Row],[data]])))))</f>
        <v/>
      </c>
      <c r="AK36" s="22">
        <f>IF(preçodiario[[#This Row],[entrada BV]]=0,AK35-(SUMIFS(estoque[quantidade],estoque[fornecedor],"saída",estoque[produto],preçodiario[[#Headers],[OVO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Row],[data]]))+AK35+preçodiario[[#This Row],[entrada BV]])</f>
        <v>0</v>
      </c>
      <c r="AL36" s="22">
        <f>SUMIFS(estoque[quantidade],estoque[fornecedor],"&lt;&gt;saída",estoque[produto],preçodiario[[#Headers],[OVO VERMELHO B]],estoque[data],preçodiario[[#This Row],[data]])</f>
        <v>0</v>
      </c>
      <c r="AM36" s="20">
        <f>SUMIFS(estoque[valor total],estoque[fornecedor],"&lt;&gt;saída",estoque[produto],preçodiario[[#Headers],[OVO VERMELHO B]],estoque[data],preçodiario[[#This Row],[data]])</f>
        <v>0</v>
      </c>
      <c r="AN36" s="20">
        <f>IFERROR(preçodiario[[#This Row],[OVO VERMELHO B]]*preçodiario[[#This Row],[estoque BV]],0)</f>
        <v>0</v>
      </c>
      <c r="AO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Row],[data]])),((AO35*AP35)+SUMIFS(estoque[valor total],estoque[produto],preçodiario[[#Headers],[OVO VERMELHO C]],estoque[data],preçodiario[[#This Row],[data]],estoque[fornecedor],"&lt;&gt;saída"))/(AP35+(SUMIFS(estoque[quantidade],estoque[produto],preçodiario[[#Headers],[OVO VERMELHO C]],estoque[fornecedor],"&lt;&gt;saída",estoque[data],preçodiario[[#This Row],[data]])))))</f>
        <v/>
      </c>
      <c r="AP36" s="22">
        <f>IF(preçodiario[[#This Row],[entrada CV]]=0,AP35-(SUMIFS(estoque[quantidade],estoque[fornecedor],"saída",estoque[produto],preçodiario[[#Headers],[OVO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Row],[data]]))+AP35+preçodiario[[#This Row],[entrada CV]])</f>
        <v>0</v>
      </c>
      <c r="AQ36" s="22">
        <f>SUMIFS(estoque[quantidade],estoque[fornecedor],"&lt;&gt;saída",estoque[produto],preçodiario[[#Headers],[OVO VERMELHO C]],estoque[data],preçodiario[[#This Row],[data]])</f>
        <v>0</v>
      </c>
      <c r="AR36" s="20">
        <f>SUMIFS(estoque[valor total],estoque[fornecedor],"&lt;&gt;saída",estoque[produto],preçodiario[[#Headers],[OVO VERMELHO C]],estoque[data],preçodiario[[#This Row],[data]])</f>
        <v>0</v>
      </c>
      <c r="AS36" s="20">
        <f>IFERROR(preçodiario[[#This Row],[OVO VERMELHO C]]*preçodiario[[#This Row],[estoque CV]],0)</f>
        <v>0</v>
      </c>
      <c r="AT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Row],[data]])),((AT35*AU35)+SUMIFS(estoque[valor total],estoque[produto],preçodiario[[#Headers],[OVO VERMELHO EXTRA]],estoque[data],preçodiario[[#This Row],[data]],estoque[fornecedor],"&lt;&gt;saída"))/(AU35+(SUMIFS(estoque[quantidade],estoque[produto],preçodiario[[#Headers],[OVO VERMELHO EXTRA]],estoque[fornecedor],"&lt;&gt;saída",estoque[data],preçodiario[[#This Row],[data]])))))</f>
        <v/>
      </c>
      <c r="AU36" s="22">
        <f>IF(preçodiario[[#This Row],[entrada EV]]=0,AU35-(SUMIFS(estoque[quantidade],estoque[fornecedor],"saída",estoque[produto],preçodiario[[#Headers],[OVO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Row],[data]]))+AU35+preçodiario[[#This Row],[entrada EV]])</f>
        <v>0</v>
      </c>
      <c r="AV36" s="22">
        <f>SUMIFS(estoque[quantidade],estoque[fornecedor],"&lt;&gt;saída",estoque[produto],preçodiario[[#Headers],[OVO VERMELHO EXTRA]],estoque[data],preçodiario[[#This Row],[data]])</f>
        <v>0</v>
      </c>
      <c r="AW36" s="20">
        <f>SUMIFS(estoque[valor total],estoque[fornecedor],"&lt;&gt;saída",estoque[produto],preçodiario[[#Headers],[OVO VERMELHO EXTRA]],estoque[data],preçodiario[[#This Row],[data]])</f>
        <v>0</v>
      </c>
      <c r="AX36" s="20">
        <f>IFERROR(preçodiario[[#This Row],[OVO VERMELHO EXTRA]]*preçodiario[[#This Row],[estoque EV]],0)</f>
        <v>0</v>
      </c>
      <c r="AY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Row],[data]])),((AY35*AZ35)+SUMIFS(estoque[valor total],estoque[produto],preçodiario[[#Headers],[OVO VERMELHO JUMBO]],estoque[data],preçodiario[[#This Row],[data]],estoque[fornecedor],"&lt;&gt;saída"))/(AZ35+(SUMIFS(estoque[quantidade],estoque[produto],preçodiario[[#Headers],[OVO VERMELHO JUMBO]],estoque[fornecedor],"&lt;&gt;saída",estoque[data],preçodiario[[#This Row],[data]])))))</f>
        <v/>
      </c>
      <c r="AZ36" s="22">
        <f>IF(preçodiario[[#This Row],[entrada JV]]=0,AZ35-(SUMIFS(estoque[quantidade],estoque[fornecedor],"saída",estoque[produto],preçodiario[[#Headers],[OVO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Row],[data]]))+AZ35+preçodiario[[#This Row],[entrada JV]])</f>
        <v>0</v>
      </c>
      <c r="BA36" s="22">
        <f>SUMIFS(estoque[quantidade],estoque[fornecedor],"&lt;&gt;saída",estoque[produto],preçodiario[[#Headers],[OVO VERMELHO JUMBO]],estoque[data],preçodiario[[#This Row],[data]])</f>
        <v>0</v>
      </c>
      <c r="BB36" s="20">
        <f>SUMIFS(estoque[valor total],estoque[fornecedor],"&lt;&gt;saída",estoque[produto],preçodiario[[#Headers],[OVO VERMELHO JUMBO]],estoque[data],preçodiario[[#This Row],[data]])</f>
        <v>0</v>
      </c>
      <c r="BC36" s="20">
        <f>IFERROR(preçodiario[[#This Row],[OVO VERMELHO JUMBO]]*preçodiario[[#This Row],[estoque JV]],0)</f>
        <v>0</v>
      </c>
      <c r="BD36" t="str">
        <f>TEXT(vendaAno[[#This Row],[data]],"mmm")</f>
        <v>fev</v>
      </c>
      <c r="BE36" t="str">
        <f>TEXT(vendaAno[[#This Row],[data]],"ddd")</f>
        <v>qua</v>
      </c>
      <c r="BF36" s="82">
        <f>WEEKNUM(vendaAno[[#This Row],[data]],13)</f>
        <v>6</v>
      </c>
      <c r="BG36" s="27">
        <f>preçodiario[[#This Row],[data]]</f>
        <v>46057</v>
      </c>
      <c r="BH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" s="8">
        <f>IF(SUMIFS(estoque[valor total],estoque[fornecedor],"saída",estoque[data],vendaAno[[#This Row],[data]])=0,"",SUMIFS(estoque[valor total],estoque[fornecedor],"saída",estoque[data],vendaAno[[#This Row],[data]]))</f>
        <v>463</v>
      </c>
      <c r="BJ3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Row],[data]]))/12+BJ35,"")</f>
        <v>25.999999999999968</v>
      </c>
      <c r="BK36" s="79">
        <f>IF(SUMIFS(estoque[quantidade],estoque[fornecedor],"saída",estoque[data],vendaAno[[#This Row],[data]])/12=0,"",SUMIFS(estoque[quantidade],estoque[fornecedor],"saída",estoque[data],vendaAno[[#This Row],[data]])/12)</f>
        <v>1.9166666666666667</v>
      </c>
      <c r="BL36" s="8">
        <f ca="1">IF(vendaAno[[#This Row],[data]]&lt;=TODAY(),IF(SUMIFS(estoque[lucro],estoque[fornecedor],"saída",estoque[data],vendaAno[[#This Row],[data]])=0,AVERAGE(BL33:BL35),SUMIFS(estoque[lucro],estoque[fornecedor],"saída",estoque[data],vendaAno[[#This Row],[data]])),"")</f>
        <v>122.95</v>
      </c>
      <c r="BM36" s="10">
        <f ca="1">IFERROR(vendaAno[[#This Row],[lucro]]/vendaAno[[#This Row],[valor de venda]],"")</f>
        <v>0.26555075593952482</v>
      </c>
      <c r="BN3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4444.5851606807537</v>
      </c>
      <c r="BO36" s="8">
        <f ca="1">IF(TODAY()&gt;=vendaAno[[#This Row],[data]],IF(vendaAno[[#This Row],[N°]]=BF35,vendaAno[[#This Row],[lucro]]-173.33+BO35,vendaAno[[#This Row],[lucro]]-150),"")</f>
        <v>-27.049999999999997</v>
      </c>
      <c r="BP36" s="81">
        <f ca="1">IF(TODAY()&gt;=vendaAno[[#This Row],[data]],SUM(BK30:BK36)*12,"")</f>
        <v>196</v>
      </c>
      <c r="BQ36" s="7">
        <f ca="1">IFERROR(vendaAno[[#This Row],[lucro]]/(vendaAno[[#This Row],[venda]]*12),"")</f>
        <v>5.3456521739130434</v>
      </c>
      <c r="BT36" s="95">
        <f ca="1">WEEKNUM(PvPcML[[#This Row],[data]],13)</f>
        <v>26</v>
      </c>
      <c r="BU36" s="132">
        <f t="shared" ca="1" si="0"/>
        <v>46199</v>
      </c>
      <c r="BV36" s="7">
        <f ca="1">IFERROR(SUMIFS(vendaAno[valor de venda],vendaAno[data],PvPcML[[#This Row],[data]])/(SUMIFS(vendaAno[venda],vendaAno[data],PvPcML[[#This Row],[data]])*12),"")</f>
        <v>17.5</v>
      </c>
      <c r="BW36" s="8">
        <f ca="1">IFERROR(SUMIFS(vendaAno[valor de venda],vendaAno[data],PvPcML[[#This Row],[data]])/(SUMIFS(vendaAno[venda],vendaAno[data],PvPcML[[#This Row],[data]])*12)-PvPcML[[#This Row],[lucro médio]],"")</f>
        <v>14.94</v>
      </c>
      <c r="BX36" s="7">
        <f ca="1">IF(SUMIFS(vendaAno[[lucro médio ]],vendaAno[data],PvPcML[[#This Row],[data]])=0,"",SUMIFS(vendaAno[[lucro médio ]],vendaAno[data],PvPcML[[#This Row],[data]]))</f>
        <v>2.56</v>
      </c>
      <c r="BY36" s="90">
        <v>35</v>
      </c>
      <c r="BZ36" s="89">
        <f t="shared" si="1"/>
        <v>46261</v>
      </c>
      <c r="CA36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6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6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6" s="82" t="str">
        <f ca="1">IFERROR(AVERAGEIFS(vendaAno[venda],vendaAno[data],"&gt;="&amp;semanal[[#This Row],[semana]],vendaAno[data],"&lt;="&amp;semanal[[#This Row],[semana]]+6),"")</f>
        <v/>
      </c>
      <c r="CE36" s="82" t="str">
        <f ca="1">IFERROR((150/semanal[[#This Row],[lucro médio por cartela]])/12,"")</f>
        <v/>
      </c>
    </row>
    <row r="37" spans="1:101" x14ac:dyDescent="0.25">
      <c r="A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15.349879138719894</v>
      </c>
      <c r="B37" s="18" t="str">
        <f>TEXT(preçodiario[[#This Row],[data]],"MMM")</f>
        <v>fev</v>
      </c>
      <c r="C37" s="18" t="str">
        <f>TEXT(preçodiario[[#This Row],[data]],"ddd")</f>
        <v>qui</v>
      </c>
      <c r="D37" s="96">
        <f>WEEKNUM(preçodiario[[#This Row],[data]],13)</f>
        <v>6</v>
      </c>
      <c r="E37" s="37">
        <v>46058</v>
      </c>
      <c r="F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Row],[data]])),((F36*G36)+SUMIFS(estoque[valor total],estoque[produto],preçodiario[[#Headers],[OVO BRANCO A]],estoque[data],preçodiario[[#This Row],[data]],estoque[fornecedor],"&lt;&gt;saída"))/(G36+(SUMIFS(estoque[quantidade],estoque[produto],preçodiario[[#Headers],[OVO BRANCO A]],estoque[fornecedor],"&lt;&gt;saída",estoque[data],preçodiario[[#This Row],[data]])))))</f>
        <v>15.349879138719894</v>
      </c>
      <c r="G37" s="22">
        <f>IF(preçodiario[[#This Row],[entrada A]]=0,G36-(SUMIFS(estoque[quantidade],estoque[fornecedor],"saída",estoque[produto],preçodiario[[#Headers],[OVO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Row],[data]]))+G36+preçodiario[[#This Row],[entrada A]])</f>
        <v>30</v>
      </c>
      <c r="H37" s="22">
        <f>SUMIFS(estoque[quantidade],estoque[fornecedor],"&lt;&gt;saída",estoque[produto],preçodiario[[#Headers],[OVO BRANCO A]],estoque[data],preçodiario[[#This Row],[data]])</f>
        <v>0</v>
      </c>
      <c r="I37" s="20">
        <f>SUMIFS(estoque[valor total],estoque[fornecedor],"&lt;&gt;saída",estoque[produto],preçodiario[[#Headers],[OVO BRANCO A]],estoque[data],preçodiario[[#This Row],[data]])</f>
        <v>0</v>
      </c>
      <c r="J37" s="20">
        <f>IFERROR(preçodiario[[#This Row],[estoque A]]*preçodiario[[#This Row],[OVO BRANCO A]],0)</f>
        <v>460.4963741615968</v>
      </c>
      <c r="K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Row],[data]])),((K36*L36)+SUMIFS(estoque[valor total],estoque[produto],preçodiario[[#Headers],[OVO BRANCO B]],estoque[data],preçodiario[[#This Row],[data]],estoque[fornecedor],"&lt;&gt;saída"))/(L36+(SUMIFS(estoque[quantidade],estoque[produto],preçodiario[[#Headers],[OVO BRANCO B]],estoque[fornecedor],"&lt;&gt;saída",estoque[data],preçodiario[[#This Row],[data]])))))</f>
        <v>13.34073838688348</v>
      </c>
      <c r="L37" s="22">
        <f>IF(preçodiario[[#This Row],[entrada B]]=0,L36-(SUMIFS(estoque[quantidade],estoque[fornecedor],"saída",estoque[produto],preçodiario[[#Headers],[OVO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Row],[data]]))+L36+preçodiario[[#This Row],[entrada B]])</f>
        <v>101</v>
      </c>
      <c r="M37" s="22">
        <f>SUMIFS(estoque[quantidade],estoque[fornecedor],"&lt;&gt;saída",estoque[produto],preçodiario[[#Headers],[OVO BRANCO B]],estoque[data],preçodiario[[#This Row],[data]])</f>
        <v>0</v>
      </c>
      <c r="N37" s="20">
        <f>SUMIFS(estoque[valor total],estoque[fornecedor],"&lt;&gt;saída",estoque[produto],preçodiario[[#Headers],[OVO BRANCO B]],estoque[data],preçodiario[[#This Row],[data]])</f>
        <v>0</v>
      </c>
      <c r="O37" s="20">
        <f>IFERROR(preçodiario[[#This Row],[OVO BRANCO B]]*preçodiario[[#This Row],[estoque B]],0)</f>
        <v>1347.4145770752314</v>
      </c>
      <c r="P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Row],[data]])),((P36*Q36)+SUMIFS(estoque[valor total],estoque[produto],preçodiario[[#Headers],[OVO BRANCO C]],estoque[data],preçodiario[[#This Row],[data]],estoque[fornecedor],"&lt;&gt;saída"))/(Q36+(SUMIFS(estoque[quantidade],estoque[produto],preçodiario[[#Headers],[OVO BRANCO C]],estoque[fornecedor],"&lt;&gt;saída",estoque[data],preçodiario[[#This Row],[data]])))))</f>
        <v>13.874671916010501</v>
      </c>
      <c r="Q37" s="22">
        <f>IF(preçodiario[[#This Row],[entrada C]]=0,Q36-(SUMIFS(estoque[quantidade],estoque[fornecedor],"saída",estoque[produto],preçodiario[[#Headers],[OVO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Row],[data]]))+Q36+preçodiario[[#This Row],[entrada C]])</f>
        <v>27</v>
      </c>
      <c r="R37" s="22">
        <f>SUMIFS(estoque[quantidade],estoque[fornecedor],"&lt;&gt;saída",estoque[produto],preçodiario[[#Headers],[OVO BRANCO C]],estoque[data],preçodiario[[#This Row],[data]])</f>
        <v>0</v>
      </c>
      <c r="S37" s="20">
        <f>SUMIFS(estoque[valor total],estoque[fornecedor],"&lt;&gt;saída",estoque[produto],preçodiario[[#Headers],[OVO BRANCO C]],estoque[data],preçodiario[[#This Row],[data]])</f>
        <v>0</v>
      </c>
      <c r="T37" s="20">
        <f>IFERROR(preçodiario[[#This Row],[OVO BRANCO C]]*preçodiario[[#This Row],[estoque C]],0)</f>
        <v>374.6161417322835</v>
      </c>
      <c r="U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Row],[data]])),((U36*V36)+SUMIFS(estoque[valor total],estoque[produto],preçodiario[[#Headers],[OVO BRANCO EXTRA]],estoque[data],preçodiario[[#This Row],[data]],estoque[fornecedor],"&lt;&gt;saída"))/(V36+(SUMIFS(estoque[quantidade],estoque[produto],preçodiario[[#Headers],[OVO BRANCO EXTRA]],estoque[fornecedor],"&lt;&gt;saída",estoque[data],preçodiario[[#This Row],[data]])))))</f>
        <v>14.417091066264103</v>
      </c>
      <c r="V37" s="22">
        <f>IF(preçodiario[[#This Row],[entrada E]]=0,V36-(SUMIFS(estoque[quantidade],estoque[fornecedor],"saída",estoque[produto],preçodiario[[#Headers],[OVO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Row],[data]]))+V36+preçodiario[[#This Row],[entrada E]])</f>
        <v>57</v>
      </c>
      <c r="W37" s="22">
        <f>SUMIFS(estoque[quantidade],estoque[fornecedor],"&lt;&gt;saída",estoque[produto],preçodiario[[#Headers],[OVO BRANCO EXTRA]],estoque[data],preçodiario[[#This Row],[data]])</f>
        <v>0</v>
      </c>
      <c r="X37" s="20">
        <f>SUMIFS(estoque[valor total],estoque[fornecedor],"&lt;&gt;saída",estoque[produto],preçodiario[[#Headers],[OVO BRANCO EXTRA]],estoque[data],preçodiario[[#This Row],[data]])</f>
        <v>0</v>
      </c>
      <c r="Y37" s="20">
        <f>IFERROR(preçodiario[[#This Row],[estoque E]]*preçodiario[[#This Row],[OVO BRANCO EXTRA]],0)</f>
        <v>821.77419077705383</v>
      </c>
      <c r="Z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Row],[data]])),((Z36*AA36)+SUMIFS(estoque[valor total],estoque[produto],preçodiario[[#Headers],[OVO BRANCO JUMBO]],estoque[data],preçodiario[[#This Row],[data]],estoque[fornecedor],"&lt;&gt;saída"))/(AA36+(SUMIFS(estoque[quantidade],estoque[produto],preçodiario[[#Headers],[OVO BRANCO JUMBO]],estoque[fornecedor],"&lt;&gt;saída",estoque[data],preçodiario[[#This Row],[data]])))))</f>
        <v>15</v>
      </c>
      <c r="AA37" s="22">
        <f>IF(preçodiario[[#This Row],[entrada J]]=0,AA36-(SUMIFS(estoque[quantidade],estoque[fornecedor],"saída",estoque[produto],preçodiario[[#Headers],[OVO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Row],[data]]))+AA36+preçodiario[[#This Row],[entrada J]])</f>
        <v>68</v>
      </c>
      <c r="AB37" s="22">
        <f>SUMIFS(estoque[quantidade],estoque[fornecedor],"&lt;&gt;saída",estoque[produto],preçodiario[[#Headers],[OVO BRANCO JUMBO]],estoque[data],preçodiario[[#This Row],[data]])</f>
        <v>0</v>
      </c>
      <c r="AC37" s="20">
        <f>SUMIFS(estoque[valor total],estoque[fornecedor],"&lt;&gt;saída",estoque[produto],preçodiario[[#Headers],[OVO BRANCO JUMBO]],estoque[data],preçodiario[[#This Row],[data]])</f>
        <v>0</v>
      </c>
      <c r="AD37" s="20">
        <f>IFERROR(preçodiario[[#This Row],[OVO BRANCO JUMBO]]*preçodiario[[#This Row],[estoque J]],0)</f>
        <v>1020</v>
      </c>
      <c r="AE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Row],[data]])),((AE36*AF36)+SUMIFS(estoque[valor total],estoque[produto],preçodiario[[#Headers],[OVO VERMELHO A]],estoque[data],preçodiario[[#This Row],[data]],estoque[fornecedor],"&lt;&gt;saída"))/(AF36+(SUMIFS(estoque[quantidade],estoque[produto],preçodiario[[#Headers],[OVO VERMELHO A]],estoque[fornecedor],"&lt;&gt;saída",estoque[data],preçodiario[[#This Row],[data]])))))</f>
        <v/>
      </c>
      <c r="AF37" s="22">
        <f>IF(preçodiario[[#This Row],[entrada AV]]=0,AF36-(SUMIFS(estoque[quantidade],estoque[fornecedor],"saída",estoque[produto],preçodiario[[#Headers],[OVO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Row],[data]]))+AF36+preçodiario[[#This Row],[entrada AV]])</f>
        <v>0</v>
      </c>
      <c r="AG37" s="22">
        <f>SUMIFS(estoque[quantidade],estoque[fornecedor],"&lt;&gt;saída",estoque[produto],preçodiario[[#Headers],[OVO VERMELHO A]],estoque[data],preçodiario[[#This Row],[data]])</f>
        <v>0</v>
      </c>
      <c r="AH37" s="20">
        <f>SUMIFS(estoque[valor total],estoque[fornecedor],"&lt;&gt;saída",estoque[produto],preçodiario[[#Headers],[OVO VERMELHO A]],estoque[data],preçodiario[[#This Row],[data]])</f>
        <v>0</v>
      </c>
      <c r="AI37" s="20">
        <f>IFERROR(preçodiario[[#This Row],[OVO VERMELHO A]]*preçodiario[[#This Row],[estoque AV]],0)</f>
        <v>0</v>
      </c>
      <c r="AJ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Row],[data]])),((AJ36*AK36)+SUMIFS(estoque[valor total],estoque[produto],preçodiario[[#Headers],[OVO VERMELHO B]],estoque[data],preçodiario[[#This Row],[data]],estoque[fornecedor],"&lt;&gt;saída"))/(AK36+(SUMIFS(estoque[quantidade],estoque[produto],preçodiario[[#Headers],[OVO VERMELHO B]],estoque[fornecedor],"&lt;&gt;saída",estoque[data],preçodiario[[#This Row],[data]])))))</f>
        <v/>
      </c>
      <c r="AK37" s="22">
        <f>IF(preçodiario[[#This Row],[entrada BV]]=0,AK36-(SUMIFS(estoque[quantidade],estoque[fornecedor],"saída",estoque[produto],preçodiario[[#Headers],[OVO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Row],[data]]))+AK36+preçodiario[[#This Row],[entrada BV]])</f>
        <v>0</v>
      </c>
      <c r="AL37" s="22">
        <f>SUMIFS(estoque[quantidade],estoque[fornecedor],"&lt;&gt;saída",estoque[produto],preçodiario[[#Headers],[OVO VERMELHO B]],estoque[data],preçodiario[[#This Row],[data]])</f>
        <v>0</v>
      </c>
      <c r="AM37" s="20">
        <f>SUMIFS(estoque[valor total],estoque[fornecedor],"&lt;&gt;saída",estoque[produto],preçodiario[[#Headers],[OVO VERMELHO B]],estoque[data],preçodiario[[#This Row],[data]])</f>
        <v>0</v>
      </c>
      <c r="AN37" s="20">
        <f>IFERROR(preçodiario[[#This Row],[OVO VERMELHO B]]*preçodiario[[#This Row],[estoque BV]],0)</f>
        <v>0</v>
      </c>
      <c r="AO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Row],[data]])),((AO36*AP36)+SUMIFS(estoque[valor total],estoque[produto],preçodiario[[#Headers],[OVO VERMELHO C]],estoque[data],preçodiario[[#This Row],[data]],estoque[fornecedor],"&lt;&gt;saída"))/(AP36+(SUMIFS(estoque[quantidade],estoque[produto],preçodiario[[#Headers],[OVO VERMELHO C]],estoque[fornecedor],"&lt;&gt;saída",estoque[data],preçodiario[[#This Row],[data]])))))</f>
        <v/>
      </c>
      <c r="AP37" s="22">
        <f>IF(preçodiario[[#This Row],[entrada CV]]=0,AP36-(SUMIFS(estoque[quantidade],estoque[fornecedor],"saída",estoque[produto],preçodiario[[#Headers],[OVO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Row],[data]]))+AP36+preçodiario[[#This Row],[entrada CV]])</f>
        <v>0</v>
      </c>
      <c r="AQ37" s="22">
        <f>SUMIFS(estoque[quantidade],estoque[fornecedor],"&lt;&gt;saída",estoque[produto],preçodiario[[#Headers],[OVO VERMELHO C]],estoque[data],preçodiario[[#This Row],[data]])</f>
        <v>0</v>
      </c>
      <c r="AR37" s="20">
        <f>SUMIFS(estoque[valor total],estoque[fornecedor],"&lt;&gt;saída",estoque[produto],preçodiario[[#Headers],[OVO VERMELHO C]],estoque[data],preçodiario[[#This Row],[data]])</f>
        <v>0</v>
      </c>
      <c r="AS37" s="20">
        <f>IFERROR(preçodiario[[#This Row],[OVO VERMELHO C]]*preçodiario[[#This Row],[estoque CV]],0)</f>
        <v>0</v>
      </c>
      <c r="AT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Row],[data]])),((AT36*AU36)+SUMIFS(estoque[valor total],estoque[produto],preçodiario[[#Headers],[OVO VERMELHO EXTRA]],estoque[data],preçodiario[[#This Row],[data]],estoque[fornecedor],"&lt;&gt;saída"))/(AU36+(SUMIFS(estoque[quantidade],estoque[produto],preçodiario[[#Headers],[OVO VERMELHO EXTRA]],estoque[fornecedor],"&lt;&gt;saída",estoque[data],preçodiario[[#This Row],[data]])))))</f>
        <v/>
      </c>
      <c r="AU37" s="22">
        <f>IF(preçodiario[[#This Row],[entrada EV]]=0,AU36-(SUMIFS(estoque[quantidade],estoque[fornecedor],"saída",estoque[produto],preçodiario[[#Headers],[OVO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Row],[data]]))+AU36+preçodiario[[#This Row],[entrada EV]])</f>
        <v>0</v>
      </c>
      <c r="AV37" s="22">
        <f>SUMIFS(estoque[quantidade],estoque[fornecedor],"&lt;&gt;saída",estoque[produto],preçodiario[[#Headers],[OVO VERMELHO EXTRA]],estoque[data],preçodiario[[#This Row],[data]])</f>
        <v>0</v>
      </c>
      <c r="AW37" s="20">
        <f>SUMIFS(estoque[valor total],estoque[fornecedor],"&lt;&gt;saída",estoque[produto],preçodiario[[#Headers],[OVO VERMELHO EXTRA]],estoque[data],preçodiario[[#This Row],[data]])</f>
        <v>0</v>
      </c>
      <c r="AX37" s="20">
        <f>IFERROR(preçodiario[[#This Row],[OVO VERMELHO EXTRA]]*preçodiario[[#This Row],[estoque EV]],0)</f>
        <v>0</v>
      </c>
      <c r="AY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Row],[data]])),((AY36*AZ36)+SUMIFS(estoque[valor total],estoque[produto],preçodiario[[#Headers],[OVO VERMELHO JUMBO]],estoque[data],preçodiario[[#This Row],[data]],estoque[fornecedor],"&lt;&gt;saída"))/(AZ36+(SUMIFS(estoque[quantidade],estoque[produto],preçodiario[[#Headers],[OVO VERMELHO JUMBO]],estoque[fornecedor],"&lt;&gt;saída",estoque[data],preçodiario[[#This Row],[data]])))))</f>
        <v/>
      </c>
      <c r="AZ37" s="22">
        <f>IF(preçodiario[[#This Row],[entrada JV]]=0,AZ36-(SUMIFS(estoque[quantidade],estoque[fornecedor],"saída",estoque[produto],preçodiario[[#Headers],[OVO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Row],[data]]))+AZ36+preçodiario[[#This Row],[entrada JV]])</f>
        <v>0</v>
      </c>
      <c r="BA37" s="22">
        <f>SUMIFS(estoque[quantidade],estoque[fornecedor],"&lt;&gt;saída",estoque[produto],preçodiario[[#Headers],[OVO VERMELHO JUMBO]],estoque[data],preçodiario[[#This Row],[data]])</f>
        <v>0</v>
      </c>
      <c r="BB37" s="20">
        <f>SUMIFS(estoque[valor total],estoque[fornecedor],"&lt;&gt;saída",estoque[produto],preçodiario[[#Headers],[OVO VERMELHO JUMBO]],estoque[data],preçodiario[[#This Row],[data]])</f>
        <v>0</v>
      </c>
      <c r="BC37" s="20">
        <f>IFERROR(preçodiario[[#This Row],[OVO VERMELHO JUMBO]]*preçodiario[[#This Row],[estoque JV]],0)</f>
        <v>0</v>
      </c>
      <c r="BD37" t="str">
        <f>TEXT(vendaAno[[#This Row],[data]],"mmm")</f>
        <v>fev</v>
      </c>
      <c r="BE37" t="str">
        <f>TEXT(vendaAno[[#This Row],[data]],"ddd")</f>
        <v>qui</v>
      </c>
      <c r="BF37" s="82">
        <f>WEEKNUM(vendaAno[[#This Row],[data]],13)</f>
        <v>6</v>
      </c>
      <c r="BG37" s="27">
        <f>preçodiario[[#This Row],[data]]</f>
        <v>46058</v>
      </c>
      <c r="BH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7" s="8">
        <f>IF(SUMIFS(estoque[valor total],estoque[fornecedor],"saída",estoque[data],vendaAno[[#This Row],[data]])=0,"",SUMIFS(estoque[valor total],estoque[fornecedor],"saída",estoque[data],vendaAno[[#This Row],[data]]))</f>
        <v>555</v>
      </c>
      <c r="BJ3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Row],[data]]))/12+BJ36,"")</f>
        <v>23.5833333333333</v>
      </c>
      <c r="BK37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37" s="8">
        <f ca="1">IF(vendaAno[[#This Row],[data]]&lt;=TODAY(),IF(SUMIFS(estoque[lucro],estoque[fornecedor],"saída",estoque[data],vendaAno[[#This Row],[data]])=0,AVERAGE(BL34:BL36),SUMIFS(estoque[lucro],estoque[fornecedor],"saída",estoque[data],vendaAno[[#This Row],[data]])),"")</f>
        <v>134.72</v>
      </c>
      <c r="BM37" s="10">
        <f ca="1">IFERROR(vendaAno[[#This Row],[lucro]]/vendaAno[[#This Row],[valor de venda]],"")</f>
        <v>0.24273873873873875</v>
      </c>
      <c r="BN3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4024.3012837461647</v>
      </c>
      <c r="BO37" s="8">
        <f ca="1">IF(TODAY()&gt;=vendaAno[[#This Row],[data]],IF(vendaAno[[#This Row],[N°]]=BF36,vendaAno[[#This Row],[lucro]]-173.33+BO36,vendaAno[[#This Row],[lucro]]-150),"")</f>
        <v>-65.660000000000011</v>
      </c>
      <c r="BP37" s="81">
        <f ca="1">IF(TODAY()&gt;=vendaAno[[#This Row],[data]],SUM(BK31:BK37)*12,"")</f>
        <v>201</v>
      </c>
      <c r="BQ37" s="7">
        <f ca="1">IFERROR(vendaAno[[#This Row],[lucro]]/(vendaAno[[#This Row],[venda]]*12),"")</f>
        <v>4.6455172413793102</v>
      </c>
      <c r="BT37" s="95">
        <f ca="1">WEEKNUM(PvPcML[[#This Row],[data]],13)</f>
        <v>26</v>
      </c>
      <c r="BU37" s="132">
        <f t="shared" ca="1" si="0"/>
        <v>46198</v>
      </c>
      <c r="BV37" s="7">
        <f ca="1">IFERROR(SUMIFS(vendaAno[valor de venda],vendaAno[data],PvPcML[[#This Row],[data]])/(SUMIFS(vendaAno[venda],vendaAno[data],PvPcML[[#This Row],[data]])*12),"")</f>
        <v>19.611111111111111</v>
      </c>
      <c r="BW37" s="8">
        <f ca="1">IFERROR(SUMIFS(vendaAno[valor de venda],vendaAno[data],PvPcML[[#This Row],[data]])/(SUMIFS(vendaAno[venda],vendaAno[data],PvPcML[[#This Row],[data]])*12)-PvPcML[[#This Row],[lucro médio]],"")</f>
        <v>15.560555555555556</v>
      </c>
      <c r="BX37" s="7">
        <f ca="1">IF(SUMIFS(vendaAno[[lucro médio ]],vendaAno[data],PvPcML[[#This Row],[data]])=0,"",SUMIFS(vendaAno[[lucro médio ]],vendaAno[data],PvPcML[[#This Row],[data]]))</f>
        <v>4.0505555555555555</v>
      </c>
      <c r="BY37" s="91">
        <v>36</v>
      </c>
      <c r="BZ37" s="89">
        <f t="shared" si="1"/>
        <v>46268</v>
      </c>
      <c r="CA37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7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7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7" s="82" t="str">
        <f ca="1">IFERROR(AVERAGEIFS(vendaAno[venda],vendaAno[data],"&gt;="&amp;semanal[[#This Row],[semana]],vendaAno[data],"&lt;="&amp;semanal[[#This Row],[semana]]+6),"")</f>
        <v/>
      </c>
      <c r="CE37" s="82" t="str">
        <f ca="1">IFERROR((150/semanal[[#This Row],[lucro médio por cartela]])/12,"")</f>
        <v/>
      </c>
    </row>
    <row r="38" spans="1:101" x14ac:dyDescent="0.25">
      <c r="A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15.349879138719894</v>
      </c>
      <c r="B38" s="18" t="str">
        <f>TEXT(preçodiario[[#This Row],[data]],"MMM")</f>
        <v>fev</v>
      </c>
      <c r="C38" s="18" t="str">
        <f>TEXT(preçodiario[[#This Row],[data]],"ddd")</f>
        <v>sex</v>
      </c>
      <c r="D38" s="96">
        <f>WEEKNUM(preçodiario[[#This Row],[data]],13)</f>
        <v>6</v>
      </c>
      <c r="E38" s="37">
        <v>46059</v>
      </c>
      <c r="F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Row],[data]])),((F37*G37)+SUMIFS(estoque[valor total],estoque[produto],preçodiario[[#Headers],[OVO BRANCO A]],estoque[data],preçodiario[[#This Row],[data]],estoque[fornecedor],"&lt;&gt;saída"))/(G37+(SUMIFS(estoque[quantidade],estoque[produto],preçodiario[[#Headers],[OVO BRANCO A]],estoque[fornecedor],"&lt;&gt;saída",estoque[data],preçodiario[[#This Row],[data]])))))</f>
        <v>15.349879138719894</v>
      </c>
      <c r="G38" s="22">
        <f>IF(preçodiario[[#This Row],[entrada A]]=0,G37-(SUMIFS(estoque[quantidade],estoque[fornecedor],"saída",estoque[produto],preçodiario[[#Headers],[OVO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Row],[data]]))+G37+preçodiario[[#This Row],[entrada A]])</f>
        <v>23</v>
      </c>
      <c r="H38" s="22">
        <f>SUMIFS(estoque[quantidade],estoque[fornecedor],"&lt;&gt;saída",estoque[produto],preçodiario[[#Headers],[OVO BRANCO A]],estoque[data],preçodiario[[#This Row],[data]])</f>
        <v>0</v>
      </c>
      <c r="I38" s="20">
        <f>SUMIFS(estoque[valor total],estoque[fornecedor],"&lt;&gt;saída",estoque[produto],preçodiario[[#Headers],[OVO BRANCO A]],estoque[data],preçodiario[[#This Row],[data]])</f>
        <v>0</v>
      </c>
      <c r="J38" s="20">
        <f>IFERROR(preçodiario[[#This Row],[estoque A]]*preçodiario[[#This Row],[OVO BRANCO A]],0)</f>
        <v>353.04722019055754</v>
      </c>
      <c r="K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Row],[data]])),((K37*L37)+SUMIFS(estoque[valor total],estoque[produto],preçodiario[[#Headers],[OVO BRANCO B]],estoque[data],preçodiario[[#This Row],[data]],estoque[fornecedor],"&lt;&gt;saída"))/(L37+(SUMIFS(estoque[quantidade],estoque[produto],preçodiario[[#Headers],[OVO BRANCO B]],estoque[fornecedor],"&lt;&gt;saída",estoque[data],preçodiario[[#This Row],[data]])))))</f>
        <v>13.340738386883478</v>
      </c>
      <c r="L38" s="22">
        <f>IF(preçodiario[[#This Row],[entrada B]]=0,L37-(SUMIFS(estoque[quantidade],estoque[fornecedor],"saída",estoque[produto],preçodiario[[#Headers],[OVO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Row],[data]]))+L37+preçodiario[[#This Row],[entrada B]])</f>
        <v>98</v>
      </c>
      <c r="M38" s="22">
        <f>SUMIFS(estoque[quantidade],estoque[fornecedor],"&lt;&gt;saída",estoque[produto],preçodiario[[#Headers],[OVO BRANCO B]],estoque[data],preçodiario[[#This Row],[data]])</f>
        <v>0</v>
      </c>
      <c r="N38" s="20">
        <f>SUMIFS(estoque[valor total],estoque[fornecedor],"&lt;&gt;saída",estoque[produto],preçodiario[[#Headers],[OVO BRANCO B]],estoque[data],preçodiario[[#This Row],[data]])</f>
        <v>0</v>
      </c>
      <c r="O38" s="20">
        <f>IFERROR(preçodiario[[#This Row],[OVO BRANCO B]]*preçodiario[[#This Row],[estoque B]],0)</f>
        <v>1307.3923619145808</v>
      </c>
      <c r="P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Row],[data]])),((P37*Q37)+SUMIFS(estoque[valor total],estoque[produto],preçodiario[[#Headers],[OVO BRANCO C]],estoque[data],preçodiario[[#This Row],[data]],estoque[fornecedor],"&lt;&gt;saída"))/(Q37+(SUMIFS(estoque[quantidade],estoque[produto],preçodiario[[#Headers],[OVO BRANCO C]],estoque[fornecedor],"&lt;&gt;saída",estoque[data],preçodiario[[#This Row],[data]])))))</f>
        <v>13.874671916010501</v>
      </c>
      <c r="Q38" s="22">
        <f>IF(preçodiario[[#This Row],[entrada C]]=0,Q37-(SUMIFS(estoque[quantidade],estoque[fornecedor],"saída",estoque[produto],preçodiario[[#Headers],[OVO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Row],[data]]))+Q37+preçodiario[[#This Row],[entrada C]])</f>
        <v>25</v>
      </c>
      <c r="R38" s="22">
        <f>SUMIFS(estoque[quantidade],estoque[fornecedor],"&lt;&gt;saída",estoque[produto],preçodiario[[#Headers],[OVO BRANCO C]],estoque[data],preçodiario[[#This Row],[data]])</f>
        <v>0</v>
      </c>
      <c r="S38" s="20">
        <f>SUMIFS(estoque[valor total],estoque[fornecedor],"&lt;&gt;saída",estoque[produto],preçodiario[[#Headers],[OVO BRANCO C]],estoque[data],preçodiario[[#This Row],[data]])</f>
        <v>0</v>
      </c>
      <c r="T38" s="20">
        <f>IFERROR(preçodiario[[#This Row],[OVO BRANCO C]]*preçodiario[[#This Row],[estoque C]],0)</f>
        <v>346.8667979002625</v>
      </c>
      <c r="U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Row],[data]])),((U37*V37)+SUMIFS(estoque[valor total],estoque[produto],preçodiario[[#Headers],[OVO BRANCO EXTRA]],estoque[data],preçodiario[[#This Row],[data]],estoque[fornecedor],"&lt;&gt;saída"))/(V37+(SUMIFS(estoque[quantidade],estoque[produto],preçodiario[[#Headers],[OVO BRANCO EXTRA]],estoque[fornecedor],"&lt;&gt;saída",estoque[data],preçodiario[[#This Row],[data]])))))</f>
        <v>14.417091066264103</v>
      </c>
      <c r="V38" s="22">
        <f>IF(preçodiario[[#This Row],[entrada E]]=0,V37-(SUMIFS(estoque[quantidade],estoque[fornecedor],"saída",estoque[produto],preçodiario[[#Headers],[OVO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Row],[data]]))+V37+preçodiario[[#This Row],[entrada E]])</f>
        <v>38</v>
      </c>
      <c r="W38" s="22">
        <f>SUMIFS(estoque[quantidade],estoque[fornecedor],"&lt;&gt;saída",estoque[produto],preçodiario[[#Headers],[OVO BRANCO EXTRA]],estoque[data],preçodiario[[#This Row],[data]])</f>
        <v>0</v>
      </c>
      <c r="X38" s="20">
        <f>SUMIFS(estoque[valor total],estoque[fornecedor],"&lt;&gt;saída",estoque[produto],preçodiario[[#Headers],[OVO BRANCO EXTRA]],estoque[data],preçodiario[[#This Row],[data]])</f>
        <v>0</v>
      </c>
      <c r="Y38" s="20">
        <f>IFERROR(preçodiario[[#This Row],[estoque E]]*preçodiario[[#This Row],[OVO BRANCO EXTRA]],0)</f>
        <v>547.84946051803593</v>
      </c>
      <c r="Z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Row],[data]])),((Z37*AA37)+SUMIFS(estoque[valor total],estoque[produto],preçodiario[[#Headers],[OVO BRANCO JUMBO]],estoque[data],preçodiario[[#This Row],[data]],estoque[fornecedor],"&lt;&gt;saída"))/(AA37+(SUMIFS(estoque[quantidade],estoque[produto],preçodiario[[#Headers],[OVO BRANCO JUMBO]],estoque[fornecedor],"&lt;&gt;saída",estoque[data],preçodiario[[#This Row],[data]])))))</f>
        <v>15</v>
      </c>
      <c r="AA38" s="22">
        <f>IF(preçodiario[[#This Row],[entrada J]]=0,AA37-(SUMIFS(estoque[quantidade],estoque[fornecedor],"saída",estoque[produto],preçodiario[[#Headers],[OVO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Row],[data]]))+AA37+preçodiario[[#This Row],[entrada J]])</f>
        <v>61</v>
      </c>
      <c r="AB38" s="22">
        <f>SUMIFS(estoque[quantidade],estoque[fornecedor],"&lt;&gt;saída",estoque[produto],preçodiario[[#Headers],[OVO BRANCO JUMBO]],estoque[data],preçodiario[[#This Row],[data]])</f>
        <v>0</v>
      </c>
      <c r="AC38" s="20">
        <f>SUMIFS(estoque[valor total],estoque[fornecedor],"&lt;&gt;saída",estoque[produto],preçodiario[[#Headers],[OVO BRANCO JUMBO]],estoque[data],preçodiario[[#This Row],[data]])</f>
        <v>0</v>
      </c>
      <c r="AD38" s="20">
        <f>IFERROR(preçodiario[[#This Row],[OVO BRANCO JUMBO]]*preçodiario[[#This Row],[estoque J]],0)</f>
        <v>915</v>
      </c>
      <c r="AE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Row],[data]])),((AE37*AF37)+SUMIFS(estoque[valor total],estoque[produto],preçodiario[[#Headers],[OVO VERMELHO A]],estoque[data],preçodiario[[#This Row],[data]],estoque[fornecedor],"&lt;&gt;saída"))/(AF37+(SUMIFS(estoque[quantidade],estoque[produto],preçodiario[[#Headers],[OVO VERMELHO A]],estoque[fornecedor],"&lt;&gt;saída",estoque[data],preçodiario[[#This Row],[data]])))))</f>
        <v/>
      </c>
      <c r="AF38" s="22">
        <f>IF(preçodiario[[#This Row],[entrada AV]]=0,AF37-(SUMIFS(estoque[quantidade],estoque[fornecedor],"saída",estoque[produto],preçodiario[[#Headers],[OVO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Row],[data]]))+AF37+preçodiario[[#This Row],[entrada AV]])</f>
        <v>0</v>
      </c>
      <c r="AG38" s="22">
        <f>SUMIFS(estoque[quantidade],estoque[fornecedor],"&lt;&gt;saída",estoque[produto],preçodiario[[#Headers],[OVO VERMELHO A]],estoque[data],preçodiario[[#This Row],[data]])</f>
        <v>0</v>
      </c>
      <c r="AH38" s="20">
        <f>SUMIFS(estoque[valor total],estoque[fornecedor],"&lt;&gt;saída",estoque[produto],preçodiario[[#Headers],[OVO VERMELHO A]],estoque[data],preçodiario[[#This Row],[data]])</f>
        <v>0</v>
      </c>
      <c r="AI38" s="20">
        <f>IFERROR(preçodiario[[#This Row],[OVO VERMELHO A]]*preçodiario[[#This Row],[estoque AV]],0)</f>
        <v>0</v>
      </c>
      <c r="AJ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Row],[data]])),((AJ37*AK37)+SUMIFS(estoque[valor total],estoque[produto],preçodiario[[#Headers],[OVO VERMELHO B]],estoque[data],preçodiario[[#This Row],[data]],estoque[fornecedor],"&lt;&gt;saída"))/(AK37+(SUMIFS(estoque[quantidade],estoque[produto],preçodiario[[#Headers],[OVO VERMELHO B]],estoque[fornecedor],"&lt;&gt;saída",estoque[data],preçodiario[[#This Row],[data]])))))</f>
        <v/>
      </c>
      <c r="AK38" s="22">
        <f>IF(preçodiario[[#This Row],[entrada BV]]=0,AK37-(SUMIFS(estoque[quantidade],estoque[fornecedor],"saída",estoque[produto],preçodiario[[#Headers],[OVO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Row],[data]]))+AK37+preçodiario[[#This Row],[entrada BV]])</f>
        <v>0</v>
      </c>
      <c r="AL38" s="22">
        <f>SUMIFS(estoque[quantidade],estoque[fornecedor],"&lt;&gt;saída",estoque[produto],preçodiario[[#Headers],[OVO VERMELHO B]],estoque[data],preçodiario[[#This Row],[data]])</f>
        <v>0</v>
      </c>
      <c r="AM38" s="20">
        <f>SUMIFS(estoque[valor total],estoque[fornecedor],"&lt;&gt;saída",estoque[produto],preçodiario[[#Headers],[OVO VERMELHO B]],estoque[data],preçodiario[[#This Row],[data]])</f>
        <v>0</v>
      </c>
      <c r="AN38" s="20">
        <f>IFERROR(preçodiario[[#This Row],[OVO VERMELHO B]]*preçodiario[[#This Row],[estoque BV]],0)</f>
        <v>0</v>
      </c>
      <c r="AO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Row],[data]])),((AO37*AP37)+SUMIFS(estoque[valor total],estoque[produto],preçodiario[[#Headers],[OVO VERMELHO C]],estoque[data],preçodiario[[#This Row],[data]],estoque[fornecedor],"&lt;&gt;saída"))/(AP37+(SUMIFS(estoque[quantidade],estoque[produto],preçodiario[[#Headers],[OVO VERMELHO C]],estoque[fornecedor],"&lt;&gt;saída",estoque[data],preçodiario[[#This Row],[data]])))))</f>
        <v/>
      </c>
      <c r="AP38" s="22">
        <f>IF(preçodiario[[#This Row],[entrada CV]]=0,AP37-(SUMIFS(estoque[quantidade],estoque[fornecedor],"saída",estoque[produto],preçodiario[[#Headers],[OVO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Row],[data]]))+AP37+preçodiario[[#This Row],[entrada CV]])</f>
        <v>0</v>
      </c>
      <c r="AQ38" s="22">
        <f>SUMIFS(estoque[quantidade],estoque[fornecedor],"&lt;&gt;saída",estoque[produto],preçodiario[[#Headers],[OVO VERMELHO C]],estoque[data],preçodiario[[#This Row],[data]])</f>
        <v>0</v>
      </c>
      <c r="AR38" s="20">
        <f>SUMIFS(estoque[valor total],estoque[fornecedor],"&lt;&gt;saída",estoque[produto],preçodiario[[#Headers],[OVO VERMELHO C]],estoque[data],preçodiario[[#This Row],[data]])</f>
        <v>0</v>
      </c>
      <c r="AS38" s="20">
        <f>IFERROR(preçodiario[[#This Row],[OVO VERMELHO C]]*preçodiario[[#This Row],[estoque CV]],0)</f>
        <v>0</v>
      </c>
      <c r="AT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Row],[data]])),((AT37*AU37)+SUMIFS(estoque[valor total],estoque[produto],preçodiario[[#Headers],[OVO VERMELHO EXTRA]],estoque[data],preçodiario[[#This Row],[data]],estoque[fornecedor],"&lt;&gt;saída"))/(AU37+(SUMIFS(estoque[quantidade],estoque[produto],preçodiario[[#Headers],[OVO VERMELHO EXTRA]],estoque[fornecedor],"&lt;&gt;saída",estoque[data],preçodiario[[#This Row],[data]])))))</f>
        <v/>
      </c>
      <c r="AU38" s="22">
        <f>IF(preçodiario[[#This Row],[entrada EV]]=0,AU37-(SUMIFS(estoque[quantidade],estoque[fornecedor],"saída",estoque[produto],preçodiario[[#Headers],[OVO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Row],[data]]))+AU37+preçodiario[[#This Row],[entrada EV]])</f>
        <v>0</v>
      </c>
      <c r="AV38" s="22">
        <f>SUMIFS(estoque[quantidade],estoque[fornecedor],"&lt;&gt;saída",estoque[produto],preçodiario[[#Headers],[OVO VERMELHO EXTRA]],estoque[data],preçodiario[[#This Row],[data]])</f>
        <v>0</v>
      </c>
      <c r="AW38" s="20">
        <f>SUMIFS(estoque[valor total],estoque[fornecedor],"&lt;&gt;saída",estoque[produto],preçodiario[[#Headers],[OVO VERMELHO EXTRA]],estoque[data],preçodiario[[#This Row],[data]])</f>
        <v>0</v>
      </c>
      <c r="AX38" s="20">
        <f>IFERROR(preçodiario[[#This Row],[OVO VERMELHO EXTRA]]*preçodiario[[#This Row],[estoque EV]],0)</f>
        <v>0</v>
      </c>
      <c r="AY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Row],[data]])),((AY37*AZ37)+SUMIFS(estoque[valor total],estoque[produto],preçodiario[[#Headers],[OVO VERMELHO JUMBO]],estoque[data],preçodiario[[#This Row],[data]],estoque[fornecedor],"&lt;&gt;saída"))/(AZ37+(SUMIFS(estoque[quantidade],estoque[produto],preçodiario[[#Headers],[OVO VERMELHO JUMBO]],estoque[fornecedor],"&lt;&gt;saída",estoque[data],preçodiario[[#This Row],[data]])))))</f>
        <v/>
      </c>
      <c r="AZ38" s="22">
        <f>IF(preçodiario[[#This Row],[entrada JV]]=0,AZ37-(SUMIFS(estoque[quantidade],estoque[fornecedor],"saída",estoque[produto],preçodiario[[#Headers],[OVO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Row],[data]]))+AZ37+preçodiario[[#This Row],[entrada JV]])</f>
        <v>0</v>
      </c>
      <c r="BA38" s="22">
        <f>SUMIFS(estoque[quantidade],estoque[fornecedor],"&lt;&gt;saída",estoque[produto],preçodiario[[#Headers],[OVO VERMELHO JUMBO]],estoque[data],preçodiario[[#This Row],[data]])</f>
        <v>0</v>
      </c>
      <c r="BB38" s="20">
        <f>SUMIFS(estoque[valor total],estoque[fornecedor],"&lt;&gt;saída",estoque[produto],preçodiario[[#Headers],[OVO VERMELHO JUMBO]],estoque[data],preçodiario[[#This Row],[data]])</f>
        <v>0</v>
      </c>
      <c r="BC38" s="20">
        <f>IFERROR(preçodiario[[#This Row],[OVO VERMELHO JUMBO]]*preçodiario[[#This Row],[estoque JV]],0)</f>
        <v>0</v>
      </c>
      <c r="BD38" t="str">
        <f>TEXT(vendaAno[[#This Row],[data]],"mmm")</f>
        <v>fev</v>
      </c>
      <c r="BE38" t="str">
        <f>TEXT(vendaAno[[#This Row],[data]],"ddd")</f>
        <v>sex</v>
      </c>
      <c r="BF38" s="82">
        <f>WEEKNUM(vendaAno[[#This Row],[data]],13)</f>
        <v>6</v>
      </c>
      <c r="BG38" s="27">
        <f>preçodiario[[#This Row],[data]]</f>
        <v>46059</v>
      </c>
      <c r="BH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8" s="8">
        <f>IF(SUMIFS(estoque[valor total],estoque[fornecedor],"saída",estoque[data],vendaAno[[#This Row],[data]])=0,"",SUMIFS(estoque[valor total],estoque[fornecedor],"saída",estoque[data],vendaAno[[#This Row],[data]]))</f>
        <v>724</v>
      </c>
      <c r="BJ3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Row],[data]]))/12+BJ37,"")</f>
        <v>20.416666666666632</v>
      </c>
      <c r="BK38" s="79">
        <f>IF(SUMIFS(estoque[quantidade],estoque[fornecedor],"saída",estoque[data],vendaAno[[#This Row],[data]])/12=0,"",SUMIFS(estoque[quantidade],estoque[fornecedor],"saída",estoque[data],vendaAno[[#This Row],[data]])/12)</f>
        <v>3.1666666666666665</v>
      </c>
      <c r="BL38" s="8">
        <f ca="1">IF(vendaAno[[#This Row],[data]]&lt;=TODAY(),IF(SUMIFS(estoque[lucro],estoque[fornecedor],"saída",estoque[data],vendaAno[[#This Row],[data]])=0,AVERAGE(BL35:BL37),SUMIFS(estoque[lucro],estoque[fornecedor],"saída",estoque[data],vendaAno[[#This Row],[data]])),"")</f>
        <v>169.85999999999999</v>
      </c>
      <c r="BM38" s="10">
        <f ca="1">IFERROR(vendaAno[[#This Row],[lucro]]/vendaAno[[#This Row],[valor de venda]],"")</f>
        <v>0.23461325966850827</v>
      </c>
      <c r="BN3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3470.1558405234368</v>
      </c>
      <c r="BO38" s="8">
        <f ca="1">IF(TODAY()&gt;=vendaAno[[#This Row],[data]],IF(vendaAno[[#This Row],[N°]]=BF37,vendaAno[[#This Row],[lucro]]-173.33+BO37,vendaAno[[#This Row],[lucro]]-150),"")</f>
        <v>-69.130000000000038</v>
      </c>
      <c r="BP38" s="81">
        <f ca="1">IF(TODAY()&gt;=vendaAno[[#This Row],[data]],SUM(BK32:BK38)*12,"")</f>
        <v>223</v>
      </c>
      <c r="BQ38" s="7">
        <f ca="1">IFERROR(vendaAno[[#This Row],[lucro]]/(vendaAno[[#This Row],[venda]]*12),"")</f>
        <v>4.47</v>
      </c>
      <c r="BT38" s="95">
        <f ca="1">WEEKNUM(PvPcML[[#This Row],[data]],13)</f>
        <v>26</v>
      </c>
      <c r="BU38" s="132">
        <f t="shared" ca="1" si="0"/>
        <v>46197</v>
      </c>
      <c r="BV38" s="7">
        <f ca="1">IFERROR(SUMIFS(vendaAno[valor de venda],vendaAno[data],PvPcML[[#This Row],[data]])/(SUMIFS(vendaAno[venda],vendaAno[data],PvPcML[[#This Row],[data]])*12),"")</f>
        <v>19.185185185185187</v>
      </c>
      <c r="BW38" s="8">
        <f ca="1">IFERROR(SUMIFS(vendaAno[valor de venda],vendaAno[data],PvPcML[[#This Row],[data]])/(SUMIFS(vendaAno[venda],vendaAno[data],PvPcML[[#This Row],[data]])*12)-PvPcML[[#This Row],[lucro médio]],"")</f>
        <v>15.583703703703705</v>
      </c>
      <c r="BX38" s="7">
        <f ca="1">IF(SUMIFS(vendaAno[[lucro médio ]],vendaAno[data],PvPcML[[#This Row],[data]])=0,"",SUMIFS(vendaAno[[lucro médio ]],vendaAno[data],PvPcML[[#This Row],[data]]))</f>
        <v>3.6014814814814815</v>
      </c>
      <c r="BY38" s="90">
        <v>37</v>
      </c>
      <c r="BZ38" s="89">
        <f t="shared" si="1"/>
        <v>46275</v>
      </c>
      <c r="CA38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8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8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8" s="82" t="str">
        <f ca="1">IFERROR(AVERAGEIFS(vendaAno[venda],vendaAno[data],"&gt;="&amp;semanal[[#This Row],[semana]],vendaAno[data],"&lt;="&amp;semanal[[#This Row],[semana]]+6),"")</f>
        <v/>
      </c>
      <c r="CE38" s="82" t="str">
        <f ca="1">IFERROR((150/semanal[[#This Row],[lucro médio por cartela]])/12,"")</f>
        <v/>
      </c>
    </row>
    <row r="39" spans="1:101" x14ac:dyDescent="0.25">
      <c r="A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39" s="18" t="str">
        <f>TEXT(preçodiario[[#This Row],[data]],"MMM")</f>
        <v>fev</v>
      </c>
      <c r="C39" s="18" t="str">
        <f>TEXT(preçodiario[[#This Row],[data]],"ddd")</f>
        <v>sáb</v>
      </c>
      <c r="D39" s="96">
        <f>WEEKNUM(preçodiario[[#This Row],[data]],13)</f>
        <v>6</v>
      </c>
      <c r="E39" s="37">
        <v>46060</v>
      </c>
      <c r="F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Row],[data]])),((F38*G38)+SUMIFS(estoque[valor total],estoque[produto],preçodiario[[#Headers],[OVO BRANCO A]],estoque[data],preçodiario[[#This Row],[data]],estoque[fornecedor],"&lt;&gt;saída"))/(G38+(SUMIFS(estoque[quantidade],estoque[produto],preçodiario[[#Headers],[OVO BRANCO A]],estoque[fornecedor],"&lt;&gt;saída",estoque[data],preçodiario[[#This Row],[data]])))))</f>
        <v>14.356973567766138</v>
      </c>
      <c r="G39" s="22">
        <f>IF(preçodiario[[#This Row],[entrada A]]=0,G38-(SUMIFS(estoque[quantidade],estoque[fornecedor],"saída",estoque[produto],preçodiario[[#Headers],[OVO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Row],[data]]))+G38+preçodiario[[#This Row],[entrada A]])</f>
        <v>139</v>
      </c>
      <c r="H39" s="22">
        <f>SUMIFS(estoque[quantidade],estoque[fornecedor],"&lt;&gt;saída",estoque[produto],preçodiario[[#Headers],[OVO BRANCO A]],estoque[data],preçodiario[[#This Row],[data]])</f>
        <v>120</v>
      </c>
      <c r="I39" s="20">
        <f>SUMIFS(estoque[valor total],estoque[fornecedor],"&lt;&gt;saída",estoque[produto],preçodiario[[#Headers],[OVO BRANCO A]],estoque[data],preçodiario[[#This Row],[data]])</f>
        <v>1700</v>
      </c>
      <c r="J39" s="20">
        <f>IFERROR(preçodiario[[#This Row],[estoque A]]*preçodiario[[#This Row],[OVO BRANCO A]],0)</f>
        <v>1995.6193259194931</v>
      </c>
      <c r="K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Row],[data]])),((K38*L38)+SUMIFS(estoque[valor total],estoque[produto],preçodiario[[#Headers],[OVO BRANCO B]],estoque[data],preçodiario[[#This Row],[data]],estoque[fornecedor],"&lt;&gt;saída"))/(L38+(SUMIFS(estoque[quantidade],estoque[produto],preçodiario[[#Headers],[OVO BRANCO B]],estoque[fornecedor],"&lt;&gt;saída",estoque[data],preçodiario[[#This Row],[data]])))))</f>
        <v>13.340738386883476</v>
      </c>
      <c r="L39" s="22">
        <f>IF(preçodiario[[#This Row],[entrada B]]=0,L38-(SUMIFS(estoque[quantidade],estoque[fornecedor],"saída",estoque[produto],preçodiario[[#Headers],[OVO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Row],[data]]))+L38+preçodiario[[#This Row],[entrada B]])</f>
        <v>84</v>
      </c>
      <c r="M39" s="22">
        <f>SUMIFS(estoque[quantidade],estoque[fornecedor],"&lt;&gt;saída",estoque[produto],preçodiario[[#Headers],[OVO BRANCO B]],estoque[data],preçodiario[[#This Row],[data]])</f>
        <v>0</v>
      </c>
      <c r="N39" s="20">
        <f>SUMIFS(estoque[valor total],estoque[fornecedor],"&lt;&gt;saída",estoque[produto],preçodiario[[#Headers],[OVO BRANCO B]],estoque[data],preçodiario[[#This Row],[data]])</f>
        <v>0</v>
      </c>
      <c r="O39" s="20">
        <f>IFERROR(preçodiario[[#This Row],[OVO BRANCO B]]*preçodiario[[#This Row],[estoque B]],0)</f>
        <v>1120.6220244982121</v>
      </c>
      <c r="P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Row],[data]])),((P38*Q38)+SUMIFS(estoque[valor total],estoque[produto],preçodiario[[#Headers],[OVO BRANCO C]],estoque[data],preçodiario[[#This Row],[data]],estoque[fornecedor],"&lt;&gt;saída"))/(Q38+(SUMIFS(estoque[quantidade],estoque[produto],preçodiario[[#Headers],[OVO BRANCO C]],estoque[fornecedor],"&lt;&gt;saída",estoque[data],preçodiario[[#This Row],[data]])))))</f>
        <v>13.874671916010501</v>
      </c>
      <c r="Q39" s="22">
        <f>IF(preçodiario[[#This Row],[entrada C]]=0,Q38-(SUMIFS(estoque[quantidade],estoque[fornecedor],"saída",estoque[produto],preçodiario[[#Headers],[OVO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Row],[data]]))+Q38+preçodiario[[#This Row],[entrada C]])</f>
        <v>24</v>
      </c>
      <c r="R39" s="22">
        <f>SUMIFS(estoque[quantidade],estoque[fornecedor],"&lt;&gt;saída",estoque[produto],preçodiario[[#Headers],[OVO BRANCO C]],estoque[data],preçodiario[[#This Row],[data]])</f>
        <v>0</v>
      </c>
      <c r="S39" s="20">
        <f>SUMIFS(estoque[valor total],estoque[fornecedor],"&lt;&gt;saída",estoque[produto],preçodiario[[#Headers],[OVO BRANCO C]],estoque[data],preçodiario[[#This Row],[data]])</f>
        <v>0</v>
      </c>
      <c r="T39" s="20">
        <f>IFERROR(preçodiario[[#This Row],[OVO BRANCO C]]*preçodiario[[#This Row],[estoque C]],0)</f>
        <v>332.99212598425203</v>
      </c>
      <c r="U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Row],[data]])),((U38*V38)+SUMIFS(estoque[valor total],estoque[produto],preçodiario[[#Headers],[OVO BRANCO EXTRA]],estoque[data],preçodiario[[#This Row],[data]],estoque[fornecedor],"&lt;&gt;saída"))/(V38+(SUMIFS(estoque[quantidade],estoque[produto],preçodiario[[#Headers],[OVO BRANCO EXTRA]],estoque[fornecedor],"&lt;&gt;saída",estoque[data],preçodiario[[#This Row],[data]])))))</f>
        <v>14.859806712139466</v>
      </c>
      <c r="V39" s="22">
        <f>IF(preçodiario[[#This Row],[entrada E]]=0,V38-(SUMIFS(estoque[quantidade],estoque[fornecedor],"saída",estoque[produto],preçodiario[[#Headers],[OVO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Row],[data]]))+V38+preçodiario[[#This Row],[entrada E]])</f>
        <v>141</v>
      </c>
      <c r="W39" s="22">
        <f>SUMIFS(estoque[quantidade],estoque[fornecedor],"&lt;&gt;saída",estoque[produto],preçodiario[[#Headers],[OVO BRANCO EXTRA]],estoque[data],preçodiario[[#This Row],[data]])</f>
        <v>120</v>
      </c>
      <c r="X39" s="20">
        <f>SUMIFS(estoque[valor total],estoque[fornecedor],"&lt;&gt;saída",estoque[produto],preçodiario[[#Headers],[OVO BRANCO EXTRA]],estoque[data],preçodiario[[#This Row],[data]])</f>
        <v>1800</v>
      </c>
      <c r="Y39" s="20">
        <f>IFERROR(preçodiario[[#This Row],[estoque E]]*preçodiario[[#This Row],[OVO BRANCO EXTRA]],0)</f>
        <v>2095.2327464116647</v>
      </c>
      <c r="Z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Row],[data]])),((Z38*AA38)+SUMIFS(estoque[valor total],estoque[produto],preçodiario[[#Headers],[OVO BRANCO JUMBO]],estoque[data],preçodiario[[#This Row],[data]],estoque[fornecedor],"&lt;&gt;saída"))/(AA38+(SUMIFS(estoque[quantidade],estoque[produto],preçodiario[[#Headers],[OVO BRANCO JUMBO]],estoque[fornecedor],"&lt;&gt;saída",estoque[data],preçodiario[[#This Row],[data]])))))</f>
        <v>15</v>
      </c>
      <c r="AA39" s="22">
        <f>IF(preçodiario[[#This Row],[entrada J]]=0,AA38-(SUMIFS(estoque[quantidade],estoque[fornecedor],"saída",estoque[produto],preçodiario[[#Headers],[OVO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Row],[data]]))+AA38+preçodiario[[#This Row],[entrada J]])</f>
        <v>57</v>
      </c>
      <c r="AB39" s="22">
        <f>SUMIFS(estoque[quantidade],estoque[fornecedor],"&lt;&gt;saída",estoque[produto],preçodiario[[#Headers],[OVO BRANCO JUMBO]],estoque[data],preçodiario[[#This Row],[data]])</f>
        <v>0</v>
      </c>
      <c r="AC39" s="20">
        <f>SUMIFS(estoque[valor total],estoque[fornecedor],"&lt;&gt;saída",estoque[produto],preçodiario[[#Headers],[OVO BRANCO JUMBO]],estoque[data],preçodiario[[#This Row],[data]])</f>
        <v>0</v>
      </c>
      <c r="AD39" s="20">
        <f>IFERROR(preçodiario[[#This Row],[OVO BRANCO JUMBO]]*preçodiario[[#This Row],[estoque J]],0)</f>
        <v>855</v>
      </c>
      <c r="AE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Row],[data]])),((AE38*AF38)+SUMIFS(estoque[valor total],estoque[produto],preçodiario[[#Headers],[OVO VERMELHO A]],estoque[data],preçodiario[[#This Row],[data]],estoque[fornecedor],"&lt;&gt;saída"))/(AF38+(SUMIFS(estoque[quantidade],estoque[produto],preçodiario[[#Headers],[OVO VERMELHO A]],estoque[fornecedor],"&lt;&gt;saída",estoque[data],preçodiario[[#This Row],[data]])))))</f>
        <v/>
      </c>
      <c r="AF39" s="22">
        <f>IF(preçodiario[[#This Row],[entrada AV]]=0,AF38-(SUMIFS(estoque[quantidade],estoque[fornecedor],"saída",estoque[produto],preçodiario[[#Headers],[OVO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Row],[data]]))+AF38+preçodiario[[#This Row],[entrada AV]])</f>
        <v>0</v>
      </c>
      <c r="AG39" s="22">
        <f>SUMIFS(estoque[quantidade],estoque[fornecedor],"&lt;&gt;saída",estoque[produto],preçodiario[[#Headers],[OVO VERMELHO A]],estoque[data],preçodiario[[#This Row],[data]])</f>
        <v>0</v>
      </c>
      <c r="AH39" s="20">
        <f>SUMIFS(estoque[valor total],estoque[fornecedor],"&lt;&gt;saída",estoque[produto],preçodiario[[#Headers],[OVO VERMELHO A]],estoque[data],preçodiario[[#This Row],[data]])</f>
        <v>0</v>
      </c>
      <c r="AI39" s="20">
        <f>IFERROR(preçodiario[[#This Row],[OVO VERMELHO A]]*preçodiario[[#This Row],[estoque AV]],0)</f>
        <v>0</v>
      </c>
      <c r="AJ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Row],[data]])),((AJ38*AK38)+SUMIFS(estoque[valor total],estoque[produto],preçodiario[[#Headers],[OVO VERMELHO B]],estoque[data],preçodiario[[#This Row],[data]],estoque[fornecedor],"&lt;&gt;saída"))/(AK38+(SUMIFS(estoque[quantidade],estoque[produto],preçodiario[[#Headers],[OVO VERMELHO B]],estoque[fornecedor],"&lt;&gt;saída",estoque[data],preçodiario[[#This Row],[data]])))))</f>
        <v/>
      </c>
      <c r="AK39" s="22">
        <f>IF(preçodiario[[#This Row],[entrada BV]]=0,AK38-(SUMIFS(estoque[quantidade],estoque[fornecedor],"saída",estoque[produto],preçodiario[[#Headers],[OVO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Row],[data]]))+AK38+preçodiario[[#This Row],[entrada BV]])</f>
        <v>0</v>
      </c>
      <c r="AL39" s="22">
        <f>SUMIFS(estoque[quantidade],estoque[fornecedor],"&lt;&gt;saída",estoque[produto],preçodiario[[#Headers],[OVO VERMELHO B]],estoque[data],preçodiario[[#This Row],[data]])</f>
        <v>0</v>
      </c>
      <c r="AM39" s="20">
        <f>SUMIFS(estoque[valor total],estoque[fornecedor],"&lt;&gt;saída",estoque[produto],preçodiario[[#Headers],[OVO VERMELHO B]],estoque[data],preçodiario[[#This Row],[data]])</f>
        <v>0</v>
      </c>
      <c r="AN39" s="20">
        <f>IFERROR(preçodiario[[#This Row],[OVO VERMELHO B]]*preçodiario[[#This Row],[estoque BV]],0)</f>
        <v>0</v>
      </c>
      <c r="AO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Row],[data]])),((AO38*AP38)+SUMIFS(estoque[valor total],estoque[produto],preçodiario[[#Headers],[OVO VERMELHO C]],estoque[data],preçodiario[[#This Row],[data]],estoque[fornecedor],"&lt;&gt;saída"))/(AP38+(SUMIFS(estoque[quantidade],estoque[produto],preçodiario[[#Headers],[OVO VERMELHO C]],estoque[fornecedor],"&lt;&gt;saída",estoque[data],preçodiario[[#This Row],[data]])))))</f>
        <v/>
      </c>
      <c r="AP39" s="22">
        <f>IF(preçodiario[[#This Row],[entrada CV]]=0,AP38-(SUMIFS(estoque[quantidade],estoque[fornecedor],"saída",estoque[produto],preçodiario[[#Headers],[OVO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Row],[data]]))+AP38+preçodiario[[#This Row],[entrada CV]])</f>
        <v>0</v>
      </c>
      <c r="AQ39" s="22">
        <f>SUMIFS(estoque[quantidade],estoque[fornecedor],"&lt;&gt;saída",estoque[produto],preçodiario[[#Headers],[OVO VERMELHO C]],estoque[data],preçodiario[[#This Row],[data]])</f>
        <v>0</v>
      </c>
      <c r="AR39" s="20">
        <f>SUMIFS(estoque[valor total],estoque[fornecedor],"&lt;&gt;saída",estoque[produto],preçodiario[[#Headers],[OVO VERMELHO C]],estoque[data],preçodiario[[#This Row],[data]])</f>
        <v>0</v>
      </c>
      <c r="AS39" s="20">
        <f>IFERROR(preçodiario[[#This Row],[OVO VERMELHO C]]*preçodiario[[#This Row],[estoque CV]],0)</f>
        <v>0</v>
      </c>
      <c r="AT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Row],[data]])),((AT38*AU38)+SUMIFS(estoque[valor total],estoque[produto],preçodiario[[#Headers],[OVO VERMELHO EXTRA]],estoque[data],preçodiario[[#This Row],[data]],estoque[fornecedor],"&lt;&gt;saída"))/(AU38+(SUMIFS(estoque[quantidade],estoque[produto],preçodiario[[#Headers],[OVO VERMELHO EXTRA]],estoque[fornecedor],"&lt;&gt;saída",estoque[data],preçodiario[[#This Row],[data]])))))</f>
        <v/>
      </c>
      <c r="AU39" s="22">
        <f>IF(preçodiario[[#This Row],[entrada EV]]=0,AU38-(SUMIFS(estoque[quantidade],estoque[fornecedor],"saída",estoque[produto],preçodiario[[#Headers],[OVO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Row],[data]]))+AU38+preçodiario[[#This Row],[entrada EV]])</f>
        <v>0</v>
      </c>
      <c r="AV39" s="22">
        <f>SUMIFS(estoque[quantidade],estoque[fornecedor],"&lt;&gt;saída",estoque[produto],preçodiario[[#Headers],[OVO VERMELHO EXTRA]],estoque[data],preçodiario[[#This Row],[data]])</f>
        <v>0</v>
      </c>
      <c r="AW39" s="20">
        <f>SUMIFS(estoque[valor total],estoque[fornecedor],"&lt;&gt;saída",estoque[produto],preçodiario[[#Headers],[OVO VERMELHO EXTRA]],estoque[data],preçodiario[[#This Row],[data]])</f>
        <v>0</v>
      </c>
      <c r="AX39" s="20">
        <f>IFERROR(preçodiario[[#This Row],[OVO VERMELHO EXTRA]]*preçodiario[[#This Row],[estoque EV]],0)</f>
        <v>0</v>
      </c>
      <c r="AY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Row],[data]])),((AY38*AZ38)+SUMIFS(estoque[valor total],estoque[produto],preçodiario[[#Headers],[OVO VERMELHO JUMBO]],estoque[data],preçodiario[[#This Row],[data]],estoque[fornecedor],"&lt;&gt;saída"))/(AZ38+(SUMIFS(estoque[quantidade],estoque[produto],preçodiario[[#Headers],[OVO VERMELHO JUMBO]],estoque[fornecedor],"&lt;&gt;saída",estoque[data],preçodiario[[#This Row],[data]])))))</f>
        <v/>
      </c>
      <c r="AZ39" s="22">
        <f>IF(preçodiario[[#This Row],[entrada JV]]=0,AZ38-(SUMIFS(estoque[quantidade],estoque[fornecedor],"saída",estoque[produto],preçodiario[[#Headers],[OVO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Row],[data]]))+AZ38+preçodiario[[#This Row],[entrada JV]])</f>
        <v>0</v>
      </c>
      <c r="BA39" s="22">
        <f>SUMIFS(estoque[quantidade],estoque[fornecedor],"&lt;&gt;saída",estoque[produto],preçodiario[[#Headers],[OVO VERMELHO JUMBO]],estoque[data],preçodiario[[#This Row],[data]])</f>
        <v>0</v>
      </c>
      <c r="BB39" s="20">
        <f>SUMIFS(estoque[valor total],estoque[fornecedor],"&lt;&gt;saída",estoque[produto],preçodiario[[#Headers],[OVO VERMELHO JUMBO]],estoque[data],preçodiario[[#This Row],[data]])</f>
        <v>0</v>
      </c>
      <c r="BC39" s="20">
        <f>IFERROR(preçodiario[[#This Row],[OVO VERMELHO JUMBO]]*preçodiario[[#This Row],[estoque JV]],0)</f>
        <v>0</v>
      </c>
      <c r="BD39" t="str">
        <f>TEXT(vendaAno[[#This Row],[data]],"mmm")</f>
        <v>fev</v>
      </c>
      <c r="BE39" t="str">
        <f>TEXT(vendaAno[[#This Row],[data]],"ddd")</f>
        <v>sáb</v>
      </c>
      <c r="BF39" s="82">
        <f>WEEKNUM(vendaAno[[#This Row],[data]],13)</f>
        <v>6</v>
      </c>
      <c r="BG39" s="27">
        <f>preçodiario[[#This Row],[data]]</f>
        <v>46060</v>
      </c>
      <c r="BH39" s="8">
        <f>IF(SUMIFS(estoque[valor total],estoque[fornecedor],"&lt;&gt;saída",estoque[data],vendaAno[[#This Row],[data]])=0,"",SUMIFS(estoque[valor total],estoque[fornecedor],"&lt;&gt;saída",estoque[data],vendaAno[[#This Row],[data]]))</f>
        <v>3500</v>
      </c>
      <c r="BI39" s="8">
        <f>IF(SUMIFS(estoque[valor total],estoque[fornecedor],"saída",estoque[data],vendaAno[[#This Row],[data]])=0,"",SUMIFS(estoque[valor total],estoque[fornecedor],"saída",estoque[data],vendaAno[[#This Row],[data]]))</f>
        <v>687.5</v>
      </c>
      <c r="BJ3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Row],[data]]))/12+BJ38,"")</f>
        <v>37.0833333333333</v>
      </c>
      <c r="BK39" s="79">
        <f>IF(SUMIFS(estoque[quantidade],estoque[fornecedor],"saída",estoque[data],vendaAno[[#This Row],[data]])/12=0,"",SUMIFS(estoque[quantidade],estoque[fornecedor],"saída",estoque[data],vendaAno[[#This Row],[data]])/12)</f>
        <v>3.3333333333333335</v>
      </c>
      <c r="BL39" s="8">
        <f ca="1">IF(vendaAno[[#This Row],[data]]&lt;=TODAY(),IF(SUMIFS(estoque[lucro],estoque[fornecedor],"saída",estoque[data],vendaAno[[#This Row],[data]])=0,AVERAGE(BL36:BL38),SUMIFS(estoque[lucro],estoque[fornecedor],"saída",estoque[data],vendaAno[[#This Row],[data]])),"")</f>
        <v>118.04999999999997</v>
      </c>
      <c r="BM39" s="10">
        <f ca="1">IFERROR(vendaAno[[#This Row],[lucro]]/vendaAno[[#This Row],[valor de venda]],"")</f>
        <v>0.17170909090909087</v>
      </c>
      <c r="BN3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6399.4662228136222</v>
      </c>
      <c r="BO39" s="8">
        <f ca="1">IF(TODAY()&gt;=vendaAno[[#This Row],[data]],IF(vendaAno[[#This Row],[N°]]=BF38,vendaAno[[#This Row],[lucro]]-173.33+BO38,vendaAno[[#This Row],[lucro]]-150),"")</f>
        <v>-124.41000000000008</v>
      </c>
      <c r="BP39" s="81">
        <f ca="1">IF(TODAY()&gt;=vendaAno[[#This Row],[data]],SUM(BK33:BK39)*12,"")</f>
        <v>236.99999999999994</v>
      </c>
      <c r="BQ39" s="7">
        <f ca="1">IFERROR(vendaAno[[#This Row],[lucro]]/(vendaAno[[#This Row],[venda]]*12),"")</f>
        <v>2.951249999999999</v>
      </c>
      <c r="BT39" s="95">
        <f ca="1">WEEKNUM(PvPcML[[#This Row],[data]],13)</f>
        <v>25</v>
      </c>
      <c r="BU39" s="132">
        <f t="shared" ca="1" si="0"/>
        <v>46196</v>
      </c>
      <c r="BV39" s="7">
        <f ca="1">IFERROR(SUMIFS(vendaAno[valor de venda],vendaAno[data],PvPcML[[#This Row],[data]])/(SUMIFS(vendaAno[venda],vendaAno[data],PvPcML[[#This Row],[data]])*12),"")</f>
        <v>19.014285714285716</v>
      </c>
      <c r="BW39" s="8">
        <f ca="1">IFERROR(SUMIFS(vendaAno[valor de venda],vendaAno[data],PvPcML[[#This Row],[data]])/(SUMIFS(vendaAno[venda],vendaAno[data],PvPcML[[#This Row],[data]])*12)-PvPcML[[#This Row],[lucro médio]],"")</f>
        <v>15.470714285714287</v>
      </c>
      <c r="BX39" s="7">
        <f ca="1">IF(SUMIFS(vendaAno[[lucro médio ]],vendaAno[data],PvPcML[[#This Row],[data]])=0,"",SUMIFS(vendaAno[[lucro médio ]],vendaAno[data],PvPcML[[#This Row],[data]]))</f>
        <v>3.5435714285714286</v>
      </c>
      <c r="BY39" s="91">
        <v>38</v>
      </c>
      <c r="BZ39" s="89">
        <f t="shared" si="1"/>
        <v>46282</v>
      </c>
      <c r="CA39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39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39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39" s="82" t="str">
        <f ca="1">IFERROR(AVERAGEIFS(vendaAno[venda],vendaAno[data],"&gt;="&amp;semanal[[#This Row],[semana]],vendaAno[data],"&lt;="&amp;semanal[[#This Row],[semana]]+6),"")</f>
        <v/>
      </c>
      <c r="CE39" s="82" t="str">
        <f ca="1">IFERROR((150/semanal[[#This Row],[lucro médio por cartela]])/12,"")</f>
        <v/>
      </c>
    </row>
    <row r="40" spans="1:101" x14ac:dyDescent="0.25">
      <c r="A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0" s="18" t="str">
        <f>TEXT(preçodiario[[#This Row],[data]],"MMM")</f>
        <v>fev</v>
      </c>
      <c r="C40" s="18" t="str">
        <f>TEXT(preçodiario[[#This Row],[data]],"ddd")</f>
        <v>dom</v>
      </c>
      <c r="D40" s="96">
        <f>WEEKNUM(preçodiario[[#This Row],[data]],13)</f>
        <v>6</v>
      </c>
      <c r="E40" s="37">
        <v>46061</v>
      </c>
      <c r="F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Row],[data]])),((F39*G39)+SUMIFS(estoque[valor total],estoque[produto],preçodiario[[#Headers],[OVO BRANCO A]],estoque[data],preçodiario[[#This Row],[data]],estoque[fornecedor],"&lt;&gt;saída"))/(G39+(SUMIFS(estoque[quantidade],estoque[produto],preçodiario[[#Headers],[OVO BRANCO A]],estoque[fornecedor],"&lt;&gt;saída",estoque[data],preçodiario[[#This Row],[data]])))))</f>
        <v>14.356973567766138</v>
      </c>
      <c r="G40" s="22">
        <f>IF(preçodiario[[#This Row],[entrada A]]=0,G39-(SUMIFS(estoque[quantidade],estoque[fornecedor],"saída",estoque[produto],preçodiario[[#Headers],[OVO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Row],[data]]))+G39+preçodiario[[#This Row],[entrada A]])</f>
        <v>133</v>
      </c>
      <c r="H40" s="22">
        <f>SUMIFS(estoque[quantidade],estoque[fornecedor],"&lt;&gt;saída",estoque[produto],preçodiario[[#Headers],[OVO BRANCO A]],estoque[data],preçodiario[[#This Row],[data]])</f>
        <v>0</v>
      </c>
      <c r="I40" s="20">
        <f>SUMIFS(estoque[valor total],estoque[fornecedor],"&lt;&gt;saída",estoque[produto],preçodiario[[#Headers],[OVO BRANCO A]],estoque[data],preçodiario[[#This Row],[data]])</f>
        <v>0</v>
      </c>
      <c r="J40" s="20">
        <f>IFERROR(preçodiario[[#This Row],[estoque A]]*preçodiario[[#This Row],[OVO BRANCO A]],0)</f>
        <v>1909.4774845128964</v>
      </c>
      <c r="K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Row],[data]])),((K39*L39)+SUMIFS(estoque[valor total],estoque[produto],preçodiario[[#Headers],[OVO BRANCO B]],estoque[data],preçodiario[[#This Row],[data]],estoque[fornecedor],"&lt;&gt;saída"))/(L39+(SUMIFS(estoque[quantidade],estoque[produto],preçodiario[[#Headers],[OVO BRANCO B]],estoque[fornecedor],"&lt;&gt;saída",estoque[data],preçodiario[[#This Row],[data]])))))</f>
        <v>13.340738386883478</v>
      </c>
      <c r="L40" s="22">
        <f>IF(preçodiario[[#This Row],[entrada B]]=0,L39-(SUMIFS(estoque[quantidade],estoque[fornecedor],"saída",estoque[produto],preçodiario[[#Headers],[OVO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Row],[data]]))+L39+preçodiario[[#This Row],[entrada B]])</f>
        <v>71</v>
      </c>
      <c r="M40" s="22">
        <f>SUMIFS(estoque[quantidade],estoque[fornecedor],"&lt;&gt;saída",estoque[produto],preçodiario[[#Headers],[OVO BRANCO B]],estoque[data],preçodiario[[#This Row],[data]])</f>
        <v>0</v>
      </c>
      <c r="N40" s="20">
        <f>SUMIFS(estoque[valor total],estoque[fornecedor],"&lt;&gt;saída",estoque[produto],preçodiario[[#Headers],[OVO BRANCO B]],estoque[data],preçodiario[[#This Row],[data]])</f>
        <v>0</v>
      </c>
      <c r="O40" s="20">
        <f>IFERROR(preçodiario[[#This Row],[OVO BRANCO B]]*preçodiario[[#This Row],[estoque B]],0)</f>
        <v>947.19242546872692</v>
      </c>
      <c r="P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Row],[data]])),((P39*Q39)+SUMIFS(estoque[valor total],estoque[produto],preçodiario[[#Headers],[OVO BRANCO C]],estoque[data],preçodiario[[#This Row],[data]],estoque[fornecedor],"&lt;&gt;saída"))/(Q39+(SUMIFS(estoque[quantidade],estoque[produto],preçodiario[[#Headers],[OVO BRANCO C]],estoque[fornecedor],"&lt;&gt;saída",estoque[data],preçodiario[[#This Row],[data]])))))</f>
        <v>13.874671916010501</v>
      </c>
      <c r="Q40" s="22">
        <f>IF(preçodiario[[#This Row],[entrada C]]=0,Q39-(SUMIFS(estoque[quantidade],estoque[fornecedor],"saída",estoque[produto],preçodiario[[#Headers],[OVO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Row],[data]]))+Q39+preçodiario[[#This Row],[entrada C]])</f>
        <v>21</v>
      </c>
      <c r="R40" s="22">
        <f>SUMIFS(estoque[quantidade],estoque[fornecedor],"&lt;&gt;saída",estoque[produto],preçodiario[[#Headers],[OVO BRANCO C]],estoque[data],preçodiario[[#This Row],[data]])</f>
        <v>0</v>
      </c>
      <c r="S40" s="20">
        <f>SUMIFS(estoque[valor total],estoque[fornecedor],"&lt;&gt;saída",estoque[produto],preçodiario[[#Headers],[OVO BRANCO C]],estoque[data],preçodiario[[#This Row],[data]])</f>
        <v>0</v>
      </c>
      <c r="T40" s="20">
        <f>IFERROR(preçodiario[[#This Row],[OVO BRANCO C]]*preçodiario[[#This Row],[estoque C]],0)</f>
        <v>291.3681102362205</v>
      </c>
      <c r="U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Row],[data]])),((U39*V39)+SUMIFS(estoque[valor total],estoque[produto],preçodiario[[#Headers],[OVO BRANCO EXTRA]],estoque[data],preçodiario[[#This Row],[data]],estoque[fornecedor],"&lt;&gt;saída"))/(V39+(SUMIFS(estoque[quantidade],estoque[produto],preçodiario[[#Headers],[OVO BRANCO EXTRA]],estoque[fornecedor],"&lt;&gt;saída",estoque[data],preçodiario[[#This Row],[data]])))))</f>
        <v>14.859806712139466</v>
      </c>
      <c r="V40" s="22">
        <f>IF(preçodiario[[#This Row],[entrada E]]=0,V39-(SUMIFS(estoque[quantidade],estoque[fornecedor],"saída",estoque[produto],preçodiario[[#Headers],[OVO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Row],[data]]))+V39+preçodiario[[#This Row],[entrada E]])</f>
        <v>139</v>
      </c>
      <c r="W40" s="22">
        <f>SUMIFS(estoque[quantidade],estoque[fornecedor],"&lt;&gt;saída",estoque[produto],preçodiario[[#Headers],[OVO BRANCO EXTRA]],estoque[data],preçodiario[[#This Row],[data]])</f>
        <v>0</v>
      </c>
      <c r="X40" s="20">
        <f>SUMIFS(estoque[valor total],estoque[fornecedor],"&lt;&gt;saída",estoque[produto],preçodiario[[#Headers],[OVO BRANCO EXTRA]],estoque[data],preçodiario[[#This Row],[data]])</f>
        <v>0</v>
      </c>
      <c r="Y40" s="20">
        <f>IFERROR(preçodiario[[#This Row],[estoque E]]*preçodiario[[#This Row],[OVO BRANCO EXTRA]],0)</f>
        <v>2065.5131329873857</v>
      </c>
      <c r="Z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Row],[data]])),((Z39*AA39)+SUMIFS(estoque[valor total],estoque[produto],preçodiario[[#Headers],[OVO BRANCO JUMBO]],estoque[data],preçodiario[[#This Row],[data]],estoque[fornecedor],"&lt;&gt;saída"))/(AA39+(SUMIFS(estoque[quantidade],estoque[produto],preçodiario[[#Headers],[OVO BRANCO JUMBO]],estoque[fornecedor],"&lt;&gt;saída",estoque[data],preçodiario[[#This Row],[data]])))))</f>
        <v>15</v>
      </c>
      <c r="AA40" s="22">
        <f>IF(preçodiario[[#This Row],[entrada J]]=0,AA39-(SUMIFS(estoque[quantidade],estoque[fornecedor],"saída",estoque[produto],preçodiario[[#Headers],[OVO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Row],[data]]))+AA39+preçodiario[[#This Row],[entrada J]])</f>
        <v>53</v>
      </c>
      <c r="AB40" s="22">
        <f>SUMIFS(estoque[quantidade],estoque[fornecedor],"&lt;&gt;saída",estoque[produto],preçodiario[[#Headers],[OVO BRANCO JUMBO]],estoque[data],preçodiario[[#This Row],[data]])</f>
        <v>0</v>
      </c>
      <c r="AC40" s="20">
        <f>SUMIFS(estoque[valor total],estoque[fornecedor],"&lt;&gt;saída",estoque[produto],preçodiario[[#Headers],[OVO BRANCO JUMBO]],estoque[data],preçodiario[[#This Row],[data]])</f>
        <v>0</v>
      </c>
      <c r="AD40" s="20">
        <f>IFERROR(preçodiario[[#This Row],[OVO BRANCO JUMBO]]*preçodiario[[#This Row],[estoque J]],0)</f>
        <v>795</v>
      </c>
      <c r="AE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Row],[data]])),((AE39*AF39)+SUMIFS(estoque[valor total],estoque[produto],preçodiario[[#Headers],[OVO VERMELHO A]],estoque[data],preçodiario[[#This Row],[data]],estoque[fornecedor],"&lt;&gt;saída"))/(AF39+(SUMIFS(estoque[quantidade],estoque[produto],preçodiario[[#Headers],[OVO VERMELHO A]],estoque[fornecedor],"&lt;&gt;saída",estoque[data],preçodiario[[#This Row],[data]])))))</f>
        <v/>
      </c>
      <c r="AF40" s="22">
        <f>IF(preçodiario[[#This Row],[entrada AV]]=0,AF39-(SUMIFS(estoque[quantidade],estoque[fornecedor],"saída",estoque[produto],preçodiario[[#Headers],[OVO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Row],[data]]))+AF39+preçodiario[[#This Row],[entrada AV]])</f>
        <v>0</v>
      </c>
      <c r="AG40" s="22">
        <f>SUMIFS(estoque[quantidade],estoque[fornecedor],"&lt;&gt;saída",estoque[produto],preçodiario[[#Headers],[OVO VERMELHO A]],estoque[data],preçodiario[[#This Row],[data]])</f>
        <v>0</v>
      </c>
      <c r="AH40" s="20">
        <f>SUMIFS(estoque[valor total],estoque[fornecedor],"&lt;&gt;saída",estoque[produto],preçodiario[[#Headers],[OVO VERMELHO A]],estoque[data],preçodiario[[#This Row],[data]])</f>
        <v>0</v>
      </c>
      <c r="AI40" s="20">
        <f>IFERROR(preçodiario[[#This Row],[OVO VERMELHO A]]*preçodiario[[#This Row],[estoque AV]],0)</f>
        <v>0</v>
      </c>
      <c r="AJ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Row],[data]])),((AJ39*AK39)+SUMIFS(estoque[valor total],estoque[produto],preçodiario[[#Headers],[OVO VERMELHO B]],estoque[data],preçodiario[[#This Row],[data]],estoque[fornecedor],"&lt;&gt;saída"))/(AK39+(SUMIFS(estoque[quantidade],estoque[produto],preçodiario[[#Headers],[OVO VERMELHO B]],estoque[fornecedor],"&lt;&gt;saída",estoque[data],preçodiario[[#This Row],[data]])))))</f>
        <v/>
      </c>
      <c r="AK40" s="22">
        <f>IF(preçodiario[[#This Row],[entrada BV]]=0,AK39-(SUMIFS(estoque[quantidade],estoque[fornecedor],"saída",estoque[produto],preçodiario[[#Headers],[OVO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Row],[data]]))+AK39+preçodiario[[#This Row],[entrada BV]])</f>
        <v>0</v>
      </c>
      <c r="AL40" s="22">
        <f>SUMIFS(estoque[quantidade],estoque[fornecedor],"&lt;&gt;saída",estoque[produto],preçodiario[[#Headers],[OVO VERMELHO B]],estoque[data],preçodiario[[#This Row],[data]])</f>
        <v>0</v>
      </c>
      <c r="AM40" s="20">
        <f>SUMIFS(estoque[valor total],estoque[fornecedor],"&lt;&gt;saída",estoque[produto],preçodiario[[#Headers],[OVO VERMELHO B]],estoque[data],preçodiario[[#This Row],[data]])</f>
        <v>0</v>
      </c>
      <c r="AN40" s="20">
        <f>IFERROR(preçodiario[[#This Row],[OVO VERMELHO B]]*preçodiario[[#This Row],[estoque BV]],0)</f>
        <v>0</v>
      </c>
      <c r="AO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Row],[data]])),((AO39*AP39)+SUMIFS(estoque[valor total],estoque[produto],preçodiario[[#Headers],[OVO VERMELHO C]],estoque[data],preçodiario[[#This Row],[data]],estoque[fornecedor],"&lt;&gt;saída"))/(AP39+(SUMIFS(estoque[quantidade],estoque[produto],preçodiario[[#Headers],[OVO VERMELHO C]],estoque[fornecedor],"&lt;&gt;saída",estoque[data],preçodiario[[#This Row],[data]])))))</f>
        <v/>
      </c>
      <c r="AP40" s="22">
        <f>IF(preçodiario[[#This Row],[entrada CV]]=0,AP39-(SUMIFS(estoque[quantidade],estoque[fornecedor],"saída",estoque[produto],preçodiario[[#Headers],[OVO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Row],[data]]))+AP39+preçodiario[[#This Row],[entrada CV]])</f>
        <v>0</v>
      </c>
      <c r="AQ40" s="22">
        <f>SUMIFS(estoque[quantidade],estoque[fornecedor],"&lt;&gt;saída",estoque[produto],preçodiario[[#Headers],[OVO VERMELHO C]],estoque[data],preçodiario[[#This Row],[data]])</f>
        <v>0</v>
      </c>
      <c r="AR40" s="20">
        <f>SUMIFS(estoque[valor total],estoque[fornecedor],"&lt;&gt;saída",estoque[produto],preçodiario[[#Headers],[OVO VERMELHO C]],estoque[data],preçodiario[[#This Row],[data]])</f>
        <v>0</v>
      </c>
      <c r="AS40" s="20">
        <f>IFERROR(preçodiario[[#This Row],[OVO VERMELHO C]]*preçodiario[[#This Row],[estoque CV]],0)</f>
        <v>0</v>
      </c>
      <c r="AT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Row],[data]])),((AT39*AU39)+SUMIFS(estoque[valor total],estoque[produto],preçodiario[[#Headers],[OVO VERMELHO EXTRA]],estoque[data],preçodiario[[#This Row],[data]],estoque[fornecedor],"&lt;&gt;saída"))/(AU39+(SUMIFS(estoque[quantidade],estoque[produto],preçodiario[[#Headers],[OVO VERMELHO EXTRA]],estoque[fornecedor],"&lt;&gt;saída",estoque[data],preçodiario[[#This Row],[data]])))))</f>
        <v/>
      </c>
      <c r="AU40" s="22">
        <f>IF(preçodiario[[#This Row],[entrada EV]]=0,AU39-(SUMIFS(estoque[quantidade],estoque[fornecedor],"saída",estoque[produto],preçodiario[[#Headers],[OVO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Row],[data]]))+AU39+preçodiario[[#This Row],[entrada EV]])</f>
        <v>0</v>
      </c>
      <c r="AV40" s="22">
        <f>SUMIFS(estoque[quantidade],estoque[fornecedor],"&lt;&gt;saída",estoque[produto],preçodiario[[#Headers],[OVO VERMELHO EXTRA]],estoque[data],preçodiario[[#This Row],[data]])</f>
        <v>0</v>
      </c>
      <c r="AW40" s="20">
        <f>SUMIFS(estoque[valor total],estoque[fornecedor],"&lt;&gt;saída",estoque[produto],preçodiario[[#Headers],[OVO VERMELHO EXTRA]],estoque[data],preçodiario[[#This Row],[data]])</f>
        <v>0</v>
      </c>
      <c r="AX40" s="20">
        <f>IFERROR(preçodiario[[#This Row],[OVO VERMELHO EXTRA]]*preçodiario[[#This Row],[estoque EV]],0)</f>
        <v>0</v>
      </c>
      <c r="AY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Row],[data]])),((AY39*AZ39)+SUMIFS(estoque[valor total],estoque[produto],preçodiario[[#Headers],[OVO VERMELHO JUMBO]],estoque[data],preçodiario[[#This Row],[data]],estoque[fornecedor],"&lt;&gt;saída"))/(AZ39+(SUMIFS(estoque[quantidade],estoque[produto],preçodiario[[#Headers],[OVO VERMELHO JUMBO]],estoque[fornecedor],"&lt;&gt;saída",estoque[data],preçodiario[[#This Row],[data]])))))</f>
        <v/>
      </c>
      <c r="AZ40" s="22">
        <f>IF(preçodiario[[#This Row],[entrada JV]]=0,AZ39-(SUMIFS(estoque[quantidade],estoque[fornecedor],"saída",estoque[produto],preçodiario[[#Headers],[OVO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Row],[data]]))+AZ39+preçodiario[[#This Row],[entrada JV]])</f>
        <v>0</v>
      </c>
      <c r="BA40" s="22">
        <f>SUMIFS(estoque[quantidade],estoque[fornecedor],"&lt;&gt;saída",estoque[produto],preçodiario[[#Headers],[OVO VERMELHO JUMBO]],estoque[data],preçodiario[[#This Row],[data]])</f>
        <v>0</v>
      </c>
      <c r="BB40" s="20">
        <f>SUMIFS(estoque[valor total],estoque[fornecedor],"&lt;&gt;saída",estoque[produto],preçodiario[[#Headers],[OVO VERMELHO JUMBO]],estoque[data],preçodiario[[#This Row],[data]])</f>
        <v>0</v>
      </c>
      <c r="BC40" s="20">
        <f>IFERROR(preçodiario[[#This Row],[OVO VERMELHO JUMBO]]*preçodiario[[#This Row],[estoque JV]],0)</f>
        <v>0</v>
      </c>
      <c r="BD40" t="str">
        <f>TEXT(vendaAno[[#This Row],[data]],"mmm")</f>
        <v>fev</v>
      </c>
      <c r="BE40" t="str">
        <f>TEXT(vendaAno[[#This Row],[data]],"ddd")</f>
        <v>dom</v>
      </c>
      <c r="BF40" s="82">
        <f>WEEKNUM(vendaAno[[#This Row],[data]],13)</f>
        <v>6</v>
      </c>
      <c r="BG40" s="27">
        <f>preçodiario[[#This Row],[data]]</f>
        <v>46061</v>
      </c>
      <c r="BH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0" s="8">
        <f>IF(SUMIFS(estoque[valor total],estoque[fornecedor],"saída",estoque[data],vendaAno[[#This Row],[data]])=0,"",SUMIFS(estoque[valor total],estoque[fornecedor],"saída",estoque[data],vendaAno[[#This Row],[data]]))</f>
        <v>489.5</v>
      </c>
      <c r="BJ4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Row],[data]]))/12+BJ39,"")</f>
        <v>34.749999999999964</v>
      </c>
      <c r="BK40" s="79">
        <f>IF(SUMIFS(estoque[quantidade],estoque[fornecedor],"saída",estoque[data],vendaAno[[#This Row],[data]])/12=0,"",SUMIFS(estoque[quantidade],estoque[fornecedor],"saída",estoque[data],vendaAno[[#This Row],[data]])/12)</f>
        <v>2.3333333333333335</v>
      </c>
      <c r="BL40" s="8">
        <f ca="1">IF(vendaAno[[#This Row],[data]]&lt;=TODAY(),IF(SUMIFS(estoque[lucro],estoque[fornecedor],"saída",estoque[data],vendaAno[[#This Row],[data]])=0,AVERAGE(BL37:BL39),SUMIFS(estoque[lucro],estoque[fornecedor],"saída",estoque[data],vendaAno[[#This Row],[data]])),"")</f>
        <v>98.59</v>
      </c>
      <c r="BM40" s="10">
        <f ca="1">IFERROR(vendaAno[[#This Row],[lucro]]/vendaAno[[#This Row],[valor de venda]],"")</f>
        <v>0.20140960163432076</v>
      </c>
      <c r="BN4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6008.5511532052296</v>
      </c>
      <c r="BO40" s="8">
        <f ca="1">IF(TODAY()&gt;=vendaAno[[#This Row],[data]],IF(vendaAno[[#This Row],[N°]]=BF39,vendaAno[[#This Row],[lucro]]-173.33+BO39,vendaAno[[#This Row],[lucro]]-150),"")</f>
        <v>-199.15000000000009</v>
      </c>
      <c r="BP40" s="81">
        <f ca="1">IF(TODAY()&gt;=vendaAno[[#This Row],[data]],SUM(BK34:BK40)*12,"")</f>
        <v>233.99999999999994</v>
      </c>
      <c r="BQ40" s="7">
        <f ca="1">IFERROR(vendaAno[[#This Row],[lucro]]/(vendaAno[[#This Row],[venda]]*12),"")</f>
        <v>3.5210714285714286</v>
      </c>
      <c r="BT40" s="95">
        <f ca="1">WEEKNUM(PvPcML[[#This Row],[data]],13)</f>
        <v>25</v>
      </c>
      <c r="BU40" s="132">
        <f t="shared" ca="1" si="0"/>
        <v>46195</v>
      </c>
      <c r="BV40" s="7">
        <f ca="1">IFERROR(SUMIFS(vendaAno[valor de venda],vendaAno[data],PvPcML[[#This Row],[data]])/(SUMIFS(vendaAno[venda],vendaAno[data],PvPcML[[#This Row],[data]])*12),"")</f>
        <v>18.75</v>
      </c>
      <c r="BW40" s="8">
        <f ca="1">IFERROR(SUMIFS(vendaAno[valor de venda],vendaAno[data],PvPcML[[#This Row],[data]])/(SUMIFS(vendaAno[venda],vendaAno[data],PvPcML[[#This Row],[data]])*12)-PvPcML[[#This Row],[lucro médio]],"")</f>
        <v>15.413333333333334</v>
      </c>
      <c r="BX40" s="7">
        <f ca="1">IF(SUMIFS(vendaAno[[lucro médio ]],vendaAno[data],PvPcML[[#This Row],[data]])=0,"",SUMIFS(vendaAno[[lucro médio ]],vendaAno[data],PvPcML[[#This Row],[data]]))</f>
        <v>3.3366666666666664</v>
      </c>
      <c r="BY40" s="90">
        <v>39</v>
      </c>
      <c r="BZ40" s="89">
        <f t="shared" si="1"/>
        <v>46289</v>
      </c>
      <c r="CA40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0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0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0" s="82" t="str">
        <f ca="1">IFERROR(AVERAGEIFS(vendaAno[venda],vendaAno[data],"&gt;="&amp;semanal[[#This Row],[semana]],vendaAno[data],"&lt;="&amp;semanal[[#This Row],[semana]]+6),"")</f>
        <v/>
      </c>
      <c r="CE40" s="82" t="str">
        <f ca="1">IFERROR((150/semanal[[#This Row],[lucro médio por cartela]])/12,"")</f>
        <v/>
      </c>
    </row>
    <row r="41" spans="1:101" x14ac:dyDescent="0.25">
      <c r="A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1" s="18" t="str">
        <f>TEXT(preçodiario[[#This Row],[data]],"MMM")</f>
        <v>fev</v>
      </c>
      <c r="C41" s="18" t="str">
        <f>TEXT(preçodiario[[#This Row],[data]],"ddd")</f>
        <v>seg</v>
      </c>
      <c r="D41" s="96">
        <f>WEEKNUM(preçodiario[[#This Row],[data]],13)</f>
        <v>6</v>
      </c>
      <c r="E41" s="37">
        <v>46062</v>
      </c>
      <c r="F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Row],[data]])),((F40*G40)+SUMIFS(estoque[valor total],estoque[produto],preçodiario[[#Headers],[OVO BRANCO A]],estoque[data],preçodiario[[#This Row],[data]],estoque[fornecedor],"&lt;&gt;saída"))/(G40+(SUMIFS(estoque[quantidade],estoque[produto],preçodiario[[#Headers],[OVO BRANCO A]],estoque[fornecedor],"&lt;&gt;saída",estoque[data],preçodiario[[#This Row],[data]])))))</f>
        <v>14.356973567766138</v>
      </c>
      <c r="G41" s="22">
        <f>IF(preçodiario[[#This Row],[entrada A]]=0,G40-(SUMIFS(estoque[quantidade],estoque[fornecedor],"saída",estoque[produto],preçodiario[[#Headers],[OVO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Row],[data]]))+G40+preçodiario[[#This Row],[entrada A]])</f>
        <v>125</v>
      </c>
      <c r="H41" s="22">
        <f>SUMIFS(estoque[quantidade],estoque[fornecedor],"&lt;&gt;saída",estoque[produto],preçodiario[[#Headers],[OVO BRANCO A]],estoque[data],preçodiario[[#This Row],[data]])</f>
        <v>0</v>
      </c>
      <c r="I41" s="20">
        <f>SUMIFS(estoque[valor total],estoque[fornecedor],"&lt;&gt;saída",estoque[produto],preçodiario[[#Headers],[OVO BRANCO A]],estoque[data],preçodiario[[#This Row],[data]])</f>
        <v>0</v>
      </c>
      <c r="J41" s="20">
        <f>IFERROR(preçodiario[[#This Row],[estoque A]]*preçodiario[[#This Row],[OVO BRANCO A]],0)</f>
        <v>1794.6216959707672</v>
      </c>
      <c r="K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Row],[data]])),((K40*L40)+SUMIFS(estoque[valor total],estoque[produto],preçodiario[[#Headers],[OVO BRANCO B]],estoque[data],preçodiario[[#This Row],[data]],estoque[fornecedor],"&lt;&gt;saída"))/(L40+(SUMIFS(estoque[quantidade],estoque[produto],preçodiario[[#Headers],[OVO BRANCO B]],estoque[fornecedor],"&lt;&gt;saída",estoque[data],preçodiario[[#This Row],[data]])))))</f>
        <v>13.340738386883478</v>
      </c>
      <c r="L41" s="22">
        <f>IF(preçodiario[[#This Row],[entrada B]]=0,L40-(SUMIFS(estoque[quantidade],estoque[fornecedor],"saída",estoque[produto],preçodiario[[#Headers],[OVO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Row],[data]]))+L40+preçodiario[[#This Row],[entrada B]])</f>
        <v>49</v>
      </c>
      <c r="M41" s="22">
        <f>SUMIFS(estoque[quantidade],estoque[fornecedor],"&lt;&gt;saída",estoque[produto],preçodiario[[#Headers],[OVO BRANCO B]],estoque[data],preçodiario[[#This Row],[data]])</f>
        <v>0</v>
      </c>
      <c r="N41" s="20">
        <f>SUMIFS(estoque[valor total],estoque[fornecedor],"&lt;&gt;saída",estoque[produto],preçodiario[[#Headers],[OVO BRANCO B]],estoque[data],preçodiario[[#This Row],[data]])</f>
        <v>0</v>
      </c>
      <c r="O41" s="20">
        <f>IFERROR(preçodiario[[#This Row],[OVO BRANCO B]]*preçodiario[[#This Row],[estoque B]],0)</f>
        <v>653.69618095729038</v>
      </c>
      <c r="P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Row],[data]])),((P40*Q40)+SUMIFS(estoque[valor total],estoque[produto],preçodiario[[#Headers],[OVO BRANCO C]],estoque[data],preçodiario[[#This Row],[data]],estoque[fornecedor],"&lt;&gt;saída"))/(Q40+(SUMIFS(estoque[quantidade],estoque[produto],preçodiario[[#Headers],[OVO BRANCO C]],estoque[fornecedor],"&lt;&gt;saída",estoque[data],preçodiario[[#This Row],[data]])))))</f>
        <v>13.874671916010501</v>
      </c>
      <c r="Q41" s="22">
        <f>IF(preçodiario[[#This Row],[entrada C]]=0,Q40-(SUMIFS(estoque[quantidade],estoque[fornecedor],"saída",estoque[produto],preçodiario[[#Headers],[OVO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Row],[data]]))+Q40+preçodiario[[#This Row],[entrada C]])</f>
        <v>15</v>
      </c>
      <c r="R41" s="22">
        <f>SUMIFS(estoque[quantidade],estoque[fornecedor],"&lt;&gt;saída",estoque[produto],preçodiario[[#Headers],[OVO BRANCO C]],estoque[data],preçodiario[[#This Row],[data]])</f>
        <v>0</v>
      </c>
      <c r="S41" s="20">
        <f>SUMIFS(estoque[valor total],estoque[fornecedor],"&lt;&gt;saída",estoque[produto],preçodiario[[#Headers],[OVO BRANCO C]],estoque[data],preçodiario[[#This Row],[data]])</f>
        <v>0</v>
      </c>
      <c r="T41" s="20">
        <f>IFERROR(preçodiario[[#This Row],[OVO BRANCO C]]*preçodiario[[#This Row],[estoque C]],0)</f>
        <v>208.12007874015751</v>
      </c>
      <c r="U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Row],[data]])),((U40*V40)+SUMIFS(estoque[valor total],estoque[produto],preçodiario[[#Headers],[OVO BRANCO EXTRA]],estoque[data],preçodiario[[#This Row],[data]],estoque[fornecedor],"&lt;&gt;saída"))/(V40+(SUMIFS(estoque[quantidade],estoque[produto],preçodiario[[#Headers],[OVO BRANCO EXTRA]],estoque[fornecedor],"&lt;&gt;saída",estoque[data],preçodiario[[#This Row],[data]])))))</f>
        <v>14.859806712139465</v>
      </c>
      <c r="V41" s="22">
        <f>IF(preçodiario[[#This Row],[entrada E]]=0,V40-(SUMIFS(estoque[quantidade],estoque[fornecedor],"saída",estoque[produto],preçodiario[[#Headers],[OVO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Row],[data]]))+V40+preçodiario[[#This Row],[entrada E]])</f>
        <v>122</v>
      </c>
      <c r="W41" s="22">
        <f>SUMIFS(estoque[quantidade],estoque[fornecedor],"&lt;&gt;saída",estoque[produto],preçodiario[[#Headers],[OVO BRANCO EXTRA]],estoque[data],preçodiario[[#This Row],[data]])</f>
        <v>0</v>
      </c>
      <c r="X41" s="20">
        <f>SUMIFS(estoque[valor total],estoque[fornecedor],"&lt;&gt;saída",estoque[produto],preçodiario[[#Headers],[OVO BRANCO EXTRA]],estoque[data],preçodiario[[#This Row],[data]])</f>
        <v>0</v>
      </c>
      <c r="Y41" s="20">
        <f>IFERROR(preçodiario[[#This Row],[estoque E]]*preçodiario[[#This Row],[OVO BRANCO EXTRA]],0)</f>
        <v>1812.8964188810146</v>
      </c>
      <c r="Z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Row],[data]])),((Z40*AA40)+SUMIFS(estoque[valor total],estoque[produto],preçodiario[[#Headers],[OVO BRANCO JUMBO]],estoque[data],preçodiario[[#This Row],[data]],estoque[fornecedor],"&lt;&gt;saída"))/(AA40+(SUMIFS(estoque[quantidade],estoque[produto],preçodiario[[#Headers],[OVO BRANCO JUMBO]],estoque[fornecedor],"&lt;&gt;saída",estoque[data],preçodiario[[#This Row],[data]])))))</f>
        <v>15</v>
      </c>
      <c r="AA41" s="22">
        <f>IF(preçodiario[[#This Row],[entrada J]]=0,AA40-(SUMIFS(estoque[quantidade],estoque[fornecedor],"saída",estoque[produto],preçodiario[[#Headers],[OVO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Row],[data]]))+AA40+preçodiario[[#This Row],[entrada J]])</f>
        <v>43</v>
      </c>
      <c r="AB41" s="22">
        <f>SUMIFS(estoque[quantidade],estoque[fornecedor],"&lt;&gt;saída",estoque[produto],preçodiario[[#Headers],[OVO BRANCO JUMBO]],estoque[data],preçodiario[[#This Row],[data]])</f>
        <v>0</v>
      </c>
      <c r="AC41" s="20">
        <f>SUMIFS(estoque[valor total],estoque[fornecedor],"&lt;&gt;saída",estoque[produto],preçodiario[[#Headers],[OVO BRANCO JUMBO]],estoque[data],preçodiario[[#This Row],[data]])</f>
        <v>0</v>
      </c>
      <c r="AD41" s="20">
        <f>IFERROR(preçodiario[[#This Row],[OVO BRANCO JUMBO]]*preçodiario[[#This Row],[estoque J]],0)</f>
        <v>645</v>
      </c>
      <c r="AE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Row],[data]])),((AE40*AF40)+SUMIFS(estoque[valor total],estoque[produto],preçodiario[[#Headers],[OVO VERMELHO A]],estoque[data],preçodiario[[#This Row],[data]],estoque[fornecedor],"&lt;&gt;saída"))/(AF40+(SUMIFS(estoque[quantidade],estoque[produto],preçodiario[[#Headers],[OVO VERMELHO A]],estoque[fornecedor],"&lt;&gt;saída",estoque[data],preçodiario[[#This Row],[data]])))))</f>
        <v/>
      </c>
      <c r="AF41" s="22">
        <f>IF(preçodiario[[#This Row],[entrada AV]]=0,AF40-(SUMIFS(estoque[quantidade],estoque[fornecedor],"saída",estoque[produto],preçodiario[[#Headers],[OVO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Row],[data]]))+AF40+preçodiario[[#This Row],[entrada AV]])</f>
        <v>0</v>
      </c>
      <c r="AG41" s="22">
        <f>SUMIFS(estoque[quantidade],estoque[fornecedor],"&lt;&gt;saída",estoque[produto],preçodiario[[#Headers],[OVO VERMELHO A]],estoque[data],preçodiario[[#This Row],[data]])</f>
        <v>0</v>
      </c>
      <c r="AH41" s="20">
        <f>SUMIFS(estoque[valor total],estoque[fornecedor],"&lt;&gt;saída",estoque[produto],preçodiario[[#Headers],[OVO VERMELHO A]],estoque[data],preçodiario[[#This Row],[data]])</f>
        <v>0</v>
      </c>
      <c r="AI41" s="20">
        <f>IFERROR(preçodiario[[#This Row],[OVO VERMELHO A]]*preçodiario[[#This Row],[estoque AV]],0)</f>
        <v>0</v>
      </c>
      <c r="AJ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Row],[data]])),((AJ40*AK40)+SUMIFS(estoque[valor total],estoque[produto],preçodiario[[#Headers],[OVO VERMELHO B]],estoque[data],preçodiario[[#This Row],[data]],estoque[fornecedor],"&lt;&gt;saída"))/(AK40+(SUMIFS(estoque[quantidade],estoque[produto],preçodiario[[#Headers],[OVO VERMELHO B]],estoque[fornecedor],"&lt;&gt;saída",estoque[data],preçodiario[[#This Row],[data]])))))</f>
        <v/>
      </c>
      <c r="AK41" s="22">
        <f>IF(preçodiario[[#This Row],[entrada BV]]=0,AK40-(SUMIFS(estoque[quantidade],estoque[fornecedor],"saída",estoque[produto],preçodiario[[#Headers],[OVO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Row],[data]]))+AK40+preçodiario[[#This Row],[entrada BV]])</f>
        <v>0</v>
      </c>
      <c r="AL41" s="22">
        <f>SUMIFS(estoque[quantidade],estoque[fornecedor],"&lt;&gt;saída",estoque[produto],preçodiario[[#Headers],[OVO VERMELHO B]],estoque[data],preçodiario[[#This Row],[data]])</f>
        <v>0</v>
      </c>
      <c r="AM41" s="20">
        <f>SUMIFS(estoque[valor total],estoque[fornecedor],"&lt;&gt;saída",estoque[produto],preçodiario[[#Headers],[OVO VERMELHO B]],estoque[data],preçodiario[[#This Row],[data]])</f>
        <v>0</v>
      </c>
      <c r="AN41" s="20">
        <f>IFERROR(preçodiario[[#This Row],[OVO VERMELHO B]]*preçodiario[[#This Row],[estoque BV]],0)</f>
        <v>0</v>
      </c>
      <c r="AO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Row],[data]])),((AO40*AP40)+SUMIFS(estoque[valor total],estoque[produto],preçodiario[[#Headers],[OVO VERMELHO C]],estoque[data],preçodiario[[#This Row],[data]],estoque[fornecedor],"&lt;&gt;saída"))/(AP40+(SUMIFS(estoque[quantidade],estoque[produto],preçodiario[[#Headers],[OVO VERMELHO C]],estoque[fornecedor],"&lt;&gt;saída",estoque[data],preçodiario[[#This Row],[data]])))))</f>
        <v/>
      </c>
      <c r="AP41" s="22">
        <f>IF(preçodiario[[#This Row],[entrada CV]]=0,AP40-(SUMIFS(estoque[quantidade],estoque[fornecedor],"saída",estoque[produto],preçodiario[[#Headers],[OVO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Row],[data]]))+AP40+preçodiario[[#This Row],[entrada CV]])</f>
        <v>0</v>
      </c>
      <c r="AQ41" s="22">
        <f>SUMIFS(estoque[quantidade],estoque[fornecedor],"&lt;&gt;saída",estoque[produto],preçodiario[[#Headers],[OVO VERMELHO C]],estoque[data],preçodiario[[#This Row],[data]])</f>
        <v>0</v>
      </c>
      <c r="AR41" s="20">
        <f>SUMIFS(estoque[valor total],estoque[fornecedor],"&lt;&gt;saída",estoque[produto],preçodiario[[#Headers],[OVO VERMELHO C]],estoque[data],preçodiario[[#This Row],[data]])</f>
        <v>0</v>
      </c>
      <c r="AS41" s="20">
        <f>IFERROR(preçodiario[[#This Row],[OVO VERMELHO C]]*preçodiario[[#This Row],[estoque CV]],0)</f>
        <v>0</v>
      </c>
      <c r="AT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Row],[data]])),((AT40*AU40)+SUMIFS(estoque[valor total],estoque[produto],preçodiario[[#Headers],[OVO VERMELHO EXTRA]],estoque[data],preçodiario[[#This Row],[data]],estoque[fornecedor],"&lt;&gt;saída"))/(AU40+(SUMIFS(estoque[quantidade],estoque[produto],preçodiario[[#Headers],[OVO VERMELHO EXTRA]],estoque[fornecedor],"&lt;&gt;saída",estoque[data],preçodiario[[#This Row],[data]])))))</f>
        <v/>
      </c>
      <c r="AU41" s="22">
        <f>IF(preçodiario[[#This Row],[entrada EV]]=0,AU40-(SUMIFS(estoque[quantidade],estoque[fornecedor],"saída",estoque[produto],preçodiario[[#Headers],[OVO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Row],[data]]))+AU40+preçodiario[[#This Row],[entrada EV]])</f>
        <v>0</v>
      </c>
      <c r="AV41" s="22">
        <f>SUMIFS(estoque[quantidade],estoque[fornecedor],"&lt;&gt;saída",estoque[produto],preçodiario[[#Headers],[OVO VERMELHO EXTRA]],estoque[data],preçodiario[[#This Row],[data]])</f>
        <v>0</v>
      </c>
      <c r="AW41" s="20">
        <f>SUMIFS(estoque[valor total],estoque[fornecedor],"&lt;&gt;saída",estoque[produto],preçodiario[[#Headers],[OVO VERMELHO EXTRA]],estoque[data],preçodiario[[#This Row],[data]])</f>
        <v>0</v>
      </c>
      <c r="AX41" s="20">
        <f>IFERROR(preçodiario[[#This Row],[OVO VERMELHO EXTRA]]*preçodiario[[#This Row],[estoque EV]],0)</f>
        <v>0</v>
      </c>
      <c r="AY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Row],[data]])),((AY40*AZ40)+SUMIFS(estoque[valor total],estoque[produto],preçodiario[[#Headers],[OVO VERMELHO JUMBO]],estoque[data],preçodiario[[#This Row],[data]],estoque[fornecedor],"&lt;&gt;saída"))/(AZ40+(SUMIFS(estoque[quantidade],estoque[produto],preçodiario[[#Headers],[OVO VERMELHO JUMBO]],estoque[fornecedor],"&lt;&gt;saída",estoque[data],preçodiario[[#This Row],[data]])))))</f>
        <v/>
      </c>
      <c r="AZ41" s="22">
        <f>IF(preçodiario[[#This Row],[entrada JV]]=0,AZ40-(SUMIFS(estoque[quantidade],estoque[fornecedor],"saída",estoque[produto],preçodiario[[#Headers],[OVO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Row],[data]]))+AZ40+preçodiario[[#This Row],[entrada JV]])</f>
        <v>0</v>
      </c>
      <c r="BA41" s="22">
        <f>SUMIFS(estoque[quantidade],estoque[fornecedor],"&lt;&gt;saída",estoque[produto],preçodiario[[#Headers],[OVO VERMELHO JUMBO]],estoque[data],preçodiario[[#This Row],[data]])</f>
        <v>0</v>
      </c>
      <c r="BB41" s="20">
        <f>SUMIFS(estoque[valor total],estoque[fornecedor],"&lt;&gt;saída",estoque[produto],preçodiario[[#Headers],[OVO VERMELHO JUMBO]],estoque[data],preçodiario[[#This Row],[data]])</f>
        <v>0</v>
      </c>
      <c r="BC41" s="20">
        <f>IFERROR(preçodiario[[#This Row],[OVO VERMELHO JUMBO]]*preçodiario[[#This Row],[estoque JV]],0)</f>
        <v>0</v>
      </c>
      <c r="BD41" t="str">
        <f>TEXT(vendaAno[[#This Row],[data]],"mmm")</f>
        <v>fev</v>
      </c>
      <c r="BE41" t="str">
        <f>TEXT(vendaAno[[#This Row],[data]],"ddd")</f>
        <v>seg</v>
      </c>
      <c r="BF41" s="82">
        <f>WEEKNUM(vendaAno[[#This Row],[data]],13)</f>
        <v>6</v>
      </c>
      <c r="BG41" s="27">
        <f>preçodiario[[#This Row],[data]]</f>
        <v>46062</v>
      </c>
      <c r="BH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1" s="8">
        <f>IF(SUMIFS(estoque[valor total],estoque[fornecedor],"saída",estoque[data],vendaAno[[#This Row],[data]])=0,"",SUMIFS(estoque[valor total],estoque[fornecedor],"saída",estoque[data],vendaAno[[#This Row],[data]]))</f>
        <v>1158</v>
      </c>
      <c r="BJ4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Row],[data]]))/12+BJ40,"")</f>
        <v>29.499999999999964</v>
      </c>
      <c r="BK41" s="79">
        <f>IF(SUMIFS(estoque[quantidade],estoque[fornecedor],"saída",estoque[data],vendaAno[[#This Row],[data]])/12=0,"",SUMIFS(estoque[quantidade],estoque[fornecedor],"saída",estoque[data],vendaAno[[#This Row],[data]])/12)</f>
        <v>5.25</v>
      </c>
      <c r="BL41" s="8">
        <f ca="1">IF(vendaAno[[#This Row],[data]]&lt;=TODAY(),IF(SUMIFS(estoque[lucro],estoque[fornecedor],"saída",estoque[data],vendaAno[[#This Row],[data]])=0,AVERAGE(BL38:BL40),SUMIFS(estoque[lucro],estoque[fornecedor],"saída",estoque[data],vendaAno[[#This Row],[data]])),"")</f>
        <v>263.77</v>
      </c>
      <c r="BM41" s="10">
        <f ca="1">IFERROR(vendaAno[[#This Row],[lucro]]/vendaAno[[#This Row],[valor de venda]],"")</f>
        <v>0.22778065630397235</v>
      </c>
      <c r="BN4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5114.3343745492293</v>
      </c>
      <c r="BO41" s="8">
        <f ca="1">IF(TODAY()&gt;=vendaAno[[#This Row],[data]],IF(vendaAno[[#This Row],[N°]]=BF40,vendaAno[[#This Row],[lucro]]-173.33+BO40,vendaAno[[#This Row],[lucro]]-150),"")</f>
        <v>-108.71000000000012</v>
      </c>
      <c r="BP41" s="81">
        <f ca="1">IF(TODAY()&gt;=vendaAno[[#This Row],[data]],SUM(BK35:BK41)*12,"")</f>
        <v>262</v>
      </c>
      <c r="BQ41" s="7">
        <f ca="1">IFERROR(vendaAno[[#This Row],[lucro]]/(vendaAno[[#This Row],[venda]]*12),"")</f>
        <v>4.1868253968253963</v>
      </c>
      <c r="BT41" s="95">
        <f ca="1">WEEKNUM(PvPcML[[#This Row],[data]],13)</f>
        <v>25</v>
      </c>
      <c r="BU41" s="132">
        <f t="shared" ca="1" si="0"/>
        <v>46194</v>
      </c>
      <c r="BV41" s="7">
        <f ca="1">IFERROR(SUMIFS(vendaAno[valor de venda],vendaAno[data],PvPcML[[#This Row],[data]])/(SUMIFS(vendaAno[venda],vendaAno[data],PvPcML[[#This Row],[data]])*12),"")</f>
        <v>18.3</v>
      </c>
      <c r="BW41" s="8">
        <f ca="1">IFERROR(SUMIFS(vendaAno[valor de venda],vendaAno[data],PvPcML[[#This Row],[data]])/(SUMIFS(vendaAno[venda],vendaAno[data],PvPcML[[#This Row],[data]])*12)-PvPcML[[#This Row],[lucro médio]],"")</f>
        <v>15.269500000000001</v>
      </c>
      <c r="BX41" s="7">
        <f ca="1">IF(SUMIFS(vendaAno[[lucro médio ]],vendaAno[data],PvPcML[[#This Row],[data]])=0,"",SUMIFS(vendaAno[[lucro médio ]],vendaAno[data],PvPcML[[#This Row],[data]]))</f>
        <v>3.0305000000000004</v>
      </c>
      <c r="BY41" s="91">
        <v>40</v>
      </c>
      <c r="BZ41" s="89">
        <f t="shared" si="1"/>
        <v>46296</v>
      </c>
      <c r="CA41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1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1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1" s="82" t="str">
        <f ca="1">IFERROR(AVERAGEIFS(vendaAno[venda],vendaAno[data],"&gt;="&amp;semanal[[#This Row],[semana]],vendaAno[data],"&lt;="&amp;semanal[[#This Row],[semana]]+6),"")</f>
        <v/>
      </c>
      <c r="CE41" s="82" t="str">
        <f ca="1">IFERROR((150/semanal[[#This Row],[lucro médio por cartela]])/12,"")</f>
        <v/>
      </c>
    </row>
    <row r="42" spans="1:101" x14ac:dyDescent="0.25">
      <c r="A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2" s="18" t="str">
        <f>TEXT(preçodiario[[#This Row],[data]],"MMM")</f>
        <v>fev</v>
      </c>
      <c r="C42" s="18" t="str">
        <f>TEXT(preçodiario[[#This Row],[data]],"ddd")</f>
        <v>ter</v>
      </c>
      <c r="D42" s="96">
        <f>WEEKNUM(preçodiario[[#This Row],[data]],13)</f>
        <v>6</v>
      </c>
      <c r="E42" s="37">
        <v>46063</v>
      </c>
      <c r="F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Row],[data]])),((F41*G41)+SUMIFS(estoque[valor total],estoque[produto],preçodiario[[#Headers],[OVO BRANCO A]],estoque[data],preçodiario[[#This Row],[data]],estoque[fornecedor],"&lt;&gt;saída"))/(G41+(SUMIFS(estoque[quantidade],estoque[produto],preçodiario[[#Headers],[OVO BRANCO A]],estoque[fornecedor],"&lt;&gt;saída",estoque[data],preçodiario[[#This Row],[data]])))))</f>
        <v>14.356973567766138</v>
      </c>
      <c r="G42" s="22">
        <f>IF(preçodiario[[#This Row],[entrada A]]=0,G41-(SUMIFS(estoque[quantidade],estoque[fornecedor],"saída",estoque[produto],preçodiario[[#Headers],[OVO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Row],[data]]))+G41+preçodiario[[#This Row],[entrada A]])</f>
        <v>101</v>
      </c>
      <c r="H42" s="22">
        <f>SUMIFS(estoque[quantidade],estoque[fornecedor],"&lt;&gt;saída",estoque[produto],preçodiario[[#Headers],[OVO BRANCO A]],estoque[data],preçodiario[[#This Row],[data]])</f>
        <v>0</v>
      </c>
      <c r="I42" s="20">
        <f>SUMIFS(estoque[valor total],estoque[fornecedor],"&lt;&gt;saída",estoque[produto],preçodiario[[#Headers],[OVO BRANCO A]],estoque[data],preçodiario[[#This Row],[data]])</f>
        <v>0</v>
      </c>
      <c r="J42" s="20">
        <f>IFERROR(preçodiario[[#This Row],[estoque A]]*preçodiario[[#This Row],[OVO BRANCO A]],0)</f>
        <v>1450.0543303443799</v>
      </c>
      <c r="K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Row],[data]])),((K41*L41)+SUMIFS(estoque[valor total],estoque[produto],preçodiario[[#Headers],[OVO BRANCO B]],estoque[data],preçodiario[[#This Row],[data]],estoque[fornecedor],"&lt;&gt;saída"))/(L41+(SUMIFS(estoque[quantidade],estoque[produto],preçodiario[[#Headers],[OVO BRANCO B]],estoque[fornecedor],"&lt;&gt;saída",estoque[data],preçodiario[[#This Row],[data]])))))</f>
        <v>13.039622372528346</v>
      </c>
      <c r="L42" s="22">
        <f>IF(preçodiario[[#This Row],[entrada B]]=0,L41-(SUMIFS(estoque[quantidade],estoque[fornecedor],"saída",estoque[produto],preçodiario[[#Headers],[OVO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Row],[data]]))+L41+preçodiario[[#This Row],[entrada B]])</f>
        <v>167</v>
      </c>
      <c r="M42" s="22">
        <f>SUMIFS(estoque[quantidade],estoque[fornecedor],"&lt;&gt;saída",estoque[produto],preçodiario[[#Headers],[OVO BRANCO B]],estoque[data],preçodiario[[#This Row],[data]])</f>
        <v>120</v>
      </c>
      <c r="N42" s="20">
        <f>SUMIFS(estoque[valor total],estoque[fornecedor],"&lt;&gt;saída",estoque[produto],preçodiario[[#Headers],[OVO BRANCO B]],estoque[data],preçodiario[[#This Row],[data]])</f>
        <v>1550</v>
      </c>
      <c r="O42" s="20">
        <f>IFERROR(preçodiario[[#This Row],[OVO BRANCO B]]*preçodiario[[#This Row],[estoque B]],0)</f>
        <v>2177.6169362122337</v>
      </c>
      <c r="P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Row],[data]])),((P41*Q41)+SUMIFS(estoque[valor total],estoque[produto],preçodiario[[#Headers],[OVO BRANCO C]],estoque[data],preçodiario[[#This Row],[data]],estoque[fornecedor],"&lt;&gt;saída"))/(Q41+(SUMIFS(estoque[quantidade],estoque[produto],preçodiario[[#Headers],[OVO BRANCO C]],estoque[fornecedor],"&lt;&gt;saída",estoque[data],preçodiario[[#This Row],[data]])))))</f>
        <v>13.874671916010501</v>
      </c>
      <c r="Q42" s="22">
        <f>IF(preçodiario[[#This Row],[entrada C]]=0,Q41-(SUMIFS(estoque[quantidade],estoque[fornecedor],"saída",estoque[produto],preçodiario[[#Headers],[OVO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Row],[data]]))+Q41+preçodiario[[#This Row],[entrada C]])</f>
        <v>13</v>
      </c>
      <c r="R42" s="22">
        <f>SUMIFS(estoque[quantidade],estoque[fornecedor],"&lt;&gt;saída",estoque[produto],preçodiario[[#Headers],[OVO BRANCO C]],estoque[data],preçodiario[[#This Row],[data]])</f>
        <v>0</v>
      </c>
      <c r="S42" s="20">
        <f>SUMIFS(estoque[valor total],estoque[fornecedor],"&lt;&gt;saída",estoque[produto],preçodiario[[#Headers],[OVO BRANCO C]],estoque[data],preçodiario[[#This Row],[data]])</f>
        <v>0</v>
      </c>
      <c r="T42" s="20">
        <f>IFERROR(preçodiario[[#This Row],[OVO BRANCO C]]*preçodiario[[#This Row],[estoque C]],0)</f>
        <v>180.37073490813651</v>
      </c>
      <c r="U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Row],[data]])),((U41*V41)+SUMIFS(estoque[valor total],estoque[produto],preçodiario[[#Headers],[OVO BRANCO EXTRA]],estoque[data],preçodiario[[#This Row],[data]],estoque[fornecedor],"&lt;&gt;saída"))/(V41+(SUMIFS(estoque[quantidade],estoque[produto],preçodiario[[#Headers],[OVO BRANCO EXTRA]],estoque[fornecedor],"&lt;&gt;saída",estoque[data],preçodiario[[#This Row],[data]])))))</f>
        <v>14.859806712139465</v>
      </c>
      <c r="V42" s="22">
        <f>IF(preçodiario[[#This Row],[entrada E]]=0,V41-(SUMIFS(estoque[quantidade],estoque[fornecedor],"saída",estoque[produto],preçodiario[[#Headers],[OVO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Row],[data]]))+V41+preçodiario[[#This Row],[entrada E]])</f>
        <v>114</v>
      </c>
      <c r="W42" s="22">
        <f>SUMIFS(estoque[quantidade],estoque[fornecedor],"&lt;&gt;saída",estoque[produto],preçodiario[[#Headers],[OVO BRANCO EXTRA]],estoque[data],preçodiario[[#This Row],[data]])</f>
        <v>0</v>
      </c>
      <c r="X42" s="20">
        <f>SUMIFS(estoque[valor total],estoque[fornecedor],"&lt;&gt;saída",estoque[produto],preçodiario[[#Headers],[OVO BRANCO EXTRA]],estoque[data],preçodiario[[#This Row],[data]])</f>
        <v>0</v>
      </c>
      <c r="Y42" s="20">
        <f>IFERROR(preçodiario[[#This Row],[estoque E]]*preçodiario[[#This Row],[OVO BRANCO EXTRA]],0)</f>
        <v>1694.0179651838989</v>
      </c>
      <c r="Z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Row],[data]])),((Z41*AA41)+SUMIFS(estoque[valor total],estoque[produto],preçodiario[[#Headers],[OVO BRANCO JUMBO]],estoque[data],preçodiario[[#This Row],[data]],estoque[fornecedor],"&lt;&gt;saída"))/(AA41+(SUMIFS(estoque[quantidade],estoque[produto],preçodiario[[#Headers],[OVO BRANCO JUMBO]],estoque[fornecedor],"&lt;&gt;saída",estoque[data],preçodiario[[#This Row],[data]])))))</f>
        <v>15.521739130434783</v>
      </c>
      <c r="AA42" s="22">
        <f>IF(preçodiario[[#This Row],[entrada J]]=0,AA41-(SUMIFS(estoque[quantidade],estoque[fornecedor],"saída",estoque[produto],preçodiario[[#Headers],[OVO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Row],[data]]))+AA41+preçodiario[[#This Row],[entrada J]])</f>
        <v>103</v>
      </c>
      <c r="AB42" s="22">
        <f>SUMIFS(estoque[quantidade],estoque[fornecedor],"&lt;&gt;saída",estoque[produto],preçodiario[[#Headers],[OVO BRANCO JUMBO]],estoque[data],preçodiario[[#This Row],[data]])</f>
        <v>72</v>
      </c>
      <c r="AC42" s="20">
        <f>SUMIFS(estoque[valor total],estoque[fornecedor],"&lt;&gt;saída",estoque[produto],preçodiario[[#Headers],[OVO BRANCO JUMBO]],estoque[data],preçodiario[[#This Row],[data]])</f>
        <v>1140</v>
      </c>
      <c r="AD42" s="20">
        <f>IFERROR(preçodiario[[#This Row],[OVO BRANCO JUMBO]]*preçodiario[[#This Row],[estoque J]],0)</f>
        <v>1598.7391304347827</v>
      </c>
      <c r="AE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Row],[data]])),((AE41*AF41)+SUMIFS(estoque[valor total],estoque[produto],preçodiario[[#Headers],[OVO VERMELHO A]],estoque[data],preçodiario[[#This Row],[data]],estoque[fornecedor],"&lt;&gt;saída"))/(AF41+(SUMIFS(estoque[quantidade],estoque[produto],preçodiario[[#Headers],[OVO VERMELHO A]],estoque[fornecedor],"&lt;&gt;saída",estoque[data],preçodiario[[#This Row],[data]])))))</f>
        <v/>
      </c>
      <c r="AF42" s="22">
        <f>IF(preçodiario[[#This Row],[entrada AV]]=0,AF41-(SUMIFS(estoque[quantidade],estoque[fornecedor],"saída",estoque[produto],preçodiario[[#Headers],[OVO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Row],[data]]))+AF41+preçodiario[[#This Row],[entrada AV]])</f>
        <v>0</v>
      </c>
      <c r="AG42" s="22">
        <f>SUMIFS(estoque[quantidade],estoque[fornecedor],"&lt;&gt;saída",estoque[produto],preçodiario[[#Headers],[OVO VERMELHO A]],estoque[data],preçodiario[[#This Row],[data]])</f>
        <v>0</v>
      </c>
      <c r="AH42" s="20">
        <f>SUMIFS(estoque[valor total],estoque[fornecedor],"&lt;&gt;saída",estoque[produto],preçodiario[[#Headers],[OVO VERMELHO A]],estoque[data],preçodiario[[#This Row],[data]])</f>
        <v>0</v>
      </c>
      <c r="AI42" s="20">
        <f>IFERROR(preçodiario[[#This Row],[OVO VERMELHO A]]*preçodiario[[#This Row],[estoque AV]],0)</f>
        <v>0</v>
      </c>
      <c r="AJ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Row],[data]])),((AJ41*AK41)+SUMIFS(estoque[valor total],estoque[produto],preçodiario[[#Headers],[OVO VERMELHO B]],estoque[data],preçodiario[[#This Row],[data]],estoque[fornecedor],"&lt;&gt;saída"))/(AK41+(SUMIFS(estoque[quantidade],estoque[produto],preçodiario[[#Headers],[OVO VERMELHO B]],estoque[fornecedor],"&lt;&gt;saída",estoque[data],preçodiario[[#This Row],[data]])))))</f>
        <v/>
      </c>
      <c r="AK42" s="22">
        <f>IF(preçodiario[[#This Row],[entrada BV]]=0,AK41-(SUMIFS(estoque[quantidade],estoque[fornecedor],"saída",estoque[produto],preçodiario[[#Headers],[OVO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Row],[data]]))+AK41+preçodiario[[#This Row],[entrada BV]])</f>
        <v>0</v>
      </c>
      <c r="AL42" s="22">
        <f>SUMIFS(estoque[quantidade],estoque[fornecedor],"&lt;&gt;saída",estoque[produto],preçodiario[[#Headers],[OVO VERMELHO B]],estoque[data],preçodiario[[#This Row],[data]])</f>
        <v>0</v>
      </c>
      <c r="AM42" s="20">
        <f>SUMIFS(estoque[valor total],estoque[fornecedor],"&lt;&gt;saída",estoque[produto],preçodiario[[#Headers],[OVO VERMELHO B]],estoque[data],preçodiario[[#This Row],[data]])</f>
        <v>0</v>
      </c>
      <c r="AN42" s="20">
        <f>IFERROR(preçodiario[[#This Row],[OVO VERMELHO B]]*preçodiario[[#This Row],[estoque BV]],0)</f>
        <v>0</v>
      </c>
      <c r="AO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Row],[data]])),((AO41*AP41)+SUMIFS(estoque[valor total],estoque[produto],preçodiario[[#Headers],[OVO VERMELHO C]],estoque[data],preçodiario[[#This Row],[data]],estoque[fornecedor],"&lt;&gt;saída"))/(AP41+(SUMIFS(estoque[quantidade],estoque[produto],preçodiario[[#Headers],[OVO VERMELHO C]],estoque[fornecedor],"&lt;&gt;saída",estoque[data],preçodiario[[#This Row],[data]])))))</f>
        <v/>
      </c>
      <c r="AP42" s="22">
        <f>IF(preçodiario[[#This Row],[entrada CV]]=0,AP41-(SUMIFS(estoque[quantidade],estoque[fornecedor],"saída",estoque[produto],preçodiario[[#Headers],[OVO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Row],[data]]))+AP41+preçodiario[[#This Row],[entrada CV]])</f>
        <v>0</v>
      </c>
      <c r="AQ42" s="22">
        <f>SUMIFS(estoque[quantidade],estoque[fornecedor],"&lt;&gt;saída",estoque[produto],preçodiario[[#Headers],[OVO VERMELHO C]],estoque[data],preçodiario[[#This Row],[data]])</f>
        <v>0</v>
      </c>
      <c r="AR42" s="20">
        <f>SUMIFS(estoque[valor total],estoque[fornecedor],"&lt;&gt;saída",estoque[produto],preçodiario[[#Headers],[OVO VERMELHO C]],estoque[data],preçodiario[[#This Row],[data]])</f>
        <v>0</v>
      </c>
      <c r="AS42" s="20">
        <f>IFERROR(preçodiario[[#This Row],[OVO VERMELHO C]]*preçodiario[[#This Row],[estoque CV]],0)</f>
        <v>0</v>
      </c>
      <c r="AT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Row],[data]])),((AT41*AU41)+SUMIFS(estoque[valor total],estoque[produto],preçodiario[[#Headers],[OVO VERMELHO EXTRA]],estoque[data],preçodiario[[#This Row],[data]],estoque[fornecedor],"&lt;&gt;saída"))/(AU41+(SUMIFS(estoque[quantidade],estoque[produto],preçodiario[[#Headers],[OVO VERMELHO EXTRA]],estoque[fornecedor],"&lt;&gt;saída",estoque[data],preçodiario[[#This Row],[data]])))))</f>
        <v/>
      </c>
      <c r="AU42" s="22">
        <f>IF(preçodiario[[#This Row],[entrada EV]]=0,AU41-(SUMIFS(estoque[quantidade],estoque[fornecedor],"saída",estoque[produto],preçodiario[[#Headers],[OVO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Row],[data]]))+AU41+preçodiario[[#This Row],[entrada EV]])</f>
        <v>0</v>
      </c>
      <c r="AV42" s="22">
        <f>SUMIFS(estoque[quantidade],estoque[fornecedor],"&lt;&gt;saída",estoque[produto],preçodiario[[#Headers],[OVO VERMELHO EXTRA]],estoque[data],preçodiario[[#This Row],[data]])</f>
        <v>0</v>
      </c>
      <c r="AW42" s="20">
        <f>SUMIFS(estoque[valor total],estoque[fornecedor],"&lt;&gt;saída",estoque[produto],preçodiario[[#Headers],[OVO VERMELHO EXTRA]],estoque[data],preçodiario[[#This Row],[data]])</f>
        <v>0</v>
      </c>
      <c r="AX42" s="20">
        <f>IFERROR(preçodiario[[#This Row],[OVO VERMELHO EXTRA]]*preçodiario[[#This Row],[estoque EV]],0)</f>
        <v>0</v>
      </c>
      <c r="AY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Row],[data]])),((AY41*AZ41)+SUMIFS(estoque[valor total],estoque[produto],preçodiario[[#Headers],[OVO VERMELHO JUMBO]],estoque[data],preçodiario[[#This Row],[data]],estoque[fornecedor],"&lt;&gt;saída"))/(AZ41+(SUMIFS(estoque[quantidade],estoque[produto],preçodiario[[#Headers],[OVO VERMELHO JUMBO]],estoque[fornecedor],"&lt;&gt;saída",estoque[data],preçodiario[[#This Row],[data]])))))</f>
        <v/>
      </c>
      <c r="AZ42" s="22">
        <f>IF(preçodiario[[#This Row],[entrada JV]]=0,AZ41-(SUMIFS(estoque[quantidade],estoque[fornecedor],"saída",estoque[produto],preçodiario[[#Headers],[OVO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Row],[data]]))+AZ41+preçodiario[[#This Row],[entrada JV]])</f>
        <v>0</v>
      </c>
      <c r="BA42" s="22">
        <f>SUMIFS(estoque[quantidade],estoque[fornecedor],"&lt;&gt;saída",estoque[produto],preçodiario[[#Headers],[OVO VERMELHO JUMBO]],estoque[data],preçodiario[[#This Row],[data]])</f>
        <v>0</v>
      </c>
      <c r="BB42" s="20">
        <f>SUMIFS(estoque[valor total],estoque[fornecedor],"&lt;&gt;saída",estoque[produto],preçodiario[[#Headers],[OVO VERMELHO JUMBO]],estoque[data],preçodiario[[#This Row],[data]])</f>
        <v>0</v>
      </c>
      <c r="BC42" s="20">
        <f>IFERROR(preçodiario[[#This Row],[OVO VERMELHO JUMBO]]*preçodiario[[#This Row],[estoque JV]],0)</f>
        <v>0</v>
      </c>
      <c r="BD42" t="str">
        <f>TEXT(vendaAno[[#This Row],[data]],"mmm")</f>
        <v>fev</v>
      </c>
      <c r="BE42" t="str">
        <f>TEXT(vendaAno[[#This Row],[data]],"ddd")</f>
        <v>ter</v>
      </c>
      <c r="BF42" s="82">
        <f>WEEKNUM(vendaAno[[#This Row],[data]],13)</f>
        <v>6</v>
      </c>
      <c r="BG42" s="27">
        <f>preçodiario[[#This Row],[data]]</f>
        <v>46063</v>
      </c>
      <c r="BH42" s="8">
        <f>IF(SUMIFS(estoque[valor total],estoque[fornecedor],"&lt;&gt;saída",estoque[data],vendaAno[[#This Row],[data]])=0,"",SUMIFS(estoque[valor total],estoque[fornecedor],"&lt;&gt;saída",estoque[data],vendaAno[[#This Row],[data]]))</f>
        <v>2690</v>
      </c>
      <c r="BI42" s="8">
        <f>IF(SUMIFS(estoque[valor total],estoque[fornecedor],"saída",estoque[data],vendaAno[[#This Row],[data]])=0,"",SUMIFS(estoque[valor total],estoque[fornecedor],"saída",estoque[data],vendaAno[[#This Row],[data]]))</f>
        <v>911</v>
      </c>
      <c r="BJ4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Row],[data]]))/12+BJ41,"")</f>
        <v>41.499999999999964</v>
      </c>
      <c r="BK42" s="79">
        <f>IF(SUMIFS(estoque[quantidade],estoque[fornecedor],"saída",estoque[data],vendaAno[[#This Row],[data]])/12=0,"",SUMIFS(estoque[quantidade],estoque[fornecedor],"saída",estoque[data],vendaAno[[#This Row],[data]])/12)</f>
        <v>4</v>
      </c>
      <c r="BL42" s="8">
        <f ca="1">IF(vendaAno[[#This Row],[data]]&lt;=TODAY(),IF(SUMIFS(estoque[lucro],estoque[fornecedor],"saída",estoque[data],vendaAno[[#This Row],[data]])=0,AVERAGE(BL39:BL41),SUMIFS(estoque[lucro],estoque[fornecedor],"saída",estoque[data],vendaAno[[#This Row],[data]])),"")</f>
        <v>209.46999999999997</v>
      </c>
      <c r="BM42" s="10">
        <f ca="1">IFERROR(vendaAno[[#This Row],[lucro]]/vendaAno[[#This Row],[valor de venda]],"")</f>
        <v>0.22993413830954992</v>
      </c>
      <c r="BN4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7100.7990970834317</v>
      </c>
      <c r="BO42" s="8">
        <f ca="1">IF(TODAY()&gt;=vendaAno[[#This Row],[data]],IF(vendaAno[[#This Row],[N°]]=BF41,vendaAno[[#This Row],[lucro]]-173.33+BO41,vendaAno[[#This Row],[lucro]]-150),"")</f>
        <v>-72.570000000000164</v>
      </c>
      <c r="BP42" s="81">
        <f ca="1">IF(TODAY()&gt;=vendaAno[[#This Row],[data]],SUM(BK36:BK42)*12,"")</f>
        <v>269</v>
      </c>
      <c r="BQ42" s="7">
        <f ca="1">IFERROR(vendaAno[[#This Row],[lucro]]/(vendaAno[[#This Row],[venda]]*12),"")</f>
        <v>4.3639583333333327</v>
      </c>
      <c r="BT42" s="95">
        <f ca="1">WEEKNUM(PvPcML[[#This Row],[data]],13)</f>
        <v>25</v>
      </c>
      <c r="BU42" s="132">
        <f t="shared" ca="1" si="0"/>
        <v>46193</v>
      </c>
      <c r="BV42" s="7">
        <f ca="1">IFERROR(SUMIFS(vendaAno[valor de venda],vendaAno[data],PvPcML[[#This Row],[data]])/(SUMIFS(vendaAno[venda],vendaAno[data],PvPcML[[#This Row],[data]])*12),"")</f>
        <v>19.608695652173914</v>
      </c>
      <c r="BW42" s="8">
        <f ca="1">IFERROR(SUMIFS(vendaAno[valor de venda],vendaAno[data],PvPcML[[#This Row],[data]])/(SUMIFS(vendaAno[venda],vendaAno[data],PvPcML[[#This Row],[data]])*12)-PvPcML[[#This Row],[lucro médio]],"")</f>
        <v>15.620434782608697</v>
      </c>
      <c r="BX42" s="7">
        <f ca="1">IF(SUMIFS(vendaAno[[lucro médio ]],vendaAno[data],PvPcML[[#This Row],[data]])=0,"",SUMIFS(vendaAno[[lucro médio ]],vendaAno[data],PvPcML[[#This Row],[data]]))</f>
        <v>3.9882608695652171</v>
      </c>
      <c r="BY42" s="90">
        <v>41</v>
      </c>
      <c r="BZ42" s="89">
        <f t="shared" si="1"/>
        <v>46303</v>
      </c>
      <c r="CA4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2" s="82" t="str">
        <f ca="1">IFERROR(AVERAGEIFS(vendaAno[venda],vendaAno[data],"&gt;="&amp;semanal[[#This Row],[semana]],vendaAno[data],"&lt;="&amp;semanal[[#This Row],[semana]]+6),"")</f>
        <v/>
      </c>
      <c r="CE42" s="82" t="str">
        <f ca="1">IFERROR((150/semanal[[#This Row],[lucro médio por cartela]])/12,"")</f>
        <v/>
      </c>
      <c r="CV42" s="7"/>
      <c r="CW42" s="26"/>
    </row>
    <row r="43" spans="1:101" x14ac:dyDescent="0.25">
      <c r="A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3" s="18" t="str">
        <f>TEXT(preçodiario[[#This Row],[data]],"MMM")</f>
        <v>fev</v>
      </c>
      <c r="C43" s="18" t="str">
        <f>TEXT(preçodiario[[#This Row],[data]],"ddd")</f>
        <v>qua</v>
      </c>
      <c r="D43" s="96">
        <f>WEEKNUM(preçodiario[[#This Row],[data]],13)</f>
        <v>7</v>
      </c>
      <c r="E43" s="37">
        <v>46064</v>
      </c>
      <c r="F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Row],[data]])),((F42*G42)+SUMIFS(estoque[valor total],estoque[produto],preçodiario[[#Headers],[OVO BRANCO A]],estoque[data],preçodiario[[#This Row],[data]],estoque[fornecedor],"&lt;&gt;saída"))/(G42+(SUMIFS(estoque[quantidade],estoque[produto],preçodiario[[#Headers],[OVO BRANCO A]],estoque[fornecedor],"&lt;&gt;saída",estoque[data],preçodiario[[#This Row],[data]])))))</f>
        <v>14.356973567766138</v>
      </c>
      <c r="G43" s="22">
        <f>IF(preçodiario[[#This Row],[entrada A]]=0,G42-(SUMIFS(estoque[quantidade],estoque[fornecedor],"saída",estoque[produto],preçodiario[[#Headers],[OVO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Row],[data]]))+G42+preçodiario[[#This Row],[entrada A]])</f>
        <v>81</v>
      </c>
      <c r="H43" s="22">
        <f>SUMIFS(estoque[quantidade],estoque[fornecedor],"&lt;&gt;saída",estoque[produto],preçodiario[[#Headers],[OVO BRANCO A]],estoque[data],preçodiario[[#This Row],[data]])</f>
        <v>0</v>
      </c>
      <c r="I43" s="20">
        <f>SUMIFS(estoque[valor total],estoque[fornecedor],"&lt;&gt;saída",estoque[produto],preçodiario[[#Headers],[OVO BRANCO A]],estoque[data],preçodiario[[#This Row],[data]])</f>
        <v>0</v>
      </c>
      <c r="J43" s="20">
        <f>IFERROR(preçodiario[[#This Row],[estoque A]]*preçodiario[[#This Row],[OVO BRANCO A]],0)</f>
        <v>1162.9148589890572</v>
      </c>
      <c r="K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Row],[data]])),((K42*L42)+SUMIFS(estoque[valor total],estoque[produto],preçodiario[[#Headers],[OVO BRANCO B]],estoque[data],preçodiario[[#This Row],[data]],estoque[fornecedor],"&lt;&gt;saída"))/(L42+(SUMIFS(estoque[quantidade],estoque[produto],preçodiario[[#Headers],[OVO BRANCO B]],estoque[fornecedor],"&lt;&gt;saída",estoque[data],preçodiario[[#This Row],[data]])))))</f>
        <v>13.039622372528346</v>
      </c>
      <c r="L43" s="22">
        <f>IF(preçodiario[[#This Row],[entrada B]]=0,L42-(SUMIFS(estoque[quantidade],estoque[fornecedor],"saída",estoque[produto],preçodiario[[#Headers],[OVO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Row],[data]]))+L42+preçodiario[[#This Row],[entrada B]])</f>
        <v>158</v>
      </c>
      <c r="M43" s="22">
        <f>SUMIFS(estoque[quantidade],estoque[fornecedor],"&lt;&gt;saída",estoque[produto],preçodiario[[#Headers],[OVO BRANCO B]],estoque[data],preçodiario[[#This Row],[data]])</f>
        <v>0</v>
      </c>
      <c r="N43" s="20">
        <f>SUMIFS(estoque[valor total],estoque[fornecedor],"&lt;&gt;saída",estoque[produto],preçodiario[[#Headers],[OVO BRANCO B]],estoque[data],preçodiario[[#This Row],[data]])</f>
        <v>0</v>
      </c>
      <c r="O43" s="20">
        <f>IFERROR(preçodiario[[#This Row],[OVO BRANCO B]]*preçodiario[[#This Row],[estoque B]],0)</f>
        <v>2060.2603348594785</v>
      </c>
      <c r="P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Row],[data]])),((P42*Q42)+SUMIFS(estoque[valor total],estoque[produto],preçodiario[[#Headers],[OVO BRANCO C]],estoque[data],preçodiario[[#This Row],[data]],estoque[fornecedor],"&lt;&gt;saída"))/(Q42+(SUMIFS(estoque[quantidade],estoque[produto],preçodiario[[#Headers],[OVO BRANCO C]],estoque[fornecedor],"&lt;&gt;saída",estoque[data],preçodiario[[#This Row],[data]])))))</f>
        <v>13.874671916010501</v>
      </c>
      <c r="Q43" s="22">
        <f>IF(preçodiario[[#This Row],[entrada C]]=0,Q42-(SUMIFS(estoque[quantidade],estoque[fornecedor],"saída",estoque[produto],preçodiario[[#Headers],[OVO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Row],[data]]))+Q42+preçodiario[[#This Row],[entrada C]])</f>
        <v>11</v>
      </c>
      <c r="R43" s="22">
        <f>SUMIFS(estoque[quantidade],estoque[fornecedor],"&lt;&gt;saída",estoque[produto],preçodiario[[#Headers],[OVO BRANCO C]],estoque[data],preçodiario[[#This Row],[data]])</f>
        <v>0</v>
      </c>
      <c r="S43" s="20">
        <f>SUMIFS(estoque[valor total],estoque[fornecedor],"&lt;&gt;saída",estoque[produto],preçodiario[[#Headers],[OVO BRANCO C]],estoque[data],preçodiario[[#This Row],[data]])</f>
        <v>0</v>
      </c>
      <c r="T43" s="20">
        <f>IFERROR(preçodiario[[#This Row],[OVO BRANCO C]]*preçodiario[[#This Row],[estoque C]],0)</f>
        <v>152.62139107611551</v>
      </c>
      <c r="U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Row],[data]])),((U42*V42)+SUMIFS(estoque[valor total],estoque[produto],preçodiario[[#Headers],[OVO BRANCO EXTRA]],estoque[data],preçodiario[[#This Row],[data]],estoque[fornecedor],"&lt;&gt;saída"))/(V42+(SUMIFS(estoque[quantidade],estoque[produto],preçodiario[[#Headers],[OVO BRANCO EXTRA]],estoque[fornecedor],"&lt;&gt;saída",estoque[data],preçodiario[[#This Row],[data]])))))</f>
        <v>14.859806712139465</v>
      </c>
      <c r="V43" s="22">
        <f>IF(preçodiario[[#This Row],[entrada E]]=0,V42-(SUMIFS(estoque[quantidade],estoque[fornecedor],"saída",estoque[produto],preçodiario[[#Headers],[OVO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Row],[data]]))+V42+preçodiario[[#This Row],[entrada E]])</f>
        <v>112</v>
      </c>
      <c r="W43" s="22">
        <f>SUMIFS(estoque[quantidade],estoque[fornecedor],"&lt;&gt;saída",estoque[produto],preçodiario[[#Headers],[OVO BRANCO EXTRA]],estoque[data],preçodiario[[#This Row],[data]])</f>
        <v>0</v>
      </c>
      <c r="X43" s="20">
        <f>SUMIFS(estoque[valor total],estoque[fornecedor],"&lt;&gt;saída",estoque[produto],preçodiario[[#Headers],[OVO BRANCO EXTRA]],estoque[data],preçodiario[[#This Row],[data]])</f>
        <v>0</v>
      </c>
      <c r="Y43" s="20">
        <f>IFERROR(preçodiario[[#This Row],[estoque E]]*preçodiario[[#This Row],[OVO BRANCO EXTRA]],0)</f>
        <v>1664.2983517596201</v>
      </c>
      <c r="Z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Row],[data]])),((Z42*AA42)+SUMIFS(estoque[valor total],estoque[produto],preçodiario[[#Headers],[OVO BRANCO JUMBO]],estoque[data],preçodiario[[#This Row],[data]],estoque[fornecedor],"&lt;&gt;saída"))/(AA42+(SUMIFS(estoque[quantidade],estoque[produto],preçodiario[[#Headers],[OVO BRANCO JUMBO]],estoque[fornecedor],"&lt;&gt;saída",estoque[data],preçodiario[[#This Row],[data]])))))</f>
        <v>15.521739130434783</v>
      </c>
      <c r="AA43" s="22">
        <f>IF(preçodiario[[#This Row],[entrada J]]=0,AA42-(SUMIFS(estoque[quantidade],estoque[fornecedor],"saída",estoque[produto],preçodiario[[#Headers],[OVO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Row],[data]]))+AA42+preçodiario[[#This Row],[entrada J]])</f>
        <v>90</v>
      </c>
      <c r="AB43" s="22">
        <f>SUMIFS(estoque[quantidade],estoque[fornecedor],"&lt;&gt;saída",estoque[produto],preçodiario[[#Headers],[OVO BRANCO JUMBO]],estoque[data],preçodiario[[#This Row],[data]])</f>
        <v>0</v>
      </c>
      <c r="AC43" s="20">
        <f>SUMIFS(estoque[valor total],estoque[fornecedor],"&lt;&gt;saída",estoque[produto],preçodiario[[#Headers],[OVO BRANCO JUMBO]],estoque[data],preçodiario[[#This Row],[data]])</f>
        <v>0</v>
      </c>
      <c r="AD43" s="20">
        <f>IFERROR(preçodiario[[#This Row],[OVO BRANCO JUMBO]]*preçodiario[[#This Row],[estoque J]],0)</f>
        <v>1396.9565217391305</v>
      </c>
      <c r="AE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Row],[data]])),((AE42*AF42)+SUMIFS(estoque[valor total],estoque[produto],preçodiario[[#Headers],[OVO VERMELHO A]],estoque[data],preçodiario[[#This Row],[data]],estoque[fornecedor],"&lt;&gt;saída"))/(AF42+(SUMIFS(estoque[quantidade],estoque[produto],preçodiario[[#Headers],[OVO VERMELHO A]],estoque[fornecedor],"&lt;&gt;saída",estoque[data],preçodiario[[#This Row],[data]])))))</f>
        <v/>
      </c>
      <c r="AF43" s="22">
        <f>IF(preçodiario[[#This Row],[entrada AV]]=0,AF42-(SUMIFS(estoque[quantidade],estoque[fornecedor],"saída",estoque[produto],preçodiario[[#Headers],[OVO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Row],[data]]))+AF42+preçodiario[[#This Row],[entrada AV]])</f>
        <v>0</v>
      </c>
      <c r="AG43" s="22">
        <f>SUMIFS(estoque[quantidade],estoque[fornecedor],"&lt;&gt;saída",estoque[produto],preçodiario[[#Headers],[OVO VERMELHO A]],estoque[data],preçodiario[[#This Row],[data]])</f>
        <v>0</v>
      </c>
      <c r="AH43" s="20">
        <f>SUMIFS(estoque[valor total],estoque[fornecedor],"&lt;&gt;saída",estoque[produto],preçodiario[[#Headers],[OVO VERMELHO A]],estoque[data],preçodiario[[#This Row],[data]])</f>
        <v>0</v>
      </c>
      <c r="AI43" s="20">
        <f>IFERROR(preçodiario[[#This Row],[OVO VERMELHO A]]*preçodiario[[#This Row],[estoque AV]],0)</f>
        <v>0</v>
      </c>
      <c r="AJ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Row],[data]])),((AJ42*AK42)+SUMIFS(estoque[valor total],estoque[produto],preçodiario[[#Headers],[OVO VERMELHO B]],estoque[data],preçodiario[[#This Row],[data]],estoque[fornecedor],"&lt;&gt;saída"))/(AK42+(SUMIFS(estoque[quantidade],estoque[produto],preçodiario[[#Headers],[OVO VERMELHO B]],estoque[fornecedor],"&lt;&gt;saída",estoque[data],preçodiario[[#This Row],[data]])))))</f>
        <v/>
      </c>
      <c r="AK43" s="22">
        <f>IF(preçodiario[[#This Row],[entrada BV]]=0,AK42-(SUMIFS(estoque[quantidade],estoque[fornecedor],"saída",estoque[produto],preçodiario[[#Headers],[OVO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Row],[data]]))+AK42+preçodiario[[#This Row],[entrada BV]])</f>
        <v>0</v>
      </c>
      <c r="AL43" s="22">
        <f>SUMIFS(estoque[quantidade],estoque[fornecedor],"&lt;&gt;saída",estoque[produto],preçodiario[[#Headers],[OVO VERMELHO B]],estoque[data],preçodiario[[#This Row],[data]])</f>
        <v>0</v>
      </c>
      <c r="AM43" s="20">
        <f>SUMIFS(estoque[valor total],estoque[fornecedor],"&lt;&gt;saída",estoque[produto],preçodiario[[#Headers],[OVO VERMELHO B]],estoque[data],preçodiario[[#This Row],[data]])</f>
        <v>0</v>
      </c>
      <c r="AN43" s="20">
        <f>IFERROR(preçodiario[[#This Row],[OVO VERMELHO B]]*preçodiario[[#This Row],[estoque BV]],0)</f>
        <v>0</v>
      </c>
      <c r="AO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Row],[data]])),((AO42*AP42)+SUMIFS(estoque[valor total],estoque[produto],preçodiario[[#Headers],[OVO VERMELHO C]],estoque[data],preçodiario[[#This Row],[data]],estoque[fornecedor],"&lt;&gt;saída"))/(AP42+(SUMIFS(estoque[quantidade],estoque[produto],preçodiario[[#Headers],[OVO VERMELHO C]],estoque[fornecedor],"&lt;&gt;saída",estoque[data],preçodiario[[#This Row],[data]])))))</f>
        <v/>
      </c>
      <c r="AP43" s="22">
        <f>IF(preçodiario[[#This Row],[entrada CV]]=0,AP42-(SUMIFS(estoque[quantidade],estoque[fornecedor],"saída",estoque[produto],preçodiario[[#Headers],[OVO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Row],[data]]))+AP42+preçodiario[[#This Row],[entrada CV]])</f>
        <v>0</v>
      </c>
      <c r="AQ43" s="22">
        <f>SUMIFS(estoque[quantidade],estoque[fornecedor],"&lt;&gt;saída",estoque[produto],preçodiario[[#Headers],[OVO VERMELHO C]],estoque[data],preçodiario[[#This Row],[data]])</f>
        <v>0</v>
      </c>
      <c r="AR43" s="20">
        <f>SUMIFS(estoque[valor total],estoque[fornecedor],"&lt;&gt;saída",estoque[produto],preçodiario[[#Headers],[OVO VERMELHO C]],estoque[data],preçodiario[[#This Row],[data]])</f>
        <v>0</v>
      </c>
      <c r="AS43" s="20">
        <f>IFERROR(preçodiario[[#This Row],[OVO VERMELHO C]]*preçodiario[[#This Row],[estoque CV]],0)</f>
        <v>0</v>
      </c>
      <c r="AT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Row],[data]])),((AT42*AU42)+SUMIFS(estoque[valor total],estoque[produto],preçodiario[[#Headers],[OVO VERMELHO EXTRA]],estoque[data],preçodiario[[#This Row],[data]],estoque[fornecedor],"&lt;&gt;saída"))/(AU42+(SUMIFS(estoque[quantidade],estoque[produto],preçodiario[[#Headers],[OVO VERMELHO EXTRA]],estoque[fornecedor],"&lt;&gt;saída",estoque[data],preçodiario[[#This Row],[data]])))))</f>
        <v/>
      </c>
      <c r="AU43" s="22">
        <f>IF(preçodiario[[#This Row],[entrada EV]]=0,AU42-(SUMIFS(estoque[quantidade],estoque[fornecedor],"saída",estoque[produto],preçodiario[[#Headers],[OVO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Row],[data]]))+AU42+preçodiario[[#This Row],[entrada EV]])</f>
        <v>0</v>
      </c>
      <c r="AV43" s="22">
        <f>SUMIFS(estoque[quantidade],estoque[fornecedor],"&lt;&gt;saída",estoque[produto],preçodiario[[#Headers],[OVO VERMELHO EXTRA]],estoque[data],preçodiario[[#This Row],[data]])</f>
        <v>0</v>
      </c>
      <c r="AW43" s="20">
        <f>SUMIFS(estoque[valor total],estoque[fornecedor],"&lt;&gt;saída",estoque[produto],preçodiario[[#Headers],[OVO VERMELHO EXTRA]],estoque[data],preçodiario[[#This Row],[data]])</f>
        <v>0</v>
      </c>
      <c r="AX43" s="20">
        <f>IFERROR(preçodiario[[#This Row],[OVO VERMELHO EXTRA]]*preçodiario[[#This Row],[estoque EV]],0)</f>
        <v>0</v>
      </c>
      <c r="AY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Row],[data]])),((AY42*AZ42)+SUMIFS(estoque[valor total],estoque[produto],preçodiario[[#Headers],[OVO VERMELHO JUMBO]],estoque[data],preçodiario[[#This Row],[data]],estoque[fornecedor],"&lt;&gt;saída"))/(AZ42+(SUMIFS(estoque[quantidade],estoque[produto],preçodiario[[#Headers],[OVO VERMELHO JUMBO]],estoque[fornecedor],"&lt;&gt;saída",estoque[data],preçodiario[[#This Row],[data]])))))</f>
        <v/>
      </c>
      <c r="AZ43" s="22">
        <f>IF(preçodiario[[#This Row],[entrada JV]]=0,AZ42-(SUMIFS(estoque[quantidade],estoque[fornecedor],"saída",estoque[produto],preçodiario[[#Headers],[OVO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Row],[data]]))+AZ42+preçodiario[[#This Row],[entrada JV]])</f>
        <v>0</v>
      </c>
      <c r="BA43" s="22">
        <f>SUMIFS(estoque[quantidade],estoque[fornecedor],"&lt;&gt;saída",estoque[produto],preçodiario[[#Headers],[OVO VERMELHO JUMBO]],estoque[data],preçodiario[[#This Row],[data]])</f>
        <v>0</v>
      </c>
      <c r="BB43" s="20">
        <f>SUMIFS(estoque[valor total],estoque[fornecedor],"&lt;&gt;saída",estoque[produto],preçodiario[[#Headers],[OVO VERMELHO JUMBO]],estoque[data],preçodiario[[#This Row],[data]])</f>
        <v>0</v>
      </c>
      <c r="BC43" s="20">
        <f>IFERROR(preçodiario[[#This Row],[OVO VERMELHO JUMBO]]*preçodiario[[#This Row],[estoque JV]],0)</f>
        <v>0</v>
      </c>
      <c r="BD43" t="str">
        <f>TEXT(vendaAno[[#This Row],[data]],"mmm")</f>
        <v>fev</v>
      </c>
      <c r="BE43" t="str">
        <f>TEXT(vendaAno[[#This Row],[data]],"ddd")</f>
        <v>qua</v>
      </c>
      <c r="BF43" s="82">
        <f>WEEKNUM(vendaAno[[#This Row],[data]],13)</f>
        <v>7</v>
      </c>
      <c r="BG43" s="27">
        <f>preçodiario[[#This Row],[data]]</f>
        <v>46064</v>
      </c>
      <c r="BH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3" s="8">
        <f>IF(SUMIFS(estoque[valor total],estoque[fornecedor],"saída",estoque[data],vendaAno[[#This Row],[data]])=0,"",SUMIFS(estoque[valor total],estoque[fornecedor],"saída",estoque[data],vendaAno[[#This Row],[data]]))</f>
        <v>840</v>
      </c>
      <c r="BJ4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Row],[data]]))/12+BJ42,"")</f>
        <v>37.666666666666629</v>
      </c>
      <c r="BK43" s="79">
        <f>IF(SUMIFS(estoque[quantidade],estoque[fornecedor],"saída",estoque[data],vendaAno[[#This Row],[data]])/12=0,"",SUMIFS(estoque[quantidade],estoque[fornecedor],"saída",estoque[data],vendaAno[[#This Row],[data]])/12)</f>
        <v>3.8333333333333335</v>
      </c>
      <c r="BL43" s="8">
        <f ca="1">IF(vendaAno[[#This Row],[data]]&lt;=TODAY(),IF(SUMIFS(estoque[lucro],estoque[fornecedor],"saída",estoque[data],vendaAno[[#This Row],[data]])=0,AVERAGE(BL40:BL42),SUMIFS(estoque[lucro],estoque[fornecedor],"saída",estoque[data],vendaAno[[#This Row],[data]])),"")</f>
        <v>176.24999999999997</v>
      </c>
      <c r="BM43" s="10">
        <f ca="1">IFERROR(vendaAno[[#This Row],[lucro]]/vendaAno[[#This Row],[valor de venda]],"")</f>
        <v>0.20982142857142855</v>
      </c>
      <c r="BN4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6437.0514584234015</v>
      </c>
      <c r="BO43" s="8">
        <f ca="1">IF(TODAY()&gt;=vendaAno[[#This Row],[data]],IF(vendaAno[[#This Row],[N°]]=BF42,vendaAno[[#This Row],[lucro]]-173.33+BO42,vendaAno[[#This Row],[lucro]]-150),"")</f>
        <v>26.249999999999972</v>
      </c>
      <c r="BP43" s="81">
        <f ca="1">IF(TODAY()&gt;=vendaAno[[#This Row],[data]],SUM(BK37:BK43)*12,"")</f>
        <v>292</v>
      </c>
      <c r="BQ43" s="7">
        <f ca="1">IFERROR(vendaAno[[#This Row],[lucro]]/(vendaAno[[#This Row],[venda]]*12),"")</f>
        <v>3.8315217391304341</v>
      </c>
      <c r="BT43" s="95">
        <f ca="1">WEEKNUM(PvPcML[[#This Row],[data]],13)</f>
        <v>25</v>
      </c>
      <c r="BU43" s="132">
        <f t="shared" ca="1" si="0"/>
        <v>46192</v>
      </c>
      <c r="BV43" s="7">
        <f ca="1">IFERROR(SUMIFS(vendaAno[valor de venda],vendaAno[data],PvPcML[[#This Row],[data]])/(SUMIFS(vendaAno[venda],vendaAno[data],PvPcML[[#This Row],[data]])*12),"")</f>
        <v>20.111111111111111</v>
      </c>
      <c r="BW43" s="8">
        <f ca="1">IFERROR(SUMIFS(vendaAno[valor de venda],vendaAno[data],PvPcML[[#This Row],[data]])/(SUMIFS(vendaAno[venda],vendaAno[data],PvPcML[[#This Row],[data]])*12)-PvPcML[[#This Row],[lucro médio]],"")</f>
        <v>15.836666666666666</v>
      </c>
      <c r="BX43" s="7">
        <f ca="1">IF(SUMIFS(vendaAno[[lucro médio ]],vendaAno[data],PvPcML[[#This Row],[data]])=0,"",SUMIFS(vendaAno[[lucro médio ]],vendaAno[data],PvPcML[[#This Row],[data]]))</f>
        <v>4.2744444444444447</v>
      </c>
      <c r="BY43" s="91">
        <v>42</v>
      </c>
      <c r="BZ43" s="89">
        <f t="shared" si="1"/>
        <v>46310</v>
      </c>
      <c r="CA4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3" s="82" t="str">
        <f ca="1">IFERROR(AVERAGEIFS(vendaAno[venda],vendaAno[data],"&gt;="&amp;semanal[[#This Row],[semana]],vendaAno[data],"&lt;="&amp;semanal[[#This Row],[semana]]+6),"")</f>
        <v/>
      </c>
      <c r="CE43" s="82" t="str">
        <f ca="1">IFERROR((150/semanal[[#This Row],[lucro médio por cartela]])/12,"")</f>
        <v/>
      </c>
    </row>
    <row r="44" spans="1:101" x14ac:dyDescent="0.25">
      <c r="A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4" s="18" t="str">
        <f>TEXT(preçodiario[[#This Row],[data]],"MMM")</f>
        <v>fev</v>
      </c>
      <c r="C44" s="18" t="str">
        <f>TEXT(preçodiario[[#This Row],[data]],"ddd")</f>
        <v>qui</v>
      </c>
      <c r="D44" s="96">
        <f>WEEKNUM(preçodiario[[#This Row],[data]],13)</f>
        <v>7</v>
      </c>
      <c r="E44" s="37">
        <v>46065</v>
      </c>
      <c r="F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Row],[data]])),((F43*G43)+SUMIFS(estoque[valor total],estoque[produto],preçodiario[[#Headers],[OVO BRANCO A]],estoque[data],preçodiario[[#This Row],[data]],estoque[fornecedor],"&lt;&gt;saída"))/(G43+(SUMIFS(estoque[quantidade],estoque[produto],preçodiario[[#Headers],[OVO BRANCO A]],estoque[fornecedor],"&lt;&gt;saída",estoque[data],preçodiario[[#This Row],[data]])))))</f>
        <v>14.356973567766138</v>
      </c>
      <c r="G44" s="22">
        <f>IF(preçodiario[[#This Row],[entrada A]]=0,G43-(SUMIFS(estoque[quantidade],estoque[fornecedor],"saída",estoque[produto],preçodiario[[#Headers],[OVO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Row],[data]]))+G43+preçodiario[[#This Row],[entrada A]])</f>
        <v>77</v>
      </c>
      <c r="H44" s="22">
        <f>SUMIFS(estoque[quantidade],estoque[fornecedor],"&lt;&gt;saída",estoque[produto],preçodiario[[#Headers],[OVO BRANCO A]],estoque[data],preçodiario[[#This Row],[data]])</f>
        <v>0</v>
      </c>
      <c r="I44" s="20">
        <f>SUMIFS(estoque[valor total],estoque[fornecedor],"&lt;&gt;saída",estoque[produto],preçodiario[[#Headers],[OVO BRANCO A]],estoque[data],preçodiario[[#This Row],[data]])</f>
        <v>0</v>
      </c>
      <c r="J44" s="20">
        <f>IFERROR(preçodiario[[#This Row],[estoque A]]*preçodiario[[#This Row],[OVO BRANCO A]],0)</f>
        <v>1105.4869647179926</v>
      </c>
      <c r="K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Row],[data]])),((K43*L43)+SUMIFS(estoque[valor total],estoque[produto],preçodiario[[#Headers],[OVO BRANCO B]],estoque[data],preçodiario[[#This Row],[data]],estoque[fornecedor],"&lt;&gt;saída"))/(L43+(SUMIFS(estoque[quantidade],estoque[produto],preçodiario[[#Headers],[OVO BRANCO B]],estoque[fornecedor],"&lt;&gt;saída",estoque[data],preçodiario[[#This Row],[data]])))))</f>
        <v>13.039622372528346</v>
      </c>
      <c r="L44" s="22">
        <f>IF(preçodiario[[#This Row],[entrada B]]=0,L43-(SUMIFS(estoque[quantidade],estoque[fornecedor],"saída",estoque[produto],preçodiario[[#Headers],[OVO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Row],[data]]))+L43+preçodiario[[#This Row],[entrada B]])</f>
        <v>153</v>
      </c>
      <c r="M44" s="22">
        <f>SUMIFS(estoque[quantidade],estoque[fornecedor],"&lt;&gt;saída",estoque[produto],preçodiario[[#Headers],[OVO BRANCO B]],estoque[data],preçodiario[[#This Row],[data]])</f>
        <v>0</v>
      </c>
      <c r="N44" s="20">
        <f>SUMIFS(estoque[valor total],estoque[fornecedor],"&lt;&gt;saída",estoque[produto],preçodiario[[#Headers],[OVO BRANCO B]],estoque[data],preçodiario[[#This Row],[data]])</f>
        <v>0</v>
      </c>
      <c r="O44" s="20">
        <f>IFERROR(preçodiario[[#This Row],[OVO BRANCO B]]*preçodiario[[#This Row],[estoque B]],0)</f>
        <v>1995.0622229968369</v>
      </c>
      <c r="P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Row],[data]])),((P43*Q43)+SUMIFS(estoque[valor total],estoque[produto],preçodiario[[#Headers],[OVO BRANCO C]],estoque[data],preçodiario[[#This Row],[data]],estoque[fornecedor],"&lt;&gt;saída"))/(Q43+(SUMIFS(estoque[quantidade],estoque[produto],preçodiario[[#Headers],[OVO BRANCO C]],estoque[fornecedor],"&lt;&gt;saída",estoque[data],preçodiario[[#This Row],[data]])))))</f>
        <v>13.874671916010501</v>
      </c>
      <c r="Q44" s="22">
        <f>IF(preçodiario[[#This Row],[entrada C]]=0,Q43-(SUMIFS(estoque[quantidade],estoque[fornecedor],"saída",estoque[produto],preçodiario[[#Headers],[OVO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Row],[data]]))+Q43+preçodiario[[#This Row],[entrada C]])</f>
        <v>10</v>
      </c>
      <c r="R44" s="22">
        <f>SUMIFS(estoque[quantidade],estoque[fornecedor],"&lt;&gt;saída",estoque[produto],preçodiario[[#Headers],[OVO BRANCO C]],estoque[data],preçodiario[[#This Row],[data]])</f>
        <v>0</v>
      </c>
      <c r="S44" s="20">
        <f>SUMIFS(estoque[valor total],estoque[fornecedor],"&lt;&gt;saída",estoque[produto],preçodiario[[#Headers],[OVO BRANCO C]],estoque[data],preçodiario[[#This Row],[data]])</f>
        <v>0</v>
      </c>
      <c r="T44" s="20">
        <f>IFERROR(preçodiario[[#This Row],[OVO BRANCO C]]*preçodiario[[#This Row],[estoque C]],0)</f>
        <v>138.74671916010502</v>
      </c>
      <c r="U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Row],[data]])),((U43*V43)+SUMIFS(estoque[valor total],estoque[produto],preçodiario[[#Headers],[OVO BRANCO EXTRA]],estoque[data],preçodiario[[#This Row],[data]],estoque[fornecedor],"&lt;&gt;saída"))/(V43+(SUMIFS(estoque[quantidade],estoque[produto],preçodiario[[#Headers],[OVO BRANCO EXTRA]],estoque[fornecedor],"&lt;&gt;saída",estoque[data],preçodiario[[#This Row],[data]])))))</f>
        <v>14.859806712139465</v>
      </c>
      <c r="V44" s="22">
        <f>IF(preçodiario[[#This Row],[entrada E]]=0,V43-(SUMIFS(estoque[quantidade],estoque[fornecedor],"saída",estoque[produto],preçodiario[[#Headers],[OVO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Row],[data]]))+V43+preçodiario[[#This Row],[entrada E]])</f>
        <v>104</v>
      </c>
      <c r="W44" s="22">
        <f>SUMIFS(estoque[quantidade],estoque[fornecedor],"&lt;&gt;saída",estoque[produto],preçodiario[[#Headers],[OVO BRANCO EXTRA]],estoque[data],preçodiario[[#This Row],[data]])</f>
        <v>0</v>
      </c>
      <c r="X44" s="20">
        <f>SUMIFS(estoque[valor total],estoque[fornecedor],"&lt;&gt;saída",estoque[produto],preçodiario[[#Headers],[OVO BRANCO EXTRA]],estoque[data],preçodiario[[#This Row],[data]])</f>
        <v>0</v>
      </c>
      <c r="Y44" s="20">
        <f>IFERROR(preçodiario[[#This Row],[estoque E]]*preçodiario[[#This Row],[OVO BRANCO EXTRA]],0)</f>
        <v>1545.4198980625042</v>
      </c>
      <c r="Z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Row],[data]])),((Z43*AA43)+SUMIFS(estoque[valor total],estoque[produto],preçodiario[[#Headers],[OVO BRANCO JUMBO]],estoque[data],preçodiario[[#This Row],[data]],estoque[fornecedor],"&lt;&gt;saída"))/(AA43+(SUMIFS(estoque[quantidade],estoque[produto],preçodiario[[#Headers],[OVO BRANCO JUMBO]],estoque[fornecedor],"&lt;&gt;saída",estoque[data],preçodiario[[#This Row],[data]])))))</f>
        <v>15.521739130434783</v>
      </c>
      <c r="AA44" s="22">
        <f>IF(preçodiario[[#This Row],[entrada J]]=0,AA43-(SUMIFS(estoque[quantidade],estoque[fornecedor],"saída",estoque[produto],preçodiario[[#Headers],[OVO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Row],[data]]))+AA43+preçodiario[[#This Row],[entrada J]])</f>
        <v>79</v>
      </c>
      <c r="AB44" s="22">
        <f>SUMIFS(estoque[quantidade],estoque[fornecedor],"&lt;&gt;saída",estoque[produto],preçodiario[[#Headers],[OVO BRANCO JUMBO]],estoque[data],preçodiario[[#This Row],[data]])</f>
        <v>0</v>
      </c>
      <c r="AC44" s="20">
        <f>SUMIFS(estoque[valor total],estoque[fornecedor],"&lt;&gt;saída",estoque[produto],preçodiario[[#Headers],[OVO BRANCO JUMBO]],estoque[data],preçodiario[[#This Row],[data]])</f>
        <v>0</v>
      </c>
      <c r="AD44" s="20">
        <f>IFERROR(preçodiario[[#This Row],[OVO BRANCO JUMBO]]*preçodiario[[#This Row],[estoque J]],0)</f>
        <v>1226.2173913043478</v>
      </c>
      <c r="AE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Row],[data]])),((AE43*AF43)+SUMIFS(estoque[valor total],estoque[produto],preçodiario[[#Headers],[OVO VERMELHO A]],estoque[data],preçodiario[[#This Row],[data]],estoque[fornecedor],"&lt;&gt;saída"))/(AF43+(SUMIFS(estoque[quantidade],estoque[produto],preçodiario[[#Headers],[OVO VERMELHO A]],estoque[fornecedor],"&lt;&gt;saída",estoque[data],preçodiario[[#This Row],[data]])))))</f>
        <v/>
      </c>
      <c r="AF44" s="22">
        <f>IF(preçodiario[[#This Row],[entrada AV]]=0,AF43-(SUMIFS(estoque[quantidade],estoque[fornecedor],"saída",estoque[produto],preçodiario[[#Headers],[OVO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Row],[data]]))+AF43+preçodiario[[#This Row],[entrada AV]])</f>
        <v>0</v>
      </c>
      <c r="AG44" s="22">
        <f>SUMIFS(estoque[quantidade],estoque[fornecedor],"&lt;&gt;saída",estoque[produto],preçodiario[[#Headers],[OVO VERMELHO A]],estoque[data],preçodiario[[#This Row],[data]])</f>
        <v>0</v>
      </c>
      <c r="AH44" s="20">
        <f>SUMIFS(estoque[valor total],estoque[fornecedor],"&lt;&gt;saída",estoque[produto],preçodiario[[#Headers],[OVO VERMELHO A]],estoque[data],preçodiario[[#This Row],[data]])</f>
        <v>0</v>
      </c>
      <c r="AI44" s="20">
        <f>IFERROR(preçodiario[[#This Row],[OVO VERMELHO A]]*preçodiario[[#This Row],[estoque AV]],0)</f>
        <v>0</v>
      </c>
      <c r="AJ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Row],[data]])),((AJ43*AK43)+SUMIFS(estoque[valor total],estoque[produto],preçodiario[[#Headers],[OVO VERMELHO B]],estoque[data],preçodiario[[#This Row],[data]],estoque[fornecedor],"&lt;&gt;saída"))/(AK43+(SUMIFS(estoque[quantidade],estoque[produto],preçodiario[[#Headers],[OVO VERMELHO B]],estoque[fornecedor],"&lt;&gt;saída",estoque[data],preçodiario[[#This Row],[data]])))))</f>
        <v/>
      </c>
      <c r="AK44" s="22">
        <f>IF(preçodiario[[#This Row],[entrada BV]]=0,AK43-(SUMIFS(estoque[quantidade],estoque[fornecedor],"saída",estoque[produto],preçodiario[[#Headers],[OVO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Row],[data]]))+AK43+preçodiario[[#This Row],[entrada BV]])</f>
        <v>0</v>
      </c>
      <c r="AL44" s="22">
        <f>SUMIFS(estoque[quantidade],estoque[fornecedor],"&lt;&gt;saída",estoque[produto],preçodiario[[#Headers],[OVO VERMELHO B]],estoque[data],preçodiario[[#This Row],[data]])</f>
        <v>0</v>
      </c>
      <c r="AM44" s="20">
        <f>SUMIFS(estoque[valor total],estoque[fornecedor],"&lt;&gt;saída",estoque[produto],preçodiario[[#Headers],[OVO VERMELHO B]],estoque[data],preçodiario[[#This Row],[data]])</f>
        <v>0</v>
      </c>
      <c r="AN44" s="20">
        <f>IFERROR(preçodiario[[#This Row],[OVO VERMELHO B]]*preçodiario[[#This Row],[estoque BV]],0)</f>
        <v>0</v>
      </c>
      <c r="AO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Row],[data]])),((AO43*AP43)+SUMIFS(estoque[valor total],estoque[produto],preçodiario[[#Headers],[OVO VERMELHO C]],estoque[data],preçodiario[[#This Row],[data]],estoque[fornecedor],"&lt;&gt;saída"))/(AP43+(SUMIFS(estoque[quantidade],estoque[produto],preçodiario[[#Headers],[OVO VERMELHO C]],estoque[fornecedor],"&lt;&gt;saída",estoque[data],preçodiario[[#This Row],[data]])))))</f>
        <v/>
      </c>
      <c r="AP44" s="22">
        <f>IF(preçodiario[[#This Row],[entrada CV]]=0,AP43-(SUMIFS(estoque[quantidade],estoque[fornecedor],"saída",estoque[produto],preçodiario[[#Headers],[OVO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Row],[data]]))+AP43+preçodiario[[#This Row],[entrada CV]])</f>
        <v>0</v>
      </c>
      <c r="AQ44" s="22">
        <f>SUMIFS(estoque[quantidade],estoque[fornecedor],"&lt;&gt;saída",estoque[produto],preçodiario[[#Headers],[OVO VERMELHO C]],estoque[data],preçodiario[[#This Row],[data]])</f>
        <v>0</v>
      </c>
      <c r="AR44" s="20">
        <f>SUMIFS(estoque[valor total],estoque[fornecedor],"&lt;&gt;saída",estoque[produto],preçodiario[[#Headers],[OVO VERMELHO C]],estoque[data],preçodiario[[#This Row],[data]])</f>
        <v>0</v>
      </c>
      <c r="AS44" s="20">
        <f>IFERROR(preçodiario[[#This Row],[OVO VERMELHO C]]*preçodiario[[#This Row],[estoque CV]],0)</f>
        <v>0</v>
      </c>
      <c r="AT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Row],[data]])),((AT43*AU43)+SUMIFS(estoque[valor total],estoque[produto],preçodiario[[#Headers],[OVO VERMELHO EXTRA]],estoque[data],preçodiario[[#This Row],[data]],estoque[fornecedor],"&lt;&gt;saída"))/(AU43+(SUMIFS(estoque[quantidade],estoque[produto],preçodiario[[#Headers],[OVO VERMELHO EXTRA]],estoque[fornecedor],"&lt;&gt;saída",estoque[data],preçodiario[[#This Row],[data]])))))</f>
        <v/>
      </c>
      <c r="AU44" s="22">
        <f>IF(preçodiario[[#This Row],[entrada EV]]=0,AU43-(SUMIFS(estoque[quantidade],estoque[fornecedor],"saída",estoque[produto],preçodiario[[#Headers],[OVO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Row],[data]]))+AU43+preçodiario[[#This Row],[entrada EV]])</f>
        <v>0</v>
      </c>
      <c r="AV44" s="22">
        <f>SUMIFS(estoque[quantidade],estoque[fornecedor],"&lt;&gt;saída",estoque[produto],preçodiario[[#Headers],[OVO VERMELHO EXTRA]],estoque[data],preçodiario[[#This Row],[data]])</f>
        <v>0</v>
      </c>
      <c r="AW44" s="20">
        <f>SUMIFS(estoque[valor total],estoque[fornecedor],"&lt;&gt;saída",estoque[produto],preçodiario[[#Headers],[OVO VERMELHO EXTRA]],estoque[data],preçodiario[[#This Row],[data]])</f>
        <v>0</v>
      </c>
      <c r="AX44" s="20">
        <f>IFERROR(preçodiario[[#This Row],[OVO VERMELHO EXTRA]]*preçodiario[[#This Row],[estoque EV]],0)</f>
        <v>0</v>
      </c>
      <c r="AY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Row],[data]])),((AY43*AZ43)+SUMIFS(estoque[valor total],estoque[produto],preçodiario[[#Headers],[OVO VERMELHO JUMBO]],estoque[data],preçodiario[[#This Row],[data]],estoque[fornecedor],"&lt;&gt;saída"))/(AZ43+(SUMIFS(estoque[quantidade],estoque[produto],preçodiario[[#Headers],[OVO VERMELHO JUMBO]],estoque[fornecedor],"&lt;&gt;saída",estoque[data],preçodiario[[#This Row],[data]])))))</f>
        <v/>
      </c>
      <c r="AZ44" s="22">
        <f>IF(preçodiario[[#This Row],[entrada JV]]=0,AZ43-(SUMIFS(estoque[quantidade],estoque[fornecedor],"saída",estoque[produto],preçodiario[[#Headers],[OVO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Row],[data]]))+AZ43+preçodiario[[#This Row],[entrada JV]])</f>
        <v>0</v>
      </c>
      <c r="BA44" s="22">
        <f>SUMIFS(estoque[quantidade],estoque[fornecedor],"&lt;&gt;saída",estoque[produto],preçodiario[[#Headers],[OVO VERMELHO JUMBO]],estoque[data],preçodiario[[#This Row],[data]])</f>
        <v>0</v>
      </c>
      <c r="BB44" s="20">
        <f>SUMIFS(estoque[valor total],estoque[fornecedor],"&lt;&gt;saída",estoque[produto],preçodiario[[#Headers],[OVO VERMELHO JUMBO]],estoque[data],preçodiario[[#This Row],[data]])</f>
        <v>0</v>
      </c>
      <c r="BC44" s="20">
        <f>IFERROR(preçodiario[[#This Row],[OVO VERMELHO JUMBO]]*preçodiario[[#This Row],[estoque JV]],0)</f>
        <v>0</v>
      </c>
      <c r="BD44" t="str">
        <f>TEXT(vendaAno[[#This Row],[data]],"mmm")</f>
        <v>fev</v>
      </c>
      <c r="BE44" t="str">
        <f>TEXT(vendaAno[[#This Row],[data]],"ddd")</f>
        <v>qui</v>
      </c>
      <c r="BF44" s="82">
        <f>WEEKNUM(vendaAno[[#This Row],[data]],13)</f>
        <v>7</v>
      </c>
      <c r="BG44" s="27">
        <f>preçodiario[[#This Row],[data]]</f>
        <v>46065</v>
      </c>
      <c r="BH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4" s="8">
        <f>IF(SUMIFS(estoque[valor total],estoque[fornecedor],"saída",estoque[data],vendaAno[[#This Row],[data]])=0,"",SUMIFS(estoque[valor total],estoque[fornecedor],"saída",estoque[data],vendaAno[[#This Row],[data]]))</f>
        <v>551.5</v>
      </c>
      <c r="BJ4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Row],[data]]))/12+BJ43,"")</f>
        <v>35.249999999999964</v>
      </c>
      <c r="BK44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44" s="8">
        <f ca="1">IF(vendaAno[[#This Row],[data]]&lt;=TODAY(),IF(SUMIFS(estoque[lucro],estoque[fornecedor],"saída",estoque[data],vendaAno[[#This Row],[data]])=0,AVERAGE(BL41:BL43),SUMIFS(estoque[lucro],estoque[fornecedor],"saída",estoque[data],vendaAno[[#This Row],[data]])),"")</f>
        <v>125.38000000000001</v>
      </c>
      <c r="BM44" s="10">
        <f ca="1">IFERROR(vendaAno[[#This Row],[lucro]]/vendaAno[[#This Row],[valor de venda]],"")</f>
        <v>0.22734360834088851</v>
      </c>
      <c r="BN4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6010.9331962417873</v>
      </c>
      <c r="BO44" s="8">
        <f ca="1">IF(TODAY()&gt;=vendaAno[[#This Row],[data]],IF(vendaAno[[#This Row],[N°]]=BF43,vendaAno[[#This Row],[lucro]]-173.33+BO43,vendaAno[[#This Row],[lucro]]-150),"")</f>
        <v>-21.700000000000031</v>
      </c>
      <c r="BP44" s="81">
        <f ca="1">IF(TODAY()&gt;=vendaAno[[#This Row],[data]],SUM(BK38:BK44)*12,"")</f>
        <v>292</v>
      </c>
      <c r="BQ44" s="7">
        <f ca="1">IFERROR(vendaAno[[#This Row],[lucro]]/(vendaAno[[#This Row],[venda]]*12),"")</f>
        <v>4.3234482758620691</v>
      </c>
      <c r="BT44" s="95">
        <f ca="1">WEEKNUM(PvPcML[[#This Row],[data]],13)</f>
        <v>25</v>
      </c>
      <c r="BU44" s="132">
        <f t="shared" ca="1" si="0"/>
        <v>46191</v>
      </c>
      <c r="BV44" s="7">
        <f ca="1">IFERROR(SUMIFS(vendaAno[valor de venda],vendaAno[data],PvPcML[[#This Row],[data]])/(SUMIFS(vendaAno[venda],vendaAno[data],PvPcML[[#This Row],[data]])*12),"")</f>
        <v>16.285714285714285</v>
      </c>
      <c r="BW44" s="8">
        <f ca="1">IFERROR(SUMIFS(vendaAno[valor de venda],vendaAno[data],PvPcML[[#This Row],[data]])/(SUMIFS(vendaAno[venda],vendaAno[data],PvPcML[[#This Row],[data]])*12)-PvPcML[[#This Row],[lucro médio]],"")</f>
        <v>14.96142857142857</v>
      </c>
      <c r="BX44" s="7">
        <f ca="1">IF(SUMIFS(vendaAno[[lucro médio ]],vendaAno[data],PvPcML[[#This Row],[data]])=0,"",SUMIFS(vendaAno[[lucro médio ]],vendaAno[data],PvPcML[[#This Row],[data]]))</f>
        <v>1.3242857142857143</v>
      </c>
      <c r="BY44" s="90">
        <v>43</v>
      </c>
      <c r="BZ44" s="89">
        <f t="shared" si="1"/>
        <v>46317</v>
      </c>
      <c r="CA4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4" s="82" t="str">
        <f ca="1">IFERROR(AVERAGEIFS(vendaAno[venda],vendaAno[data],"&gt;="&amp;semanal[[#This Row],[semana]],vendaAno[data],"&lt;="&amp;semanal[[#This Row],[semana]]+6),"")</f>
        <v/>
      </c>
      <c r="CE44" s="82" t="str">
        <f ca="1">IFERROR((150/semanal[[#This Row],[lucro médio por cartela]])/12,"")</f>
        <v/>
      </c>
    </row>
    <row r="45" spans="1:101" x14ac:dyDescent="0.25">
      <c r="A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5" s="18" t="str">
        <f>TEXT(preçodiario[[#This Row],[data]],"MMM")</f>
        <v>fev</v>
      </c>
      <c r="C45" s="18" t="str">
        <f>TEXT(preçodiario[[#This Row],[data]],"ddd")</f>
        <v>sex</v>
      </c>
      <c r="D45" s="96">
        <f>WEEKNUM(preçodiario[[#This Row],[data]],13)</f>
        <v>7</v>
      </c>
      <c r="E45" s="37">
        <v>46066</v>
      </c>
      <c r="F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Row],[data]])),((F44*G44)+SUMIFS(estoque[valor total],estoque[produto],preçodiario[[#Headers],[OVO BRANCO A]],estoque[data],preçodiario[[#This Row],[data]],estoque[fornecedor],"&lt;&gt;saída"))/(G44+(SUMIFS(estoque[quantidade],estoque[produto],preçodiario[[#Headers],[OVO BRANCO A]],estoque[fornecedor],"&lt;&gt;saída",estoque[data],preçodiario[[#This Row],[data]])))))</f>
        <v>14.356973567766138</v>
      </c>
      <c r="G45" s="22">
        <f>IF(preçodiario[[#This Row],[entrada A]]=0,G44-(SUMIFS(estoque[quantidade],estoque[fornecedor],"saída",estoque[produto],preçodiario[[#Headers],[OVO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Row],[data]]))+G44+preçodiario[[#This Row],[entrada A]])</f>
        <v>77</v>
      </c>
      <c r="H45" s="22">
        <f>SUMIFS(estoque[quantidade],estoque[fornecedor],"&lt;&gt;saída",estoque[produto],preçodiario[[#Headers],[OVO BRANCO A]],estoque[data],preçodiario[[#This Row],[data]])</f>
        <v>0</v>
      </c>
      <c r="I45" s="20">
        <f>SUMIFS(estoque[valor total],estoque[fornecedor],"&lt;&gt;saída",estoque[produto],preçodiario[[#Headers],[OVO BRANCO A]],estoque[data],preçodiario[[#This Row],[data]])</f>
        <v>0</v>
      </c>
      <c r="J45" s="20">
        <f>IFERROR(preçodiario[[#This Row],[estoque A]]*preçodiario[[#This Row],[OVO BRANCO A]],0)</f>
        <v>1105.4869647179926</v>
      </c>
      <c r="K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Row],[data]])),((K44*L44)+SUMIFS(estoque[valor total],estoque[produto],preçodiario[[#Headers],[OVO BRANCO B]],estoque[data],preçodiario[[#This Row],[data]],estoque[fornecedor],"&lt;&gt;saída"))/(L44+(SUMIFS(estoque[quantidade],estoque[produto],preçodiario[[#Headers],[OVO BRANCO B]],estoque[fornecedor],"&lt;&gt;saída",estoque[data],preçodiario[[#This Row],[data]])))))</f>
        <v>13.039622372528346</v>
      </c>
      <c r="L45" s="22">
        <f>IF(preçodiario[[#This Row],[entrada B]]=0,L44-(SUMIFS(estoque[quantidade],estoque[fornecedor],"saída",estoque[produto],preçodiario[[#Headers],[OVO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Row],[data]]))+L44+preçodiario[[#This Row],[entrada B]])</f>
        <v>146</v>
      </c>
      <c r="M45" s="22">
        <f>SUMIFS(estoque[quantidade],estoque[fornecedor],"&lt;&gt;saída",estoque[produto],preçodiario[[#Headers],[OVO BRANCO B]],estoque[data],preçodiario[[#This Row],[data]])</f>
        <v>0</v>
      </c>
      <c r="N45" s="20">
        <f>SUMIFS(estoque[valor total],estoque[fornecedor],"&lt;&gt;saída",estoque[produto],preçodiario[[#Headers],[OVO BRANCO B]],estoque[data],preçodiario[[#This Row],[data]])</f>
        <v>0</v>
      </c>
      <c r="O45" s="20">
        <f>IFERROR(preçodiario[[#This Row],[OVO BRANCO B]]*preçodiario[[#This Row],[estoque B]],0)</f>
        <v>1903.7848663891384</v>
      </c>
      <c r="P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Row],[data]])),((P44*Q44)+SUMIFS(estoque[valor total],estoque[produto],preçodiario[[#Headers],[OVO BRANCO C]],estoque[data],preçodiario[[#This Row],[data]],estoque[fornecedor],"&lt;&gt;saída"))/(Q44+(SUMIFS(estoque[quantidade],estoque[produto],preçodiario[[#Headers],[OVO BRANCO C]],estoque[fornecedor],"&lt;&gt;saída",estoque[data],preçodiario[[#This Row],[data]])))))</f>
        <v>13.874671916010502</v>
      </c>
      <c r="Q45" s="22">
        <f>IF(preçodiario[[#This Row],[entrada C]]=0,Q44-(SUMIFS(estoque[quantidade],estoque[fornecedor],"saída",estoque[produto],preçodiario[[#Headers],[OVO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Row],[data]]))+Q44+preçodiario[[#This Row],[entrada C]])</f>
        <v>7</v>
      </c>
      <c r="R45" s="22">
        <f>SUMIFS(estoque[quantidade],estoque[fornecedor],"&lt;&gt;saída",estoque[produto],preçodiario[[#Headers],[OVO BRANCO C]],estoque[data],preçodiario[[#This Row],[data]])</f>
        <v>0</v>
      </c>
      <c r="S45" s="20">
        <f>SUMIFS(estoque[valor total],estoque[fornecedor],"&lt;&gt;saída",estoque[produto],preçodiario[[#Headers],[OVO BRANCO C]],estoque[data],preçodiario[[#This Row],[data]])</f>
        <v>0</v>
      </c>
      <c r="T45" s="20">
        <f>IFERROR(preçodiario[[#This Row],[OVO BRANCO C]]*preçodiario[[#This Row],[estoque C]],0)</f>
        <v>97.12270341207352</v>
      </c>
      <c r="U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Row],[data]])),((U44*V44)+SUMIFS(estoque[valor total],estoque[produto],preçodiario[[#Headers],[OVO BRANCO EXTRA]],estoque[data],preçodiario[[#This Row],[data]],estoque[fornecedor],"&lt;&gt;saída"))/(V44+(SUMIFS(estoque[quantidade],estoque[produto],preçodiario[[#Headers],[OVO BRANCO EXTRA]],estoque[fornecedor],"&lt;&gt;saída",estoque[data],preçodiario[[#This Row],[data]])))))</f>
        <v>14.859806712139463</v>
      </c>
      <c r="V45" s="22">
        <f>IF(preçodiario[[#This Row],[entrada E]]=0,V44-(SUMIFS(estoque[quantidade],estoque[fornecedor],"saída",estoque[produto],preçodiario[[#Headers],[OVO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Row],[data]]))+V44+preçodiario[[#This Row],[entrada E]])</f>
        <v>93</v>
      </c>
      <c r="W45" s="22">
        <f>SUMIFS(estoque[quantidade],estoque[fornecedor],"&lt;&gt;saída",estoque[produto],preçodiario[[#Headers],[OVO BRANCO EXTRA]],estoque[data],preçodiario[[#This Row],[data]])</f>
        <v>0</v>
      </c>
      <c r="X45" s="20">
        <f>SUMIFS(estoque[valor total],estoque[fornecedor],"&lt;&gt;saída",estoque[produto],preçodiario[[#Headers],[OVO BRANCO EXTRA]],estoque[data],preçodiario[[#This Row],[data]])</f>
        <v>0</v>
      </c>
      <c r="Y45" s="20">
        <f>IFERROR(preçodiario[[#This Row],[estoque E]]*preçodiario[[#This Row],[OVO BRANCO EXTRA]],0)</f>
        <v>1381.96202422897</v>
      </c>
      <c r="Z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Row],[data]])),((Z44*AA44)+SUMIFS(estoque[valor total],estoque[produto],preçodiario[[#Headers],[OVO BRANCO JUMBO]],estoque[data],preçodiario[[#This Row],[data]],estoque[fornecedor],"&lt;&gt;saída"))/(AA44+(SUMIFS(estoque[quantidade],estoque[produto],preçodiario[[#Headers],[OVO BRANCO JUMBO]],estoque[fornecedor],"&lt;&gt;saída",estoque[data],preçodiario[[#This Row],[data]])))))</f>
        <v>15.521739130434781</v>
      </c>
      <c r="AA45" s="22">
        <f>IF(preçodiario[[#This Row],[entrada J]]=0,AA44-(SUMIFS(estoque[quantidade],estoque[fornecedor],"saída",estoque[produto],preçodiario[[#Headers],[OVO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Row],[data]]))+AA44+preçodiario[[#This Row],[entrada J]])</f>
        <v>69</v>
      </c>
      <c r="AB45" s="22">
        <f>SUMIFS(estoque[quantidade],estoque[fornecedor],"&lt;&gt;saída",estoque[produto],preçodiario[[#Headers],[OVO BRANCO JUMBO]],estoque[data],preçodiario[[#This Row],[data]])</f>
        <v>0</v>
      </c>
      <c r="AC45" s="20">
        <f>SUMIFS(estoque[valor total],estoque[fornecedor],"&lt;&gt;saída",estoque[produto],preçodiario[[#Headers],[OVO BRANCO JUMBO]],estoque[data],preçodiario[[#This Row],[data]])</f>
        <v>0</v>
      </c>
      <c r="AD45" s="20">
        <f>IFERROR(preçodiario[[#This Row],[OVO BRANCO JUMBO]]*preçodiario[[#This Row],[estoque J]],0)</f>
        <v>1071</v>
      </c>
      <c r="AE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Row],[data]])),((AE44*AF44)+SUMIFS(estoque[valor total],estoque[produto],preçodiario[[#Headers],[OVO VERMELHO A]],estoque[data],preçodiario[[#This Row],[data]],estoque[fornecedor],"&lt;&gt;saída"))/(AF44+(SUMIFS(estoque[quantidade],estoque[produto],preçodiario[[#Headers],[OVO VERMELHO A]],estoque[fornecedor],"&lt;&gt;saída",estoque[data],preçodiario[[#This Row],[data]])))))</f>
        <v/>
      </c>
      <c r="AF45" s="22">
        <f>IF(preçodiario[[#This Row],[entrada AV]]=0,AF44-(SUMIFS(estoque[quantidade],estoque[fornecedor],"saída",estoque[produto],preçodiario[[#Headers],[OVO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Row],[data]]))+AF44+preçodiario[[#This Row],[entrada AV]])</f>
        <v>0</v>
      </c>
      <c r="AG45" s="22">
        <f>SUMIFS(estoque[quantidade],estoque[fornecedor],"&lt;&gt;saída",estoque[produto],preçodiario[[#Headers],[OVO VERMELHO A]],estoque[data],preçodiario[[#This Row],[data]])</f>
        <v>0</v>
      </c>
      <c r="AH45" s="20">
        <f>SUMIFS(estoque[valor total],estoque[fornecedor],"&lt;&gt;saída",estoque[produto],preçodiario[[#Headers],[OVO VERMELHO A]],estoque[data],preçodiario[[#This Row],[data]])</f>
        <v>0</v>
      </c>
      <c r="AI45" s="20">
        <f>IFERROR(preçodiario[[#This Row],[OVO VERMELHO A]]*preçodiario[[#This Row],[estoque AV]],0)</f>
        <v>0</v>
      </c>
      <c r="AJ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Row],[data]])),((AJ44*AK44)+SUMIFS(estoque[valor total],estoque[produto],preçodiario[[#Headers],[OVO VERMELHO B]],estoque[data],preçodiario[[#This Row],[data]],estoque[fornecedor],"&lt;&gt;saída"))/(AK44+(SUMIFS(estoque[quantidade],estoque[produto],preçodiario[[#Headers],[OVO VERMELHO B]],estoque[fornecedor],"&lt;&gt;saída",estoque[data],preçodiario[[#This Row],[data]])))))</f>
        <v/>
      </c>
      <c r="AK45" s="22">
        <f>IF(preçodiario[[#This Row],[entrada BV]]=0,AK44-(SUMIFS(estoque[quantidade],estoque[fornecedor],"saída",estoque[produto],preçodiario[[#Headers],[OVO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Row],[data]]))+AK44+preçodiario[[#This Row],[entrada BV]])</f>
        <v>0</v>
      </c>
      <c r="AL45" s="22">
        <f>SUMIFS(estoque[quantidade],estoque[fornecedor],"&lt;&gt;saída",estoque[produto],preçodiario[[#Headers],[OVO VERMELHO B]],estoque[data],preçodiario[[#This Row],[data]])</f>
        <v>0</v>
      </c>
      <c r="AM45" s="20">
        <f>SUMIFS(estoque[valor total],estoque[fornecedor],"&lt;&gt;saída",estoque[produto],preçodiario[[#Headers],[OVO VERMELHO B]],estoque[data],preçodiario[[#This Row],[data]])</f>
        <v>0</v>
      </c>
      <c r="AN45" s="20">
        <f>IFERROR(preçodiario[[#This Row],[OVO VERMELHO B]]*preçodiario[[#This Row],[estoque BV]],0)</f>
        <v>0</v>
      </c>
      <c r="AO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Row],[data]])),((AO44*AP44)+SUMIFS(estoque[valor total],estoque[produto],preçodiario[[#Headers],[OVO VERMELHO C]],estoque[data],preçodiario[[#This Row],[data]],estoque[fornecedor],"&lt;&gt;saída"))/(AP44+(SUMIFS(estoque[quantidade],estoque[produto],preçodiario[[#Headers],[OVO VERMELHO C]],estoque[fornecedor],"&lt;&gt;saída",estoque[data],preçodiario[[#This Row],[data]])))))</f>
        <v/>
      </c>
      <c r="AP45" s="22">
        <f>IF(preçodiario[[#This Row],[entrada CV]]=0,AP44-(SUMIFS(estoque[quantidade],estoque[fornecedor],"saída",estoque[produto],preçodiario[[#Headers],[OVO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Row],[data]]))+AP44+preçodiario[[#This Row],[entrada CV]])</f>
        <v>0</v>
      </c>
      <c r="AQ45" s="22">
        <f>SUMIFS(estoque[quantidade],estoque[fornecedor],"&lt;&gt;saída",estoque[produto],preçodiario[[#Headers],[OVO VERMELHO C]],estoque[data],preçodiario[[#This Row],[data]])</f>
        <v>0</v>
      </c>
      <c r="AR45" s="20">
        <f>SUMIFS(estoque[valor total],estoque[fornecedor],"&lt;&gt;saída",estoque[produto],preçodiario[[#Headers],[OVO VERMELHO C]],estoque[data],preçodiario[[#This Row],[data]])</f>
        <v>0</v>
      </c>
      <c r="AS45" s="20">
        <f>IFERROR(preçodiario[[#This Row],[OVO VERMELHO C]]*preçodiario[[#This Row],[estoque CV]],0)</f>
        <v>0</v>
      </c>
      <c r="AT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Row],[data]])),((AT44*AU44)+SUMIFS(estoque[valor total],estoque[produto],preçodiario[[#Headers],[OVO VERMELHO EXTRA]],estoque[data],preçodiario[[#This Row],[data]],estoque[fornecedor],"&lt;&gt;saída"))/(AU44+(SUMIFS(estoque[quantidade],estoque[produto],preçodiario[[#Headers],[OVO VERMELHO EXTRA]],estoque[fornecedor],"&lt;&gt;saída",estoque[data],preçodiario[[#This Row],[data]])))))</f>
        <v/>
      </c>
      <c r="AU45" s="22">
        <f>IF(preçodiario[[#This Row],[entrada EV]]=0,AU44-(SUMIFS(estoque[quantidade],estoque[fornecedor],"saída",estoque[produto],preçodiario[[#Headers],[OVO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Row],[data]]))+AU44+preçodiario[[#This Row],[entrada EV]])</f>
        <v>0</v>
      </c>
      <c r="AV45" s="22">
        <f>SUMIFS(estoque[quantidade],estoque[fornecedor],"&lt;&gt;saída",estoque[produto],preçodiario[[#Headers],[OVO VERMELHO EXTRA]],estoque[data],preçodiario[[#This Row],[data]])</f>
        <v>0</v>
      </c>
      <c r="AW45" s="20">
        <f>SUMIFS(estoque[valor total],estoque[fornecedor],"&lt;&gt;saída",estoque[produto],preçodiario[[#Headers],[OVO VERMELHO EXTRA]],estoque[data],preçodiario[[#This Row],[data]])</f>
        <v>0</v>
      </c>
      <c r="AX45" s="20">
        <f>IFERROR(preçodiario[[#This Row],[OVO VERMELHO EXTRA]]*preçodiario[[#This Row],[estoque EV]],0)</f>
        <v>0</v>
      </c>
      <c r="AY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Row],[data]])),((AY44*AZ44)+SUMIFS(estoque[valor total],estoque[produto],preçodiario[[#Headers],[OVO VERMELHO JUMBO]],estoque[data],preçodiario[[#This Row],[data]],estoque[fornecedor],"&lt;&gt;saída"))/(AZ44+(SUMIFS(estoque[quantidade],estoque[produto],preçodiario[[#Headers],[OVO VERMELHO JUMBO]],estoque[fornecedor],"&lt;&gt;saída",estoque[data],preçodiario[[#This Row],[data]])))))</f>
        <v/>
      </c>
      <c r="AZ45" s="22">
        <f>IF(preçodiario[[#This Row],[entrada JV]]=0,AZ44-(SUMIFS(estoque[quantidade],estoque[fornecedor],"saída",estoque[produto],preçodiario[[#Headers],[OVO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Row],[data]]))+AZ44+preçodiario[[#This Row],[entrada JV]])</f>
        <v>0</v>
      </c>
      <c r="BA45" s="22">
        <f>SUMIFS(estoque[quantidade],estoque[fornecedor],"&lt;&gt;saída",estoque[produto],preçodiario[[#Headers],[OVO VERMELHO JUMBO]],estoque[data],preçodiario[[#This Row],[data]])</f>
        <v>0</v>
      </c>
      <c r="BB45" s="20">
        <f>SUMIFS(estoque[valor total],estoque[fornecedor],"&lt;&gt;saída",estoque[produto],preçodiario[[#Headers],[OVO VERMELHO JUMBO]],estoque[data],preçodiario[[#This Row],[data]])</f>
        <v>0</v>
      </c>
      <c r="BC45" s="20">
        <f>IFERROR(preçodiario[[#This Row],[OVO VERMELHO JUMBO]]*preçodiario[[#This Row],[estoque JV]],0)</f>
        <v>0</v>
      </c>
      <c r="BD45" t="str">
        <f>TEXT(vendaAno[[#This Row],[data]],"mmm")</f>
        <v>fev</v>
      </c>
      <c r="BE45" t="str">
        <f>TEXT(vendaAno[[#This Row],[data]],"ddd")</f>
        <v>sex</v>
      </c>
      <c r="BF45" s="82">
        <f>WEEKNUM(vendaAno[[#This Row],[data]],13)</f>
        <v>7</v>
      </c>
      <c r="BG45" s="27">
        <f>preçodiario[[#This Row],[data]]</f>
        <v>46066</v>
      </c>
      <c r="BH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5" s="8">
        <f>IF(SUMIFS(estoque[valor total],estoque[fornecedor],"saída",estoque[data],vendaAno[[#This Row],[data]])=0,"",SUMIFS(estoque[valor total],estoque[fornecedor],"saída",estoque[data],vendaAno[[#This Row],[data]]))</f>
        <v>630.5</v>
      </c>
      <c r="BJ4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Row],[data]]))/12+BJ44,"")</f>
        <v>32.666666666666629</v>
      </c>
      <c r="BK45" s="79">
        <f>IF(SUMIFS(estoque[quantidade],estoque[fornecedor],"saída",estoque[data],vendaAno[[#This Row],[data]])/12=0,"",SUMIFS(estoque[quantidade],estoque[fornecedor],"saída",estoque[data],vendaAno[[#This Row],[data]])/12)</f>
        <v>2.5833333333333335</v>
      </c>
      <c r="BL45" s="8">
        <f ca="1">IF(vendaAno[[#This Row],[data]]&lt;=TODAY(),IF(SUMIFS(estoque[lucro],estoque[fornecedor],"saída",estoque[data],vendaAno[[#This Row],[data]])=0,AVERAGE(BL42:BL44),SUMIFS(estoque[lucro],estoque[fornecedor],"saída",estoque[data],vendaAno[[#This Row],[data]])),"")</f>
        <v>178.92</v>
      </c>
      <c r="BM45" s="10">
        <f ca="1">IFERROR(vendaAno[[#This Row],[lucro]]/vendaAno[[#This Row],[valor de venda]],"")</f>
        <v>0.28377478191911182</v>
      </c>
      <c r="BN4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5559.3565587481753</v>
      </c>
      <c r="BO45" s="8">
        <f ca="1">IF(TODAY()&gt;=vendaAno[[#This Row],[data]],IF(vendaAno[[#This Row],[N°]]=BF44,vendaAno[[#This Row],[lucro]]-173.33+BO44,vendaAno[[#This Row],[lucro]]-150),"")</f>
        <v>-16.110000000000056</v>
      </c>
      <c r="BP45" s="81">
        <f ca="1">IF(TODAY()&gt;=vendaAno[[#This Row],[data]],SUM(BK39:BK45)*12,"")</f>
        <v>285</v>
      </c>
      <c r="BQ45" s="7">
        <f ca="1">IFERROR(vendaAno[[#This Row],[lucro]]/(vendaAno[[#This Row],[venda]]*12),"")</f>
        <v>5.7716129032258063</v>
      </c>
      <c r="BT45" s="95">
        <f ca="1">WEEKNUM(PvPcML[[#This Row],[data]],13)</f>
        <v>25</v>
      </c>
      <c r="BU45" s="132">
        <f t="shared" ca="1" si="0"/>
        <v>46190</v>
      </c>
      <c r="BV45" s="7">
        <f ca="1">IFERROR(SUMIFS(vendaAno[valor de venda],vendaAno[data],PvPcML[[#This Row],[data]])/(SUMIFS(vendaAno[venda],vendaAno[data],PvPcML[[#This Row],[data]])*12),"")</f>
        <v>19.8</v>
      </c>
      <c r="BW45" s="8">
        <f ca="1">IFERROR(SUMIFS(vendaAno[valor de venda],vendaAno[data],PvPcML[[#This Row],[data]])/(SUMIFS(vendaAno[venda],vendaAno[data],PvPcML[[#This Row],[data]])*12)-PvPcML[[#This Row],[lucro médio]],"")</f>
        <v>15.958</v>
      </c>
      <c r="BX45" s="7">
        <f ca="1">IF(SUMIFS(vendaAno[[lucro médio ]],vendaAno[data],PvPcML[[#This Row],[data]])=0,"",SUMIFS(vendaAno[[lucro médio ]],vendaAno[data],PvPcML[[#This Row],[data]]))</f>
        <v>3.8420000000000001</v>
      </c>
      <c r="BY45" s="91">
        <v>44</v>
      </c>
      <c r="BZ45" s="89">
        <f t="shared" si="1"/>
        <v>46324</v>
      </c>
      <c r="CA45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5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5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5" s="82" t="str">
        <f ca="1">IFERROR(AVERAGEIFS(vendaAno[venda],vendaAno[data],"&gt;="&amp;semanal[[#This Row],[semana]],vendaAno[data],"&lt;="&amp;semanal[[#This Row],[semana]]+6),"")</f>
        <v/>
      </c>
      <c r="CE45" s="82" t="str">
        <f ca="1">IFERROR((150/semanal[[#This Row],[lucro médio por cartela]])/12,"")</f>
        <v/>
      </c>
    </row>
    <row r="46" spans="1:101" x14ac:dyDescent="0.25">
      <c r="A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6" s="18" t="str">
        <f>TEXT(preçodiario[[#This Row],[data]],"MMM")</f>
        <v>fev</v>
      </c>
      <c r="C46" s="18" t="str">
        <f>TEXT(preçodiario[[#This Row],[data]],"ddd")</f>
        <v>sáb</v>
      </c>
      <c r="D46" s="96">
        <f>WEEKNUM(preçodiario[[#This Row],[data]],13)</f>
        <v>7</v>
      </c>
      <c r="E46" s="37">
        <v>46067</v>
      </c>
      <c r="F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Row],[data]])),((F45*G45)+SUMIFS(estoque[valor total],estoque[produto],preçodiario[[#Headers],[OVO BRANCO A]],estoque[data],preçodiario[[#This Row],[data]],estoque[fornecedor],"&lt;&gt;saída"))/(G45+(SUMIFS(estoque[quantidade],estoque[produto],preçodiario[[#Headers],[OVO BRANCO A]],estoque[fornecedor],"&lt;&gt;saída",estoque[data],preçodiario[[#This Row],[data]])))))</f>
        <v>14.356973567766138</v>
      </c>
      <c r="G46" s="22">
        <f>IF(preçodiario[[#This Row],[entrada A]]=0,G45-(SUMIFS(estoque[quantidade],estoque[fornecedor],"saída",estoque[produto],preçodiario[[#Headers],[OVO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Row],[data]]))+G45+preçodiario[[#This Row],[entrada A]])</f>
        <v>75</v>
      </c>
      <c r="H46" s="22">
        <f>SUMIFS(estoque[quantidade],estoque[fornecedor],"&lt;&gt;saída",estoque[produto],preçodiario[[#Headers],[OVO BRANCO A]],estoque[data],preçodiario[[#This Row],[data]])</f>
        <v>0</v>
      </c>
      <c r="I46" s="20">
        <f>SUMIFS(estoque[valor total],estoque[fornecedor],"&lt;&gt;saída",estoque[produto],preçodiario[[#Headers],[OVO BRANCO A]],estoque[data],preçodiario[[#This Row],[data]])</f>
        <v>0</v>
      </c>
      <c r="J46" s="20">
        <f>IFERROR(preçodiario[[#This Row],[estoque A]]*preçodiario[[#This Row],[OVO BRANCO A]],0)</f>
        <v>1076.7730175824604</v>
      </c>
      <c r="K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Row],[data]])),((K45*L45)+SUMIFS(estoque[valor total],estoque[produto],preçodiario[[#Headers],[OVO BRANCO B]],estoque[data],preçodiario[[#This Row],[data]],estoque[fornecedor],"&lt;&gt;saída"))/(L45+(SUMIFS(estoque[quantidade],estoque[produto],preçodiario[[#Headers],[OVO BRANCO B]],estoque[fornecedor],"&lt;&gt;saída",estoque[data],preçodiario[[#This Row],[data]])))))</f>
        <v>13.039622372528346</v>
      </c>
      <c r="L46" s="22">
        <f>IF(preçodiario[[#This Row],[entrada B]]=0,L45-(SUMIFS(estoque[quantidade],estoque[fornecedor],"saída",estoque[produto],preçodiario[[#Headers],[OVO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Row],[data]]))+L45+preçodiario[[#This Row],[entrada B]])</f>
        <v>132</v>
      </c>
      <c r="M46" s="22">
        <f>SUMIFS(estoque[quantidade],estoque[fornecedor],"&lt;&gt;saída",estoque[produto],preçodiario[[#Headers],[OVO BRANCO B]],estoque[data],preçodiario[[#This Row],[data]])</f>
        <v>0</v>
      </c>
      <c r="N46" s="20">
        <f>SUMIFS(estoque[valor total],estoque[fornecedor],"&lt;&gt;saída",estoque[produto],preçodiario[[#Headers],[OVO BRANCO B]],estoque[data],preçodiario[[#This Row],[data]])</f>
        <v>0</v>
      </c>
      <c r="O46" s="20">
        <f>IFERROR(preçodiario[[#This Row],[OVO BRANCO B]]*preçodiario[[#This Row],[estoque B]],0)</f>
        <v>1721.2301531737417</v>
      </c>
      <c r="P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Row],[data]])),((P45*Q45)+SUMIFS(estoque[valor total],estoque[produto],preçodiario[[#Headers],[OVO BRANCO C]],estoque[data],preçodiario[[#This Row],[data]],estoque[fornecedor],"&lt;&gt;saída"))/(Q45+(SUMIFS(estoque[quantidade],estoque[produto],preçodiario[[#Headers],[OVO BRANCO C]],estoque[fornecedor],"&lt;&gt;saída",estoque[data],preçodiario[[#This Row],[data]])))))</f>
        <v>13.874671916010502</v>
      </c>
      <c r="Q46" s="22">
        <f>IF(preçodiario[[#This Row],[entrada C]]=0,Q45-(SUMIFS(estoque[quantidade],estoque[fornecedor],"saída",estoque[produto],preçodiario[[#Headers],[OVO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Row],[data]]))+Q45+preçodiario[[#This Row],[entrada C]])</f>
        <v>7</v>
      </c>
      <c r="R46" s="22">
        <f>SUMIFS(estoque[quantidade],estoque[fornecedor],"&lt;&gt;saída",estoque[produto],preçodiario[[#Headers],[OVO BRANCO C]],estoque[data],preçodiario[[#This Row],[data]])</f>
        <v>0</v>
      </c>
      <c r="S46" s="20">
        <f>SUMIFS(estoque[valor total],estoque[fornecedor],"&lt;&gt;saída",estoque[produto],preçodiario[[#Headers],[OVO BRANCO C]],estoque[data],preçodiario[[#This Row],[data]])</f>
        <v>0</v>
      </c>
      <c r="T46" s="20">
        <f>IFERROR(preçodiario[[#This Row],[OVO BRANCO C]]*preçodiario[[#This Row],[estoque C]],0)</f>
        <v>97.12270341207352</v>
      </c>
      <c r="U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Row],[data]])),((U45*V45)+SUMIFS(estoque[valor total],estoque[produto],preçodiario[[#Headers],[OVO BRANCO EXTRA]],estoque[data],preçodiario[[#This Row],[data]],estoque[fornecedor],"&lt;&gt;saída"))/(V45+(SUMIFS(estoque[quantidade],estoque[produto],preçodiario[[#Headers],[OVO BRANCO EXTRA]],estoque[fornecedor],"&lt;&gt;saída",estoque[data],preçodiario[[#This Row],[data]])))))</f>
        <v>14.859806712139463</v>
      </c>
      <c r="V46" s="22">
        <f>IF(preçodiario[[#This Row],[entrada E]]=0,V45-(SUMIFS(estoque[quantidade],estoque[fornecedor],"saída",estoque[produto],preçodiario[[#Headers],[OVO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Row],[data]]))+V45+preçodiario[[#This Row],[entrada E]])</f>
        <v>90</v>
      </c>
      <c r="W46" s="22">
        <f>SUMIFS(estoque[quantidade],estoque[fornecedor],"&lt;&gt;saída",estoque[produto],preçodiario[[#Headers],[OVO BRANCO EXTRA]],estoque[data],preçodiario[[#This Row],[data]])</f>
        <v>0</v>
      </c>
      <c r="X46" s="20">
        <f>SUMIFS(estoque[valor total],estoque[fornecedor],"&lt;&gt;saída",estoque[produto],preçodiario[[#Headers],[OVO BRANCO EXTRA]],estoque[data],preçodiario[[#This Row],[data]])</f>
        <v>0</v>
      </c>
      <c r="Y46" s="20">
        <f>IFERROR(preçodiario[[#This Row],[estoque E]]*preçodiario[[#This Row],[OVO BRANCO EXTRA]],0)</f>
        <v>1337.3826040925517</v>
      </c>
      <c r="Z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Row],[data]])),((Z45*AA45)+SUMIFS(estoque[valor total],estoque[produto],preçodiario[[#Headers],[OVO BRANCO JUMBO]],estoque[data],preçodiario[[#This Row],[data]],estoque[fornecedor],"&lt;&gt;saída"))/(AA45+(SUMIFS(estoque[quantidade],estoque[produto],preçodiario[[#Headers],[OVO BRANCO JUMBO]],estoque[fornecedor],"&lt;&gt;saída",estoque[data],preçodiario[[#This Row],[data]])))))</f>
        <v>15.521739130434783</v>
      </c>
      <c r="AA46" s="22">
        <f>IF(preçodiario[[#This Row],[entrada J]]=0,AA45-(SUMIFS(estoque[quantidade],estoque[fornecedor],"saída",estoque[produto],preçodiario[[#Headers],[OVO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Row],[data]]))+AA45+preçodiario[[#This Row],[entrada J]])</f>
        <v>66</v>
      </c>
      <c r="AB46" s="22">
        <f>SUMIFS(estoque[quantidade],estoque[fornecedor],"&lt;&gt;saída",estoque[produto],preçodiario[[#Headers],[OVO BRANCO JUMBO]],estoque[data],preçodiario[[#This Row],[data]])</f>
        <v>0</v>
      </c>
      <c r="AC46" s="20">
        <f>SUMIFS(estoque[valor total],estoque[fornecedor],"&lt;&gt;saída",estoque[produto],preçodiario[[#Headers],[OVO BRANCO JUMBO]],estoque[data],preçodiario[[#This Row],[data]])</f>
        <v>0</v>
      </c>
      <c r="AD46" s="20">
        <f>IFERROR(preçodiario[[#This Row],[OVO BRANCO JUMBO]]*preçodiario[[#This Row],[estoque J]],0)</f>
        <v>1024.4347826086957</v>
      </c>
      <c r="AE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Row],[data]])),((AE45*AF45)+SUMIFS(estoque[valor total],estoque[produto],preçodiario[[#Headers],[OVO VERMELHO A]],estoque[data],preçodiario[[#This Row],[data]],estoque[fornecedor],"&lt;&gt;saída"))/(AF45+(SUMIFS(estoque[quantidade],estoque[produto],preçodiario[[#Headers],[OVO VERMELHO A]],estoque[fornecedor],"&lt;&gt;saída",estoque[data],preçodiario[[#This Row],[data]])))))</f>
        <v/>
      </c>
      <c r="AF46" s="22">
        <f>IF(preçodiario[[#This Row],[entrada AV]]=0,AF45-(SUMIFS(estoque[quantidade],estoque[fornecedor],"saída",estoque[produto],preçodiario[[#Headers],[OVO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Row],[data]]))+AF45+preçodiario[[#This Row],[entrada AV]])</f>
        <v>0</v>
      </c>
      <c r="AG46" s="22">
        <f>SUMIFS(estoque[quantidade],estoque[fornecedor],"&lt;&gt;saída",estoque[produto],preçodiario[[#Headers],[OVO VERMELHO A]],estoque[data],preçodiario[[#This Row],[data]])</f>
        <v>0</v>
      </c>
      <c r="AH46" s="20">
        <f>SUMIFS(estoque[valor total],estoque[fornecedor],"&lt;&gt;saída",estoque[produto],preçodiario[[#Headers],[OVO VERMELHO A]],estoque[data],preçodiario[[#This Row],[data]])</f>
        <v>0</v>
      </c>
      <c r="AI46" s="20">
        <f>IFERROR(preçodiario[[#This Row],[OVO VERMELHO A]]*preçodiario[[#This Row],[estoque AV]],0)</f>
        <v>0</v>
      </c>
      <c r="AJ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Row],[data]])),((AJ45*AK45)+SUMIFS(estoque[valor total],estoque[produto],preçodiario[[#Headers],[OVO VERMELHO B]],estoque[data],preçodiario[[#This Row],[data]],estoque[fornecedor],"&lt;&gt;saída"))/(AK45+(SUMIFS(estoque[quantidade],estoque[produto],preçodiario[[#Headers],[OVO VERMELHO B]],estoque[fornecedor],"&lt;&gt;saída",estoque[data],preçodiario[[#This Row],[data]])))))</f>
        <v/>
      </c>
      <c r="AK46" s="22">
        <f>IF(preçodiario[[#This Row],[entrada BV]]=0,AK45-(SUMIFS(estoque[quantidade],estoque[fornecedor],"saída",estoque[produto],preçodiario[[#Headers],[OVO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Row],[data]]))+AK45+preçodiario[[#This Row],[entrada BV]])</f>
        <v>0</v>
      </c>
      <c r="AL46" s="22">
        <f>SUMIFS(estoque[quantidade],estoque[fornecedor],"&lt;&gt;saída",estoque[produto],preçodiario[[#Headers],[OVO VERMELHO B]],estoque[data],preçodiario[[#This Row],[data]])</f>
        <v>0</v>
      </c>
      <c r="AM46" s="20">
        <f>SUMIFS(estoque[valor total],estoque[fornecedor],"&lt;&gt;saída",estoque[produto],preçodiario[[#Headers],[OVO VERMELHO B]],estoque[data],preçodiario[[#This Row],[data]])</f>
        <v>0</v>
      </c>
      <c r="AN46" s="20">
        <f>IFERROR(preçodiario[[#This Row],[OVO VERMELHO B]]*preçodiario[[#This Row],[estoque BV]],0)</f>
        <v>0</v>
      </c>
      <c r="AO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Row],[data]])),((AO45*AP45)+SUMIFS(estoque[valor total],estoque[produto],preçodiario[[#Headers],[OVO VERMELHO C]],estoque[data],preçodiario[[#This Row],[data]],estoque[fornecedor],"&lt;&gt;saída"))/(AP45+(SUMIFS(estoque[quantidade],estoque[produto],preçodiario[[#Headers],[OVO VERMELHO C]],estoque[fornecedor],"&lt;&gt;saída",estoque[data],preçodiario[[#This Row],[data]])))))</f>
        <v/>
      </c>
      <c r="AP46" s="22">
        <f>IF(preçodiario[[#This Row],[entrada CV]]=0,AP45-(SUMIFS(estoque[quantidade],estoque[fornecedor],"saída",estoque[produto],preçodiario[[#Headers],[OVO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Row],[data]]))+AP45+preçodiario[[#This Row],[entrada CV]])</f>
        <v>0</v>
      </c>
      <c r="AQ46" s="22">
        <f>SUMIFS(estoque[quantidade],estoque[fornecedor],"&lt;&gt;saída",estoque[produto],preçodiario[[#Headers],[OVO VERMELHO C]],estoque[data],preçodiario[[#This Row],[data]])</f>
        <v>0</v>
      </c>
      <c r="AR46" s="20">
        <f>SUMIFS(estoque[valor total],estoque[fornecedor],"&lt;&gt;saída",estoque[produto],preçodiario[[#Headers],[OVO VERMELHO C]],estoque[data],preçodiario[[#This Row],[data]])</f>
        <v>0</v>
      </c>
      <c r="AS46" s="20">
        <f>IFERROR(preçodiario[[#This Row],[OVO VERMELHO C]]*preçodiario[[#This Row],[estoque CV]],0)</f>
        <v>0</v>
      </c>
      <c r="AT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Row],[data]])),((AT45*AU45)+SUMIFS(estoque[valor total],estoque[produto],preçodiario[[#Headers],[OVO VERMELHO EXTRA]],estoque[data],preçodiario[[#This Row],[data]],estoque[fornecedor],"&lt;&gt;saída"))/(AU45+(SUMIFS(estoque[quantidade],estoque[produto],preçodiario[[#Headers],[OVO VERMELHO EXTRA]],estoque[fornecedor],"&lt;&gt;saída",estoque[data],preçodiario[[#This Row],[data]])))))</f>
        <v/>
      </c>
      <c r="AU46" s="22">
        <f>IF(preçodiario[[#This Row],[entrada EV]]=0,AU45-(SUMIFS(estoque[quantidade],estoque[fornecedor],"saída",estoque[produto],preçodiario[[#Headers],[OVO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Row],[data]]))+AU45+preçodiario[[#This Row],[entrada EV]])</f>
        <v>0</v>
      </c>
      <c r="AV46" s="22">
        <f>SUMIFS(estoque[quantidade],estoque[fornecedor],"&lt;&gt;saída",estoque[produto],preçodiario[[#Headers],[OVO VERMELHO EXTRA]],estoque[data],preçodiario[[#This Row],[data]])</f>
        <v>0</v>
      </c>
      <c r="AW46" s="20">
        <f>SUMIFS(estoque[valor total],estoque[fornecedor],"&lt;&gt;saída",estoque[produto],preçodiario[[#Headers],[OVO VERMELHO EXTRA]],estoque[data],preçodiario[[#This Row],[data]])</f>
        <v>0</v>
      </c>
      <c r="AX46" s="20">
        <f>IFERROR(preçodiario[[#This Row],[OVO VERMELHO EXTRA]]*preçodiario[[#This Row],[estoque EV]],0)</f>
        <v>0</v>
      </c>
      <c r="AY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Row],[data]])),((AY45*AZ45)+SUMIFS(estoque[valor total],estoque[produto],preçodiario[[#Headers],[OVO VERMELHO JUMBO]],estoque[data],preçodiario[[#This Row],[data]],estoque[fornecedor],"&lt;&gt;saída"))/(AZ45+(SUMIFS(estoque[quantidade],estoque[produto],preçodiario[[#Headers],[OVO VERMELHO JUMBO]],estoque[fornecedor],"&lt;&gt;saída",estoque[data],preçodiario[[#This Row],[data]])))))</f>
        <v/>
      </c>
      <c r="AZ46" s="22">
        <f>IF(preçodiario[[#This Row],[entrada JV]]=0,AZ45-(SUMIFS(estoque[quantidade],estoque[fornecedor],"saída",estoque[produto],preçodiario[[#Headers],[OVO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Row],[data]]))+AZ45+preçodiario[[#This Row],[entrada JV]])</f>
        <v>0</v>
      </c>
      <c r="BA46" s="22">
        <f>SUMIFS(estoque[quantidade],estoque[fornecedor],"&lt;&gt;saída",estoque[produto],preçodiario[[#Headers],[OVO VERMELHO JUMBO]],estoque[data],preçodiario[[#This Row],[data]])</f>
        <v>0</v>
      </c>
      <c r="BB46" s="20">
        <f>SUMIFS(estoque[valor total],estoque[fornecedor],"&lt;&gt;saída",estoque[produto],preçodiario[[#Headers],[OVO VERMELHO JUMBO]],estoque[data],preçodiario[[#This Row],[data]])</f>
        <v>0</v>
      </c>
      <c r="BC46" s="20">
        <f>IFERROR(preçodiario[[#This Row],[OVO VERMELHO JUMBO]]*preçodiario[[#This Row],[estoque JV]],0)</f>
        <v>0</v>
      </c>
      <c r="BD46" t="str">
        <f>TEXT(vendaAno[[#This Row],[data]],"mmm")</f>
        <v>fev</v>
      </c>
      <c r="BE46" t="str">
        <f>TEXT(vendaAno[[#This Row],[data]],"ddd")</f>
        <v>sáb</v>
      </c>
      <c r="BF46" s="82">
        <f>WEEKNUM(vendaAno[[#This Row],[data]],13)</f>
        <v>7</v>
      </c>
      <c r="BG46" s="27">
        <f>preçodiario[[#This Row],[data]]</f>
        <v>46067</v>
      </c>
      <c r="BH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6" s="8">
        <f>IF(SUMIFS(estoque[valor total],estoque[fornecedor],"saída",estoque[data],vendaAno[[#This Row],[data]])=0,"",SUMIFS(estoque[valor total],estoque[fornecedor],"saída",estoque[data],vendaAno[[#This Row],[data]]))</f>
        <v>387</v>
      </c>
      <c r="BJ4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Row],[data]]))/12+BJ45,"")</f>
        <v>30.833333333333297</v>
      </c>
      <c r="BK46" s="79">
        <f>IF(SUMIFS(estoque[quantidade],estoque[fornecedor],"saída",estoque[data],vendaAno[[#This Row],[data]])/12=0,"",SUMIFS(estoque[quantidade],estoque[fornecedor],"saída",estoque[data],vendaAno[[#This Row],[data]])/12)</f>
        <v>1.8333333333333333</v>
      </c>
      <c r="BL46" s="8">
        <f ca="1">IF(vendaAno[[#This Row],[data]]&lt;=TODAY(),IF(SUMIFS(estoque[lucro],estoque[fornecedor],"saída",estoque[data],vendaAno[[#This Row],[data]])=0,AVERAGE(BL43:BL45),SUMIFS(estoque[lucro],estoque[fornecedor],"saída",estoque[data],vendaAno[[#This Row],[data]])),"")</f>
        <v>84.590000000000018</v>
      </c>
      <c r="BM46" s="10">
        <f ca="1">IFERROR(vendaAno[[#This Row],[lucro]]/vendaAno[[#This Row],[valor de venda]],"")</f>
        <v>0.2185788113695091</v>
      </c>
      <c r="BN4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5256.9432608695224</v>
      </c>
      <c r="BO46" s="8">
        <f ca="1">IF(TODAY()&gt;=vendaAno[[#This Row],[data]],IF(vendaAno[[#This Row],[N°]]=BF45,vendaAno[[#This Row],[lucro]]-173.33+BO45,vendaAno[[#This Row],[lucro]]-150),"")</f>
        <v>-104.85000000000005</v>
      </c>
      <c r="BP46" s="81">
        <f ca="1">IF(TODAY()&gt;=vendaAno[[#This Row],[data]],SUM(BK40:BK46)*12,"")</f>
        <v>267</v>
      </c>
      <c r="BQ46" s="7">
        <f ca="1">IFERROR(vendaAno[[#This Row],[lucro]]/(vendaAno[[#This Row],[venda]]*12),"")</f>
        <v>3.8450000000000006</v>
      </c>
      <c r="BT46" s="95">
        <f ca="1">WEEKNUM(PvPcML[[#This Row],[data]],13)</f>
        <v>24</v>
      </c>
      <c r="BU46" s="132">
        <f t="shared" ca="1" si="0"/>
        <v>46189</v>
      </c>
      <c r="BV46" s="7">
        <f ca="1">IFERROR(SUMIFS(vendaAno[valor de venda],vendaAno[data],PvPcML[[#This Row],[data]])/(SUMIFS(vendaAno[venda],vendaAno[data],PvPcML[[#This Row],[data]])*12),"")</f>
        <v>18.217391304347824</v>
      </c>
      <c r="BW46" s="8">
        <f ca="1">IFERROR(SUMIFS(vendaAno[valor de venda],vendaAno[data],PvPcML[[#This Row],[data]])/(SUMIFS(vendaAno[venda],vendaAno[data],PvPcML[[#This Row],[data]])*12)-PvPcML[[#This Row],[lucro médio]],"")</f>
        <v>15.505217391304345</v>
      </c>
      <c r="BX46" s="7">
        <f ca="1">IF(SUMIFS(vendaAno[[lucro médio ]],vendaAno[data],PvPcML[[#This Row],[data]])=0,"",SUMIFS(vendaAno[[lucro médio ]],vendaAno[data],PvPcML[[#This Row],[data]]))</f>
        <v>2.7121739130434781</v>
      </c>
      <c r="BY46" s="90">
        <v>45</v>
      </c>
      <c r="BZ46" s="89">
        <f t="shared" si="1"/>
        <v>46331</v>
      </c>
      <c r="CA46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6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6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6" s="82" t="str">
        <f ca="1">IFERROR(AVERAGEIFS(vendaAno[venda],vendaAno[data],"&gt;="&amp;semanal[[#This Row],[semana]],vendaAno[data],"&lt;="&amp;semanal[[#This Row],[semana]]+6),"")</f>
        <v/>
      </c>
      <c r="CE46" s="82" t="str">
        <f ca="1">IFERROR((150/semanal[[#This Row],[lucro médio por cartela]])/12,"")</f>
        <v/>
      </c>
    </row>
    <row r="47" spans="1:101" x14ac:dyDescent="0.25">
      <c r="A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7" s="18" t="str">
        <f>TEXT(preçodiario[[#This Row],[data]],"MMM")</f>
        <v>fev</v>
      </c>
      <c r="C47" s="18" t="str">
        <f>TEXT(preçodiario[[#This Row],[data]],"ddd")</f>
        <v>dom</v>
      </c>
      <c r="D47" s="96">
        <f>WEEKNUM(preçodiario[[#This Row],[data]],13)</f>
        <v>7</v>
      </c>
      <c r="E47" s="37">
        <v>46068</v>
      </c>
      <c r="F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Row],[data]])),((F46*G46)+SUMIFS(estoque[valor total],estoque[produto],preçodiario[[#Headers],[OVO BRANCO A]],estoque[data],preçodiario[[#This Row],[data]],estoque[fornecedor],"&lt;&gt;saída"))/(G46+(SUMIFS(estoque[quantidade],estoque[produto],preçodiario[[#Headers],[OVO BRANCO A]],estoque[fornecedor],"&lt;&gt;saída",estoque[data],preçodiario[[#This Row],[data]])))))</f>
        <v>14.356973567766138</v>
      </c>
      <c r="G47" s="22">
        <f>IF(preçodiario[[#This Row],[entrada A]]=0,G46-(SUMIFS(estoque[quantidade],estoque[fornecedor],"saída",estoque[produto],preçodiario[[#Headers],[OVO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Row],[data]]))+G46+preçodiario[[#This Row],[entrada A]])</f>
        <v>65</v>
      </c>
      <c r="H47" s="22">
        <f>SUMIFS(estoque[quantidade],estoque[fornecedor],"&lt;&gt;saída",estoque[produto],preçodiario[[#Headers],[OVO BRANCO A]],estoque[data],preçodiario[[#This Row],[data]])</f>
        <v>0</v>
      </c>
      <c r="I47" s="20">
        <f>SUMIFS(estoque[valor total],estoque[fornecedor],"&lt;&gt;saída",estoque[produto],preçodiario[[#Headers],[OVO BRANCO A]],estoque[data],preçodiario[[#This Row],[data]])</f>
        <v>0</v>
      </c>
      <c r="J47" s="20">
        <f>IFERROR(preçodiario[[#This Row],[estoque A]]*preçodiario[[#This Row],[OVO BRANCO A]],0)</f>
        <v>933.20328190479893</v>
      </c>
      <c r="K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Row],[data]])),((K46*L46)+SUMIFS(estoque[valor total],estoque[produto],preçodiario[[#Headers],[OVO BRANCO B]],estoque[data],preçodiario[[#This Row],[data]],estoque[fornecedor],"&lt;&gt;saída"))/(L46+(SUMIFS(estoque[quantidade],estoque[produto],preçodiario[[#Headers],[OVO BRANCO B]],estoque[fornecedor],"&lt;&gt;saída",estoque[data],preçodiario[[#This Row],[data]])))))</f>
        <v>13.039622372528346</v>
      </c>
      <c r="L47" s="22">
        <f>IF(preçodiario[[#This Row],[entrada B]]=0,L46-(SUMIFS(estoque[quantidade],estoque[fornecedor],"saída",estoque[produto],preçodiario[[#Headers],[OVO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Row],[data]]))+L46+preçodiario[[#This Row],[entrada B]])</f>
        <v>130</v>
      </c>
      <c r="M47" s="22">
        <f>SUMIFS(estoque[quantidade],estoque[fornecedor],"&lt;&gt;saída",estoque[produto],preçodiario[[#Headers],[OVO BRANCO B]],estoque[data],preçodiario[[#This Row],[data]])</f>
        <v>0</v>
      </c>
      <c r="N47" s="20">
        <f>SUMIFS(estoque[valor total],estoque[fornecedor],"&lt;&gt;saída",estoque[produto],preçodiario[[#Headers],[OVO BRANCO B]],estoque[data],preçodiario[[#This Row],[data]])</f>
        <v>0</v>
      </c>
      <c r="O47" s="20">
        <f>IFERROR(preçodiario[[#This Row],[OVO BRANCO B]]*preçodiario[[#This Row],[estoque B]],0)</f>
        <v>1695.1509084286849</v>
      </c>
      <c r="P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Row],[data]])),((P46*Q46)+SUMIFS(estoque[valor total],estoque[produto],preçodiario[[#Headers],[OVO BRANCO C]],estoque[data],preçodiario[[#This Row],[data]],estoque[fornecedor],"&lt;&gt;saída"))/(Q46+(SUMIFS(estoque[quantidade],estoque[produto],preçodiario[[#Headers],[OVO BRANCO C]],estoque[fornecedor],"&lt;&gt;saída",estoque[data],preçodiario[[#This Row],[data]])))))</f>
        <v>13.874671916010502</v>
      </c>
      <c r="Q47" s="22">
        <f>IF(preçodiario[[#This Row],[entrada C]]=0,Q46-(SUMIFS(estoque[quantidade],estoque[fornecedor],"saída",estoque[produto],preçodiario[[#Headers],[OVO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Row],[data]]))+Q46+preçodiario[[#This Row],[entrada C]])</f>
        <v>7</v>
      </c>
      <c r="R47" s="22">
        <f>SUMIFS(estoque[quantidade],estoque[fornecedor],"&lt;&gt;saída",estoque[produto],preçodiario[[#Headers],[OVO BRANCO C]],estoque[data],preçodiario[[#This Row],[data]])</f>
        <v>0</v>
      </c>
      <c r="S47" s="20">
        <f>SUMIFS(estoque[valor total],estoque[fornecedor],"&lt;&gt;saída",estoque[produto],preçodiario[[#Headers],[OVO BRANCO C]],estoque[data],preçodiario[[#This Row],[data]])</f>
        <v>0</v>
      </c>
      <c r="T47" s="20">
        <f>IFERROR(preçodiario[[#This Row],[OVO BRANCO C]]*preçodiario[[#This Row],[estoque C]],0)</f>
        <v>97.12270341207352</v>
      </c>
      <c r="U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Row],[data]])),((U46*V46)+SUMIFS(estoque[valor total],estoque[produto],preçodiario[[#Headers],[OVO BRANCO EXTRA]],estoque[data],preçodiario[[#This Row],[data]],estoque[fornecedor],"&lt;&gt;saída"))/(V46+(SUMIFS(estoque[quantidade],estoque[produto],preçodiario[[#Headers],[OVO BRANCO EXTRA]],estoque[fornecedor],"&lt;&gt;saída",estoque[data],preçodiario[[#This Row],[data]])))))</f>
        <v>14.859806712139463</v>
      </c>
      <c r="V47" s="22">
        <f>IF(preçodiario[[#This Row],[entrada E]]=0,V46-(SUMIFS(estoque[quantidade],estoque[fornecedor],"saída",estoque[produto],preçodiario[[#Headers],[OVO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Row],[data]]))+V46+preçodiario[[#This Row],[entrada E]])</f>
        <v>86</v>
      </c>
      <c r="W47" s="22">
        <f>SUMIFS(estoque[quantidade],estoque[fornecedor],"&lt;&gt;saída",estoque[produto],preçodiario[[#Headers],[OVO BRANCO EXTRA]],estoque[data],preçodiario[[#This Row],[data]])</f>
        <v>0</v>
      </c>
      <c r="X47" s="20">
        <f>SUMIFS(estoque[valor total],estoque[fornecedor],"&lt;&gt;saída",estoque[produto],preçodiario[[#Headers],[OVO BRANCO EXTRA]],estoque[data],preçodiario[[#This Row],[data]])</f>
        <v>0</v>
      </c>
      <c r="Y47" s="20">
        <f>IFERROR(preçodiario[[#This Row],[estoque E]]*preçodiario[[#This Row],[OVO BRANCO EXTRA]],0)</f>
        <v>1277.9433772439938</v>
      </c>
      <c r="Z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Row],[data]])),((Z46*AA46)+SUMIFS(estoque[valor total],estoque[produto],preçodiario[[#Headers],[OVO BRANCO JUMBO]],estoque[data],preçodiario[[#This Row],[data]],estoque[fornecedor],"&lt;&gt;saída"))/(AA46+(SUMIFS(estoque[quantidade],estoque[produto],preçodiario[[#Headers],[OVO BRANCO JUMBO]],estoque[fornecedor],"&lt;&gt;saída",estoque[data],preçodiario[[#This Row],[data]])))))</f>
        <v>15.521739130434783</v>
      </c>
      <c r="AA47" s="22">
        <f>IF(preçodiario[[#This Row],[entrada J]]=0,AA46-(SUMIFS(estoque[quantidade],estoque[fornecedor],"saída",estoque[produto],preçodiario[[#Headers],[OVO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Row],[data]]))+AA46+preçodiario[[#This Row],[entrada J]])</f>
        <v>65</v>
      </c>
      <c r="AB47" s="22">
        <f>SUMIFS(estoque[quantidade],estoque[fornecedor],"&lt;&gt;saída",estoque[produto],preçodiario[[#Headers],[OVO BRANCO JUMBO]],estoque[data],preçodiario[[#This Row],[data]])</f>
        <v>0</v>
      </c>
      <c r="AC47" s="20">
        <f>SUMIFS(estoque[valor total],estoque[fornecedor],"&lt;&gt;saída",estoque[produto],preçodiario[[#Headers],[OVO BRANCO JUMBO]],estoque[data],preçodiario[[#This Row],[data]])</f>
        <v>0</v>
      </c>
      <c r="AD47" s="20">
        <f>IFERROR(preçodiario[[#This Row],[OVO BRANCO JUMBO]]*preçodiario[[#This Row],[estoque J]],0)</f>
        <v>1008.9130434782609</v>
      </c>
      <c r="AE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Row],[data]])),((AE46*AF46)+SUMIFS(estoque[valor total],estoque[produto],preçodiario[[#Headers],[OVO VERMELHO A]],estoque[data],preçodiario[[#This Row],[data]],estoque[fornecedor],"&lt;&gt;saída"))/(AF46+(SUMIFS(estoque[quantidade],estoque[produto],preçodiario[[#Headers],[OVO VERMELHO A]],estoque[fornecedor],"&lt;&gt;saída",estoque[data],preçodiario[[#This Row],[data]])))))</f>
        <v/>
      </c>
      <c r="AF47" s="22">
        <f>IF(preçodiario[[#This Row],[entrada AV]]=0,AF46-(SUMIFS(estoque[quantidade],estoque[fornecedor],"saída",estoque[produto],preçodiario[[#Headers],[OVO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Row],[data]]))+AF46+preçodiario[[#This Row],[entrada AV]])</f>
        <v>0</v>
      </c>
      <c r="AG47" s="22">
        <f>SUMIFS(estoque[quantidade],estoque[fornecedor],"&lt;&gt;saída",estoque[produto],preçodiario[[#Headers],[OVO VERMELHO A]],estoque[data],preçodiario[[#This Row],[data]])</f>
        <v>0</v>
      </c>
      <c r="AH47" s="20">
        <f>SUMIFS(estoque[valor total],estoque[fornecedor],"&lt;&gt;saída",estoque[produto],preçodiario[[#Headers],[OVO VERMELHO A]],estoque[data],preçodiario[[#This Row],[data]])</f>
        <v>0</v>
      </c>
      <c r="AI47" s="20">
        <f>IFERROR(preçodiario[[#This Row],[OVO VERMELHO A]]*preçodiario[[#This Row],[estoque AV]],0)</f>
        <v>0</v>
      </c>
      <c r="AJ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Row],[data]])),((AJ46*AK46)+SUMIFS(estoque[valor total],estoque[produto],preçodiario[[#Headers],[OVO VERMELHO B]],estoque[data],preçodiario[[#This Row],[data]],estoque[fornecedor],"&lt;&gt;saída"))/(AK46+(SUMIFS(estoque[quantidade],estoque[produto],preçodiario[[#Headers],[OVO VERMELHO B]],estoque[fornecedor],"&lt;&gt;saída",estoque[data],preçodiario[[#This Row],[data]])))))</f>
        <v/>
      </c>
      <c r="AK47" s="22">
        <f>IF(preçodiario[[#This Row],[entrada BV]]=0,AK46-(SUMIFS(estoque[quantidade],estoque[fornecedor],"saída",estoque[produto],preçodiario[[#Headers],[OVO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Row],[data]]))+AK46+preçodiario[[#This Row],[entrada BV]])</f>
        <v>0</v>
      </c>
      <c r="AL47" s="22">
        <f>SUMIFS(estoque[quantidade],estoque[fornecedor],"&lt;&gt;saída",estoque[produto],preçodiario[[#Headers],[OVO VERMELHO B]],estoque[data],preçodiario[[#This Row],[data]])</f>
        <v>0</v>
      </c>
      <c r="AM47" s="20">
        <f>SUMIFS(estoque[valor total],estoque[fornecedor],"&lt;&gt;saída",estoque[produto],preçodiario[[#Headers],[OVO VERMELHO B]],estoque[data],preçodiario[[#This Row],[data]])</f>
        <v>0</v>
      </c>
      <c r="AN47" s="20">
        <f>IFERROR(preçodiario[[#This Row],[OVO VERMELHO B]]*preçodiario[[#This Row],[estoque BV]],0)</f>
        <v>0</v>
      </c>
      <c r="AO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Row],[data]])),((AO46*AP46)+SUMIFS(estoque[valor total],estoque[produto],preçodiario[[#Headers],[OVO VERMELHO C]],estoque[data],preçodiario[[#This Row],[data]],estoque[fornecedor],"&lt;&gt;saída"))/(AP46+(SUMIFS(estoque[quantidade],estoque[produto],preçodiario[[#Headers],[OVO VERMELHO C]],estoque[fornecedor],"&lt;&gt;saída",estoque[data],preçodiario[[#This Row],[data]])))))</f>
        <v/>
      </c>
      <c r="AP47" s="22">
        <f>IF(preçodiario[[#This Row],[entrada CV]]=0,AP46-(SUMIFS(estoque[quantidade],estoque[fornecedor],"saída",estoque[produto],preçodiario[[#Headers],[OVO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Row],[data]]))+AP46+preçodiario[[#This Row],[entrada CV]])</f>
        <v>0</v>
      </c>
      <c r="AQ47" s="22">
        <f>SUMIFS(estoque[quantidade],estoque[fornecedor],"&lt;&gt;saída",estoque[produto],preçodiario[[#Headers],[OVO VERMELHO C]],estoque[data],preçodiario[[#This Row],[data]])</f>
        <v>0</v>
      </c>
      <c r="AR47" s="20">
        <f>SUMIFS(estoque[valor total],estoque[fornecedor],"&lt;&gt;saída",estoque[produto],preçodiario[[#Headers],[OVO VERMELHO C]],estoque[data],preçodiario[[#This Row],[data]])</f>
        <v>0</v>
      </c>
      <c r="AS47" s="20">
        <f>IFERROR(preçodiario[[#This Row],[OVO VERMELHO C]]*preçodiario[[#This Row],[estoque CV]],0)</f>
        <v>0</v>
      </c>
      <c r="AT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Row],[data]])),((AT46*AU46)+SUMIFS(estoque[valor total],estoque[produto],preçodiario[[#Headers],[OVO VERMELHO EXTRA]],estoque[data],preçodiario[[#This Row],[data]],estoque[fornecedor],"&lt;&gt;saída"))/(AU46+(SUMIFS(estoque[quantidade],estoque[produto],preçodiario[[#Headers],[OVO VERMELHO EXTRA]],estoque[fornecedor],"&lt;&gt;saída",estoque[data],preçodiario[[#This Row],[data]])))))</f>
        <v/>
      </c>
      <c r="AU47" s="22">
        <f>IF(preçodiario[[#This Row],[entrada EV]]=0,AU46-(SUMIFS(estoque[quantidade],estoque[fornecedor],"saída",estoque[produto],preçodiario[[#Headers],[OVO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Row],[data]]))+AU46+preçodiario[[#This Row],[entrada EV]])</f>
        <v>0</v>
      </c>
      <c r="AV47" s="22">
        <f>SUMIFS(estoque[quantidade],estoque[fornecedor],"&lt;&gt;saída",estoque[produto],preçodiario[[#Headers],[OVO VERMELHO EXTRA]],estoque[data],preçodiario[[#This Row],[data]])</f>
        <v>0</v>
      </c>
      <c r="AW47" s="20">
        <f>SUMIFS(estoque[valor total],estoque[fornecedor],"&lt;&gt;saída",estoque[produto],preçodiario[[#Headers],[OVO VERMELHO EXTRA]],estoque[data],preçodiario[[#This Row],[data]])</f>
        <v>0</v>
      </c>
      <c r="AX47" s="20">
        <f>IFERROR(preçodiario[[#This Row],[OVO VERMELHO EXTRA]]*preçodiario[[#This Row],[estoque EV]],0)</f>
        <v>0</v>
      </c>
      <c r="AY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Row],[data]])),((AY46*AZ46)+SUMIFS(estoque[valor total],estoque[produto],preçodiario[[#Headers],[OVO VERMELHO JUMBO]],estoque[data],preçodiario[[#This Row],[data]],estoque[fornecedor],"&lt;&gt;saída"))/(AZ46+(SUMIFS(estoque[quantidade],estoque[produto],preçodiario[[#Headers],[OVO VERMELHO JUMBO]],estoque[fornecedor],"&lt;&gt;saída",estoque[data],preçodiario[[#This Row],[data]])))))</f>
        <v/>
      </c>
      <c r="AZ47" s="22">
        <f>IF(preçodiario[[#This Row],[entrada JV]]=0,AZ46-(SUMIFS(estoque[quantidade],estoque[fornecedor],"saída",estoque[produto],preçodiario[[#Headers],[OVO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Row],[data]]))+AZ46+preçodiario[[#This Row],[entrada JV]])</f>
        <v>0</v>
      </c>
      <c r="BA47" s="22">
        <f>SUMIFS(estoque[quantidade],estoque[fornecedor],"&lt;&gt;saída",estoque[produto],preçodiario[[#Headers],[OVO VERMELHO JUMBO]],estoque[data],preçodiario[[#This Row],[data]])</f>
        <v>0</v>
      </c>
      <c r="BB47" s="20">
        <f>SUMIFS(estoque[valor total],estoque[fornecedor],"&lt;&gt;saída",estoque[produto],preçodiario[[#Headers],[OVO VERMELHO JUMBO]],estoque[data],preçodiario[[#This Row],[data]])</f>
        <v>0</v>
      </c>
      <c r="BC47" s="20">
        <f>IFERROR(preçodiario[[#This Row],[OVO VERMELHO JUMBO]]*preçodiario[[#This Row],[estoque JV]],0)</f>
        <v>0</v>
      </c>
      <c r="BD47" t="str">
        <f>TEXT(vendaAno[[#This Row],[data]],"mmm")</f>
        <v>fev</v>
      </c>
      <c r="BE47" t="str">
        <f>TEXT(vendaAno[[#This Row],[data]],"ddd")</f>
        <v>dom</v>
      </c>
      <c r="BF47" s="82">
        <f>WEEKNUM(vendaAno[[#This Row],[data]],13)</f>
        <v>7</v>
      </c>
      <c r="BG47" s="27">
        <f>preçodiario[[#This Row],[data]]</f>
        <v>46068</v>
      </c>
      <c r="BH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7" s="8">
        <f>IF(SUMIFS(estoque[valor total],estoque[fornecedor],"saída",estoque[data],vendaAno[[#This Row],[data]])=0,"",SUMIFS(estoque[valor total],estoque[fornecedor],"saída",estoque[data],vendaAno[[#This Row],[data]]))</f>
        <v>313</v>
      </c>
      <c r="BJ4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Row],[data]]))/12+BJ46,"")</f>
        <v>29.416666666666629</v>
      </c>
      <c r="BK47" s="79">
        <f>IF(SUMIFS(estoque[quantidade],estoque[fornecedor],"saída",estoque[data],vendaAno[[#This Row],[data]])/12=0,"",SUMIFS(estoque[quantidade],estoque[fornecedor],"saída",estoque[data],vendaAno[[#This Row],[data]])/12)</f>
        <v>1.4166666666666667</v>
      </c>
      <c r="BL47" s="8">
        <f ca="1">IF(vendaAno[[#This Row],[data]]&lt;=TODAY(),IF(SUMIFS(estoque[lucro],estoque[fornecedor],"saída",estoque[data],vendaAno[[#This Row],[data]])=0,AVERAGE(BL44:BL46),SUMIFS(estoque[lucro],estoque[fornecedor],"saída",estoque[data],vendaAno[[#This Row],[data]])),"")</f>
        <v>68.39</v>
      </c>
      <c r="BM47" s="10">
        <f ca="1">IFERROR(vendaAno[[#This Row],[lucro]]/vendaAno[[#This Row],[valor de venda]],"")</f>
        <v>0.21849840255591055</v>
      </c>
      <c r="BN4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5012.3333144678118</v>
      </c>
      <c r="BO47" s="8">
        <f ca="1">IF(TODAY()&gt;=vendaAno[[#This Row],[data]],IF(vendaAno[[#This Row],[N°]]=BF46,vendaAno[[#This Row],[lucro]]-173.33+BO46,vendaAno[[#This Row],[lucro]]-150),"")</f>
        <v>-209.79000000000008</v>
      </c>
      <c r="BP47" s="81">
        <f ca="1">IF(TODAY()&gt;=vendaAno[[#This Row],[data]],SUM(BK41:BK47)*12,"")</f>
        <v>256</v>
      </c>
      <c r="BQ47" s="7">
        <f ca="1">IFERROR(vendaAno[[#This Row],[lucro]]/(vendaAno[[#This Row],[venda]]*12),"")</f>
        <v>4.0229411764705887</v>
      </c>
      <c r="BT47" s="95">
        <f ca="1">WEEKNUM(PvPcML[[#This Row],[data]],13)</f>
        <v>24</v>
      </c>
      <c r="BU47" s="132">
        <f t="shared" ca="1" si="0"/>
        <v>46188</v>
      </c>
      <c r="BV47" s="7">
        <f ca="1">IFERROR(SUMIFS(vendaAno[valor de venda],vendaAno[data],PvPcML[[#This Row],[data]])/(SUMIFS(vendaAno[venda],vendaAno[data],PvPcML[[#This Row],[data]])*12),"")</f>
        <v>17.138888888888889</v>
      </c>
      <c r="BW47" s="8">
        <f ca="1">IFERROR(SUMIFS(vendaAno[valor de venda],vendaAno[data],PvPcML[[#This Row],[data]])/(SUMIFS(vendaAno[venda],vendaAno[data],PvPcML[[#This Row],[data]])*12)-PvPcML[[#This Row],[lucro médio]],"")</f>
        <v>15.331111111111111</v>
      </c>
      <c r="BX47" s="7">
        <f ca="1">IF(SUMIFS(vendaAno[[lucro médio ]],vendaAno[data],PvPcML[[#This Row],[data]])=0,"",SUMIFS(vendaAno[[lucro médio ]],vendaAno[data],PvPcML[[#This Row],[data]]))</f>
        <v>1.8077777777777777</v>
      </c>
      <c r="BY47" s="91">
        <v>46</v>
      </c>
      <c r="BZ47" s="89">
        <f t="shared" si="1"/>
        <v>46338</v>
      </c>
      <c r="CA47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7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7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7" s="82" t="str">
        <f ca="1">IFERROR(AVERAGEIFS(vendaAno[venda],vendaAno[data],"&gt;="&amp;semanal[[#This Row],[semana]],vendaAno[data],"&lt;="&amp;semanal[[#This Row],[semana]]+6),"")</f>
        <v/>
      </c>
      <c r="CE47" s="82" t="str">
        <f ca="1">IFERROR((150/semanal[[#This Row],[lucro médio por cartela]])/12,"")</f>
        <v/>
      </c>
    </row>
    <row r="48" spans="1:101" x14ac:dyDescent="0.25">
      <c r="A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8" s="18" t="str">
        <f>TEXT(preçodiario[[#This Row],[data]],"MMM")</f>
        <v>fev</v>
      </c>
      <c r="C48" s="18" t="str">
        <f>TEXT(preçodiario[[#This Row],[data]],"ddd")</f>
        <v>seg</v>
      </c>
      <c r="D48" s="96">
        <f>WEEKNUM(preçodiario[[#This Row],[data]],13)</f>
        <v>7</v>
      </c>
      <c r="E48" s="37">
        <v>46069</v>
      </c>
      <c r="F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Row],[data]])),((F47*G47)+SUMIFS(estoque[valor total],estoque[produto],preçodiario[[#Headers],[OVO BRANCO A]],estoque[data],preçodiario[[#This Row],[data]],estoque[fornecedor],"&lt;&gt;saída"))/(G47+(SUMIFS(estoque[quantidade],estoque[produto],preçodiario[[#Headers],[OVO BRANCO A]],estoque[fornecedor],"&lt;&gt;saída",estoque[data],preçodiario[[#This Row],[data]])))))</f>
        <v>14.356973567766138</v>
      </c>
      <c r="G48" s="22">
        <f>IF(preçodiario[[#This Row],[entrada A]]=0,G47-(SUMIFS(estoque[quantidade],estoque[fornecedor],"saída",estoque[produto],preçodiario[[#Headers],[OVO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Row],[data]]))+G47+preçodiario[[#This Row],[entrada A]])</f>
        <v>55</v>
      </c>
      <c r="H48" s="22">
        <f>SUMIFS(estoque[quantidade],estoque[fornecedor],"&lt;&gt;saída",estoque[produto],preçodiario[[#Headers],[OVO BRANCO A]],estoque[data],preçodiario[[#This Row],[data]])</f>
        <v>0</v>
      </c>
      <c r="I48" s="20">
        <f>SUMIFS(estoque[valor total],estoque[fornecedor],"&lt;&gt;saída",estoque[produto],preçodiario[[#Headers],[OVO BRANCO A]],estoque[data],preçodiario[[#This Row],[data]])</f>
        <v>0</v>
      </c>
      <c r="J48" s="20">
        <f>IFERROR(preçodiario[[#This Row],[estoque A]]*preçodiario[[#This Row],[OVO BRANCO A]],0)</f>
        <v>789.63354622713757</v>
      </c>
      <c r="K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Row],[data]])),((K47*L47)+SUMIFS(estoque[valor total],estoque[produto],preçodiario[[#Headers],[OVO BRANCO B]],estoque[data],preçodiario[[#This Row],[data]],estoque[fornecedor],"&lt;&gt;saída"))/(L47+(SUMIFS(estoque[quantidade],estoque[produto],preçodiario[[#Headers],[OVO BRANCO B]],estoque[fornecedor],"&lt;&gt;saída",estoque[data],preçodiario[[#This Row],[data]])))))</f>
        <v>13.039622372528346</v>
      </c>
      <c r="L48" s="22">
        <f>IF(preçodiario[[#This Row],[entrada B]]=0,L47-(SUMIFS(estoque[quantidade],estoque[fornecedor],"saída",estoque[produto],preçodiario[[#Headers],[OVO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Row],[data]]))+L47+preçodiario[[#This Row],[entrada B]])</f>
        <v>121</v>
      </c>
      <c r="M48" s="22">
        <f>SUMIFS(estoque[quantidade],estoque[fornecedor],"&lt;&gt;saída",estoque[produto],preçodiario[[#Headers],[OVO BRANCO B]],estoque[data],preçodiario[[#This Row],[data]])</f>
        <v>0</v>
      </c>
      <c r="N48" s="20">
        <f>SUMIFS(estoque[valor total],estoque[fornecedor],"&lt;&gt;saída",estoque[produto],preçodiario[[#Headers],[OVO BRANCO B]],estoque[data],preçodiario[[#This Row],[data]])</f>
        <v>0</v>
      </c>
      <c r="O48" s="20">
        <f>IFERROR(preçodiario[[#This Row],[OVO BRANCO B]]*preçodiario[[#This Row],[estoque B]],0)</f>
        <v>1577.7943070759297</v>
      </c>
      <c r="P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Row],[data]])),((P47*Q47)+SUMIFS(estoque[valor total],estoque[produto],preçodiario[[#Headers],[OVO BRANCO C]],estoque[data],preçodiario[[#This Row],[data]],estoque[fornecedor],"&lt;&gt;saída"))/(Q47+(SUMIFS(estoque[quantidade],estoque[produto],preçodiario[[#Headers],[OVO BRANCO C]],estoque[fornecedor],"&lt;&gt;saída",estoque[data],preçodiario[[#This Row],[data]])))))</f>
        <v>13.874671916010502</v>
      </c>
      <c r="Q48" s="22">
        <f>IF(preçodiario[[#This Row],[entrada C]]=0,Q47-(SUMIFS(estoque[quantidade],estoque[fornecedor],"saída",estoque[produto],preçodiario[[#Headers],[OVO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Row],[data]]))+Q47+preçodiario[[#This Row],[entrada C]])</f>
        <v>5</v>
      </c>
      <c r="R48" s="22">
        <f>SUMIFS(estoque[quantidade],estoque[fornecedor],"&lt;&gt;saída",estoque[produto],preçodiario[[#Headers],[OVO BRANCO C]],estoque[data],preçodiario[[#This Row],[data]])</f>
        <v>0</v>
      </c>
      <c r="S48" s="20">
        <f>SUMIFS(estoque[valor total],estoque[fornecedor],"&lt;&gt;saída",estoque[produto],preçodiario[[#Headers],[OVO BRANCO C]],estoque[data],preçodiario[[#This Row],[data]])</f>
        <v>0</v>
      </c>
      <c r="T48" s="20">
        <f>IFERROR(preçodiario[[#This Row],[OVO BRANCO C]]*preçodiario[[#This Row],[estoque C]],0)</f>
        <v>69.373359580052508</v>
      </c>
      <c r="U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Row],[data]])),((U47*V47)+SUMIFS(estoque[valor total],estoque[produto],preçodiario[[#Headers],[OVO BRANCO EXTRA]],estoque[data],preçodiario[[#This Row],[data]],estoque[fornecedor],"&lt;&gt;saída"))/(V47+(SUMIFS(estoque[quantidade],estoque[produto],preçodiario[[#Headers],[OVO BRANCO EXTRA]],estoque[fornecedor],"&lt;&gt;saída",estoque[data],preçodiario[[#This Row],[data]])))))</f>
        <v>14.859806712139463</v>
      </c>
      <c r="V48" s="22">
        <f>IF(preçodiario[[#This Row],[entrada E]]=0,V47-(SUMIFS(estoque[quantidade],estoque[fornecedor],"saída",estoque[produto],preçodiario[[#Headers],[OVO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Row],[data]]))+V47+preçodiario[[#This Row],[entrada E]])</f>
        <v>79</v>
      </c>
      <c r="W48" s="22">
        <f>SUMIFS(estoque[quantidade],estoque[fornecedor],"&lt;&gt;saída",estoque[produto],preçodiario[[#Headers],[OVO BRANCO EXTRA]],estoque[data],preçodiario[[#This Row],[data]])</f>
        <v>0</v>
      </c>
      <c r="X48" s="20">
        <f>SUMIFS(estoque[valor total],estoque[fornecedor],"&lt;&gt;saída",estoque[produto],preçodiario[[#Headers],[OVO BRANCO EXTRA]],estoque[data],preçodiario[[#This Row],[data]])</f>
        <v>0</v>
      </c>
      <c r="Y48" s="20">
        <f>IFERROR(preçodiario[[#This Row],[estoque E]]*preçodiario[[#This Row],[OVO BRANCO EXTRA]],0)</f>
        <v>1173.9247302590175</v>
      </c>
      <c r="Z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Row],[data]])),((Z47*AA47)+SUMIFS(estoque[valor total],estoque[produto],preçodiario[[#Headers],[OVO BRANCO JUMBO]],estoque[data],preçodiario[[#This Row],[data]],estoque[fornecedor],"&lt;&gt;saída"))/(AA47+(SUMIFS(estoque[quantidade],estoque[produto],preçodiario[[#Headers],[OVO BRANCO JUMBO]],estoque[fornecedor],"&lt;&gt;saída",estoque[data],preçodiario[[#This Row],[data]])))))</f>
        <v>15.521739130434783</v>
      </c>
      <c r="AA48" s="22">
        <f>IF(preçodiario[[#This Row],[entrada J]]=0,AA47-(SUMIFS(estoque[quantidade],estoque[fornecedor],"saída",estoque[produto],preçodiario[[#Headers],[OVO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Row],[data]]))+AA47+preçodiario[[#This Row],[entrada J]])</f>
        <v>57</v>
      </c>
      <c r="AB48" s="22">
        <f>SUMIFS(estoque[quantidade],estoque[fornecedor],"&lt;&gt;saída",estoque[produto],preçodiario[[#Headers],[OVO BRANCO JUMBO]],estoque[data],preçodiario[[#This Row],[data]])</f>
        <v>0</v>
      </c>
      <c r="AC48" s="20">
        <f>SUMIFS(estoque[valor total],estoque[fornecedor],"&lt;&gt;saída",estoque[produto],preçodiario[[#Headers],[OVO BRANCO JUMBO]],estoque[data],preçodiario[[#This Row],[data]])</f>
        <v>0</v>
      </c>
      <c r="AD48" s="20">
        <f>IFERROR(preçodiario[[#This Row],[OVO BRANCO JUMBO]]*preçodiario[[#This Row],[estoque J]],0)</f>
        <v>884.73913043478262</v>
      </c>
      <c r="AE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Row],[data]])),((AE47*AF47)+SUMIFS(estoque[valor total],estoque[produto],preçodiario[[#Headers],[OVO VERMELHO A]],estoque[data],preçodiario[[#This Row],[data]],estoque[fornecedor],"&lt;&gt;saída"))/(AF47+(SUMIFS(estoque[quantidade],estoque[produto],preçodiario[[#Headers],[OVO VERMELHO A]],estoque[fornecedor],"&lt;&gt;saída",estoque[data],preçodiario[[#This Row],[data]])))))</f>
        <v/>
      </c>
      <c r="AF48" s="22">
        <f>IF(preçodiario[[#This Row],[entrada AV]]=0,AF47-(SUMIFS(estoque[quantidade],estoque[fornecedor],"saída",estoque[produto],preçodiario[[#Headers],[OVO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Row],[data]]))+AF47+preçodiario[[#This Row],[entrada AV]])</f>
        <v>0</v>
      </c>
      <c r="AG48" s="22">
        <f>SUMIFS(estoque[quantidade],estoque[fornecedor],"&lt;&gt;saída",estoque[produto],preçodiario[[#Headers],[OVO VERMELHO A]],estoque[data],preçodiario[[#This Row],[data]])</f>
        <v>0</v>
      </c>
      <c r="AH48" s="20">
        <f>SUMIFS(estoque[valor total],estoque[fornecedor],"&lt;&gt;saída",estoque[produto],preçodiario[[#Headers],[OVO VERMELHO A]],estoque[data],preçodiario[[#This Row],[data]])</f>
        <v>0</v>
      </c>
      <c r="AI48" s="20">
        <f>IFERROR(preçodiario[[#This Row],[OVO VERMELHO A]]*preçodiario[[#This Row],[estoque AV]],0)</f>
        <v>0</v>
      </c>
      <c r="AJ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Row],[data]])),((AJ47*AK47)+SUMIFS(estoque[valor total],estoque[produto],preçodiario[[#Headers],[OVO VERMELHO B]],estoque[data],preçodiario[[#This Row],[data]],estoque[fornecedor],"&lt;&gt;saída"))/(AK47+(SUMIFS(estoque[quantidade],estoque[produto],preçodiario[[#Headers],[OVO VERMELHO B]],estoque[fornecedor],"&lt;&gt;saída",estoque[data],preçodiario[[#This Row],[data]])))))</f>
        <v/>
      </c>
      <c r="AK48" s="22">
        <f>IF(preçodiario[[#This Row],[entrada BV]]=0,AK47-(SUMIFS(estoque[quantidade],estoque[fornecedor],"saída",estoque[produto],preçodiario[[#Headers],[OVO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Row],[data]]))+AK47+preçodiario[[#This Row],[entrada BV]])</f>
        <v>0</v>
      </c>
      <c r="AL48" s="22">
        <f>SUMIFS(estoque[quantidade],estoque[fornecedor],"&lt;&gt;saída",estoque[produto],preçodiario[[#Headers],[OVO VERMELHO B]],estoque[data],preçodiario[[#This Row],[data]])</f>
        <v>0</v>
      </c>
      <c r="AM48" s="20">
        <f>SUMIFS(estoque[valor total],estoque[fornecedor],"&lt;&gt;saída",estoque[produto],preçodiario[[#Headers],[OVO VERMELHO B]],estoque[data],preçodiario[[#This Row],[data]])</f>
        <v>0</v>
      </c>
      <c r="AN48" s="20">
        <f>IFERROR(preçodiario[[#This Row],[OVO VERMELHO B]]*preçodiario[[#This Row],[estoque BV]],0)</f>
        <v>0</v>
      </c>
      <c r="AO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Row],[data]])),((AO47*AP47)+SUMIFS(estoque[valor total],estoque[produto],preçodiario[[#Headers],[OVO VERMELHO C]],estoque[data],preçodiario[[#This Row],[data]],estoque[fornecedor],"&lt;&gt;saída"))/(AP47+(SUMIFS(estoque[quantidade],estoque[produto],preçodiario[[#Headers],[OVO VERMELHO C]],estoque[fornecedor],"&lt;&gt;saída",estoque[data],preçodiario[[#This Row],[data]])))))</f>
        <v/>
      </c>
      <c r="AP48" s="22">
        <f>IF(preçodiario[[#This Row],[entrada CV]]=0,AP47-(SUMIFS(estoque[quantidade],estoque[fornecedor],"saída",estoque[produto],preçodiario[[#Headers],[OVO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Row],[data]]))+AP47+preçodiario[[#This Row],[entrada CV]])</f>
        <v>0</v>
      </c>
      <c r="AQ48" s="22">
        <f>SUMIFS(estoque[quantidade],estoque[fornecedor],"&lt;&gt;saída",estoque[produto],preçodiario[[#Headers],[OVO VERMELHO C]],estoque[data],preçodiario[[#This Row],[data]])</f>
        <v>0</v>
      </c>
      <c r="AR48" s="20">
        <f>SUMIFS(estoque[valor total],estoque[fornecedor],"&lt;&gt;saída",estoque[produto],preçodiario[[#Headers],[OVO VERMELHO C]],estoque[data],preçodiario[[#This Row],[data]])</f>
        <v>0</v>
      </c>
      <c r="AS48" s="20">
        <f>IFERROR(preçodiario[[#This Row],[OVO VERMELHO C]]*preçodiario[[#This Row],[estoque CV]],0)</f>
        <v>0</v>
      </c>
      <c r="AT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Row],[data]])),((AT47*AU47)+SUMIFS(estoque[valor total],estoque[produto],preçodiario[[#Headers],[OVO VERMELHO EXTRA]],estoque[data],preçodiario[[#This Row],[data]],estoque[fornecedor],"&lt;&gt;saída"))/(AU47+(SUMIFS(estoque[quantidade],estoque[produto],preçodiario[[#Headers],[OVO VERMELHO EXTRA]],estoque[fornecedor],"&lt;&gt;saída",estoque[data],preçodiario[[#This Row],[data]])))))</f>
        <v/>
      </c>
      <c r="AU48" s="22">
        <f>IF(preçodiario[[#This Row],[entrada EV]]=0,AU47-(SUMIFS(estoque[quantidade],estoque[fornecedor],"saída",estoque[produto],preçodiario[[#Headers],[OVO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Row],[data]]))+AU47+preçodiario[[#This Row],[entrada EV]])</f>
        <v>0</v>
      </c>
      <c r="AV48" s="22">
        <f>SUMIFS(estoque[quantidade],estoque[fornecedor],"&lt;&gt;saída",estoque[produto],preçodiario[[#Headers],[OVO VERMELHO EXTRA]],estoque[data],preçodiario[[#This Row],[data]])</f>
        <v>0</v>
      </c>
      <c r="AW48" s="20">
        <f>SUMIFS(estoque[valor total],estoque[fornecedor],"&lt;&gt;saída",estoque[produto],preçodiario[[#Headers],[OVO VERMELHO EXTRA]],estoque[data],preçodiario[[#This Row],[data]])</f>
        <v>0</v>
      </c>
      <c r="AX48" s="20">
        <f>IFERROR(preçodiario[[#This Row],[OVO VERMELHO EXTRA]]*preçodiario[[#This Row],[estoque EV]],0)</f>
        <v>0</v>
      </c>
      <c r="AY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Row],[data]])),((AY47*AZ47)+SUMIFS(estoque[valor total],estoque[produto],preçodiario[[#Headers],[OVO VERMELHO JUMBO]],estoque[data],preçodiario[[#This Row],[data]],estoque[fornecedor],"&lt;&gt;saída"))/(AZ47+(SUMIFS(estoque[quantidade],estoque[produto],preçodiario[[#Headers],[OVO VERMELHO JUMBO]],estoque[fornecedor],"&lt;&gt;saída",estoque[data],preçodiario[[#This Row],[data]])))))</f>
        <v/>
      </c>
      <c r="AZ48" s="22">
        <f>IF(preçodiario[[#This Row],[entrada JV]]=0,AZ47-(SUMIFS(estoque[quantidade],estoque[fornecedor],"saída",estoque[produto],preçodiario[[#Headers],[OVO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Row],[data]]))+AZ47+preçodiario[[#This Row],[entrada JV]])</f>
        <v>0</v>
      </c>
      <c r="BA48" s="22">
        <f>SUMIFS(estoque[quantidade],estoque[fornecedor],"&lt;&gt;saída",estoque[produto],preçodiario[[#Headers],[OVO VERMELHO JUMBO]],estoque[data],preçodiario[[#This Row],[data]])</f>
        <v>0</v>
      </c>
      <c r="BB48" s="20">
        <f>SUMIFS(estoque[valor total],estoque[fornecedor],"&lt;&gt;saída",estoque[produto],preçodiario[[#Headers],[OVO VERMELHO JUMBO]],estoque[data],preçodiario[[#This Row],[data]])</f>
        <v>0</v>
      </c>
      <c r="BC48" s="20">
        <f>IFERROR(preçodiario[[#This Row],[OVO VERMELHO JUMBO]]*preçodiario[[#This Row],[estoque JV]],0)</f>
        <v>0</v>
      </c>
      <c r="BD48" t="str">
        <f>TEXT(vendaAno[[#This Row],[data]],"mmm")</f>
        <v>fev</v>
      </c>
      <c r="BE48" t="str">
        <f>TEXT(vendaAno[[#This Row],[data]],"ddd")</f>
        <v>seg</v>
      </c>
      <c r="BF48" s="82">
        <f>WEEKNUM(vendaAno[[#This Row],[data]],13)</f>
        <v>7</v>
      </c>
      <c r="BG48" s="27">
        <f>preçodiario[[#This Row],[data]]</f>
        <v>46069</v>
      </c>
      <c r="BH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8" s="8">
        <f>IF(SUMIFS(estoque[valor total],estoque[fornecedor],"saída",estoque[data],vendaAno[[#This Row],[data]])=0,"",SUMIFS(estoque[valor total],estoque[fornecedor],"saída",estoque[data],vendaAno[[#This Row],[data]]))</f>
        <v>656</v>
      </c>
      <c r="BJ4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Row],[data]]))/12+BJ47,"")</f>
        <v>26.416666666666629</v>
      </c>
      <c r="BK48" s="79">
        <f>IF(SUMIFS(estoque[quantidade],estoque[fornecedor],"saída",estoque[data],vendaAno[[#This Row],[data]])/12=0,"",SUMIFS(estoque[quantidade],estoque[fornecedor],"saída",estoque[data],vendaAno[[#This Row],[data]])/12)</f>
        <v>3</v>
      </c>
      <c r="BL48" s="8">
        <f ca="1">IF(vendaAno[[#This Row],[data]]&lt;=TODAY(),IF(SUMIFS(estoque[lucro],estoque[fornecedor],"saída",estoque[data],vendaAno[[#This Row],[data]])=0,AVERAGE(BL45:BL47),SUMIFS(estoque[lucro],estoque[fornecedor],"saída",estoque[data],vendaAno[[#This Row],[data]])),"")</f>
        <v>139.13</v>
      </c>
      <c r="BM48" s="10">
        <f ca="1">IFERROR(vendaAno[[#This Row],[lucro]]/vendaAno[[#This Row],[valor de venda]],"")</f>
        <v>0.21208841463414632</v>
      </c>
      <c r="BN4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4495.4650735769201</v>
      </c>
      <c r="BO48" s="8">
        <f ca="1">IF(TODAY()&gt;=vendaAno[[#This Row],[data]],IF(vendaAno[[#This Row],[N°]]=BF47,vendaAno[[#This Row],[lucro]]-173.33+BO47,vendaAno[[#This Row],[lucro]]-150),"")</f>
        <v>-243.99000000000009</v>
      </c>
      <c r="BP48" s="81">
        <f ca="1">IF(TODAY()&gt;=vendaAno[[#This Row],[data]],SUM(BK42:BK48)*12,"")</f>
        <v>229.00000000000003</v>
      </c>
      <c r="BQ48" s="7">
        <f ca="1">IFERROR(vendaAno[[#This Row],[lucro]]/(vendaAno[[#This Row],[venda]]*12),"")</f>
        <v>3.8647222222222219</v>
      </c>
      <c r="BT48" s="95">
        <f ca="1">WEEKNUM(PvPcML[[#This Row],[data]],13)</f>
        <v>24</v>
      </c>
      <c r="BU48" s="132">
        <f t="shared" ca="1" si="0"/>
        <v>46187</v>
      </c>
      <c r="BV48" s="7">
        <f ca="1">IFERROR(SUMIFS(vendaAno[valor de venda],vendaAno[data],PvPcML[[#This Row],[data]])/(SUMIFS(vendaAno[venda],vendaAno[data],PvPcML[[#This Row],[data]])*12),"")</f>
        <v>18.352941176470587</v>
      </c>
      <c r="BW48" s="8">
        <f ca="1">IFERROR(SUMIFS(vendaAno[valor de venda],vendaAno[data],PvPcML[[#This Row],[data]])/(SUMIFS(vendaAno[venda],vendaAno[data],PvPcML[[#This Row],[data]])*12)-PvPcML[[#This Row],[lucro médio]],"")</f>
        <v>15.382352941176469</v>
      </c>
      <c r="BX48" s="7">
        <f ca="1">IF(SUMIFS(vendaAno[[lucro médio ]],vendaAno[data],PvPcML[[#This Row],[data]])=0,"",SUMIFS(vendaAno[[lucro médio ]],vendaAno[data],PvPcML[[#This Row],[data]]))</f>
        <v>2.9705882352941178</v>
      </c>
      <c r="BY48" s="90">
        <v>47</v>
      </c>
      <c r="BZ48" s="89">
        <f t="shared" si="1"/>
        <v>46345</v>
      </c>
      <c r="CA48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8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8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8" s="82" t="str">
        <f ca="1">IFERROR(AVERAGEIFS(vendaAno[venda],vendaAno[data],"&gt;="&amp;semanal[[#This Row],[semana]],vendaAno[data],"&lt;="&amp;semanal[[#This Row],[semana]]+6),"")</f>
        <v/>
      </c>
      <c r="CE48" s="82" t="str">
        <f ca="1">IFERROR((150/semanal[[#This Row],[lucro médio por cartela]])/12,"")</f>
        <v/>
      </c>
    </row>
    <row r="49" spans="1:83" x14ac:dyDescent="0.25">
      <c r="A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14.356973567766138</v>
      </c>
      <c r="B49" s="18" t="str">
        <f>TEXT(preçodiario[[#This Row],[data]],"MMM")</f>
        <v>fev</v>
      </c>
      <c r="C49" s="18" t="str">
        <f>TEXT(preçodiario[[#This Row],[data]],"ddd")</f>
        <v>ter</v>
      </c>
      <c r="D49" s="96">
        <f>WEEKNUM(preçodiario[[#This Row],[data]],13)</f>
        <v>7</v>
      </c>
      <c r="E49" s="37">
        <v>46070</v>
      </c>
      <c r="F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Row],[data]])),((F48*G48)+SUMIFS(estoque[valor total],estoque[produto],preçodiario[[#Headers],[OVO BRANCO A]],estoque[data],preçodiario[[#This Row],[data]],estoque[fornecedor],"&lt;&gt;saída"))/(G48+(SUMIFS(estoque[quantidade],estoque[produto],preçodiario[[#Headers],[OVO BRANCO A]],estoque[fornecedor],"&lt;&gt;saída",estoque[data],preçodiario[[#This Row],[data]])))))</f>
        <v>14.356973567766138</v>
      </c>
      <c r="G49" s="22">
        <f>IF(preçodiario[[#This Row],[entrada A]]=0,G48-(SUMIFS(estoque[quantidade],estoque[fornecedor],"saída",estoque[produto],preçodiario[[#Headers],[OVO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Row],[data]]))+G48+preçodiario[[#This Row],[entrada A]])</f>
        <v>37</v>
      </c>
      <c r="H49" s="22">
        <f>SUMIFS(estoque[quantidade],estoque[fornecedor],"&lt;&gt;saída",estoque[produto],preçodiario[[#Headers],[OVO BRANCO A]],estoque[data],preçodiario[[#This Row],[data]])</f>
        <v>0</v>
      </c>
      <c r="I49" s="20">
        <f>SUMIFS(estoque[valor total],estoque[fornecedor],"&lt;&gt;saída",estoque[produto],preçodiario[[#Headers],[OVO BRANCO A]],estoque[data],preçodiario[[#This Row],[data]])</f>
        <v>0</v>
      </c>
      <c r="J49" s="20">
        <f>IFERROR(preçodiario[[#This Row],[estoque A]]*preçodiario[[#This Row],[OVO BRANCO A]],0)</f>
        <v>531.20802200734715</v>
      </c>
      <c r="K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Row],[data]])),((K48*L48)+SUMIFS(estoque[valor total],estoque[produto],preçodiario[[#Headers],[OVO BRANCO B]],estoque[data],preçodiario[[#This Row],[data]],estoque[fornecedor],"&lt;&gt;saída"))/(L48+(SUMIFS(estoque[quantidade],estoque[produto],preçodiario[[#Headers],[OVO BRANCO B]],estoque[fornecedor],"&lt;&gt;saída",estoque[data],preçodiario[[#This Row],[data]])))))</f>
        <v>13.039622372528346</v>
      </c>
      <c r="L49" s="22">
        <f>IF(preçodiario[[#This Row],[entrada B]]=0,L48-(SUMIFS(estoque[quantidade],estoque[fornecedor],"saída",estoque[produto],preçodiario[[#Headers],[OVO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Row],[data]]))+L48+preçodiario[[#This Row],[entrada B]])</f>
        <v>118</v>
      </c>
      <c r="M49" s="22">
        <f>SUMIFS(estoque[quantidade],estoque[fornecedor],"&lt;&gt;saída",estoque[produto],preçodiario[[#Headers],[OVO BRANCO B]],estoque[data],preçodiario[[#This Row],[data]])</f>
        <v>0</v>
      </c>
      <c r="N49" s="20">
        <f>SUMIFS(estoque[valor total],estoque[fornecedor],"&lt;&gt;saída",estoque[produto],preçodiario[[#Headers],[OVO BRANCO B]],estoque[data],preçodiario[[#This Row],[data]])</f>
        <v>0</v>
      </c>
      <c r="O49" s="20">
        <f>IFERROR(preçodiario[[#This Row],[OVO BRANCO B]]*preçodiario[[#This Row],[estoque B]],0)</f>
        <v>1538.6754399583447</v>
      </c>
      <c r="P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Row],[data]])),((P48*Q48)+SUMIFS(estoque[valor total],estoque[produto],preçodiario[[#Headers],[OVO BRANCO C]],estoque[data],preçodiario[[#This Row],[data]],estoque[fornecedor],"&lt;&gt;saída"))/(Q48+(SUMIFS(estoque[quantidade],estoque[produto],preçodiario[[#Headers],[OVO BRANCO C]],estoque[fornecedor],"&lt;&gt;saída",estoque[data],preçodiario[[#This Row],[data]])))))</f>
        <v>13.874671916010502</v>
      </c>
      <c r="Q49" s="22">
        <f>IF(preçodiario[[#This Row],[entrada C]]=0,Q48-(SUMIFS(estoque[quantidade],estoque[fornecedor],"saída",estoque[produto],preçodiario[[#Headers],[OVO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Row],[data]]))+Q48+preçodiario[[#This Row],[entrada C]])</f>
        <v>4</v>
      </c>
      <c r="R49" s="22">
        <f>SUMIFS(estoque[quantidade],estoque[fornecedor],"&lt;&gt;saída",estoque[produto],preçodiario[[#Headers],[OVO BRANCO C]],estoque[data],preçodiario[[#This Row],[data]])</f>
        <v>0</v>
      </c>
      <c r="S49" s="20">
        <f>SUMIFS(estoque[valor total],estoque[fornecedor],"&lt;&gt;saída",estoque[produto],preçodiario[[#Headers],[OVO BRANCO C]],estoque[data],preçodiario[[#This Row],[data]])</f>
        <v>0</v>
      </c>
      <c r="T49" s="20">
        <f>IFERROR(preçodiario[[#This Row],[OVO BRANCO C]]*preçodiario[[#This Row],[estoque C]],0)</f>
        <v>55.498687664042009</v>
      </c>
      <c r="U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Row],[data]])),((U48*V48)+SUMIFS(estoque[valor total],estoque[produto],preçodiario[[#Headers],[OVO BRANCO EXTRA]],estoque[data],preçodiario[[#This Row],[data]],estoque[fornecedor],"&lt;&gt;saída"))/(V48+(SUMIFS(estoque[quantidade],estoque[produto],preçodiario[[#Headers],[OVO BRANCO EXTRA]],estoque[fornecedor],"&lt;&gt;saída",estoque[data],preçodiario[[#This Row],[data]])))))</f>
        <v>14.859806712139461</v>
      </c>
      <c r="V49" s="22">
        <f>IF(preçodiario[[#This Row],[entrada E]]=0,V48-(SUMIFS(estoque[quantidade],estoque[fornecedor],"saída",estoque[produto],preçodiario[[#Headers],[OVO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Row],[data]]))+V48+preçodiario[[#This Row],[entrada E]])</f>
        <v>76</v>
      </c>
      <c r="W49" s="22">
        <f>SUMIFS(estoque[quantidade],estoque[fornecedor],"&lt;&gt;saída",estoque[produto],preçodiario[[#Headers],[OVO BRANCO EXTRA]],estoque[data],preçodiario[[#This Row],[data]])</f>
        <v>0</v>
      </c>
      <c r="X49" s="20">
        <f>SUMIFS(estoque[valor total],estoque[fornecedor],"&lt;&gt;saída",estoque[produto],preçodiario[[#Headers],[OVO BRANCO EXTRA]],estoque[data],preçodiario[[#This Row],[data]])</f>
        <v>0</v>
      </c>
      <c r="Y49" s="20">
        <f>IFERROR(preçodiario[[#This Row],[estoque E]]*preçodiario[[#This Row],[OVO BRANCO EXTRA]],0)</f>
        <v>1129.3453101225991</v>
      </c>
      <c r="Z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Row],[data]])),((Z48*AA48)+SUMIFS(estoque[valor total],estoque[produto],preçodiario[[#Headers],[OVO BRANCO JUMBO]],estoque[data],preçodiario[[#This Row],[data]],estoque[fornecedor],"&lt;&gt;saída"))/(AA48+(SUMIFS(estoque[quantidade],estoque[produto],preçodiario[[#Headers],[OVO BRANCO JUMBO]],estoque[fornecedor],"&lt;&gt;saída",estoque[data],preçodiario[[#This Row],[data]])))))</f>
        <v>15.521739130434783</v>
      </c>
      <c r="AA49" s="22">
        <f>IF(preçodiario[[#This Row],[entrada J]]=0,AA48-(SUMIFS(estoque[quantidade],estoque[fornecedor],"saída",estoque[produto],preçodiario[[#Headers],[OVO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Row],[data]]))+AA48+preçodiario[[#This Row],[entrada J]])</f>
        <v>52</v>
      </c>
      <c r="AB49" s="22">
        <f>SUMIFS(estoque[quantidade],estoque[fornecedor],"&lt;&gt;saída",estoque[produto],preçodiario[[#Headers],[OVO BRANCO JUMBO]],estoque[data],preçodiario[[#This Row],[data]])</f>
        <v>0</v>
      </c>
      <c r="AC49" s="20">
        <f>SUMIFS(estoque[valor total],estoque[fornecedor],"&lt;&gt;saída",estoque[produto],preçodiario[[#Headers],[OVO BRANCO JUMBO]],estoque[data],preçodiario[[#This Row],[data]])</f>
        <v>0</v>
      </c>
      <c r="AD49" s="20">
        <f>IFERROR(preçodiario[[#This Row],[OVO BRANCO JUMBO]]*preçodiario[[#This Row],[estoque J]],0)</f>
        <v>807.13043478260875</v>
      </c>
      <c r="AE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Row],[data]])),((AE48*AF48)+SUMIFS(estoque[valor total],estoque[produto],preçodiario[[#Headers],[OVO VERMELHO A]],estoque[data],preçodiario[[#This Row],[data]],estoque[fornecedor],"&lt;&gt;saída"))/(AF48+(SUMIFS(estoque[quantidade],estoque[produto],preçodiario[[#Headers],[OVO VERMELHO A]],estoque[fornecedor],"&lt;&gt;saída",estoque[data],preçodiario[[#This Row],[data]])))))</f>
        <v/>
      </c>
      <c r="AF49" s="22">
        <f>IF(preçodiario[[#This Row],[entrada AV]]=0,AF48-(SUMIFS(estoque[quantidade],estoque[fornecedor],"saída",estoque[produto],preçodiario[[#Headers],[OVO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Row],[data]]))+AF48+preçodiario[[#This Row],[entrada AV]])</f>
        <v>0</v>
      </c>
      <c r="AG49" s="22">
        <f>SUMIFS(estoque[quantidade],estoque[fornecedor],"&lt;&gt;saída",estoque[produto],preçodiario[[#Headers],[OVO VERMELHO A]],estoque[data],preçodiario[[#This Row],[data]])</f>
        <v>0</v>
      </c>
      <c r="AH49" s="20">
        <f>SUMIFS(estoque[valor total],estoque[fornecedor],"&lt;&gt;saída",estoque[produto],preçodiario[[#Headers],[OVO VERMELHO A]],estoque[data],preçodiario[[#This Row],[data]])</f>
        <v>0</v>
      </c>
      <c r="AI49" s="20">
        <f>IFERROR(preçodiario[[#This Row],[OVO VERMELHO A]]*preçodiario[[#This Row],[estoque AV]],0)</f>
        <v>0</v>
      </c>
      <c r="AJ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Row],[data]])),((AJ48*AK48)+SUMIFS(estoque[valor total],estoque[produto],preçodiario[[#Headers],[OVO VERMELHO B]],estoque[data],preçodiario[[#This Row],[data]],estoque[fornecedor],"&lt;&gt;saída"))/(AK48+(SUMIFS(estoque[quantidade],estoque[produto],preçodiario[[#Headers],[OVO VERMELHO B]],estoque[fornecedor],"&lt;&gt;saída",estoque[data],preçodiario[[#This Row],[data]])))))</f>
        <v/>
      </c>
      <c r="AK49" s="22">
        <f>IF(preçodiario[[#This Row],[entrada BV]]=0,AK48-(SUMIFS(estoque[quantidade],estoque[fornecedor],"saída",estoque[produto],preçodiario[[#Headers],[OVO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Row],[data]]))+AK48+preçodiario[[#This Row],[entrada BV]])</f>
        <v>0</v>
      </c>
      <c r="AL49" s="22">
        <f>SUMIFS(estoque[quantidade],estoque[fornecedor],"&lt;&gt;saída",estoque[produto],preçodiario[[#Headers],[OVO VERMELHO B]],estoque[data],preçodiario[[#This Row],[data]])</f>
        <v>0</v>
      </c>
      <c r="AM49" s="20">
        <f>SUMIFS(estoque[valor total],estoque[fornecedor],"&lt;&gt;saída",estoque[produto],preçodiario[[#Headers],[OVO VERMELHO B]],estoque[data],preçodiario[[#This Row],[data]])</f>
        <v>0</v>
      </c>
      <c r="AN49" s="20">
        <f>IFERROR(preçodiario[[#This Row],[OVO VERMELHO B]]*preçodiario[[#This Row],[estoque BV]],0)</f>
        <v>0</v>
      </c>
      <c r="AO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Row],[data]])),((AO48*AP48)+SUMIFS(estoque[valor total],estoque[produto],preçodiario[[#Headers],[OVO VERMELHO C]],estoque[data],preçodiario[[#This Row],[data]],estoque[fornecedor],"&lt;&gt;saída"))/(AP48+(SUMIFS(estoque[quantidade],estoque[produto],preçodiario[[#Headers],[OVO VERMELHO C]],estoque[fornecedor],"&lt;&gt;saída",estoque[data],preçodiario[[#This Row],[data]])))))</f>
        <v/>
      </c>
      <c r="AP49" s="22">
        <f>IF(preçodiario[[#This Row],[entrada CV]]=0,AP48-(SUMIFS(estoque[quantidade],estoque[fornecedor],"saída",estoque[produto],preçodiario[[#Headers],[OVO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Row],[data]]))+AP48+preçodiario[[#This Row],[entrada CV]])</f>
        <v>0</v>
      </c>
      <c r="AQ49" s="22">
        <f>SUMIFS(estoque[quantidade],estoque[fornecedor],"&lt;&gt;saída",estoque[produto],preçodiario[[#Headers],[OVO VERMELHO C]],estoque[data],preçodiario[[#This Row],[data]])</f>
        <v>0</v>
      </c>
      <c r="AR49" s="20">
        <f>SUMIFS(estoque[valor total],estoque[fornecedor],"&lt;&gt;saída",estoque[produto],preçodiario[[#Headers],[OVO VERMELHO C]],estoque[data],preçodiario[[#This Row],[data]])</f>
        <v>0</v>
      </c>
      <c r="AS49" s="20">
        <f>IFERROR(preçodiario[[#This Row],[OVO VERMELHO C]]*preçodiario[[#This Row],[estoque CV]],0)</f>
        <v>0</v>
      </c>
      <c r="AT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Row],[data]])),((AT48*AU48)+SUMIFS(estoque[valor total],estoque[produto],preçodiario[[#Headers],[OVO VERMELHO EXTRA]],estoque[data],preçodiario[[#This Row],[data]],estoque[fornecedor],"&lt;&gt;saída"))/(AU48+(SUMIFS(estoque[quantidade],estoque[produto],preçodiario[[#Headers],[OVO VERMELHO EXTRA]],estoque[fornecedor],"&lt;&gt;saída",estoque[data],preçodiario[[#This Row],[data]])))))</f>
        <v/>
      </c>
      <c r="AU49" s="22">
        <f>IF(preçodiario[[#This Row],[entrada EV]]=0,AU48-(SUMIFS(estoque[quantidade],estoque[fornecedor],"saída",estoque[produto],preçodiario[[#Headers],[OVO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Row],[data]]))+AU48+preçodiario[[#This Row],[entrada EV]])</f>
        <v>0</v>
      </c>
      <c r="AV49" s="22">
        <f>SUMIFS(estoque[quantidade],estoque[fornecedor],"&lt;&gt;saída",estoque[produto],preçodiario[[#Headers],[OVO VERMELHO EXTRA]],estoque[data],preçodiario[[#This Row],[data]])</f>
        <v>0</v>
      </c>
      <c r="AW49" s="20">
        <f>SUMIFS(estoque[valor total],estoque[fornecedor],"&lt;&gt;saída",estoque[produto],preçodiario[[#Headers],[OVO VERMELHO EXTRA]],estoque[data],preçodiario[[#This Row],[data]])</f>
        <v>0</v>
      </c>
      <c r="AX49" s="20">
        <f>IFERROR(preçodiario[[#This Row],[OVO VERMELHO EXTRA]]*preçodiario[[#This Row],[estoque EV]],0)</f>
        <v>0</v>
      </c>
      <c r="AY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Row],[data]])),((AY48*AZ48)+SUMIFS(estoque[valor total],estoque[produto],preçodiario[[#Headers],[OVO VERMELHO JUMBO]],estoque[data],preçodiario[[#This Row],[data]],estoque[fornecedor],"&lt;&gt;saída"))/(AZ48+(SUMIFS(estoque[quantidade],estoque[produto],preçodiario[[#Headers],[OVO VERMELHO JUMBO]],estoque[fornecedor],"&lt;&gt;saída",estoque[data],preçodiario[[#This Row],[data]])))))</f>
        <v/>
      </c>
      <c r="AZ49" s="22">
        <f>IF(preçodiario[[#This Row],[entrada JV]]=0,AZ48-(SUMIFS(estoque[quantidade],estoque[fornecedor],"saída",estoque[produto],preçodiario[[#Headers],[OVO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Row],[data]]))+AZ48+preçodiario[[#This Row],[entrada JV]])</f>
        <v>0</v>
      </c>
      <c r="BA49" s="22">
        <f>SUMIFS(estoque[quantidade],estoque[fornecedor],"&lt;&gt;saída",estoque[produto],preçodiario[[#Headers],[OVO VERMELHO JUMBO]],estoque[data],preçodiario[[#This Row],[data]])</f>
        <v>0</v>
      </c>
      <c r="BB49" s="20">
        <f>SUMIFS(estoque[valor total],estoque[fornecedor],"&lt;&gt;saída",estoque[produto],preçodiario[[#Headers],[OVO VERMELHO JUMBO]],estoque[data],preçodiario[[#This Row],[data]])</f>
        <v>0</v>
      </c>
      <c r="BC49" s="20">
        <f>IFERROR(preçodiario[[#This Row],[OVO VERMELHO JUMBO]]*preçodiario[[#This Row],[estoque JV]],0)</f>
        <v>0</v>
      </c>
      <c r="BD49" t="str">
        <f>TEXT(vendaAno[[#This Row],[data]],"mmm")</f>
        <v>fev</v>
      </c>
      <c r="BE49" t="str">
        <f>TEXT(vendaAno[[#This Row],[data]],"ddd")</f>
        <v>ter</v>
      </c>
      <c r="BF49" s="82">
        <f>WEEKNUM(vendaAno[[#This Row],[data]],13)</f>
        <v>7</v>
      </c>
      <c r="BG49" s="27">
        <f>preçodiario[[#This Row],[data]]</f>
        <v>46070</v>
      </c>
      <c r="BH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49" s="8">
        <f>IF(SUMIFS(estoque[valor total],estoque[fornecedor],"saída",estoque[data],vendaAno[[#This Row],[data]])=0,"",SUMIFS(estoque[valor total],estoque[fornecedor],"saída",estoque[data],vendaAno[[#This Row],[data]]))</f>
        <v>538</v>
      </c>
      <c r="BJ4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Row],[data]]))/12+BJ48,"")</f>
        <v>23.916666666666629</v>
      </c>
      <c r="BK49" s="79">
        <f>IF(SUMIFS(estoque[quantidade],estoque[fornecedor],"saída",estoque[data],vendaAno[[#This Row],[data]])/12=0,"",SUMIFS(estoque[quantidade],estoque[fornecedor],"saída",estoque[data],vendaAno[[#This Row],[data]])/12)</f>
        <v>2.5</v>
      </c>
      <c r="BL49" s="8">
        <f ca="1">IF(vendaAno[[#This Row],[data]]&lt;=TODAY(),IF(SUMIFS(estoque[lucro],estoque[fornecedor],"saída",estoque[data],vendaAno[[#This Row],[data]])=0,AVERAGE(BL46:BL48),SUMIFS(estoque[lucro],estoque[fornecedor],"saída",estoque[data],vendaAno[[#This Row],[data]])),"")</f>
        <v>104.39000000000001</v>
      </c>
      <c r="BM49" s="10">
        <f ca="1">IFERROR(vendaAno[[#This Row],[lucro]]/vendaAno[[#This Row],[valor de venda]],"")</f>
        <v>0.19403345724907067</v>
      </c>
      <c r="BN4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4061.8578945349418</v>
      </c>
      <c r="BO49" s="8">
        <f ca="1">IF(TODAY()&gt;=vendaAno[[#This Row],[data]],IF(vendaAno[[#This Row],[N°]]=BF48,vendaAno[[#This Row],[lucro]]-173.33+BO48,vendaAno[[#This Row],[lucro]]-150),"")</f>
        <v>-312.93000000000006</v>
      </c>
      <c r="BP49" s="81">
        <f ca="1">IF(TODAY()&gt;=vendaAno[[#This Row],[data]],SUM(BK43:BK49)*12,"")</f>
        <v>211.00000000000003</v>
      </c>
      <c r="BQ49" s="7">
        <f ca="1">IFERROR(vendaAno[[#This Row],[lucro]]/(vendaAno[[#This Row],[venda]]*12),"")</f>
        <v>3.4796666666666671</v>
      </c>
      <c r="BT49" s="95">
        <f ca="1">WEEKNUM(PvPcML[[#This Row],[data]],13)</f>
        <v>24</v>
      </c>
      <c r="BU49" s="132">
        <f t="shared" ca="1" si="0"/>
        <v>46186</v>
      </c>
      <c r="BV49" s="7">
        <f ca="1">IFERROR(SUMIFS(vendaAno[valor de venda],vendaAno[data],PvPcML[[#This Row],[data]])/(SUMIFS(vendaAno[venda],vendaAno[data],PvPcML[[#This Row],[data]])*12),"")</f>
        <v>18.068965517241381</v>
      </c>
      <c r="BW49" s="8">
        <f ca="1">IFERROR(SUMIFS(vendaAno[valor de venda],vendaAno[data],PvPcML[[#This Row],[data]])/(SUMIFS(vendaAno[venda],vendaAno[data],PvPcML[[#This Row],[data]])*12)-PvPcML[[#This Row],[lucro médio]],"")</f>
        <v>15.348965517241382</v>
      </c>
      <c r="BX49" s="7">
        <f ca="1">IF(SUMIFS(vendaAno[[lucro médio ]],vendaAno[data],PvPcML[[#This Row],[data]])=0,"",SUMIFS(vendaAno[[lucro médio ]],vendaAno[data],PvPcML[[#This Row],[data]]))</f>
        <v>2.7199999999999998</v>
      </c>
      <c r="BY49" s="91">
        <v>48</v>
      </c>
      <c r="BZ49" s="89">
        <f t="shared" si="1"/>
        <v>46352</v>
      </c>
      <c r="CA49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49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49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49" s="82" t="str">
        <f ca="1">IFERROR(AVERAGEIFS(vendaAno[venda],vendaAno[data],"&gt;="&amp;semanal[[#This Row],[semana]],vendaAno[data],"&lt;="&amp;semanal[[#This Row],[semana]]+6),"")</f>
        <v/>
      </c>
      <c r="CE49" s="82" t="str">
        <f ca="1">IFERROR((150/semanal[[#This Row],[lucro médio por cartela]])/12,"")</f>
        <v/>
      </c>
    </row>
    <row r="50" spans="1:83" x14ac:dyDescent="0.25">
      <c r="A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14.35697356776614</v>
      </c>
      <c r="B50" s="18" t="str">
        <f>TEXT(preçodiario[[#This Row],[data]],"MMM")</f>
        <v>fev</v>
      </c>
      <c r="C50" s="18" t="str">
        <f>TEXT(preçodiario[[#This Row],[data]],"ddd")</f>
        <v>qua</v>
      </c>
      <c r="D50" s="96">
        <f>WEEKNUM(preçodiario[[#This Row],[data]],13)</f>
        <v>8</v>
      </c>
      <c r="E50" s="37">
        <v>46071</v>
      </c>
      <c r="F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Row],[data]])),((F49*G49)+SUMIFS(estoque[valor total],estoque[produto],preçodiario[[#Headers],[OVO BRANCO A]],estoque[data],preçodiario[[#This Row],[data]],estoque[fornecedor],"&lt;&gt;saída"))/(G49+(SUMIFS(estoque[quantidade],estoque[produto],preçodiario[[#Headers],[OVO BRANCO A]],estoque[fornecedor],"&lt;&gt;saída",estoque[data],preçodiario[[#This Row],[data]])))))</f>
        <v>14.35697356776614</v>
      </c>
      <c r="G50" s="22">
        <f>IF(preçodiario[[#This Row],[entrada A]]=0,G49-(SUMIFS(estoque[quantidade],estoque[fornecedor],"saída",estoque[produto],preçodiario[[#Headers],[OVO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Row],[data]]))+G49+preçodiario[[#This Row],[entrada A]])</f>
        <v>22</v>
      </c>
      <c r="H50" s="22">
        <f>SUMIFS(estoque[quantidade],estoque[fornecedor],"&lt;&gt;saída",estoque[produto],preçodiario[[#Headers],[OVO BRANCO A]],estoque[data],preçodiario[[#This Row],[data]])</f>
        <v>0</v>
      </c>
      <c r="I50" s="20">
        <f>SUMIFS(estoque[valor total],estoque[fornecedor],"&lt;&gt;saída",estoque[produto],preçodiario[[#Headers],[OVO BRANCO A]],estoque[data],preçodiario[[#This Row],[data]])</f>
        <v>0</v>
      </c>
      <c r="J50" s="20">
        <f>IFERROR(preçodiario[[#This Row],[estoque A]]*preçodiario[[#This Row],[OVO BRANCO A]],0)</f>
        <v>315.85341849085506</v>
      </c>
      <c r="K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Row],[data]])),((K49*L49)+SUMIFS(estoque[valor total],estoque[produto],preçodiario[[#Headers],[OVO BRANCO B]],estoque[data],preçodiario[[#This Row],[data]],estoque[fornecedor],"&lt;&gt;saída"))/(L49+(SUMIFS(estoque[quantidade],estoque[produto],preçodiario[[#Headers],[OVO BRANCO B]],estoque[fornecedor],"&lt;&gt;saída",estoque[data],preçodiario[[#This Row],[data]])))))</f>
        <v>13.039622372528344</v>
      </c>
      <c r="L50" s="22">
        <f>IF(preçodiario[[#This Row],[entrada B]]=0,L49-(SUMIFS(estoque[quantidade],estoque[fornecedor],"saída",estoque[produto],preçodiario[[#Headers],[OVO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Row],[data]]))+L49+preçodiario[[#This Row],[entrada B]])</f>
        <v>99</v>
      </c>
      <c r="M50" s="22">
        <f>SUMIFS(estoque[quantidade],estoque[fornecedor],"&lt;&gt;saída",estoque[produto],preçodiario[[#Headers],[OVO BRANCO B]],estoque[data],preçodiario[[#This Row],[data]])</f>
        <v>0</v>
      </c>
      <c r="N50" s="20">
        <f>SUMIFS(estoque[valor total],estoque[fornecedor],"&lt;&gt;saída",estoque[produto],preçodiario[[#Headers],[OVO BRANCO B]],estoque[data],preçodiario[[#This Row],[data]])</f>
        <v>0</v>
      </c>
      <c r="O50" s="20">
        <f>IFERROR(preçodiario[[#This Row],[OVO BRANCO B]]*preçodiario[[#This Row],[estoque B]],0)</f>
        <v>1290.9226148803061</v>
      </c>
      <c r="P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Row],[data]])),((P49*Q49)+SUMIFS(estoque[valor total],estoque[produto],preçodiario[[#Headers],[OVO BRANCO C]],estoque[data],preçodiario[[#This Row],[data]],estoque[fornecedor],"&lt;&gt;saída"))/(Q49+(SUMIFS(estoque[quantidade],estoque[produto],preçodiario[[#Headers],[OVO BRANCO C]],estoque[fornecedor],"&lt;&gt;saída",estoque[data],preçodiario[[#This Row],[data]])))))</f>
        <v>13.874671916010502</v>
      </c>
      <c r="Q50" s="22">
        <f>IF(preçodiario[[#This Row],[entrada C]]=0,Q49-(SUMIFS(estoque[quantidade],estoque[fornecedor],"saída",estoque[produto],preçodiario[[#Headers],[OVO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Row],[data]]))+Q49+preçodiario[[#This Row],[entrada C]])</f>
        <v>1</v>
      </c>
      <c r="R50" s="22">
        <f>SUMIFS(estoque[quantidade],estoque[fornecedor],"&lt;&gt;saída",estoque[produto],preçodiario[[#Headers],[OVO BRANCO C]],estoque[data],preçodiario[[#This Row],[data]])</f>
        <v>0</v>
      </c>
      <c r="S50" s="20">
        <f>SUMIFS(estoque[valor total],estoque[fornecedor],"&lt;&gt;saída",estoque[produto],preçodiario[[#Headers],[OVO BRANCO C]],estoque[data],preçodiario[[#This Row],[data]])</f>
        <v>0</v>
      </c>
      <c r="T50" s="20">
        <f>IFERROR(preçodiario[[#This Row],[OVO BRANCO C]]*preçodiario[[#This Row],[estoque C]],0)</f>
        <v>13.874671916010502</v>
      </c>
      <c r="U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Row],[data]])),((U49*V49)+SUMIFS(estoque[valor total],estoque[produto],preçodiario[[#Headers],[OVO BRANCO EXTRA]],estoque[data],preçodiario[[#This Row],[data]],estoque[fornecedor],"&lt;&gt;saída"))/(V49+(SUMIFS(estoque[quantidade],estoque[produto],preçodiario[[#Headers],[OVO BRANCO EXTRA]],estoque[fornecedor],"&lt;&gt;saída",estoque[data],preçodiario[[#This Row],[data]])))))</f>
        <v>14.859806712139463</v>
      </c>
      <c r="V50" s="22">
        <f>IF(preçodiario[[#This Row],[entrada E]]=0,V49-(SUMIFS(estoque[quantidade],estoque[fornecedor],"saída",estoque[produto],preçodiario[[#Headers],[OVO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Row],[data]]))+V49+preçodiario[[#This Row],[entrada E]])</f>
        <v>72</v>
      </c>
      <c r="W50" s="22">
        <f>SUMIFS(estoque[quantidade],estoque[fornecedor],"&lt;&gt;saída",estoque[produto],preçodiario[[#Headers],[OVO BRANCO EXTRA]],estoque[data],preçodiario[[#This Row],[data]])</f>
        <v>0</v>
      </c>
      <c r="X50" s="20">
        <f>SUMIFS(estoque[valor total],estoque[fornecedor],"&lt;&gt;saída",estoque[produto],preçodiario[[#Headers],[OVO BRANCO EXTRA]],estoque[data],preçodiario[[#This Row],[data]])</f>
        <v>0</v>
      </c>
      <c r="Y50" s="20">
        <f>IFERROR(preçodiario[[#This Row],[estoque E]]*preçodiario[[#This Row],[OVO BRANCO EXTRA]],0)</f>
        <v>1069.9060832740413</v>
      </c>
      <c r="Z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Row],[data]])),((Z49*AA49)+SUMIFS(estoque[valor total],estoque[produto],preçodiario[[#Headers],[OVO BRANCO JUMBO]],estoque[data],preçodiario[[#This Row],[data]],estoque[fornecedor],"&lt;&gt;saída"))/(AA49+(SUMIFS(estoque[quantidade],estoque[produto],preçodiario[[#Headers],[OVO BRANCO JUMBO]],estoque[fornecedor],"&lt;&gt;saída",estoque[data],preçodiario[[#This Row],[data]])))))</f>
        <v>15.521739130434783</v>
      </c>
      <c r="AA50" s="22">
        <f>IF(preçodiario[[#This Row],[entrada J]]=0,AA49-(SUMIFS(estoque[quantidade],estoque[fornecedor],"saída",estoque[produto],preçodiario[[#Headers],[OVO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Row],[data]]))+AA49+preçodiario[[#This Row],[entrada J]])</f>
        <v>44</v>
      </c>
      <c r="AB50" s="22">
        <f>SUMIFS(estoque[quantidade],estoque[fornecedor],"&lt;&gt;saída",estoque[produto],preçodiario[[#Headers],[OVO BRANCO JUMBO]],estoque[data],preçodiario[[#This Row],[data]])</f>
        <v>0</v>
      </c>
      <c r="AC50" s="20">
        <f>SUMIFS(estoque[valor total],estoque[fornecedor],"&lt;&gt;saída",estoque[produto],preçodiario[[#Headers],[OVO BRANCO JUMBO]],estoque[data],preçodiario[[#This Row],[data]])</f>
        <v>0</v>
      </c>
      <c r="AD50" s="20">
        <f>IFERROR(preçodiario[[#This Row],[OVO BRANCO JUMBO]]*preçodiario[[#This Row],[estoque J]],0)</f>
        <v>682.95652173913049</v>
      </c>
      <c r="AE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Row],[data]])),((AE49*AF49)+SUMIFS(estoque[valor total],estoque[produto],preçodiario[[#Headers],[OVO VERMELHO A]],estoque[data],preçodiario[[#This Row],[data]],estoque[fornecedor],"&lt;&gt;saída"))/(AF49+(SUMIFS(estoque[quantidade],estoque[produto],preçodiario[[#Headers],[OVO VERMELHO A]],estoque[fornecedor],"&lt;&gt;saída",estoque[data],preçodiario[[#This Row],[data]])))))</f>
        <v/>
      </c>
      <c r="AF50" s="22">
        <f>IF(preçodiario[[#This Row],[entrada AV]]=0,AF49-(SUMIFS(estoque[quantidade],estoque[fornecedor],"saída",estoque[produto],preçodiario[[#Headers],[OVO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Row],[data]]))+AF49+preçodiario[[#This Row],[entrada AV]])</f>
        <v>0</v>
      </c>
      <c r="AG50" s="22">
        <f>SUMIFS(estoque[quantidade],estoque[fornecedor],"&lt;&gt;saída",estoque[produto],preçodiario[[#Headers],[OVO VERMELHO A]],estoque[data],preçodiario[[#This Row],[data]])</f>
        <v>0</v>
      </c>
      <c r="AH50" s="20">
        <f>SUMIFS(estoque[valor total],estoque[fornecedor],"&lt;&gt;saída",estoque[produto],preçodiario[[#Headers],[OVO VERMELHO A]],estoque[data],preçodiario[[#This Row],[data]])</f>
        <v>0</v>
      </c>
      <c r="AI50" s="20">
        <f>IFERROR(preçodiario[[#This Row],[OVO VERMELHO A]]*preçodiario[[#This Row],[estoque AV]],0)</f>
        <v>0</v>
      </c>
      <c r="AJ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Row],[data]])),((AJ49*AK49)+SUMIFS(estoque[valor total],estoque[produto],preçodiario[[#Headers],[OVO VERMELHO B]],estoque[data],preçodiario[[#This Row],[data]],estoque[fornecedor],"&lt;&gt;saída"))/(AK49+(SUMIFS(estoque[quantidade],estoque[produto],preçodiario[[#Headers],[OVO VERMELHO B]],estoque[fornecedor],"&lt;&gt;saída",estoque[data],preçodiario[[#This Row],[data]])))))</f>
        <v/>
      </c>
      <c r="AK50" s="22">
        <f>IF(preçodiario[[#This Row],[entrada BV]]=0,AK49-(SUMIFS(estoque[quantidade],estoque[fornecedor],"saída",estoque[produto],preçodiario[[#Headers],[OVO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Row],[data]]))+AK49+preçodiario[[#This Row],[entrada BV]])</f>
        <v>0</v>
      </c>
      <c r="AL50" s="22">
        <f>SUMIFS(estoque[quantidade],estoque[fornecedor],"&lt;&gt;saída",estoque[produto],preçodiario[[#Headers],[OVO VERMELHO B]],estoque[data],preçodiario[[#This Row],[data]])</f>
        <v>0</v>
      </c>
      <c r="AM50" s="20">
        <f>SUMIFS(estoque[valor total],estoque[fornecedor],"&lt;&gt;saída",estoque[produto],preçodiario[[#Headers],[OVO VERMELHO B]],estoque[data],preçodiario[[#This Row],[data]])</f>
        <v>0</v>
      </c>
      <c r="AN50" s="20">
        <f>IFERROR(preçodiario[[#This Row],[OVO VERMELHO B]]*preçodiario[[#This Row],[estoque BV]],0)</f>
        <v>0</v>
      </c>
      <c r="AO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Row],[data]])),((AO49*AP49)+SUMIFS(estoque[valor total],estoque[produto],preçodiario[[#Headers],[OVO VERMELHO C]],estoque[data],preçodiario[[#This Row],[data]],estoque[fornecedor],"&lt;&gt;saída"))/(AP49+(SUMIFS(estoque[quantidade],estoque[produto],preçodiario[[#Headers],[OVO VERMELHO C]],estoque[fornecedor],"&lt;&gt;saída",estoque[data],preçodiario[[#This Row],[data]])))))</f>
        <v/>
      </c>
      <c r="AP50" s="22">
        <f>IF(preçodiario[[#This Row],[entrada CV]]=0,AP49-(SUMIFS(estoque[quantidade],estoque[fornecedor],"saída",estoque[produto],preçodiario[[#Headers],[OVO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Row],[data]]))+AP49+preçodiario[[#This Row],[entrada CV]])</f>
        <v>0</v>
      </c>
      <c r="AQ50" s="22">
        <f>SUMIFS(estoque[quantidade],estoque[fornecedor],"&lt;&gt;saída",estoque[produto],preçodiario[[#Headers],[OVO VERMELHO C]],estoque[data],preçodiario[[#This Row],[data]])</f>
        <v>0</v>
      </c>
      <c r="AR50" s="20">
        <f>SUMIFS(estoque[valor total],estoque[fornecedor],"&lt;&gt;saída",estoque[produto],preçodiario[[#Headers],[OVO VERMELHO C]],estoque[data],preçodiario[[#This Row],[data]])</f>
        <v>0</v>
      </c>
      <c r="AS50" s="20">
        <f>IFERROR(preçodiario[[#This Row],[OVO VERMELHO C]]*preçodiario[[#This Row],[estoque CV]],0)</f>
        <v>0</v>
      </c>
      <c r="AT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Row],[data]])),((AT49*AU49)+SUMIFS(estoque[valor total],estoque[produto],preçodiario[[#Headers],[OVO VERMELHO EXTRA]],estoque[data],preçodiario[[#This Row],[data]],estoque[fornecedor],"&lt;&gt;saída"))/(AU49+(SUMIFS(estoque[quantidade],estoque[produto],preçodiario[[#Headers],[OVO VERMELHO EXTRA]],estoque[fornecedor],"&lt;&gt;saída",estoque[data],preçodiario[[#This Row],[data]])))))</f>
        <v/>
      </c>
      <c r="AU50" s="22">
        <f>IF(preçodiario[[#This Row],[entrada EV]]=0,AU49-(SUMIFS(estoque[quantidade],estoque[fornecedor],"saída",estoque[produto],preçodiario[[#Headers],[OVO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Row],[data]]))+AU49+preçodiario[[#This Row],[entrada EV]])</f>
        <v>0</v>
      </c>
      <c r="AV50" s="22">
        <f>SUMIFS(estoque[quantidade],estoque[fornecedor],"&lt;&gt;saída",estoque[produto],preçodiario[[#Headers],[OVO VERMELHO EXTRA]],estoque[data],preçodiario[[#This Row],[data]])</f>
        <v>0</v>
      </c>
      <c r="AW50" s="20">
        <f>SUMIFS(estoque[valor total],estoque[fornecedor],"&lt;&gt;saída",estoque[produto],preçodiario[[#Headers],[OVO VERMELHO EXTRA]],estoque[data],preçodiario[[#This Row],[data]])</f>
        <v>0</v>
      </c>
      <c r="AX50" s="20">
        <f>IFERROR(preçodiario[[#This Row],[OVO VERMELHO EXTRA]]*preçodiario[[#This Row],[estoque EV]],0)</f>
        <v>0</v>
      </c>
      <c r="AY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Row],[data]])),((AY49*AZ49)+SUMIFS(estoque[valor total],estoque[produto],preçodiario[[#Headers],[OVO VERMELHO JUMBO]],estoque[data],preçodiario[[#This Row],[data]],estoque[fornecedor],"&lt;&gt;saída"))/(AZ49+(SUMIFS(estoque[quantidade],estoque[produto],preçodiario[[#Headers],[OVO VERMELHO JUMBO]],estoque[fornecedor],"&lt;&gt;saída",estoque[data],preçodiario[[#This Row],[data]])))))</f>
        <v/>
      </c>
      <c r="AZ50" s="22">
        <f>IF(preçodiario[[#This Row],[entrada JV]]=0,AZ49-(SUMIFS(estoque[quantidade],estoque[fornecedor],"saída",estoque[produto],preçodiario[[#Headers],[OVO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Row],[data]]))+AZ49+preçodiario[[#This Row],[entrada JV]])</f>
        <v>0</v>
      </c>
      <c r="BA50" s="22">
        <f>SUMIFS(estoque[quantidade],estoque[fornecedor],"&lt;&gt;saída",estoque[produto],preçodiario[[#Headers],[OVO VERMELHO JUMBO]],estoque[data],preçodiario[[#This Row],[data]])</f>
        <v>0</v>
      </c>
      <c r="BB50" s="20">
        <f>SUMIFS(estoque[valor total],estoque[fornecedor],"&lt;&gt;saída",estoque[produto],preçodiario[[#Headers],[OVO VERMELHO JUMBO]],estoque[data],preçodiario[[#This Row],[data]])</f>
        <v>0</v>
      </c>
      <c r="BC50" s="20">
        <f>IFERROR(preçodiario[[#This Row],[OVO VERMELHO JUMBO]]*preçodiario[[#This Row],[estoque JV]],0)</f>
        <v>0</v>
      </c>
      <c r="BD50" t="str">
        <f>TEXT(vendaAno[[#This Row],[data]],"mmm")</f>
        <v>fev</v>
      </c>
      <c r="BE50" t="str">
        <f>TEXT(vendaAno[[#This Row],[data]],"ddd")</f>
        <v>qua</v>
      </c>
      <c r="BF50" s="82">
        <f>WEEKNUM(vendaAno[[#This Row],[data]],13)</f>
        <v>8</v>
      </c>
      <c r="BG50" s="27">
        <f>preçodiario[[#This Row],[data]]</f>
        <v>46071</v>
      </c>
      <c r="BH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0" s="8">
        <f>IF(SUMIFS(estoque[valor total],estoque[fornecedor],"saída",estoque[data],vendaAno[[#This Row],[data]])=0,"",SUMIFS(estoque[valor total],estoque[fornecedor],"saída",estoque[data],vendaAno[[#This Row],[data]]))</f>
        <v>870</v>
      </c>
      <c r="BJ5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Row],[data]]))/12+BJ49,"")</f>
        <v>19.833333333333297</v>
      </c>
      <c r="BK50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50" s="8">
        <f ca="1">IF(vendaAno[[#This Row],[data]]&lt;=TODAY(),IF(SUMIFS(estoque[lucro],estoque[fornecedor],"saída",estoque[data],vendaAno[[#This Row],[data]])=0,AVERAGE(BL47:BL49),SUMIFS(estoque[lucro],estoque[fornecedor],"saída",estoque[data],vendaAno[[#This Row],[data]])),"")</f>
        <v>181.67</v>
      </c>
      <c r="BM50" s="10">
        <f ca="1">IFERROR(vendaAno[[#This Row],[lucro]]/vendaAno[[#This Row],[valor de venda]],"")</f>
        <v>0.20881609195402298</v>
      </c>
      <c r="BN5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3373.5133103003436</v>
      </c>
      <c r="BO50" s="8">
        <f ca="1">IF(TODAY()&gt;=vendaAno[[#This Row],[data]],IF(vendaAno[[#This Row],[N°]]=BF49,vendaAno[[#This Row],[lucro]]-173.33+BO49,vendaAno[[#This Row],[lucro]]-150),"")</f>
        <v>31.669999999999987</v>
      </c>
      <c r="BP50" s="81">
        <f ca="1">IF(TODAY()&gt;=vendaAno[[#This Row],[data]],SUM(BK44:BK50)*12,"")</f>
        <v>214</v>
      </c>
      <c r="BQ50" s="7">
        <f ca="1">IFERROR(vendaAno[[#This Row],[lucro]]/(vendaAno[[#This Row],[venda]]*12),"")</f>
        <v>3.7075510204081632</v>
      </c>
      <c r="BT50" s="95">
        <f ca="1">WEEKNUM(PvPcML[[#This Row],[data]],13)</f>
        <v>24</v>
      </c>
      <c r="BU50" s="132">
        <f t="shared" ca="1" si="0"/>
        <v>46185</v>
      </c>
      <c r="BV50" s="7">
        <f ca="1">IFERROR(SUMIFS(vendaAno[valor de venda],vendaAno[data],PvPcML[[#This Row],[data]])/(SUMIFS(vendaAno[venda],vendaAno[data],PvPcML[[#This Row],[data]])*12),"")</f>
        <v>18.384615384615383</v>
      </c>
      <c r="BW50" s="8">
        <f ca="1">IFERROR(SUMIFS(vendaAno[valor de venda],vendaAno[data],PvPcML[[#This Row],[data]])/(SUMIFS(vendaAno[venda],vendaAno[data],PvPcML[[#This Row],[data]])*12)-PvPcML[[#This Row],[lucro médio]],"")</f>
        <v>15.695384615384615</v>
      </c>
      <c r="BX50" s="7">
        <f ca="1">IF(SUMIFS(vendaAno[[lucro médio ]],vendaAno[data],PvPcML[[#This Row],[data]])=0,"",SUMIFS(vendaAno[[lucro médio ]],vendaAno[data],PvPcML[[#This Row],[data]]))</f>
        <v>2.6892307692307691</v>
      </c>
      <c r="BY50" s="90">
        <v>49</v>
      </c>
      <c r="BZ50" s="89">
        <f t="shared" si="1"/>
        <v>46359</v>
      </c>
      <c r="CA50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0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0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0" s="82" t="str">
        <f ca="1">IFERROR(AVERAGEIFS(vendaAno[venda],vendaAno[data],"&gt;="&amp;semanal[[#This Row],[semana]],vendaAno[data],"&lt;="&amp;semanal[[#This Row],[semana]]+6),"")</f>
        <v/>
      </c>
      <c r="CE50" s="82" t="str">
        <f ca="1">IFERROR((150/semanal[[#This Row],[lucro médio por cartela]])/12,"")</f>
        <v/>
      </c>
    </row>
    <row r="51" spans="1:83" x14ac:dyDescent="0.25">
      <c r="A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14.35697356776614</v>
      </c>
      <c r="B51" s="18" t="str">
        <f>TEXT(preçodiario[[#This Row],[data]],"MMM")</f>
        <v>fev</v>
      </c>
      <c r="C51" s="18" t="str">
        <f>TEXT(preçodiario[[#This Row],[data]],"ddd")</f>
        <v>qui</v>
      </c>
      <c r="D51" s="96">
        <f>WEEKNUM(preçodiario[[#This Row],[data]],13)</f>
        <v>8</v>
      </c>
      <c r="E51" s="37">
        <v>46072</v>
      </c>
      <c r="F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Row],[data]])),((F50*G50)+SUMIFS(estoque[valor total],estoque[produto],preçodiario[[#Headers],[OVO BRANCO A]],estoque[data],preçodiario[[#This Row],[data]],estoque[fornecedor],"&lt;&gt;saída"))/(G50+(SUMIFS(estoque[quantidade],estoque[produto],preçodiario[[#Headers],[OVO BRANCO A]],estoque[fornecedor],"&lt;&gt;saída",estoque[data],preçodiario[[#This Row],[data]])))))</f>
        <v>14.35697356776614</v>
      </c>
      <c r="G51" s="22">
        <f>IF(preçodiario[[#This Row],[entrada A]]=0,G50-(SUMIFS(estoque[quantidade],estoque[fornecedor],"saída",estoque[produto],preçodiario[[#Headers],[OVO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Row],[data]]))+G50+preçodiario[[#This Row],[entrada A]])</f>
        <v>14</v>
      </c>
      <c r="H51" s="22">
        <f>SUMIFS(estoque[quantidade],estoque[fornecedor],"&lt;&gt;saída",estoque[produto],preçodiario[[#Headers],[OVO BRANCO A]],estoque[data],preçodiario[[#This Row],[data]])</f>
        <v>0</v>
      </c>
      <c r="I51" s="20">
        <f>SUMIFS(estoque[valor total],estoque[fornecedor],"&lt;&gt;saída",estoque[produto],preçodiario[[#Headers],[OVO BRANCO A]],estoque[data],preçodiario[[#This Row],[data]])</f>
        <v>0</v>
      </c>
      <c r="J51" s="20">
        <f>IFERROR(preçodiario[[#This Row],[estoque A]]*preçodiario[[#This Row],[OVO BRANCO A]],0)</f>
        <v>200.99762994872594</v>
      </c>
      <c r="K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Row],[data]])),((K50*L50)+SUMIFS(estoque[valor total],estoque[produto],preçodiario[[#Headers],[OVO BRANCO B]],estoque[data],preçodiario[[#This Row],[data]],estoque[fornecedor],"&lt;&gt;saída"))/(L50+(SUMIFS(estoque[quantidade],estoque[produto],preçodiario[[#Headers],[OVO BRANCO B]],estoque[fornecedor],"&lt;&gt;saída",estoque[data],preçodiario[[#This Row],[data]])))))</f>
        <v>13.039622372528346</v>
      </c>
      <c r="L51" s="22">
        <f>IF(preçodiario[[#This Row],[entrada B]]=0,L50-(SUMIFS(estoque[quantidade],estoque[fornecedor],"saída",estoque[produto],preçodiario[[#Headers],[OVO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Row],[data]]))+L50+preçodiario[[#This Row],[entrada B]])</f>
        <v>89</v>
      </c>
      <c r="M51" s="22">
        <f>SUMIFS(estoque[quantidade],estoque[fornecedor],"&lt;&gt;saída",estoque[produto],preçodiario[[#Headers],[OVO BRANCO B]],estoque[data],preçodiario[[#This Row],[data]])</f>
        <v>0</v>
      </c>
      <c r="N51" s="20">
        <f>SUMIFS(estoque[valor total],estoque[fornecedor],"&lt;&gt;saída",estoque[produto],preçodiario[[#Headers],[OVO BRANCO B]],estoque[data],preçodiario[[#This Row],[data]])</f>
        <v>0</v>
      </c>
      <c r="O51" s="20">
        <f>IFERROR(preçodiario[[#This Row],[OVO BRANCO B]]*preçodiario[[#This Row],[estoque B]],0)</f>
        <v>1160.5263911550228</v>
      </c>
      <c r="P5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Row],[data]])),((P50*Q50)+SUMIFS(estoque[valor total],estoque[produto],preçodiario[[#Headers],[OVO BRANCO C]],estoque[data],preçodiario[[#This Row],[data]],estoque[fornecedor],"&lt;&gt;saída"))/(Q50+(SUMIFS(estoque[quantidade],estoque[produto],preçodiario[[#Headers],[OVO BRANCO C]],estoque[fornecedor],"&lt;&gt;saída",estoque[data],preçodiario[[#This Row],[data]])))))</f>
        <v/>
      </c>
      <c r="Q51" s="22">
        <f>IF(preçodiario[[#This Row],[entrada C]]=0,Q50-(SUMIFS(estoque[quantidade],estoque[fornecedor],"saída",estoque[produto],preçodiario[[#Headers],[OVO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Row],[data]]))+Q50+preçodiario[[#This Row],[entrada C]])</f>
        <v>0</v>
      </c>
      <c r="R51" s="22">
        <f>SUMIFS(estoque[quantidade],estoque[fornecedor],"&lt;&gt;saída",estoque[produto],preçodiario[[#Headers],[OVO BRANCO C]],estoque[data],preçodiario[[#This Row],[data]])</f>
        <v>0</v>
      </c>
      <c r="S51" s="20">
        <f>SUMIFS(estoque[valor total],estoque[fornecedor],"&lt;&gt;saída",estoque[produto],preçodiario[[#Headers],[OVO BRANCO C]],estoque[data],preçodiario[[#This Row],[data]])</f>
        <v>0</v>
      </c>
      <c r="T51" s="20">
        <f>IFERROR(preçodiario[[#This Row],[OVO BRANCO C]]*preçodiario[[#This Row],[estoque C]],0)</f>
        <v>0</v>
      </c>
      <c r="U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Row],[data]])),((U50*V50)+SUMIFS(estoque[valor total],estoque[produto],preçodiario[[#Headers],[OVO BRANCO EXTRA]],estoque[data],preçodiario[[#This Row],[data]],estoque[fornecedor],"&lt;&gt;saída"))/(V50+(SUMIFS(estoque[quantidade],estoque[produto],preçodiario[[#Headers],[OVO BRANCO EXTRA]],estoque[fornecedor],"&lt;&gt;saída",estoque[data],preçodiario[[#This Row],[data]])))))</f>
        <v>14.859806712139463</v>
      </c>
      <c r="V51" s="22">
        <f>IF(preçodiario[[#This Row],[entrada E]]=0,V50-(SUMIFS(estoque[quantidade],estoque[fornecedor],"saída",estoque[produto],preçodiario[[#Headers],[OVO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Row],[data]]))+V50+preçodiario[[#This Row],[entrada E]])</f>
        <v>70</v>
      </c>
      <c r="W51" s="22">
        <f>SUMIFS(estoque[quantidade],estoque[fornecedor],"&lt;&gt;saída",estoque[produto],preçodiario[[#Headers],[OVO BRANCO EXTRA]],estoque[data],preçodiario[[#This Row],[data]])</f>
        <v>0</v>
      </c>
      <c r="X51" s="20">
        <f>SUMIFS(estoque[valor total],estoque[fornecedor],"&lt;&gt;saída",estoque[produto],preçodiario[[#Headers],[OVO BRANCO EXTRA]],estoque[data],preçodiario[[#This Row],[data]])</f>
        <v>0</v>
      </c>
      <c r="Y51" s="20">
        <f>IFERROR(preçodiario[[#This Row],[estoque E]]*preçodiario[[#This Row],[OVO BRANCO EXTRA]],0)</f>
        <v>1040.1864698497625</v>
      </c>
      <c r="Z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Row],[data]])),((Z50*AA50)+SUMIFS(estoque[valor total],estoque[produto],preçodiario[[#Headers],[OVO BRANCO JUMBO]],estoque[data],preçodiario[[#This Row],[data]],estoque[fornecedor],"&lt;&gt;saída"))/(AA50+(SUMIFS(estoque[quantidade],estoque[produto],preçodiario[[#Headers],[OVO BRANCO JUMBO]],estoque[fornecedor],"&lt;&gt;saída",estoque[data],preçodiario[[#This Row],[data]])))))</f>
        <v>15.521739130434783</v>
      </c>
      <c r="AA51" s="22">
        <f>IF(preçodiario[[#This Row],[entrada J]]=0,AA50-(SUMIFS(estoque[quantidade],estoque[fornecedor],"saída",estoque[produto],preçodiario[[#Headers],[OVO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Row],[data]]))+AA50+preçodiario[[#This Row],[entrada J]])</f>
        <v>36</v>
      </c>
      <c r="AB51" s="22">
        <f>SUMIFS(estoque[quantidade],estoque[fornecedor],"&lt;&gt;saída",estoque[produto],preçodiario[[#Headers],[OVO BRANCO JUMBO]],estoque[data],preçodiario[[#This Row],[data]])</f>
        <v>0</v>
      </c>
      <c r="AC51" s="20">
        <f>SUMIFS(estoque[valor total],estoque[fornecedor],"&lt;&gt;saída",estoque[produto],preçodiario[[#Headers],[OVO BRANCO JUMBO]],estoque[data],preçodiario[[#This Row],[data]])</f>
        <v>0</v>
      </c>
      <c r="AD51" s="20">
        <f>IFERROR(preçodiario[[#This Row],[OVO BRANCO JUMBO]]*preçodiario[[#This Row],[estoque J]],0)</f>
        <v>558.78260869565224</v>
      </c>
      <c r="AE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Row],[data]])),((AE50*AF50)+SUMIFS(estoque[valor total],estoque[produto],preçodiario[[#Headers],[OVO VERMELHO A]],estoque[data],preçodiario[[#This Row],[data]],estoque[fornecedor],"&lt;&gt;saída"))/(AF50+(SUMIFS(estoque[quantidade],estoque[produto],preçodiario[[#Headers],[OVO VERMELHO A]],estoque[fornecedor],"&lt;&gt;saída",estoque[data],preçodiario[[#This Row],[data]])))))</f>
        <v/>
      </c>
      <c r="AF51" s="22">
        <f>IF(preçodiario[[#This Row],[entrada AV]]=0,AF50-(SUMIFS(estoque[quantidade],estoque[fornecedor],"saída",estoque[produto],preçodiario[[#Headers],[OVO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Row],[data]]))+AF50+preçodiario[[#This Row],[entrada AV]])</f>
        <v>0</v>
      </c>
      <c r="AG51" s="22">
        <f>SUMIFS(estoque[quantidade],estoque[fornecedor],"&lt;&gt;saída",estoque[produto],preçodiario[[#Headers],[OVO VERMELHO A]],estoque[data],preçodiario[[#This Row],[data]])</f>
        <v>0</v>
      </c>
      <c r="AH51" s="20">
        <f>SUMIFS(estoque[valor total],estoque[fornecedor],"&lt;&gt;saída",estoque[produto],preçodiario[[#Headers],[OVO VERMELHO A]],estoque[data],preçodiario[[#This Row],[data]])</f>
        <v>0</v>
      </c>
      <c r="AI51" s="20">
        <f>IFERROR(preçodiario[[#This Row],[OVO VERMELHO A]]*preçodiario[[#This Row],[estoque AV]],0)</f>
        <v>0</v>
      </c>
      <c r="AJ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Row],[data]])),((AJ50*AK50)+SUMIFS(estoque[valor total],estoque[produto],preçodiario[[#Headers],[OVO VERMELHO B]],estoque[data],preçodiario[[#This Row],[data]],estoque[fornecedor],"&lt;&gt;saída"))/(AK50+(SUMIFS(estoque[quantidade],estoque[produto],preçodiario[[#Headers],[OVO VERMELHO B]],estoque[fornecedor],"&lt;&gt;saída",estoque[data],preçodiario[[#This Row],[data]])))))</f>
        <v/>
      </c>
      <c r="AK51" s="22">
        <f>IF(preçodiario[[#This Row],[entrada BV]]=0,AK50-(SUMIFS(estoque[quantidade],estoque[fornecedor],"saída",estoque[produto],preçodiario[[#Headers],[OVO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Row],[data]]))+AK50+preçodiario[[#This Row],[entrada BV]])</f>
        <v>0</v>
      </c>
      <c r="AL51" s="22">
        <f>SUMIFS(estoque[quantidade],estoque[fornecedor],"&lt;&gt;saída",estoque[produto],preçodiario[[#Headers],[OVO VERMELHO B]],estoque[data],preçodiario[[#This Row],[data]])</f>
        <v>0</v>
      </c>
      <c r="AM51" s="20">
        <f>SUMIFS(estoque[valor total],estoque[fornecedor],"&lt;&gt;saída",estoque[produto],preçodiario[[#Headers],[OVO VERMELHO B]],estoque[data],preçodiario[[#This Row],[data]])</f>
        <v>0</v>
      </c>
      <c r="AN51" s="20">
        <f>IFERROR(preçodiario[[#This Row],[OVO VERMELHO B]]*preçodiario[[#This Row],[estoque BV]],0)</f>
        <v>0</v>
      </c>
      <c r="AO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Row],[data]])),((AO50*AP50)+SUMIFS(estoque[valor total],estoque[produto],preçodiario[[#Headers],[OVO VERMELHO C]],estoque[data],preçodiario[[#This Row],[data]],estoque[fornecedor],"&lt;&gt;saída"))/(AP50+(SUMIFS(estoque[quantidade],estoque[produto],preçodiario[[#Headers],[OVO VERMELHO C]],estoque[fornecedor],"&lt;&gt;saída",estoque[data],preçodiario[[#This Row],[data]])))))</f>
        <v/>
      </c>
      <c r="AP51" s="22">
        <f>IF(preçodiario[[#This Row],[entrada CV]]=0,AP50-(SUMIFS(estoque[quantidade],estoque[fornecedor],"saída",estoque[produto],preçodiario[[#Headers],[OVO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Row],[data]]))+AP50+preçodiario[[#This Row],[entrada CV]])</f>
        <v>0</v>
      </c>
      <c r="AQ51" s="22">
        <f>SUMIFS(estoque[quantidade],estoque[fornecedor],"&lt;&gt;saída",estoque[produto],preçodiario[[#Headers],[OVO VERMELHO C]],estoque[data],preçodiario[[#This Row],[data]])</f>
        <v>0</v>
      </c>
      <c r="AR51" s="20">
        <f>SUMIFS(estoque[valor total],estoque[fornecedor],"&lt;&gt;saída",estoque[produto],preçodiario[[#Headers],[OVO VERMELHO C]],estoque[data],preçodiario[[#This Row],[data]])</f>
        <v>0</v>
      </c>
      <c r="AS51" s="20">
        <f>IFERROR(preçodiario[[#This Row],[OVO VERMELHO C]]*preçodiario[[#This Row],[estoque CV]],0)</f>
        <v>0</v>
      </c>
      <c r="AT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Row],[data]])),((AT50*AU50)+SUMIFS(estoque[valor total],estoque[produto],preçodiario[[#Headers],[OVO VERMELHO EXTRA]],estoque[data],preçodiario[[#This Row],[data]],estoque[fornecedor],"&lt;&gt;saída"))/(AU50+(SUMIFS(estoque[quantidade],estoque[produto],preçodiario[[#Headers],[OVO VERMELHO EXTRA]],estoque[fornecedor],"&lt;&gt;saída",estoque[data],preçodiario[[#This Row],[data]])))))</f>
        <v/>
      </c>
      <c r="AU51" s="22">
        <f>IF(preçodiario[[#This Row],[entrada EV]]=0,AU50-(SUMIFS(estoque[quantidade],estoque[fornecedor],"saída",estoque[produto],preçodiario[[#Headers],[OVO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Row],[data]]))+AU50+preçodiario[[#This Row],[entrada EV]])</f>
        <v>0</v>
      </c>
      <c r="AV51" s="22">
        <f>SUMIFS(estoque[quantidade],estoque[fornecedor],"&lt;&gt;saída",estoque[produto],preçodiario[[#Headers],[OVO VERMELHO EXTRA]],estoque[data],preçodiario[[#This Row],[data]])</f>
        <v>0</v>
      </c>
      <c r="AW51" s="20">
        <f>SUMIFS(estoque[valor total],estoque[fornecedor],"&lt;&gt;saída",estoque[produto],preçodiario[[#Headers],[OVO VERMELHO EXTRA]],estoque[data],preçodiario[[#This Row],[data]])</f>
        <v>0</v>
      </c>
      <c r="AX51" s="20">
        <f>IFERROR(preçodiario[[#This Row],[OVO VERMELHO EXTRA]]*preçodiario[[#This Row],[estoque EV]],0)</f>
        <v>0</v>
      </c>
      <c r="AY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Row],[data]])),((AY50*AZ50)+SUMIFS(estoque[valor total],estoque[produto],preçodiario[[#Headers],[OVO VERMELHO JUMBO]],estoque[data],preçodiario[[#This Row],[data]],estoque[fornecedor],"&lt;&gt;saída"))/(AZ50+(SUMIFS(estoque[quantidade],estoque[produto],preçodiario[[#Headers],[OVO VERMELHO JUMBO]],estoque[fornecedor],"&lt;&gt;saída",estoque[data],preçodiario[[#This Row],[data]])))))</f>
        <v/>
      </c>
      <c r="AZ51" s="22">
        <f>IF(preçodiario[[#This Row],[entrada JV]]=0,AZ50-(SUMIFS(estoque[quantidade],estoque[fornecedor],"saída",estoque[produto],preçodiario[[#Headers],[OVO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Row],[data]]))+AZ50+preçodiario[[#This Row],[entrada JV]])</f>
        <v>0</v>
      </c>
      <c r="BA51" s="22">
        <f>SUMIFS(estoque[quantidade],estoque[fornecedor],"&lt;&gt;saída",estoque[produto],preçodiario[[#Headers],[OVO VERMELHO JUMBO]],estoque[data],preçodiario[[#This Row],[data]])</f>
        <v>0</v>
      </c>
      <c r="BB51" s="20">
        <f>SUMIFS(estoque[valor total],estoque[fornecedor],"&lt;&gt;saída",estoque[produto],preçodiario[[#Headers],[OVO VERMELHO JUMBO]],estoque[data],preçodiario[[#This Row],[data]])</f>
        <v>0</v>
      </c>
      <c r="BC51" s="20">
        <f>IFERROR(preçodiario[[#This Row],[OVO VERMELHO JUMBO]]*preçodiario[[#This Row],[estoque JV]],0)</f>
        <v>0</v>
      </c>
      <c r="BD51" t="str">
        <f>TEXT(vendaAno[[#This Row],[data]],"mmm")</f>
        <v>fev</v>
      </c>
      <c r="BE51" t="str">
        <f>TEXT(vendaAno[[#This Row],[data]],"ddd")</f>
        <v>qui</v>
      </c>
      <c r="BF51" s="82">
        <f>WEEKNUM(vendaAno[[#This Row],[data]],13)</f>
        <v>8</v>
      </c>
      <c r="BG51" s="27">
        <f>preçodiario[[#This Row],[data]]</f>
        <v>46072</v>
      </c>
      <c r="BH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1" s="8">
        <f>IF(SUMIFS(estoque[valor total],estoque[fornecedor],"saída",estoque[data],vendaAno[[#This Row],[data]])=0,"",SUMIFS(estoque[valor total],estoque[fornecedor],"saída",estoque[data],vendaAno[[#This Row],[data]]))</f>
        <v>539</v>
      </c>
      <c r="BJ5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Row],[data]]))/12+BJ50,"")</f>
        <v>17.416666666666629</v>
      </c>
      <c r="BK51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51" s="8">
        <f ca="1">IF(vendaAno[[#This Row],[data]]&lt;=TODAY(),IF(SUMIFS(estoque[lucro],estoque[fornecedor],"saída",estoque[data],vendaAno[[#This Row],[data]])=0,AVERAGE(BL48:BL50),SUMIFS(estoque[lucro],estoque[fornecedor],"saída",estoque[data],vendaAno[[#This Row],[data]])),"")</f>
        <v>125.99</v>
      </c>
      <c r="BM51" s="10">
        <f ca="1">IFERROR(vendaAno[[#This Row],[lucro]]/vendaAno[[#This Row],[valor de venda]],"")</f>
        <v>0.23374768089053802</v>
      </c>
      <c r="BN5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2960.4930996491639</v>
      </c>
      <c r="BO51" s="8">
        <f ca="1">IF(TODAY()&gt;=vendaAno[[#This Row],[data]],IF(vendaAno[[#This Row],[N°]]=BF50,vendaAno[[#This Row],[lucro]]-173.33+BO50,vendaAno[[#This Row],[lucro]]-150),"")</f>
        <v>-15.67000000000003</v>
      </c>
      <c r="BP51" s="81">
        <f ca="1">IF(TODAY()&gt;=vendaAno[[#This Row],[data]],SUM(BK45:BK51)*12,"")</f>
        <v>214.00000000000003</v>
      </c>
      <c r="BQ51" s="7">
        <f ca="1">IFERROR(vendaAno[[#This Row],[lucro]]/(vendaAno[[#This Row],[venda]]*12),"")</f>
        <v>4.3444827586206891</v>
      </c>
      <c r="BT51" s="95">
        <f ca="1">WEEKNUM(PvPcML[[#This Row],[data]],13)</f>
        <v>24</v>
      </c>
      <c r="BU51" s="132">
        <f t="shared" ca="1" si="0"/>
        <v>46184</v>
      </c>
      <c r="BV51" s="7">
        <f ca="1">IFERROR(SUMIFS(vendaAno[valor de venda],vendaAno[data],PvPcML[[#This Row],[data]])/(SUMIFS(vendaAno[venda],vendaAno[data],PvPcML[[#This Row],[data]])*12),"")</f>
        <v>18.482758620689655</v>
      </c>
      <c r="BW51" s="8">
        <f ca="1">IFERROR(SUMIFS(vendaAno[valor de venda],vendaAno[data],PvPcML[[#This Row],[data]])/(SUMIFS(vendaAno[venda],vendaAno[data],PvPcML[[#This Row],[data]])*12)-PvPcML[[#This Row],[lucro médio]],"")</f>
        <v>15.629999999999999</v>
      </c>
      <c r="BX51" s="7">
        <f ca="1">IF(SUMIFS(vendaAno[[lucro médio ]],vendaAno[data],PvPcML[[#This Row],[data]])=0,"",SUMIFS(vendaAno[[lucro médio ]],vendaAno[data],PvPcML[[#This Row],[data]]))</f>
        <v>2.8527586206896549</v>
      </c>
      <c r="BY51" s="91">
        <v>50</v>
      </c>
      <c r="BZ51" s="89">
        <f t="shared" si="1"/>
        <v>46366</v>
      </c>
      <c r="CA51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1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1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1" s="82" t="str">
        <f ca="1">IFERROR(AVERAGEIFS(vendaAno[venda],vendaAno[data],"&gt;="&amp;semanal[[#This Row],[semana]],vendaAno[data],"&lt;="&amp;semanal[[#This Row],[semana]]+6),"")</f>
        <v/>
      </c>
      <c r="CE51" s="82" t="str">
        <f ca="1">IFERROR((150/semanal[[#This Row],[lucro médio por cartela]])/12,"")</f>
        <v/>
      </c>
    </row>
    <row r="52" spans="1:83" x14ac:dyDescent="0.25">
      <c r="A52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2" s="18" t="str">
        <f>TEXT(preçodiario[[#This Row],[data]],"MMM")</f>
        <v>fev</v>
      </c>
      <c r="C52" s="18" t="str">
        <f>TEXT(preçodiario[[#This Row],[data]],"ddd")</f>
        <v>sex</v>
      </c>
      <c r="D52" s="96">
        <f>WEEKNUM(preçodiario[[#This Row],[data]],13)</f>
        <v>8</v>
      </c>
      <c r="E52" s="37">
        <v>46073</v>
      </c>
      <c r="F52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Row],[data]])),((F51*G51)+SUMIFS(estoque[valor total],estoque[produto],preçodiario[[#Headers],[OVO BRANCO A]],estoque[data],preçodiario[[#This Row],[data]],estoque[fornecedor],"&lt;&gt;saída"))/(G51+(SUMIFS(estoque[quantidade],estoque[produto],preçodiario[[#Headers],[OVO BRANCO A]],estoque[fornecedor],"&lt;&gt;saída",estoque[data],preçodiario[[#This Row],[data]])))))</f>
        <v/>
      </c>
      <c r="G52" s="22">
        <f>IF(preçodiario[[#This Row],[entrada A]]=0,G51-(SUMIFS(estoque[quantidade],estoque[fornecedor],"saída",estoque[produto],preçodiario[[#Headers],[OVO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Row],[data]]))+G51+preçodiario[[#This Row],[entrada A]])</f>
        <v>0</v>
      </c>
      <c r="H52" s="22">
        <f>SUMIFS(estoque[quantidade],estoque[fornecedor],"&lt;&gt;saída",estoque[produto],preçodiario[[#Headers],[OVO BRANCO A]],estoque[data],preçodiario[[#This Row],[data]])</f>
        <v>0</v>
      </c>
      <c r="I52" s="20">
        <f>SUMIFS(estoque[valor total],estoque[fornecedor],"&lt;&gt;saída",estoque[produto],preçodiario[[#Headers],[OVO BRANCO A]],estoque[data],preçodiario[[#This Row],[data]])</f>
        <v>0</v>
      </c>
      <c r="J52" s="20">
        <f>IFERROR(preçodiario[[#This Row],[estoque A]]*preçodiario[[#This Row],[OVO BRANCO A]],0)</f>
        <v>0</v>
      </c>
      <c r="K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Row],[data]])),((K51*L51)+SUMIFS(estoque[valor total],estoque[produto],preçodiario[[#Headers],[OVO BRANCO B]],estoque[data],preçodiario[[#This Row],[data]],estoque[fornecedor],"&lt;&gt;saída"))/(L51+(SUMIFS(estoque[quantidade],estoque[produto],preçodiario[[#Headers],[OVO BRANCO B]],estoque[fornecedor],"&lt;&gt;saída",estoque[data],preçodiario[[#This Row],[data]])))))</f>
        <v>13.039622372528346</v>
      </c>
      <c r="L52" s="22">
        <f>IF(preçodiario[[#This Row],[entrada B]]=0,L51-(SUMIFS(estoque[quantidade],estoque[fornecedor],"saída",estoque[produto],preçodiario[[#Headers],[OVO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Row],[data]]))+L51+preçodiario[[#This Row],[entrada B]])</f>
        <v>77</v>
      </c>
      <c r="M52" s="22">
        <f>SUMIFS(estoque[quantidade],estoque[fornecedor],"&lt;&gt;saída",estoque[produto],preçodiario[[#Headers],[OVO BRANCO B]],estoque[data],preçodiario[[#This Row],[data]])</f>
        <v>0</v>
      </c>
      <c r="N52" s="20">
        <f>SUMIFS(estoque[valor total],estoque[fornecedor],"&lt;&gt;saída",estoque[produto],preçodiario[[#Headers],[OVO BRANCO B]],estoque[data],preçodiario[[#This Row],[data]])</f>
        <v>0</v>
      </c>
      <c r="O52" s="20">
        <f>IFERROR(preçodiario[[#This Row],[OVO BRANCO B]]*preçodiario[[#This Row],[estoque B]],0)</f>
        <v>1004.0509226846826</v>
      </c>
      <c r="P5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Row],[data]])),((P51*Q51)+SUMIFS(estoque[valor total],estoque[produto],preçodiario[[#Headers],[OVO BRANCO C]],estoque[data],preçodiario[[#This Row],[data]],estoque[fornecedor],"&lt;&gt;saída"))/(Q51+(SUMIFS(estoque[quantidade],estoque[produto],preçodiario[[#Headers],[OVO BRANCO C]],estoque[fornecedor],"&lt;&gt;saída",estoque[data],preçodiario[[#This Row],[data]])))))</f>
        <v/>
      </c>
      <c r="Q52" s="22">
        <f>IF(preçodiario[[#This Row],[entrada C]]=0,Q51-(SUMIFS(estoque[quantidade],estoque[fornecedor],"saída",estoque[produto],preçodiario[[#Headers],[OVO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Row],[data]]))+Q51+preçodiario[[#This Row],[entrada C]])</f>
        <v>0</v>
      </c>
      <c r="R52" s="22">
        <f>SUMIFS(estoque[quantidade],estoque[fornecedor],"&lt;&gt;saída",estoque[produto],preçodiario[[#Headers],[OVO BRANCO C]],estoque[data],preçodiario[[#This Row],[data]])</f>
        <v>0</v>
      </c>
      <c r="S52" s="20">
        <f>SUMIFS(estoque[valor total],estoque[fornecedor],"&lt;&gt;saída",estoque[produto],preçodiario[[#Headers],[OVO BRANCO C]],estoque[data],preçodiario[[#This Row],[data]])</f>
        <v>0</v>
      </c>
      <c r="T52" s="20">
        <f>IFERROR(preçodiario[[#This Row],[OVO BRANCO C]]*preçodiario[[#This Row],[estoque C]],0)</f>
        <v>0</v>
      </c>
      <c r="U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Row],[data]])),((U51*V51)+SUMIFS(estoque[valor total],estoque[produto],preçodiario[[#Headers],[OVO BRANCO EXTRA]],estoque[data],preçodiario[[#This Row],[data]],estoque[fornecedor],"&lt;&gt;saída"))/(V51+(SUMIFS(estoque[quantidade],estoque[produto],preçodiario[[#Headers],[OVO BRANCO EXTRA]],estoque[fornecedor],"&lt;&gt;saída",estoque[data],preçodiario[[#This Row],[data]])))))</f>
        <v>14.859806712139465</v>
      </c>
      <c r="V52" s="22">
        <f>IF(preçodiario[[#This Row],[entrada E]]=0,V51-(SUMIFS(estoque[quantidade],estoque[fornecedor],"saída",estoque[produto],preçodiario[[#Headers],[OVO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Row],[data]]))+V51+preçodiario[[#This Row],[entrada E]])</f>
        <v>61</v>
      </c>
      <c r="W52" s="22">
        <f>SUMIFS(estoque[quantidade],estoque[fornecedor],"&lt;&gt;saída",estoque[produto],preçodiario[[#Headers],[OVO BRANCO EXTRA]],estoque[data],preçodiario[[#This Row],[data]])</f>
        <v>0</v>
      </c>
      <c r="X52" s="20">
        <f>SUMIFS(estoque[valor total],estoque[fornecedor],"&lt;&gt;saída",estoque[produto],preçodiario[[#Headers],[OVO BRANCO EXTRA]],estoque[data],preçodiario[[#This Row],[data]])</f>
        <v>0</v>
      </c>
      <c r="Y52" s="20">
        <f>IFERROR(preçodiario[[#This Row],[estoque E]]*preçodiario[[#This Row],[OVO BRANCO EXTRA]],0)</f>
        <v>906.4482094405073</v>
      </c>
      <c r="Z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Row],[data]])),((Z51*AA51)+SUMIFS(estoque[valor total],estoque[produto],preçodiario[[#Headers],[OVO BRANCO JUMBO]],estoque[data],preçodiario[[#This Row],[data]],estoque[fornecedor],"&lt;&gt;saída"))/(AA51+(SUMIFS(estoque[quantidade],estoque[produto],preçodiario[[#Headers],[OVO BRANCO JUMBO]],estoque[fornecedor],"&lt;&gt;saída",estoque[data],preçodiario[[#This Row],[data]])))))</f>
        <v>15.521739130434785</v>
      </c>
      <c r="AA52" s="22">
        <f>IF(preçodiario[[#This Row],[entrada J]]=0,AA51-(SUMIFS(estoque[quantidade],estoque[fornecedor],"saída",estoque[produto],preçodiario[[#Headers],[OVO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Row],[data]]))+AA51+preçodiario[[#This Row],[entrada J]])</f>
        <v>27</v>
      </c>
      <c r="AB52" s="22">
        <f>SUMIFS(estoque[quantidade],estoque[fornecedor],"&lt;&gt;saída",estoque[produto],preçodiario[[#Headers],[OVO BRANCO JUMBO]],estoque[data],preçodiario[[#This Row],[data]])</f>
        <v>0</v>
      </c>
      <c r="AC52" s="20">
        <f>SUMIFS(estoque[valor total],estoque[fornecedor],"&lt;&gt;saída",estoque[produto],preçodiario[[#Headers],[OVO BRANCO JUMBO]],estoque[data],preçodiario[[#This Row],[data]])</f>
        <v>0</v>
      </c>
      <c r="AD52" s="20">
        <f>IFERROR(preçodiario[[#This Row],[OVO BRANCO JUMBO]]*preçodiario[[#This Row],[estoque J]],0)</f>
        <v>419.08695652173918</v>
      </c>
      <c r="AE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Row],[data]])),((AE51*AF51)+SUMIFS(estoque[valor total],estoque[produto],preçodiario[[#Headers],[OVO VERMELHO A]],estoque[data],preçodiario[[#This Row],[data]],estoque[fornecedor],"&lt;&gt;saída"))/(AF51+(SUMIFS(estoque[quantidade],estoque[produto],preçodiario[[#Headers],[OVO VERMELHO A]],estoque[fornecedor],"&lt;&gt;saída",estoque[data],preçodiario[[#This Row],[data]])))))</f>
        <v/>
      </c>
      <c r="AF52" s="22">
        <f>IF(preçodiario[[#This Row],[entrada AV]]=0,AF51-(SUMIFS(estoque[quantidade],estoque[fornecedor],"saída",estoque[produto],preçodiario[[#Headers],[OVO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Row],[data]]))+AF51+preçodiario[[#This Row],[entrada AV]])</f>
        <v>0</v>
      </c>
      <c r="AG52" s="22">
        <f>SUMIFS(estoque[quantidade],estoque[fornecedor],"&lt;&gt;saída",estoque[produto],preçodiario[[#Headers],[OVO VERMELHO A]],estoque[data],preçodiario[[#This Row],[data]])</f>
        <v>0</v>
      </c>
      <c r="AH52" s="20">
        <f>SUMIFS(estoque[valor total],estoque[fornecedor],"&lt;&gt;saída",estoque[produto],preçodiario[[#Headers],[OVO VERMELHO A]],estoque[data],preçodiario[[#This Row],[data]])</f>
        <v>0</v>
      </c>
      <c r="AI52" s="20">
        <f>IFERROR(preçodiario[[#This Row],[OVO VERMELHO A]]*preçodiario[[#This Row],[estoque AV]],0)</f>
        <v>0</v>
      </c>
      <c r="AJ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Row],[data]])),((AJ51*AK51)+SUMIFS(estoque[valor total],estoque[produto],preçodiario[[#Headers],[OVO VERMELHO B]],estoque[data],preçodiario[[#This Row],[data]],estoque[fornecedor],"&lt;&gt;saída"))/(AK51+(SUMIFS(estoque[quantidade],estoque[produto],preçodiario[[#Headers],[OVO VERMELHO B]],estoque[fornecedor],"&lt;&gt;saída",estoque[data],preçodiario[[#This Row],[data]])))))</f>
        <v/>
      </c>
      <c r="AK52" s="22">
        <f>IF(preçodiario[[#This Row],[entrada BV]]=0,AK51-(SUMIFS(estoque[quantidade],estoque[fornecedor],"saída",estoque[produto],preçodiario[[#Headers],[OVO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Row],[data]]))+AK51+preçodiario[[#This Row],[entrada BV]])</f>
        <v>0</v>
      </c>
      <c r="AL52" s="22">
        <f>SUMIFS(estoque[quantidade],estoque[fornecedor],"&lt;&gt;saída",estoque[produto],preçodiario[[#Headers],[OVO VERMELHO B]],estoque[data],preçodiario[[#This Row],[data]])</f>
        <v>0</v>
      </c>
      <c r="AM52" s="20">
        <f>SUMIFS(estoque[valor total],estoque[fornecedor],"&lt;&gt;saída",estoque[produto],preçodiario[[#Headers],[OVO VERMELHO B]],estoque[data],preçodiario[[#This Row],[data]])</f>
        <v>0</v>
      </c>
      <c r="AN52" s="20">
        <f>IFERROR(preçodiario[[#This Row],[OVO VERMELHO B]]*preçodiario[[#This Row],[estoque BV]],0)</f>
        <v>0</v>
      </c>
      <c r="AO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Row],[data]])),((AO51*AP51)+SUMIFS(estoque[valor total],estoque[produto],preçodiario[[#Headers],[OVO VERMELHO C]],estoque[data],preçodiario[[#This Row],[data]],estoque[fornecedor],"&lt;&gt;saída"))/(AP51+(SUMIFS(estoque[quantidade],estoque[produto],preçodiario[[#Headers],[OVO VERMELHO C]],estoque[fornecedor],"&lt;&gt;saída",estoque[data],preçodiario[[#This Row],[data]])))))</f>
        <v/>
      </c>
      <c r="AP52" s="22">
        <f>IF(preçodiario[[#This Row],[entrada CV]]=0,AP51-(SUMIFS(estoque[quantidade],estoque[fornecedor],"saída",estoque[produto],preçodiario[[#Headers],[OVO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Row],[data]]))+AP51+preçodiario[[#This Row],[entrada CV]])</f>
        <v>0</v>
      </c>
      <c r="AQ52" s="22">
        <f>SUMIFS(estoque[quantidade],estoque[fornecedor],"&lt;&gt;saída",estoque[produto],preçodiario[[#Headers],[OVO VERMELHO C]],estoque[data],preçodiario[[#This Row],[data]])</f>
        <v>0</v>
      </c>
      <c r="AR52" s="20">
        <f>SUMIFS(estoque[valor total],estoque[fornecedor],"&lt;&gt;saída",estoque[produto],preçodiario[[#Headers],[OVO VERMELHO C]],estoque[data],preçodiario[[#This Row],[data]])</f>
        <v>0</v>
      </c>
      <c r="AS52" s="20">
        <f>IFERROR(preçodiario[[#This Row],[OVO VERMELHO C]]*preçodiario[[#This Row],[estoque CV]],0)</f>
        <v>0</v>
      </c>
      <c r="AT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Row],[data]])),((AT51*AU51)+SUMIFS(estoque[valor total],estoque[produto],preçodiario[[#Headers],[OVO VERMELHO EXTRA]],estoque[data],preçodiario[[#This Row],[data]],estoque[fornecedor],"&lt;&gt;saída"))/(AU51+(SUMIFS(estoque[quantidade],estoque[produto],preçodiario[[#Headers],[OVO VERMELHO EXTRA]],estoque[fornecedor],"&lt;&gt;saída",estoque[data],preçodiario[[#This Row],[data]])))))</f>
        <v/>
      </c>
      <c r="AU52" s="22">
        <f>IF(preçodiario[[#This Row],[entrada EV]]=0,AU51-(SUMIFS(estoque[quantidade],estoque[fornecedor],"saída",estoque[produto],preçodiario[[#Headers],[OVO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Row],[data]]))+AU51+preçodiario[[#This Row],[entrada EV]])</f>
        <v>0</v>
      </c>
      <c r="AV52" s="22">
        <f>SUMIFS(estoque[quantidade],estoque[fornecedor],"&lt;&gt;saída",estoque[produto],preçodiario[[#Headers],[OVO VERMELHO EXTRA]],estoque[data],preçodiario[[#This Row],[data]])</f>
        <v>0</v>
      </c>
      <c r="AW52" s="20">
        <f>SUMIFS(estoque[valor total],estoque[fornecedor],"&lt;&gt;saída",estoque[produto],preçodiario[[#Headers],[OVO VERMELHO EXTRA]],estoque[data],preçodiario[[#This Row],[data]])</f>
        <v>0</v>
      </c>
      <c r="AX52" s="20">
        <f>IFERROR(preçodiario[[#This Row],[OVO VERMELHO EXTRA]]*preçodiario[[#This Row],[estoque EV]],0)</f>
        <v>0</v>
      </c>
      <c r="AY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Row],[data]])),((AY51*AZ51)+SUMIFS(estoque[valor total],estoque[produto],preçodiario[[#Headers],[OVO VERMELHO JUMBO]],estoque[data],preçodiario[[#This Row],[data]],estoque[fornecedor],"&lt;&gt;saída"))/(AZ51+(SUMIFS(estoque[quantidade],estoque[produto],preçodiario[[#Headers],[OVO VERMELHO JUMBO]],estoque[fornecedor],"&lt;&gt;saída",estoque[data],preçodiario[[#This Row],[data]])))))</f>
        <v/>
      </c>
      <c r="AZ52" s="22">
        <f>IF(preçodiario[[#This Row],[entrada JV]]=0,AZ51-(SUMIFS(estoque[quantidade],estoque[fornecedor],"saída",estoque[produto],preçodiario[[#Headers],[OVO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Row],[data]]))+AZ51+preçodiario[[#This Row],[entrada JV]])</f>
        <v>0</v>
      </c>
      <c r="BA52" s="22">
        <f>SUMIFS(estoque[quantidade],estoque[fornecedor],"&lt;&gt;saída",estoque[produto],preçodiario[[#Headers],[OVO VERMELHO JUMBO]],estoque[data],preçodiario[[#This Row],[data]])</f>
        <v>0</v>
      </c>
      <c r="BB52" s="20">
        <f>SUMIFS(estoque[valor total],estoque[fornecedor],"&lt;&gt;saída",estoque[produto],preçodiario[[#Headers],[OVO VERMELHO JUMBO]],estoque[data],preçodiario[[#This Row],[data]])</f>
        <v>0</v>
      </c>
      <c r="BC52" s="20">
        <f>IFERROR(preçodiario[[#This Row],[OVO VERMELHO JUMBO]]*preçodiario[[#This Row],[estoque JV]],0)</f>
        <v>0</v>
      </c>
      <c r="BD52" t="str">
        <f>TEXT(vendaAno[[#This Row],[data]],"mmm")</f>
        <v>fev</v>
      </c>
      <c r="BE52" t="str">
        <f>TEXT(vendaAno[[#This Row],[data]],"ddd")</f>
        <v>sex</v>
      </c>
      <c r="BF52" s="82">
        <f>WEEKNUM(vendaAno[[#This Row],[data]],13)</f>
        <v>8</v>
      </c>
      <c r="BG52" s="27">
        <f>preçodiario[[#This Row],[data]]</f>
        <v>46073</v>
      </c>
      <c r="BH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2" s="8">
        <f>IF(SUMIFS(estoque[valor total],estoque[fornecedor],"saída",estoque[data],vendaAno[[#This Row],[data]])=0,"",SUMIFS(estoque[valor total],estoque[fornecedor],"saída",estoque[data],vendaAno[[#This Row],[data]]))</f>
        <v>811</v>
      </c>
      <c r="BJ5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Row],[data]]))/12+BJ51,"")</f>
        <v>13.749999999999963</v>
      </c>
      <c r="BK52" s="79">
        <f>IF(SUMIFS(estoque[quantidade],estoque[fornecedor],"saída",estoque[data],vendaAno[[#This Row],[data]])/12=0,"",SUMIFS(estoque[quantidade],estoque[fornecedor],"saída",estoque[data],vendaAno[[#This Row],[data]])/12)</f>
        <v>3.6666666666666665</v>
      </c>
      <c r="BL52" s="8">
        <f ca="1">IF(vendaAno[[#This Row],[data]]&lt;=TODAY(),IF(SUMIFS(estoque[lucro],estoque[fornecedor],"saída",estoque[data],vendaAno[[#This Row],[data]])=0,AVERAGE(BL49:BL51),SUMIFS(estoque[lucro],estoque[fornecedor],"saída",estoque[data],vendaAno[[#This Row],[data]])),"")</f>
        <v>180.08</v>
      </c>
      <c r="BM52" s="10">
        <f ca="1">IFERROR(vendaAno[[#This Row],[lucro]]/vendaAno[[#This Row],[valor de venda]],"")</f>
        <v>0.22204685573366217</v>
      </c>
      <c r="BN5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2329.5860886469291</v>
      </c>
      <c r="BO52" s="8">
        <f ca="1">IF(TODAY()&gt;=vendaAno[[#This Row],[data]],IF(vendaAno[[#This Row],[N°]]=BF51,vendaAno[[#This Row],[lucro]]-173.33+BO51,vendaAno[[#This Row],[lucro]]-150),"")</f>
        <v>-8.9200000000000301</v>
      </c>
      <c r="BP52" s="81">
        <f ca="1">IF(TODAY()&gt;=vendaAno[[#This Row],[data]],SUM(BK46:BK52)*12,"")</f>
        <v>226.99999999999997</v>
      </c>
      <c r="BQ52" s="7">
        <f ca="1">IFERROR(vendaAno[[#This Row],[lucro]]/(vendaAno[[#This Row],[venda]]*12),"")</f>
        <v>4.0927272727272728</v>
      </c>
      <c r="BT52" s="95">
        <f ca="1">WEEKNUM(PvPcML[[#This Row],[data]],13)</f>
        <v>24</v>
      </c>
      <c r="BU52" s="132">
        <f t="shared" ca="1" si="0"/>
        <v>46183</v>
      </c>
      <c r="BV52" s="7">
        <f ca="1">IFERROR(SUMIFS(vendaAno[valor de venda],vendaAno[data],PvPcML[[#This Row],[data]])/(SUMIFS(vendaAno[venda],vendaAno[data],PvPcML[[#This Row],[data]])*12),"")</f>
        <v>18.166666666666668</v>
      </c>
      <c r="BW52" s="8">
        <f ca="1">IFERROR(SUMIFS(vendaAno[valor de venda],vendaAno[data],PvPcML[[#This Row],[data]])/(SUMIFS(vendaAno[venda],vendaAno[data],PvPcML[[#This Row],[data]])*12)-PvPcML[[#This Row],[lucro médio]],"")</f>
        <v>15.557916666666667</v>
      </c>
      <c r="BX52" s="7">
        <f ca="1">IF(SUMIFS(vendaAno[[lucro médio ]],vendaAno[data],PvPcML[[#This Row],[data]])=0,"",SUMIFS(vendaAno[[lucro médio ]],vendaAno[data],PvPcML[[#This Row],[data]]))</f>
        <v>2.6087500000000001</v>
      </c>
      <c r="BY52" s="90">
        <v>51</v>
      </c>
      <c r="BZ52" s="89">
        <f t="shared" si="1"/>
        <v>46373</v>
      </c>
      <c r="CA52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2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2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2" s="82" t="str">
        <f ca="1">IFERROR(AVERAGEIFS(vendaAno[venda],vendaAno[data],"&gt;="&amp;semanal[[#This Row],[semana]],vendaAno[data],"&lt;="&amp;semanal[[#This Row],[semana]]+6),"")</f>
        <v/>
      </c>
      <c r="CE52" s="82" t="str">
        <f ca="1">IFERROR((150/semanal[[#This Row],[lucro médio por cartela]])/12,"")</f>
        <v/>
      </c>
    </row>
    <row r="53" spans="1:83" x14ac:dyDescent="0.25">
      <c r="A53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3" s="18" t="str">
        <f>TEXT(preçodiario[[#This Row],[data]],"MMM")</f>
        <v>fev</v>
      </c>
      <c r="C53" s="18" t="str">
        <f>TEXT(preçodiario[[#This Row],[data]],"ddd")</f>
        <v>sáb</v>
      </c>
      <c r="D53" s="96">
        <f>WEEKNUM(preçodiario[[#This Row],[data]],13)</f>
        <v>8</v>
      </c>
      <c r="E53" s="37">
        <v>46074</v>
      </c>
      <c r="F53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Row],[data]])),((F52*G52)+SUMIFS(estoque[valor total],estoque[produto],preçodiario[[#Headers],[OVO BRANCO A]],estoque[data],preçodiario[[#This Row],[data]],estoque[fornecedor],"&lt;&gt;saída"))/(G52+(SUMIFS(estoque[quantidade],estoque[produto],preçodiario[[#Headers],[OVO BRANCO A]],estoque[fornecedor],"&lt;&gt;saída",estoque[data],preçodiario[[#This Row],[data]])))))</f>
        <v/>
      </c>
      <c r="G53" s="22">
        <f>IF(preçodiario[[#This Row],[entrada A]]=0,G52-(SUMIFS(estoque[quantidade],estoque[fornecedor],"saída",estoque[produto],preçodiario[[#Headers],[OVO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Row],[data]]))+G52+preçodiario[[#This Row],[entrada A]])</f>
        <v>0</v>
      </c>
      <c r="H53" s="22">
        <f>SUMIFS(estoque[quantidade],estoque[fornecedor],"&lt;&gt;saída",estoque[produto],preçodiario[[#Headers],[OVO BRANCO A]],estoque[data],preçodiario[[#This Row],[data]])</f>
        <v>0</v>
      </c>
      <c r="I53" s="20">
        <f>SUMIFS(estoque[valor total],estoque[fornecedor],"&lt;&gt;saída",estoque[produto],preçodiario[[#Headers],[OVO BRANCO A]],estoque[data],preçodiario[[#This Row],[data]])</f>
        <v>0</v>
      </c>
      <c r="J53" s="20">
        <f>IFERROR(preçodiario[[#This Row],[estoque A]]*preçodiario[[#This Row],[OVO BRANCO A]],0)</f>
        <v>0</v>
      </c>
      <c r="K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Row],[data]])),((K52*L52)+SUMIFS(estoque[valor total],estoque[produto],preçodiario[[#Headers],[OVO BRANCO B]],estoque[data],preçodiario[[#This Row],[data]],estoque[fornecedor],"&lt;&gt;saída"))/(L52+(SUMIFS(estoque[quantidade],estoque[produto],preçodiario[[#Headers],[OVO BRANCO B]],estoque[fornecedor],"&lt;&gt;saída",estoque[data],preçodiario[[#This Row],[data]])))))</f>
        <v>13.039622372528346</v>
      </c>
      <c r="L53" s="22">
        <f>IF(preçodiario[[#This Row],[entrada B]]=0,L52-(SUMIFS(estoque[quantidade],estoque[fornecedor],"saída",estoque[produto],preçodiario[[#Headers],[OVO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Row],[data]]))+L52+preçodiario[[#This Row],[entrada B]])</f>
        <v>72</v>
      </c>
      <c r="M53" s="22">
        <f>SUMIFS(estoque[quantidade],estoque[fornecedor],"&lt;&gt;saída",estoque[produto],preçodiario[[#Headers],[OVO BRANCO B]],estoque[data],preçodiario[[#This Row],[data]])</f>
        <v>0</v>
      </c>
      <c r="N53" s="20">
        <f>SUMIFS(estoque[valor total],estoque[fornecedor],"&lt;&gt;saída",estoque[produto],preçodiario[[#Headers],[OVO BRANCO B]],estoque[data],preçodiario[[#This Row],[data]])</f>
        <v>0</v>
      </c>
      <c r="O53" s="20">
        <f>IFERROR(preçodiario[[#This Row],[OVO BRANCO B]]*preçodiario[[#This Row],[estoque B]],0)</f>
        <v>938.85281082204085</v>
      </c>
      <c r="P5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Row],[data]])),((P52*Q52)+SUMIFS(estoque[valor total],estoque[produto],preçodiario[[#Headers],[OVO BRANCO C]],estoque[data],preçodiario[[#This Row],[data]],estoque[fornecedor],"&lt;&gt;saída"))/(Q52+(SUMIFS(estoque[quantidade],estoque[produto],preçodiario[[#Headers],[OVO BRANCO C]],estoque[fornecedor],"&lt;&gt;saída",estoque[data],preçodiario[[#This Row],[data]])))))</f>
        <v/>
      </c>
      <c r="Q53" s="22">
        <f>IF(preçodiario[[#This Row],[entrada C]]=0,Q52-(SUMIFS(estoque[quantidade],estoque[fornecedor],"saída",estoque[produto],preçodiario[[#Headers],[OVO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Row],[data]]))+Q52+preçodiario[[#This Row],[entrada C]])</f>
        <v>0</v>
      </c>
      <c r="R53" s="22">
        <f>SUMIFS(estoque[quantidade],estoque[fornecedor],"&lt;&gt;saída",estoque[produto],preçodiario[[#Headers],[OVO BRANCO C]],estoque[data],preçodiario[[#This Row],[data]])</f>
        <v>0</v>
      </c>
      <c r="S53" s="20">
        <f>SUMIFS(estoque[valor total],estoque[fornecedor],"&lt;&gt;saída",estoque[produto],preçodiario[[#Headers],[OVO BRANCO C]],estoque[data],preçodiario[[#This Row],[data]])</f>
        <v>0</v>
      </c>
      <c r="T53" s="20">
        <f>IFERROR(preçodiario[[#This Row],[OVO BRANCO C]]*preçodiario[[#This Row],[estoque C]],0)</f>
        <v>0</v>
      </c>
      <c r="U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Row],[data]])),((U52*V52)+SUMIFS(estoque[valor total],estoque[produto],preçodiario[[#Headers],[OVO BRANCO EXTRA]],estoque[data],preçodiario[[#This Row],[data]],estoque[fornecedor],"&lt;&gt;saída"))/(V52+(SUMIFS(estoque[quantidade],estoque[produto],preçodiario[[#Headers],[OVO BRANCO EXTRA]],estoque[fornecedor],"&lt;&gt;saída",estoque[data],preçodiario[[#This Row],[data]])))))</f>
        <v>14.859806712139465</v>
      </c>
      <c r="V53" s="22">
        <f>IF(preçodiario[[#This Row],[entrada E]]=0,V52-(SUMIFS(estoque[quantidade],estoque[fornecedor],"saída",estoque[produto],preçodiario[[#Headers],[OVO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Row],[data]]))+V52+preçodiario[[#This Row],[entrada E]])</f>
        <v>57</v>
      </c>
      <c r="W53" s="22">
        <f>SUMIFS(estoque[quantidade],estoque[fornecedor],"&lt;&gt;saída",estoque[produto],preçodiario[[#Headers],[OVO BRANCO EXTRA]],estoque[data],preçodiario[[#This Row],[data]])</f>
        <v>0</v>
      </c>
      <c r="X53" s="20">
        <f>SUMIFS(estoque[valor total],estoque[fornecedor],"&lt;&gt;saída",estoque[produto],preçodiario[[#Headers],[OVO BRANCO EXTRA]],estoque[data],preçodiario[[#This Row],[data]])</f>
        <v>0</v>
      </c>
      <c r="Y53" s="20">
        <f>IFERROR(preçodiario[[#This Row],[estoque E]]*preçodiario[[#This Row],[OVO BRANCO EXTRA]],0)</f>
        <v>847.00898259194946</v>
      </c>
      <c r="Z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Row],[data]])),((Z52*AA52)+SUMIFS(estoque[valor total],estoque[produto],preçodiario[[#Headers],[OVO BRANCO JUMBO]],estoque[data],preçodiario[[#This Row],[data]],estoque[fornecedor],"&lt;&gt;saída"))/(AA52+(SUMIFS(estoque[quantidade],estoque[produto],preçodiario[[#Headers],[OVO BRANCO JUMBO]],estoque[fornecedor],"&lt;&gt;saída",estoque[data],preçodiario[[#This Row],[data]])))))</f>
        <v>15.521739130434785</v>
      </c>
      <c r="AA53" s="22">
        <f>IF(preçodiario[[#This Row],[entrada J]]=0,AA52-(SUMIFS(estoque[quantidade],estoque[fornecedor],"saída",estoque[produto],preçodiario[[#Headers],[OVO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Row],[data]]))+AA52+preçodiario[[#This Row],[entrada J]])</f>
        <v>22</v>
      </c>
      <c r="AB53" s="22">
        <f>SUMIFS(estoque[quantidade],estoque[fornecedor],"&lt;&gt;saída",estoque[produto],preçodiario[[#Headers],[OVO BRANCO JUMBO]],estoque[data],preçodiario[[#This Row],[data]])</f>
        <v>0</v>
      </c>
      <c r="AC53" s="20">
        <f>SUMIFS(estoque[valor total],estoque[fornecedor],"&lt;&gt;saída",estoque[produto],preçodiario[[#Headers],[OVO BRANCO JUMBO]],estoque[data],preçodiario[[#This Row],[data]])</f>
        <v>0</v>
      </c>
      <c r="AD53" s="20">
        <f>IFERROR(preçodiario[[#This Row],[OVO BRANCO JUMBO]]*preçodiario[[#This Row],[estoque J]],0)</f>
        <v>341.47826086956525</v>
      </c>
      <c r="AE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Row],[data]])),((AE52*AF52)+SUMIFS(estoque[valor total],estoque[produto],preçodiario[[#Headers],[OVO VERMELHO A]],estoque[data],preçodiario[[#This Row],[data]],estoque[fornecedor],"&lt;&gt;saída"))/(AF52+(SUMIFS(estoque[quantidade],estoque[produto],preçodiario[[#Headers],[OVO VERMELHO A]],estoque[fornecedor],"&lt;&gt;saída",estoque[data],preçodiario[[#This Row],[data]])))))</f>
        <v/>
      </c>
      <c r="AF53" s="22">
        <f>IF(preçodiario[[#This Row],[entrada AV]]=0,AF52-(SUMIFS(estoque[quantidade],estoque[fornecedor],"saída",estoque[produto],preçodiario[[#Headers],[OVO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Row],[data]]))+AF52+preçodiario[[#This Row],[entrada AV]])</f>
        <v>0</v>
      </c>
      <c r="AG53" s="22">
        <f>SUMIFS(estoque[quantidade],estoque[fornecedor],"&lt;&gt;saída",estoque[produto],preçodiario[[#Headers],[OVO VERMELHO A]],estoque[data],preçodiario[[#This Row],[data]])</f>
        <v>0</v>
      </c>
      <c r="AH53" s="20">
        <f>SUMIFS(estoque[valor total],estoque[fornecedor],"&lt;&gt;saída",estoque[produto],preçodiario[[#Headers],[OVO VERMELHO A]],estoque[data],preçodiario[[#This Row],[data]])</f>
        <v>0</v>
      </c>
      <c r="AI53" s="20">
        <f>IFERROR(preçodiario[[#This Row],[OVO VERMELHO A]]*preçodiario[[#This Row],[estoque AV]],0)</f>
        <v>0</v>
      </c>
      <c r="AJ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Row],[data]])),((AJ52*AK52)+SUMIFS(estoque[valor total],estoque[produto],preçodiario[[#Headers],[OVO VERMELHO B]],estoque[data],preçodiario[[#This Row],[data]],estoque[fornecedor],"&lt;&gt;saída"))/(AK52+(SUMIFS(estoque[quantidade],estoque[produto],preçodiario[[#Headers],[OVO VERMELHO B]],estoque[fornecedor],"&lt;&gt;saída",estoque[data],preçodiario[[#This Row],[data]])))))</f>
        <v/>
      </c>
      <c r="AK53" s="22">
        <f>IF(preçodiario[[#This Row],[entrada BV]]=0,AK52-(SUMIFS(estoque[quantidade],estoque[fornecedor],"saída",estoque[produto],preçodiario[[#Headers],[OVO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Row],[data]]))+AK52+preçodiario[[#This Row],[entrada BV]])</f>
        <v>0</v>
      </c>
      <c r="AL53" s="22">
        <f>SUMIFS(estoque[quantidade],estoque[fornecedor],"&lt;&gt;saída",estoque[produto],preçodiario[[#Headers],[OVO VERMELHO B]],estoque[data],preçodiario[[#This Row],[data]])</f>
        <v>0</v>
      </c>
      <c r="AM53" s="20">
        <f>SUMIFS(estoque[valor total],estoque[fornecedor],"&lt;&gt;saída",estoque[produto],preçodiario[[#Headers],[OVO VERMELHO B]],estoque[data],preçodiario[[#This Row],[data]])</f>
        <v>0</v>
      </c>
      <c r="AN53" s="20">
        <f>IFERROR(preçodiario[[#This Row],[OVO VERMELHO B]]*preçodiario[[#This Row],[estoque BV]],0)</f>
        <v>0</v>
      </c>
      <c r="AO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Row],[data]])),((AO52*AP52)+SUMIFS(estoque[valor total],estoque[produto],preçodiario[[#Headers],[OVO VERMELHO C]],estoque[data],preçodiario[[#This Row],[data]],estoque[fornecedor],"&lt;&gt;saída"))/(AP52+(SUMIFS(estoque[quantidade],estoque[produto],preçodiario[[#Headers],[OVO VERMELHO C]],estoque[fornecedor],"&lt;&gt;saída",estoque[data],preçodiario[[#This Row],[data]])))))</f>
        <v/>
      </c>
      <c r="AP53" s="22">
        <f>IF(preçodiario[[#This Row],[entrada CV]]=0,AP52-(SUMIFS(estoque[quantidade],estoque[fornecedor],"saída",estoque[produto],preçodiario[[#Headers],[OVO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Row],[data]]))+AP52+preçodiario[[#This Row],[entrada CV]])</f>
        <v>0</v>
      </c>
      <c r="AQ53" s="22">
        <f>SUMIFS(estoque[quantidade],estoque[fornecedor],"&lt;&gt;saída",estoque[produto],preçodiario[[#Headers],[OVO VERMELHO C]],estoque[data],preçodiario[[#This Row],[data]])</f>
        <v>0</v>
      </c>
      <c r="AR53" s="20">
        <f>SUMIFS(estoque[valor total],estoque[fornecedor],"&lt;&gt;saída",estoque[produto],preçodiario[[#Headers],[OVO VERMELHO C]],estoque[data],preçodiario[[#This Row],[data]])</f>
        <v>0</v>
      </c>
      <c r="AS53" s="20">
        <f>IFERROR(preçodiario[[#This Row],[OVO VERMELHO C]]*preçodiario[[#This Row],[estoque CV]],0)</f>
        <v>0</v>
      </c>
      <c r="AT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Row],[data]])),((AT52*AU52)+SUMIFS(estoque[valor total],estoque[produto],preçodiario[[#Headers],[OVO VERMELHO EXTRA]],estoque[data],preçodiario[[#This Row],[data]],estoque[fornecedor],"&lt;&gt;saída"))/(AU52+(SUMIFS(estoque[quantidade],estoque[produto],preçodiario[[#Headers],[OVO VERMELHO EXTRA]],estoque[fornecedor],"&lt;&gt;saída",estoque[data],preçodiario[[#This Row],[data]])))))</f>
        <v/>
      </c>
      <c r="AU53" s="22">
        <f>IF(preçodiario[[#This Row],[entrada EV]]=0,AU52-(SUMIFS(estoque[quantidade],estoque[fornecedor],"saída",estoque[produto],preçodiario[[#Headers],[OVO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Row],[data]]))+AU52+preçodiario[[#This Row],[entrada EV]])</f>
        <v>0</v>
      </c>
      <c r="AV53" s="22">
        <f>SUMIFS(estoque[quantidade],estoque[fornecedor],"&lt;&gt;saída",estoque[produto],preçodiario[[#Headers],[OVO VERMELHO EXTRA]],estoque[data],preçodiario[[#This Row],[data]])</f>
        <v>0</v>
      </c>
      <c r="AW53" s="20">
        <f>SUMIFS(estoque[valor total],estoque[fornecedor],"&lt;&gt;saída",estoque[produto],preçodiario[[#Headers],[OVO VERMELHO EXTRA]],estoque[data],preçodiario[[#This Row],[data]])</f>
        <v>0</v>
      </c>
      <c r="AX53" s="20">
        <f>IFERROR(preçodiario[[#This Row],[OVO VERMELHO EXTRA]]*preçodiario[[#This Row],[estoque EV]],0)</f>
        <v>0</v>
      </c>
      <c r="AY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Row],[data]])),((AY52*AZ52)+SUMIFS(estoque[valor total],estoque[produto],preçodiario[[#Headers],[OVO VERMELHO JUMBO]],estoque[data],preçodiario[[#This Row],[data]],estoque[fornecedor],"&lt;&gt;saída"))/(AZ52+(SUMIFS(estoque[quantidade],estoque[produto],preçodiario[[#Headers],[OVO VERMELHO JUMBO]],estoque[fornecedor],"&lt;&gt;saída",estoque[data],preçodiario[[#This Row],[data]])))))</f>
        <v/>
      </c>
      <c r="AZ53" s="22">
        <f>IF(preçodiario[[#This Row],[entrada JV]]=0,AZ52-(SUMIFS(estoque[quantidade],estoque[fornecedor],"saída",estoque[produto],preçodiario[[#Headers],[OVO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Row],[data]]))+AZ52+preçodiario[[#This Row],[entrada JV]])</f>
        <v>0</v>
      </c>
      <c r="BA53" s="22">
        <f>SUMIFS(estoque[quantidade],estoque[fornecedor],"&lt;&gt;saída",estoque[produto],preçodiario[[#Headers],[OVO VERMELHO JUMBO]],estoque[data],preçodiario[[#This Row],[data]])</f>
        <v>0</v>
      </c>
      <c r="BB53" s="20">
        <f>SUMIFS(estoque[valor total],estoque[fornecedor],"&lt;&gt;saída",estoque[produto],preçodiario[[#Headers],[OVO VERMELHO JUMBO]],estoque[data],preçodiario[[#This Row],[data]])</f>
        <v>0</v>
      </c>
      <c r="BC53" s="20">
        <f>IFERROR(preçodiario[[#This Row],[OVO VERMELHO JUMBO]]*preçodiario[[#This Row],[estoque JV]],0)</f>
        <v>0</v>
      </c>
      <c r="BD53" t="str">
        <f>TEXT(vendaAno[[#This Row],[data]],"mmm")</f>
        <v>fev</v>
      </c>
      <c r="BE53" t="str">
        <f>TEXT(vendaAno[[#This Row],[data]],"ddd")</f>
        <v>sáb</v>
      </c>
      <c r="BF53" s="82">
        <f>WEEKNUM(vendaAno[[#This Row],[data]],13)</f>
        <v>8</v>
      </c>
      <c r="BG53" s="27">
        <f>preçodiario[[#This Row],[data]]</f>
        <v>46074</v>
      </c>
      <c r="BH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3" s="8">
        <f>IF(SUMIFS(estoque[valor total],estoque[fornecedor],"saída",estoque[data],vendaAno[[#This Row],[data]])=0,"",SUMIFS(estoque[valor total],estoque[fornecedor],"saída",estoque[data],vendaAno[[#This Row],[data]]))</f>
        <v>283</v>
      </c>
      <c r="BJ5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Row],[data]]))/12+BJ52,"")</f>
        <v>12.583333333333297</v>
      </c>
      <c r="BK53" s="79">
        <f>IF(SUMIFS(estoque[quantidade],estoque[fornecedor],"saída",estoque[data],vendaAno[[#This Row],[data]])/12=0,"",SUMIFS(estoque[quantidade],estoque[fornecedor],"saída",estoque[data],vendaAno[[#This Row],[data]])/12)</f>
        <v>1.1666666666666667</v>
      </c>
      <c r="BL53" s="8">
        <f ca="1">IF(vendaAno[[#This Row],[data]]&lt;=TODAY(),IF(SUMIFS(estoque[lucro],estoque[fornecedor],"saída",estoque[data],vendaAno[[#This Row],[data]])=0,AVERAGE(BL50:BL52),SUMIFS(estoque[lucro],estoque[fornecedor],"saída",estoque[data],vendaAno[[#This Row],[data]])),"")</f>
        <v>80.75</v>
      </c>
      <c r="BM53" s="10">
        <f ca="1">IFERROR(vendaAno[[#This Row],[lucro]]/vendaAno[[#This Row],[valor de venda]],"")</f>
        <v>0.28533568904593637</v>
      </c>
      <c r="BN5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2127.3400542835557</v>
      </c>
      <c r="BO53" s="8">
        <f ca="1">IF(TODAY()&gt;=vendaAno[[#This Row],[data]],IF(vendaAno[[#This Row],[N°]]=BF52,vendaAno[[#This Row],[lucro]]-173.33+BO52,vendaAno[[#This Row],[lucro]]-150),"")</f>
        <v>-101.50000000000004</v>
      </c>
      <c r="BP53" s="81">
        <f ca="1">IF(TODAY()&gt;=vendaAno[[#This Row],[data]],SUM(BK47:BK53)*12,"")</f>
        <v>219</v>
      </c>
      <c r="BQ53" s="7">
        <f ca="1">IFERROR(vendaAno[[#This Row],[lucro]]/(vendaAno[[#This Row],[venda]]*12),"")</f>
        <v>5.7678571428571432</v>
      </c>
      <c r="BT53" s="95">
        <f ca="1">WEEKNUM(PvPcML[[#This Row],[data]],13)</f>
        <v>23</v>
      </c>
      <c r="BU53" s="132">
        <f t="shared" ca="1" si="0"/>
        <v>46182</v>
      </c>
      <c r="BV53" s="7">
        <f ca="1">IFERROR(SUMIFS(vendaAno[valor de venda],vendaAno[data],PvPcML[[#This Row],[data]])/(SUMIFS(vendaAno[venda],vendaAno[data],PvPcML[[#This Row],[data]])*12),"")</f>
        <v>15.864864864864865</v>
      </c>
      <c r="BW53" s="8">
        <f ca="1">IFERROR(SUMIFS(vendaAno[valor de venda],vendaAno[data],PvPcML[[#This Row],[data]])/(SUMIFS(vendaAno[venda],vendaAno[data],PvPcML[[#This Row],[data]])*12)-PvPcML[[#This Row],[lucro médio]],"")</f>
        <v>15.287297297297297</v>
      </c>
      <c r="BX53" s="7">
        <f ca="1">IF(SUMIFS(vendaAno[[lucro médio ]],vendaAno[data],PvPcML[[#This Row],[data]])=0,"",SUMIFS(vendaAno[[lucro médio ]],vendaAno[data],PvPcML[[#This Row],[data]]))</f>
        <v>0.57756756756756811</v>
      </c>
      <c r="BY53" s="91">
        <v>52</v>
      </c>
      <c r="BZ53" s="89">
        <f t="shared" si="1"/>
        <v>46380</v>
      </c>
      <c r="CA53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3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3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3" s="82" t="str">
        <f ca="1">IFERROR(AVERAGEIFS(vendaAno[venda],vendaAno[data],"&gt;="&amp;semanal[[#This Row],[semana]],vendaAno[data],"&lt;="&amp;semanal[[#This Row],[semana]]+6),"")</f>
        <v/>
      </c>
      <c r="CE53" s="82" t="str">
        <f ca="1">IFERROR((150/semanal[[#This Row],[lucro médio por cartela]])/12,"")</f>
        <v/>
      </c>
    </row>
    <row r="54" spans="1:83" x14ac:dyDescent="0.25">
      <c r="A54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54" s="18" t="str">
        <f>TEXT(preçodiario[[#This Row],[data]],"MMM")</f>
        <v>fev</v>
      </c>
      <c r="C54" s="18" t="str">
        <f>TEXT(preçodiario[[#This Row],[data]],"ddd")</f>
        <v>dom</v>
      </c>
      <c r="D54" s="96">
        <f>WEEKNUM(preçodiario[[#This Row],[data]],13)</f>
        <v>8</v>
      </c>
      <c r="E54" s="37">
        <v>46075</v>
      </c>
      <c r="F54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Row],[data]])),((F53*G53)+SUMIFS(estoque[valor total],estoque[produto],preçodiario[[#Headers],[OVO BRANCO A]],estoque[data],preçodiario[[#This Row],[data]],estoque[fornecedor],"&lt;&gt;saída"))/(G53+(SUMIFS(estoque[quantidade],estoque[produto],preçodiario[[#Headers],[OVO BRANCO A]],estoque[fornecedor],"&lt;&gt;saída",estoque[data],preçodiario[[#This Row],[data]])))))</f>
        <v/>
      </c>
      <c r="G54" s="22">
        <f>IF(preçodiario[[#This Row],[entrada A]]=0,G53-(SUMIFS(estoque[quantidade],estoque[fornecedor],"saída",estoque[produto],preçodiario[[#Headers],[OVO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Row],[data]]))+G53+preçodiario[[#This Row],[entrada A]])</f>
        <v>0</v>
      </c>
      <c r="H54" s="22">
        <f>SUMIFS(estoque[quantidade],estoque[fornecedor],"&lt;&gt;saída",estoque[produto],preçodiario[[#Headers],[OVO BRANCO A]],estoque[data],preçodiario[[#This Row],[data]])</f>
        <v>0</v>
      </c>
      <c r="I54" s="20">
        <f>SUMIFS(estoque[valor total],estoque[fornecedor],"&lt;&gt;saída",estoque[produto],preçodiario[[#Headers],[OVO BRANCO A]],estoque[data],preçodiario[[#This Row],[data]])</f>
        <v>0</v>
      </c>
      <c r="J54" s="20">
        <f>IFERROR(preçodiario[[#This Row],[estoque A]]*preçodiario[[#This Row],[OVO BRANCO A]],0)</f>
        <v>0</v>
      </c>
      <c r="K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Row],[data]])),((K53*L53)+SUMIFS(estoque[valor total],estoque[produto],preçodiario[[#Headers],[OVO BRANCO B]],estoque[data],preçodiario[[#This Row],[data]],estoque[fornecedor],"&lt;&gt;saída"))/(L53+(SUMIFS(estoque[quantidade],estoque[produto],preçodiario[[#Headers],[OVO BRANCO B]],estoque[fornecedor],"&lt;&gt;saída",estoque[data],preçodiario[[#This Row],[data]])))))</f>
        <v>13.039622372528346</v>
      </c>
      <c r="L54" s="22">
        <f>IF(preçodiario[[#This Row],[entrada B]]=0,L53-(SUMIFS(estoque[quantidade],estoque[fornecedor],"saída",estoque[produto],preçodiario[[#Headers],[OVO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Row],[data]]))+L53+preçodiario[[#This Row],[entrada B]])</f>
        <v>52</v>
      </c>
      <c r="M54" s="22">
        <f>SUMIFS(estoque[quantidade],estoque[fornecedor],"&lt;&gt;saída",estoque[produto],preçodiario[[#Headers],[OVO BRANCO B]],estoque[data],preçodiario[[#This Row],[data]])</f>
        <v>0</v>
      </c>
      <c r="N54" s="20">
        <f>SUMIFS(estoque[valor total],estoque[fornecedor],"&lt;&gt;saída",estoque[produto],preçodiario[[#Headers],[OVO BRANCO B]],estoque[data],preçodiario[[#This Row],[data]])</f>
        <v>0</v>
      </c>
      <c r="O54" s="20">
        <f>IFERROR(preçodiario[[#This Row],[OVO BRANCO B]]*preçodiario[[#This Row],[estoque B]],0)</f>
        <v>678.06036337147395</v>
      </c>
      <c r="P5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Row],[data]])),((P53*Q53)+SUMIFS(estoque[valor total],estoque[produto],preçodiario[[#Headers],[OVO BRANCO C]],estoque[data],preçodiario[[#This Row],[data]],estoque[fornecedor],"&lt;&gt;saída"))/(Q53+(SUMIFS(estoque[quantidade],estoque[produto],preçodiario[[#Headers],[OVO BRANCO C]],estoque[fornecedor],"&lt;&gt;saída",estoque[data],preçodiario[[#This Row],[data]])))))</f>
        <v/>
      </c>
      <c r="Q54" s="22">
        <f>IF(preçodiario[[#This Row],[entrada C]]=0,Q53-(SUMIFS(estoque[quantidade],estoque[fornecedor],"saída",estoque[produto],preçodiario[[#Headers],[OVO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Row],[data]]))+Q53+preçodiario[[#This Row],[entrada C]])</f>
        <v>0</v>
      </c>
      <c r="R54" s="22">
        <f>SUMIFS(estoque[quantidade],estoque[fornecedor],"&lt;&gt;saída",estoque[produto],preçodiario[[#Headers],[OVO BRANCO C]],estoque[data],preçodiario[[#This Row],[data]])</f>
        <v>0</v>
      </c>
      <c r="S54" s="20">
        <f>SUMIFS(estoque[valor total],estoque[fornecedor],"&lt;&gt;saída",estoque[produto],preçodiario[[#Headers],[OVO BRANCO C]],estoque[data],preçodiario[[#This Row],[data]])</f>
        <v>0</v>
      </c>
      <c r="T54" s="20">
        <f>IFERROR(preçodiario[[#This Row],[OVO BRANCO C]]*preçodiario[[#This Row],[estoque C]],0)</f>
        <v>0</v>
      </c>
      <c r="U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Row],[data]])),((U53*V53)+SUMIFS(estoque[valor total],estoque[produto],preçodiario[[#Headers],[OVO BRANCO EXTRA]],estoque[data],preçodiario[[#This Row],[data]],estoque[fornecedor],"&lt;&gt;saída"))/(V53+(SUMIFS(estoque[quantidade],estoque[produto],preçodiario[[#Headers],[OVO BRANCO EXTRA]],estoque[fornecedor],"&lt;&gt;saída",estoque[data],preçodiario[[#This Row],[data]])))))</f>
        <v>14.859806712139465</v>
      </c>
      <c r="V54" s="22">
        <f>IF(preçodiario[[#This Row],[entrada E]]=0,V53-(SUMIFS(estoque[quantidade],estoque[fornecedor],"saída",estoque[produto],preçodiario[[#Headers],[OVO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Row],[data]]))+V53+preçodiario[[#This Row],[entrada E]])</f>
        <v>50</v>
      </c>
      <c r="W54" s="22">
        <f>SUMIFS(estoque[quantidade],estoque[fornecedor],"&lt;&gt;saída",estoque[produto],preçodiario[[#Headers],[OVO BRANCO EXTRA]],estoque[data],preçodiario[[#This Row],[data]])</f>
        <v>0</v>
      </c>
      <c r="X54" s="20">
        <f>SUMIFS(estoque[valor total],estoque[fornecedor],"&lt;&gt;saída",estoque[produto],preçodiario[[#Headers],[OVO BRANCO EXTRA]],estoque[data],preçodiario[[#This Row],[data]])</f>
        <v>0</v>
      </c>
      <c r="Y54" s="20">
        <f>IFERROR(preçodiario[[#This Row],[estoque E]]*preçodiario[[#This Row],[OVO BRANCO EXTRA]],0)</f>
        <v>742.99033560697319</v>
      </c>
      <c r="Z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Row],[data]])),((Z53*AA53)+SUMIFS(estoque[valor total],estoque[produto],preçodiario[[#Headers],[OVO BRANCO JUMBO]],estoque[data],preçodiario[[#This Row],[data]],estoque[fornecedor],"&lt;&gt;saída"))/(AA53+(SUMIFS(estoque[quantidade],estoque[produto],preçodiario[[#Headers],[OVO BRANCO JUMBO]],estoque[fornecedor],"&lt;&gt;saída",estoque[data],preçodiario[[#This Row],[data]])))))</f>
        <v>15.521739130434783</v>
      </c>
      <c r="AA54" s="22">
        <f>IF(preçodiario[[#This Row],[entrada J]]=0,AA53-(SUMIFS(estoque[quantidade],estoque[fornecedor],"saída",estoque[produto],preçodiario[[#Headers],[OVO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Row],[data]]))+AA53+preçodiario[[#This Row],[entrada J]])</f>
        <v>19</v>
      </c>
      <c r="AB54" s="22">
        <f>SUMIFS(estoque[quantidade],estoque[fornecedor],"&lt;&gt;saída",estoque[produto],preçodiario[[#Headers],[OVO BRANCO JUMBO]],estoque[data],preçodiario[[#This Row],[data]])</f>
        <v>0</v>
      </c>
      <c r="AC54" s="20">
        <f>SUMIFS(estoque[valor total],estoque[fornecedor],"&lt;&gt;saída",estoque[produto],preçodiario[[#Headers],[OVO BRANCO JUMBO]],estoque[data],preçodiario[[#This Row],[data]])</f>
        <v>0</v>
      </c>
      <c r="AD54" s="20">
        <f>IFERROR(preçodiario[[#This Row],[OVO BRANCO JUMBO]]*preçodiario[[#This Row],[estoque J]],0)</f>
        <v>294.91304347826087</v>
      </c>
      <c r="AE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Row],[data]])),((AE53*AF53)+SUMIFS(estoque[valor total],estoque[produto],preçodiario[[#Headers],[OVO VERMELHO A]],estoque[data],preçodiario[[#This Row],[data]],estoque[fornecedor],"&lt;&gt;saída"))/(AF53+(SUMIFS(estoque[quantidade],estoque[produto],preçodiario[[#Headers],[OVO VERMELHO A]],estoque[fornecedor],"&lt;&gt;saída",estoque[data],preçodiario[[#This Row],[data]])))))</f>
        <v/>
      </c>
      <c r="AF54" s="22">
        <f>IF(preçodiario[[#This Row],[entrada AV]]=0,AF53-(SUMIFS(estoque[quantidade],estoque[fornecedor],"saída",estoque[produto],preçodiario[[#Headers],[OVO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Row],[data]]))+AF53+preçodiario[[#This Row],[entrada AV]])</f>
        <v>0</v>
      </c>
      <c r="AG54" s="22">
        <f>SUMIFS(estoque[quantidade],estoque[fornecedor],"&lt;&gt;saída",estoque[produto],preçodiario[[#Headers],[OVO VERMELHO A]],estoque[data],preçodiario[[#This Row],[data]])</f>
        <v>0</v>
      </c>
      <c r="AH54" s="20">
        <f>SUMIFS(estoque[valor total],estoque[fornecedor],"&lt;&gt;saída",estoque[produto],preçodiario[[#Headers],[OVO VERMELHO A]],estoque[data],preçodiario[[#This Row],[data]])</f>
        <v>0</v>
      </c>
      <c r="AI54" s="20">
        <f>IFERROR(preçodiario[[#This Row],[OVO VERMELHO A]]*preçodiario[[#This Row],[estoque AV]],0)</f>
        <v>0</v>
      </c>
      <c r="AJ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Row],[data]])),((AJ53*AK53)+SUMIFS(estoque[valor total],estoque[produto],preçodiario[[#Headers],[OVO VERMELHO B]],estoque[data],preçodiario[[#This Row],[data]],estoque[fornecedor],"&lt;&gt;saída"))/(AK53+(SUMIFS(estoque[quantidade],estoque[produto],preçodiario[[#Headers],[OVO VERMELHO B]],estoque[fornecedor],"&lt;&gt;saída",estoque[data],preçodiario[[#This Row],[data]])))))</f>
        <v/>
      </c>
      <c r="AK54" s="22">
        <f>IF(preçodiario[[#This Row],[entrada BV]]=0,AK53-(SUMIFS(estoque[quantidade],estoque[fornecedor],"saída",estoque[produto],preçodiario[[#Headers],[OVO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Row],[data]]))+AK53+preçodiario[[#This Row],[entrada BV]])</f>
        <v>0</v>
      </c>
      <c r="AL54" s="22">
        <f>SUMIFS(estoque[quantidade],estoque[fornecedor],"&lt;&gt;saída",estoque[produto],preçodiario[[#Headers],[OVO VERMELHO B]],estoque[data],preçodiario[[#This Row],[data]])</f>
        <v>0</v>
      </c>
      <c r="AM54" s="20">
        <f>SUMIFS(estoque[valor total],estoque[fornecedor],"&lt;&gt;saída",estoque[produto],preçodiario[[#Headers],[OVO VERMELHO B]],estoque[data],preçodiario[[#This Row],[data]])</f>
        <v>0</v>
      </c>
      <c r="AN54" s="20">
        <f>IFERROR(preçodiario[[#This Row],[OVO VERMELHO B]]*preçodiario[[#This Row],[estoque BV]],0)</f>
        <v>0</v>
      </c>
      <c r="AO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Row],[data]])),((AO53*AP53)+SUMIFS(estoque[valor total],estoque[produto],preçodiario[[#Headers],[OVO VERMELHO C]],estoque[data],preçodiario[[#This Row],[data]],estoque[fornecedor],"&lt;&gt;saída"))/(AP53+(SUMIFS(estoque[quantidade],estoque[produto],preçodiario[[#Headers],[OVO VERMELHO C]],estoque[fornecedor],"&lt;&gt;saída",estoque[data],preçodiario[[#This Row],[data]])))))</f>
        <v/>
      </c>
      <c r="AP54" s="22">
        <f>IF(preçodiario[[#This Row],[entrada CV]]=0,AP53-(SUMIFS(estoque[quantidade],estoque[fornecedor],"saída",estoque[produto],preçodiario[[#Headers],[OVO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Row],[data]]))+AP53+preçodiario[[#This Row],[entrada CV]])</f>
        <v>0</v>
      </c>
      <c r="AQ54" s="22">
        <f>SUMIFS(estoque[quantidade],estoque[fornecedor],"&lt;&gt;saída",estoque[produto],preçodiario[[#Headers],[OVO VERMELHO C]],estoque[data],preçodiario[[#This Row],[data]])</f>
        <v>0</v>
      </c>
      <c r="AR54" s="20">
        <f>SUMIFS(estoque[valor total],estoque[fornecedor],"&lt;&gt;saída",estoque[produto],preçodiario[[#Headers],[OVO VERMELHO C]],estoque[data],preçodiario[[#This Row],[data]])</f>
        <v>0</v>
      </c>
      <c r="AS54" s="20">
        <f>IFERROR(preçodiario[[#This Row],[OVO VERMELHO C]]*preçodiario[[#This Row],[estoque CV]],0)</f>
        <v>0</v>
      </c>
      <c r="AT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Row],[data]])),((AT53*AU53)+SUMIFS(estoque[valor total],estoque[produto],preçodiario[[#Headers],[OVO VERMELHO EXTRA]],estoque[data],preçodiario[[#This Row],[data]],estoque[fornecedor],"&lt;&gt;saída"))/(AU53+(SUMIFS(estoque[quantidade],estoque[produto],preçodiario[[#Headers],[OVO VERMELHO EXTRA]],estoque[fornecedor],"&lt;&gt;saída",estoque[data],preçodiario[[#This Row],[data]])))))</f>
        <v/>
      </c>
      <c r="AU54" s="22">
        <f>IF(preçodiario[[#This Row],[entrada EV]]=0,AU53-(SUMIFS(estoque[quantidade],estoque[fornecedor],"saída",estoque[produto],preçodiario[[#Headers],[OVO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Row],[data]]))+AU53+preçodiario[[#This Row],[entrada EV]])</f>
        <v>0</v>
      </c>
      <c r="AV54" s="22">
        <f>SUMIFS(estoque[quantidade],estoque[fornecedor],"&lt;&gt;saída",estoque[produto],preçodiario[[#Headers],[OVO VERMELHO EXTRA]],estoque[data],preçodiario[[#This Row],[data]])</f>
        <v>0</v>
      </c>
      <c r="AW54" s="20">
        <f>SUMIFS(estoque[valor total],estoque[fornecedor],"&lt;&gt;saída",estoque[produto],preçodiario[[#Headers],[OVO VERMELHO EXTRA]],estoque[data],preçodiario[[#This Row],[data]])</f>
        <v>0</v>
      </c>
      <c r="AX54" s="20">
        <f>IFERROR(preçodiario[[#This Row],[OVO VERMELHO EXTRA]]*preçodiario[[#This Row],[estoque EV]],0)</f>
        <v>0</v>
      </c>
      <c r="AY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Row],[data]])),((AY53*AZ53)+SUMIFS(estoque[valor total],estoque[produto],preçodiario[[#Headers],[OVO VERMELHO JUMBO]],estoque[data],preçodiario[[#This Row],[data]],estoque[fornecedor],"&lt;&gt;saída"))/(AZ53+(SUMIFS(estoque[quantidade],estoque[produto],preçodiario[[#Headers],[OVO VERMELHO JUMBO]],estoque[fornecedor],"&lt;&gt;saída",estoque[data],preçodiario[[#This Row],[data]])))))</f>
        <v/>
      </c>
      <c r="AZ54" s="22">
        <f>IF(preçodiario[[#This Row],[entrada JV]]=0,AZ53-(SUMIFS(estoque[quantidade],estoque[fornecedor],"saída",estoque[produto],preçodiario[[#Headers],[OVO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Row],[data]]))+AZ53+preçodiario[[#This Row],[entrada JV]])</f>
        <v>0</v>
      </c>
      <c r="BA54" s="22">
        <f>SUMIFS(estoque[quantidade],estoque[fornecedor],"&lt;&gt;saída",estoque[produto],preçodiario[[#Headers],[OVO VERMELHO JUMBO]],estoque[data],preçodiario[[#This Row],[data]])</f>
        <v>0</v>
      </c>
      <c r="BB54" s="20">
        <f>SUMIFS(estoque[valor total],estoque[fornecedor],"&lt;&gt;saída",estoque[produto],preçodiario[[#Headers],[OVO VERMELHO JUMBO]],estoque[data],preçodiario[[#This Row],[data]])</f>
        <v>0</v>
      </c>
      <c r="BC54" s="20">
        <f>IFERROR(preçodiario[[#This Row],[OVO VERMELHO JUMBO]]*preçodiario[[#This Row],[estoque JV]],0)</f>
        <v>0</v>
      </c>
      <c r="BD54" t="str">
        <f>TEXT(vendaAno[[#This Row],[data]],"mmm")</f>
        <v>fev</v>
      </c>
      <c r="BE54" t="str">
        <f>TEXT(vendaAno[[#This Row],[data]],"ddd")</f>
        <v>dom</v>
      </c>
      <c r="BF54" s="82">
        <f>WEEKNUM(vendaAno[[#This Row],[data]],13)</f>
        <v>8</v>
      </c>
      <c r="BG54" s="27">
        <f>preçodiario[[#This Row],[data]]</f>
        <v>46075</v>
      </c>
      <c r="BH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4" s="8">
        <f>IF(SUMIFS(estoque[valor total],estoque[fornecedor],"saída",estoque[data],vendaAno[[#This Row],[data]])=0,"",SUMIFS(estoque[valor total],estoque[fornecedor],"saída",estoque[data],vendaAno[[#This Row],[data]]))</f>
        <v>500</v>
      </c>
      <c r="BJ5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Row],[data]]))/12+BJ53,"")</f>
        <v>10.083333333333297</v>
      </c>
      <c r="BK54" s="79">
        <f>IF(SUMIFS(estoque[quantidade],estoque[fornecedor],"saída",estoque[data],vendaAno[[#This Row],[data]])/12=0,"",SUMIFS(estoque[quantidade],estoque[fornecedor],"saída",estoque[data],vendaAno[[#This Row],[data]])/12)</f>
        <v>2.5</v>
      </c>
      <c r="BL54" s="8">
        <f ca="1">IF(vendaAno[[#This Row],[data]]&lt;=TODAY(),IF(SUMIFS(estoque[lucro],estoque[fornecedor],"saída",estoque[data],vendaAno[[#This Row],[data]])=0,AVERAGE(BL51:BL53),SUMIFS(estoque[lucro],estoque[fornecedor],"saída",estoque[data],vendaAno[[#This Row],[data]])),"")</f>
        <v>88.62</v>
      </c>
      <c r="BM54" s="10">
        <f ca="1">IFERROR(vendaAno[[#This Row],[lucro]]/vendaAno[[#This Row],[valor de venda]],"")</f>
        <v>0.17724000000000001</v>
      </c>
      <c r="BN5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1715.9637424567081</v>
      </c>
      <c r="BO54" s="8">
        <f ca="1">IF(TODAY()&gt;=vendaAno[[#This Row],[data]],IF(vendaAno[[#This Row],[N°]]=BF53,vendaAno[[#This Row],[lucro]]-173.33+BO53,vendaAno[[#This Row],[lucro]]-150),"")</f>
        <v>-186.21000000000004</v>
      </c>
      <c r="BP54" s="81">
        <f ca="1">IF(TODAY()&gt;=vendaAno[[#This Row],[data]],SUM(BK48:BK54)*12,"")</f>
        <v>232</v>
      </c>
      <c r="BQ54" s="7">
        <f ca="1">IFERROR(vendaAno[[#This Row],[lucro]]/(vendaAno[[#This Row],[venda]]*12),"")</f>
        <v>2.9540000000000002</v>
      </c>
      <c r="BT54" s="95">
        <f ca="1">WEEKNUM(PvPcML[[#This Row],[data]],13)</f>
        <v>23</v>
      </c>
      <c r="BU54" s="132">
        <f t="shared" ca="1" si="0"/>
        <v>46181</v>
      </c>
      <c r="BV54" s="7">
        <f ca="1">IFERROR(SUMIFS(vendaAno[valor de venda],vendaAno[data],PvPcML[[#This Row],[data]])/(SUMIFS(vendaAno[venda],vendaAno[data],PvPcML[[#This Row],[data]])*12),"")</f>
        <v>18.03846153846154</v>
      </c>
      <c r="BW54" s="8">
        <f ca="1">IFERROR(SUMIFS(vendaAno[valor de venda],vendaAno[data],PvPcML[[#This Row],[data]])/(SUMIFS(vendaAno[venda],vendaAno[data],PvPcML[[#This Row],[data]])*12)-PvPcML[[#This Row],[lucro médio]],"")</f>
        <v>15.303076923076924</v>
      </c>
      <c r="BX54" s="7">
        <f ca="1">IF(SUMIFS(vendaAno[[lucro médio ]],vendaAno[data],PvPcML[[#This Row],[data]])=0,"",SUMIFS(vendaAno[[lucro médio ]],vendaAno[data],PvPcML[[#This Row],[data]]))</f>
        <v>2.7353846153846155</v>
      </c>
      <c r="BY54" s="92">
        <v>53</v>
      </c>
      <c r="BZ54" s="89">
        <f t="shared" si="1"/>
        <v>46387</v>
      </c>
      <c r="CA54" s="74" t="str">
        <f ca="1">IFERROR(IF(SUMIFS(vendaAno[venda],vendaAno[data],"&gt;="&amp;semanal[[#This Row],[semana]],vendaAno[data],"&lt;="&amp;semanal[[#This Row],[semana]]+6)=0,"",SUMIFS(vendaAno[venda],vendaAno[data],"&gt;="&amp;semanal[[#This Row],[semana]],vendaAno[data],"&lt;="&amp;semanal[[#This Row],[semana]]+6))-semanal[[#This Row],[atacado]],"")</f>
        <v/>
      </c>
      <c r="CB54" s="74" t="str">
        <f>IF(SUMIFS(aprazo[quantidade],aprazo[atacado],"atacado",aprazo[data],"&gt;="&amp;semanal[[#This Row],[semana]],aprazo[data],"&lt;="&amp;semanal[[#This Row],[semana]]+6)=0,"",SUMIFS(aprazo[quantidade],aprazo[atacado],"atacado",aprazo[data],"&gt;="&amp;semanal[[#This Row],[semana]],aprazo[data],"&lt;="&amp;semanal[[#This Row],[semana]]+6)/12)</f>
        <v/>
      </c>
      <c r="CC54" s="7" t="str">
        <f ca="1">IFERROR(SUMIFS(vendaAno[lucro],vendaAno[data],"&gt;="&amp;semanal[[#This Row],[semana]],vendaAno[data],"&lt;="&amp;semanal[[#This Row],[semana]]+6)/((semanal[[#This Row],[varejo]]+semanal[[#This Row],[atacado]])*12),"")</f>
        <v/>
      </c>
      <c r="CD54" s="82" t="str">
        <f ca="1">IFERROR(AVERAGEIFS(vendaAno[venda],vendaAno[data],"&gt;="&amp;semanal[[#This Row],[semana]],vendaAno[data],"&lt;="&amp;semanal[[#This Row],[semana]]+6),"")</f>
        <v/>
      </c>
      <c r="CE54" s="82" t="str">
        <f ca="1">IFERROR((150/semanal[[#This Row],[lucro médio por cartela]])/12,"")</f>
        <v/>
      </c>
    </row>
    <row r="55" spans="1:83" x14ac:dyDescent="0.25">
      <c r="A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5" s="18" t="str">
        <f>TEXT(preçodiario[[#This Row],[data]],"MMM")</f>
        <v>fev</v>
      </c>
      <c r="C55" s="18" t="str">
        <f>TEXT(preçodiario[[#This Row],[data]],"ddd")</f>
        <v>seg</v>
      </c>
      <c r="D55" s="96">
        <f>WEEKNUM(preçodiario[[#This Row],[data]],13)</f>
        <v>8</v>
      </c>
      <c r="E55" s="37">
        <v>46076</v>
      </c>
      <c r="F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Row],[data]])),((F54*G54)+SUMIFS(estoque[valor total],estoque[produto],preçodiario[[#Headers],[OVO BRANCO A]],estoque[data],preçodiario[[#This Row],[data]],estoque[fornecedor],"&lt;&gt;saída"))/(G54+(SUMIFS(estoque[quantidade],estoque[produto],preçodiario[[#Headers],[OVO BRANCO A]],estoque[fornecedor],"&lt;&gt;saída",estoque[data],preçodiario[[#This Row],[data]])))))</f>
        <v>13.75</v>
      </c>
      <c r="G55" s="22">
        <f>IF(preçodiario[[#This Row],[entrada A]]=0,G54-(SUMIFS(estoque[quantidade],estoque[fornecedor],"saída",estoque[produto],preçodiario[[#Headers],[OVO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Row],[data]]))+G54+preçodiario[[#This Row],[entrada A]])</f>
        <v>119</v>
      </c>
      <c r="H55" s="22">
        <f>SUMIFS(estoque[quantidade],estoque[fornecedor],"&lt;&gt;saída",estoque[produto],preçodiario[[#Headers],[OVO BRANCO A]],estoque[data],preçodiario[[#This Row],[data]])</f>
        <v>120</v>
      </c>
      <c r="I55" s="20">
        <f>SUMIFS(estoque[valor total],estoque[fornecedor],"&lt;&gt;saída",estoque[produto],preçodiario[[#Headers],[OVO BRANCO A]],estoque[data],preçodiario[[#This Row],[data]])</f>
        <v>1650</v>
      </c>
      <c r="J55" s="20">
        <f>IFERROR(preçodiario[[#This Row],[estoque A]]*preçodiario[[#This Row],[OVO BRANCO A]],0)</f>
        <v>1636.25</v>
      </c>
      <c r="K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Row],[data]])),((K54*L54)+SUMIFS(estoque[valor total],estoque[produto],preçodiario[[#Headers],[OVO BRANCO B]],estoque[data],preçodiario[[#This Row],[data]],estoque[fornecedor],"&lt;&gt;saída"))/(L54+(SUMIFS(estoque[quantidade],estoque[produto],preçodiario[[#Headers],[OVO BRANCO B]],estoque[fornecedor],"&lt;&gt;saída",estoque[data],preçodiario[[#This Row],[data]])))))</f>
        <v>12.953839321927175</v>
      </c>
      <c r="L55" s="22">
        <f>IF(preçodiario[[#This Row],[entrada B]]=0,L54-(SUMIFS(estoque[quantidade],estoque[fornecedor],"saída",estoque[produto],preçodiario[[#Headers],[OVO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Row],[data]]))+L54+preçodiario[[#This Row],[entrada B]])</f>
        <v>140</v>
      </c>
      <c r="M55" s="22">
        <f>SUMIFS(estoque[quantidade],estoque[fornecedor],"&lt;&gt;saída",estoque[produto],preçodiario[[#Headers],[OVO BRANCO B]],estoque[data],preçodiario[[#This Row],[data]])</f>
        <v>120</v>
      </c>
      <c r="N55" s="20">
        <f>SUMIFS(estoque[valor total],estoque[fornecedor],"&lt;&gt;saída",estoque[produto],preçodiario[[#Headers],[OVO BRANCO B]],estoque[data],preçodiario[[#This Row],[data]])</f>
        <v>1550</v>
      </c>
      <c r="O55" s="20">
        <f>IFERROR(preçodiario[[#This Row],[OVO BRANCO B]]*preçodiario[[#This Row],[estoque B]],0)</f>
        <v>1813.5375050698044</v>
      </c>
      <c r="P5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Row],[data]])),((P54*Q54)+SUMIFS(estoque[valor total],estoque[produto],preçodiario[[#Headers],[OVO BRANCO C]],estoque[data],preçodiario[[#This Row],[data]],estoque[fornecedor],"&lt;&gt;saída"))/(Q54+(SUMIFS(estoque[quantidade],estoque[produto],preçodiario[[#Headers],[OVO BRANCO C]],estoque[fornecedor],"&lt;&gt;saída",estoque[data],preçodiario[[#This Row],[data]])))))</f>
        <v/>
      </c>
      <c r="Q55" s="22">
        <f>IF(preçodiario[[#This Row],[entrada C]]=0,Q54-(SUMIFS(estoque[quantidade],estoque[fornecedor],"saída",estoque[produto],preçodiario[[#Headers],[OVO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Row],[data]]))+Q54+preçodiario[[#This Row],[entrada C]])</f>
        <v>0</v>
      </c>
      <c r="R55" s="22">
        <f>SUMIFS(estoque[quantidade],estoque[fornecedor],"&lt;&gt;saída",estoque[produto],preçodiario[[#Headers],[OVO BRANCO C]],estoque[data],preçodiario[[#This Row],[data]])</f>
        <v>0</v>
      </c>
      <c r="S55" s="20">
        <f>SUMIFS(estoque[valor total],estoque[fornecedor],"&lt;&gt;saída",estoque[produto],preçodiario[[#Headers],[OVO BRANCO C]],estoque[data],preçodiario[[#This Row],[data]])</f>
        <v>0</v>
      </c>
      <c r="T55" s="20">
        <f>IFERROR(preçodiario[[#This Row],[OVO BRANCO C]]*preçodiario[[#This Row],[estoque C]],0)</f>
        <v>0</v>
      </c>
      <c r="U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Row],[data]])),((U54*V54)+SUMIFS(estoque[valor total],estoque[produto],preçodiario[[#Headers],[OVO BRANCO EXTRA]],estoque[data],preçodiario[[#This Row],[data]],estoque[fornecedor],"&lt;&gt;saída"))/(V54+(SUMIFS(estoque[quantidade],estoque[produto],preçodiario[[#Headers],[OVO BRANCO EXTRA]],estoque[fornecedor],"&lt;&gt;saída",estoque[data],preçodiario[[#This Row],[data]])))))</f>
        <v>14.664649032982194</v>
      </c>
      <c r="V55" s="22">
        <f>IF(preçodiario[[#This Row],[entrada E]]=0,V54-(SUMIFS(estoque[quantidade],estoque[fornecedor],"saída",estoque[produto],preçodiario[[#Headers],[OVO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Row],[data]]))+V54+preçodiario[[#This Row],[entrada E]])</f>
        <v>153</v>
      </c>
      <c r="W55" s="22">
        <f>SUMIFS(estoque[quantidade],estoque[fornecedor],"&lt;&gt;saída",estoque[produto],preçodiario[[#Headers],[OVO BRANCO EXTRA]],estoque[data],preçodiario[[#This Row],[data]])</f>
        <v>120</v>
      </c>
      <c r="X55" s="20">
        <f>SUMIFS(estoque[valor total],estoque[fornecedor],"&lt;&gt;saída",estoque[produto],preçodiario[[#Headers],[OVO BRANCO EXTRA]],estoque[data],preçodiario[[#This Row],[data]])</f>
        <v>1750</v>
      </c>
      <c r="Y55" s="20">
        <f>IFERROR(preçodiario[[#This Row],[estoque E]]*preçodiario[[#This Row],[OVO BRANCO EXTRA]],0)</f>
        <v>2243.6913020462757</v>
      </c>
      <c r="Z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Row],[data]])),((Z54*AA54)+SUMIFS(estoque[valor total],estoque[produto],preçodiario[[#Headers],[OVO BRANCO JUMBO]],estoque[data],preçodiario[[#This Row],[data]],estoque[fornecedor],"&lt;&gt;saída"))/(AA54+(SUMIFS(estoque[quantidade],estoque[produto],preçodiario[[#Headers],[OVO BRANCO JUMBO]],estoque[fornecedor],"&lt;&gt;saída",estoque[data],preçodiario[[#This Row],[data]])))))</f>
        <v>15.431029089771663</v>
      </c>
      <c r="AA55" s="22">
        <f>IF(preçodiario[[#This Row],[entrada J]]=0,AA54-(SUMIFS(estoque[quantidade],estoque[fornecedor],"saída",estoque[produto],preçodiario[[#Headers],[OVO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Row],[data]]))+AA54+preçodiario[[#This Row],[entrada J]])</f>
        <v>131</v>
      </c>
      <c r="AB55" s="22">
        <f>SUMIFS(estoque[quantidade],estoque[fornecedor],"&lt;&gt;saída",estoque[produto],preçodiario[[#Headers],[OVO BRANCO JUMBO]],estoque[data],preçodiario[[#This Row],[data]])</f>
        <v>120</v>
      </c>
      <c r="AC55" s="20">
        <f>SUMIFS(estoque[valor total],estoque[fornecedor],"&lt;&gt;saída",estoque[produto],preçodiario[[#Headers],[OVO BRANCO JUMBO]],estoque[data],preçodiario[[#This Row],[data]])</f>
        <v>1850</v>
      </c>
      <c r="AD55" s="20">
        <f>IFERROR(preçodiario[[#This Row],[OVO BRANCO JUMBO]]*preçodiario[[#This Row],[estoque J]],0)</f>
        <v>2021.4648107600879</v>
      </c>
      <c r="AE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Row],[data]])),((AE54*AF54)+SUMIFS(estoque[valor total],estoque[produto],preçodiario[[#Headers],[OVO VERMELHO A]],estoque[data],preçodiario[[#This Row],[data]],estoque[fornecedor],"&lt;&gt;saída"))/(AF54+(SUMIFS(estoque[quantidade],estoque[produto],preçodiario[[#Headers],[OVO VERMELHO A]],estoque[fornecedor],"&lt;&gt;saída",estoque[data],preçodiario[[#This Row],[data]])))))</f>
        <v/>
      </c>
      <c r="AF55" s="22">
        <f>IF(preçodiario[[#This Row],[entrada AV]]=0,AF54-(SUMIFS(estoque[quantidade],estoque[fornecedor],"saída",estoque[produto],preçodiario[[#Headers],[OVO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Row],[data]]))+AF54+preçodiario[[#This Row],[entrada AV]])</f>
        <v>0</v>
      </c>
      <c r="AG55" s="22">
        <f>SUMIFS(estoque[quantidade],estoque[fornecedor],"&lt;&gt;saída",estoque[produto],preçodiario[[#Headers],[OVO VERMELHO A]],estoque[data],preçodiario[[#This Row],[data]])</f>
        <v>0</v>
      </c>
      <c r="AH55" s="20">
        <f>SUMIFS(estoque[valor total],estoque[fornecedor],"&lt;&gt;saída",estoque[produto],preçodiario[[#Headers],[OVO VERMELHO A]],estoque[data],preçodiario[[#This Row],[data]])</f>
        <v>0</v>
      </c>
      <c r="AI55" s="20">
        <f>IFERROR(preçodiario[[#This Row],[OVO VERMELHO A]]*preçodiario[[#This Row],[estoque AV]],0)</f>
        <v>0</v>
      </c>
      <c r="AJ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Row],[data]])),((AJ54*AK54)+SUMIFS(estoque[valor total],estoque[produto],preçodiario[[#Headers],[OVO VERMELHO B]],estoque[data],preçodiario[[#This Row],[data]],estoque[fornecedor],"&lt;&gt;saída"))/(AK54+(SUMIFS(estoque[quantidade],estoque[produto],preçodiario[[#Headers],[OVO VERMELHO B]],estoque[fornecedor],"&lt;&gt;saída",estoque[data],preçodiario[[#This Row],[data]])))))</f>
        <v/>
      </c>
      <c r="AK55" s="22">
        <f>IF(preçodiario[[#This Row],[entrada BV]]=0,AK54-(SUMIFS(estoque[quantidade],estoque[fornecedor],"saída",estoque[produto],preçodiario[[#Headers],[OVO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Row],[data]]))+AK54+preçodiario[[#This Row],[entrada BV]])</f>
        <v>0</v>
      </c>
      <c r="AL55" s="22">
        <f>SUMIFS(estoque[quantidade],estoque[fornecedor],"&lt;&gt;saída",estoque[produto],preçodiario[[#Headers],[OVO VERMELHO B]],estoque[data],preçodiario[[#This Row],[data]])</f>
        <v>0</v>
      </c>
      <c r="AM55" s="20">
        <f>SUMIFS(estoque[valor total],estoque[fornecedor],"&lt;&gt;saída",estoque[produto],preçodiario[[#Headers],[OVO VERMELHO B]],estoque[data],preçodiario[[#This Row],[data]])</f>
        <v>0</v>
      </c>
      <c r="AN55" s="20">
        <f>IFERROR(preçodiario[[#This Row],[OVO VERMELHO B]]*preçodiario[[#This Row],[estoque BV]],0)</f>
        <v>0</v>
      </c>
      <c r="AO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Row],[data]])),((AO54*AP54)+SUMIFS(estoque[valor total],estoque[produto],preçodiario[[#Headers],[OVO VERMELHO C]],estoque[data],preçodiario[[#This Row],[data]],estoque[fornecedor],"&lt;&gt;saída"))/(AP54+(SUMIFS(estoque[quantidade],estoque[produto],preçodiario[[#Headers],[OVO VERMELHO C]],estoque[fornecedor],"&lt;&gt;saída",estoque[data],preçodiario[[#This Row],[data]])))))</f>
        <v/>
      </c>
      <c r="AP55" s="22">
        <f>IF(preçodiario[[#This Row],[entrada CV]]=0,AP54-(SUMIFS(estoque[quantidade],estoque[fornecedor],"saída",estoque[produto],preçodiario[[#Headers],[OVO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Row],[data]]))+AP54+preçodiario[[#This Row],[entrada CV]])</f>
        <v>0</v>
      </c>
      <c r="AQ55" s="22">
        <f>SUMIFS(estoque[quantidade],estoque[fornecedor],"&lt;&gt;saída",estoque[produto],preçodiario[[#Headers],[OVO VERMELHO C]],estoque[data],preçodiario[[#This Row],[data]])</f>
        <v>0</v>
      </c>
      <c r="AR55" s="20">
        <f>SUMIFS(estoque[valor total],estoque[fornecedor],"&lt;&gt;saída",estoque[produto],preçodiario[[#Headers],[OVO VERMELHO C]],estoque[data],preçodiario[[#This Row],[data]])</f>
        <v>0</v>
      </c>
      <c r="AS55" s="20">
        <f>IFERROR(preçodiario[[#This Row],[OVO VERMELHO C]]*preçodiario[[#This Row],[estoque CV]],0)</f>
        <v>0</v>
      </c>
      <c r="AT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Row],[data]])),((AT54*AU54)+SUMIFS(estoque[valor total],estoque[produto],preçodiario[[#Headers],[OVO VERMELHO EXTRA]],estoque[data],preçodiario[[#This Row],[data]],estoque[fornecedor],"&lt;&gt;saída"))/(AU54+(SUMIFS(estoque[quantidade],estoque[produto],preçodiario[[#Headers],[OVO VERMELHO EXTRA]],estoque[fornecedor],"&lt;&gt;saída",estoque[data],preçodiario[[#This Row],[data]])))))</f>
        <v/>
      </c>
      <c r="AU55" s="22">
        <f>IF(preçodiario[[#This Row],[entrada EV]]=0,AU54-(SUMIFS(estoque[quantidade],estoque[fornecedor],"saída",estoque[produto],preçodiario[[#Headers],[OVO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Row],[data]]))+AU54+preçodiario[[#This Row],[entrada EV]])</f>
        <v>0</v>
      </c>
      <c r="AV55" s="22">
        <f>SUMIFS(estoque[quantidade],estoque[fornecedor],"&lt;&gt;saída",estoque[produto],preçodiario[[#Headers],[OVO VERMELHO EXTRA]],estoque[data],preçodiario[[#This Row],[data]])</f>
        <v>0</v>
      </c>
      <c r="AW55" s="20">
        <f>SUMIFS(estoque[valor total],estoque[fornecedor],"&lt;&gt;saída",estoque[produto],preçodiario[[#Headers],[OVO VERMELHO EXTRA]],estoque[data],preçodiario[[#This Row],[data]])</f>
        <v>0</v>
      </c>
      <c r="AX55" s="20">
        <f>IFERROR(preçodiario[[#This Row],[OVO VERMELHO EXTRA]]*preçodiario[[#This Row],[estoque EV]],0)</f>
        <v>0</v>
      </c>
      <c r="AY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Row],[data]])),((AY54*AZ54)+SUMIFS(estoque[valor total],estoque[produto],preçodiario[[#Headers],[OVO VERMELHO JUMBO]],estoque[data],preçodiario[[#This Row],[data]],estoque[fornecedor],"&lt;&gt;saída"))/(AZ54+(SUMIFS(estoque[quantidade],estoque[produto],preçodiario[[#Headers],[OVO VERMELHO JUMBO]],estoque[fornecedor],"&lt;&gt;saída",estoque[data],preçodiario[[#This Row],[data]])))))</f>
        <v/>
      </c>
      <c r="AZ55" s="22">
        <f>IF(preçodiario[[#This Row],[entrada JV]]=0,AZ54-(SUMIFS(estoque[quantidade],estoque[fornecedor],"saída",estoque[produto],preçodiario[[#Headers],[OVO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Row],[data]]))+AZ54+preçodiario[[#This Row],[entrada JV]])</f>
        <v>0</v>
      </c>
      <c r="BA55" s="22">
        <f>SUMIFS(estoque[quantidade],estoque[fornecedor],"&lt;&gt;saída",estoque[produto],preçodiario[[#Headers],[OVO VERMELHO JUMBO]],estoque[data],preçodiario[[#This Row],[data]])</f>
        <v>0</v>
      </c>
      <c r="BB55" s="20">
        <f>SUMIFS(estoque[valor total],estoque[fornecedor],"&lt;&gt;saída",estoque[produto],preçodiario[[#Headers],[OVO VERMELHO JUMBO]],estoque[data],preçodiario[[#This Row],[data]])</f>
        <v>0</v>
      </c>
      <c r="BC55" s="20">
        <f>IFERROR(preçodiario[[#This Row],[OVO VERMELHO JUMBO]]*preçodiario[[#This Row],[estoque JV]],0)</f>
        <v>0</v>
      </c>
      <c r="BD55" t="str">
        <f>TEXT(vendaAno[[#This Row],[data]],"mmm")</f>
        <v>fev</v>
      </c>
      <c r="BE55" t="str">
        <f>TEXT(vendaAno[[#This Row],[data]],"ddd")</f>
        <v>seg</v>
      </c>
      <c r="BF55" s="82">
        <f>WEEKNUM(vendaAno[[#This Row],[data]],13)</f>
        <v>8</v>
      </c>
      <c r="BG55" s="27">
        <f>preçodiario[[#This Row],[data]]</f>
        <v>46076</v>
      </c>
      <c r="BH55" s="8">
        <f>IF(SUMIFS(estoque[valor total],estoque[fornecedor],"&lt;&gt;saída",estoque[data],vendaAno[[#This Row],[data]])=0,"",SUMIFS(estoque[valor total],estoque[fornecedor],"&lt;&gt;saída",estoque[data],vendaAno[[#This Row],[data]]))</f>
        <v>6800</v>
      </c>
      <c r="BI55" s="8">
        <f>IF(SUMIFS(estoque[valor total],estoque[fornecedor],"saída",estoque[data],vendaAno[[#This Row],[data]])=0,"",SUMIFS(estoque[valor total],estoque[fornecedor],"saída",estoque[data],vendaAno[[#This Row],[data]]))</f>
        <v>895</v>
      </c>
      <c r="BJ5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Row],[data]]))/12+BJ54,"")</f>
        <v>45.249999999999957</v>
      </c>
      <c r="BK55" s="79">
        <f>IF(SUMIFS(estoque[quantidade],estoque[fornecedor],"saída",estoque[data],vendaAno[[#This Row],[data]])/12=0,"",SUMIFS(estoque[quantidade],estoque[fornecedor],"saída",estoque[data],vendaAno[[#This Row],[data]])/12)</f>
        <v>4.833333333333333</v>
      </c>
      <c r="BL55" s="8">
        <f ca="1">IF(vendaAno[[#This Row],[data]]&lt;=TODAY(),IF(SUMIFS(estoque[lucro],estoque[fornecedor],"saída",estoque[data],vendaAno[[#This Row],[data]])=0,AVERAGE(BL52:BL54),SUMIFS(estoque[lucro],estoque[fornecedor],"saída",estoque[data],vendaAno[[#This Row],[data]])),"")</f>
        <v>93.539999999999992</v>
      </c>
      <c r="BM55" s="10">
        <f ca="1">IFERROR(vendaAno[[#This Row],[lucro]]/vendaAno[[#This Row],[valor de venda]],"")</f>
        <v>0.10451396648044692</v>
      </c>
      <c r="BN5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7714.943617876168</v>
      </c>
      <c r="BO55" s="8">
        <f ca="1">IF(TODAY()&gt;=vendaAno[[#This Row],[data]],IF(vendaAno[[#This Row],[N°]]=BF54,vendaAno[[#This Row],[lucro]]-173.33+BO54,vendaAno[[#This Row],[lucro]]-150),"")</f>
        <v>-266.00000000000006</v>
      </c>
      <c r="BP55" s="81">
        <f ca="1">IF(TODAY()&gt;=vendaAno[[#This Row],[data]],SUM(BK49:BK55)*12,"")</f>
        <v>253.99999999999997</v>
      </c>
      <c r="BQ55" s="7">
        <f ca="1">IFERROR(vendaAno[[#This Row],[lucro]]/(vendaAno[[#This Row],[venda]]*12),"")</f>
        <v>1.6127586206896551</v>
      </c>
      <c r="BT55" s="95">
        <f ca="1">WEEKNUM(PvPcML[[#This Row],[data]],13)</f>
        <v>23</v>
      </c>
      <c r="BU55" s="132">
        <f t="shared" ca="1" si="0"/>
        <v>46180</v>
      </c>
      <c r="BV55" s="7">
        <f ca="1">IFERROR(SUMIFS(vendaAno[valor de venda],vendaAno[data],PvPcML[[#This Row],[data]])/(SUMIFS(vendaAno[venda],vendaAno[data],PvPcML[[#This Row],[data]])*12),"")</f>
        <v>19.206896551724139</v>
      </c>
      <c r="BW55" s="8">
        <f ca="1">IFERROR(SUMIFS(vendaAno[valor de venda],vendaAno[data],PvPcML[[#This Row],[data]])/(SUMIFS(vendaAno[venda],vendaAno[data],PvPcML[[#This Row],[data]])*12)-PvPcML[[#This Row],[lucro médio]],"")</f>
        <v>15.701034482758622</v>
      </c>
      <c r="BX55" s="7">
        <f ca="1">IF(SUMIFS(vendaAno[[lucro médio ]],vendaAno[data],PvPcML[[#This Row],[data]])=0,"",SUMIFS(vendaAno[[lucro médio ]],vendaAno[data],PvPcML[[#This Row],[data]]))</f>
        <v>3.5058620689655173</v>
      </c>
      <c r="CD55" s="7"/>
    </row>
    <row r="56" spans="1:83" x14ac:dyDescent="0.25">
      <c r="A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6" s="18" t="str">
        <f>TEXT(preçodiario[[#This Row],[data]],"MMM")</f>
        <v>fev</v>
      </c>
      <c r="C56" s="18" t="str">
        <f>TEXT(preçodiario[[#This Row],[data]],"ddd")</f>
        <v>ter</v>
      </c>
      <c r="D56" s="96">
        <f>WEEKNUM(preçodiario[[#This Row],[data]],13)</f>
        <v>8</v>
      </c>
      <c r="E56" s="37">
        <v>46077</v>
      </c>
      <c r="F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Row],[data]])),((F55*G55)+SUMIFS(estoque[valor total],estoque[produto],preçodiario[[#Headers],[OVO BRANCO A]],estoque[data],preçodiario[[#This Row],[data]],estoque[fornecedor],"&lt;&gt;saída"))/(G55+(SUMIFS(estoque[quantidade],estoque[produto],preçodiario[[#Headers],[OVO BRANCO A]],estoque[fornecedor],"&lt;&gt;saída",estoque[data],preçodiario[[#This Row],[data]])))))</f>
        <v>13.75</v>
      </c>
      <c r="G56" s="22">
        <f>IF(preçodiario[[#This Row],[entrada A]]=0,G55-(SUMIFS(estoque[quantidade],estoque[fornecedor],"saída",estoque[produto],preçodiario[[#Headers],[OVO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Row],[data]]))+G55+preçodiario[[#This Row],[entrada A]])</f>
        <v>114</v>
      </c>
      <c r="H56" s="22">
        <f>SUMIFS(estoque[quantidade],estoque[fornecedor],"&lt;&gt;saída",estoque[produto],preçodiario[[#Headers],[OVO BRANCO A]],estoque[data],preçodiario[[#This Row],[data]])</f>
        <v>0</v>
      </c>
      <c r="I56" s="20">
        <f>SUMIFS(estoque[valor total],estoque[fornecedor],"&lt;&gt;saída",estoque[produto],preçodiario[[#Headers],[OVO BRANCO A]],estoque[data],preçodiario[[#This Row],[data]])</f>
        <v>0</v>
      </c>
      <c r="J56" s="20">
        <f>IFERROR(preçodiario[[#This Row],[estoque A]]*preçodiario[[#This Row],[OVO BRANCO A]],0)</f>
        <v>1567.5</v>
      </c>
      <c r="K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Row],[data]])),((K55*L55)+SUMIFS(estoque[valor total],estoque[produto],preçodiario[[#Headers],[OVO BRANCO B]],estoque[data],preçodiario[[#This Row],[data]],estoque[fornecedor],"&lt;&gt;saída"))/(L55+(SUMIFS(estoque[quantidade],estoque[produto],preçodiario[[#Headers],[OVO BRANCO B]],estoque[fornecedor],"&lt;&gt;saída",estoque[data],preçodiario[[#This Row],[data]])))))</f>
        <v>12.953839321927175</v>
      </c>
      <c r="L56" s="22">
        <f>IF(preçodiario[[#This Row],[entrada B]]=0,L55-(SUMIFS(estoque[quantidade],estoque[fornecedor],"saída",estoque[produto],preçodiario[[#Headers],[OVO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Row],[data]]))+L55+preçodiario[[#This Row],[entrada B]])</f>
        <v>124</v>
      </c>
      <c r="M56" s="22">
        <f>SUMIFS(estoque[quantidade],estoque[fornecedor],"&lt;&gt;saída",estoque[produto],preçodiario[[#Headers],[OVO BRANCO B]],estoque[data],preçodiario[[#This Row],[data]])</f>
        <v>0</v>
      </c>
      <c r="N56" s="20">
        <f>SUMIFS(estoque[valor total],estoque[fornecedor],"&lt;&gt;saída",estoque[produto],preçodiario[[#Headers],[OVO BRANCO B]],estoque[data],preçodiario[[#This Row],[data]])</f>
        <v>0</v>
      </c>
      <c r="O56" s="20">
        <f>IFERROR(preçodiario[[#This Row],[OVO BRANCO B]]*preçodiario[[#This Row],[estoque B]],0)</f>
        <v>1606.2760759189698</v>
      </c>
      <c r="P5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Row],[data]])),((P55*Q55)+SUMIFS(estoque[valor total],estoque[produto],preçodiario[[#Headers],[OVO BRANCO C]],estoque[data],preçodiario[[#This Row],[data]],estoque[fornecedor],"&lt;&gt;saída"))/(Q55+(SUMIFS(estoque[quantidade],estoque[produto],preçodiario[[#Headers],[OVO BRANCO C]],estoque[fornecedor],"&lt;&gt;saída",estoque[data],preçodiario[[#This Row],[data]])))))</f>
        <v/>
      </c>
      <c r="Q56" s="22">
        <f>IF(preçodiario[[#This Row],[entrada C]]=0,Q55-(SUMIFS(estoque[quantidade],estoque[fornecedor],"saída",estoque[produto],preçodiario[[#Headers],[OVO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Row],[data]]))+Q55+preçodiario[[#This Row],[entrada C]])</f>
        <v>0</v>
      </c>
      <c r="R56" s="22">
        <f>SUMIFS(estoque[quantidade],estoque[fornecedor],"&lt;&gt;saída",estoque[produto],preçodiario[[#Headers],[OVO BRANCO C]],estoque[data],preçodiario[[#This Row],[data]])</f>
        <v>0</v>
      </c>
      <c r="S56" s="20">
        <f>SUMIFS(estoque[valor total],estoque[fornecedor],"&lt;&gt;saída",estoque[produto],preçodiario[[#Headers],[OVO BRANCO C]],estoque[data],preçodiario[[#This Row],[data]])</f>
        <v>0</v>
      </c>
      <c r="T56" s="20">
        <f>IFERROR(preçodiario[[#This Row],[OVO BRANCO C]]*preçodiario[[#This Row],[estoque C]],0)</f>
        <v>0</v>
      </c>
      <c r="U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Row],[data]])),((U55*V55)+SUMIFS(estoque[valor total],estoque[produto],preçodiario[[#Headers],[OVO BRANCO EXTRA]],estoque[data],preçodiario[[#This Row],[data]],estoque[fornecedor],"&lt;&gt;saída"))/(V55+(SUMIFS(estoque[quantidade],estoque[produto],preçodiario[[#Headers],[OVO BRANCO EXTRA]],estoque[fornecedor],"&lt;&gt;saída",estoque[data],preçodiario[[#This Row],[data]])))))</f>
        <v>14.664649032982194</v>
      </c>
      <c r="V56" s="22">
        <f>IF(preçodiario[[#This Row],[entrada E]]=0,V55-(SUMIFS(estoque[quantidade],estoque[fornecedor],"saída",estoque[produto],preçodiario[[#Headers],[OVO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Row],[data]]))+V55+preçodiario[[#This Row],[entrada E]])</f>
        <v>145</v>
      </c>
      <c r="W56" s="22">
        <f>SUMIFS(estoque[quantidade],estoque[fornecedor],"&lt;&gt;saída",estoque[produto],preçodiario[[#Headers],[OVO BRANCO EXTRA]],estoque[data],preçodiario[[#This Row],[data]])</f>
        <v>0</v>
      </c>
      <c r="X56" s="20">
        <f>SUMIFS(estoque[valor total],estoque[fornecedor],"&lt;&gt;saída",estoque[produto],preçodiario[[#Headers],[OVO BRANCO EXTRA]],estoque[data],preçodiario[[#This Row],[data]])</f>
        <v>0</v>
      </c>
      <c r="Y56" s="20">
        <f>IFERROR(preçodiario[[#This Row],[estoque E]]*preçodiario[[#This Row],[OVO BRANCO EXTRA]],0)</f>
        <v>2126.3741097824181</v>
      </c>
      <c r="Z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Row],[data]])),((Z55*AA55)+SUMIFS(estoque[valor total],estoque[produto],preçodiario[[#Headers],[OVO BRANCO JUMBO]],estoque[data],preçodiario[[#This Row],[data]],estoque[fornecedor],"&lt;&gt;saída"))/(AA55+(SUMIFS(estoque[quantidade],estoque[produto],preçodiario[[#Headers],[OVO BRANCO JUMBO]],estoque[fornecedor],"&lt;&gt;saída",estoque[data],preçodiario[[#This Row],[data]])))))</f>
        <v>15.431029089771663</v>
      </c>
      <c r="AA56" s="22">
        <f>IF(preçodiario[[#This Row],[entrada J]]=0,AA55-(SUMIFS(estoque[quantidade],estoque[fornecedor],"saída",estoque[produto],preçodiario[[#Headers],[OVO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Row],[data]]))+AA55+preçodiario[[#This Row],[entrada J]])</f>
        <v>119</v>
      </c>
      <c r="AB56" s="22">
        <f>SUMIFS(estoque[quantidade],estoque[fornecedor],"&lt;&gt;saída",estoque[produto],preçodiario[[#Headers],[OVO BRANCO JUMBO]],estoque[data],preçodiario[[#This Row],[data]])</f>
        <v>0</v>
      </c>
      <c r="AC56" s="20">
        <f>SUMIFS(estoque[valor total],estoque[fornecedor],"&lt;&gt;saída",estoque[produto],preçodiario[[#Headers],[OVO BRANCO JUMBO]],estoque[data],preçodiario[[#This Row],[data]])</f>
        <v>0</v>
      </c>
      <c r="AD56" s="20">
        <f>IFERROR(preçodiario[[#This Row],[OVO BRANCO JUMBO]]*preçodiario[[#This Row],[estoque J]],0)</f>
        <v>1836.2924616828279</v>
      </c>
      <c r="AE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Row],[data]])),((AE55*AF55)+SUMIFS(estoque[valor total],estoque[produto],preçodiario[[#Headers],[OVO VERMELHO A]],estoque[data],preçodiario[[#This Row],[data]],estoque[fornecedor],"&lt;&gt;saída"))/(AF55+(SUMIFS(estoque[quantidade],estoque[produto],preçodiario[[#Headers],[OVO VERMELHO A]],estoque[fornecedor],"&lt;&gt;saída",estoque[data],preçodiario[[#This Row],[data]])))))</f>
        <v/>
      </c>
      <c r="AF56" s="22">
        <f>IF(preçodiario[[#This Row],[entrada AV]]=0,AF55-(SUMIFS(estoque[quantidade],estoque[fornecedor],"saída",estoque[produto],preçodiario[[#Headers],[OVO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Row],[data]]))+AF55+preçodiario[[#This Row],[entrada AV]])</f>
        <v>0</v>
      </c>
      <c r="AG56" s="22">
        <f>SUMIFS(estoque[quantidade],estoque[fornecedor],"&lt;&gt;saída",estoque[produto],preçodiario[[#Headers],[OVO VERMELHO A]],estoque[data],preçodiario[[#This Row],[data]])</f>
        <v>0</v>
      </c>
      <c r="AH56" s="20">
        <f>SUMIFS(estoque[valor total],estoque[fornecedor],"&lt;&gt;saída",estoque[produto],preçodiario[[#Headers],[OVO VERMELHO A]],estoque[data],preçodiario[[#This Row],[data]])</f>
        <v>0</v>
      </c>
      <c r="AI56" s="20">
        <f>IFERROR(preçodiario[[#This Row],[OVO VERMELHO A]]*preçodiario[[#This Row],[estoque AV]],0)</f>
        <v>0</v>
      </c>
      <c r="AJ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Row],[data]])),((AJ55*AK55)+SUMIFS(estoque[valor total],estoque[produto],preçodiario[[#Headers],[OVO VERMELHO B]],estoque[data],preçodiario[[#This Row],[data]],estoque[fornecedor],"&lt;&gt;saída"))/(AK55+(SUMIFS(estoque[quantidade],estoque[produto],preçodiario[[#Headers],[OVO VERMELHO B]],estoque[fornecedor],"&lt;&gt;saída",estoque[data],preçodiario[[#This Row],[data]])))))</f>
        <v/>
      </c>
      <c r="AK56" s="22">
        <f>IF(preçodiario[[#This Row],[entrada BV]]=0,AK55-(SUMIFS(estoque[quantidade],estoque[fornecedor],"saída",estoque[produto],preçodiario[[#Headers],[OVO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Row],[data]]))+AK55+preçodiario[[#This Row],[entrada BV]])</f>
        <v>0</v>
      </c>
      <c r="AL56" s="22">
        <f>SUMIFS(estoque[quantidade],estoque[fornecedor],"&lt;&gt;saída",estoque[produto],preçodiario[[#Headers],[OVO VERMELHO B]],estoque[data],preçodiario[[#This Row],[data]])</f>
        <v>0</v>
      </c>
      <c r="AM56" s="20">
        <f>SUMIFS(estoque[valor total],estoque[fornecedor],"&lt;&gt;saída",estoque[produto],preçodiario[[#Headers],[OVO VERMELHO B]],estoque[data],preçodiario[[#This Row],[data]])</f>
        <v>0</v>
      </c>
      <c r="AN56" s="20">
        <f>IFERROR(preçodiario[[#This Row],[OVO VERMELHO B]]*preçodiario[[#This Row],[estoque BV]],0)</f>
        <v>0</v>
      </c>
      <c r="AO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Row],[data]])),((AO55*AP55)+SUMIFS(estoque[valor total],estoque[produto],preçodiario[[#Headers],[OVO VERMELHO C]],estoque[data],preçodiario[[#This Row],[data]],estoque[fornecedor],"&lt;&gt;saída"))/(AP55+(SUMIFS(estoque[quantidade],estoque[produto],preçodiario[[#Headers],[OVO VERMELHO C]],estoque[fornecedor],"&lt;&gt;saída",estoque[data],preçodiario[[#This Row],[data]])))))</f>
        <v/>
      </c>
      <c r="AP56" s="22">
        <f>IF(preçodiario[[#This Row],[entrada CV]]=0,AP55-(SUMIFS(estoque[quantidade],estoque[fornecedor],"saída",estoque[produto],preçodiario[[#Headers],[OVO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Row],[data]]))+AP55+preçodiario[[#This Row],[entrada CV]])</f>
        <v>0</v>
      </c>
      <c r="AQ56" s="22">
        <f>SUMIFS(estoque[quantidade],estoque[fornecedor],"&lt;&gt;saída",estoque[produto],preçodiario[[#Headers],[OVO VERMELHO C]],estoque[data],preçodiario[[#This Row],[data]])</f>
        <v>0</v>
      </c>
      <c r="AR56" s="20">
        <f>SUMIFS(estoque[valor total],estoque[fornecedor],"&lt;&gt;saída",estoque[produto],preçodiario[[#Headers],[OVO VERMELHO C]],estoque[data],preçodiario[[#This Row],[data]])</f>
        <v>0</v>
      </c>
      <c r="AS56" s="20">
        <f>IFERROR(preçodiario[[#This Row],[OVO VERMELHO C]]*preçodiario[[#This Row],[estoque CV]],0)</f>
        <v>0</v>
      </c>
      <c r="AT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Row],[data]])),((AT55*AU55)+SUMIFS(estoque[valor total],estoque[produto],preçodiario[[#Headers],[OVO VERMELHO EXTRA]],estoque[data],preçodiario[[#This Row],[data]],estoque[fornecedor],"&lt;&gt;saída"))/(AU55+(SUMIFS(estoque[quantidade],estoque[produto],preçodiario[[#Headers],[OVO VERMELHO EXTRA]],estoque[fornecedor],"&lt;&gt;saída",estoque[data],preçodiario[[#This Row],[data]])))))</f>
        <v/>
      </c>
      <c r="AU56" s="22">
        <f>IF(preçodiario[[#This Row],[entrada EV]]=0,AU55-(SUMIFS(estoque[quantidade],estoque[fornecedor],"saída",estoque[produto],preçodiario[[#Headers],[OVO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Row],[data]]))+AU55+preçodiario[[#This Row],[entrada EV]])</f>
        <v>0</v>
      </c>
      <c r="AV56" s="22">
        <f>SUMIFS(estoque[quantidade],estoque[fornecedor],"&lt;&gt;saída",estoque[produto],preçodiario[[#Headers],[OVO VERMELHO EXTRA]],estoque[data],preçodiario[[#This Row],[data]])</f>
        <v>0</v>
      </c>
      <c r="AW56" s="20">
        <f>SUMIFS(estoque[valor total],estoque[fornecedor],"&lt;&gt;saída",estoque[produto],preçodiario[[#Headers],[OVO VERMELHO EXTRA]],estoque[data],preçodiario[[#This Row],[data]])</f>
        <v>0</v>
      </c>
      <c r="AX56" s="20">
        <f>IFERROR(preçodiario[[#This Row],[OVO VERMELHO EXTRA]]*preçodiario[[#This Row],[estoque EV]],0)</f>
        <v>0</v>
      </c>
      <c r="AY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Row],[data]])),((AY55*AZ55)+SUMIFS(estoque[valor total],estoque[produto],preçodiario[[#Headers],[OVO VERMELHO JUMBO]],estoque[data],preçodiario[[#This Row],[data]],estoque[fornecedor],"&lt;&gt;saída"))/(AZ55+(SUMIFS(estoque[quantidade],estoque[produto],preçodiario[[#Headers],[OVO VERMELHO JUMBO]],estoque[fornecedor],"&lt;&gt;saída",estoque[data],preçodiario[[#This Row],[data]])))))</f>
        <v/>
      </c>
      <c r="AZ56" s="22">
        <f>IF(preçodiario[[#This Row],[entrada JV]]=0,AZ55-(SUMIFS(estoque[quantidade],estoque[fornecedor],"saída",estoque[produto],preçodiario[[#Headers],[OVO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Row],[data]]))+AZ55+preçodiario[[#This Row],[entrada JV]])</f>
        <v>0</v>
      </c>
      <c r="BA56" s="22">
        <f>SUMIFS(estoque[quantidade],estoque[fornecedor],"&lt;&gt;saída",estoque[produto],preçodiario[[#Headers],[OVO VERMELHO JUMBO]],estoque[data],preçodiario[[#This Row],[data]])</f>
        <v>0</v>
      </c>
      <c r="BB56" s="20">
        <f>SUMIFS(estoque[valor total],estoque[fornecedor],"&lt;&gt;saída",estoque[produto],preçodiario[[#Headers],[OVO VERMELHO JUMBO]],estoque[data],preçodiario[[#This Row],[data]])</f>
        <v>0</v>
      </c>
      <c r="BC56" s="20">
        <f>IFERROR(preçodiario[[#This Row],[OVO VERMELHO JUMBO]]*preçodiario[[#This Row],[estoque JV]],0)</f>
        <v>0</v>
      </c>
      <c r="BD56" t="str">
        <f>TEXT(vendaAno[[#This Row],[data]],"mmm")</f>
        <v>fev</v>
      </c>
      <c r="BE56" t="str">
        <f>TEXT(vendaAno[[#This Row],[data]],"ddd")</f>
        <v>ter</v>
      </c>
      <c r="BF56" s="82">
        <f>WEEKNUM(vendaAno[[#This Row],[data]],13)</f>
        <v>8</v>
      </c>
      <c r="BG56" s="27">
        <f>preçodiario[[#This Row],[data]]</f>
        <v>46077</v>
      </c>
      <c r="BH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6" s="8">
        <f>IF(SUMIFS(estoque[valor total],estoque[fornecedor],"saída",estoque[data],vendaAno[[#This Row],[data]])=0,"",SUMIFS(estoque[valor total],estoque[fornecedor],"saída",estoque[data],vendaAno[[#This Row],[data]]))</f>
        <v>756</v>
      </c>
      <c r="BJ5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Row],[data]]))/12+BJ55,"")</f>
        <v>41.833333333333293</v>
      </c>
      <c r="BK56" s="79">
        <f>IF(SUMIFS(estoque[quantidade],estoque[fornecedor],"saída",estoque[data],vendaAno[[#This Row],[data]])/12=0,"",SUMIFS(estoque[quantidade],estoque[fornecedor],"saída",estoque[data],vendaAno[[#This Row],[data]])/12)</f>
        <v>3.4166666666666665</v>
      </c>
      <c r="BL56" s="8">
        <f ca="1">IF(vendaAno[[#This Row],[data]]&lt;=TODAY(),IF(SUMIFS(estoque[lucro],estoque[fornecedor],"saída",estoque[data],vendaAno[[#This Row],[data]])=0,AVERAGE(BL53:BL55),SUMIFS(estoque[lucro],estoque[fornecedor],"saída",estoque[data],vendaAno[[#This Row],[data]])),"")</f>
        <v>177.5</v>
      </c>
      <c r="BM56" s="10">
        <f ca="1">IFERROR(vendaAno[[#This Row],[lucro]]/vendaAno[[#This Row],[valor de venda]],"")</f>
        <v>0.2347883597883598</v>
      </c>
      <c r="BN5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7136.4426473842159</v>
      </c>
      <c r="BO56" s="8">
        <f ca="1">IF(TODAY()&gt;=vendaAno[[#This Row],[data]],IF(vendaAno[[#This Row],[N°]]=BF55,vendaAno[[#This Row],[lucro]]-173.33+BO55,vendaAno[[#This Row],[lucro]]-150),"")</f>
        <v>-261.83000000000004</v>
      </c>
      <c r="BP56" s="81">
        <f ca="1">IF(TODAY()&gt;=vendaAno[[#This Row],[data]],SUM(BK50:BK56)*12,"")</f>
        <v>265</v>
      </c>
      <c r="BQ56" s="7">
        <f ca="1">IFERROR(vendaAno[[#This Row],[lucro]]/(vendaAno[[#This Row],[venda]]*12),"")</f>
        <v>4.3292682926829267</v>
      </c>
      <c r="BT56" s="95">
        <f ca="1">WEEKNUM(PvPcML[[#This Row],[data]],13)</f>
        <v>23</v>
      </c>
      <c r="BU56" s="132">
        <f t="shared" ca="1" si="0"/>
        <v>46179</v>
      </c>
      <c r="BV56" s="7">
        <f ca="1">IFERROR(SUMIFS(vendaAno[valor de venda],vendaAno[data],PvPcML[[#This Row],[data]])/(SUMIFS(vendaAno[venda],vendaAno[data],PvPcML[[#This Row],[data]])*12),"")</f>
        <v>19.466666666666665</v>
      </c>
      <c r="BW56" s="8">
        <f ca="1">IFERROR(SUMIFS(vendaAno[valor de venda],vendaAno[data],PvPcML[[#This Row],[data]])/(SUMIFS(vendaAno[venda],vendaAno[data],PvPcML[[#This Row],[data]])*12)-PvPcML[[#This Row],[lucro médio]],"")</f>
        <v>15.776666666666664</v>
      </c>
      <c r="BX56" s="7">
        <f ca="1">IF(SUMIFS(vendaAno[[lucro médio ]],vendaAno[data],PvPcML[[#This Row],[data]])=0,"",SUMIFS(vendaAno[[lucro médio ]],vendaAno[data],PvPcML[[#This Row],[data]]))</f>
        <v>3.6900000000000004</v>
      </c>
      <c r="CD56" s="7"/>
    </row>
    <row r="57" spans="1:83" x14ac:dyDescent="0.25">
      <c r="A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7" s="18" t="str">
        <f>TEXT(preçodiario[[#This Row],[data]],"MMM")</f>
        <v>fev</v>
      </c>
      <c r="C57" s="18" t="str">
        <f>TEXT(preçodiario[[#This Row],[data]],"ddd")</f>
        <v>qua</v>
      </c>
      <c r="D57" s="96">
        <f>WEEKNUM(preçodiario[[#This Row],[data]],13)</f>
        <v>9</v>
      </c>
      <c r="E57" s="37">
        <v>46078</v>
      </c>
      <c r="F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Row],[data]])),((F56*G56)+SUMIFS(estoque[valor total],estoque[produto],preçodiario[[#Headers],[OVO BRANCO A]],estoque[data],preçodiario[[#This Row],[data]],estoque[fornecedor],"&lt;&gt;saída"))/(G56+(SUMIFS(estoque[quantidade],estoque[produto],preçodiario[[#Headers],[OVO BRANCO A]],estoque[fornecedor],"&lt;&gt;saída",estoque[data],preçodiario[[#This Row],[data]])))))</f>
        <v>13.75</v>
      </c>
      <c r="G57" s="22">
        <f>IF(preçodiario[[#This Row],[entrada A]]=0,G56-(SUMIFS(estoque[quantidade],estoque[fornecedor],"saída",estoque[produto],preçodiario[[#Headers],[OVO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Row],[data]]))+G56+preçodiario[[#This Row],[entrada A]])</f>
        <v>99</v>
      </c>
      <c r="H57" s="22">
        <f>SUMIFS(estoque[quantidade],estoque[fornecedor],"&lt;&gt;saída",estoque[produto],preçodiario[[#Headers],[OVO BRANCO A]],estoque[data],preçodiario[[#This Row],[data]])</f>
        <v>0</v>
      </c>
      <c r="I57" s="20">
        <f>SUMIFS(estoque[valor total],estoque[fornecedor],"&lt;&gt;saída",estoque[produto],preçodiario[[#Headers],[OVO BRANCO A]],estoque[data],preçodiario[[#This Row],[data]])</f>
        <v>0</v>
      </c>
      <c r="J57" s="20">
        <f>IFERROR(preçodiario[[#This Row],[estoque A]]*preçodiario[[#This Row],[OVO BRANCO A]],0)</f>
        <v>1361.25</v>
      </c>
      <c r="K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Row],[data]])),((K56*L56)+SUMIFS(estoque[valor total],estoque[produto],preçodiario[[#Headers],[OVO BRANCO B]],estoque[data],preçodiario[[#This Row],[data]],estoque[fornecedor],"&lt;&gt;saída"))/(L56+(SUMIFS(estoque[quantidade],estoque[produto],preçodiario[[#Headers],[OVO BRANCO B]],estoque[fornecedor],"&lt;&gt;saída",estoque[data],preçodiario[[#This Row],[data]])))))</f>
        <v>12.953839321927175</v>
      </c>
      <c r="L57" s="22">
        <f>IF(preçodiario[[#This Row],[entrada B]]=0,L56-(SUMIFS(estoque[quantidade],estoque[fornecedor],"saída",estoque[produto],preçodiario[[#Headers],[OVO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Row],[data]]))+L56+preçodiario[[#This Row],[entrada B]])</f>
        <v>115</v>
      </c>
      <c r="M57" s="22">
        <f>SUMIFS(estoque[quantidade],estoque[fornecedor],"&lt;&gt;saída",estoque[produto],preçodiario[[#Headers],[OVO BRANCO B]],estoque[data],preçodiario[[#This Row],[data]])</f>
        <v>0</v>
      </c>
      <c r="N57" s="20">
        <f>SUMIFS(estoque[valor total],estoque[fornecedor],"&lt;&gt;saída",estoque[produto],preçodiario[[#Headers],[OVO BRANCO B]],estoque[data],preçodiario[[#This Row],[data]])</f>
        <v>0</v>
      </c>
      <c r="O57" s="20">
        <f>IFERROR(preçodiario[[#This Row],[OVO BRANCO B]]*preçodiario[[#This Row],[estoque B]],0)</f>
        <v>1489.6915220216251</v>
      </c>
      <c r="P5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Row],[data]])),((P56*Q56)+SUMIFS(estoque[valor total],estoque[produto],preçodiario[[#Headers],[OVO BRANCO C]],estoque[data],preçodiario[[#This Row],[data]],estoque[fornecedor],"&lt;&gt;saída"))/(Q56+(SUMIFS(estoque[quantidade],estoque[produto],preçodiario[[#Headers],[OVO BRANCO C]],estoque[fornecedor],"&lt;&gt;saída",estoque[data],preçodiario[[#This Row],[data]])))))</f>
        <v/>
      </c>
      <c r="Q57" s="22">
        <f>IF(preçodiario[[#This Row],[entrada C]]=0,Q56-(SUMIFS(estoque[quantidade],estoque[fornecedor],"saída",estoque[produto],preçodiario[[#Headers],[OVO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Row],[data]]))+Q56+preçodiario[[#This Row],[entrada C]])</f>
        <v>0</v>
      </c>
      <c r="R57" s="22">
        <f>SUMIFS(estoque[quantidade],estoque[fornecedor],"&lt;&gt;saída",estoque[produto],preçodiario[[#Headers],[OVO BRANCO C]],estoque[data],preçodiario[[#This Row],[data]])</f>
        <v>0</v>
      </c>
      <c r="S57" s="20">
        <f>SUMIFS(estoque[valor total],estoque[fornecedor],"&lt;&gt;saída",estoque[produto],preçodiario[[#Headers],[OVO BRANCO C]],estoque[data],preçodiario[[#This Row],[data]])</f>
        <v>0</v>
      </c>
      <c r="T57" s="20">
        <f>IFERROR(preçodiario[[#This Row],[OVO BRANCO C]]*preçodiario[[#This Row],[estoque C]],0)</f>
        <v>0</v>
      </c>
      <c r="U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Row],[data]])),((U56*V56)+SUMIFS(estoque[valor total],estoque[produto],preçodiario[[#Headers],[OVO BRANCO EXTRA]],estoque[data],preçodiario[[#This Row],[data]],estoque[fornecedor],"&lt;&gt;saída"))/(V56+(SUMIFS(estoque[quantidade],estoque[produto],preçodiario[[#Headers],[OVO BRANCO EXTRA]],estoque[fornecedor],"&lt;&gt;saída",estoque[data],preçodiario[[#This Row],[data]])))))</f>
        <v>14.664649032982194</v>
      </c>
      <c r="V57" s="22">
        <f>IF(preçodiario[[#This Row],[entrada E]]=0,V56-(SUMIFS(estoque[quantidade],estoque[fornecedor],"saída",estoque[produto],preçodiario[[#Headers],[OVO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Row],[data]]))+V56+preçodiario[[#This Row],[entrada E]])</f>
        <v>139</v>
      </c>
      <c r="W57" s="22">
        <f>SUMIFS(estoque[quantidade],estoque[fornecedor],"&lt;&gt;saída",estoque[produto],preçodiario[[#Headers],[OVO BRANCO EXTRA]],estoque[data],preçodiario[[#This Row],[data]])</f>
        <v>0</v>
      </c>
      <c r="X57" s="20">
        <f>SUMIFS(estoque[valor total],estoque[fornecedor],"&lt;&gt;saída",estoque[produto],preçodiario[[#Headers],[OVO BRANCO EXTRA]],estoque[data],preçodiario[[#This Row],[data]])</f>
        <v>0</v>
      </c>
      <c r="Y57" s="20">
        <f>IFERROR(preçodiario[[#This Row],[estoque E]]*preçodiario[[#This Row],[OVO BRANCO EXTRA]],0)</f>
        <v>2038.386215584525</v>
      </c>
      <c r="Z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Row],[data]])),((Z56*AA56)+SUMIFS(estoque[valor total],estoque[produto],preçodiario[[#Headers],[OVO BRANCO JUMBO]],estoque[data],preçodiario[[#This Row],[data]],estoque[fornecedor],"&lt;&gt;saída"))/(AA56+(SUMIFS(estoque[quantidade],estoque[produto],preçodiario[[#Headers],[OVO BRANCO JUMBO]],estoque[fornecedor],"&lt;&gt;saída",estoque[data],preçodiario[[#This Row],[data]])))))</f>
        <v>15.431029089771663</v>
      </c>
      <c r="AA57" s="22">
        <f>IF(preçodiario[[#This Row],[entrada J]]=0,AA56-(SUMIFS(estoque[quantidade],estoque[fornecedor],"saída",estoque[produto],preçodiario[[#Headers],[OVO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Row],[data]]))+AA56+preçodiario[[#This Row],[entrada J]])</f>
        <v>102</v>
      </c>
      <c r="AB57" s="22">
        <f>SUMIFS(estoque[quantidade],estoque[fornecedor],"&lt;&gt;saída",estoque[produto],preçodiario[[#Headers],[OVO BRANCO JUMBO]],estoque[data],preçodiario[[#This Row],[data]])</f>
        <v>0</v>
      </c>
      <c r="AC57" s="20">
        <f>SUMIFS(estoque[valor total],estoque[fornecedor],"&lt;&gt;saída",estoque[produto],preçodiario[[#Headers],[OVO BRANCO JUMBO]],estoque[data],preçodiario[[#This Row],[data]])</f>
        <v>0</v>
      </c>
      <c r="AD57" s="20">
        <f>IFERROR(preçodiario[[#This Row],[OVO BRANCO JUMBO]]*preçodiario[[#This Row],[estoque J]],0)</f>
        <v>1573.9649671567097</v>
      </c>
      <c r="AE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Row],[data]])),((AE56*AF56)+SUMIFS(estoque[valor total],estoque[produto],preçodiario[[#Headers],[OVO VERMELHO A]],estoque[data],preçodiario[[#This Row],[data]],estoque[fornecedor],"&lt;&gt;saída"))/(AF56+(SUMIFS(estoque[quantidade],estoque[produto],preçodiario[[#Headers],[OVO VERMELHO A]],estoque[fornecedor],"&lt;&gt;saída",estoque[data],preçodiario[[#This Row],[data]])))))</f>
        <v/>
      </c>
      <c r="AF57" s="22">
        <f>IF(preçodiario[[#This Row],[entrada AV]]=0,AF56-(SUMIFS(estoque[quantidade],estoque[fornecedor],"saída",estoque[produto],preçodiario[[#Headers],[OVO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Row],[data]]))+AF56+preçodiario[[#This Row],[entrada AV]])</f>
        <v>0</v>
      </c>
      <c r="AG57" s="22">
        <f>SUMIFS(estoque[quantidade],estoque[fornecedor],"&lt;&gt;saída",estoque[produto],preçodiario[[#Headers],[OVO VERMELHO A]],estoque[data],preçodiario[[#This Row],[data]])</f>
        <v>0</v>
      </c>
      <c r="AH57" s="20">
        <f>SUMIFS(estoque[valor total],estoque[fornecedor],"&lt;&gt;saída",estoque[produto],preçodiario[[#Headers],[OVO VERMELHO A]],estoque[data],preçodiario[[#This Row],[data]])</f>
        <v>0</v>
      </c>
      <c r="AI57" s="20">
        <f>IFERROR(preçodiario[[#This Row],[OVO VERMELHO A]]*preçodiario[[#This Row],[estoque AV]],0)</f>
        <v>0</v>
      </c>
      <c r="AJ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Row],[data]])),((AJ56*AK56)+SUMIFS(estoque[valor total],estoque[produto],preçodiario[[#Headers],[OVO VERMELHO B]],estoque[data],preçodiario[[#This Row],[data]],estoque[fornecedor],"&lt;&gt;saída"))/(AK56+(SUMIFS(estoque[quantidade],estoque[produto],preçodiario[[#Headers],[OVO VERMELHO B]],estoque[fornecedor],"&lt;&gt;saída",estoque[data],preçodiario[[#This Row],[data]])))))</f>
        <v/>
      </c>
      <c r="AK57" s="22">
        <f>IF(preçodiario[[#This Row],[entrada BV]]=0,AK56-(SUMIFS(estoque[quantidade],estoque[fornecedor],"saída",estoque[produto],preçodiario[[#Headers],[OVO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Row],[data]]))+AK56+preçodiario[[#This Row],[entrada BV]])</f>
        <v>0</v>
      </c>
      <c r="AL57" s="22">
        <f>SUMIFS(estoque[quantidade],estoque[fornecedor],"&lt;&gt;saída",estoque[produto],preçodiario[[#Headers],[OVO VERMELHO B]],estoque[data],preçodiario[[#This Row],[data]])</f>
        <v>0</v>
      </c>
      <c r="AM57" s="20">
        <f>SUMIFS(estoque[valor total],estoque[fornecedor],"&lt;&gt;saída",estoque[produto],preçodiario[[#Headers],[OVO VERMELHO B]],estoque[data],preçodiario[[#This Row],[data]])</f>
        <v>0</v>
      </c>
      <c r="AN57" s="20">
        <f>IFERROR(preçodiario[[#This Row],[OVO VERMELHO B]]*preçodiario[[#This Row],[estoque BV]],0)</f>
        <v>0</v>
      </c>
      <c r="AO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Row],[data]])),((AO56*AP56)+SUMIFS(estoque[valor total],estoque[produto],preçodiario[[#Headers],[OVO VERMELHO C]],estoque[data],preçodiario[[#This Row],[data]],estoque[fornecedor],"&lt;&gt;saída"))/(AP56+(SUMIFS(estoque[quantidade],estoque[produto],preçodiario[[#Headers],[OVO VERMELHO C]],estoque[fornecedor],"&lt;&gt;saída",estoque[data],preçodiario[[#This Row],[data]])))))</f>
        <v/>
      </c>
      <c r="AP57" s="22">
        <f>IF(preçodiario[[#This Row],[entrada CV]]=0,AP56-(SUMIFS(estoque[quantidade],estoque[fornecedor],"saída",estoque[produto],preçodiario[[#Headers],[OVO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Row],[data]]))+AP56+preçodiario[[#This Row],[entrada CV]])</f>
        <v>0</v>
      </c>
      <c r="AQ57" s="22">
        <f>SUMIFS(estoque[quantidade],estoque[fornecedor],"&lt;&gt;saída",estoque[produto],preçodiario[[#Headers],[OVO VERMELHO C]],estoque[data],preçodiario[[#This Row],[data]])</f>
        <v>0</v>
      </c>
      <c r="AR57" s="20">
        <f>SUMIFS(estoque[valor total],estoque[fornecedor],"&lt;&gt;saída",estoque[produto],preçodiario[[#Headers],[OVO VERMELHO C]],estoque[data],preçodiario[[#This Row],[data]])</f>
        <v>0</v>
      </c>
      <c r="AS57" s="20">
        <f>IFERROR(preçodiario[[#This Row],[OVO VERMELHO C]]*preçodiario[[#This Row],[estoque CV]],0)</f>
        <v>0</v>
      </c>
      <c r="AT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Row],[data]])),((AT56*AU56)+SUMIFS(estoque[valor total],estoque[produto],preçodiario[[#Headers],[OVO VERMELHO EXTRA]],estoque[data],preçodiario[[#This Row],[data]],estoque[fornecedor],"&lt;&gt;saída"))/(AU56+(SUMIFS(estoque[quantidade],estoque[produto],preçodiario[[#Headers],[OVO VERMELHO EXTRA]],estoque[fornecedor],"&lt;&gt;saída",estoque[data],preçodiario[[#This Row],[data]])))))</f>
        <v/>
      </c>
      <c r="AU57" s="22">
        <f>IF(preçodiario[[#This Row],[entrada EV]]=0,AU56-(SUMIFS(estoque[quantidade],estoque[fornecedor],"saída",estoque[produto],preçodiario[[#Headers],[OVO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Row],[data]]))+AU56+preçodiario[[#This Row],[entrada EV]])</f>
        <v>0</v>
      </c>
      <c r="AV57" s="22">
        <f>SUMIFS(estoque[quantidade],estoque[fornecedor],"&lt;&gt;saída",estoque[produto],preçodiario[[#Headers],[OVO VERMELHO EXTRA]],estoque[data],preçodiario[[#This Row],[data]])</f>
        <v>0</v>
      </c>
      <c r="AW57" s="20">
        <f>SUMIFS(estoque[valor total],estoque[fornecedor],"&lt;&gt;saída",estoque[produto],preçodiario[[#Headers],[OVO VERMELHO EXTRA]],estoque[data],preçodiario[[#This Row],[data]])</f>
        <v>0</v>
      </c>
      <c r="AX57" s="20">
        <f>IFERROR(preçodiario[[#This Row],[OVO VERMELHO EXTRA]]*preçodiario[[#This Row],[estoque EV]],0)</f>
        <v>0</v>
      </c>
      <c r="AY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Row],[data]])),((AY56*AZ56)+SUMIFS(estoque[valor total],estoque[produto],preçodiario[[#Headers],[OVO VERMELHO JUMBO]],estoque[data],preçodiario[[#This Row],[data]],estoque[fornecedor],"&lt;&gt;saída"))/(AZ56+(SUMIFS(estoque[quantidade],estoque[produto],preçodiario[[#Headers],[OVO VERMELHO JUMBO]],estoque[fornecedor],"&lt;&gt;saída",estoque[data],preçodiario[[#This Row],[data]])))))</f>
        <v/>
      </c>
      <c r="AZ57" s="22">
        <f>IF(preçodiario[[#This Row],[entrada JV]]=0,AZ56-(SUMIFS(estoque[quantidade],estoque[fornecedor],"saída",estoque[produto],preçodiario[[#Headers],[OVO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Row],[data]]))+AZ56+preçodiario[[#This Row],[entrada JV]])</f>
        <v>0</v>
      </c>
      <c r="BA57" s="22">
        <f>SUMIFS(estoque[quantidade],estoque[fornecedor],"&lt;&gt;saída",estoque[produto],preçodiario[[#Headers],[OVO VERMELHO JUMBO]],estoque[data],preçodiario[[#This Row],[data]])</f>
        <v>0</v>
      </c>
      <c r="BB57" s="20">
        <f>SUMIFS(estoque[valor total],estoque[fornecedor],"&lt;&gt;saída",estoque[produto],preçodiario[[#Headers],[OVO VERMELHO JUMBO]],estoque[data],preçodiario[[#This Row],[data]])</f>
        <v>0</v>
      </c>
      <c r="BC57" s="20">
        <f>IFERROR(preçodiario[[#This Row],[OVO VERMELHO JUMBO]]*preçodiario[[#This Row],[estoque JV]],0)</f>
        <v>0</v>
      </c>
      <c r="BD57" t="str">
        <f>TEXT(vendaAno[[#This Row],[data]],"mmm")</f>
        <v>fev</v>
      </c>
      <c r="BE57" t="str">
        <f>TEXT(vendaAno[[#This Row],[data]],"ddd")</f>
        <v>qua</v>
      </c>
      <c r="BF57" s="82">
        <f>WEEKNUM(vendaAno[[#This Row],[data]],13)</f>
        <v>9</v>
      </c>
      <c r="BG57" s="27">
        <f>preçodiario[[#This Row],[data]]</f>
        <v>46078</v>
      </c>
      <c r="BH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7" s="8">
        <f>IF(SUMIFS(estoque[valor total],estoque[fornecedor],"saída",estoque[data],vendaAno[[#This Row],[data]])=0,"",SUMIFS(estoque[valor total],estoque[fornecedor],"saída",estoque[data],vendaAno[[#This Row],[data]]))</f>
        <v>884</v>
      </c>
      <c r="BJ5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Row],[data]]))/12+BJ56,"")</f>
        <v>37.916666666666629</v>
      </c>
      <c r="BK57" s="79">
        <f>IF(SUMIFS(estoque[quantidade],estoque[fornecedor],"saída",estoque[data],vendaAno[[#This Row],[data]])/12=0,"",SUMIFS(estoque[quantidade],estoque[fornecedor],"saída",estoque[data],vendaAno[[#This Row],[data]])/12)</f>
        <v>3.9166666666666665</v>
      </c>
      <c r="BL57" s="8">
        <f ca="1">IF(vendaAno[[#This Row],[data]]&lt;=TODAY(),IF(SUMIFS(estoque[lucro],estoque[fornecedor],"saída",estoque[data],vendaAno[[#This Row],[data]])=0,AVERAGE(BL54:BL56),SUMIFS(estoque[lucro],estoque[fornecedor],"saída",estoque[data],vendaAno[[#This Row],[data]])),"")</f>
        <v>210.85000000000002</v>
      </c>
      <c r="BM57" s="10">
        <f ca="1">IFERROR(vendaAno[[#This Row],[lucro]]/vendaAno[[#This Row],[valor de venda]],"")</f>
        <v>0.23851809954751133</v>
      </c>
      <c r="BN5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6463.29270476286</v>
      </c>
      <c r="BO57" s="8">
        <f ca="1">IF(TODAY()&gt;=vendaAno[[#This Row],[data]],IF(vendaAno[[#This Row],[N°]]=BF56,vendaAno[[#This Row],[lucro]]-173.33+BO56,vendaAno[[#This Row],[lucro]]-150),"")</f>
        <v>60.850000000000023</v>
      </c>
      <c r="BP57" s="81">
        <f ca="1">IF(TODAY()&gt;=vendaAno[[#This Row],[data]],SUM(BK51:BK57)*12,"")</f>
        <v>263</v>
      </c>
      <c r="BQ57" s="7">
        <f ca="1">IFERROR(vendaAno[[#This Row],[lucro]]/(vendaAno[[#This Row],[venda]]*12),"")</f>
        <v>4.4861702127659582</v>
      </c>
      <c r="BT57" s="95">
        <f ca="1">WEEKNUM(PvPcML[[#This Row],[data]],13)</f>
        <v>23</v>
      </c>
      <c r="BU57" s="132">
        <f t="shared" ca="1" si="0"/>
        <v>46178</v>
      </c>
      <c r="BV57" s="7">
        <f ca="1">IFERROR(SUMIFS(vendaAno[valor de venda],vendaAno[data],PvPcML[[#This Row],[data]])/(SUMIFS(vendaAno[venda],vendaAno[data],PvPcML[[#This Row],[data]])*12),"")</f>
        <v>19.70967741935484</v>
      </c>
      <c r="BW57" s="8">
        <f ca="1">IFERROR(SUMIFS(vendaAno[valor de venda],vendaAno[data],PvPcML[[#This Row],[data]])/(SUMIFS(vendaAno[venda],vendaAno[data],PvPcML[[#This Row],[data]])*12)-PvPcML[[#This Row],[lucro médio]],"")</f>
        <v>15.983225806451614</v>
      </c>
      <c r="BX57" s="7">
        <f ca="1">IF(SUMIFS(vendaAno[[lucro médio ]],vendaAno[data],PvPcML[[#This Row],[data]])=0,"",SUMIFS(vendaAno[[lucro médio ]],vendaAno[data],PvPcML[[#This Row],[data]]))</f>
        <v>3.7264516129032264</v>
      </c>
      <c r="CD57" s="7"/>
    </row>
    <row r="58" spans="1:83" x14ac:dyDescent="0.25">
      <c r="A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8" s="18" t="str">
        <f>TEXT(preçodiario[[#This Row],[data]],"MMM")</f>
        <v>fev</v>
      </c>
      <c r="C58" s="18" t="str">
        <f>TEXT(preçodiario[[#This Row],[data]],"ddd")</f>
        <v>qui</v>
      </c>
      <c r="D58" s="96">
        <f>WEEKNUM(preçodiario[[#This Row],[data]],13)</f>
        <v>9</v>
      </c>
      <c r="E58" s="37">
        <v>46079</v>
      </c>
      <c r="F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Row],[data]])),((F57*G57)+SUMIFS(estoque[valor total],estoque[produto],preçodiario[[#Headers],[OVO BRANCO A]],estoque[data],preçodiario[[#This Row],[data]],estoque[fornecedor],"&lt;&gt;saída"))/(G57+(SUMIFS(estoque[quantidade],estoque[produto],preçodiario[[#Headers],[OVO BRANCO A]],estoque[fornecedor],"&lt;&gt;saída",estoque[data],preçodiario[[#This Row],[data]])))))</f>
        <v>13.75</v>
      </c>
      <c r="G58" s="22">
        <f>IF(preçodiario[[#This Row],[entrada A]]=0,G57-(SUMIFS(estoque[quantidade],estoque[fornecedor],"saída",estoque[produto],preçodiario[[#Headers],[OVO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Row],[data]]))+G57+preçodiario[[#This Row],[entrada A]])</f>
        <v>95</v>
      </c>
      <c r="H58" s="22">
        <f>SUMIFS(estoque[quantidade],estoque[fornecedor],"&lt;&gt;saída",estoque[produto],preçodiario[[#Headers],[OVO BRANCO A]],estoque[data],preçodiario[[#This Row],[data]])</f>
        <v>0</v>
      </c>
      <c r="I58" s="20">
        <f>SUMIFS(estoque[valor total],estoque[fornecedor],"&lt;&gt;saída",estoque[produto],preçodiario[[#Headers],[OVO BRANCO A]],estoque[data],preçodiario[[#This Row],[data]])</f>
        <v>0</v>
      </c>
      <c r="J58" s="20">
        <f>IFERROR(preçodiario[[#This Row],[estoque A]]*preçodiario[[#This Row],[OVO BRANCO A]],0)</f>
        <v>1306.25</v>
      </c>
      <c r="K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Row],[data]])),((K57*L57)+SUMIFS(estoque[valor total],estoque[produto],preçodiario[[#Headers],[OVO BRANCO B]],estoque[data],preçodiario[[#This Row],[data]],estoque[fornecedor],"&lt;&gt;saída"))/(L57+(SUMIFS(estoque[quantidade],estoque[produto],preçodiario[[#Headers],[OVO BRANCO B]],estoque[fornecedor],"&lt;&gt;saída",estoque[data],preçodiario[[#This Row],[data]])))))</f>
        <v>12.953839321927175</v>
      </c>
      <c r="L58" s="22">
        <f>IF(preçodiario[[#This Row],[entrada B]]=0,L57-(SUMIFS(estoque[quantidade],estoque[fornecedor],"saída",estoque[produto],preçodiario[[#Headers],[OVO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Row],[data]]))+L57+preçodiario[[#This Row],[entrada B]])</f>
        <v>93</v>
      </c>
      <c r="M58" s="22">
        <f>SUMIFS(estoque[quantidade],estoque[fornecedor],"&lt;&gt;saída",estoque[produto],preçodiario[[#Headers],[OVO BRANCO B]],estoque[data],preçodiario[[#This Row],[data]])</f>
        <v>0</v>
      </c>
      <c r="N58" s="20">
        <f>SUMIFS(estoque[valor total],estoque[fornecedor],"&lt;&gt;saída",estoque[produto],preçodiario[[#Headers],[OVO BRANCO B]],estoque[data],preçodiario[[#This Row],[data]])</f>
        <v>0</v>
      </c>
      <c r="O58" s="20">
        <f>IFERROR(preçodiario[[#This Row],[OVO BRANCO B]]*preçodiario[[#This Row],[estoque B]],0)</f>
        <v>1204.7070569392272</v>
      </c>
      <c r="P5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Row],[data]])),((P57*Q57)+SUMIFS(estoque[valor total],estoque[produto],preçodiario[[#Headers],[OVO BRANCO C]],estoque[data],preçodiario[[#This Row],[data]],estoque[fornecedor],"&lt;&gt;saída"))/(Q57+(SUMIFS(estoque[quantidade],estoque[produto],preçodiario[[#Headers],[OVO BRANCO C]],estoque[fornecedor],"&lt;&gt;saída",estoque[data],preçodiario[[#This Row],[data]])))))</f>
        <v/>
      </c>
      <c r="Q58" s="22">
        <f>IF(preçodiario[[#This Row],[entrada C]]=0,Q57-(SUMIFS(estoque[quantidade],estoque[fornecedor],"saída",estoque[produto],preçodiario[[#Headers],[OVO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Row],[data]]))+Q57+preçodiario[[#This Row],[entrada C]])</f>
        <v>0</v>
      </c>
      <c r="R58" s="22">
        <f>SUMIFS(estoque[quantidade],estoque[fornecedor],"&lt;&gt;saída",estoque[produto],preçodiario[[#Headers],[OVO BRANCO C]],estoque[data],preçodiario[[#This Row],[data]])</f>
        <v>0</v>
      </c>
      <c r="S58" s="20">
        <f>SUMIFS(estoque[valor total],estoque[fornecedor],"&lt;&gt;saída",estoque[produto],preçodiario[[#Headers],[OVO BRANCO C]],estoque[data],preçodiario[[#This Row],[data]])</f>
        <v>0</v>
      </c>
      <c r="T58" s="20">
        <f>IFERROR(preçodiario[[#This Row],[OVO BRANCO C]]*preçodiario[[#This Row],[estoque C]],0)</f>
        <v>0</v>
      </c>
      <c r="U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Row],[data]])),((U57*V57)+SUMIFS(estoque[valor total],estoque[produto],preçodiario[[#Headers],[OVO BRANCO EXTRA]],estoque[data],preçodiario[[#This Row],[data]],estoque[fornecedor],"&lt;&gt;saída"))/(V57+(SUMIFS(estoque[quantidade],estoque[produto],preçodiario[[#Headers],[OVO BRANCO EXTRA]],estoque[fornecedor],"&lt;&gt;saída",estoque[data],preçodiario[[#This Row],[data]])))))</f>
        <v>14.664649032982194</v>
      </c>
      <c r="V58" s="22">
        <f>IF(preçodiario[[#This Row],[entrada E]]=0,V57-(SUMIFS(estoque[quantidade],estoque[fornecedor],"saída",estoque[produto],preçodiario[[#Headers],[OVO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Row],[data]]))+V57+preçodiario[[#This Row],[entrada E]])</f>
        <v>127</v>
      </c>
      <c r="W58" s="22">
        <f>SUMIFS(estoque[quantidade],estoque[fornecedor],"&lt;&gt;saída",estoque[produto],preçodiario[[#Headers],[OVO BRANCO EXTRA]],estoque[data],preçodiario[[#This Row],[data]])</f>
        <v>0</v>
      </c>
      <c r="X58" s="20">
        <f>SUMIFS(estoque[valor total],estoque[fornecedor],"&lt;&gt;saída",estoque[produto],preçodiario[[#Headers],[OVO BRANCO EXTRA]],estoque[data],preçodiario[[#This Row],[data]])</f>
        <v>0</v>
      </c>
      <c r="Y58" s="20">
        <f>IFERROR(preçodiario[[#This Row],[estoque E]]*preçodiario[[#This Row],[OVO BRANCO EXTRA]],0)</f>
        <v>1862.4104271887386</v>
      </c>
      <c r="Z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Row],[data]])),((Z57*AA57)+SUMIFS(estoque[valor total],estoque[produto],preçodiario[[#Headers],[OVO BRANCO JUMBO]],estoque[data],preçodiario[[#This Row],[data]],estoque[fornecedor],"&lt;&gt;saída"))/(AA57+(SUMIFS(estoque[quantidade],estoque[produto],preçodiario[[#Headers],[OVO BRANCO JUMBO]],estoque[fornecedor],"&lt;&gt;saída",estoque[data],preçodiario[[#This Row],[data]])))))</f>
        <v>15.431029089771664</v>
      </c>
      <c r="AA58" s="22">
        <f>IF(preçodiario[[#This Row],[entrada J]]=0,AA57-(SUMIFS(estoque[quantidade],estoque[fornecedor],"saída",estoque[produto],preçodiario[[#Headers],[OVO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Row],[data]]))+AA57+preçodiario[[#This Row],[entrada J]])</f>
        <v>98</v>
      </c>
      <c r="AB58" s="22">
        <f>SUMIFS(estoque[quantidade],estoque[fornecedor],"&lt;&gt;saída",estoque[produto],preçodiario[[#Headers],[OVO BRANCO JUMBO]],estoque[data],preçodiario[[#This Row],[data]])</f>
        <v>0</v>
      </c>
      <c r="AC58" s="20">
        <f>SUMIFS(estoque[valor total],estoque[fornecedor],"&lt;&gt;saída",estoque[produto],preçodiario[[#Headers],[OVO BRANCO JUMBO]],estoque[data],preçodiario[[#This Row],[data]])</f>
        <v>0</v>
      </c>
      <c r="AD58" s="20">
        <f>IFERROR(preçodiario[[#This Row],[OVO BRANCO JUMBO]]*preçodiario[[#This Row],[estoque J]],0)</f>
        <v>1512.2408507976231</v>
      </c>
      <c r="AE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Row],[data]])),((AE57*AF57)+SUMIFS(estoque[valor total],estoque[produto],preçodiario[[#Headers],[OVO VERMELHO A]],estoque[data],preçodiario[[#This Row],[data]],estoque[fornecedor],"&lt;&gt;saída"))/(AF57+(SUMIFS(estoque[quantidade],estoque[produto],preçodiario[[#Headers],[OVO VERMELHO A]],estoque[fornecedor],"&lt;&gt;saída",estoque[data],preçodiario[[#This Row],[data]])))))</f>
        <v/>
      </c>
      <c r="AF58" s="22">
        <f>IF(preçodiario[[#This Row],[entrada AV]]=0,AF57-(SUMIFS(estoque[quantidade],estoque[fornecedor],"saída",estoque[produto],preçodiario[[#Headers],[OVO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Row],[data]]))+AF57+preçodiario[[#This Row],[entrada AV]])</f>
        <v>0</v>
      </c>
      <c r="AG58" s="22">
        <f>SUMIFS(estoque[quantidade],estoque[fornecedor],"&lt;&gt;saída",estoque[produto],preçodiario[[#Headers],[OVO VERMELHO A]],estoque[data],preçodiario[[#This Row],[data]])</f>
        <v>0</v>
      </c>
      <c r="AH58" s="20">
        <f>SUMIFS(estoque[valor total],estoque[fornecedor],"&lt;&gt;saída",estoque[produto],preçodiario[[#Headers],[OVO VERMELHO A]],estoque[data],preçodiario[[#This Row],[data]])</f>
        <v>0</v>
      </c>
      <c r="AI58" s="20">
        <f>IFERROR(preçodiario[[#This Row],[OVO VERMELHO A]]*preçodiario[[#This Row],[estoque AV]],0)</f>
        <v>0</v>
      </c>
      <c r="AJ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Row],[data]])),((AJ57*AK57)+SUMIFS(estoque[valor total],estoque[produto],preçodiario[[#Headers],[OVO VERMELHO B]],estoque[data],preçodiario[[#This Row],[data]],estoque[fornecedor],"&lt;&gt;saída"))/(AK57+(SUMIFS(estoque[quantidade],estoque[produto],preçodiario[[#Headers],[OVO VERMELHO B]],estoque[fornecedor],"&lt;&gt;saída",estoque[data],preçodiario[[#This Row],[data]])))))</f>
        <v/>
      </c>
      <c r="AK58" s="22">
        <f>IF(preçodiario[[#This Row],[entrada BV]]=0,AK57-(SUMIFS(estoque[quantidade],estoque[fornecedor],"saída",estoque[produto],preçodiario[[#Headers],[OVO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Row],[data]]))+AK57+preçodiario[[#This Row],[entrada BV]])</f>
        <v>0</v>
      </c>
      <c r="AL58" s="22">
        <f>SUMIFS(estoque[quantidade],estoque[fornecedor],"&lt;&gt;saída",estoque[produto],preçodiario[[#Headers],[OVO VERMELHO B]],estoque[data],preçodiario[[#This Row],[data]])</f>
        <v>0</v>
      </c>
      <c r="AM58" s="20">
        <f>SUMIFS(estoque[valor total],estoque[fornecedor],"&lt;&gt;saída",estoque[produto],preçodiario[[#Headers],[OVO VERMELHO B]],estoque[data],preçodiario[[#This Row],[data]])</f>
        <v>0</v>
      </c>
      <c r="AN58" s="20">
        <f>IFERROR(preçodiario[[#This Row],[OVO VERMELHO B]]*preçodiario[[#This Row],[estoque BV]],0)</f>
        <v>0</v>
      </c>
      <c r="AO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Row],[data]])),((AO57*AP57)+SUMIFS(estoque[valor total],estoque[produto],preçodiario[[#Headers],[OVO VERMELHO C]],estoque[data],preçodiario[[#This Row],[data]],estoque[fornecedor],"&lt;&gt;saída"))/(AP57+(SUMIFS(estoque[quantidade],estoque[produto],preçodiario[[#Headers],[OVO VERMELHO C]],estoque[fornecedor],"&lt;&gt;saída",estoque[data],preçodiario[[#This Row],[data]])))))</f>
        <v/>
      </c>
      <c r="AP58" s="22">
        <f>IF(preçodiario[[#This Row],[entrada CV]]=0,AP57-(SUMIFS(estoque[quantidade],estoque[fornecedor],"saída",estoque[produto],preçodiario[[#Headers],[OVO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Row],[data]]))+AP57+preçodiario[[#This Row],[entrada CV]])</f>
        <v>0</v>
      </c>
      <c r="AQ58" s="22">
        <f>SUMIFS(estoque[quantidade],estoque[fornecedor],"&lt;&gt;saída",estoque[produto],preçodiario[[#Headers],[OVO VERMELHO C]],estoque[data],preçodiario[[#This Row],[data]])</f>
        <v>0</v>
      </c>
      <c r="AR58" s="20">
        <f>SUMIFS(estoque[valor total],estoque[fornecedor],"&lt;&gt;saída",estoque[produto],preçodiario[[#Headers],[OVO VERMELHO C]],estoque[data],preçodiario[[#This Row],[data]])</f>
        <v>0</v>
      </c>
      <c r="AS58" s="20">
        <f>IFERROR(preçodiario[[#This Row],[OVO VERMELHO C]]*preçodiario[[#This Row],[estoque CV]],0)</f>
        <v>0</v>
      </c>
      <c r="AT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Row],[data]])),((AT57*AU57)+SUMIFS(estoque[valor total],estoque[produto],preçodiario[[#Headers],[OVO VERMELHO EXTRA]],estoque[data],preçodiario[[#This Row],[data]],estoque[fornecedor],"&lt;&gt;saída"))/(AU57+(SUMIFS(estoque[quantidade],estoque[produto],preçodiario[[#Headers],[OVO VERMELHO EXTRA]],estoque[fornecedor],"&lt;&gt;saída",estoque[data],preçodiario[[#This Row],[data]])))))</f>
        <v/>
      </c>
      <c r="AU58" s="22">
        <f>IF(preçodiario[[#This Row],[entrada EV]]=0,AU57-(SUMIFS(estoque[quantidade],estoque[fornecedor],"saída",estoque[produto],preçodiario[[#Headers],[OVO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Row],[data]]))+AU57+preçodiario[[#This Row],[entrada EV]])</f>
        <v>0</v>
      </c>
      <c r="AV58" s="22">
        <f>SUMIFS(estoque[quantidade],estoque[fornecedor],"&lt;&gt;saída",estoque[produto],preçodiario[[#Headers],[OVO VERMELHO EXTRA]],estoque[data],preçodiario[[#This Row],[data]])</f>
        <v>0</v>
      </c>
      <c r="AW58" s="20">
        <f>SUMIFS(estoque[valor total],estoque[fornecedor],"&lt;&gt;saída",estoque[produto],preçodiario[[#Headers],[OVO VERMELHO EXTRA]],estoque[data],preçodiario[[#This Row],[data]])</f>
        <v>0</v>
      </c>
      <c r="AX58" s="20">
        <f>IFERROR(preçodiario[[#This Row],[OVO VERMELHO EXTRA]]*preçodiario[[#This Row],[estoque EV]],0)</f>
        <v>0</v>
      </c>
      <c r="AY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Row],[data]])),((AY57*AZ57)+SUMIFS(estoque[valor total],estoque[produto],preçodiario[[#Headers],[OVO VERMELHO JUMBO]],estoque[data],preçodiario[[#This Row],[data]],estoque[fornecedor],"&lt;&gt;saída"))/(AZ57+(SUMIFS(estoque[quantidade],estoque[produto],preçodiario[[#Headers],[OVO VERMELHO JUMBO]],estoque[fornecedor],"&lt;&gt;saída",estoque[data],preçodiario[[#This Row],[data]])))))</f>
        <v/>
      </c>
      <c r="AZ58" s="22">
        <f>IF(preçodiario[[#This Row],[entrada JV]]=0,AZ57-(SUMIFS(estoque[quantidade],estoque[fornecedor],"saída",estoque[produto],preçodiario[[#Headers],[OVO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Row],[data]]))+AZ57+preçodiario[[#This Row],[entrada JV]])</f>
        <v>0</v>
      </c>
      <c r="BA58" s="22">
        <f>SUMIFS(estoque[quantidade],estoque[fornecedor],"&lt;&gt;saída",estoque[produto],preçodiario[[#Headers],[OVO VERMELHO JUMBO]],estoque[data],preçodiario[[#This Row],[data]])</f>
        <v>0</v>
      </c>
      <c r="BB58" s="20">
        <f>SUMIFS(estoque[valor total],estoque[fornecedor],"&lt;&gt;saída",estoque[produto],preçodiario[[#Headers],[OVO VERMELHO JUMBO]],estoque[data],preçodiario[[#This Row],[data]])</f>
        <v>0</v>
      </c>
      <c r="BC58" s="20">
        <f>IFERROR(preçodiario[[#This Row],[OVO VERMELHO JUMBO]]*preçodiario[[#This Row],[estoque JV]],0)</f>
        <v>0</v>
      </c>
      <c r="BD58" t="str">
        <f>TEXT(vendaAno[[#This Row],[data]],"mmm")</f>
        <v>fev</v>
      </c>
      <c r="BE58" t="str">
        <f>TEXT(vendaAno[[#This Row],[data]],"ddd")</f>
        <v>qui</v>
      </c>
      <c r="BF58" s="82">
        <f>WEEKNUM(vendaAno[[#This Row],[data]],13)</f>
        <v>9</v>
      </c>
      <c r="BG58" s="27">
        <f>preçodiario[[#This Row],[data]]</f>
        <v>46079</v>
      </c>
      <c r="BH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8" s="8">
        <f>IF(SUMIFS(estoque[valor total],estoque[fornecedor],"saída",estoque[data],vendaAno[[#This Row],[data]])=0,"",SUMIFS(estoque[valor total],estoque[fornecedor],"saída",estoque[data],vendaAno[[#This Row],[data]]))</f>
        <v>734</v>
      </c>
      <c r="BJ5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Row],[data]]))/12+BJ57,"")</f>
        <v>34.416666666666629</v>
      </c>
      <c r="BK58" s="79">
        <f>IF(SUMIFS(estoque[quantidade],estoque[fornecedor],"saída",estoque[data],vendaAno[[#This Row],[data]])/12=0,"",SUMIFS(estoque[quantidade],estoque[fornecedor],"saída",estoque[data],vendaAno[[#This Row],[data]])/12)</f>
        <v>3.5</v>
      </c>
      <c r="BL58" s="8">
        <f ca="1">IF(vendaAno[[#This Row],[data]]&lt;=TODAY(),IF(SUMIFS(estoque[lucro],estoque[fornecedor],"saída",estoque[data],vendaAno[[#This Row],[data]])=0,AVERAGE(BL55:BL57),SUMIFS(estoque[lucro],estoque[fornecedor],"saída",estoque[data],vendaAno[[#This Row],[data]])),"")</f>
        <v>156.32</v>
      </c>
      <c r="BM58" s="10">
        <f ca="1">IFERROR(vendaAno[[#This Row],[lucro]]/vendaAno[[#This Row],[valor de venda]],"")</f>
        <v>0.21297002724795638</v>
      </c>
      <c r="BN5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5885.6083349255887</v>
      </c>
      <c r="BO58" s="8">
        <f ca="1">IF(TODAY()&gt;=vendaAno[[#This Row],[data]],IF(vendaAno[[#This Row],[N°]]=BF57,vendaAno[[#This Row],[lucro]]-173.33+BO57,vendaAno[[#This Row],[lucro]]-150),"")</f>
        <v>43.84</v>
      </c>
      <c r="BP58" s="81">
        <f ca="1">IF(TODAY()&gt;=vendaAno[[#This Row],[data]],SUM(BK52:BK58)*12,"")</f>
        <v>276</v>
      </c>
      <c r="BQ58" s="7">
        <f ca="1">IFERROR(vendaAno[[#This Row],[lucro]]/(vendaAno[[#This Row],[venda]]*12),"")</f>
        <v>3.7219047619047618</v>
      </c>
      <c r="BT58" s="95">
        <f ca="1">WEEKNUM(PvPcML[[#This Row],[data]],13)</f>
        <v>23</v>
      </c>
      <c r="BU58" s="132">
        <f t="shared" ca="1" si="0"/>
        <v>46177</v>
      </c>
      <c r="BV58" s="7">
        <f ca="1">IFERROR(SUMIFS(vendaAno[valor de venda],vendaAno[data],PvPcML[[#This Row],[data]])/(SUMIFS(vendaAno[venda],vendaAno[data],PvPcML[[#This Row],[data]])*12),"")</f>
        <v>18.372093023255815</v>
      </c>
      <c r="BW58" s="8">
        <f ca="1">IFERROR(SUMIFS(vendaAno[valor de venda],vendaAno[data],PvPcML[[#This Row],[data]])/(SUMIFS(vendaAno[venda],vendaAno[data],PvPcML[[#This Row],[data]])*12)-PvPcML[[#This Row],[lucro médio]],"")</f>
        <v>16.065813953488373</v>
      </c>
      <c r="BX58" s="7">
        <f ca="1">IF(SUMIFS(vendaAno[[lucro médio ]],vendaAno[data],PvPcML[[#This Row],[data]])=0,"",SUMIFS(vendaAno[[lucro médio ]],vendaAno[data],PvPcML[[#This Row],[data]]))</f>
        <v>2.306279069767442</v>
      </c>
      <c r="CD58" s="7"/>
    </row>
    <row r="59" spans="1:83" x14ac:dyDescent="0.25">
      <c r="A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59" s="18" t="str">
        <f>TEXT(preçodiario[[#This Row],[data]],"MMM")</f>
        <v>fev</v>
      </c>
      <c r="C59" s="18" t="str">
        <f>TEXT(preçodiario[[#This Row],[data]],"ddd")</f>
        <v>sex</v>
      </c>
      <c r="D59" s="96">
        <f>WEEKNUM(preçodiario[[#This Row],[data]],13)</f>
        <v>9</v>
      </c>
      <c r="E59" s="37">
        <v>46080</v>
      </c>
      <c r="F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Row],[data]])),((F58*G58)+SUMIFS(estoque[valor total],estoque[produto],preçodiario[[#Headers],[OVO BRANCO A]],estoque[data],preçodiario[[#This Row],[data]],estoque[fornecedor],"&lt;&gt;saída"))/(G58+(SUMIFS(estoque[quantidade],estoque[produto],preçodiario[[#Headers],[OVO BRANCO A]],estoque[fornecedor],"&lt;&gt;saída",estoque[data],preçodiario[[#This Row],[data]])))))</f>
        <v>13.75</v>
      </c>
      <c r="G59" s="22">
        <f>IF(preçodiario[[#This Row],[entrada A]]=0,G58-(SUMIFS(estoque[quantidade],estoque[fornecedor],"saída",estoque[produto],preçodiario[[#Headers],[OVO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Row],[data]]))+G58+preçodiario[[#This Row],[entrada A]])</f>
        <v>91</v>
      </c>
      <c r="H59" s="22">
        <f>SUMIFS(estoque[quantidade],estoque[fornecedor],"&lt;&gt;saída",estoque[produto],preçodiario[[#Headers],[OVO BRANCO A]],estoque[data],preçodiario[[#This Row],[data]])</f>
        <v>0</v>
      </c>
      <c r="I59" s="20">
        <f>SUMIFS(estoque[valor total],estoque[fornecedor],"&lt;&gt;saída",estoque[produto],preçodiario[[#Headers],[OVO BRANCO A]],estoque[data],preçodiario[[#This Row],[data]])</f>
        <v>0</v>
      </c>
      <c r="J59" s="20">
        <f>IFERROR(preçodiario[[#This Row],[estoque A]]*preçodiario[[#This Row],[OVO BRANCO A]],0)</f>
        <v>1251.25</v>
      </c>
      <c r="K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Row],[data]])),((K58*L58)+SUMIFS(estoque[valor total],estoque[produto],preçodiario[[#Headers],[OVO BRANCO B]],estoque[data],preçodiario[[#This Row],[data]],estoque[fornecedor],"&lt;&gt;saída"))/(L58+(SUMIFS(estoque[quantidade],estoque[produto],preçodiario[[#Headers],[OVO BRANCO B]],estoque[fornecedor],"&lt;&gt;saída",estoque[data],preçodiario[[#This Row],[data]])))))</f>
        <v>12.953839321927173</v>
      </c>
      <c r="L59" s="22">
        <f>IF(preçodiario[[#This Row],[entrada B]]=0,L58-(SUMIFS(estoque[quantidade],estoque[fornecedor],"saída",estoque[produto],preçodiario[[#Headers],[OVO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Row],[data]]))+L58+preçodiario[[#This Row],[entrada B]])</f>
        <v>70</v>
      </c>
      <c r="M59" s="22">
        <f>SUMIFS(estoque[quantidade],estoque[fornecedor],"&lt;&gt;saída",estoque[produto],preçodiario[[#Headers],[OVO BRANCO B]],estoque[data],preçodiario[[#This Row],[data]])</f>
        <v>0</v>
      </c>
      <c r="N59" s="20">
        <f>SUMIFS(estoque[valor total],estoque[fornecedor],"&lt;&gt;saída",estoque[produto],preçodiario[[#Headers],[OVO BRANCO B]],estoque[data],preçodiario[[#This Row],[data]])</f>
        <v>0</v>
      </c>
      <c r="O59" s="20">
        <f>IFERROR(preçodiario[[#This Row],[OVO BRANCO B]]*preçodiario[[#This Row],[estoque B]],0)</f>
        <v>906.76875253490209</v>
      </c>
      <c r="P5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Row],[data]])),((P58*Q58)+SUMIFS(estoque[valor total],estoque[produto],preçodiario[[#Headers],[OVO BRANCO C]],estoque[data],preçodiario[[#This Row],[data]],estoque[fornecedor],"&lt;&gt;saída"))/(Q58+(SUMIFS(estoque[quantidade],estoque[produto],preçodiario[[#Headers],[OVO BRANCO C]],estoque[fornecedor],"&lt;&gt;saída",estoque[data],preçodiario[[#This Row],[data]])))))</f>
        <v/>
      </c>
      <c r="Q59" s="22">
        <f>IF(preçodiario[[#This Row],[entrada C]]=0,Q58-(SUMIFS(estoque[quantidade],estoque[fornecedor],"saída",estoque[produto],preçodiario[[#Headers],[OVO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Row],[data]]))+Q58+preçodiario[[#This Row],[entrada C]])</f>
        <v>0</v>
      </c>
      <c r="R59" s="22">
        <f>SUMIFS(estoque[quantidade],estoque[fornecedor],"&lt;&gt;saída",estoque[produto],preçodiario[[#Headers],[OVO BRANCO C]],estoque[data],preçodiario[[#This Row],[data]])</f>
        <v>0</v>
      </c>
      <c r="S59" s="20">
        <f>SUMIFS(estoque[valor total],estoque[fornecedor],"&lt;&gt;saída",estoque[produto],preçodiario[[#Headers],[OVO BRANCO C]],estoque[data],preçodiario[[#This Row],[data]])</f>
        <v>0</v>
      </c>
      <c r="T59" s="20">
        <f>IFERROR(preçodiario[[#This Row],[OVO BRANCO C]]*preçodiario[[#This Row],[estoque C]],0)</f>
        <v>0</v>
      </c>
      <c r="U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Row],[data]])),((U58*V58)+SUMIFS(estoque[valor total],estoque[produto],preçodiario[[#Headers],[OVO BRANCO EXTRA]],estoque[data],preçodiario[[#This Row],[data]],estoque[fornecedor],"&lt;&gt;saída"))/(V58+(SUMIFS(estoque[quantidade],estoque[produto],preçodiario[[#Headers],[OVO BRANCO EXTRA]],estoque[fornecedor],"&lt;&gt;saída",estoque[data],preçodiario[[#This Row],[data]])))))</f>
        <v>14.664649032982194</v>
      </c>
      <c r="V59" s="22">
        <f>IF(preçodiario[[#This Row],[entrada E]]=0,V58-(SUMIFS(estoque[quantidade],estoque[fornecedor],"saída",estoque[produto],preçodiario[[#Headers],[OVO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Row],[data]]))+V58+preçodiario[[#This Row],[entrada E]])</f>
        <v>115</v>
      </c>
      <c r="W59" s="22">
        <f>SUMIFS(estoque[quantidade],estoque[fornecedor],"&lt;&gt;saída",estoque[produto],preçodiario[[#Headers],[OVO BRANCO EXTRA]],estoque[data],preçodiario[[#This Row],[data]])</f>
        <v>0</v>
      </c>
      <c r="X59" s="20">
        <f>SUMIFS(estoque[valor total],estoque[fornecedor],"&lt;&gt;saída",estoque[produto],preçodiario[[#Headers],[OVO BRANCO EXTRA]],estoque[data],preçodiario[[#This Row],[data]])</f>
        <v>0</v>
      </c>
      <c r="Y59" s="20">
        <f>IFERROR(preçodiario[[#This Row],[estoque E]]*preçodiario[[#This Row],[OVO BRANCO EXTRA]],0)</f>
        <v>1686.4346387929522</v>
      </c>
      <c r="Z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Row],[data]])),((Z58*AA58)+SUMIFS(estoque[valor total],estoque[produto],preçodiario[[#Headers],[OVO BRANCO JUMBO]],estoque[data],preçodiario[[#This Row],[data]],estoque[fornecedor],"&lt;&gt;saída"))/(AA58+(SUMIFS(estoque[quantidade],estoque[produto],preçodiario[[#Headers],[OVO BRANCO JUMBO]],estoque[fornecedor],"&lt;&gt;saída",estoque[data],preçodiario[[#This Row],[data]])))))</f>
        <v>15.431029089771664</v>
      </c>
      <c r="AA59" s="22">
        <f>IF(preçodiario[[#This Row],[entrada J]]=0,AA58-(SUMIFS(estoque[quantidade],estoque[fornecedor],"saída",estoque[produto],preçodiario[[#Headers],[OVO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Row],[data]]))+AA58+preçodiario[[#This Row],[entrada J]])</f>
        <v>88</v>
      </c>
      <c r="AB59" s="22">
        <f>SUMIFS(estoque[quantidade],estoque[fornecedor],"&lt;&gt;saída",estoque[produto],preçodiario[[#Headers],[OVO BRANCO JUMBO]],estoque[data],preçodiario[[#This Row],[data]])</f>
        <v>0</v>
      </c>
      <c r="AC59" s="20">
        <f>SUMIFS(estoque[valor total],estoque[fornecedor],"&lt;&gt;saída",estoque[produto],preçodiario[[#Headers],[OVO BRANCO JUMBO]],estoque[data],preçodiario[[#This Row],[data]])</f>
        <v>0</v>
      </c>
      <c r="AD59" s="20">
        <f>IFERROR(preçodiario[[#This Row],[OVO BRANCO JUMBO]]*preçodiario[[#This Row],[estoque J]],0)</f>
        <v>1357.9305598999065</v>
      </c>
      <c r="AE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Row],[data]])),((AE58*AF58)+SUMIFS(estoque[valor total],estoque[produto],preçodiario[[#Headers],[OVO VERMELHO A]],estoque[data],preçodiario[[#This Row],[data]],estoque[fornecedor],"&lt;&gt;saída"))/(AF58+(SUMIFS(estoque[quantidade],estoque[produto],preçodiario[[#Headers],[OVO VERMELHO A]],estoque[fornecedor],"&lt;&gt;saída",estoque[data],preçodiario[[#This Row],[data]])))))</f>
        <v/>
      </c>
      <c r="AF59" s="22">
        <f>IF(preçodiario[[#This Row],[entrada AV]]=0,AF58-(SUMIFS(estoque[quantidade],estoque[fornecedor],"saída",estoque[produto],preçodiario[[#Headers],[OVO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Row],[data]]))+AF58+preçodiario[[#This Row],[entrada AV]])</f>
        <v>0</v>
      </c>
      <c r="AG59" s="22">
        <f>SUMIFS(estoque[quantidade],estoque[fornecedor],"&lt;&gt;saída",estoque[produto],preçodiario[[#Headers],[OVO VERMELHO A]],estoque[data],preçodiario[[#This Row],[data]])</f>
        <v>0</v>
      </c>
      <c r="AH59" s="20">
        <f>SUMIFS(estoque[valor total],estoque[fornecedor],"&lt;&gt;saída",estoque[produto],preçodiario[[#Headers],[OVO VERMELHO A]],estoque[data],preçodiario[[#This Row],[data]])</f>
        <v>0</v>
      </c>
      <c r="AI59" s="20">
        <f>IFERROR(preçodiario[[#This Row],[OVO VERMELHO A]]*preçodiario[[#This Row],[estoque AV]],0)</f>
        <v>0</v>
      </c>
      <c r="AJ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Row],[data]])),((AJ58*AK58)+SUMIFS(estoque[valor total],estoque[produto],preçodiario[[#Headers],[OVO VERMELHO B]],estoque[data],preçodiario[[#This Row],[data]],estoque[fornecedor],"&lt;&gt;saída"))/(AK58+(SUMIFS(estoque[quantidade],estoque[produto],preçodiario[[#Headers],[OVO VERMELHO B]],estoque[fornecedor],"&lt;&gt;saída",estoque[data],preçodiario[[#This Row],[data]])))))</f>
        <v/>
      </c>
      <c r="AK59" s="22">
        <f>IF(preçodiario[[#This Row],[entrada BV]]=0,AK58-(SUMIFS(estoque[quantidade],estoque[fornecedor],"saída",estoque[produto],preçodiario[[#Headers],[OVO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Row],[data]]))+AK58+preçodiario[[#This Row],[entrada BV]])</f>
        <v>0</v>
      </c>
      <c r="AL59" s="22">
        <f>SUMIFS(estoque[quantidade],estoque[fornecedor],"&lt;&gt;saída",estoque[produto],preçodiario[[#Headers],[OVO VERMELHO B]],estoque[data],preçodiario[[#This Row],[data]])</f>
        <v>0</v>
      </c>
      <c r="AM59" s="20">
        <f>SUMIFS(estoque[valor total],estoque[fornecedor],"&lt;&gt;saída",estoque[produto],preçodiario[[#Headers],[OVO VERMELHO B]],estoque[data],preçodiario[[#This Row],[data]])</f>
        <v>0</v>
      </c>
      <c r="AN59" s="20">
        <f>IFERROR(preçodiario[[#This Row],[OVO VERMELHO B]]*preçodiario[[#This Row],[estoque BV]],0)</f>
        <v>0</v>
      </c>
      <c r="AO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Row],[data]])),((AO58*AP58)+SUMIFS(estoque[valor total],estoque[produto],preçodiario[[#Headers],[OVO VERMELHO C]],estoque[data],preçodiario[[#This Row],[data]],estoque[fornecedor],"&lt;&gt;saída"))/(AP58+(SUMIFS(estoque[quantidade],estoque[produto],preçodiario[[#Headers],[OVO VERMELHO C]],estoque[fornecedor],"&lt;&gt;saída",estoque[data],preçodiario[[#This Row],[data]])))))</f>
        <v/>
      </c>
      <c r="AP59" s="22">
        <f>IF(preçodiario[[#This Row],[entrada CV]]=0,AP58-(SUMIFS(estoque[quantidade],estoque[fornecedor],"saída",estoque[produto],preçodiario[[#Headers],[OVO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Row],[data]]))+AP58+preçodiario[[#This Row],[entrada CV]])</f>
        <v>0</v>
      </c>
      <c r="AQ59" s="22">
        <f>SUMIFS(estoque[quantidade],estoque[fornecedor],"&lt;&gt;saída",estoque[produto],preçodiario[[#Headers],[OVO VERMELHO C]],estoque[data],preçodiario[[#This Row],[data]])</f>
        <v>0</v>
      </c>
      <c r="AR59" s="20">
        <f>SUMIFS(estoque[valor total],estoque[fornecedor],"&lt;&gt;saída",estoque[produto],preçodiario[[#Headers],[OVO VERMELHO C]],estoque[data],preçodiario[[#This Row],[data]])</f>
        <v>0</v>
      </c>
      <c r="AS59" s="20">
        <f>IFERROR(preçodiario[[#This Row],[OVO VERMELHO C]]*preçodiario[[#This Row],[estoque CV]],0)</f>
        <v>0</v>
      </c>
      <c r="AT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Row],[data]])),((AT58*AU58)+SUMIFS(estoque[valor total],estoque[produto],preçodiario[[#Headers],[OVO VERMELHO EXTRA]],estoque[data],preçodiario[[#This Row],[data]],estoque[fornecedor],"&lt;&gt;saída"))/(AU58+(SUMIFS(estoque[quantidade],estoque[produto],preçodiario[[#Headers],[OVO VERMELHO EXTRA]],estoque[fornecedor],"&lt;&gt;saída",estoque[data],preçodiario[[#This Row],[data]])))))</f>
        <v/>
      </c>
      <c r="AU59" s="22">
        <f>IF(preçodiario[[#This Row],[entrada EV]]=0,AU58-(SUMIFS(estoque[quantidade],estoque[fornecedor],"saída",estoque[produto],preçodiario[[#Headers],[OVO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Row],[data]]))+AU58+preçodiario[[#This Row],[entrada EV]])</f>
        <v>0</v>
      </c>
      <c r="AV59" s="22">
        <f>SUMIFS(estoque[quantidade],estoque[fornecedor],"&lt;&gt;saída",estoque[produto],preçodiario[[#Headers],[OVO VERMELHO EXTRA]],estoque[data],preçodiario[[#This Row],[data]])</f>
        <v>0</v>
      </c>
      <c r="AW59" s="20">
        <f>SUMIFS(estoque[valor total],estoque[fornecedor],"&lt;&gt;saída",estoque[produto],preçodiario[[#Headers],[OVO VERMELHO EXTRA]],estoque[data],preçodiario[[#This Row],[data]])</f>
        <v>0</v>
      </c>
      <c r="AX59" s="20">
        <f>IFERROR(preçodiario[[#This Row],[OVO VERMELHO EXTRA]]*preçodiario[[#This Row],[estoque EV]],0)</f>
        <v>0</v>
      </c>
      <c r="AY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Row],[data]])),((AY58*AZ58)+SUMIFS(estoque[valor total],estoque[produto],preçodiario[[#Headers],[OVO VERMELHO JUMBO]],estoque[data],preçodiario[[#This Row],[data]],estoque[fornecedor],"&lt;&gt;saída"))/(AZ58+(SUMIFS(estoque[quantidade],estoque[produto],preçodiario[[#Headers],[OVO VERMELHO JUMBO]],estoque[fornecedor],"&lt;&gt;saída",estoque[data],preçodiario[[#This Row],[data]])))))</f>
        <v/>
      </c>
      <c r="AZ59" s="22">
        <f>IF(preçodiario[[#This Row],[entrada JV]]=0,AZ58-(SUMIFS(estoque[quantidade],estoque[fornecedor],"saída",estoque[produto],preçodiario[[#Headers],[OVO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Row],[data]]))+AZ58+preçodiario[[#This Row],[entrada JV]])</f>
        <v>0</v>
      </c>
      <c r="BA59" s="22">
        <f>SUMIFS(estoque[quantidade],estoque[fornecedor],"&lt;&gt;saída",estoque[produto],preçodiario[[#Headers],[OVO VERMELHO JUMBO]],estoque[data],preçodiario[[#This Row],[data]])</f>
        <v>0</v>
      </c>
      <c r="BB59" s="20">
        <f>SUMIFS(estoque[valor total],estoque[fornecedor],"&lt;&gt;saída",estoque[produto],preçodiario[[#Headers],[OVO VERMELHO JUMBO]],estoque[data],preçodiario[[#This Row],[data]])</f>
        <v>0</v>
      </c>
      <c r="BC59" s="20">
        <f>IFERROR(preçodiario[[#This Row],[OVO VERMELHO JUMBO]]*preçodiario[[#This Row],[estoque JV]],0)</f>
        <v>0</v>
      </c>
      <c r="BD59" t="str">
        <f>TEXT(vendaAno[[#This Row],[data]],"mmm")</f>
        <v>fev</v>
      </c>
      <c r="BE59" t="str">
        <f>TEXT(vendaAno[[#This Row],[data]],"ddd")</f>
        <v>sex</v>
      </c>
      <c r="BF59" s="82">
        <f>WEEKNUM(vendaAno[[#This Row],[data]],13)</f>
        <v>9</v>
      </c>
      <c r="BG59" s="27">
        <f>preçodiario[[#This Row],[data]]</f>
        <v>46080</v>
      </c>
      <c r="BH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59" s="8">
        <f>IF(SUMIFS(estoque[valor total],estoque[fornecedor],"saída",estoque[data],vendaAno[[#This Row],[data]])=0,"",SUMIFS(estoque[valor total],estoque[fornecedor],"saída",estoque[data],vendaAno[[#This Row],[data]]))</f>
        <v>864</v>
      </c>
      <c r="BJ5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Row],[data]]))/12+BJ58,"")</f>
        <v>30.333333333333297</v>
      </c>
      <c r="BK59" s="79">
        <f>IF(SUMIFS(estoque[quantidade],estoque[fornecedor],"saída",estoque[data],vendaAno[[#This Row],[data]])/12=0,"",SUMIFS(estoque[quantidade],estoque[fornecedor],"saída",estoque[data],vendaAno[[#This Row],[data]])/12)</f>
        <v>4.083333333333333</v>
      </c>
      <c r="BL59" s="8">
        <f ca="1">IF(vendaAno[[#This Row],[data]]&lt;=TODAY(),IF(SUMIFS(estoque[lucro],estoque[fornecedor],"saída",estoque[data],vendaAno[[#This Row],[data]])=0,AVERAGE(BL56:BL58),SUMIFS(estoque[lucro],estoque[fornecedor],"saída",estoque[data],vendaAno[[#This Row],[data]])),"")</f>
        <v>180.76999999999998</v>
      </c>
      <c r="BM59" s="10">
        <f ca="1">IFERROR(vendaAno[[#This Row],[lucro]]/vendaAno[[#This Row],[valor de venda]],"")</f>
        <v>0.20922453703703703</v>
      </c>
      <c r="BN5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5202.3839512277609</v>
      </c>
      <c r="BO59" s="8">
        <f ca="1">IF(TODAY()&gt;=vendaAno[[#This Row],[data]],IF(vendaAno[[#This Row],[N°]]=BF58,vendaAno[[#This Row],[lucro]]-173.33+BO58,vendaAno[[#This Row],[lucro]]-150),"")</f>
        <v>51.279999999999973</v>
      </c>
      <c r="BP59" s="81">
        <f ca="1">IF(TODAY()&gt;=vendaAno[[#This Row],[data]],SUM(BK53:BK59)*12,"")</f>
        <v>281</v>
      </c>
      <c r="BQ59" s="7">
        <f ca="1">IFERROR(vendaAno[[#This Row],[lucro]]/(vendaAno[[#This Row],[venda]]*12),"")</f>
        <v>3.6891836734693872</v>
      </c>
      <c r="BT59" s="95">
        <f ca="1">WEEKNUM(PvPcML[[#This Row],[data]],13)</f>
        <v>23</v>
      </c>
      <c r="BU59" s="132">
        <f t="shared" ca="1" si="0"/>
        <v>46176</v>
      </c>
      <c r="BV59" s="7">
        <f ca="1">IFERROR(SUMIFS(vendaAno[valor de venda],vendaAno[data],PvPcML[[#This Row],[data]])/(SUMIFS(vendaAno[venda],vendaAno[data],PvPcML[[#This Row],[data]])*12),"")</f>
        <v>19.684210526315791</v>
      </c>
      <c r="BW59" s="8">
        <f ca="1">IFERROR(SUMIFS(vendaAno[valor de venda],vendaAno[data],PvPcML[[#This Row],[data]])/(SUMIFS(vendaAno[venda],vendaAno[data],PvPcML[[#This Row],[data]])*12)-PvPcML[[#This Row],[lucro médio]],"")</f>
        <v>15.961578947368423</v>
      </c>
      <c r="BX59" s="7">
        <f ca="1">IF(SUMIFS(vendaAno[[lucro médio ]],vendaAno[data],PvPcML[[#This Row],[data]])=0,"",SUMIFS(vendaAno[[lucro médio ]],vendaAno[data],PvPcML[[#This Row],[data]]))</f>
        <v>3.7226315789473681</v>
      </c>
      <c r="CD59" s="7"/>
    </row>
    <row r="60" spans="1:83" x14ac:dyDescent="0.25">
      <c r="A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0" s="18" t="str">
        <f>TEXT(preçodiario[[#This Row],[data]],"MMM")</f>
        <v>fev</v>
      </c>
      <c r="C60" s="18" t="str">
        <f>TEXT(preçodiario[[#This Row],[data]],"ddd")</f>
        <v>sáb</v>
      </c>
      <c r="D60" s="96">
        <f>WEEKNUM(preçodiario[[#This Row],[data]],13)</f>
        <v>9</v>
      </c>
      <c r="E60" s="37">
        <v>46081</v>
      </c>
      <c r="F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Row],[data]])),((F59*G59)+SUMIFS(estoque[valor total],estoque[produto],preçodiario[[#Headers],[OVO BRANCO A]],estoque[data],preçodiario[[#This Row],[data]],estoque[fornecedor],"&lt;&gt;saída"))/(G59+(SUMIFS(estoque[quantidade],estoque[produto],preçodiario[[#Headers],[OVO BRANCO A]],estoque[fornecedor],"&lt;&gt;saída",estoque[data],preçodiario[[#This Row],[data]])))))</f>
        <v>13.75</v>
      </c>
      <c r="G60" s="22">
        <f>IF(preçodiario[[#This Row],[entrada A]]=0,G59-(SUMIFS(estoque[quantidade],estoque[fornecedor],"saída",estoque[produto],preçodiario[[#Headers],[OVO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Row],[data]]))+G59+preçodiario[[#This Row],[entrada A]])</f>
        <v>90</v>
      </c>
      <c r="H60" s="22">
        <f>SUMIFS(estoque[quantidade],estoque[fornecedor],"&lt;&gt;saída",estoque[produto],preçodiario[[#Headers],[OVO BRANCO A]],estoque[data],preçodiario[[#This Row],[data]])</f>
        <v>0</v>
      </c>
      <c r="I60" s="20">
        <f>SUMIFS(estoque[valor total],estoque[fornecedor],"&lt;&gt;saída",estoque[produto],preçodiario[[#Headers],[OVO BRANCO A]],estoque[data],preçodiario[[#This Row],[data]])</f>
        <v>0</v>
      </c>
      <c r="J60" s="20">
        <f>IFERROR(preçodiario[[#This Row],[estoque A]]*preçodiario[[#This Row],[OVO BRANCO A]],0)</f>
        <v>1237.5</v>
      </c>
      <c r="K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Row],[data]])),((K59*L59)+SUMIFS(estoque[valor total],estoque[produto],preçodiario[[#Headers],[OVO BRANCO B]],estoque[data],preçodiario[[#This Row],[data]],estoque[fornecedor],"&lt;&gt;saída"))/(L59+(SUMIFS(estoque[quantidade],estoque[produto],preçodiario[[#Headers],[OVO BRANCO B]],estoque[fornecedor],"&lt;&gt;saída",estoque[data],preçodiario[[#This Row],[data]])))))</f>
        <v>12.953839321927173</v>
      </c>
      <c r="L60" s="22">
        <f>IF(preçodiario[[#This Row],[entrada B]]=0,L59-(SUMIFS(estoque[quantidade],estoque[fornecedor],"saída",estoque[produto],preçodiario[[#Headers],[OVO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Row],[data]]))+L59+preçodiario[[#This Row],[entrada B]])</f>
        <v>69</v>
      </c>
      <c r="M60" s="22">
        <f>SUMIFS(estoque[quantidade],estoque[fornecedor],"&lt;&gt;saída",estoque[produto],preçodiario[[#Headers],[OVO BRANCO B]],estoque[data],preçodiario[[#This Row],[data]])</f>
        <v>0</v>
      </c>
      <c r="N60" s="20">
        <f>SUMIFS(estoque[valor total],estoque[fornecedor],"&lt;&gt;saída",estoque[produto],preçodiario[[#Headers],[OVO BRANCO B]],estoque[data],preçodiario[[#This Row],[data]])</f>
        <v>0</v>
      </c>
      <c r="O60" s="20">
        <f>IFERROR(preçodiario[[#This Row],[OVO BRANCO B]]*preçodiario[[#This Row],[estoque B]],0)</f>
        <v>893.81491321297494</v>
      </c>
      <c r="P6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Row],[data]])),((P59*Q59)+SUMIFS(estoque[valor total],estoque[produto],preçodiario[[#Headers],[OVO BRANCO C]],estoque[data],preçodiario[[#This Row],[data]],estoque[fornecedor],"&lt;&gt;saída"))/(Q59+(SUMIFS(estoque[quantidade],estoque[produto],preçodiario[[#Headers],[OVO BRANCO C]],estoque[fornecedor],"&lt;&gt;saída",estoque[data],preçodiario[[#This Row],[data]])))))</f>
        <v/>
      </c>
      <c r="Q60" s="22">
        <f>IF(preçodiario[[#This Row],[entrada C]]=0,Q59-(SUMIFS(estoque[quantidade],estoque[fornecedor],"saída",estoque[produto],preçodiario[[#Headers],[OVO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Row],[data]]))+Q59+preçodiario[[#This Row],[entrada C]])</f>
        <v>0</v>
      </c>
      <c r="R60" s="22">
        <f>SUMIFS(estoque[quantidade],estoque[fornecedor],"&lt;&gt;saída",estoque[produto],preçodiario[[#Headers],[OVO BRANCO C]],estoque[data],preçodiario[[#This Row],[data]])</f>
        <v>0</v>
      </c>
      <c r="S60" s="20">
        <f>SUMIFS(estoque[valor total],estoque[fornecedor],"&lt;&gt;saída",estoque[produto],preçodiario[[#Headers],[OVO BRANCO C]],estoque[data],preçodiario[[#This Row],[data]])</f>
        <v>0</v>
      </c>
      <c r="T60" s="20">
        <f>IFERROR(preçodiario[[#This Row],[OVO BRANCO C]]*preçodiario[[#This Row],[estoque C]],0)</f>
        <v>0</v>
      </c>
      <c r="U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Row],[data]])),((U59*V59)+SUMIFS(estoque[valor total],estoque[produto],preçodiario[[#Headers],[OVO BRANCO EXTRA]],estoque[data],preçodiario[[#This Row],[data]],estoque[fornecedor],"&lt;&gt;saída"))/(V59+(SUMIFS(estoque[quantidade],estoque[produto],preçodiario[[#Headers],[OVO BRANCO EXTRA]],estoque[fornecedor],"&lt;&gt;saída",estoque[data],preçodiario[[#This Row],[data]])))))</f>
        <v>14.664649032982194</v>
      </c>
      <c r="V60" s="22">
        <f>IF(preçodiario[[#This Row],[entrada E]]=0,V59-(SUMIFS(estoque[quantidade],estoque[fornecedor],"saída",estoque[produto],preçodiario[[#Headers],[OVO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Row],[data]]))+V59+preçodiario[[#This Row],[entrada E]])</f>
        <v>115</v>
      </c>
      <c r="W60" s="22">
        <f>SUMIFS(estoque[quantidade],estoque[fornecedor],"&lt;&gt;saída",estoque[produto],preçodiario[[#Headers],[OVO BRANCO EXTRA]],estoque[data],preçodiario[[#This Row],[data]])</f>
        <v>0</v>
      </c>
      <c r="X60" s="20">
        <f>SUMIFS(estoque[valor total],estoque[fornecedor],"&lt;&gt;saída",estoque[produto],preçodiario[[#Headers],[OVO BRANCO EXTRA]],estoque[data],preçodiario[[#This Row],[data]])</f>
        <v>0</v>
      </c>
      <c r="Y60" s="20">
        <f>IFERROR(preçodiario[[#This Row],[estoque E]]*preçodiario[[#This Row],[OVO BRANCO EXTRA]],0)</f>
        <v>1686.4346387929522</v>
      </c>
      <c r="Z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Row],[data]])),((Z59*AA59)+SUMIFS(estoque[valor total],estoque[produto],preçodiario[[#Headers],[OVO BRANCO JUMBO]],estoque[data],preçodiario[[#This Row],[data]],estoque[fornecedor],"&lt;&gt;saída"))/(AA59+(SUMIFS(estoque[quantidade],estoque[produto],preçodiario[[#Headers],[OVO BRANCO JUMBO]],estoque[fornecedor],"&lt;&gt;saída",estoque[data],preçodiario[[#This Row],[data]])))))</f>
        <v>15.431029089771664</v>
      </c>
      <c r="AA60" s="22">
        <f>IF(preçodiario[[#This Row],[entrada J]]=0,AA59-(SUMIFS(estoque[quantidade],estoque[fornecedor],"saída",estoque[produto],preçodiario[[#Headers],[OVO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Row],[data]]))+AA59+preçodiario[[#This Row],[entrada J]])</f>
        <v>82</v>
      </c>
      <c r="AB60" s="22">
        <f>SUMIFS(estoque[quantidade],estoque[fornecedor],"&lt;&gt;saída",estoque[produto],preçodiario[[#Headers],[OVO BRANCO JUMBO]],estoque[data],preçodiario[[#This Row],[data]])</f>
        <v>0</v>
      </c>
      <c r="AC60" s="20">
        <f>SUMIFS(estoque[valor total],estoque[fornecedor],"&lt;&gt;saída",estoque[produto],preçodiario[[#Headers],[OVO BRANCO JUMBO]],estoque[data],preçodiario[[#This Row],[data]])</f>
        <v>0</v>
      </c>
      <c r="AD60" s="20">
        <f>IFERROR(preçodiario[[#This Row],[OVO BRANCO JUMBO]]*preçodiario[[#This Row],[estoque J]],0)</f>
        <v>1265.3443853612764</v>
      </c>
      <c r="AE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Row],[data]])),((AE59*AF59)+SUMIFS(estoque[valor total],estoque[produto],preçodiario[[#Headers],[OVO VERMELHO A]],estoque[data],preçodiario[[#This Row],[data]],estoque[fornecedor],"&lt;&gt;saída"))/(AF59+(SUMIFS(estoque[quantidade],estoque[produto],preçodiario[[#Headers],[OVO VERMELHO A]],estoque[fornecedor],"&lt;&gt;saída",estoque[data],preçodiario[[#This Row],[data]])))))</f>
        <v/>
      </c>
      <c r="AF60" s="22">
        <f>IF(preçodiario[[#This Row],[entrada AV]]=0,AF59-(SUMIFS(estoque[quantidade],estoque[fornecedor],"saída",estoque[produto],preçodiario[[#Headers],[OVO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Row],[data]]))+AF59+preçodiario[[#This Row],[entrada AV]])</f>
        <v>0</v>
      </c>
      <c r="AG60" s="22">
        <f>SUMIFS(estoque[quantidade],estoque[fornecedor],"&lt;&gt;saída",estoque[produto],preçodiario[[#Headers],[OVO VERMELHO A]],estoque[data],preçodiario[[#This Row],[data]])</f>
        <v>0</v>
      </c>
      <c r="AH60" s="20">
        <f>SUMIFS(estoque[valor total],estoque[fornecedor],"&lt;&gt;saída",estoque[produto],preçodiario[[#Headers],[OVO VERMELHO A]],estoque[data],preçodiario[[#This Row],[data]])</f>
        <v>0</v>
      </c>
      <c r="AI60" s="20">
        <f>IFERROR(preçodiario[[#This Row],[OVO VERMELHO A]]*preçodiario[[#This Row],[estoque AV]],0)</f>
        <v>0</v>
      </c>
      <c r="AJ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Row],[data]])),((AJ59*AK59)+SUMIFS(estoque[valor total],estoque[produto],preçodiario[[#Headers],[OVO VERMELHO B]],estoque[data],preçodiario[[#This Row],[data]],estoque[fornecedor],"&lt;&gt;saída"))/(AK59+(SUMIFS(estoque[quantidade],estoque[produto],preçodiario[[#Headers],[OVO VERMELHO B]],estoque[fornecedor],"&lt;&gt;saída",estoque[data],preçodiario[[#This Row],[data]])))))</f>
        <v/>
      </c>
      <c r="AK60" s="22">
        <f>IF(preçodiario[[#This Row],[entrada BV]]=0,AK59-(SUMIFS(estoque[quantidade],estoque[fornecedor],"saída",estoque[produto],preçodiario[[#Headers],[OVO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Row],[data]]))+AK59+preçodiario[[#This Row],[entrada BV]])</f>
        <v>0</v>
      </c>
      <c r="AL60" s="22">
        <f>SUMIFS(estoque[quantidade],estoque[fornecedor],"&lt;&gt;saída",estoque[produto],preçodiario[[#Headers],[OVO VERMELHO B]],estoque[data],preçodiario[[#This Row],[data]])</f>
        <v>0</v>
      </c>
      <c r="AM60" s="20">
        <f>SUMIFS(estoque[valor total],estoque[fornecedor],"&lt;&gt;saída",estoque[produto],preçodiario[[#Headers],[OVO VERMELHO B]],estoque[data],preçodiario[[#This Row],[data]])</f>
        <v>0</v>
      </c>
      <c r="AN60" s="20">
        <f>IFERROR(preçodiario[[#This Row],[OVO VERMELHO B]]*preçodiario[[#This Row],[estoque BV]],0)</f>
        <v>0</v>
      </c>
      <c r="AO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Row],[data]])),((AO59*AP59)+SUMIFS(estoque[valor total],estoque[produto],preçodiario[[#Headers],[OVO VERMELHO C]],estoque[data],preçodiario[[#This Row],[data]],estoque[fornecedor],"&lt;&gt;saída"))/(AP59+(SUMIFS(estoque[quantidade],estoque[produto],preçodiario[[#Headers],[OVO VERMELHO C]],estoque[fornecedor],"&lt;&gt;saída",estoque[data],preçodiario[[#This Row],[data]])))))</f>
        <v/>
      </c>
      <c r="AP60" s="22">
        <f>IF(preçodiario[[#This Row],[entrada CV]]=0,AP59-(SUMIFS(estoque[quantidade],estoque[fornecedor],"saída",estoque[produto],preçodiario[[#Headers],[OVO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Row],[data]]))+AP59+preçodiario[[#This Row],[entrada CV]])</f>
        <v>0</v>
      </c>
      <c r="AQ60" s="22">
        <f>SUMIFS(estoque[quantidade],estoque[fornecedor],"&lt;&gt;saída",estoque[produto],preçodiario[[#Headers],[OVO VERMELHO C]],estoque[data],preçodiario[[#This Row],[data]])</f>
        <v>0</v>
      </c>
      <c r="AR60" s="20">
        <f>SUMIFS(estoque[valor total],estoque[fornecedor],"&lt;&gt;saída",estoque[produto],preçodiario[[#Headers],[OVO VERMELHO C]],estoque[data],preçodiario[[#This Row],[data]])</f>
        <v>0</v>
      </c>
      <c r="AS60" s="20">
        <f>IFERROR(preçodiario[[#This Row],[OVO VERMELHO C]]*preçodiario[[#This Row],[estoque CV]],0)</f>
        <v>0</v>
      </c>
      <c r="AT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Row],[data]])),((AT59*AU59)+SUMIFS(estoque[valor total],estoque[produto],preçodiario[[#Headers],[OVO VERMELHO EXTRA]],estoque[data],preçodiario[[#This Row],[data]],estoque[fornecedor],"&lt;&gt;saída"))/(AU59+(SUMIFS(estoque[quantidade],estoque[produto],preçodiario[[#Headers],[OVO VERMELHO EXTRA]],estoque[fornecedor],"&lt;&gt;saída",estoque[data],preçodiario[[#This Row],[data]])))))</f>
        <v/>
      </c>
      <c r="AU60" s="22">
        <f>IF(preçodiario[[#This Row],[entrada EV]]=0,AU59-(SUMIFS(estoque[quantidade],estoque[fornecedor],"saída",estoque[produto],preçodiario[[#Headers],[OVO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Row],[data]]))+AU59+preçodiario[[#This Row],[entrada EV]])</f>
        <v>0</v>
      </c>
      <c r="AV60" s="22">
        <f>SUMIFS(estoque[quantidade],estoque[fornecedor],"&lt;&gt;saída",estoque[produto],preçodiario[[#Headers],[OVO VERMELHO EXTRA]],estoque[data],preçodiario[[#This Row],[data]])</f>
        <v>0</v>
      </c>
      <c r="AW60" s="20">
        <f>SUMIFS(estoque[valor total],estoque[fornecedor],"&lt;&gt;saída",estoque[produto],preçodiario[[#Headers],[OVO VERMELHO EXTRA]],estoque[data],preçodiario[[#This Row],[data]])</f>
        <v>0</v>
      </c>
      <c r="AX60" s="20">
        <f>IFERROR(preçodiario[[#This Row],[OVO VERMELHO EXTRA]]*preçodiario[[#This Row],[estoque EV]],0)</f>
        <v>0</v>
      </c>
      <c r="AY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Row],[data]])),((AY59*AZ59)+SUMIFS(estoque[valor total],estoque[produto],preçodiario[[#Headers],[OVO VERMELHO JUMBO]],estoque[data],preçodiario[[#This Row],[data]],estoque[fornecedor],"&lt;&gt;saída"))/(AZ59+(SUMIFS(estoque[quantidade],estoque[produto],preçodiario[[#Headers],[OVO VERMELHO JUMBO]],estoque[fornecedor],"&lt;&gt;saída",estoque[data],preçodiario[[#This Row],[data]])))))</f>
        <v/>
      </c>
      <c r="AZ60" s="22">
        <f>IF(preçodiario[[#This Row],[entrada JV]]=0,AZ59-(SUMIFS(estoque[quantidade],estoque[fornecedor],"saída",estoque[produto],preçodiario[[#Headers],[OVO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Row],[data]]))+AZ59+preçodiario[[#This Row],[entrada JV]])</f>
        <v>0</v>
      </c>
      <c r="BA60" s="22">
        <f>SUMIFS(estoque[quantidade],estoque[fornecedor],"&lt;&gt;saída",estoque[produto],preçodiario[[#Headers],[OVO VERMELHO JUMBO]],estoque[data],preçodiario[[#This Row],[data]])</f>
        <v>0</v>
      </c>
      <c r="BB60" s="20">
        <f>SUMIFS(estoque[valor total],estoque[fornecedor],"&lt;&gt;saída",estoque[produto],preçodiario[[#Headers],[OVO VERMELHO JUMBO]],estoque[data],preçodiario[[#This Row],[data]])</f>
        <v>0</v>
      </c>
      <c r="BC60" s="20">
        <f>IFERROR(preçodiario[[#This Row],[OVO VERMELHO JUMBO]]*preçodiario[[#This Row],[estoque JV]],0)</f>
        <v>0</v>
      </c>
      <c r="BD60" t="str">
        <f>TEXT(vendaAno[[#This Row],[data]],"mmm")</f>
        <v>fev</v>
      </c>
      <c r="BE60" t="str">
        <f>TEXT(vendaAno[[#This Row],[data]],"ddd")</f>
        <v>sáb</v>
      </c>
      <c r="BF60" s="82">
        <f>WEEKNUM(vendaAno[[#This Row],[data]],13)</f>
        <v>9</v>
      </c>
      <c r="BG60" s="27">
        <f>preçodiario[[#This Row],[data]]</f>
        <v>46081</v>
      </c>
      <c r="BH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0" s="8">
        <f>IF(SUMIFS(estoque[valor total],estoque[fornecedor],"saída",estoque[data],vendaAno[[#This Row],[data]])=0,"",SUMIFS(estoque[valor total],estoque[fornecedor],"saída",estoque[data],vendaAno[[#This Row],[data]]))</f>
        <v>166</v>
      </c>
      <c r="BJ6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Row],[data]]))/12+BJ59,"")</f>
        <v>29.666666666666629</v>
      </c>
      <c r="BK60" s="79">
        <f>IF(SUMIFS(estoque[quantidade],estoque[fornecedor],"saída",estoque[data],vendaAno[[#This Row],[data]])/12=0,"",SUMIFS(estoque[quantidade],estoque[fornecedor],"saída",estoque[data],vendaAno[[#This Row],[data]])/12)</f>
        <v>0.66666666666666663</v>
      </c>
      <c r="BL60" s="8">
        <f ca="1">IF(vendaAno[[#This Row],[data]]&lt;=TODAY(),IF(SUMIFS(estoque[lucro],estoque[fornecedor],"saída",estoque[data],vendaAno[[#This Row],[data]])=0,AVERAGE(BL57:BL59),SUMIFS(estoque[lucro],estoque[fornecedor],"saída",estoque[data],vendaAno[[#This Row],[data]])),"")</f>
        <v>46.709999999999994</v>
      </c>
      <c r="BM60" s="10">
        <f ca="1">IFERROR(vendaAno[[#This Row],[lucro]]/vendaAno[[#This Row],[valor de venda]],"")</f>
        <v>0.28138554216867467</v>
      </c>
      <c r="BN6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5083.0939373672036</v>
      </c>
      <c r="BO60" s="8">
        <f ca="1">IF(TODAY()&gt;=vendaAno[[#This Row],[data]],IF(vendaAno[[#This Row],[N°]]=BF59,vendaAno[[#This Row],[lucro]]-173.33+BO59,vendaAno[[#This Row],[lucro]]-150),"")</f>
        <v>-75.340000000000046</v>
      </c>
      <c r="BP60" s="81">
        <f ca="1">IF(TODAY()&gt;=vendaAno[[#This Row],[data]],SUM(BK54:BK60)*12,"")</f>
        <v>275</v>
      </c>
      <c r="BQ60" s="7">
        <f ca="1">IFERROR(vendaAno[[#This Row],[lucro]]/(vendaAno[[#This Row],[venda]]*12),"")</f>
        <v>5.8387499999999992</v>
      </c>
      <c r="BT60" s="95">
        <f ca="1">WEEKNUM(PvPcML[[#This Row],[data]],13)</f>
        <v>22</v>
      </c>
      <c r="BU60" s="132">
        <f t="shared" ca="1" si="0"/>
        <v>46175</v>
      </c>
      <c r="BV60" s="7">
        <f ca="1">IFERROR(SUMIFS(vendaAno[valor de venda],vendaAno[data],PvPcML[[#This Row],[data]])/(SUMIFS(vendaAno[venda],vendaAno[data],PvPcML[[#This Row],[data]])*12),"")</f>
        <v>19.541666666666668</v>
      </c>
      <c r="BW60" s="8">
        <f ca="1">IFERROR(SUMIFS(vendaAno[valor de venda],vendaAno[data],PvPcML[[#This Row],[data]])/(SUMIFS(vendaAno[venda],vendaAno[data],PvPcML[[#This Row],[data]])*12)-PvPcML[[#This Row],[lucro médio]],"")</f>
        <v>15.908750000000001</v>
      </c>
      <c r="BX60" s="7">
        <f ca="1">IF(SUMIFS(vendaAno[[lucro médio ]],vendaAno[data],PvPcML[[#This Row],[data]])=0,"",SUMIFS(vendaAno[[lucro médio ]],vendaAno[data],PvPcML[[#This Row],[data]]))</f>
        <v>3.6329166666666666</v>
      </c>
      <c r="CD60" s="7"/>
    </row>
    <row r="61" spans="1:83" x14ac:dyDescent="0.25">
      <c r="A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1" s="18" t="str">
        <f>TEXT(preçodiario[[#This Row],[data]],"MMM")</f>
        <v>mar</v>
      </c>
      <c r="C61" s="18" t="str">
        <f>TEXT(preçodiario[[#This Row],[data]],"ddd")</f>
        <v>dom</v>
      </c>
      <c r="D61" s="96">
        <f>WEEKNUM(preçodiario[[#This Row],[data]],13)</f>
        <v>9</v>
      </c>
      <c r="E61" s="37">
        <v>46082</v>
      </c>
      <c r="F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Row],[data]])),((F60*G60)+SUMIFS(estoque[valor total],estoque[produto],preçodiario[[#Headers],[OVO BRANCO A]],estoque[data],preçodiario[[#This Row],[data]],estoque[fornecedor],"&lt;&gt;saída"))/(G60+(SUMIFS(estoque[quantidade],estoque[produto],preçodiario[[#Headers],[OVO BRANCO A]],estoque[fornecedor],"&lt;&gt;saída",estoque[data],preçodiario[[#This Row],[data]])))))</f>
        <v>13.75</v>
      </c>
      <c r="G61" s="22">
        <f>IF(preçodiario[[#This Row],[entrada A]]=0,G60-(SUMIFS(estoque[quantidade],estoque[fornecedor],"saída",estoque[produto],preçodiario[[#Headers],[OVO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Row],[data]]))+G60+preçodiario[[#This Row],[entrada A]])</f>
        <v>85</v>
      </c>
      <c r="H61" s="22">
        <f>SUMIFS(estoque[quantidade],estoque[fornecedor],"&lt;&gt;saída",estoque[produto],preçodiario[[#Headers],[OVO BRANCO A]],estoque[data],preçodiario[[#This Row],[data]])</f>
        <v>0</v>
      </c>
      <c r="I61" s="20">
        <f>SUMIFS(estoque[valor total],estoque[fornecedor],"&lt;&gt;saída",estoque[produto],preçodiario[[#Headers],[OVO BRANCO A]],estoque[data],preçodiario[[#This Row],[data]])</f>
        <v>0</v>
      </c>
      <c r="J61" s="20">
        <f>IFERROR(preçodiario[[#This Row],[estoque A]]*preçodiario[[#This Row],[OVO BRANCO A]],0)</f>
        <v>1168.75</v>
      </c>
      <c r="K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Row],[data]])),((K60*L60)+SUMIFS(estoque[valor total],estoque[produto],preçodiario[[#Headers],[OVO BRANCO B]],estoque[data],preçodiario[[#This Row],[data]],estoque[fornecedor],"&lt;&gt;saída"))/(L60+(SUMIFS(estoque[quantidade],estoque[produto],preçodiario[[#Headers],[OVO BRANCO B]],estoque[fornecedor],"&lt;&gt;saída",estoque[data],preçodiario[[#This Row],[data]])))))</f>
        <v>12.953839321927173</v>
      </c>
      <c r="L61" s="22">
        <f>IF(preçodiario[[#This Row],[entrada B]]=0,L60-(SUMIFS(estoque[quantidade],estoque[fornecedor],"saída",estoque[produto],preçodiario[[#Headers],[OVO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Row],[data]]))+L60+preçodiario[[#This Row],[entrada B]])</f>
        <v>38</v>
      </c>
      <c r="M61" s="22">
        <f>SUMIFS(estoque[quantidade],estoque[fornecedor],"&lt;&gt;saída",estoque[produto],preçodiario[[#Headers],[OVO BRANCO B]],estoque[data],preçodiario[[#This Row],[data]])</f>
        <v>0</v>
      </c>
      <c r="N61" s="20">
        <f>SUMIFS(estoque[valor total],estoque[fornecedor],"&lt;&gt;saída",estoque[produto],preçodiario[[#Headers],[OVO BRANCO B]],estoque[data],preçodiario[[#This Row],[data]])</f>
        <v>0</v>
      </c>
      <c r="O61" s="20">
        <f>IFERROR(preçodiario[[#This Row],[OVO BRANCO B]]*preçodiario[[#This Row],[estoque B]],0)</f>
        <v>492.2458942332326</v>
      </c>
      <c r="P6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Row],[data]])),((P60*Q60)+SUMIFS(estoque[valor total],estoque[produto],preçodiario[[#Headers],[OVO BRANCO C]],estoque[data],preçodiario[[#This Row],[data]],estoque[fornecedor],"&lt;&gt;saída"))/(Q60+(SUMIFS(estoque[quantidade],estoque[produto],preçodiario[[#Headers],[OVO BRANCO C]],estoque[fornecedor],"&lt;&gt;saída",estoque[data],preçodiario[[#This Row],[data]])))))</f>
        <v/>
      </c>
      <c r="Q61" s="22">
        <f>IF(preçodiario[[#This Row],[entrada C]]=0,Q60-(SUMIFS(estoque[quantidade],estoque[fornecedor],"saída",estoque[produto],preçodiario[[#Headers],[OVO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Row],[data]]))+Q60+preçodiario[[#This Row],[entrada C]])</f>
        <v>0</v>
      </c>
      <c r="R61" s="22">
        <f>SUMIFS(estoque[quantidade],estoque[fornecedor],"&lt;&gt;saída",estoque[produto],preçodiario[[#Headers],[OVO BRANCO C]],estoque[data],preçodiario[[#This Row],[data]])</f>
        <v>0</v>
      </c>
      <c r="S61" s="20">
        <f>SUMIFS(estoque[valor total],estoque[fornecedor],"&lt;&gt;saída",estoque[produto],preçodiario[[#Headers],[OVO BRANCO C]],estoque[data],preçodiario[[#This Row],[data]])</f>
        <v>0</v>
      </c>
      <c r="T61" s="20">
        <f>IFERROR(preçodiario[[#This Row],[OVO BRANCO C]]*preçodiario[[#This Row],[estoque C]],0)</f>
        <v>0</v>
      </c>
      <c r="U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Row],[data]])),((U60*V60)+SUMIFS(estoque[valor total],estoque[produto],preçodiario[[#Headers],[OVO BRANCO EXTRA]],estoque[data],preçodiario[[#This Row],[data]],estoque[fornecedor],"&lt;&gt;saída"))/(V60+(SUMIFS(estoque[quantidade],estoque[produto],preçodiario[[#Headers],[OVO BRANCO EXTRA]],estoque[fornecedor],"&lt;&gt;saída",estoque[data],preçodiario[[#This Row],[data]])))))</f>
        <v>14.664649032982194</v>
      </c>
      <c r="V61" s="22">
        <f>IF(preçodiario[[#This Row],[entrada E]]=0,V60-(SUMIFS(estoque[quantidade],estoque[fornecedor],"saída",estoque[produto],preçodiario[[#Headers],[OVO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Row],[data]]))+V60+preçodiario[[#This Row],[entrada E]])</f>
        <v>109</v>
      </c>
      <c r="W61" s="22">
        <f>SUMIFS(estoque[quantidade],estoque[fornecedor],"&lt;&gt;saída",estoque[produto],preçodiario[[#Headers],[OVO BRANCO EXTRA]],estoque[data],preçodiario[[#This Row],[data]])</f>
        <v>0</v>
      </c>
      <c r="X61" s="20">
        <f>SUMIFS(estoque[valor total],estoque[fornecedor],"&lt;&gt;saída",estoque[produto],preçodiario[[#Headers],[OVO BRANCO EXTRA]],estoque[data],preçodiario[[#This Row],[data]])</f>
        <v>0</v>
      </c>
      <c r="Y61" s="20">
        <f>IFERROR(preçodiario[[#This Row],[estoque E]]*preçodiario[[#This Row],[OVO BRANCO EXTRA]],0)</f>
        <v>1598.446744595059</v>
      </c>
      <c r="Z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Row],[data]])),((Z60*AA60)+SUMIFS(estoque[valor total],estoque[produto],preçodiario[[#Headers],[OVO BRANCO JUMBO]],estoque[data],preçodiario[[#This Row],[data]],estoque[fornecedor],"&lt;&gt;saída"))/(AA60+(SUMIFS(estoque[quantidade],estoque[produto],preçodiario[[#Headers],[OVO BRANCO JUMBO]],estoque[fornecedor],"&lt;&gt;saída",estoque[data],preçodiario[[#This Row],[data]])))))</f>
        <v>15.431029089771663</v>
      </c>
      <c r="AA61" s="22">
        <f>IF(preçodiario[[#This Row],[entrada J]]=0,AA60-(SUMIFS(estoque[quantidade],estoque[fornecedor],"saída",estoque[produto],preçodiario[[#Headers],[OVO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Row],[data]]))+AA60+preçodiario[[#This Row],[entrada J]])</f>
        <v>74</v>
      </c>
      <c r="AB61" s="22">
        <f>SUMIFS(estoque[quantidade],estoque[fornecedor],"&lt;&gt;saída",estoque[produto],preçodiario[[#Headers],[OVO BRANCO JUMBO]],estoque[data],preçodiario[[#This Row],[data]])</f>
        <v>0</v>
      </c>
      <c r="AC61" s="20">
        <f>SUMIFS(estoque[valor total],estoque[fornecedor],"&lt;&gt;saída",estoque[produto],preçodiario[[#Headers],[OVO BRANCO JUMBO]],estoque[data],preçodiario[[#This Row],[data]])</f>
        <v>0</v>
      </c>
      <c r="AD61" s="20">
        <f>IFERROR(preçodiario[[#This Row],[OVO BRANCO JUMBO]]*preçodiario[[#This Row],[estoque J]],0)</f>
        <v>1141.8961526431031</v>
      </c>
      <c r="AE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Row],[data]])),((AE60*AF60)+SUMIFS(estoque[valor total],estoque[produto],preçodiario[[#Headers],[OVO VERMELHO A]],estoque[data],preçodiario[[#This Row],[data]],estoque[fornecedor],"&lt;&gt;saída"))/(AF60+(SUMIFS(estoque[quantidade],estoque[produto],preçodiario[[#Headers],[OVO VERMELHO A]],estoque[fornecedor],"&lt;&gt;saída",estoque[data],preçodiario[[#This Row],[data]])))))</f>
        <v/>
      </c>
      <c r="AF61" s="22">
        <f>IF(preçodiario[[#This Row],[entrada AV]]=0,AF60-(SUMIFS(estoque[quantidade],estoque[fornecedor],"saída",estoque[produto],preçodiario[[#Headers],[OVO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Row],[data]]))+AF60+preçodiario[[#This Row],[entrada AV]])</f>
        <v>0</v>
      </c>
      <c r="AG61" s="22">
        <f>SUMIFS(estoque[quantidade],estoque[fornecedor],"&lt;&gt;saída",estoque[produto],preçodiario[[#Headers],[OVO VERMELHO A]],estoque[data],preçodiario[[#This Row],[data]])</f>
        <v>0</v>
      </c>
      <c r="AH61" s="20">
        <f>SUMIFS(estoque[valor total],estoque[fornecedor],"&lt;&gt;saída",estoque[produto],preçodiario[[#Headers],[OVO VERMELHO A]],estoque[data],preçodiario[[#This Row],[data]])</f>
        <v>0</v>
      </c>
      <c r="AI61" s="20">
        <f>IFERROR(preçodiario[[#This Row],[OVO VERMELHO A]]*preçodiario[[#This Row],[estoque AV]],0)</f>
        <v>0</v>
      </c>
      <c r="AJ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Row],[data]])),((AJ60*AK60)+SUMIFS(estoque[valor total],estoque[produto],preçodiario[[#Headers],[OVO VERMELHO B]],estoque[data],preçodiario[[#This Row],[data]],estoque[fornecedor],"&lt;&gt;saída"))/(AK60+(SUMIFS(estoque[quantidade],estoque[produto],preçodiario[[#Headers],[OVO VERMELHO B]],estoque[fornecedor],"&lt;&gt;saída",estoque[data],preçodiario[[#This Row],[data]])))))</f>
        <v/>
      </c>
      <c r="AK61" s="22">
        <f>IF(preçodiario[[#This Row],[entrada BV]]=0,AK60-(SUMIFS(estoque[quantidade],estoque[fornecedor],"saída",estoque[produto],preçodiario[[#Headers],[OVO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Row],[data]]))+AK60+preçodiario[[#This Row],[entrada BV]])</f>
        <v>0</v>
      </c>
      <c r="AL61" s="22">
        <f>SUMIFS(estoque[quantidade],estoque[fornecedor],"&lt;&gt;saída",estoque[produto],preçodiario[[#Headers],[OVO VERMELHO B]],estoque[data],preçodiario[[#This Row],[data]])</f>
        <v>0</v>
      </c>
      <c r="AM61" s="20">
        <f>SUMIFS(estoque[valor total],estoque[fornecedor],"&lt;&gt;saída",estoque[produto],preçodiario[[#Headers],[OVO VERMELHO B]],estoque[data],preçodiario[[#This Row],[data]])</f>
        <v>0</v>
      </c>
      <c r="AN61" s="20">
        <f>IFERROR(preçodiario[[#This Row],[OVO VERMELHO B]]*preçodiario[[#This Row],[estoque BV]],0)</f>
        <v>0</v>
      </c>
      <c r="AO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Row],[data]])),((AO60*AP60)+SUMIFS(estoque[valor total],estoque[produto],preçodiario[[#Headers],[OVO VERMELHO C]],estoque[data],preçodiario[[#This Row],[data]],estoque[fornecedor],"&lt;&gt;saída"))/(AP60+(SUMIFS(estoque[quantidade],estoque[produto],preçodiario[[#Headers],[OVO VERMELHO C]],estoque[fornecedor],"&lt;&gt;saída",estoque[data],preçodiario[[#This Row],[data]])))))</f>
        <v/>
      </c>
      <c r="AP61" s="22">
        <f>IF(preçodiario[[#This Row],[entrada CV]]=0,AP60-(SUMIFS(estoque[quantidade],estoque[fornecedor],"saída",estoque[produto],preçodiario[[#Headers],[OVO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Row],[data]]))+AP60+preçodiario[[#This Row],[entrada CV]])</f>
        <v>0</v>
      </c>
      <c r="AQ61" s="22">
        <f>SUMIFS(estoque[quantidade],estoque[fornecedor],"&lt;&gt;saída",estoque[produto],preçodiario[[#Headers],[OVO VERMELHO C]],estoque[data],preçodiario[[#This Row],[data]])</f>
        <v>0</v>
      </c>
      <c r="AR61" s="20">
        <f>SUMIFS(estoque[valor total],estoque[fornecedor],"&lt;&gt;saída",estoque[produto],preçodiario[[#Headers],[OVO VERMELHO C]],estoque[data],preçodiario[[#This Row],[data]])</f>
        <v>0</v>
      </c>
      <c r="AS61" s="20">
        <f>IFERROR(preçodiario[[#This Row],[OVO VERMELHO C]]*preçodiario[[#This Row],[estoque CV]],0)</f>
        <v>0</v>
      </c>
      <c r="AT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Row],[data]])),((AT60*AU60)+SUMIFS(estoque[valor total],estoque[produto],preçodiario[[#Headers],[OVO VERMELHO EXTRA]],estoque[data],preçodiario[[#This Row],[data]],estoque[fornecedor],"&lt;&gt;saída"))/(AU60+(SUMIFS(estoque[quantidade],estoque[produto],preçodiario[[#Headers],[OVO VERMELHO EXTRA]],estoque[fornecedor],"&lt;&gt;saída",estoque[data],preçodiario[[#This Row],[data]])))))</f>
        <v/>
      </c>
      <c r="AU61" s="22">
        <f>IF(preçodiario[[#This Row],[entrada EV]]=0,AU60-(SUMIFS(estoque[quantidade],estoque[fornecedor],"saída",estoque[produto],preçodiario[[#Headers],[OVO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Row],[data]]))+AU60+preçodiario[[#This Row],[entrada EV]])</f>
        <v>0</v>
      </c>
      <c r="AV61" s="22">
        <f>SUMIFS(estoque[quantidade],estoque[fornecedor],"&lt;&gt;saída",estoque[produto],preçodiario[[#Headers],[OVO VERMELHO EXTRA]],estoque[data],preçodiario[[#This Row],[data]])</f>
        <v>0</v>
      </c>
      <c r="AW61" s="20">
        <f>SUMIFS(estoque[valor total],estoque[fornecedor],"&lt;&gt;saída",estoque[produto],preçodiario[[#Headers],[OVO VERMELHO EXTRA]],estoque[data],preçodiario[[#This Row],[data]])</f>
        <v>0</v>
      </c>
      <c r="AX61" s="20">
        <f>IFERROR(preçodiario[[#This Row],[OVO VERMELHO EXTRA]]*preçodiario[[#This Row],[estoque EV]],0)</f>
        <v>0</v>
      </c>
      <c r="AY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Row],[data]])),((AY60*AZ60)+SUMIFS(estoque[valor total],estoque[produto],preçodiario[[#Headers],[OVO VERMELHO JUMBO]],estoque[data],preçodiario[[#This Row],[data]],estoque[fornecedor],"&lt;&gt;saída"))/(AZ60+(SUMIFS(estoque[quantidade],estoque[produto],preçodiario[[#Headers],[OVO VERMELHO JUMBO]],estoque[fornecedor],"&lt;&gt;saída",estoque[data],preçodiario[[#This Row],[data]])))))</f>
        <v/>
      </c>
      <c r="AZ61" s="22">
        <f>IF(preçodiario[[#This Row],[entrada JV]]=0,AZ60-(SUMIFS(estoque[quantidade],estoque[fornecedor],"saída",estoque[produto],preçodiario[[#Headers],[OVO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Row],[data]]))+AZ60+preçodiario[[#This Row],[entrada JV]])</f>
        <v>0</v>
      </c>
      <c r="BA61" s="22">
        <f>SUMIFS(estoque[quantidade],estoque[fornecedor],"&lt;&gt;saída",estoque[produto],preçodiario[[#Headers],[OVO VERMELHO JUMBO]],estoque[data],preçodiario[[#This Row],[data]])</f>
        <v>0</v>
      </c>
      <c r="BB61" s="20">
        <f>SUMIFS(estoque[valor total],estoque[fornecedor],"&lt;&gt;saída",estoque[produto],preçodiario[[#Headers],[OVO VERMELHO JUMBO]],estoque[data],preçodiario[[#This Row],[data]])</f>
        <v>0</v>
      </c>
      <c r="BC61" s="20">
        <f>IFERROR(preçodiario[[#This Row],[OVO VERMELHO JUMBO]]*preçodiario[[#This Row],[estoque JV]],0)</f>
        <v>0</v>
      </c>
      <c r="BD61" t="str">
        <f>TEXT(vendaAno[[#This Row],[data]],"mmm")</f>
        <v>mar</v>
      </c>
      <c r="BE61" t="str">
        <f>TEXT(vendaAno[[#This Row],[data]],"ddd")</f>
        <v>dom</v>
      </c>
      <c r="BF61" s="82">
        <f>WEEKNUM(vendaAno[[#This Row],[data]],13)</f>
        <v>9</v>
      </c>
      <c r="BG61" s="27">
        <f>preçodiario[[#This Row],[data]]</f>
        <v>46082</v>
      </c>
      <c r="BH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1" s="8">
        <f>IF(SUMIFS(estoque[valor total],estoque[fornecedor],"saída",estoque[data],vendaAno[[#This Row],[data]])=0,"",SUMIFS(estoque[valor total],estoque[fornecedor],"saída",estoque[data],vendaAno[[#This Row],[data]]))</f>
        <v>796</v>
      </c>
      <c r="BJ6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Row],[data]]))/12+BJ60,"")</f>
        <v>25.499999999999961</v>
      </c>
      <c r="BK61" s="79">
        <f>IF(SUMIFS(estoque[quantidade],estoque[fornecedor],"saída",estoque[data],vendaAno[[#This Row],[data]])/12=0,"",SUMIFS(estoque[quantidade],estoque[fornecedor],"saída",estoque[data],vendaAno[[#This Row],[data]])/12)</f>
        <v>4.166666666666667</v>
      </c>
      <c r="BL61" s="8">
        <f ca="1">IF(vendaAno[[#This Row],[data]]&lt;=TODAY(),IF(SUMIFS(estoque[lucro],estoque[fornecedor],"saída",estoque[data],vendaAno[[#This Row],[data]])=0,AVERAGE(BL58:BL60),SUMIFS(estoque[lucro],estoque[fornecedor],"saída",estoque[data],vendaAno[[#This Row],[data]])),"")</f>
        <v>114.24000000000001</v>
      </c>
      <c r="BM61" s="10">
        <f ca="1">IFERROR(vendaAno[[#This Row],[lucro]]/vendaAno[[#This Row],[valor de venda]],"")</f>
        <v>0.14351758793969852</v>
      </c>
      <c r="BN6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4401.3387914713949</v>
      </c>
      <c r="BO61" s="8">
        <f ca="1">IF(TODAY()&gt;=vendaAno[[#This Row],[data]],IF(vendaAno[[#This Row],[N°]]=BF60,vendaAno[[#This Row],[lucro]]-173.33+BO60,vendaAno[[#This Row],[lucro]]-150),"")</f>
        <v>-134.43000000000006</v>
      </c>
      <c r="BP61" s="81">
        <f ca="1">IF(TODAY()&gt;=vendaAno[[#This Row],[data]],SUM(BK55:BK61)*12,"")</f>
        <v>295</v>
      </c>
      <c r="BQ61" s="7">
        <f ca="1">IFERROR(vendaAno[[#This Row],[lucro]]/(vendaAno[[#This Row],[venda]]*12),"")</f>
        <v>2.2848000000000002</v>
      </c>
      <c r="BT61" s="95">
        <f ca="1">WEEKNUM(PvPcML[[#This Row],[data]],13)</f>
        <v>22</v>
      </c>
      <c r="BU61" s="132">
        <f t="shared" ca="1" si="0"/>
        <v>46174</v>
      </c>
      <c r="BV61" s="7">
        <f ca="1">IFERROR(SUMIFS(vendaAno[valor de venda],vendaAno[data],PvPcML[[#This Row],[data]])/(SUMIFS(vendaAno[venda],vendaAno[data],PvPcML[[#This Row],[data]])*12),"")</f>
        <v>18.088235294117649</v>
      </c>
      <c r="BW61" s="8">
        <f ca="1">IFERROR(SUMIFS(vendaAno[valor de venda],vendaAno[data],PvPcML[[#This Row],[data]])/(SUMIFS(vendaAno[venda],vendaAno[data],PvPcML[[#This Row],[data]])*12)-PvPcML[[#This Row],[lucro médio]],"")</f>
        <v>16.126764705882355</v>
      </c>
      <c r="BX61" s="7">
        <f ca="1">IF(SUMIFS(vendaAno[[lucro médio ]],vendaAno[data],PvPcML[[#This Row],[data]])=0,"",SUMIFS(vendaAno[[lucro médio ]],vendaAno[data],PvPcML[[#This Row],[data]]))</f>
        <v>1.9614705882352945</v>
      </c>
      <c r="CD61" s="7"/>
    </row>
    <row r="62" spans="1:83" x14ac:dyDescent="0.25">
      <c r="A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2" s="18" t="str">
        <f>TEXT(preçodiario[[#This Row],[data]],"MMM")</f>
        <v>mar</v>
      </c>
      <c r="C62" s="18" t="str">
        <f>TEXT(preçodiario[[#This Row],[data]],"ddd")</f>
        <v>seg</v>
      </c>
      <c r="D62" s="96">
        <f>WEEKNUM(preçodiario[[#This Row],[data]],13)</f>
        <v>9</v>
      </c>
      <c r="E62" s="37">
        <v>46083</v>
      </c>
      <c r="F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Row],[data]])),((F61*G61)+SUMIFS(estoque[valor total],estoque[produto],preçodiario[[#Headers],[OVO BRANCO A]],estoque[data],preçodiario[[#This Row],[data]],estoque[fornecedor],"&lt;&gt;saída"))/(G61+(SUMIFS(estoque[quantidade],estoque[produto],preçodiario[[#Headers],[OVO BRANCO A]],estoque[fornecedor],"&lt;&gt;saída",estoque[data],preçodiario[[#This Row],[data]])))))</f>
        <v>13.75</v>
      </c>
      <c r="G62" s="22">
        <f>IF(preçodiario[[#This Row],[entrada A]]=0,G61-(SUMIFS(estoque[quantidade],estoque[fornecedor],"saída",estoque[produto],preçodiario[[#Headers],[OVO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Row],[data]]))+G61+preçodiario[[#This Row],[entrada A]])</f>
        <v>82</v>
      </c>
      <c r="H62" s="22">
        <f>SUMIFS(estoque[quantidade],estoque[fornecedor],"&lt;&gt;saída",estoque[produto],preçodiario[[#Headers],[OVO BRANCO A]],estoque[data],preçodiario[[#This Row],[data]])</f>
        <v>0</v>
      </c>
      <c r="I62" s="20">
        <f>SUMIFS(estoque[valor total],estoque[fornecedor],"&lt;&gt;saída",estoque[produto],preçodiario[[#Headers],[OVO BRANCO A]],estoque[data],preçodiario[[#This Row],[data]])</f>
        <v>0</v>
      </c>
      <c r="J62" s="20">
        <f>IFERROR(preçodiario[[#This Row],[estoque A]]*preçodiario[[#This Row],[OVO BRANCO A]],0)</f>
        <v>1127.5</v>
      </c>
      <c r="K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Row],[data]])),((K61*L61)+SUMIFS(estoque[valor total],estoque[produto],preçodiario[[#Headers],[OVO BRANCO B]],estoque[data],preçodiario[[#This Row],[data]],estoque[fornecedor],"&lt;&gt;saída"))/(L61+(SUMIFS(estoque[quantidade],estoque[produto],preçodiario[[#Headers],[OVO BRANCO B]],estoque[fornecedor],"&lt;&gt;saída",estoque[data],preçodiario[[#This Row],[data]])))))</f>
        <v>12.953839321927173</v>
      </c>
      <c r="L62" s="22">
        <f>IF(preçodiario[[#This Row],[entrada B]]=0,L61-(SUMIFS(estoque[quantidade],estoque[fornecedor],"saída",estoque[produto],preçodiario[[#Headers],[OVO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Row],[data]]))+L61+preçodiario[[#This Row],[entrada B]])</f>
        <v>11</v>
      </c>
      <c r="M62" s="22">
        <f>SUMIFS(estoque[quantidade],estoque[fornecedor],"&lt;&gt;saída",estoque[produto],preçodiario[[#Headers],[OVO BRANCO B]],estoque[data],preçodiario[[#This Row],[data]])</f>
        <v>0</v>
      </c>
      <c r="N62" s="20">
        <f>SUMIFS(estoque[valor total],estoque[fornecedor],"&lt;&gt;saída",estoque[produto],preçodiario[[#Headers],[OVO BRANCO B]],estoque[data],preçodiario[[#This Row],[data]])</f>
        <v>0</v>
      </c>
      <c r="O62" s="20">
        <f>IFERROR(preçodiario[[#This Row],[OVO BRANCO B]]*preçodiario[[#This Row],[estoque B]],0)</f>
        <v>142.49223254119892</v>
      </c>
      <c r="P6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Row],[data]])),((P61*Q61)+SUMIFS(estoque[valor total],estoque[produto],preçodiario[[#Headers],[OVO BRANCO C]],estoque[data],preçodiario[[#This Row],[data]],estoque[fornecedor],"&lt;&gt;saída"))/(Q61+(SUMIFS(estoque[quantidade],estoque[produto],preçodiario[[#Headers],[OVO BRANCO C]],estoque[fornecedor],"&lt;&gt;saída",estoque[data],preçodiario[[#This Row],[data]])))))</f>
        <v/>
      </c>
      <c r="Q62" s="22">
        <f>IF(preçodiario[[#This Row],[entrada C]]=0,Q61-(SUMIFS(estoque[quantidade],estoque[fornecedor],"saída",estoque[produto],preçodiario[[#Headers],[OVO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Row],[data]]))+Q61+preçodiario[[#This Row],[entrada C]])</f>
        <v>0</v>
      </c>
      <c r="R62" s="22">
        <f>SUMIFS(estoque[quantidade],estoque[fornecedor],"&lt;&gt;saída",estoque[produto],preçodiario[[#Headers],[OVO BRANCO C]],estoque[data],preçodiario[[#This Row],[data]])</f>
        <v>0</v>
      </c>
      <c r="S62" s="20">
        <f>SUMIFS(estoque[valor total],estoque[fornecedor],"&lt;&gt;saída",estoque[produto],preçodiario[[#Headers],[OVO BRANCO C]],estoque[data],preçodiario[[#This Row],[data]])</f>
        <v>0</v>
      </c>
      <c r="T62" s="20">
        <f>IFERROR(preçodiario[[#This Row],[OVO BRANCO C]]*preçodiario[[#This Row],[estoque C]],0)</f>
        <v>0</v>
      </c>
      <c r="U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Row],[data]])),((U61*V61)+SUMIFS(estoque[valor total],estoque[produto],preçodiario[[#Headers],[OVO BRANCO EXTRA]],estoque[data],preçodiario[[#This Row],[data]],estoque[fornecedor],"&lt;&gt;saída"))/(V61+(SUMIFS(estoque[quantidade],estoque[produto],preçodiario[[#Headers],[OVO BRANCO EXTRA]],estoque[fornecedor],"&lt;&gt;saída",estoque[data],preçodiario[[#This Row],[data]])))))</f>
        <v>14.664649032982194</v>
      </c>
      <c r="V62" s="22">
        <f>IF(preçodiario[[#This Row],[entrada E]]=0,V61-(SUMIFS(estoque[quantidade],estoque[fornecedor],"saída",estoque[produto],preçodiario[[#Headers],[OVO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Row],[data]]))+V61+preçodiario[[#This Row],[entrada E]])</f>
        <v>94</v>
      </c>
      <c r="W62" s="22">
        <f>SUMIFS(estoque[quantidade],estoque[fornecedor],"&lt;&gt;saída",estoque[produto],preçodiario[[#Headers],[OVO BRANCO EXTRA]],estoque[data],preçodiario[[#This Row],[data]])</f>
        <v>0</v>
      </c>
      <c r="X62" s="20">
        <f>SUMIFS(estoque[valor total],estoque[fornecedor],"&lt;&gt;saída",estoque[produto],preçodiario[[#Headers],[OVO BRANCO EXTRA]],estoque[data],preçodiario[[#This Row],[data]])</f>
        <v>0</v>
      </c>
      <c r="Y62" s="20">
        <f>IFERROR(preçodiario[[#This Row],[estoque E]]*preçodiario[[#This Row],[OVO BRANCO EXTRA]],0)</f>
        <v>1378.4770091003263</v>
      </c>
      <c r="Z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Row],[data]])),((Z61*AA61)+SUMIFS(estoque[valor total],estoque[produto],preçodiario[[#Headers],[OVO BRANCO JUMBO]],estoque[data],preçodiario[[#This Row],[data]],estoque[fornecedor],"&lt;&gt;saída"))/(AA61+(SUMIFS(estoque[quantidade],estoque[produto],preçodiario[[#Headers],[OVO BRANCO JUMBO]],estoque[fornecedor],"&lt;&gt;saída",estoque[data],preçodiario[[#This Row],[data]])))))</f>
        <v>15.431029089771663</v>
      </c>
      <c r="AA62" s="22">
        <f>IF(preçodiario[[#This Row],[entrada J]]=0,AA61-(SUMIFS(estoque[quantidade],estoque[fornecedor],"saída",estoque[produto],preçodiario[[#Headers],[OVO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Row],[data]]))+AA61+preçodiario[[#This Row],[entrada J]])</f>
        <v>68</v>
      </c>
      <c r="AB62" s="22">
        <f>SUMIFS(estoque[quantidade],estoque[fornecedor],"&lt;&gt;saída",estoque[produto],preçodiario[[#Headers],[OVO BRANCO JUMBO]],estoque[data],preçodiario[[#This Row],[data]])</f>
        <v>0</v>
      </c>
      <c r="AC62" s="20">
        <f>SUMIFS(estoque[valor total],estoque[fornecedor],"&lt;&gt;saída",estoque[produto],preçodiario[[#Headers],[OVO BRANCO JUMBO]],estoque[data],preçodiario[[#This Row],[data]])</f>
        <v>0</v>
      </c>
      <c r="AD62" s="20">
        <f>IFERROR(preçodiario[[#This Row],[OVO BRANCO JUMBO]]*preçodiario[[#This Row],[estoque J]],0)</f>
        <v>1049.309978104473</v>
      </c>
      <c r="AE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Row],[data]])),((AE61*AF61)+SUMIFS(estoque[valor total],estoque[produto],preçodiario[[#Headers],[OVO VERMELHO A]],estoque[data],preçodiario[[#This Row],[data]],estoque[fornecedor],"&lt;&gt;saída"))/(AF61+(SUMIFS(estoque[quantidade],estoque[produto],preçodiario[[#Headers],[OVO VERMELHO A]],estoque[fornecedor],"&lt;&gt;saída",estoque[data],preçodiario[[#This Row],[data]])))))</f>
        <v/>
      </c>
      <c r="AF62" s="22">
        <f>IF(preçodiario[[#This Row],[entrada AV]]=0,AF61-(SUMIFS(estoque[quantidade],estoque[fornecedor],"saída",estoque[produto],preçodiario[[#Headers],[OVO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Row],[data]]))+AF61+preçodiario[[#This Row],[entrada AV]])</f>
        <v>0</v>
      </c>
      <c r="AG62" s="22">
        <f>SUMIFS(estoque[quantidade],estoque[fornecedor],"&lt;&gt;saída",estoque[produto],preçodiario[[#Headers],[OVO VERMELHO A]],estoque[data],preçodiario[[#This Row],[data]])</f>
        <v>0</v>
      </c>
      <c r="AH62" s="20">
        <f>SUMIFS(estoque[valor total],estoque[fornecedor],"&lt;&gt;saída",estoque[produto],preçodiario[[#Headers],[OVO VERMELHO A]],estoque[data],preçodiario[[#This Row],[data]])</f>
        <v>0</v>
      </c>
      <c r="AI62" s="20">
        <f>IFERROR(preçodiario[[#This Row],[OVO VERMELHO A]]*preçodiario[[#This Row],[estoque AV]],0)</f>
        <v>0</v>
      </c>
      <c r="AJ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Row],[data]])),((AJ61*AK61)+SUMIFS(estoque[valor total],estoque[produto],preçodiario[[#Headers],[OVO VERMELHO B]],estoque[data],preçodiario[[#This Row],[data]],estoque[fornecedor],"&lt;&gt;saída"))/(AK61+(SUMIFS(estoque[quantidade],estoque[produto],preçodiario[[#Headers],[OVO VERMELHO B]],estoque[fornecedor],"&lt;&gt;saída",estoque[data],preçodiario[[#This Row],[data]])))))</f>
        <v/>
      </c>
      <c r="AK62" s="22">
        <f>IF(preçodiario[[#This Row],[entrada BV]]=0,AK61-(SUMIFS(estoque[quantidade],estoque[fornecedor],"saída",estoque[produto],preçodiario[[#Headers],[OVO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Row],[data]]))+AK61+preçodiario[[#This Row],[entrada BV]])</f>
        <v>0</v>
      </c>
      <c r="AL62" s="22">
        <f>SUMIFS(estoque[quantidade],estoque[fornecedor],"&lt;&gt;saída",estoque[produto],preçodiario[[#Headers],[OVO VERMELHO B]],estoque[data],preçodiario[[#This Row],[data]])</f>
        <v>0</v>
      </c>
      <c r="AM62" s="20">
        <f>SUMIFS(estoque[valor total],estoque[fornecedor],"&lt;&gt;saída",estoque[produto],preçodiario[[#Headers],[OVO VERMELHO B]],estoque[data],preçodiario[[#This Row],[data]])</f>
        <v>0</v>
      </c>
      <c r="AN62" s="20">
        <f>IFERROR(preçodiario[[#This Row],[OVO VERMELHO B]]*preçodiario[[#This Row],[estoque BV]],0)</f>
        <v>0</v>
      </c>
      <c r="AO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Row],[data]])),((AO61*AP61)+SUMIFS(estoque[valor total],estoque[produto],preçodiario[[#Headers],[OVO VERMELHO C]],estoque[data],preçodiario[[#This Row],[data]],estoque[fornecedor],"&lt;&gt;saída"))/(AP61+(SUMIFS(estoque[quantidade],estoque[produto],preçodiario[[#Headers],[OVO VERMELHO C]],estoque[fornecedor],"&lt;&gt;saída",estoque[data],preçodiario[[#This Row],[data]])))))</f>
        <v/>
      </c>
      <c r="AP62" s="22">
        <f>IF(preçodiario[[#This Row],[entrada CV]]=0,AP61-(SUMIFS(estoque[quantidade],estoque[fornecedor],"saída",estoque[produto],preçodiario[[#Headers],[OVO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Row],[data]]))+AP61+preçodiario[[#This Row],[entrada CV]])</f>
        <v>0</v>
      </c>
      <c r="AQ62" s="22">
        <f>SUMIFS(estoque[quantidade],estoque[fornecedor],"&lt;&gt;saída",estoque[produto],preçodiario[[#Headers],[OVO VERMELHO C]],estoque[data],preçodiario[[#This Row],[data]])</f>
        <v>0</v>
      </c>
      <c r="AR62" s="20">
        <f>SUMIFS(estoque[valor total],estoque[fornecedor],"&lt;&gt;saída",estoque[produto],preçodiario[[#Headers],[OVO VERMELHO C]],estoque[data],preçodiario[[#This Row],[data]])</f>
        <v>0</v>
      </c>
      <c r="AS62" s="20">
        <f>IFERROR(preçodiario[[#This Row],[OVO VERMELHO C]]*preçodiario[[#This Row],[estoque CV]],0)</f>
        <v>0</v>
      </c>
      <c r="AT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Row],[data]])),((AT61*AU61)+SUMIFS(estoque[valor total],estoque[produto],preçodiario[[#Headers],[OVO VERMELHO EXTRA]],estoque[data],preçodiario[[#This Row],[data]],estoque[fornecedor],"&lt;&gt;saída"))/(AU61+(SUMIFS(estoque[quantidade],estoque[produto],preçodiario[[#Headers],[OVO VERMELHO EXTRA]],estoque[fornecedor],"&lt;&gt;saída",estoque[data],preçodiario[[#This Row],[data]])))))</f>
        <v/>
      </c>
      <c r="AU62" s="22">
        <f>IF(preçodiario[[#This Row],[entrada EV]]=0,AU61-(SUMIFS(estoque[quantidade],estoque[fornecedor],"saída",estoque[produto],preçodiario[[#Headers],[OVO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Row],[data]]))+AU61+preçodiario[[#This Row],[entrada EV]])</f>
        <v>0</v>
      </c>
      <c r="AV62" s="22">
        <f>SUMIFS(estoque[quantidade],estoque[fornecedor],"&lt;&gt;saída",estoque[produto],preçodiario[[#Headers],[OVO VERMELHO EXTRA]],estoque[data],preçodiario[[#This Row],[data]])</f>
        <v>0</v>
      </c>
      <c r="AW62" s="20">
        <f>SUMIFS(estoque[valor total],estoque[fornecedor],"&lt;&gt;saída",estoque[produto],preçodiario[[#Headers],[OVO VERMELHO EXTRA]],estoque[data],preçodiario[[#This Row],[data]])</f>
        <v>0</v>
      </c>
      <c r="AX62" s="20">
        <f>IFERROR(preçodiario[[#This Row],[OVO VERMELHO EXTRA]]*preçodiario[[#This Row],[estoque EV]],0)</f>
        <v>0</v>
      </c>
      <c r="AY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Row],[data]])),((AY61*AZ61)+SUMIFS(estoque[valor total],estoque[produto],preçodiario[[#Headers],[OVO VERMELHO JUMBO]],estoque[data],preçodiario[[#This Row],[data]],estoque[fornecedor],"&lt;&gt;saída"))/(AZ61+(SUMIFS(estoque[quantidade],estoque[produto],preçodiario[[#Headers],[OVO VERMELHO JUMBO]],estoque[fornecedor],"&lt;&gt;saída",estoque[data],preçodiario[[#This Row],[data]])))))</f>
        <v/>
      </c>
      <c r="AZ62" s="22">
        <f>IF(preçodiario[[#This Row],[entrada JV]]=0,AZ61-(SUMIFS(estoque[quantidade],estoque[fornecedor],"saída",estoque[produto],preçodiario[[#Headers],[OVO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Row],[data]]))+AZ61+preçodiario[[#This Row],[entrada JV]])</f>
        <v>0</v>
      </c>
      <c r="BA62" s="22">
        <f>SUMIFS(estoque[quantidade],estoque[fornecedor],"&lt;&gt;saída",estoque[produto],preçodiario[[#Headers],[OVO VERMELHO JUMBO]],estoque[data],preçodiario[[#This Row],[data]])</f>
        <v>0</v>
      </c>
      <c r="BB62" s="20">
        <f>SUMIFS(estoque[valor total],estoque[fornecedor],"&lt;&gt;saída",estoque[produto],preçodiario[[#Headers],[OVO VERMELHO JUMBO]],estoque[data],preçodiario[[#This Row],[data]])</f>
        <v>0</v>
      </c>
      <c r="BC62" s="20">
        <f>IFERROR(preçodiario[[#This Row],[OVO VERMELHO JUMBO]]*preçodiario[[#This Row],[estoque JV]],0)</f>
        <v>0</v>
      </c>
      <c r="BD62" t="str">
        <f>TEXT(vendaAno[[#This Row],[data]],"mmm")</f>
        <v>mar</v>
      </c>
      <c r="BE62" t="str">
        <f>TEXT(vendaAno[[#This Row],[data]],"ddd")</f>
        <v>seg</v>
      </c>
      <c r="BF62" s="82">
        <f>WEEKNUM(vendaAno[[#This Row],[data]],13)</f>
        <v>9</v>
      </c>
      <c r="BG62" s="27">
        <f>preçodiario[[#This Row],[data]]</f>
        <v>46083</v>
      </c>
      <c r="BH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2" s="8">
        <f>IF(SUMIFS(estoque[valor total],estoque[fornecedor],"saída",estoque[data],vendaAno[[#This Row],[data]])=0,"",SUMIFS(estoque[valor total],estoque[fornecedor],"saída",estoque[data],vendaAno[[#This Row],[data]]))</f>
        <v>900</v>
      </c>
      <c r="BJ6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Row],[data]]))/12+BJ61,"")</f>
        <v>21.249999999999961</v>
      </c>
      <c r="BK62" s="79">
        <f>IF(SUMIFS(estoque[quantidade],estoque[fornecedor],"saída",estoque[data],vendaAno[[#This Row],[data]])/12=0,"",SUMIFS(estoque[quantidade],estoque[fornecedor],"saída",estoque[data],vendaAno[[#This Row],[data]])/12)</f>
        <v>4.25</v>
      </c>
      <c r="BL62" s="8">
        <f ca="1">IF(vendaAno[[#This Row],[data]]&lt;=TODAY(),IF(SUMIFS(estoque[lucro],estoque[fornecedor],"saída",estoque[data],vendaAno[[#This Row],[data]])=0,AVERAGE(BL59:BL61),SUMIFS(estoque[lucro],estoque[fornecedor],"saída",estoque[data],vendaAno[[#This Row],[data]])),"")</f>
        <v>196.45</v>
      </c>
      <c r="BM62" s="10">
        <f ca="1">IFERROR(vendaAno[[#This Row],[lucro]]/vendaAno[[#This Row],[valor de venda]],"")</f>
        <v>0.21827777777777777</v>
      </c>
      <c r="BN6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3697.7792197459985</v>
      </c>
      <c r="BO62" s="8">
        <f ca="1">IF(TODAY()&gt;=vendaAno[[#This Row],[data]],IF(vendaAno[[#This Row],[N°]]=BF61,vendaAno[[#This Row],[lucro]]-173.33+BO61,vendaAno[[#This Row],[lucro]]-150),"")</f>
        <v>-111.31000000000009</v>
      </c>
      <c r="BP62" s="81">
        <f ca="1">IF(TODAY()&gt;=vendaAno[[#This Row],[data]],SUM(BK56:BK62)*12,"")</f>
        <v>287.99999999999994</v>
      </c>
      <c r="BQ62" s="7">
        <f ca="1">IFERROR(vendaAno[[#This Row],[lucro]]/(vendaAno[[#This Row],[venda]]*12),"")</f>
        <v>3.8519607843137251</v>
      </c>
      <c r="BT62" s="95">
        <f ca="1">WEEKNUM(PvPcML[[#This Row],[data]],13)</f>
        <v>22</v>
      </c>
      <c r="BU62" s="132">
        <f t="shared" ca="1" si="0"/>
        <v>46173</v>
      </c>
      <c r="BV62" s="7">
        <f ca="1">IFERROR(SUMIFS(vendaAno[valor de venda],vendaAno[data],PvPcML[[#This Row],[data]])/(SUMIFS(vendaAno[venda],vendaAno[data],PvPcML[[#This Row],[data]])*12),"")</f>
        <v>19.574074074074073</v>
      </c>
      <c r="BW62" s="8">
        <f ca="1">IFERROR(SUMIFS(vendaAno[valor de venda],vendaAno[data],PvPcML[[#This Row],[data]])/(SUMIFS(vendaAno[venda],vendaAno[data],PvPcML[[#This Row],[data]])*12)-PvPcML[[#This Row],[lucro médio]],"")</f>
        <v>16.213888888888889</v>
      </c>
      <c r="BX62" s="7">
        <f ca="1">IF(SUMIFS(vendaAno[[lucro médio ]],vendaAno[data],PvPcML[[#This Row],[data]])=0,"",SUMIFS(vendaAno[[lucro médio ]],vendaAno[data],PvPcML[[#This Row],[data]]))</f>
        <v>3.3601851851851849</v>
      </c>
      <c r="CD62" s="7"/>
    </row>
    <row r="63" spans="1:83" x14ac:dyDescent="0.25">
      <c r="A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3" s="18" t="str">
        <f>TEXT(preçodiario[[#This Row],[data]],"MMM")</f>
        <v>mar</v>
      </c>
      <c r="C63" s="18" t="str">
        <f>TEXT(preçodiario[[#This Row],[data]],"ddd")</f>
        <v>ter</v>
      </c>
      <c r="D63" s="96">
        <f>WEEKNUM(preçodiario[[#This Row],[data]],13)</f>
        <v>9</v>
      </c>
      <c r="E63" s="37">
        <v>46084</v>
      </c>
      <c r="F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Row],[data]])),((F62*G62)+SUMIFS(estoque[valor total],estoque[produto],preçodiario[[#Headers],[OVO BRANCO A]],estoque[data],preçodiario[[#This Row],[data]],estoque[fornecedor],"&lt;&gt;saída"))/(G62+(SUMIFS(estoque[quantidade],estoque[produto],preçodiario[[#Headers],[OVO BRANCO A]],estoque[fornecedor],"&lt;&gt;saída",estoque[data],preçodiario[[#This Row],[data]])))))</f>
        <v>13.75</v>
      </c>
      <c r="G63" s="22">
        <f>IF(preçodiario[[#This Row],[entrada A]]=0,G62-(SUMIFS(estoque[quantidade],estoque[fornecedor],"saída",estoque[produto],preçodiario[[#Headers],[OVO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Row],[data]]))+G62+preçodiario[[#This Row],[entrada A]])</f>
        <v>60</v>
      </c>
      <c r="H63" s="22">
        <f>SUMIFS(estoque[quantidade],estoque[fornecedor],"&lt;&gt;saída",estoque[produto],preçodiario[[#Headers],[OVO BRANCO A]],estoque[data],preçodiario[[#This Row],[data]])</f>
        <v>0</v>
      </c>
      <c r="I63" s="20">
        <f>SUMIFS(estoque[valor total],estoque[fornecedor],"&lt;&gt;saída",estoque[produto],preçodiario[[#Headers],[OVO BRANCO A]],estoque[data],preçodiario[[#This Row],[data]])</f>
        <v>0</v>
      </c>
      <c r="J63" s="20">
        <f>IFERROR(preçodiario[[#This Row],[estoque A]]*preçodiario[[#This Row],[OVO BRANCO A]],0)</f>
        <v>825</v>
      </c>
      <c r="K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Row],[data]])),((K62*L62)+SUMIFS(estoque[valor total],estoque[produto],preçodiario[[#Headers],[OVO BRANCO B]],estoque[data],preçodiario[[#This Row],[data]],estoque[fornecedor],"&lt;&gt;saída"))/(L62+(SUMIFS(estoque[quantidade],estoque[produto],preçodiario[[#Headers],[OVO BRANCO B]],estoque[fornecedor],"&lt;&gt;saída",estoque[data],preçodiario[[#This Row],[data]])))))</f>
        <v>12.953839321927175</v>
      </c>
      <c r="L63" s="22">
        <f>IF(preçodiario[[#This Row],[entrada B]]=0,L62-(SUMIFS(estoque[quantidade],estoque[fornecedor],"saída",estoque[produto],preçodiario[[#Headers],[OVO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Row],[data]]))+L62+preçodiario[[#This Row],[entrada B]])</f>
        <v>7</v>
      </c>
      <c r="M63" s="22">
        <f>SUMIFS(estoque[quantidade],estoque[fornecedor],"&lt;&gt;saída",estoque[produto],preçodiario[[#Headers],[OVO BRANCO B]],estoque[data],preçodiario[[#This Row],[data]])</f>
        <v>0</v>
      </c>
      <c r="N63" s="20">
        <f>SUMIFS(estoque[valor total],estoque[fornecedor],"&lt;&gt;saída",estoque[produto],preçodiario[[#Headers],[OVO BRANCO B]],estoque[data],preçodiario[[#This Row],[data]])</f>
        <v>0</v>
      </c>
      <c r="O63" s="20">
        <f>IFERROR(preçodiario[[#This Row],[OVO BRANCO B]]*preçodiario[[#This Row],[estoque B]],0)</f>
        <v>90.676875253490223</v>
      </c>
      <c r="P6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Row],[data]])),((P62*Q62)+SUMIFS(estoque[valor total],estoque[produto],preçodiario[[#Headers],[OVO BRANCO C]],estoque[data],preçodiario[[#This Row],[data]],estoque[fornecedor],"&lt;&gt;saída"))/(Q62+(SUMIFS(estoque[quantidade],estoque[produto],preçodiario[[#Headers],[OVO BRANCO C]],estoque[fornecedor],"&lt;&gt;saída",estoque[data],preçodiario[[#This Row],[data]])))))</f>
        <v/>
      </c>
      <c r="Q63" s="22">
        <f>IF(preçodiario[[#This Row],[entrada C]]=0,Q62-(SUMIFS(estoque[quantidade],estoque[fornecedor],"saída",estoque[produto],preçodiario[[#Headers],[OVO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Row],[data]]))+Q62+preçodiario[[#This Row],[entrada C]])</f>
        <v>0</v>
      </c>
      <c r="R63" s="22">
        <f>SUMIFS(estoque[quantidade],estoque[fornecedor],"&lt;&gt;saída",estoque[produto],preçodiario[[#Headers],[OVO BRANCO C]],estoque[data],preçodiario[[#This Row],[data]])</f>
        <v>0</v>
      </c>
      <c r="S63" s="20">
        <f>SUMIFS(estoque[valor total],estoque[fornecedor],"&lt;&gt;saída",estoque[produto],preçodiario[[#Headers],[OVO BRANCO C]],estoque[data],preçodiario[[#This Row],[data]])</f>
        <v>0</v>
      </c>
      <c r="T63" s="20">
        <f>IFERROR(preçodiario[[#This Row],[OVO BRANCO C]]*preçodiario[[#This Row],[estoque C]],0)</f>
        <v>0</v>
      </c>
      <c r="U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Row],[data]])),((U62*V62)+SUMIFS(estoque[valor total],estoque[produto],preçodiario[[#Headers],[OVO BRANCO EXTRA]],estoque[data],preçodiario[[#This Row],[data]],estoque[fornecedor],"&lt;&gt;saída"))/(V62+(SUMIFS(estoque[quantidade],estoque[produto],preçodiario[[#Headers],[OVO BRANCO EXTRA]],estoque[fornecedor],"&lt;&gt;saída",estoque[data],preçodiario[[#This Row],[data]])))))</f>
        <v>14.664649032982195</v>
      </c>
      <c r="V63" s="22">
        <f>IF(preçodiario[[#This Row],[entrada E]]=0,V62-(SUMIFS(estoque[quantidade],estoque[fornecedor],"saída",estoque[produto],preçodiario[[#Headers],[OVO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Row],[data]]))+V62+preçodiario[[#This Row],[entrada E]])</f>
        <v>74</v>
      </c>
      <c r="W63" s="22">
        <f>SUMIFS(estoque[quantidade],estoque[fornecedor],"&lt;&gt;saída",estoque[produto],preçodiario[[#Headers],[OVO BRANCO EXTRA]],estoque[data],preçodiario[[#This Row],[data]])</f>
        <v>0</v>
      </c>
      <c r="X63" s="20">
        <f>SUMIFS(estoque[valor total],estoque[fornecedor],"&lt;&gt;saída",estoque[produto],preçodiario[[#Headers],[OVO BRANCO EXTRA]],estoque[data],preçodiario[[#This Row],[data]])</f>
        <v>0</v>
      </c>
      <c r="Y63" s="20">
        <f>IFERROR(preçodiario[[#This Row],[estoque E]]*preçodiario[[#This Row],[OVO BRANCO EXTRA]],0)</f>
        <v>1085.1840284406824</v>
      </c>
      <c r="Z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Row],[data]])),((Z62*AA62)+SUMIFS(estoque[valor total],estoque[produto],preçodiario[[#Headers],[OVO BRANCO JUMBO]],estoque[data],preçodiario[[#This Row],[data]],estoque[fornecedor],"&lt;&gt;saída"))/(AA62+(SUMIFS(estoque[quantidade],estoque[produto],preçodiario[[#Headers],[OVO BRANCO JUMBO]],estoque[fornecedor],"&lt;&gt;saída",estoque[data],preçodiario[[#This Row],[data]])))))</f>
        <v>15.431029089771661</v>
      </c>
      <c r="AA63" s="22">
        <f>IF(preçodiario[[#This Row],[entrada J]]=0,AA62-(SUMIFS(estoque[quantidade],estoque[fornecedor],"saída",estoque[produto],preçodiario[[#Headers],[OVO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Row],[data]]))+AA62+preçodiario[[#This Row],[entrada J]])</f>
        <v>64</v>
      </c>
      <c r="AB63" s="22">
        <f>SUMIFS(estoque[quantidade],estoque[fornecedor],"&lt;&gt;saída",estoque[produto],preçodiario[[#Headers],[OVO BRANCO JUMBO]],estoque[data],preçodiario[[#This Row],[data]])</f>
        <v>0</v>
      </c>
      <c r="AC63" s="20">
        <f>SUMIFS(estoque[valor total],estoque[fornecedor],"&lt;&gt;saída",estoque[produto],preçodiario[[#Headers],[OVO BRANCO JUMBO]],estoque[data],preçodiario[[#This Row],[data]])</f>
        <v>0</v>
      </c>
      <c r="AD63" s="20">
        <f>IFERROR(preçodiario[[#This Row],[OVO BRANCO JUMBO]]*preçodiario[[#This Row],[estoque J]],0)</f>
        <v>987.5858617453863</v>
      </c>
      <c r="AE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Row],[data]])),((AE62*AF62)+SUMIFS(estoque[valor total],estoque[produto],preçodiario[[#Headers],[OVO VERMELHO A]],estoque[data],preçodiario[[#This Row],[data]],estoque[fornecedor],"&lt;&gt;saída"))/(AF62+(SUMIFS(estoque[quantidade],estoque[produto],preçodiario[[#Headers],[OVO VERMELHO A]],estoque[fornecedor],"&lt;&gt;saída",estoque[data],preçodiario[[#This Row],[data]])))))</f>
        <v/>
      </c>
      <c r="AF63" s="22">
        <f>IF(preçodiario[[#This Row],[entrada AV]]=0,AF62-(SUMIFS(estoque[quantidade],estoque[fornecedor],"saída",estoque[produto],preçodiario[[#Headers],[OVO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Row],[data]]))+AF62+preçodiario[[#This Row],[entrada AV]])</f>
        <v>0</v>
      </c>
      <c r="AG63" s="22">
        <f>SUMIFS(estoque[quantidade],estoque[fornecedor],"&lt;&gt;saída",estoque[produto],preçodiario[[#Headers],[OVO VERMELHO A]],estoque[data],preçodiario[[#This Row],[data]])</f>
        <v>0</v>
      </c>
      <c r="AH63" s="20">
        <f>SUMIFS(estoque[valor total],estoque[fornecedor],"&lt;&gt;saída",estoque[produto],preçodiario[[#Headers],[OVO VERMELHO A]],estoque[data],preçodiario[[#This Row],[data]])</f>
        <v>0</v>
      </c>
      <c r="AI63" s="20">
        <f>IFERROR(preçodiario[[#This Row],[OVO VERMELHO A]]*preçodiario[[#This Row],[estoque AV]],0)</f>
        <v>0</v>
      </c>
      <c r="AJ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Row],[data]])),((AJ62*AK62)+SUMIFS(estoque[valor total],estoque[produto],preçodiario[[#Headers],[OVO VERMELHO B]],estoque[data],preçodiario[[#This Row],[data]],estoque[fornecedor],"&lt;&gt;saída"))/(AK62+(SUMIFS(estoque[quantidade],estoque[produto],preçodiario[[#Headers],[OVO VERMELHO B]],estoque[fornecedor],"&lt;&gt;saída",estoque[data],preçodiario[[#This Row],[data]])))))</f>
        <v/>
      </c>
      <c r="AK63" s="22">
        <f>IF(preçodiario[[#This Row],[entrada BV]]=0,AK62-(SUMIFS(estoque[quantidade],estoque[fornecedor],"saída",estoque[produto],preçodiario[[#Headers],[OVO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Row],[data]]))+AK62+preçodiario[[#This Row],[entrada BV]])</f>
        <v>0</v>
      </c>
      <c r="AL63" s="22">
        <f>SUMIFS(estoque[quantidade],estoque[fornecedor],"&lt;&gt;saída",estoque[produto],preçodiario[[#Headers],[OVO VERMELHO B]],estoque[data],preçodiario[[#This Row],[data]])</f>
        <v>0</v>
      </c>
      <c r="AM63" s="20">
        <f>SUMIFS(estoque[valor total],estoque[fornecedor],"&lt;&gt;saída",estoque[produto],preçodiario[[#Headers],[OVO VERMELHO B]],estoque[data],preçodiario[[#This Row],[data]])</f>
        <v>0</v>
      </c>
      <c r="AN63" s="20">
        <f>IFERROR(preçodiario[[#This Row],[OVO VERMELHO B]]*preçodiario[[#This Row],[estoque BV]],0)</f>
        <v>0</v>
      </c>
      <c r="AO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Row],[data]])),((AO62*AP62)+SUMIFS(estoque[valor total],estoque[produto],preçodiario[[#Headers],[OVO VERMELHO C]],estoque[data],preçodiario[[#This Row],[data]],estoque[fornecedor],"&lt;&gt;saída"))/(AP62+(SUMIFS(estoque[quantidade],estoque[produto],preçodiario[[#Headers],[OVO VERMELHO C]],estoque[fornecedor],"&lt;&gt;saída",estoque[data],preçodiario[[#This Row],[data]])))))</f>
        <v/>
      </c>
      <c r="AP63" s="22">
        <f>IF(preçodiario[[#This Row],[entrada CV]]=0,AP62-(SUMIFS(estoque[quantidade],estoque[fornecedor],"saída",estoque[produto],preçodiario[[#Headers],[OVO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Row],[data]]))+AP62+preçodiario[[#This Row],[entrada CV]])</f>
        <v>0</v>
      </c>
      <c r="AQ63" s="22">
        <f>SUMIFS(estoque[quantidade],estoque[fornecedor],"&lt;&gt;saída",estoque[produto],preçodiario[[#Headers],[OVO VERMELHO C]],estoque[data],preçodiario[[#This Row],[data]])</f>
        <v>0</v>
      </c>
      <c r="AR63" s="20">
        <f>SUMIFS(estoque[valor total],estoque[fornecedor],"&lt;&gt;saída",estoque[produto],preçodiario[[#Headers],[OVO VERMELHO C]],estoque[data],preçodiario[[#This Row],[data]])</f>
        <v>0</v>
      </c>
      <c r="AS63" s="20">
        <f>IFERROR(preçodiario[[#This Row],[OVO VERMELHO C]]*preçodiario[[#This Row],[estoque CV]],0)</f>
        <v>0</v>
      </c>
      <c r="AT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Row],[data]])),((AT62*AU62)+SUMIFS(estoque[valor total],estoque[produto],preçodiario[[#Headers],[OVO VERMELHO EXTRA]],estoque[data],preçodiario[[#This Row],[data]],estoque[fornecedor],"&lt;&gt;saída"))/(AU62+(SUMIFS(estoque[quantidade],estoque[produto],preçodiario[[#Headers],[OVO VERMELHO EXTRA]],estoque[fornecedor],"&lt;&gt;saída",estoque[data],preçodiario[[#This Row],[data]])))))</f>
        <v/>
      </c>
      <c r="AU63" s="22">
        <f>IF(preçodiario[[#This Row],[entrada EV]]=0,AU62-(SUMIFS(estoque[quantidade],estoque[fornecedor],"saída",estoque[produto],preçodiario[[#Headers],[OVO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Row],[data]]))+AU62+preçodiario[[#This Row],[entrada EV]])</f>
        <v>0</v>
      </c>
      <c r="AV63" s="22">
        <f>SUMIFS(estoque[quantidade],estoque[fornecedor],"&lt;&gt;saída",estoque[produto],preçodiario[[#Headers],[OVO VERMELHO EXTRA]],estoque[data],preçodiario[[#This Row],[data]])</f>
        <v>0</v>
      </c>
      <c r="AW63" s="20">
        <f>SUMIFS(estoque[valor total],estoque[fornecedor],"&lt;&gt;saída",estoque[produto],preçodiario[[#Headers],[OVO VERMELHO EXTRA]],estoque[data],preçodiario[[#This Row],[data]])</f>
        <v>0</v>
      </c>
      <c r="AX63" s="20">
        <f>IFERROR(preçodiario[[#This Row],[OVO VERMELHO EXTRA]]*preçodiario[[#This Row],[estoque EV]],0)</f>
        <v>0</v>
      </c>
      <c r="AY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Row],[data]])),((AY62*AZ62)+SUMIFS(estoque[valor total],estoque[produto],preçodiario[[#Headers],[OVO VERMELHO JUMBO]],estoque[data],preçodiario[[#This Row],[data]],estoque[fornecedor],"&lt;&gt;saída"))/(AZ62+(SUMIFS(estoque[quantidade],estoque[produto],preçodiario[[#Headers],[OVO VERMELHO JUMBO]],estoque[fornecedor],"&lt;&gt;saída",estoque[data],preçodiario[[#This Row],[data]])))))</f>
        <v/>
      </c>
      <c r="AZ63" s="22">
        <f>IF(preçodiario[[#This Row],[entrada JV]]=0,AZ62-(SUMIFS(estoque[quantidade],estoque[fornecedor],"saída",estoque[produto],preçodiario[[#Headers],[OVO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Row],[data]]))+AZ62+preçodiario[[#This Row],[entrada JV]])</f>
        <v>0</v>
      </c>
      <c r="BA63" s="22">
        <f>SUMIFS(estoque[quantidade],estoque[fornecedor],"&lt;&gt;saída",estoque[produto],preçodiario[[#Headers],[OVO VERMELHO JUMBO]],estoque[data],preçodiario[[#This Row],[data]])</f>
        <v>0</v>
      </c>
      <c r="BB63" s="20">
        <f>SUMIFS(estoque[valor total],estoque[fornecedor],"&lt;&gt;saída",estoque[produto],preçodiario[[#Headers],[OVO VERMELHO JUMBO]],estoque[data],preçodiario[[#This Row],[data]])</f>
        <v>0</v>
      </c>
      <c r="BC63" s="20">
        <f>IFERROR(preçodiario[[#This Row],[OVO VERMELHO JUMBO]]*preçodiario[[#This Row],[estoque JV]],0)</f>
        <v>0</v>
      </c>
      <c r="BD63" t="str">
        <f>TEXT(vendaAno[[#This Row],[data]],"mmm")</f>
        <v>mar</v>
      </c>
      <c r="BE63" t="str">
        <f>TEXT(vendaAno[[#This Row],[data]],"ddd")</f>
        <v>ter</v>
      </c>
      <c r="BF63" s="82">
        <f>WEEKNUM(vendaAno[[#This Row],[data]],13)</f>
        <v>9</v>
      </c>
      <c r="BG63" s="27">
        <f>preçodiario[[#This Row],[data]]</f>
        <v>46084</v>
      </c>
      <c r="BH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3" s="8">
        <f>IF(SUMIFS(estoque[valor total],estoque[fornecedor],"saída",estoque[data],vendaAno[[#This Row],[data]])=0,"",SUMIFS(estoque[valor total],estoque[fornecedor],"saída",estoque[data],vendaAno[[#This Row],[data]]))</f>
        <v>912</v>
      </c>
      <c r="BJ6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Row],[data]]))/12+BJ62,"")</f>
        <v>17.083333333333293</v>
      </c>
      <c r="BK63" s="79">
        <f>IF(SUMIFS(estoque[quantidade],estoque[fornecedor],"saída",estoque[data],vendaAno[[#This Row],[data]])/12=0,"",SUMIFS(estoque[quantidade],estoque[fornecedor],"saída",estoque[data],vendaAno[[#This Row],[data]])/12)</f>
        <v>4.166666666666667</v>
      </c>
      <c r="BL63" s="8">
        <f ca="1">IF(vendaAno[[#This Row],[data]]&lt;=TODAY(),IF(SUMIFS(estoque[lucro],estoque[fornecedor],"saída",estoque[data],vendaAno[[#This Row],[data]])=0,AVERAGE(BL60:BL62),SUMIFS(estoque[lucro],estoque[fornecedor],"saída",estoque[data],vendaAno[[#This Row],[data]])),"")</f>
        <v>202.67</v>
      </c>
      <c r="BM63" s="10">
        <f ca="1">IFERROR(vendaAno[[#This Row],[lucro]]/vendaAno[[#This Row],[valor de venda]],"")</f>
        <v>0.22222587719298245</v>
      </c>
      <c r="BN6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2988.4467654395589</v>
      </c>
      <c r="BO63" s="8">
        <f ca="1">IF(TODAY()&gt;=vendaAno[[#This Row],[data]],IF(vendaAno[[#This Row],[N°]]=BF62,vendaAno[[#This Row],[lucro]]-173.33+BO62,vendaAno[[#This Row],[lucro]]-150),"")</f>
        <v>-81.970000000000113</v>
      </c>
      <c r="BP63" s="81">
        <f ca="1">IF(TODAY()&gt;=vendaAno[[#This Row],[data]],SUM(BK57:BK63)*12,"")</f>
        <v>297</v>
      </c>
      <c r="BQ63" s="7">
        <f ca="1">IFERROR(vendaAno[[#This Row],[lucro]]/(vendaAno[[#This Row],[venda]]*12),"")</f>
        <v>4.0533999999999999</v>
      </c>
      <c r="CD63" s="7"/>
    </row>
    <row r="64" spans="1:83" x14ac:dyDescent="0.25">
      <c r="A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4" s="18" t="str">
        <f>TEXT(preçodiario[[#This Row],[data]],"MMM")</f>
        <v>mar</v>
      </c>
      <c r="C64" s="18" t="str">
        <f>TEXT(preçodiario[[#This Row],[data]],"ddd")</f>
        <v>qua</v>
      </c>
      <c r="D64" s="96">
        <f>WEEKNUM(preçodiario[[#This Row],[data]],13)</f>
        <v>10</v>
      </c>
      <c r="E64" s="37">
        <v>46085</v>
      </c>
      <c r="F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Row],[data]])),((F63*G63)+SUMIFS(estoque[valor total],estoque[produto],preçodiario[[#Headers],[OVO BRANCO A]],estoque[data],preçodiario[[#This Row],[data]],estoque[fornecedor],"&lt;&gt;saída"))/(G63+(SUMIFS(estoque[quantidade],estoque[produto],preçodiario[[#Headers],[OVO BRANCO A]],estoque[fornecedor],"&lt;&gt;saída",estoque[data],preçodiario[[#This Row],[data]])))))</f>
        <v>13.75</v>
      </c>
      <c r="G64" s="22">
        <f>IF(preçodiario[[#This Row],[entrada A]]=0,G63-(SUMIFS(estoque[quantidade],estoque[fornecedor],"saída",estoque[produto],preçodiario[[#Headers],[OVO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Row],[data]]))+G63+preçodiario[[#This Row],[entrada A]])</f>
        <v>53</v>
      </c>
      <c r="H64" s="22">
        <f>SUMIFS(estoque[quantidade],estoque[fornecedor],"&lt;&gt;saída",estoque[produto],preçodiario[[#Headers],[OVO BRANCO A]],estoque[data],preçodiario[[#This Row],[data]])</f>
        <v>0</v>
      </c>
      <c r="I64" s="20">
        <f>SUMIFS(estoque[valor total],estoque[fornecedor],"&lt;&gt;saída",estoque[produto],preçodiario[[#Headers],[OVO BRANCO A]],estoque[data],preçodiario[[#This Row],[data]])</f>
        <v>0</v>
      </c>
      <c r="J64" s="20">
        <f>IFERROR(preçodiario[[#This Row],[estoque A]]*preçodiario[[#This Row],[OVO BRANCO A]],0)</f>
        <v>728.75</v>
      </c>
      <c r="K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Row],[data]])),((K63*L63)+SUMIFS(estoque[valor total],estoque[produto],preçodiario[[#Headers],[OVO BRANCO B]],estoque[data],preçodiario[[#This Row],[data]],estoque[fornecedor],"&lt;&gt;saída"))/(L63+(SUMIFS(estoque[quantidade],estoque[produto],preçodiario[[#Headers],[OVO BRANCO B]],estoque[fornecedor],"&lt;&gt;saída",estoque[data],preçodiario[[#This Row],[data]])))))</f>
        <v>12.953839321927175</v>
      </c>
      <c r="L64" s="22">
        <f>IF(preçodiario[[#This Row],[entrada B]]=0,L63-(SUMIFS(estoque[quantidade],estoque[fornecedor],"saída",estoque[produto],preçodiario[[#Headers],[OVO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Row],[data]]))+L63+preçodiario[[#This Row],[entrada B]])</f>
        <v>1</v>
      </c>
      <c r="M64" s="22">
        <f>SUMIFS(estoque[quantidade],estoque[fornecedor],"&lt;&gt;saída",estoque[produto],preçodiario[[#Headers],[OVO BRANCO B]],estoque[data],preçodiario[[#This Row],[data]])</f>
        <v>0</v>
      </c>
      <c r="N64" s="20">
        <f>SUMIFS(estoque[valor total],estoque[fornecedor],"&lt;&gt;saída",estoque[produto],preçodiario[[#Headers],[OVO BRANCO B]],estoque[data],preçodiario[[#This Row],[data]])</f>
        <v>0</v>
      </c>
      <c r="O64" s="20">
        <f>IFERROR(preçodiario[[#This Row],[OVO BRANCO B]]*preçodiario[[#This Row],[estoque B]],0)</f>
        <v>12.953839321927175</v>
      </c>
      <c r="P6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Row],[data]])),((P63*Q63)+SUMIFS(estoque[valor total],estoque[produto],preçodiario[[#Headers],[OVO BRANCO C]],estoque[data],preçodiario[[#This Row],[data]],estoque[fornecedor],"&lt;&gt;saída"))/(Q63+(SUMIFS(estoque[quantidade],estoque[produto],preçodiario[[#Headers],[OVO BRANCO C]],estoque[fornecedor],"&lt;&gt;saída",estoque[data],preçodiario[[#This Row],[data]])))))</f>
        <v/>
      </c>
      <c r="Q64" s="22">
        <f>IF(preçodiario[[#This Row],[entrada C]]=0,Q63-(SUMIFS(estoque[quantidade],estoque[fornecedor],"saída",estoque[produto],preçodiario[[#Headers],[OVO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Row],[data]]))+Q63+preçodiario[[#This Row],[entrada C]])</f>
        <v>0</v>
      </c>
      <c r="R64" s="22">
        <f>SUMIFS(estoque[quantidade],estoque[fornecedor],"&lt;&gt;saída",estoque[produto],preçodiario[[#Headers],[OVO BRANCO C]],estoque[data],preçodiario[[#This Row],[data]])</f>
        <v>0</v>
      </c>
      <c r="S64" s="20">
        <f>SUMIFS(estoque[valor total],estoque[fornecedor],"&lt;&gt;saída",estoque[produto],preçodiario[[#Headers],[OVO BRANCO C]],estoque[data],preçodiario[[#This Row],[data]])</f>
        <v>0</v>
      </c>
      <c r="T64" s="20">
        <f>IFERROR(preçodiario[[#This Row],[OVO BRANCO C]]*preçodiario[[#This Row],[estoque C]],0)</f>
        <v>0</v>
      </c>
      <c r="U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Row],[data]])),((U63*V63)+SUMIFS(estoque[valor total],estoque[produto],preçodiario[[#Headers],[OVO BRANCO EXTRA]],estoque[data],preçodiario[[#This Row],[data]],estoque[fornecedor],"&lt;&gt;saída"))/(V63+(SUMIFS(estoque[quantidade],estoque[produto],preçodiario[[#Headers],[OVO BRANCO EXTRA]],estoque[fornecedor],"&lt;&gt;saída",estoque[data],preçodiario[[#This Row],[data]])))))</f>
        <v>14.664649032982194</v>
      </c>
      <c r="V64" s="22">
        <f>IF(preçodiario[[#This Row],[entrada E]]=0,V63-(SUMIFS(estoque[quantidade],estoque[fornecedor],"saída",estoque[produto],preçodiario[[#Headers],[OVO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Row],[data]]))+V63+preçodiario[[#This Row],[entrada E]])</f>
        <v>65</v>
      </c>
      <c r="W64" s="22">
        <f>SUMIFS(estoque[quantidade],estoque[fornecedor],"&lt;&gt;saída",estoque[produto],preçodiario[[#Headers],[OVO BRANCO EXTRA]],estoque[data],preçodiario[[#This Row],[data]])</f>
        <v>0</v>
      </c>
      <c r="X64" s="20">
        <f>SUMIFS(estoque[valor total],estoque[fornecedor],"&lt;&gt;saída",estoque[produto],preçodiario[[#Headers],[OVO BRANCO EXTRA]],estoque[data],preçodiario[[#This Row],[data]])</f>
        <v>0</v>
      </c>
      <c r="Y64" s="20">
        <f>IFERROR(preçodiario[[#This Row],[estoque E]]*preçodiario[[#This Row],[OVO BRANCO EXTRA]],0)</f>
        <v>953.20218714384259</v>
      </c>
      <c r="Z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Row],[data]])),((Z63*AA63)+SUMIFS(estoque[valor total],estoque[produto],preçodiario[[#Headers],[OVO BRANCO JUMBO]],estoque[data],preçodiario[[#This Row],[data]],estoque[fornecedor],"&lt;&gt;saída"))/(AA63+(SUMIFS(estoque[quantidade],estoque[produto],preçodiario[[#Headers],[OVO BRANCO JUMBO]],estoque[fornecedor],"&lt;&gt;saída",estoque[data],preçodiario[[#This Row],[data]])))))</f>
        <v>15.431029089771661</v>
      </c>
      <c r="AA64" s="22">
        <f>IF(preçodiario[[#This Row],[entrada J]]=0,AA63-(SUMIFS(estoque[quantidade],estoque[fornecedor],"saída",estoque[produto],preçodiario[[#Headers],[OVO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Row],[data]]))+AA63+preçodiario[[#This Row],[entrada J]])</f>
        <v>57</v>
      </c>
      <c r="AB64" s="22">
        <f>SUMIFS(estoque[quantidade],estoque[fornecedor],"&lt;&gt;saída",estoque[produto],preçodiario[[#Headers],[OVO BRANCO JUMBO]],estoque[data],preçodiario[[#This Row],[data]])</f>
        <v>0</v>
      </c>
      <c r="AC64" s="20">
        <f>SUMIFS(estoque[valor total],estoque[fornecedor],"&lt;&gt;saída",estoque[produto],preçodiario[[#Headers],[OVO BRANCO JUMBO]],estoque[data],preçodiario[[#This Row],[data]])</f>
        <v>0</v>
      </c>
      <c r="AD64" s="20">
        <f>IFERROR(preçodiario[[#This Row],[OVO BRANCO JUMBO]]*preçodiario[[#This Row],[estoque J]],0)</f>
        <v>879.56865811698469</v>
      </c>
      <c r="AE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Row],[data]])),((AE63*AF63)+SUMIFS(estoque[valor total],estoque[produto],preçodiario[[#Headers],[OVO VERMELHO A]],estoque[data],preçodiario[[#This Row],[data]],estoque[fornecedor],"&lt;&gt;saída"))/(AF63+(SUMIFS(estoque[quantidade],estoque[produto],preçodiario[[#Headers],[OVO VERMELHO A]],estoque[fornecedor],"&lt;&gt;saída",estoque[data],preçodiario[[#This Row],[data]])))))</f>
        <v/>
      </c>
      <c r="AF64" s="22">
        <f>IF(preçodiario[[#This Row],[entrada AV]]=0,AF63-(SUMIFS(estoque[quantidade],estoque[fornecedor],"saída",estoque[produto],preçodiario[[#Headers],[OVO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Row],[data]]))+AF63+preçodiario[[#This Row],[entrada AV]])</f>
        <v>0</v>
      </c>
      <c r="AG64" s="22">
        <f>SUMIFS(estoque[quantidade],estoque[fornecedor],"&lt;&gt;saída",estoque[produto],preçodiario[[#Headers],[OVO VERMELHO A]],estoque[data],preçodiario[[#This Row],[data]])</f>
        <v>0</v>
      </c>
      <c r="AH64" s="20">
        <f>SUMIFS(estoque[valor total],estoque[fornecedor],"&lt;&gt;saída",estoque[produto],preçodiario[[#Headers],[OVO VERMELHO A]],estoque[data],preçodiario[[#This Row],[data]])</f>
        <v>0</v>
      </c>
      <c r="AI64" s="20">
        <f>IFERROR(preçodiario[[#This Row],[OVO VERMELHO A]]*preçodiario[[#This Row],[estoque AV]],0)</f>
        <v>0</v>
      </c>
      <c r="AJ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Row],[data]])),((AJ63*AK63)+SUMIFS(estoque[valor total],estoque[produto],preçodiario[[#Headers],[OVO VERMELHO B]],estoque[data],preçodiario[[#This Row],[data]],estoque[fornecedor],"&lt;&gt;saída"))/(AK63+(SUMIFS(estoque[quantidade],estoque[produto],preçodiario[[#Headers],[OVO VERMELHO B]],estoque[fornecedor],"&lt;&gt;saída",estoque[data],preçodiario[[#This Row],[data]])))))</f>
        <v/>
      </c>
      <c r="AK64" s="22">
        <f>IF(preçodiario[[#This Row],[entrada BV]]=0,AK63-(SUMIFS(estoque[quantidade],estoque[fornecedor],"saída",estoque[produto],preçodiario[[#Headers],[OVO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Row],[data]]))+AK63+preçodiario[[#This Row],[entrada BV]])</f>
        <v>0</v>
      </c>
      <c r="AL64" s="22">
        <f>SUMIFS(estoque[quantidade],estoque[fornecedor],"&lt;&gt;saída",estoque[produto],preçodiario[[#Headers],[OVO VERMELHO B]],estoque[data],preçodiario[[#This Row],[data]])</f>
        <v>0</v>
      </c>
      <c r="AM64" s="20">
        <f>SUMIFS(estoque[valor total],estoque[fornecedor],"&lt;&gt;saída",estoque[produto],preçodiario[[#Headers],[OVO VERMELHO B]],estoque[data],preçodiario[[#This Row],[data]])</f>
        <v>0</v>
      </c>
      <c r="AN64" s="20">
        <f>IFERROR(preçodiario[[#This Row],[OVO VERMELHO B]]*preçodiario[[#This Row],[estoque BV]],0)</f>
        <v>0</v>
      </c>
      <c r="AO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Row],[data]])),((AO63*AP63)+SUMIFS(estoque[valor total],estoque[produto],preçodiario[[#Headers],[OVO VERMELHO C]],estoque[data],preçodiario[[#This Row],[data]],estoque[fornecedor],"&lt;&gt;saída"))/(AP63+(SUMIFS(estoque[quantidade],estoque[produto],preçodiario[[#Headers],[OVO VERMELHO C]],estoque[fornecedor],"&lt;&gt;saída",estoque[data],preçodiario[[#This Row],[data]])))))</f>
        <v/>
      </c>
      <c r="AP64" s="22">
        <f>IF(preçodiario[[#This Row],[entrada CV]]=0,AP63-(SUMIFS(estoque[quantidade],estoque[fornecedor],"saída",estoque[produto],preçodiario[[#Headers],[OVO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Row],[data]]))+AP63+preçodiario[[#This Row],[entrada CV]])</f>
        <v>0</v>
      </c>
      <c r="AQ64" s="22">
        <f>SUMIFS(estoque[quantidade],estoque[fornecedor],"&lt;&gt;saída",estoque[produto],preçodiario[[#Headers],[OVO VERMELHO C]],estoque[data],preçodiario[[#This Row],[data]])</f>
        <v>0</v>
      </c>
      <c r="AR64" s="20">
        <f>SUMIFS(estoque[valor total],estoque[fornecedor],"&lt;&gt;saída",estoque[produto],preçodiario[[#Headers],[OVO VERMELHO C]],estoque[data],preçodiario[[#This Row],[data]])</f>
        <v>0</v>
      </c>
      <c r="AS64" s="20">
        <f>IFERROR(preçodiario[[#This Row],[OVO VERMELHO C]]*preçodiario[[#This Row],[estoque CV]],0)</f>
        <v>0</v>
      </c>
      <c r="AT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Row],[data]])),((AT63*AU63)+SUMIFS(estoque[valor total],estoque[produto],preçodiario[[#Headers],[OVO VERMELHO EXTRA]],estoque[data],preçodiario[[#This Row],[data]],estoque[fornecedor],"&lt;&gt;saída"))/(AU63+(SUMIFS(estoque[quantidade],estoque[produto],preçodiario[[#Headers],[OVO VERMELHO EXTRA]],estoque[fornecedor],"&lt;&gt;saída",estoque[data],preçodiario[[#This Row],[data]])))))</f>
        <v/>
      </c>
      <c r="AU64" s="22">
        <f>IF(preçodiario[[#This Row],[entrada EV]]=0,AU63-(SUMIFS(estoque[quantidade],estoque[fornecedor],"saída",estoque[produto],preçodiario[[#Headers],[OVO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Row],[data]]))+AU63+preçodiario[[#This Row],[entrada EV]])</f>
        <v>0</v>
      </c>
      <c r="AV64" s="22">
        <f>SUMIFS(estoque[quantidade],estoque[fornecedor],"&lt;&gt;saída",estoque[produto],preçodiario[[#Headers],[OVO VERMELHO EXTRA]],estoque[data],preçodiario[[#This Row],[data]])</f>
        <v>0</v>
      </c>
      <c r="AW64" s="20">
        <f>SUMIFS(estoque[valor total],estoque[fornecedor],"&lt;&gt;saída",estoque[produto],preçodiario[[#Headers],[OVO VERMELHO EXTRA]],estoque[data],preçodiario[[#This Row],[data]])</f>
        <v>0</v>
      </c>
      <c r="AX64" s="20">
        <f>IFERROR(preçodiario[[#This Row],[OVO VERMELHO EXTRA]]*preçodiario[[#This Row],[estoque EV]],0)</f>
        <v>0</v>
      </c>
      <c r="AY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Row],[data]])),((AY63*AZ63)+SUMIFS(estoque[valor total],estoque[produto],preçodiario[[#Headers],[OVO VERMELHO JUMBO]],estoque[data],preçodiario[[#This Row],[data]],estoque[fornecedor],"&lt;&gt;saída"))/(AZ63+(SUMIFS(estoque[quantidade],estoque[produto],preçodiario[[#Headers],[OVO VERMELHO JUMBO]],estoque[fornecedor],"&lt;&gt;saída",estoque[data],preçodiario[[#This Row],[data]])))))</f>
        <v/>
      </c>
      <c r="AZ64" s="22">
        <f>IF(preçodiario[[#This Row],[entrada JV]]=0,AZ63-(SUMIFS(estoque[quantidade],estoque[fornecedor],"saída",estoque[produto],preçodiario[[#Headers],[OVO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Row],[data]]))+AZ63+preçodiario[[#This Row],[entrada JV]])</f>
        <v>0</v>
      </c>
      <c r="BA64" s="22">
        <f>SUMIFS(estoque[quantidade],estoque[fornecedor],"&lt;&gt;saída",estoque[produto],preçodiario[[#Headers],[OVO VERMELHO JUMBO]],estoque[data],preçodiario[[#This Row],[data]])</f>
        <v>0</v>
      </c>
      <c r="BB64" s="20">
        <f>SUMIFS(estoque[valor total],estoque[fornecedor],"&lt;&gt;saída",estoque[produto],preçodiario[[#Headers],[OVO VERMELHO JUMBO]],estoque[data],preçodiario[[#This Row],[data]])</f>
        <v>0</v>
      </c>
      <c r="BC64" s="20">
        <f>IFERROR(preçodiario[[#This Row],[OVO VERMELHO JUMBO]]*preçodiario[[#This Row],[estoque JV]],0)</f>
        <v>0</v>
      </c>
      <c r="BD64" t="str">
        <f>TEXT(vendaAno[[#This Row],[data]],"mmm")</f>
        <v>mar</v>
      </c>
      <c r="BE64" t="str">
        <f>TEXT(vendaAno[[#This Row],[data]],"ddd")</f>
        <v>qua</v>
      </c>
      <c r="BF64" s="82">
        <f>WEEKNUM(vendaAno[[#This Row],[data]],13)</f>
        <v>10</v>
      </c>
      <c r="BG64" s="27">
        <f>preçodiario[[#This Row],[data]]</f>
        <v>46085</v>
      </c>
      <c r="BH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4" s="8">
        <f>IF(SUMIFS(estoque[valor total],estoque[fornecedor],"saída",estoque[data],vendaAno[[#This Row],[data]])=0,"",SUMIFS(estoque[valor total],estoque[fornecedor],"saída",estoque[data],vendaAno[[#This Row],[data]]))</f>
        <v>556</v>
      </c>
      <c r="BJ6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Row],[data]]))/12+BJ63,"")</f>
        <v>14.666666666666627</v>
      </c>
      <c r="BK64" s="79">
        <f>IF(SUMIFS(estoque[quantidade],estoque[fornecedor],"saída",estoque[data],vendaAno[[#This Row],[data]])/12=0,"",SUMIFS(estoque[quantidade],estoque[fornecedor],"saída",estoque[data],vendaAno[[#This Row],[data]])/12)</f>
        <v>2.4166666666666665</v>
      </c>
      <c r="BL64" s="8">
        <f ca="1">IF(vendaAno[[#This Row],[data]]&lt;=TODAY(),IF(SUMIFS(estoque[lucro],estoque[fornecedor],"saída",estoque[data],vendaAno[[#This Row],[data]])=0,AVERAGE(BL61:BL63),SUMIFS(estoque[lucro],estoque[fornecedor],"saída",estoque[data],vendaAno[[#This Row],[data]])),"")</f>
        <v>142.03</v>
      </c>
      <c r="BM64" s="10">
        <f ca="1">IFERROR(vendaAno[[#This Row],[lucro]]/vendaAno[[#This Row],[valor de venda]],"")</f>
        <v>0.25544964028776979</v>
      </c>
      <c r="BN6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2574.4746845827544</v>
      </c>
      <c r="BO64" s="8">
        <f ca="1">IF(TODAY()&gt;=vendaAno[[#This Row],[data]],IF(vendaAno[[#This Row],[N°]]=BF63,vendaAno[[#This Row],[lucro]]-173.33+BO63,vendaAno[[#This Row],[lucro]]-150),"")</f>
        <v>-7.9699999999999989</v>
      </c>
      <c r="BP64" s="81">
        <f ca="1">IF(TODAY()&gt;=vendaAno[[#This Row],[data]],SUM(BK58:BK64)*12,"")</f>
        <v>279.00000000000006</v>
      </c>
      <c r="BQ64" s="7">
        <f ca="1">IFERROR(vendaAno[[#This Row],[lucro]]/(vendaAno[[#This Row],[venda]]*12),"")</f>
        <v>4.8975862068965519</v>
      </c>
      <c r="CA64" s="11"/>
      <c r="CD64" s="7"/>
    </row>
    <row r="65" spans="1:82" x14ac:dyDescent="0.25">
      <c r="A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5" s="18" t="str">
        <f>TEXT(preçodiario[[#This Row],[data]],"MMM")</f>
        <v>mar</v>
      </c>
      <c r="C65" s="18" t="str">
        <f>TEXT(preçodiario[[#This Row],[data]],"ddd")</f>
        <v>qui</v>
      </c>
      <c r="D65" s="96">
        <f>WEEKNUM(preçodiario[[#This Row],[data]],13)</f>
        <v>10</v>
      </c>
      <c r="E65" s="37">
        <v>46086</v>
      </c>
      <c r="F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Row],[data]])),((F64*G64)+SUMIFS(estoque[valor total],estoque[produto],preçodiario[[#Headers],[OVO BRANCO A]],estoque[data],preçodiario[[#This Row],[data]],estoque[fornecedor],"&lt;&gt;saída"))/(G64+(SUMIFS(estoque[quantidade],estoque[produto],preçodiario[[#Headers],[OVO BRANCO A]],estoque[fornecedor],"&lt;&gt;saída",estoque[data],preçodiario[[#This Row],[data]])))))</f>
        <v>13.75</v>
      </c>
      <c r="G65" s="22">
        <f>IF(preçodiario[[#This Row],[entrada A]]=0,G64-(SUMIFS(estoque[quantidade],estoque[fornecedor],"saída",estoque[produto],preçodiario[[#Headers],[OVO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Row],[data]]))+G64+preçodiario[[#This Row],[entrada A]])</f>
        <v>42</v>
      </c>
      <c r="H65" s="22">
        <f>SUMIFS(estoque[quantidade],estoque[fornecedor],"&lt;&gt;saída",estoque[produto],preçodiario[[#Headers],[OVO BRANCO A]],estoque[data],preçodiario[[#This Row],[data]])</f>
        <v>0</v>
      </c>
      <c r="I65" s="20">
        <f>SUMIFS(estoque[valor total],estoque[fornecedor],"&lt;&gt;saída",estoque[produto],preçodiario[[#Headers],[OVO BRANCO A]],estoque[data],preçodiario[[#This Row],[data]])</f>
        <v>0</v>
      </c>
      <c r="J65" s="20">
        <f>IFERROR(preçodiario[[#This Row],[estoque A]]*preçodiario[[#This Row],[OVO BRANCO A]],0)</f>
        <v>577.5</v>
      </c>
      <c r="K65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Row],[data]])),((K64*L64)+SUMIFS(estoque[valor total],estoque[produto],preçodiario[[#Headers],[OVO BRANCO B]],estoque[data],preçodiario[[#This Row],[data]],estoque[fornecedor],"&lt;&gt;saída"))/(L64+(SUMIFS(estoque[quantidade],estoque[produto],preçodiario[[#Headers],[OVO BRANCO B]],estoque[fornecedor],"&lt;&gt;saída",estoque[data],preçodiario[[#This Row],[data]])))))</f>
        <v/>
      </c>
      <c r="L65" s="22">
        <f>IF(preçodiario[[#This Row],[entrada B]]=0,L64-(SUMIFS(estoque[quantidade],estoque[fornecedor],"saída",estoque[produto],preçodiario[[#Headers],[OVO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Row],[data]]))+L64+preçodiario[[#This Row],[entrada B]])</f>
        <v>0</v>
      </c>
      <c r="M65" s="22">
        <f>SUMIFS(estoque[quantidade],estoque[fornecedor],"&lt;&gt;saída",estoque[produto],preçodiario[[#Headers],[OVO BRANCO B]],estoque[data],preçodiario[[#This Row],[data]])</f>
        <v>0</v>
      </c>
      <c r="N65" s="20">
        <f>SUMIFS(estoque[valor total],estoque[fornecedor],"&lt;&gt;saída",estoque[produto],preçodiario[[#Headers],[OVO BRANCO B]],estoque[data],preçodiario[[#This Row],[data]])</f>
        <v>0</v>
      </c>
      <c r="O65" s="20">
        <f>IFERROR(preçodiario[[#This Row],[OVO BRANCO B]]*preçodiario[[#This Row],[estoque B]],0)</f>
        <v>0</v>
      </c>
      <c r="P6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Row],[data]])),((P64*Q64)+SUMIFS(estoque[valor total],estoque[produto],preçodiario[[#Headers],[OVO BRANCO C]],estoque[data],preçodiario[[#This Row],[data]],estoque[fornecedor],"&lt;&gt;saída"))/(Q64+(SUMIFS(estoque[quantidade],estoque[produto],preçodiario[[#Headers],[OVO BRANCO C]],estoque[fornecedor],"&lt;&gt;saída",estoque[data],preçodiario[[#This Row],[data]])))))</f>
        <v/>
      </c>
      <c r="Q65" s="22">
        <f>IF(preçodiario[[#This Row],[entrada C]]=0,Q64-(SUMIFS(estoque[quantidade],estoque[fornecedor],"saída",estoque[produto],preçodiario[[#Headers],[OVO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Row],[data]]))+Q64+preçodiario[[#This Row],[entrada C]])</f>
        <v>0</v>
      </c>
      <c r="R65" s="22">
        <f>SUMIFS(estoque[quantidade],estoque[fornecedor],"&lt;&gt;saída",estoque[produto],preçodiario[[#Headers],[OVO BRANCO C]],estoque[data],preçodiario[[#This Row],[data]])</f>
        <v>0</v>
      </c>
      <c r="S65" s="20">
        <f>SUMIFS(estoque[valor total],estoque[fornecedor],"&lt;&gt;saída",estoque[produto],preçodiario[[#Headers],[OVO BRANCO C]],estoque[data],preçodiario[[#This Row],[data]])</f>
        <v>0</v>
      </c>
      <c r="T65" s="20">
        <f>IFERROR(preçodiario[[#This Row],[OVO BRANCO C]]*preçodiario[[#This Row],[estoque C]],0)</f>
        <v>0</v>
      </c>
      <c r="U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Row],[data]])),((U64*V64)+SUMIFS(estoque[valor total],estoque[produto],preçodiario[[#Headers],[OVO BRANCO EXTRA]],estoque[data],preçodiario[[#This Row],[data]],estoque[fornecedor],"&lt;&gt;saída"))/(V64+(SUMIFS(estoque[quantidade],estoque[produto],preçodiario[[#Headers],[OVO BRANCO EXTRA]],estoque[fornecedor],"&lt;&gt;saída",estoque[data],preçodiario[[#This Row],[data]])))))</f>
        <v>14.664649032982194</v>
      </c>
      <c r="V65" s="22">
        <f>IF(preçodiario[[#This Row],[entrada E]]=0,V64-(SUMIFS(estoque[quantidade],estoque[fornecedor],"saída",estoque[produto],preçodiario[[#Headers],[OVO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Row],[data]]))+V64+preçodiario[[#This Row],[entrada E]])</f>
        <v>59</v>
      </c>
      <c r="W65" s="22">
        <f>SUMIFS(estoque[quantidade],estoque[fornecedor],"&lt;&gt;saída",estoque[produto],preçodiario[[#Headers],[OVO BRANCO EXTRA]],estoque[data],preçodiario[[#This Row],[data]])</f>
        <v>0</v>
      </c>
      <c r="X65" s="20">
        <f>SUMIFS(estoque[valor total],estoque[fornecedor],"&lt;&gt;saída",estoque[produto],preçodiario[[#Headers],[OVO BRANCO EXTRA]],estoque[data],preçodiario[[#This Row],[data]])</f>
        <v>0</v>
      </c>
      <c r="Y65" s="20">
        <f>IFERROR(preçodiario[[#This Row],[estoque E]]*preçodiario[[#This Row],[OVO BRANCO EXTRA]],0)</f>
        <v>865.21429294594941</v>
      </c>
      <c r="Z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Row],[data]])),((Z64*AA64)+SUMIFS(estoque[valor total],estoque[produto],preçodiario[[#Headers],[OVO BRANCO JUMBO]],estoque[data],preçodiario[[#This Row],[data]],estoque[fornecedor],"&lt;&gt;saída"))/(AA64+(SUMIFS(estoque[quantidade],estoque[produto],preçodiario[[#Headers],[OVO BRANCO JUMBO]],estoque[fornecedor],"&lt;&gt;saída",estoque[data],preçodiario[[#This Row],[data]])))))</f>
        <v>15.431029089771661</v>
      </c>
      <c r="AA65" s="22">
        <f>IF(preçodiario[[#This Row],[entrada J]]=0,AA64-(SUMIFS(estoque[quantidade],estoque[fornecedor],"saída",estoque[produto],preçodiario[[#Headers],[OVO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Row],[data]]))+AA64+preçodiario[[#This Row],[entrada J]])</f>
        <v>45</v>
      </c>
      <c r="AB65" s="22">
        <f>SUMIFS(estoque[quantidade],estoque[fornecedor],"&lt;&gt;saída",estoque[produto],preçodiario[[#Headers],[OVO BRANCO JUMBO]],estoque[data],preçodiario[[#This Row],[data]])</f>
        <v>0</v>
      </c>
      <c r="AC65" s="20">
        <f>SUMIFS(estoque[valor total],estoque[fornecedor],"&lt;&gt;saída",estoque[produto],preçodiario[[#Headers],[OVO BRANCO JUMBO]],estoque[data],preçodiario[[#This Row],[data]])</f>
        <v>0</v>
      </c>
      <c r="AD65" s="20">
        <f>IFERROR(preçodiario[[#This Row],[OVO BRANCO JUMBO]]*preçodiario[[#This Row],[estoque J]],0)</f>
        <v>694.39630903972477</v>
      </c>
      <c r="AE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Row],[data]])),((AE64*AF64)+SUMIFS(estoque[valor total],estoque[produto],preçodiario[[#Headers],[OVO VERMELHO A]],estoque[data],preçodiario[[#This Row],[data]],estoque[fornecedor],"&lt;&gt;saída"))/(AF64+(SUMIFS(estoque[quantidade],estoque[produto],preçodiario[[#Headers],[OVO VERMELHO A]],estoque[fornecedor],"&lt;&gt;saída",estoque[data],preçodiario[[#This Row],[data]])))))</f>
        <v/>
      </c>
      <c r="AF65" s="22">
        <f>IF(preçodiario[[#This Row],[entrada AV]]=0,AF64-(SUMIFS(estoque[quantidade],estoque[fornecedor],"saída",estoque[produto],preçodiario[[#Headers],[OVO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Row],[data]]))+AF64+preçodiario[[#This Row],[entrada AV]])</f>
        <v>0</v>
      </c>
      <c r="AG65" s="22">
        <f>SUMIFS(estoque[quantidade],estoque[fornecedor],"&lt;&gt;saída",estoque[produto],preçodiario[[#Headers],[OVO VERMELHO A]],estoque[data],preçodiario[[#This Row],[data]])</f>
        <v>0</v>
      </c>
      <c r="AH65" s="20">
        <f>SUMIFS(estoque[valor total],estoque[fornecedor],"&lt;&gt;saída",estoque[produto],preçodiario[[#Headers],[OVO VERMELHO A]],estoque[data],preçodiario[[#This Row],[data]])</f>
        <v>0</v>
      </c>
      <c r="AI65" s="20">
        <f>IFERROR(preçodiario[[#This Row],[OVO VERMELHO A]]*preçodiario[[#This Row],[estoque AV]],0)</f>
        <v>0</v>
      </c>
      <c r="AJ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Row],[data]])),((AJ64*AK64)+SUMIFS(estoque[valor total],estoque[produto],preçodiario[[#Headers],[OVO VERMELHO B]],estoque[data],preçodiario[[#This Row],[data]],estoque[fornecedor],"&lt;&gt;saída"))/(AK64+(SUMIFS(estoque[quantidade],estoque[produto],preçodiario[[#Headers],[OVO VERMELHO B]],estoque[fornecedor],"&lt;&gt;saída",estoque[data],preçodiario[[#This Row],[data]])))))</f>
        <v/>
      </c>
      <c r="AK65" s="22">
        <f>IF(preçodiario[[#This Row],[entrada BV]]=0,AK64-(SUMIFS(estoque[quantidade],estoque[fornecedor],"saída",estoque[produto],preçodiario[[#Headers],[OVO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Row],[data]]))+AK64+preçodiario[[#This Row],[entrada BV]])</f>
        <v>0</v>
      </c>
      <c r="AL65" s="22">
        <f>SUMIFS(estoque[quantidade],estoque[fornecedor],"&lt;&gt;saída",estoque[produto],preçodiario[[#Headers],[OVO VERMELHO B]],estoque[data],preçodiario[[#This Row],[data]])</f>
        <v>0</v>
      </c>
      <c r="AM65" s="20">
        <f>SUMIFS(estoque[valor total],estoque[fornecedor],"&lt;&gt;saída",estoque[produto],preçodiario[[#Headers],[OVO VERMELHO B]],estoque[data],preçodiario[[#This Row],[data]])</f>
        <v>0</v>
      </c>
      <c r="AN65" s="20">
        <f>IFERROR(preçodiario[[#This Row],[OVO VERMELHO B]]*preçodiario[[#This Row],[estoque BV]],0)</f>
        <v>0</v>
      </c>
      <c r="AO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Row],[data]])),((AO64*AP64)+SUMIFS(estoque[valor total],estoque[produto],preçodiario[[#Headers],[OVO VERMELHO C]],estoque[data],preçodiario[[#This Row],[data]],estoque[fornecedor],"&lt;&gt;saída"))/(AP64+(SUMIFS(estoque[quantidade],estoque[produto],preçodiario[[#Headers],[OVO VERMELHO C]],estoque[fornecedor],"&lt;&gt;saída",estoque[data],preçodiario[[#This Row],[data]])))))</f>
        <v/>
      </c>
      <c r="AP65" s="22">
        <f>IF(preçodiario[[#This Row],[entrada CV]]=0,AP64-(SUMIFS(estoque[quantidade],estoque[fornecedor],"saída",estoque[produto],preçodiario[[#Headers],[OVO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Row],[data]]))+AP64+preçodiario[[#This Row],[entrada CV]])</f>
        <v>0</v>
      </c>
      <c r="AQ65" s="22">
        <f>SUMIFS(estoque[quantidade],estoque[fornecedor],"&lt;&gt;saída",estoque[produto],preçodiario[[#Headers],[OVO VERMELHO C]],estoque[data],preçodiario[[#This Row],[data]])</f>
        <v>0</v>
      </c>
      <c r="AR65" s="20">
        <f>SUMIFS(estoque[valor total],estoque[fornecedor],"&lt;&gt;saída",estoque[produto],preçodiario[[#Headers],[OVO VERMELHO C]],estoque[data],preçodiario[[#This Row],[data]])</f>
        <v>0</v>
      </c>
      <c r="AS65" s="20">
        <f>IFERROR(preçodiario[[#This Row],[OVO VERMELHO C]]*preçodiario[[#This Row],[estoque CV]],0)</f>
        <v>0</v>
      </c>
      <c r="AT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Row],[data]])),((AT64*AU64)+SUMIFS(estoque[valor total],estoque[produto],preçodiario[[#Headers],[OVO VERMELHO EXTRA]],estoque[data],preçodiario[[#This Row],[data]],estoque[fornecedor],"&lt;&gt;saída"))/(AU64+(SUMIFS(estoque[quantidade],estoque[produto],preçodiario[[#Headers],[OVO VERMELHO EXTRA]],estoque[fornecedor],"&lt;&gt;saída",estoque[data],preçodiario[[#This Row],[data]])))))</f>
        <v/>
      </c>
      <c r="AU65" s="22">
        <f>IF(preçodiario[[#This Row],[entrada EV]]=0,AU64-(SUMIFS(estoque[quantidade],estoque[fornecedor],"saída",estoque[produto],preçodiario[[#Headers],[OVO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Row],[data]]))+AU64+preçodiario[[#This Row],[entrada EV]])</f>
        <v>0</v>
      </c>
      <c r="AV65" s="22">
        <f>SUMIFS(estoque[quantidade],estoque[fornecedor],"&lt;&gt;saída",estoque[produto],preçodiario[[#Headers],[OVO VERMELHO EXTRA]],estoque[data],preçodiario[[#This Row],[data]])</f>
        <v>0</v>
      </c>
      <c r="AW65" s="20">
        <f>SUMIFS(estoque[valor total],estoque[fornecedor],"&lt;&gt;saída",estoque[produto],preçodiario[[#Headers],[OVO VERMELHO EXTRA]],estoque[data],preçodiario[[#This Row],[data]])</f>
        <v>0</v>
      </c>
      <c r="AX65" s="20">
        <f>IFERROR(preçodiario[[#This Row],[OVO VERMELHO EXTRA]]*preçodiario[[#This Row],[estoque EV]],0)</f>
        <v>0</v>
      </c>
      <c r="AY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Row],[data]])),((AY64*AZ64)+SUMIFS(estoque[valor total],estoque[produto],preçodiario[[#Headers],[OVO VERMELHO JUMBO]],estoque[data],preçodiario[[#This Row],[data]],estoque[fornecedor],"&lt;&gt;saída"))/(AZ64+(SUMIFS(estoque[quantidade],estoque[produto],preçodiario[[#Headers],[OVO VERMELHO JUMBO]],estoque[fornecedor],"&lt;&gt;saída",estoque[data],preçodiario[[#This Row],[data]])))))</f>
        <v/>
      </c>
      <c r="AZ65" s="22">
        <f>IF(preçodiario[[#This Row],[entrada JV]]=0,AZ64-(SUMIFS(estoque[quantidade],estoque[fornecedor],"saída",estoque[produto],preçodiario[[#Headers],[OVO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Row],[data]]))+AZ64+preçodiario[[#This Row],[entrada JV]])</f>
        <v>0</v>
      </c>
      <c r="BA65" s="22">
        <f>SUMIFS(estoque[quantidade],estoque[fornecedor],"&lt;&gt;saída",estoque[produto],preçodiario[[#Headers],[OVO VERMELHO JUMBO]],estoque[data],preçodiario[[#This Row],[data]])</f>
        <v>0</v>
      </c>
      <c r="BB65" s="20">
        <f>SUMIFS(estoque[valor total],estoque[fornecedor],"&lt;&gt;saída",estoque[produto],preçodiario[[#Headers],[OVO VERMELHO JUMBO]],estoque[data],preçodiario[[#This Row],[data]])</f>
        <v>0</v>
      </c>
      <c r="BC65" s="20">
        <f>IFERROR(preçodiario[[#This Row],[OVO VERMELHO JUMBO]]*preçodiario[[#This Row],[estoque JV]],0)</f>
        <v>0</v>
      </c>
      <c r="BD65" t="str">
        <f>TEXT(vendaAno[[#This Row],[data]],"mmm")</f>
        <v>mar</v>
      </c>
      <c r="BE65" t="str">
        <f>TEXT(vendaAno[[#This Row],[data]],"ddd")</f>
        <v>qui</v>
      </c>
      <c r="BF65" s="82">
        <f>WEEKNUM(vendaAno[[#This Row],[data]],13)</f>
        <v>10</v>
      </c>
      <c r="BG65" s="27">
        <f>preçodiario[[#This Row],[data]]</f>
        <v>46086</v>
      </c>
      <c r="BH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5" s="8">
        <f>IF(SUMIFS(estoque[valor total],estoque[fornecedor],"saída",estoque[data],vendaAno[[#This Row],[data]])=0,"",SUMIFS(estoque[valor total],estoque[fornecedor],"saída",estoque[data],vendaAno[[#This Row],[data]]))</f>
        <v>540</v>
      </c>
      <c r="BJ6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Row],[data]]))/12+BJ64,"")</f>
        <v>12.166666666666627</v>
      </c>
      <c r="BK65" s="79">
        <f ca="1">IF(TODAY()&gt;=vendaAno[[#This Row],[data]],IF(SUMIFS(estoque[quantidade],estoque[fornecedor],"saída",estoque[data],vendaAno[[#This Row],[data]])/12=0,AVERAGE(BK62:BK64),SUMIFS(estoque[quantidade],estoque[fornecedor],"saída",estoque[data],vendaAno[[#This Row],[data]])/12),"")</f>
        <v>2.5</v>
      </c>
      <c r="BL65" s="8">
        <f ca="1">IF(vendaAno[[#This Row],[data]]&lt;=TODAY(),IF(SUMIFS(estoque[lucro],estoque[fornecedor],"saída",estoque[data],vendaAno[[#This Row],[data]])=0,AVERAGE(BL62:BL64),SUMIFS(estoque[lucro],estoque[fornecedor],"saída",estoque[data],vendaAno[[#This Row],[data]])),"")</f>
        <v>164.36</v>
      </c>
      <c r="BM65" s="10">
        <f ca="1">IFERROR(vendaAno[[#This Row],[lucro]]/vendaAno[[#This Row],[valor de venda]],"")</f>
        <v>0.3043703703703704</v>
      </c>
      <c r="BN6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2137.1106019856743</v>
      </c>
      <c r="BO65" s="8">
        <f ca="1">IF(TODAY()&gt;=vendaAno[[#This Row],[data]],IF(vendaAno[[#This Row],[N°]]=BF64,vendaAno[[#This Row],[lucro]]-173.33+BO64,vendaAno[[#This Row],[lucro]]-150),"")</f>
        <v>-16.939999999999998</v>
      </c>
      <c r="BP65" s="81">
        <f ca="1">IF(TODAY()&gt;=vendaAno[[#This Row],[data]],SUM(BK59:BK65)*12,"")</f>
        <v>267.00000000000006</v>
      </c>
      <c r="BQ65" s="7">
        <f ca="1">IFERROR(vendaAno[[#This Row],[lucro]]/(vendaAno[[#This Row],[venda]]*12),"")</f>
        <v>5.4786666666666672</v>
      </c>
      <c r="CD65" s="7"/>
    </row>
    <row r="66" spans="1:82" x14ac:dyDescent="0.25">
      <c r="A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6" s="18" t="str">
        <f>TEXT(preçodiario[[#This Row],[data]],"MMM")</f>
        <v>mar</v>
      </c>
      <c r="C66" s="18" t="str">
        <f>TEXT(preçodiario[[#This Row],[data]],"ddd")</f>
        <v>sex</v>
      </c>
      <c r="D66" s="96">
        <f>WEEKNUM(preçodiario[[#This Row],[data]],13)</f>
        <v>10</v>
      </c>
      <c r="E66" s="37">
        <v>46087</v>
      </c>
      <c r="F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Row],[data]])),((F65*G65)+SUMIFS(estoque[valor total],estoque[produto],preçodiario[[#Headers],[OVO BRANCO A]],estoque[data],preçodiario[[#This Row],[data]],estoque[fornecedor],"&lt;&gt;saída"))/(G65+(SUMIFS(estoque[quantidade],estoque[produto],preçodiario[[#Headers],[OVO BRANCO A]],estoque[fornecedor],"&lt;&gt;saída",estoque[data],preçodiario[[#This Row],[data]])))))</f>
        <v>13.75</v>
      </c>
      <c r="G66" s="22">
        <f>IF(preçodiario[[#This Row],[entrada A]]=0,G65-(SUMIFS(estoque[quantidade],estoque[fornecedor],"saída",estoque[produto],preçodiario[[#Headers],[OVO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Row],[data]]))+G65+preçodiario[[#This Row],[entrada A]])</f>
        <v>28</v>
      </c>
      <c r="H66" s="22">
        <f>SUMIFS(estoque[quantidade],estoque[fornecedor],"&lt;&gt;saída",estoque[produto],preçodiario[[#Headers],[OVO BRANCO A]],estoque[data],preçodiario[[#This Row],[data]])</f>
        <v>0</v>
      </c>
      <c r="I66" s="20">
        <f>SUMIFS(estoque[valor total],estoque[fornecedor],"&lt;&gt;saída",estoque[produto],preçodiario[[#Headers],[OVO BRANCO A]],estoque[data],preçodiario[[#This Row],[data]])</f>
        <v>0</v>
      </c>
      <c r="J66" s="20">
        <f>IFERROR(preçodiario[[#This Row],[estoque A]]*preçodiario[[#This Row],[OVO BRANCO A]],0)</f>
        <v>385</v>
      </c>
      <c r="K66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Row],[data]])),((K65*L65)+SUMIFS(estoque[valor total],estoque[produto],preçodiario[[#Headers],[OVO BRANCO B]],estoque[data],preçodiario[[#This Row],[data]],estoque[fornecedor],"&lt;&gt;saída"))/(L65+(SUMIFS(estoque[quantidade],estoque[produto],preçodiario[[#Headers],[OVO BRANCO B]],estoque[fornecedor],"&lt;&gt;saída",estoque[data],preçodiario[[#This Row],[data]])))))</f>
        <v/>
      </c>
      <c r="L66" s="22">
        <f>IF(preçodiario[[#This Row],[entrada B]]=0,L65-(SUMIFS(estoque[quantidade],estoque[fornecedor],"saída",estoque[produto],preçodiario[[#Headers],[OVO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Row],[data]]))+L65+preçodiario[[#This Row],[entrada B]])</f>
        <v>0</v>
      </c>
      <c r="M66" s="22">
        <f>SUMIFS(estoque[quantidade],estoque[fornecedor],"&lt;&gt;saída",estoque[produto],preçodiario[[#Headers],[OVO BRANCO B]],estoque[data],preçodiario[[#This Row],[data]])</f>
        <v>0</v>
      </c>
      <c r="N66" s="20">
        <f>SUMIFS(estoque[valor total],estoque[fornecedor],"&lt;&gt;saída",estoque[produto],preçodiario[[#Headers],[OVO BRANCO B]],estoque[data],preçodiario[[#This Row],[data]])</f>
        <v>0</v>
      </c>
      <c r="O66" s="20">
        <f>IFERROR(preçodiario[[#This Row],[OVO BRANCO B]]*preçodiario[[#This Row],[estoque B]],0)</f>
        <v>0</v>
      </c>
      <c r="P6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Row],[data]])),((P65*Q65)+SUMIFS(estoque[valor total],estoque[produto],preçodiario[[#Headers],[OVO BRANCO C]],estoque[data],preçodiario[[#This Row],[data]],estoque[fornecedor],"&lt;&gt;saída"))/(Q65+(SUMIFS(estoque[quantidade],estoque[produto],preçodiario[[#Headers],[OVO BRANCO C]],estoque[fornecedor],"&lt;&gt;saída",estoque[data],preçodiario[[#This Row],[data]])))))</f>
        <v/>
      </c>
      <c r="Q66" s="22">
        <f>IF(preçodiario[[#This Row],[entrada C]]=0,Q65-(SUMIFS(estoque[quantidade],estoque[fornecedor],"saída",estoque[produto],preçodiario[[#Headers],[OVO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Row],[data]]))+Q65+preçodiario[[#This Row],[entrada C]])</f>
        <v>0</v>
      </c>
      <c r="R66" s="22">
        <f>SUMIFS(estoque[quantidade],estoque[fornecedor],"&lt;&gt;saída",estoque[produto],preçodiario[[#Headers],[OVO BRANCO C]],estoque[data],preçodiario[[#This Row],[data]])</f>
        <v>0</v>
      </c>
      <c r="S66" s="20">
        <f>SUMIFS(estoque[valor total],estoque[fornecedor],"&lt;&gt;saída",estoque[produto],preçodiario[[#Headers],[OVO BRANCO C]],estoque[data],preçodiario[[#This Row],[data]])</f>
        <v>0</v>
      </c>
      <c r="T66" s="20">
        <f>IFERROR(preçodiario[[#This Row],[OVO BRANCO C]]*preçodiario[[#This Row],[estoque C]],0)</f>
        <v>0</v>
      </c>
      <c r="U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Row],[data]])),((U65*V65)+SUMIFS(estoque[valor total],estoque[produto],preçodiario[[#Headers],[OVO BRANCO EXTRA]],estoque[data],preçodiario[[#This Row],[data]],estoque[fornecedor],"&lt;&gt;saída"))/(V65+(SUMIFS(estoque[quantidade],estoque[produto],preçodiario[[#Headers],[OVO BRANCO EXTRA]],estoque[fornecedor],"&lt;&gt;saída",estoque[data],preçodiario[[#This Row],[data]])))))</f>
        <v>14.664649032982194</v>
      </c>
      <c r="V66" s="22">
        <f>IF(preçodiario[[#This Row],[entrada E]]=0,V65-(SUMIFS(estoque[quantidade],estoque[fornecedor],"saída",estoque[produto],preçodiario[[#Headers],[OVO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Row],[data]]))+V65+preçodiario[[#This Row],[entrada E]])</f>
        <v>50</v>
      </c>
      <c r="W66" s="22">
        <f>SUMIFS(estoque[quantidade],estoque[fornecedor],"&lt;&gt;saída",estoque[produto],preçodiario[[#Headers],[OVO BRANCO EXTRA]],estoque[data],preçodiario[[#This Row],[data]])</f>
        <v>0</v>
      </c>
      <c r="X66" s="20">
        <f>SUMIFS(estoque[valor total],estoque[fornecedor],"&lt;&gt;saída",estoque[produto],preçodiario[[#Headers],[OVO BRANCO EXTRA]],estoque[data],preçodiario[[#This Row],[data]])</f>
        <v>0</v>
      </c>
      <c r="Y66" s="20">
        <f>IFERROR(preçodiario[[#This Row],[estoque E]]*preçodiario[[#This Row],[OVO BRANCO EXTRA]],0)</f>
        <v>733.23245164910963</v>
      </c>
      <c r="Z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Row],[data]])),((Z65*AA65)+SUMIFS(estoque[valor total],estoque[produto],preçodiario[[#Headers],[OVO BRANCO JUMBO]],estoque[data],preçodiario[[#This Row],[data]],estoque[fornecedor],"&lt;&gt;saída"))/(AA65+(SUMIFS(estoque[quantidade],estoque[produto],preçodiario[[#Headers],[OVO BRANCO JUMBO]],estoque[fornecedor],"&lt;&gt;saída",estoque[data],preçodiario[[#This Row],[data]])))))</f>
        <v>15.431029089771661</v>
      </c>
      <c r="AA66" s="22">
        <f>IF(preçodiario[[#This Row],[entrada J]]=0,AA65-(SUMIFS(estoque[quantidade],estoque[fornecedor],"saída",estoque[produto],preçodiario[[#Headers],[OVO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Row],[data]]))+AA65+preçodiario[[#This Row],[entrada J]])</f>
        <v>38</v>
      </c>
      <c r="AB66" s="22">
        <f>SUMIFS(estoque[quantidade],estoque[fornecedor],"&lt;&gt;saída",estoque[produto],preçodiario[[#Headers],[OVO BRANCO JUMBO]],estoque[data],preçodiario[[#This Row],[data]])</f>
        <v>0</v>
      </c>
      <c r="AC66" s="20">
        <f>SUMIFS(estoque[valor total],estoque[fornecedor],"&lt;&gt;saída",estoque[produto],preçodiario[[#Headers],[OVO BRANCO JUMBO]],estoque[data],preçodiario[[#This Row],[data]])</f>
        <v>0</v>
      </c>
      <c r="AD66" s="20">
        <f>IFERROR(preçodiario[[#This Row],[OVO BRANCO JUMBO]]*preçodiario[[#This Row],[estoque J]],0)</f>
        <v>586.37910541132317</v>
      </c>
      <c r="AE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Row],[data]])),((AE65*AF65)+SUMIFS(estoque[valor total],estoque[produto],preçodiario[[#Headers],[OVO VERMELHO A]],estoque[data],preçodiario[[#This Row],[data]],estoque[fornecedor],"&lt;&gt;saída"))/(AF65+(SUMIFS(estoque[quantidade],estoque[produto],preçodiario[[#Headers],[OVO VERMELHO A]],estoque[fornecedor],"&lt;&gt;saída",estoque[data],preçodiario[[#This Row],[data]])))))</f>
        <v/>
      </c>
      <c r="AF66" s="22">
        <f>IF(preçodiario[[#This Row],[entrada AV]]=0,AF65-(SUMIFS(estoque[quantidade],estoque[fornecedor],"saída",estoque[produto],preçodiario[[#Headers],[OVO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Row],[data]]))+AF65+preçodiario[[#This Row],[entrada AV]])</f>
        <v>0</v>
      </c>
      <c r="AG66" s="22">
        <f>SUMIFS(estoque[quantidade],estoque[fornecedor],"&lt;&gt;saída",estoque[produto],preçodiario[[#Headers],[OVO VERMELHO A]],estoque[data],preçodiario[[#This Row],[data]])</f>
        <v>0</v>
      </c>
      <c r="AH66" s="20">
        <f>SUMIFS(estoque[valor total],estoque[fornecedor],"&lt;&gt;saída",estoque[produto],preçodiario[[#Headers],[OVO VERMELHO A]],estoque[data],preçodiario[[#This Row],[data]])</f>
        <v>0</v>
      </c>
      <c r="AI66" s="20">
        <f>IFERROR(preçodiario[[#This Row],[OVO VERMELHO A]]*preçodiario[[#This Row],[estoque AV]],0)</f>
        <v>0</v>
      </c>
      <c r="AJ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Row],[data]])),((AJ65*AK65)+SUMIFS(estoque[valor total],estoque[produto],preçodiario[[#Headers],[OVO VERMELHO B]],estoque[data],preçodiario[[#This Row],[data]],estoque[fornecedor],"&lt;&gt;saída"))/(AK65+(SUMIFS(estoque[quantidade],estoque[produto],preçodiario[[#Headers],[OVO VERMELHO B]],estoque[fornecedor],"&lt;&gt;saída",estoque[data],preçodiario[[#This Row],[data]])))))</f>
        <v/>
      </c>
      <c r="AK66" s="22">
        <f>IF(preçodiario[[#This Row],[entrada BV]]=0,AK65-(SUMIFS(estoque[quantidade],estoque[fornecedor],"saída",estoque[produto],preçodiario[[#Headers],[OVO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Row],[data]]))+AK65+preçodiario[[#This Row],[entrada BV]])</f>
        <v>0</v>
      </c>
      <c r="AL66" s="22">
        <f>SUMIFS(estoque[quantidade],estoque[fornecedor],"&lt;&gt;saída",estoque[produto],preçodiario[[#Headers],[OVO VERMELHO B]],estoque[data],preçodiario[[#This Row],[data]])</f>
        <v>0</v>
      </c>
      <c r="AM66" s="20">
        <f>SUMIFS(estoque[valor total],estoque[fornecedor],"&lt;&gt;saída",estoque[produto],preçodiario[[#Headers],[OVO VERMELHO B]],estoque[data],preçodiario[[#This Row],[data]])</f>
        <v>0</v>
      </c>
      <c r="AN66" s="20">
        <f>IFERROR(preçodiario[[#This Row],[OVO VERMELHO B]]*preçodiario[[#This Row],[estoque BV]],0)</f>
        <v>0</v>
      </c>
      <c r="AO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Row],[data]])),((AO65*AP65)+SUMIFS(estoque[valor total],estoque[produto],preçodiario[[#Headers],[OVO VERMELHO C]],estoque[data],preçodiario[[#This Row],[data]],estoque[fornecedor],"&lt;&gt;saída"))/(AP65+(SUMIFS(estoque[quantidade],estoque[produto],preçodiario[[#Headers],[OVO VERMELHO C]],estoque[fornecedor],"&lt;&gt;saída",estoque[data],preçodiario[[#This Row],[data]])))))</f>
        <v/>
      </c>
      <c r="AP66" s="22">
        <f>IF(preçodiario[[#This Row],[entrada CV]]=0,AP65-(SUMIFS(estoque[quantidade],estoque[fornecedor],"saída",estoque[produto],preçodiario[[#Headers],[OVO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Row],[data]]))+AP65+preçodiario[[#This Row],[entrada CV]])</f>
        <v>0</v>
      </c>
      <c r="AQ66" s="22">
        <f>SUMIFS(estoque[quantidade],estoque[fornecedor],"&lt;&gt;saída",estoque[produto],preçodiario[[#Headers],[OVO VERMELHO C]],estoque[data],preçodiario[[#This Row],[data]])</f>
        <v>0</v>
      </c>
      <c r="AR66" s="20">
        <f>SUMIFS(estoque[valor total],estoque[fornecedor],"&lt;&gt;saída",estoque[produto],preçodiario[[#Headers],[OVO VERMELHO C]],estoque[data],preçodiario[[#This Row],[data]])</f>
        <v>0</v>
      </c>
      <c r="AS66" s="20">
        <f>IFERROR(preçodiario[[#This Row],[OVO VERMELHO C]]*preçodiario[[#This Row],[estoque CV]],0)</f>
        <v>0</v>
      </c>
      <c r="AT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Row],[data]])),((AT65*AU65)+SUMIFS(estoque[valor total],estoque[produto],preçodiario[[#Headers],[OVO VERMELHO EXTRA]],estoque[data],preçodiario[[#This Row],[data]],estoque[fornecedor],"&lt;&gt;saída"))/(AU65+(SUMIFS(estoque[quantidade],estoque[produto],preçodiario[[#Headers],[OVO VERMELHO EXTRA]],estoque[fornecedor],"&lt;&gt;saída",estoque[data],preçodiario[[#This Row],[data]])))))</f>
        <v/>
      </c>
      <c r="AU66" s="22">
        <f>IF(preçodiario[[#This Row],[entrada EV]]=0,AU65-(SUMIFS(estoque[quantidade],estoque[fornecedor],"saída",estoque[produto],preçodiario[[#Headers],[OVO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Row],[data]]))+AU65+preçodiario[[#This Row],[entrada EV]])</f>
        <v>0</v>
      </c>
      <c r="AV66" s="22">
        <f>SUMIFS(estoque[quantidade],estoque[fornecedor],"&lt;&gt;saída",estoque[produto],preçodiario[[#Headers],[OVO VERMELHO EXTRA]],estoque[data],preçodiario[[#This Row],[data]])</f>
        <v>0</v>
      </c>
      <c r="AW66" s="20">
        <f>SUMIFS(estoque[valor total],estoque[fornecedor],"&lt;&gt;saída",estoque[produto],preçodiario[[#Headers],[OVO VERMELHO EXTRA]],estoque[data],preçodiario[[#This Row],[data]])</f>
        <v>0</v>
      </c>
      <c r="AX66" s="20">
        <f>IFERROR(preçodiario[[#This Row],[OVO VERMELHO EXTRA]]*preçodiario[[#This Row],[estoque EV]],0)</f>
        <v>0</v>
      </c>
      <c r="AY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Row],[data]])),((AY65*AZ65)+SUMIFS(estoque[valor total],estoque[produto],preçodiario[[#Headers],[OVO VERMELHO JUMBO]],estoque[data],preçodiario[[#This Row],[data]],estoque[fornecedor],"&lt;&gt;saída"))/(AZ65+(SUMIFS(estoque[quantidade],estoque[produto],preçodiario[[#Headers],[OVO VERMELHO JUMBO]],estoque[fornecedor],"&lt;&gt;saída",estoque[data],preçodiario[[#This Row],[data]])))))</f>
        <v/>
      </c>
      <c r="AZ66" s="22">
        <f>IF(preçodiario[[#This Row],[entrada JV]]=0,AZ65-(SUMIFS(estoque[quantidade],estoque[fornecedor],"saída",estoque[produto],preçodiario[[#Headers],[OVO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Row],[data]]))+AZ65+preçodiario[[#This Row],[entrada JV]])</f>
        <v>0</v>
      </c>
      <c r="BA66" s="22">
        <f>SUMIFS(estoque[quantidade],estoque[fornecedor],"&lt;&gt;saída",estoque[produto],preçodiario[[#Headers],[OVO VERMELHO JUMBO]],estoque[data],preçodiario[[#This Row],[data]])</f>
        <v>0</v>
      </c>
      <c r="BB66" s="20">
        <f>SUMIFS(estoque[valor total],estoque[fornecedor],"&lt;&gt;saída",estoque[produto],preçodiario[[#Headers],[OVO VERMELHO JUMBO]],estoque[data],preçodiario[[#This Row],[data]])</f>
        <v>0</v>
      </c>
      <c r="BC66" s="20">
        <f>IFERROR(preçodiario[[#This Row],[OVO VERMELHO JUMBO]]*preçodiario[[#This Row],[estoque JV]],0)</f>
        <v>0</v>
      </c>
      <c r="BD66" t="str">
        <f>TEXT(vendaAno[[#This Row],[data]],"mmm")</f>
        <v>mar</v>
      </c>
      <c r="BE66" t="str">
        <f>TEXT(vendaAno[[#This Row],[data]],"ddd")</f>
        <v>sex</v>
      </c>
      <c r="BF66" s="82">
        <f>WEEKNUM(vendaAno[[#This Row],[data]],13)</f>
        <v>10</v>
      </c>
      <c r="BG66" s="27">
        <f>preçodiario[[#This Row],[data]]</f>
        <v>46087</v>
      </c>
      <c r="BH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6" s="8">
        <f>IF(SUMIFS(estoque[valor total],estoque[fornecedor],"saída",estoque[data],vendaAno[[#This Row],[data]])=0,"",SUMIFS(estoque[valor total],estoque[fornecedor],"saída",estoque[data],vendaAno[[#This Row],[data]]))</f>
        <v>574</v>
      </c>
      <c r="BJ6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Row],[data]]))/12+BJ65,"")</f>
        <v>9.666666666666627</v>
      </c>
      <c r="BK66" s="79">
        <f ca="1">IF(TODAY()&gt;=vendaAno[[#This Row],[data]],IF(SUMIFS(estoque[quantidade],estoque[fornecedor],"saída",estoque[data],vendaAno[[#This Row],[data]])/12=0,AVERAGE(BK63:BK65),SUMIFS(estoque[quantidade],estoque[fornecedor],"saída",estoque[data],vendaAno[[#This Row],[data]])/12),"")</f>
        <v>2.5</v>
      </c>
      <c r="BL66" s="8">
        <f ca="1">IF(vendaAno[[#This Row],[data]]&lt;=TODAY(),IF(SUMIFS(estoque[lucro],estoque[fornecedor],"saída",estoque[data],vendaAno[[#This Row],[data]])=0,AVERAGE(BL63:BL65),SUMIFS(estoque[lucro],estoque[fornecedor],"saída",estoque[data],vendaAno[[#This Row],[data]])),"")</f>
        <v>141.5</v>
      </c>
      <c r="BM66" s="10">
        <f ca="1">IFERROR(vendaAno[[#This Row],[lucro]]/vendaAno[[#This Row],[valor de venda]],"")</f>
        <v>0.24651567944250871</v>
      </c>
      <c r="BN6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1704.6115570604329</v>
      </c>
      <c r="BO66" s="8">
        <f ca="1">IF(TODAY()&gt;=vendaAno[[#This Row],[data]],IF(vendaAno[[#This Row],[N°]]=BF65,vendaAno[[#This Row],[lucro]]-173.33+BO65,vendaAno[[#This Row],[lucro]]-150),"")</f>
        <v>-48.77000000000001</v>
      </c>
      <c r="BP66" s="81">
        <f ca="1">IF(TODAY()&gt;=vendaAno[[#This Row],[data]],SUM(BK60:BK66)*12,"")</f>
        <v>247.99999999999997</v>
      </c>
      <c r="BQ66" s="7">
        <f ca="1">IFERROR(vendaAno[[#This Row],[lucro]]/(vendaAno[[#This Row],[venda]]*12),"")</f>
        <v>4.7166666666666668</v>
      </c>
      <c r="CD66" s="7"/>
    </row>
    <row r="67" spans="1:82" x14ac:dyDescent="0.25">
      <c r="A6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7" s="18" t="str">
        <f>TEXT(preçodiario[[#This Row],[data]],"MMM")</f>
        <v>mar</v>
      </c>
      <c r="C67" s="18" t="str">
        <f>TEXT(preçodiario[[#This Row],[data]],"ddd")</f>
        <v>sáb</v>
      </c>
      <c r="D67" s="96">
        <f>WEEKNUM(preçodiario[[#This Row],[data]],13)</f>
        <v>10</v>
      </c>
      <c r="E67" s="37">
        <v>46088</v>
      </c>
      <c r="F6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Row],[data]])),((F66*G66)+SUMIFS(estoque[valor total],estoque[produto],preçodiario[[#Headers],[OVO BRANCO A]],estoque[data],preçodiario[[#This Row],[data]],estoque[fornecedor],"&lt;&gt;saída"))/(G66+(SUMIFS(estoque[quantidade],estoque[produto],preçodiario[[#Headers],[OVO BRANCO A]],estoque[fornecedor],"&lt;&gt;saída",estoque[data],preçodiario[[#This Row],[data]])))))</f>
        <v>13.75</v>
      </c>
      <c r="G67" s="22">
        <f>IF(preçodiario[[#This Row],[entrada A]]=0,G66-(SUMIFS(estoque[quantidade],estoque[fornecedor],"saída",estoque[produto],preçodiario[[#Headers],[OVO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Row],[data]]))+G66+preçodiario[[#This Row],[entrada A]])</f>
        <v>28</v>
      </c>
      <c r="H67" s="22">
        <f>SUMIFS(estoque[quantidade],estoque[fornecedor],"&lt;&gt;saída",estoque[produto],preçodiario[[#Headers],[OVO BRANCO A]],estoque[data],preçodiario[[#This Row],[data]])</f>
        <v>0</v>
      </c>
      <c r="I67" s="20">
        <f>SUMIFS(estoque[valor total],estoque[fornecedor],"&lt;&gt;saída",estoque[produto],preçodiario[[#Headers],[OVO BRANCO A]],estoque[data],preçodiario[[#This Row],[data]])</f>
        <v>0</v>
      </c>
      <c r="J67" s="20">
        <f>IFERROR(preçodiario[[#This Row],[estoque A]]*preçodiario[[#This Row],[OVO BRANCO A]],0)</f>
        <v>385</v>
      </c>
      <c r="K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Row],[data]])),((K66*L66)+SUMIFS(estoque[valor total],estoque[produto],preçodiario[[#Headers],[OVO BRANCO B]],estoque[data],preçodiario[[#This Row],[data]],estoque[fornecedor],"&lt;&gt;saída"))/(L66+(SUMIFS(estoque[quantidade],estoque[produto],preçodiario[[#Headers],[OVO BRANCO B]],estoque[fornecedor],"&lt;&gt;saída",estoque[data],preçodiario[[#This Row],[data]])))))</f>
        <v>12.916666666666666</v>
      </c>
      <c r="L67" s="22">
        <f>IF(preçodiario[[#This Row],[entrada B]]=0,L66-(SUMIFS(estoque[quantidade],estoque[fornecedor],"saída",estoque[produto],preçodiario[[#Headers],[OVO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Row],[data]]))+L66+preçodiario[[#This Row],[entrada B]])</f>
        <v>156</v>
      </c>
      <c r="M67" s="22">
        <f>SUMIFS(estoque[quantidade],estoque[fornecedor],"&lt;&gt;saída",estoque[produto],preçodiario[[#Headers],[OVO BRANCO B]],estoque[data],preçodiario[[#This Row],[data]])</f>
        <v>156</v>
      </c>
      <c r="N67" s="20">
        <f>SUMIFS(estoque[valor total],estoque[fornecedor],"&lt;&gt;saída",estoque[produto],preçodiario[[#Headers],[OVO BRANCO B]],estoque[data],preçodiario[[#This Row],[data]])</f>
        <v>2015</v>
      </c>
      <c r="O67" s="20">
        <f>IFERROR(preçodiario[[#This Row],[OVO BRANCO B]]*preçodiario[[#This Row],[estoque B]],0)</f>
        <v>2015</v>
      </c>
      <c r="P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Row],[data]])),((P66*Q66)+SUMIFS(estoque[valor total],estoque[produto],preçodiario[[#Headers],[OVO BRANCO C]],estoque[data],preçodiario[[#This Row],[data]],estoque[fornecedor],"&lt;&gt;saída"))/(Q66+(SUMIFS(estoque[quantidade],estoque[produto],preçodiario[[#Headers],[OVO BRANCO C]],estoque[fornecedor],"&lt;&gt;saída",estoque[data],preçodiario[[#This Row],[data]])))))</f>
        <v>11.583333333333334</v>
      </c>
      <c r="Q67" s="22">
        <f>IF(preçodiario[[#This Row],[entrada C]]=0,Q66-(SUMIFS(estoque[quantidade],estoque[fornecedor],"saída",estoque[produto],preçodiario[[#Headers],[OVO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Row],[data]]))+Q66+preçodiario[[#This Row],[entrada C]])</f>
        <v>120</v>
      </c>
      <c r="R67" s="22">
        <f>SUMIFS(estoque[quantidade],estoque[fornecedor],"&lt;&gt;saída",estoque[produto],preçodiario[[#Headers],[OVO BRANCO C]],estoque[data],preçodiario[[#This Row],[data]])</f>
        <v>120</v>
      </c>
      <c r="S67" s="20">
        <f>SUMIFS(estoque[valor total],estoque[fornecedor],"&lt;&gt;saída",estoque[produto],preçodiario[[#Headers],[OVO BRANCO C]],estoque[data],preçodiario[[#This Row],[data]])</f>
        <v>1390</v>
      </c>
      <c r="T67" s="20">
        <f>IFERROR(preçodiario[[#This Row],[OVO BRANCO C]]*preçodiario[[#This Row],[estoque C]],0)</f>
        <v>1390</v>
      </c>
      <c r="U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Row],[data]])),((U66*V66)+SUMIFS(estoque[valor total],estoque[produto],preçodiario[[#Headers],[OVO BRANCO EXTRA]],estoque[data],preçodiario[[#This Row],[data]],estoque[fornecedor],"&lt;&gt;saída"))/(V66+(SUMIFS(estoque[quantidade],estoque[produto],preçodiario[[#Headers],[OVO BRANCO EXTRA]],estoque[fornecedor],"&lt;&gt;saída",estoque[data],preçodiario[[#This Row],[data]])))))</f>
        <v>14.620295014991905</v>
      </c>
      <c r="V67" s="22">
        <f>IF(preçodiario[[#This Row],[entrada E]]=0,V66-(SUMIFS(estoque[quantidade],estoque[fornecedor],"saída",estoque[produto],preçodiario[[#Headers],[OVO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Row],[data]]))+V66+preçodiario[[#This Row],[entrada E]])</f>
        <v>106</v>
      </c>
      <c r="W67" s="22">
        <f>SUMIFS(estoque[quantidade],estoque[fornecedor],"&lt;&gt;saída",estoque[produto],preçodiario[[#Headers],[OVO BRANCO EXTRA]],estoque[data],preçodiario[[#This Row],[data]])</f>
        <v>60</v>
      </c>
      <c r="X67" s="20">
        <f>SUMIFS(estoque[valor total],estoque[fornecedor],"&lt;&gt;saída",estoque[produto],preçodiario[[#Headers],[OVO BRANCO EXTRA]],estoque[data],preçodiario[[#This Row],[data]])</f>
        <v>875</v>
      </c>
      <c r="Y67" s="20">
        <f>IFERROR(preçodiario[[#This Row],[estoque E]]*preçodiario[[#This Row],[OVO BRANCO EXTRA]],0)</f>
        <v>1549.7512715891419</v>
      </c>
      <c r="Z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Row],[data]])),((Z66*AA66)+SUMIFS(estoque[valor total],estoque[produto],preçodiario[[#Headers],[OVO BRANCO JUMBO]],estoque[data],preçodiario[[#This Row],[data]],estoque[fornecedor],"&lt;&gt;saída"))/(AA66+(SUMIFS(estoque[quantidade],estoque[produto],preçodiario[[#Headers],[OVO BRANCO JUMBO]],estoque[fornecedor],"&lt;&gt;saída",estoque[data],preçodiario[[#This Row],[data]])))))</f>
        <v>15.422235769503297</v>
      </c>
      <c r="AA67" s="22">
        <f>IF(preçodiario[[#This Row],[entrada J]]=0,AA66-(SUMIFS(estoque[quantidade],estoque[fornecedor],"saída",estoque[produto],preçodiario[[#Headers],[OVO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Row],[data]]))+AA66+preçodiario[[#This Row],[entrada J]])</f>
        <v>94</v>
      </c>
      <c r="AB67" s="22">
        <f>SUMIFS(estoque[quantidade],estoque[fornecedor],"&lt;&gt;saída",estoque[produto],preçodiario[[#Headers],[OVO BRANCO JUMBO]],estoque[data],preçodiario[[#This Row],[data]])</f>
        <v>60</v>
      </c>
      <c r="AC67" s="20">
        <f>SUMIFS(estoque[valor total],estoque[fornecedor],"&lt;&gt;saída",estoque[produto],preçodiario[[#Headers],[OVO BRANCO JUMBO]],estoque[data],preçodiario[[#This Row],[data]])</f>
        <v>925</v>
      </c>
      <c r="AD67" s="20">
        <f>IFERROR(preçodiario[[#This Row],[OVO BRANCO JUMBO]]*preçodiario[[#This Row],[estoque J]],0)</f>
        <v>1449.6901623333099</v>
      </c>
      <c r="AE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Row],[data]])),((AE66*AF66)+SUMIFS(estoque[valor total],estoque[produto],preçodiario[[#Headers],[OVO VERMELHO A]],estoque[data],preçodiario[[#This Row],[data]],estoque[fornecedor],"&lt;&gt;saída"))/(AF66+(SUMIFS(estoque[quantidade],estoque[produto],preçodiario[[#Headers],[OVO VERMELHO A]],estoque[fornecedor],"&lt;&gt;saída",estoque[data],preçodiario[[#This Row],[data]])))))</f>
        <v/>
      </c>
      <c r="AF67" s="22">
        <f>IF(preçodiario[[#This Row],[entrada AV]]=0,AF66-(SUMIFS(estoque[quantidade],estoque[fornecedor],"saída",estoque[produto],preçodiario[[#Headers],[OVO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Row],[data]]))+AF66+preçodiario[[#This Row],[entrada AV]])</f>
        <v>0</v>
      </c>
      <c r="AG67" s="22">
        <f>SUMIFS(estoque[quantidade],estoque[fornecedor],"&lt;&gt;saída",estoque[produto],preçodiario[[#Headers],[OVO VERMELHO A]],estoque[data],preçodiario[[#This Row],[data]])</f>
        <v>0</v>
      </c>
      <c r="AH67" s="20">
        <f>SUMIFS(estoque[valor total],estoque[fornecedor],"&lt;&gt;saída",estoque[produto],preçodiario[[#Headers],[OVO VERMELHO A]],estoque[data],preçodiario[[#This Row],[data]])</f>
        <v>0</v>
      </c>
      <c r="AI67" s="20">
        <f>IFERROR(preçodiario[[#This Row],[OVO VERMELHO A]]*preçodiario[[#This Row],[estoque AV]],0)</f>
        <v>0</v>
      </c>
      <c r="AJ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Row],[data]])),((AJ66*AK66)+SUMIFS(estoque[valor total],estoque[produto],preçodiario[[#Headers],[OVO VERMELHO B]],estoque[data],preçodiario[[#This Row],[data]],estoque[fornecedor],"&lt;&gt;saída"))/(AK66+(SUMIFS(estoque[quantidade],estoque[produto],preçodiario[[#Headers],[OVO VERMELHO B]],estoque[fornecedor],"&lt;&gt;saída",estoque[data],preçodiario[[#This Row],[data]])))))</f>
        <v/>
      </c>
      <c r="AK67" s="22">
        <f>IF(preçodiario[[#This Row],[entrada BV]]=0,AK66-(SUMIFS(estoque[quantidade],estoque[fornecedor],"saída",estoque[produto],preçodiario[[#Headers],[OVO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Row],[data]]))+AK66+preçodiario[[#This Row],[entrada BV]])</f>
        <v>0</v>
      </c>
      <c r="AL67" s="22">
        <f>SUMIFS(estoque[quantidade],estoque[fornecedor],"&lt;&gt;saída",estoque[produto],preçodiario[[#Headers],[OVO VERMELHO B]],estoque[data],preçodiario[[#This Row],[data]])</f>
        <v>0</v>
      </c>
      <c r="AM67" s="20">
        <f>SUMIFS(estoque[valor total],estoque[fornecedor],"&lt;&gt;saída",estoque[produto],preçodiario[[#Headers],[OVO VERMELHO B]],estoque[data],preçodiario[[#This Row],[data]])</f>
        <v>0</v>
      </c>
      <c r="AN67" s="20">
        <f>IFERROR(preçodiario[[#This Row],[OVO VERMELHO B]]*preçodiario[[#This Row],[estoque BV]],0)</f>
        <v>0</v>
      </c>
      <c r="AO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Row],[data]])),((AO66*AP66)+SUMIFS(estoque[valor total],estoque[produto],preçodiario[[#Headers],[OVO VERMELHO C]],estoque[data],preçodiario[[#This Row],[data]],estoque[fornecedor],"&lt;&gt;saída"))/(AP66+(SUMIFS(estoque[quantidade],estoque[produto],preçodiario[[#Headers],[OVO VERMELHO C]],estoque[fornecedor],"&lt;&gt;saída",estoque[data],preçodiario[[#This Row],[data]])))))</f>
        <v/>
      </c>
      <c r="AP67" s="22">
        <f>IF(preçodiario[[#This Row],[entrada CV]]=0,AP66-(SUMIFS(estoque[quantidade],estoque[fornecedor],"saída",estoque[produto],preçodiario[[#Headers],[OVO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Row],[data]]))+AP66+preçodiario[[#This Row],[entrada CV]])</f>
        <v>0</v>
      </c>
      <c r="AQ67" s="22">
        <f>SUMIFS(estoque[quantidade],estoque[fornecedor],"&lt;&gt;saída",estoque[produto],preçodiario[[#Headers],[OVO VERMELHO C]],estoque[data],preçodiario[[#This Row],[data]])</f>
        <v>0</v>
      </c>
      <c r="AR67" s="20">
        <f>SUMIFS(estoque[valor total],estoque[fornecedor],"&lt;&gt;saída",estoque[produto],preçodiario[[#Headers],[OVO VERMELHO C]],estoque[data],preçodiario[[#This Row],[data]])</f>
        <v>0</v>
      </c>
      <c r="AS67" s="20">
        <f>IFERROR(preçodiario[[#This Row],[OVO VERMELHO C]]*preçodiario[[#This Row],[estoque CV]],0)</f>
        <v>0</v>
      </c>
      <c r="AT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Row],[data]])),((AT66*AU66)+SUMIFS(estoque[valor total],estoque[produto],preçodiario[[#Headers],[OVO VERMELHO EXTRA]],estoque[data],preçodiario[[#This Row],[data]],estoque[fornecedor],"&lt;&gt;saída"))/(AU66+(SUMIFS(estoque[quantidade],estoque[produto],preçodiario[[#Headers],[OVO VERMELHO EXTRA]],estoque[fornecedor],"&lt;&gt;saída",estoque[data],preçodiario[[#This Row],[data]])))))</f>
        <v/>
      </c>
      <c r="AU67" s="22">
        <f>IF(preçodiario[[#This Row],[entrada EV]]=0,AU66-(SUMIFS(estoque[quantidade],estoque[fornecedor],"saída",estoque[produto],preçodiario[[#Headers],[OVO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Row],[data]]))+AU66+preçodiario[[#This Row],[entrada EV]])</f>
        <v>0</v>
      </c>
      <c r="AV67" s="22">
        <f>SUMIFS(estoque[quantidade],estoque[fornecedor],"&lt;&gt;saída",estoque[produto],preçodiario[[#Headers],[OVO VERMELHO EXTRA]],estoque[data],preçodiario[[#This Row],[data]])</f>
        <v>0</v>
      </c>
      <c r="AW67" s="20">
        <f>SUMIFS(estoque[valor total],estoque[fornecedor],"&lt;&gt;saída",estoque[produto],preçodiario[[#Headers],[OVO VERMELHO EXTRA]],estoque[data],preçodiario[[#This Row],[data]])</f>
        <v>0</v>
      </c>
      <c r="AX67" s="20">
        <f>IFERROR(preçodiario[[#This Row],[OVO VERMELHO EXTRA]]*preçodiario[[#This Row],[estoque EV]],0)</f>
        <v>0</v>
      </c>
      <c r="AY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Row],[data]])),((AY66*AZ66)+SUMIFS(estoque[valor total],estoque[produto],preçodiario[[#Headers],[OVO VERMELHO JUMBO]],estoque[data],preçodiario[[#This Row],[data]],estoque[fornecedor],"&lt;&gt;saída"))/(AZ66+(SUMIFS(estoque[quantidade],estoque[produto],preçodiario[[#Headers],[OVO VERMELHO JUMBO]],estoque[fornecedor],"&lt;&gt;saída",estoque[data],preçodiario[[#This Row],[data]])))))</f>
        <v/>
      </c>
      <c r="AZ67" s="22">
        <f>IF(preçodiario[[#This Row],[entrada JV]]=0,AZ66-(SUMIFS(estoque[quantidade],estoque[fornecedor],"saída",estoque[produto],preçodiario[[#Headers],[OVO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Row],[data]]))+AZ66+preçodiario[[#This Row],[entrada JV]])</f>
        <v>0</v>
      </c>
      <c r="BA67" s="22">
        <f>SUMIFS(estoque[quantidade],estoque[fornecedor],"&lt;&gt;saída",estoque[produto],preçodiario[[#Headers],[OVO VERMELHO JUMBO]],estoque[data],preçodiario[[#This Row],[data]])</f>
        <v>0</v>
      </c>
      <c r="BB67" s="20">
        <f>SUMIFS(estoque[valor total],estoque[fornecedor],"&lt;&gt;saída",estoque[produto],preçodiario[[#Headers],[OVO VERMELHO JUMBO]],estoque[data],preçodiario[[#This Row],[data]])</f>
        <v>0</v>
      </c>
      <c r="BC67" s="20">
        <f>IFERROR(preçodiario[[#This Row],[OVO VERMELHO JUMBO]]*preçodiario[[#This Row],[estoque JV]],0)</f>
        <v>0</v>
      </c>
      <c r="BD67" t="str">
        <f>TEXT(vendaAno[[#This Row],[data]],"mmm")</f>
        <v>mar</v>
      </c>
      <c r="BE67" t="str">
        <f>TEXT(vendaAno[[#This Row],[data]],"ddd")</f>
        <v>sáb</v>
      </c>
      <c r="BF67" s="82">
        <f>WEEKNUM(vendaAno[[#This Row],[data]],13)</f>
        <v>10</v>
      </c>
      <c r="BG67" s="27">
        <f>preçodiario[[#This Row],[data]]</f>
        <v>46088</v>
      </c>
      <c r="BH67" s="8">
        <f>IF(SUMIFS(estoque[valor total],estoque[fornecedor],"&lt;&gt;saída",estoque[data],vendaAno[[#This Row],[data]])=0,"",SUMIFS(estoque[valor total],estoque[fornecedor],"&lt;&gt;saída",estoque[data],vendaAno[[#This Row],[data]]))</f>
        <v>5205</v>
      </c>
      <c r="BI67" s="8">
        <f>IF(SUMIFS(estoque[valor total],estoque[fornecedor],"saída",estoque[data],vendaAno[[#This Row],[data]])=0,"",SUMIFS(estoque[valor total],estoque[fornecedor],"saída",estoque[data],vendaAno[[#This Row],[data]]))</f>
        <v>146</v>
      </c>
      <c r="BJ6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Row],[data]]))/12+BJ66,"")</f>
        <v>41.999999999999964</v>
      </c>
      <c r="BK67" s="79">
        <f ca="1">IF(TODAY()&gt;=vendaAno[[#This Row],[data]],IF(SUMIFS(estoque[quantidade],estoque[fornecedor],"saída",estoque[data],vendaAno[[#This Row],[data]])/12=0,AVERAGE(BK64:BK66),SUMIFS(estoque[quantidade],estoque[fornecedor],"saída",estoque[data],vendaAno[[#This Row],[data]])/12),"")</f>
        <v>0.66666666666666663</v>
      </c>
      <c r="BL67" s="8">
        <f ca="1">IF(vendaAno[[#This Row],[data]]&lt;=TODAY(),IF(SUMIFS(estoque[lucro],estoque[fornecedor],"saída",estoque[data],vendaAno[[#This Row],[data]])=0,AVERAGE(BL64:BL66),SUMIFS(estoque[lucro],estoque[fornecedor],"saída",estoque[data],vendaAno[[#This Row],[data]])),"")</f>
        <v>25.83</v>
      </c>
      <c r="BM67" s="10">
        <f ca="1">IFERROR(vendaAno[[#This Row],[lucro]]/vendaAno[[#This Row],[valor de venda]],"")</f>
        <v>0.17691780821917807</v>
      </c>
      <c r="BN6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6789.4414339224513</v>
      </c>
      <c r="BO67" s="8">
        <f ca="1">IF(TODAY()&gt;=vendaAno[[#This Row],[data]],IF(vendaAno[[#This Row],[N°]]=BF66,vendaAno[[#This Row],[lucro]]-173.33+BO66,vendaAno[[#This Row],[lucro]]-150),"")</f>
        <v>-196.27</v>
      </c>
      <c r="BP67" s="81">
        <f ca="1">IF(TODAY()&gt;=vendaAno[[#This Row],[data]],SUM(BK61:BK67)*12,"")</f>
        <v>248</v>
      </c>
      <c r="BQ67" s="7">
        <f ca="1">IFERROR(vendaAno[[#This Row],[lucro]]/(vendaAno[[#This Row],[venda]]*12),"")</f>
        <v>3.2287499999999998</v>
      </c>
      <c r="CD67" s="7"/>
    </row>
    <row r="68" spans="1:82" x14ac:dyDescent="0.25">
      <c r="A6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8" s="18" t="str">
        <f>TEXT(preçodiario[[#This Row],[data]],"MMM")</f>
        <v>mar</v>
      </c>
      <c r="C68" s="18" t="str">
        <f>TEXT(preçodiario[[#This Row],[data]],"ddd")</f>
        <v>dom</v>
      </c>
      <c r="D68" s="96">
        <f>WEEKNUM(preçodiario[[#This Row],[data]],13)</f>
        <v>10</v>
      </c>
      <c r="E68" s="37">
        <v>46089</v>
      </c>
      <c r="F6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Row],[data]])),((F67*G67)+SUMIFS(estoque[valor total],estoque[produto],preçodiario[[#Headers],[OVO BRANCO A]],estoque[data],preçodiario[[#This Row],[data]],estoque[fornecedor],"&lt;&gt;saída"))/(G67+(SUMIFS(estoque[quantidade],estoque[produto],preçodiario[[#Headers],[OVO BRANCO A]],estoque[fornecedor],"&lt;&gt;saída",estoque[data],preçodiario[[#This Row],[data]])))))</f>
        <v>13.75</v>
      </c>
      <c r="G68" s="22">
        <f>IF(preçodiario[[#This Row],[entrada A]]=0,G67-(SUMIFS(estoque[quantidade],estoque[fornecedor],"saída",estoque[produto],preçodiario[[#Headers],[OVO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Row],[data]]))+G67+preçodiario[[#This Row],[entrada A]])</f>
        <v>26</v>
      </c>
      <c r="H68" s="22">
        <f>SUMIFS(estoque[quantidade],estoque[fornecedor],"&lt;&gt;saída",estoque[produto],preçodiario[[#Headers],[OVO BRANCO A]],estoque[data],preçodiario[[#This Row],[data]])</f>
        <v>0</v>
      </c>
      <c r="I68" s="20">
        <f>SUMIFS(estoque[valor total],estoque[fornecedor],"&lt;&gt;saída",estoque[produto],preçodiario[[#Headers],[OVO BRANCO A]],estoque[data],preçodiario[[#This Row],[data]])</f>
        <v>0</v>
      </c>
      <c r="J68" s="20">
        <f>IFERROR(preçodiario[[#This Row],[estoque A]]*preçodiario[[#This Row],[OVO BRANCO A]],0)</f>
        <v>357.5</v>
      </c>
      <c r="K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Row],[data]])),((K67*L67)+SUMIFS(estoque[valor total],estoque[produto],preçodiario[[#Headers],[OVO BRANCO B]],estoque[data],preçodiario[[#This Row],[data]],estoque[fornecedor],"&lt;&gt;saída"))/(L67+(SUMIFS(estoque[quantidade],estoque[produto],preçodiario[[#Headers],[OVO BRANCO B]],estoque[fornecedor],"&lt;&gt;saída",estoque[data],preçodiario[[#This Row],[data]])))))</f>
        <v>12.916666666666666</v>
      </c>
      <c r="L68" s="22">
        <f>IF(preçodiario[[#This Row],[entrada B]]=0,L67-(SUMIFS(estoque[quantidade],estoque[fornecedor],"saída",estoque[produto],preçodiario[[#Headers],[OVO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Row],[data]]))+L67+preçodiario[[#This Row],[entrada B]])</f>
        <v>155</v>
      </c>
      <c r="M68" s="22">
        <f>SUMIFS(estoque[quantidade],estoque[fornecedor],"&lt;&gt;saída",estoque[produto],preçodiario[[#Headers],[OVO BRANCO B]],estoque[data],preçodiario[[#This Row],[data]])</f>
        <v>0</v>
      </c>
      <c r="N68" s="20">
        <f>SUMIFS(estoque[valor total],estoque[fornecedor],"&lt;&gt;saída",estoque[produto],preçodiario[[#Headers],[OVO BRANCO B]],estoque[data],preçodiario[[#This Row],[data]])</f>
        <v>0</v>
      </c>
      <c r="O68" s="20">
        <f>IFERROR(preçodiario[[#This Row],[OVO BRANCO B]]*preçodiario[[#This Row],[estoque B]],0)</f>
        <v>2002.0833333333333</v>
      </c>
      <c r="P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Row],[data]])),((P67*Q67)+SUMIFS(estoque[valor total],estoque[produto],preçodiario[[#Headers],[OVO BRANCO C]],estoque[data],preçodiario[[#This Row],[data]],estoque[fornecedor],"&lt;&gt;saída"))/(Q67+(SUMIFS(estoque[quantidade],estoque[produto],preçodiario[[#Headers],[OVO BRANCO C]],estoque[fornecedor],"&lt;&gt;saída",estoque[data],preçodiario[[#This Row],[data]])))))</f>
        <v>11.583333333333334</v>
      </c>
      <c r="Q68" s="22">
        <f>IF(preçodiario[[#This Row],[entrada C]]=0,Q67-(SUMIFS(estoque[quantidade],estoque[fornecedor],"saída",estoque[produto],preçodiario[[#Headers],[OVO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Row],[data]]))+Q67+preçodiario[[#This Row],[entrada C]])</f>
        <v>117</v>
      </c>
      <c r="R68" s="22">
        <f>SUMIFS(estoque[quantidade],estoque[fornecedor],"&lt;&gt;saída",estoque[produto],preçodiario[[#Headers],[OVO BRANCO C]],estoque[data],preçodiario[[#This Row],[data]])</f>
        <v>0</v>
      </c>
      <c r="S68" s="20">
        <f>SUMIFS(estoque[valor total],estoque[fornecedor],"&lt;&gt;saída",estoque[produto],preçodiario[[#Headers],[OVO BRANCO C]],estoque[data],preçodiario[[#This Row],[data]])</f>
        <v>0</v>
      </c>
      <c r="T68" s="20">
        <f>IFERROR(preçodiario[[#This Row],[OVO BRANCO C]]*preçodiario[[#This Row],[estoque C]],0)</f>
        <v>1355.25</v>
      </c>
      <c r="U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Row],[data]])),((U67*V67)+SUMIFS(estoque[valor total],estoque[produto],preçodiario[[#Headers],[OVO BRANCO EXTRA]],estoque[data],preçodiario[[#This Row],[data]],estoque[fornecedor],"&lt;&gt;saída"))/(V67+(SUMIFS(estoque[quantidade],estoque[produto],preçodiario[[#Headers],[OVO BRANCO EXTRA]],estoque[fornecedor],"&lt;&gt;saída",estoque[data],preçodiario[[#This Row],[data]])))))</f>
        <v>14.620295014991905</v>
      </c>
      <c r="V68" s="22">
        <f>IF(preçodiario[[#This Row],[entrada E]]=0,V67-(SUMIFS(estoque[quantidade],estoque[fornecedor],"saída",estoque[produto],preçodiario[[#Headers],[OVO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Row],[data]]))+V67+preçodiario[[#This Row],[entrada E]])</f>
        <v>95</v>
      </c>
      <c r="W68" s="22">
        <f>SUMIFS(estoque[quantidade],estoque[fornecedor],"&lt;&gt;saída",estoque[produto],preçodiario[[#Headers],[OVO BRANCO EXTRA]],estoque[data],preçodiario[[#This Row],[data]])</f>
        <v>0</v>
      </c>
      <c r="X68" s="20">
        <f>SUMIFS(estoque[valor total],estoque[fornecedor],"&lt;&gt;saída",estoque[produto],preçodiario[[#Headers],[OVO BRANCO EXTRA]],estoque[data],preçodiario[[#This Row],[data]])</f>
        <v>0</v>
      </c>
      <c r="Y68" s="20">
        <f>IFERROR(preçodiario[[#This Row],[estoque E]]*preçodiario[[#This Row],[OVO BRANCO EXTRA]],0)</f>
        <v>1388.9280264242309</v>
      </c>
      <c r="Z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Row],[data]])),((Z67*AA67)+SUMIFS(estoque[valor total],estoque[produto],preçodiario[[#Headers],[OVO BRANCO JUMBO]],estoque[data],preçodiario[[#This Row],[data]],estoque[fornecedor],"&lt;&gt;saída"))/(AA67+(SUMIFS(estoque[quantidade],estoque[produto],preçodiario[[#Headers],[OVO BRANCO JUMBO]],estoque[fornecedor],"&lt;&gt;saída",estoque[data],preçodiario[[#This Row],[data]])))))</f>
        <v>15.422235769503297</v>
      </c>
      <c r="AA68" s="22">
        <f>IF(preçodiario[[#This Row],[entrada J]]=0,AA67-(SUMIFS(estoque[quantidade],estoque[fornecedor],"saída",estoque[produto],preçodiario[[#Headers],[OVO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Row],[data]]))+AA67+preçodiario[[#This Row],[entrada J]])</f>
        <v>90</v>
      </c>
      <c r="AB68" s="22">
        <f>SUMIFS(estoque[quantidade],estoque[fornecedor],"&lt;&gt;saída",estoque[produto],preçodiario[[#Headers],[OVO BRANCO JUMBO]],estoque[data],preçodiario[[#This Row],[data]])</f>
        <v>0</v>
      </c>
      <c r="AC68" s="20">
        <f>SUMIFS(estoque[valor total],estoque[fornecedor],"&lt;&gt;saída",estoque[produto],preçodiario[[#Headers],[OVO BRANCO JUMBO]],estoque[data],preçodiario[[#This Row],[data]])</f>
        <v>0</v>
      </c>
      <c r="AD68" s="20">
        <f>IFERROR(preçodiario[[#This Row],[OVO BRANCO JUMBO]]*preçodiario[[#This Row],[estoque J]],0)</f>
        <v>1388.0012192552967</v>
      </c>
      <c r="AE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Row],[data]])),((AE67*AF67)+SUMIFS(estoque[valor total],estoque[produto],preçodiario[[#Headers],[OVO VERMELHO A]],estoque[data],preçodiario[[#This Row],[data]],estoque[fornecedor],"&lt;&gt;saída"))/(AF67+(SUMIFS(estoque[quantidade],estoque[produto],preçodiario[[#Headers],[OVO VERMELHO A]],estoque[fornecedor],"&lt;&gt;saída",estoque[data],preçodiario[[#This Row],[data]])))))</f>
        <v/>
      </c>
      <c r="AF68" s="22">
        <f>IF(preçodiario[[#This Row],[entrada AV]]=0,AF67-(SUMIFS(estoque[quantidade],estoque[fornecedor],"saída",estoque[produto],preçodiario[[#Headers],[OVO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Row],[data]]))+AF67+preçodiario[[#This Row],[entrada AV]])</f>
        <v>0</v>
      </c>
      <c r="AG68" s="22">
        <f>SUMIFS(estoque[quantidade],estoque[fornecedor],"&lt;&gt;saída",estoque[produto],preçodiario[[#Headers],[OVO VERMELHO A]],estoque[data],preçodiario[[#This Row],[data]])</f>
        <v>0</v>
      </c>
      <c r="AH68" s="20">
        <f>SUMIFS(estoque[valor total],estoque[fornecedor],"&lt;&gt;saída",estoque[produto],preçodiario[[#Headers],[OVO VERMELHO A]],estoque[data],preçodiario[[#This Row],[data]])</f>
        <v>0</v>
      </c>
      <c r="AI68" s="20">
        <f>IFERROR(preçodiario[[#This Row],[OVO VERMELHO A]]*preçodiario[[#This Row],[estoque AV]],0)</f>
        <v>0</v>
      </c>
      <c r="AJ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Row],[data]])),((AJ67*AK67)+SUMIFS(estoque[valor total],estoque[produto],preçodiario[[#Headers],[OVO VERMELHO B]],estoque[data],preçodiario[[#This Row],[data]],estoque[fornecedor],"&lt;&gt;saída"))/(AK67+(SUMIFS(estoque[quantidade],estoque[produto],preçodiario[[#Headers],[OVO VERMELHO B]],estoque[fornecedor],"&lt;&gt;saída",estoque[data],preçodiario[[#This Row],[data]])))))</f>
        <v/>
      </c>
      <c r="AK68" s="22">
        <f>IF(preçodiario[[#This Row],[entrada BV]]=0,AK67-(SUMIFS(estoque[quantidade],estoque[fornecedor],"saída",estoque[produto],preçodiario[[#Headers],[OVO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Row],[data]]))+AK67+preçodiario[[#This Row],[entrada BV]])</f>
        <v>0</v>
      </c>
      <c r="AL68" s="22">
        <f>SUMIFS(estoque[quantidade],estoque[fornecedor],"&lt;&gt;saída",estoque[produto],preçodiario[[#Headers],[OVO VERMELHO B]],estoque[data],preçodiario[[#This Row],[data]])</f>
        <v>0</v>
      </c>
      <c r="AM68" s="20">
        <f>SUMIFS(estoque[valor total],estoque[fornecedor],"&lt;&gt;saída",estoque[produto],preçodiario[[#Headers],[OVO VERMELHO B]],estoque[data],preçodiario[[#This Row],[data]])</f>
        <v>0</v>
      </c>
      <c r="AN68" s="20">
        <f>IFERROR(preçodiario[[#This Row],[OVO VERMELHO B]]*preçodiario[[#This Row],[estoque BV]],0)</f>
        <v>0</v>
      </c>
      <c r="AO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Row],[data]])),((AO67*AP67)+SUMIFS(estoque[valor total],estoque[produto],preçodiario[[#Headers],[OVO VERMELHO C]],estoque[data],preçodiario[[#This Row],[data]],estoque[fornecedor],"&lt;&gt;saída"))/(AP67+(SUMIFS(estoque[quantidade],estoque[produto],preçodiario[[#Headers],[OVO VERMELHO C]],estoque[fornecedor],"&lt;&gt;saída",estoque[data],preçodiario[[#This Row],[data]])))))</f>
        <v/>
      </c>
      <c r="AP68" s="22">
        <f>IF(preçodiario[[#This Row],[entrada CV]]=0,AP67-(SUMIFS(estoque[quantidade],estoque[fornecedor],"saída",estoque[produto],preçodiario[[#Headers],[OVO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Row],[data]]))+AP67+preçodiario[[#This Row],[entrada CV]])</f>
        <v>0</v>
      </c>
      <c r="AQ68" s="22">
        <f>SUMIFS(estoque[quantidade],estoque[fornecedor],"&lt;&gt;saída",estoque[produto],preçodiario[[#Headers],[OVO VERMELHO C]],estoque[data],preçodiario[[#This Row],[data]])</f>
        <v>0</v>
      </c>
      <c r="AR68" s="20">
        <f>SUMIFS(estoque[valor total],estoque[fornecedor],"&lt;&gt;saída",estoque[produto],preçodiario[[#Headers],[OVO VERMELHO C]],estoque[data],preçodiario[[#This Row],[data]])</f>
        <v>0</v>
      </c>
      <c r="AS68" s="20">
        <f>IFERROR(preçodiario[[#This Row],[OVO VERMELHO C]]*preçodiario[[#This Row],[estoque CV]],0)</f>
        <v>0</v>
      </c>
      <c r="AT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Row],[data]])),((AT67*AU67)+SUMIFS(estoque[valor total],estoque[produto],preçodiario[[#Headers],[OVO VERMELHO EXTRA]],estoque[data],preçodiario[[#This Row],[data]],estoque[fornecedor],"&lt;&gt;saída"))/(AU67+(SUMIFS(estoque[quantidade],estoque[produto],preçodiario[[#Headers],[OVO VERMELHO EXTRA]],estoque[fornecedor],"&lt;&gt;saída",estoque[data],preçodiario[[#This Row],[data]])))))</f>
        <v/>
      </c>
      <c r="AU68" s="22">
        <f>IF(preçodiario[[#This Row],[entrada EV]]=0,AU67-(SUMIFS(estoque[quantidade],estoque[fornecedor],"saída",estoque[produto],preçodiario[[#Headers],[OVO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Row],[data]]))+AU67+preçodiario[[#This Row],[entrada EV]])</f>
        <v>0</v>
      </c>
      <c r="AV68" s="22">
        <f>SUMIFS(estoque[quantidade],estoque[fornecedor],"&lt;&gt;saída",estoque[produto],preçodiario[[#Headers],[OVO VERMELHO EXTRA]],estoque[data],preçodiario[[#This Row],[data]])</f>
        <v>0</v>
      </c>
      <c r="AW68" s="20">
        <f>SUMIFS(estoque[valor total],estoque[fornecedor],"&lt;&gt;saída",estoque[produto],preçodiario[[#Headers],[OVO VERMELHO EXTRA]],estoque[data],preçodiario[[#This Row],[data]])</f>
        <v>0</v>
      </c>
      <c r="AX68" s="20">
        <f>IFERROR(preçodiario[[#This Row],[OVO VERMELHO EXTRA]]*preçodiario[[#This Row],[estoque EV]],0)</f>
        <v>0</v>
      </c>
      <c r="AY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Row],[data]])),((AY67*AZ67)+SUMIFS(estoque[valor total],estoque[produto],preçodiario[[#Headers],[OVO VERMELHO JUMBO]],estoque[data],preçodiario[[#This Row],[data]],estoque[fornecedor],"&lt;&gt;saída"))/(AZ67+(SUMIFS(estoque[quantidade],estoque[produto],preçodiario[[#Headers],[OVO VERMELHO JUMBO]],estoque[fornecedor],"&lt;&gt;saída",estoque[data],preçodiario[[#This Row],[data]])))))</f>
        <v/>
      </c>
      <c r="AZ68" s="22">
        <f>IF(preçodiario[[#This Row],[entrada JV]]=0,AZ67-(SUMIFS(estoque[quantidade],estoque[fornecedor],"saída",estoque[produto],preçodiario[[#Headers],[OVO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Row],[data]]))+AZ67+preçodiario[[#This Row],[entrada JV]])</f>
        <v>0</v>
      </c>
      <c r="BA68" s="22">
        <f>SUMIFS(estoque[quantidade],estoque[fornecedor],"&lt;&gt;saída",estoque[produto],preçodiario[[#Headers],[OVO VERMELHO JUMBO]],estoque[data],preçodiario[[#This Row],[data]])</f>
        <v>0</v>
      </c>
      <c r="BB68" s="20">
        <f>SUMIFS(estoque[valor total],estoque[fornecedor],"&lt;&gt;saída",estoque[produto],preçodiario[[#Headers],[OVO VERMELHO JUMBO]],estoque[data],preçodiario[[#This Row],[data]])</f>
        <v>0</v>
      </c>
      <c r="BC68" s="20">
        <f>IFERROR(preçodiario[[#This Row],[OVO VERMELHO JUMBO]]*preçodiario[[#This Row],[estoque JV]],0)</f>
        <v>0</v>
      </c>
      <c r="BD68" t="str">
        <f>TEXT(vendaAno[[#This Row],[data]],"mmm")</f>
        <v>mar</v>
      </c>
      <c r="BE68" t="str">
        <f>TEXT(vendaAno[[#This Row],[data]],"ddd")</f>
        <v>dom</v>
      </c>
      <c r="BF68" s="82">
        <f>WEEKNUM(vendaAno[[#This Row],[data]],13)</f>
        <v>10</v>
      </c>
      <c r="BG68" s="27">
        <f>preçodiario[[#This Row],[data]]</f>
        <v>46089</v>
      </c>
      <c r="BH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8" s="8">
        <f>IF(SUMIFS(estoque[valor total],estoque[fornecedor],"saída",estoque[data],vendaAno[[#This Row],[data]])=0,"",SUMIFS(estoque[valor total],estoque[fornecedor],"saída",estoque[data],vendaAno[[#This Row],[data]]))</f>
        <v>370</v>
      </c>
      <c r="BJ6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Row],[data]]))/12+BJ67,"")</f>
        <v>40.249999999999964</v>
      </c>
      <c r="BK68" s="79">
        <f ca="1">IF(TODAY()&gt;=vendaAno[[#This Row],[data]],IF(SUMIFS(estoque[quantidade],estoque[fornecedor],"saída",estoque[data],vendaAno[[#This Row],[data]])/12=0,AVERAGE(BK65:BK67),SUMIFS(estoque[quantidade],estoque[fornecedor],"saída",estoque[data],vendaAno[[#This Row],[data]])/12),"")</f>
        <v>1.75</v>
      </c>
      <c r="BL68" s="8">
        <f ca="1">IF(vendaAno[[#This Row],[data]]&lt;=TODAY(),IF(SUMIFS(estoque[lucro],estoque[fornecedor],"saída",estoque[data],vendaAno[[#This Row],[data]])=0,AVERAGE(BL65:BL67),SUMIFS(estoque[lucro],estoque[fornecedor],"saída",estoque[data],vendaAno[[#This Row],[data]])),"")</f>
        <v>72.319999999999993</v>
      </c>
      <c r="BM68" s="10">
        <f ca="1">IFERROR(vendaAno[[#This Row],[lucro]]/vendaAno[[#This Row],[valor de venda]],"")</f>
        <v>0.19545945945945944</v>
      </c>
      <c r="BN6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6491.7625790128604</v>
      </c>
      <c r="BO68" s="8">
        <f ca="1">IF(TODAY()&gt;=vendaAno[[#This Row],[data]],IF(vendaAno[[#This Row],[N°]]=BF67,vendaAno[[#This Row],[lucro]]-173.33+BO67,vendaAno[[#This Row],[lucro]]-150),"")</f>
        <v>-297.28000000000003</v>
      </c>
      <c r="BP68" s="81">
        <f ca="1">IF(TODAY()&gt;=vendaAno[[#This Row],[data]],SUM(BK62:BK68)*12,"")</f>
        <v>219</v>
      </c>
      <c r="BQ68" s="7">
        <f ca="1">IFERROR(vendaAno[[#This Row],[lucro]]/(vendaAno[[#This Row],[venda]]*12),"")</f>
        <v>3.4438095238095237</v>
      </c>
      <c r="CD68" s="7"/>
    </row>
    <row r="69" spans="1:82" x14ac:dyDescent="0.25">
      <c r="A6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69" s="18" t="str">
        <f>TEXT(preçodiario[[#This Row],[data]],"MMM")</f>
        <v>mar</v>
      </c>
      <c r="C69" s="18" t="str">
        <f>TEXT(preçodiario[[#This Row],[data]],"ddd")</f>
        <v>seg</v>
      </c>
      <c r="D69" s="96">
        <f>WEEKNUM(preçodiario[[#This Row],[data]],13)</f>
        <v>10</v>
      </c>
      <c r="E69" s="37">
        <v>46090</v>
      </c>
      <c r="F6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Row],[data]])),((F68*G68)+SUMIFS(estoque[valor total],estoque[produto],preçodiario[[#Headers],[OVO BRANCO A]],estoque[data],preçodiario[[#This Row],[data]],estoque[fornecedor],"&lt;&gt;saída"))/(G68+(SUMIFS(estoque[quantidade],estoque[produto],preçodiario[[#Headers],[OVO BRANCO A]],estoque[fornecedor],"&lt;&gt;saída",estoque[data],preçodiario[[#This Row],[data]])))))</f>
        <v>13.75</v>
      </c>
      <c r="G69" s="22">
        <f>IF(preçodiario[[#This Row],[entrada A]]=0,G68-(SUMIFS(estoque[quantidade],estoque[fornecedor],"saída",estoque[produto],preçodiario[[#Headers],[OVO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Row],[data]]))+G68+preçodiario[[#This Row],[entrada A]])</f>
        <v>12</v>
      </c>
      <c r="H69" s="22">
        <f>SUMIFS(estoque[quantidade],estoque[fornecedor],"&lt;&gt;saída",estoque[produto],preçodiario[[#Headers],[OVO BRANCO A]],estoque[data],preçodiario[[#This Row],[data]])</f>
        <v>0</v>
      </c>
      <c r="I69" s="20">
        <f>SUMIFS(estoque[valor total],estoque[fornecedor],"&lt;&gt;saída",estoque[produto],preçodiario[[#Headers],[OVO BRANCO A]],estoque[data],preçodiario[[#This Row],[data]])</f>
        <v>0</v>
      </c>
      <c r="J69" s="20">
        <f>IFERROR(preçodiario[[#This Row],[estoque A]]*preçodiario[[#This Row],[OVO BRANCO A]],0)</f>
        <v>165</v>
      </c>
      <c r="K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Row],[data]])),((K68*L68)+SUMIFS(estoque[valor total],estoque[produto],preçodiario[[#Headers],[OVO BRANCO B]],estoque[data],preçodiario[[#This Row],[data]],estoque[fornecedor],"&lt;&gt;saída"))/(L68+(SUMIFS(estoque[quantidade],estoque[produto],preçodiario[[#Headers],[OVO BRANCO B]],estoque[fornecedor],"&lt;&gt;saída",estoque[data],preçodiario[[#This Row],[data]])))))</f>
        <v>12.916666666666666</v>
      </c>
      <c r="L69" s="22">
        <f>IF(preçodiario[[#This Row],[entrada B]]=0,L68-(SUMIFS(estoque[quantidade],estoque[fornecedor],"saída",estoque[produto],preçodiario[[#Headers],[OVO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Row],[data]]))+L68+preçodiario[[#This Row],[entrada B]])</f>
        <v>152</v>
      </c>
      <c r="M69" s="22">
        <f>SUMIFS(estoque[quantidade],estoque[fornecedor],"&lt;&gt;saída",estoque[produto],preçodiario[[#Headers],[OVO BRANCO B]],estoque[data],preçodiario[[#This Row],[data]])</f>
        <v>0</v>
      </c>
      <c r="N69" s="20">
        <f>SUMIFS(estoque[valor total],estoque[fornecedor],"&lt;&gt;saída",estoque[produto],preçodiario[[#Headers],[OVO BRANCO B]],estoque[data],preçodiario[[#This Row],[data]])</f>
        <v>0</v>
      </c>
      <c r="O69" s="20">
        <f>IFERROR(preçodiario[[#This Row],[OVO BRANCO B]]*preçodiario[[#This Row],[estoque B]],0)</f>
        <v>1963.3333333333333</v>
      </c>
      <c r="P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Row],[data]])),((P68*Q68)+SUMIFS(estoque[valor total],estoque[produto],preçodiario[[#Headers],[OVO BRANCO C]],estoque[data],preçodiario[[#This Row],[data]],estoque[fornecedor],"&lt;&gt;saída"))/(Q68+(SUMIFS(estoque[quantidade],estoque[produto],preçodiario[[#Headers],[OVO BRANCO C]],estoque[fornecedor],"&lt;&gt;saída",estoque[data],preçodiario[[#This Row],[data]])))))</f>
        <v>11.583333333333334</v>
      </c>
      <c r="Q69" s="22">
        <f>IF(preçodiario[[#This Row],[entrada C]]=0,Q68-(SUMIFS(estoque[quantidade],estoque[fornecedor],"saída",estoque[produto],preçodiario[[#Headers],[OVO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Row],[data]]))+Q68+preçodiario[[#This Row],[entrada C]])</f>
        <v>113</v>
      </c>
      <c r="R69" s="22">
        <f>SUMIFS(estoque[quantidade],estoque[fornecedor],"&lt;&gt;saída",estoque[produto],preçodiario[[#Headers],[OVO BRANCO C]],estoque[data],preçodiario[[#This Row],[data]])</f>
        <v>0</v>
      </c>
      <c r="S69" s="20">
        <f>SUMIFS(estoque[valor total],estoque[fornecedor],"&lt;&gt;saída",estoque[produto],preçodiario[[#Headers],[OVO BRANCO C]],estoque[data],preçodiario[[#This Row],[data]])</f>
        <v>0</v>
      </c>
      <c r="T69" s="20">
        <f>IFERROR(preçodiario[[#This Row],[OVO BRANCO C]]*preçodiario[[#This Row],[estoque C]],0)</f>
        <v>1308.9166666666667</v>
      </c>
      <c r="U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Row],[data]])),((U68*V68)+SUMIFS(estoque[valor total],estoque[produto],preçodiario[[#Headers],[OVO BRANCO EXTRA]],estoque[data],preçodiario[[#This Row],[data]],estoque[fornecedor],"&lt;&gt;saída"))/(V68+(SUMIFS(estoque[quantidade],estoque[produto],preçodiario[[#Headers],[OVO BRANCO EXTRA]],estoque[fornecedor],"&lt;&gt;saída",estoque[data],preçodiario[[#This Row],[data]])))))</f>
        <v>14.620295014991903</v>
      </c>
      <c r="V69" s="22">
        <f>IF(preçodiario[[#This Row],[entrada E]]=0,V68-(SUMIFS(estoque[quantidade],estoque[fornecedor],"saída",estoque[produto],preçodiario[[#Headers],[OVO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Row],[data]]))+V68+preçodiario[[#This Row],[entrada E]])</f>
        <v>84</v>
      </c>
      <c r="W69" s="22">
        <f>SUMIFS(estoque[quantidade],estoque[fornecedor],"&lt;&gt;saída",estoque[produto],preçodiario[[#Headers],[OVO BRANCO EXTRA]],estoque[data],preçodiario[[#This Row],[data]])</f>
        <v>0</v>
      </c>
      <c r="X69" s="20">
        <f>SUMIFS(estoque[valor total],estoque[fornecedor],"&lt;&gt;saída",estoque[produto],preçodiario[[#Headers],[OVO BRANCO EXTRA]],estoque[data],preçodiario[[#This Row],[data]])</f>
        <v>0</v>
      </c>
      <c r="Y69" s="20">
        <f>IFERROR(preçodiario[[#This Row],[estoque E]]*preçodiario[[#This Row],[OVO BRANCO EXTRA]],0)</f>
        <v>1228.1047812593199</v>
      </c>
      <c r="Z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Row],[data]])),((Z68*AA68)+SUMIFS(estoque[valor total],estoque[produto],preçodiario[[#Headers],[OVO BRANCO JUMBO]],estoque[data],preçodiario[[#This Row],[data]],estoque[fornecedor],"&lt;&gt;saída"))/(AA68+(SUMIFS(estoque[quantidade],estoque[produto],preçodiario[[#Headers],[OVO BRANCO JUMBO]],estoque[fornecedor],"&lt;&gt;saída",estoque[data],preçodiario[[#This Row],[data]])))))</f>
        <v>15.422235769503297</v>
      </c>
      <c r="AA69" s="22">
        <f>IF(preçodiario[[#This Row],[entrada J]]=0,AA68-(SUMIFS(estoque[quantidade],estoque[fornecedor],"saída",estoque[produto],preçodiario[[#Headers],[OVO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Row],[data]]))+AA68+preçodiario[[#This Row],[entrada J]])</f>
        <v>78</v>
      </c>
      <c r="AB69" s="22">
        <f>SUMIFS(estoque[quantidade],estoque[fornecedor],"&lt;&gt;saída",estoque[produto],preçodiario[[#Headers],[OVO BRANCO JUMBO]],estoque[data],preçodiario[[#This Row],[data]])</f>
        <v>0</v>
      </c>
      <c r="AC69" s="20">
        <f>SUMIFS(estoque[valor total],estoque[fornecedor],"&lt;&gt;saída",estoque[produto],preçodiario[[#Headers],[OVO BRANCO JUMBO]],estoque[data],preçodiario[[#This Row],[data]])</f>
        <v>0</v>
      </c>
      <c r="AD69" s="20">
        <f>IFERROR(preçodiario[[#This Row],[OVO BRANCO JUMBO]]*preçodiario[[#This Row],[estoque J]],0)</f>
        <v>1202.9343900212573</v>
      </c>
      <c r="AE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Row],[data]])),((AE68*AF68)+SUMIFS(estoque[valor total],estoque[produto],preçodiario[[#Headers],[OVO VERMELHO A]],estoque[data],preçodiario[[#This Row],[data]],estoque[fornecedor],"&lt;&gt;saída"))/(AF68+(SUMIFS(estoque[quantidade],estoque[produto],preçodiario[[#Headers],[OVO VERMELHO A]],estoque[fornecedor],"&lt;&gt;saída",estoque[data],preçodiario[[#This Row],[data]])))))</f>
        <v/>
      </c>
      <c r="AF69" s="22">
        <f>IF(preçodiario[[#This Row],[entrada AV]]=0,AF68-(SUMIFS(estoque[quantidade],estoque[fornecedor],"saída",estoque[produto],preçodiario[[#Headers],[OVO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Row],[data]]))+AF68+preçodiario[[#This Row],[entrada AV]])</f>
        <v>0</v>
      </c>
      <c r="AG69" s="22">
        <f>SUMIFS(estoque[quantidade],estoque[fornecedor],"&lt;&gt;saída",estoque[produto],preçodiario[[#Headers],[OVO VERMELHO A]],estoque[data],preçodiario[[#This Row],[data]])</f>
        <v>0</v>
      </c>
      <c r="AH69" s="20">
        <f>SUMIFS(estoque[valor total],estoque[fornecedor],"&lt;&gt;saída",estoque[produto],preçodiario[[#Headers],[OVO VERMELHO A]],estoque[data],preçodiario[[#This Row],[data]])</f>
        <v>0</v>
      </c>
      <c r="AI69" s="20">
        <f>IFERROR(preçodiario[[#This Row],[OVO VERMELHO A]]*preçodiario[[#This Row],[estoque AV]],0)</f>
        <v>0</v>
      </c>
      <c r="AJ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Row],[data]])),((AJ68*AK68)+SUMIFS(estoque[valor total],estoque[produto],preçodiario[[#Headers],[OVO VERMELHO B]],estoque[data],preçodiario[[#This Row],[data]],estoque[fornecedor],"&lt;&gt;saída"))/(AK68+(SUMIFS(estoque[quantidade],estoque[produto],preçodiario[[#Headers],[OVO VERMELHO B]],estoque[fornecedor],"&lt;&gt;saída",estoque[data],preçodiario[[#This Row],[data]])))))</f>
        <v/>
      </c>
      <c r="AK69" s="22">
        <f>IF(preçodiario[[#This Row],[entrada BV]]=0,AK68-(SUMIFS(estoque[quantidade],estoque[fornecedor],"saída",estoque[produto],preçodiario[[#Headers],[OVO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Row],[data]]))+AK68+preçodiario[[#This Row],[entrada BV]])</f>
        <v>0</v>
      </c>
      <c r="AL69" s="22">
        <f>SUMIFS(estoque[quantidade],estoque[fornecedor],"&lt;&gt;saída",estoque[produto],preçodiario[[#Headers],[OVO VERMELHO B]],estoque[data],preçodiario[[#This Row],[data]])</f>
        <v>0</v>
      </c>
      <c r="AM69" s="20">
        <f>SUMIFS(estoque[valor total],estoque[fornecedor],"&lt;&gt;saída",estoque[produto],preçodiario[[#Headers],[OVO VERMELHO B]],estoque[data],preçodiario[[#This Row],[data]])</f>
        <v>0</v>
      </c>
      <c r="AN69" s="20">
        <f>IFERROR(preçodiario[[#This Row],[OVO VERMELHO B]]*preçodiario[[#This Row],[estoque BV]],0)</f>
        <v>0</v>
      </c>
      <c r="AO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Row],[data]])),((AO68*AP68)+SUMIFS(estoque[valor total],estoque[produto],preçodiario[[#Headers],[OVO VERMELHO C]],estoque[data],preçodiario[[#This Row],[data]],estoque[fornecedor],"&lt;&gt;saída"))/(AP68+(SUMIFS(estoque[quantidade],estoque[produto],preçodiario[[#Headers],[OVO VERMELHO C]],estoque[fornecedor],"&lt;&gt;saída",estoque[data],preçodiario[[#This Row],[data]])))))</f>
        <v/>
      </c>
      <c r="AP69" s="22">
        <f>IF(preçodiario[[#This Row],[entrada CV]]=0,AP68-(SUMIFS(estoque[quantidade],estoque[fornecedor],"saída",estoque[produto],preçodiario[[#Headers],[OVO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Row],[data]]))+AP68+preçodiario[[#This Row],[entrada CV]])</f>
        <v>0</v>
      </c>
      <c r="AQ69" s="22">
        <f>SUMIFS(estoque[quantidade],estoque[fornecedor],"&lt;&gt;saída",estoque[produto],preçodiario[[#Headers],[OVO VERMELHO C]],estoque[data],preçodiario[[#This Row],[data]])</f>
        <v>0</v>
      </c>
      <c r="AR69" s="20">
        <f>SUMIFS(estoque[valor total],estoque[fornecedor],"&lt;&gt;saída",estoque[produto],preçodiario[[#Headers],[OVO VERMELHO C]],estoque[data],preçodiario[[#This Row],[data]])</f>
        <v>0</v>
      </c>
      <c r="AS69" s="20">
        <f>IFERROR(preçodiario[[#This Row],[OVO VERMELHO C]]*preçodiario[[#This Row],[estoque CV]],0)</f>
        <v>0</v>
      </c>
      <c r="AT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Row],[data]])),((AT68*AU68)+SUMIFS(estoque[valor total],estoque[produto],preçodiario[[#Headers],[OVO VERMELHO EXTRA]],estoque[data],preçodiario[[#This Row],[data]],estoque[fornecedor],"&lt;&gt;saída"))/(AU68+(SUMIFS(estoque[quantidade],estoque[produto],preçodiario[[#Headers],[OVO VERMELHO EXTRA]],estoque[fornecedor],"&lt;&gt;saída",estoque[data],preçodiario[[#This Row],[data]])))))</f>
        <v/>
      </c>
      <c r="AU69" s="22">
        <f>IF(preçodiario[[#This Row],[entrada EV]]=0,AU68-(SUMIFS(estoque[quantidade],estoque[fornecedor],"saída",estoque[produto],preçodiario[[#Headers],[OVO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Row],[data]]))+AU68+preçodiario[[#This Row],[entrada EV]])</f>
        <v>0</v>
      </c>
      <c r="AV69" s="22">
        <f>SUMIFS(estoque[quantidade],estoque[fornecedor],"&lt;&gt;saída",estoque[produto],preçodiario[[#Headers],[OVO VERMELHO EXTRA]],estoque[data],preçodiario[[#This Row],[data]])</f>
        <v>0</v>
      </c>
      <c r="AW69" s="20">
        <f>SUMIFS(estoque[valor total],estoque[fornecedor],"&lt;&gt;saída",estoque[produto],preçodiario[[#Headers],[OVO VERMELHO EXTRA]],estoque[data],preçodiario[[#This Row],[data]])</f>
        <v>0</v>
      </c>
      <c r="AX69" s="20">
        <f>IFERROR(preçodiario[[#This Row],[OVO VERMELHO EXTRA]]*preçodiario[[#This Row],[estoque EV]],0)</f>
        <v>0</v>
      </c>
      <c r="AY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Row],[data]])),((AY68*AZ68)+SUMIFS(estoque[valor total],estoque[produto],preçodiario[[#Headers],[OVO VERMELHO JUMBO]],estoque[data],preçodiario[[#This Row],[data]],estoque[fornecedor],"&lt;&gt;saída"))/(AZ68+(SUMIFS(estoque[quantidade],estoque[produto],preçodiario[[#Headers],[OVO VERMELHO JUMBO]],estoque[fornecedor],"&lt;&gt;saída",estoque[data],preçodiario[[#This Row],[data]])))))</f>
        <v/>
      </c>
      <c r="AZ69" s="22">
        <f>IF(preçodiario[[#This Row],[entrada JV]]=0,AZ68-(SUMIFS(estoque[quantidade],estoque[fornecedor],"saída",estoque[produto],preçodiario[[#Headers],[OVO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Row],[data]]))+AZ68+preçodiario[[#This Row],[entrada JV]])</f>
        <v>0</v>
      </c>
      <c r="BA69" s="22">
        <f>SUMIFS(estoque[quantidade],estoque[fornecedor],"&lt;&gt;saída",estoque[produto],preçodiario[[#Headers],[OVO VERMELHO JUMBO]],estoque[data],preçodiario[[#This Row],[data]])</f>
        <v>0</v>
      </c>
      <c r="BB69" s="20">
        <f>SUMIFS(estoque[valor total],estoque[fornecedor],"&lt;&gt;saída",estoque[produto],preçodiario[[#Headers],[OVO VERMELHO JUMBO]],estoque[data],preçodiario[[#This Row],[data]])</f>
        <v>0</v>
      </c>
      <c r="BC69" s="20">
        <f>IFERROR(preçodiario[[#This Row],[OVO VERMELHO JUMBO]]*preçodiario[[#This Row],[estoque JV]],0)</f>
        <v>0</v>
      </c>
      <c r="BD69" t="str">
        <f>TEXT(vendaAno[[#This Row],[data]],"mmm")</f>
        <v>mar</v>
      </c>
      <c r="BE69" t="str">
        <f>TEXT(vendaAno[[#This Row],[data]],"ddd")</f>
        <v>seg</v>
      </c>
      <c r="BF69" s="82">
        <f>WEEKNUM(vendaAno[[#This Row],[data]],13)</f>
        <v>10</v>
      </c>
      <c r="BG69" s="27">
        <f>preçodiario[[#This Row],[data]]</f>
        <v>46090</v>
      </c>
      <c r="BH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69" s="8">
        <f>IF(SUMIFS(estoque[valor total],estoque[fornecedor],"saída",estoque[data],vendaAno[[#This Row],[data]])=0,"",SUMIFS(estoque[valor total],estoque[fornecedor],"saída",estoque[data],vendaAno[[#This Row],[data]]))</f>
        <v>756</v>
      </c>
      <c r="BJ6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Row],[data]]))/12+BJ68,"")</f>
        <v>36.5833333333333</v>
      </c>
      <c r="BK69" s="79">
        <f ca="1">IF(TODAY()&gt;=vendaAno[[#This Row],[data]],IF(SUMIFS(estoque[quantidade],estoque[fornecedor],"saída",estoque[data],vendaAno[[#This Row],[data]])/12=0,AVERAGE(BK66:BK68),SUMIFS(estoque[quantidade],estoque[fornecedor],"saída",estoque[data],vendaAno[[#This Row],[data]])/12),"")</f>
        <v>3.6666666666666665</v>
      </c>
      <c r="BL69" s="8">
        <f ca="1">IF(vendaAno[[#This Row],[data]]&lt;=TODAY(),IF(SUMIFS(estoque[lucro],estoque[fornecedor],"saída",estoque[data],vendaAno[[#This Row],[data]])=0,AVERAGE(BL66:BL68),SUMIFS(estoque[lucro],estoque[fornecedor],"saída",estoque[data],vendaAno[[#This Row],[data]])),"")</f>
        <v>132.53</v>
      </c>
      <c r="BM69" s="10">
        <f ca="1">IFERROR(vendaAno[[#This Row],[lucro]]/vendaAno[[#This Row],[valor de venda]],"")</f>
        <v>0.1753042328042328</v>
      </c>
      <c r="BN6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5868.2891712805767</v>
      </c>
      <c r="BO69" s="8">
        <f ca="1">IF(TODAY()&gt;=vendaAno[[#This Row],[data]],IF(vendaAno[[#This Row],[N°]]=BF68,vendaAno[[#This Row],[lucro]]-173.33+BO68,vendaAno[[#This Row],[lucro]]-150),"")</f>
        <v>-338.08000000000004</v>
      </c>
      <c r="BP69" s="81">
        <f ca="1">IF(TODAY()&gt;=vendaAno[[#This Row],[data]],SUM(BK63:BK69)*12,"")</f>
        <v>212</v>
      </c>
      <c r="BQ69" s="7">
        <f ca="1">IFERROR(vendaAno[[#This Row],[lucro]]/(vendaAno[[#This Row],[venda]]*12),"")</f>
        <v>3.0120454545454547</v>
      </c>
      <c r="CD69" s="7"/>
    </row>
    <row r="70" spans="1:82" x14ac:dyDescent="0.25">
      <c r="A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70" s="18" t="str">
        <f>TEXT(preçodiario[[#This Row],[data]],"MMM")</f>
        <v>mar</v>
      </c>
      <c r="C70" s="18" t="str">
        <f>TEXT(preçodiario[[#This Row],[data]],"ddd")</f>
        <v>ter</v>
      </c>
      <c r="D70" s="96">
        <f>WEEKNUM(preçodiario[[#This Row],[data]],13)</f>
        <v>10</v>
      </c>
      <c r="E70" s="37">
        <v>46091</v>
      </c>
      <c r="F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Row],[data]])),((F69*G69)+SUMIFS(estoque[valor total],estoque[produto],preçodiario[[#Headers],[OVO BRANCO A]],estoque[data],preçodiario[[#This Row],[data]],estoque[fornecedor],"&lt;&gt;saída"))/(G69+(SUMIFS(estoque[quantidade],estoque[produto],preçodiario[[#Headers],[OVO BRANCO A]],estoque[fornecedor],"&lt;&gt;saída",estoque[data],preçodiario[[#This Row],[data]])))))</f>
        <v>13.75</v>
      </c>
      <c r="G70" s="22">
        <f>IF(preçodiario[[#This Row],[entrada A]]=0,G69-(SUMIFS(estoque[quantidade],estoque[fornecedor],"saída",estoque[produto],preçodiario[[#Headers],[OVO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Row],[data]]))+G69+preçodiario[[#This Row],[entrada A]])</f>
        <v>6</v>
      </c>
      <c r="H70" s="22">
        <f>SUMIFS(estoque[quantidade],estoque[fornecedor],"&lt;&gt;saída",estoque[produto],preçodiario[[#Headers],[OVO BRANCO A]],estoque[data],preçodiario[[#This Row],[data]])</f>
        <v>0</v>
      </c>
      <c r="I70" s="20">
        <f>SUMIFS(estoque[valor total],estoque[fornecedor],"&lt;&gt;saída",estoque[produto],preçodiario[[#Headers],[OVO BRANCO A]],estoque[data],preçodiario[[#This Row],[data]])</f>
        <v>0</v>
      </c>
      <c r="J70" s="20">
        <f>IFERROR(preçodiario[[#This Row],[estoque A]]*preçodiario[[#This Row],[OVO BRANCO A]],0)</f>
        <v>82.5</v>
      </c>
      <c r="K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Row],[data]])),((K69*L69)+SUMIFS(estoque[valor total],estoque[produto],preçodiario[[#Headers],[OVO BRANCO B]],estoque[data],preçodiario[[#This Row],[data]],estoque[fornecedor],"&lt;&gt;saída"))/(L69+(SUMIFS(estoque[quantidade],estoque[produto],preçodiario[[#Headers],[OVO BRANCO B]],estoque[fornecedor],"&lt;&gt;saída",estoque[data],preçodiario[[#This Row],[data]])))))</f>
        <v>12.916666666666666</v>
      </c>
      <c r="L70" s="22">
        <f>IF(preçodiario[[#This Row],[entrada B]]=0,L69-(SUMIFS(estoque[quantidade],estoque[fornecedor],"saída",estoque[produto],preçodiario[[#Headers],[OVO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Row],[data]]))+L69+preçodiario[[#This Row],[entrada B]])</f>
        <v>117</v>
      </c>
      <c r="M70" s="22">
        <f>SUMIFS(estoque[quantidade],estoque[fornecedor],"&lt;&gt;saída",estoque[produto],preçodiario[[#Headers],[OVO BRANCO B]],estoque[data],preçodiario[[#This Row],[data]])</f>
        <v>0</v>
      </c>
      <c r="N70" s="20">
        <f>SUMIFS(estoque[valor total],estoque[fornecedor],"&lt;&gt;saída",estoque[produto],preçodiario[[#Headers],[OVO BRANCO B]],estoque[data],preçodiario[[#This Row],[data]])</f>
        <v>0</v>
      </c>
      <c r="O70" s="20">
        <f>IFERROR(preçodiario[[#This Row],[OVO BRANCO B]]*preçodiario[[#This Row],[estoque B]],0)</f>
        <v>1511.25</v>
      </c>
      <c r="P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Row],[data]])),((P69*Q69)+SUMIFS(estoque[valor total],estoque[produto],preçodiario[[#Headers],[OVO BRANCO C]],estoque[data],preçodiario[[#This Row],[data]],estoque[fornecedor],"&lt;&gt;saída"))/(Q69+(SUMIFS(estoque[quantidade],estoque[produto],preçodiario[[#Headers],[OVO BRANCO C]],estoque[fornecedor],"&lt;&gt;saída",estoque[data],preçodiario[[#This Row],[data]])))))</f>
        <v>11.583333333333334</v>
      </c>
      <c r="Q70" s="22">
        <f>IF(preçodiario[[#This Row],[entrada C]]=0,Q69-(SUMIFS(estoque[quantidade],estoque[fornecedor],"saída",estoque[produto],preçodiario[[#Headers],[OVO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Row],[data]]))+Q69+preçodiario[[#This Row],[entrada C]])</f>
        <v>111</v>
      </c>
      <c r="R70" s="22">
        <f>SUMIFS(estoque[quantidade],estoque[fornecedor],"&lt;&gt;saída",estoque[produto],preçodiario[[#Headers],[OVO BRANCO C]],estoque[data],preçodiario[[#This Row],[data]])</f>
        <v>0</v>
      </c>
      <c r="S70" s="20">
        <f>SUMIFS(estoque[valor total],estoque[fornecedor],"&lt;&gt;saída",estoque[produto],preçodiario[[#Headers],[OVO BRANCO C]],estoque[data],preçodiario[[#This Row],[data]])</f>
        <v>0</v>
      </c>
      <c r="T70" s="20">
        <f>IFERROR(preçodiario[[#This Row],[OVO BRANCO C]]*preçodiario[[#This Row],[estoque C]],0)</f>
        <v>1285.75</v>
      </c>
      <c r="U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Row],[data]])),((U69*V69)+SUMIFS(estoque[valor total],estoque[produto],preçodiario[[#Headers],[OVO BRANCO EXTRA]],estoque[data],preçodiario[[#This Row],[data]],estoque[fornecedor],"&lt;&gt;saída"))/(V69+(SUMIFS(estoque[quantidade],estoque[produto],preçodiario[[#Headers],[OVO BRANCO EXTRA]],estoque[fornecedor],"&lt;&gt;saída",estoque[data],preçodiario[[#This Row],[data]])))))</f>
        <v>14.620295014991903</v>
      </c>
      <c r="V70" s="22">
        <f>IF(preçodiario[[#This Row],[entrada E]]=0,V69-(SUMIFS(estoque[quantidade],estoque[fornecedor],"saída",estoque[produto],preçodiario[[#Headers],[OVO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Row],[data]]))+V69+preçodiario[[#This Row],[entrada E]])</f>
        <v>75</v>
      </c>
      <c r="W70" s="22">
        <f>SUMIFS(estoque[quantidade],estoque[fornecedor],"&lt;&gt;saída",estoque[produto],preçodiario[[#Headers],[OVO BRANCO EXTRA]],estoque[data],preçodiario[[#This Row],[data]])</f>
        <v>0</v>
      </c>
      <c r="X70" s="20">
        <f>SUMIFS(estoque[valor total],estoque[fornecedor],"&lt;&gt;saída",estoque[produto],preçodiario[[#Headers],[OVO BRANCO EXTRA]],estoque[data],preçodiario[[#This Row],[data]])</f>
        <v>0</v>
      </c>
      <c r="Y70" s="20">
        <f>IFERROR(preçodiario[[#This Row],[estoque E]]*preçodiario[[#This Row],[OVO BRANCO EXTRA]],0)</f>
        <v>1096.5221261243928</v>
      </c>
      <c r="Z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Row],[data]])),((Z69*AA69)+SUMIFS(estoque[valor total],estoque[produto],preçodiario[[#Headers],[OVO BRANCO JUMBO]],estoque[data],preçodiario[[#This Row],[data]],estoque[fornecedor],"&lt;&gt;saída"))/(AA69+(SUMIFS(estoque[quantidade],estoque[produto],preçodiario[[#Headers],[OVO BRANCO JUMBO]],estoque[fornecedor],"&lt;&gt;saída",estoque[data],preçodiario[[#This Row],[data]])))))</f>
        <v>15.422235769503299</v>
      </c>
      <c r="AA70" s="22">
        <f>IF(preçodiario[[#This Row],[entrada J]]=0,AA69-(SUMIFS(estoque[quantidade],estoque[fornecedor],"saída",estoque[produto],preçodiario[[#Headers],[OVO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Row],[data]]))+AA69+preçodiario[[#This Row],[entrada J]])</f>
        <v>69</v>
      </c>
      <c r="AB70" s="22">
        <f>SUMIFS(estoque[quantidade],estoque[fornecedor],"&lt;&gt;saída",estoque[produto],preçodiario[[#Headers],[OVO BRANCO JUMBO]],estoque[data],preçodiario[[#This Row],[data]])</f>
        <v>0</v>
      </c>
      <c r="AC70" s="20">
        <f>SUMIFS(estoque[valor total],estoque[fornecedor],"&lt;&gt;saída",estoque[produto],preçodiario[[#Headers],[OVO BRANCO JUMBO]],estoque[data],preçodiario[[#This Row],[data]])</f>
        <v>0</v>
      </c>
      <c r="AD70" s="20">
        <f>IFERROR(preçodiario[[#This Row],[OVO BRANCO JUMBO]]*preçodiario[[#This Row],[estoque J]],0)</f>
        <v>1064.1342680957275</v>
      </c>
      <c r="AE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Row],[data]])),((AE69*AF69)+SUMIFS(estoque[valor total],estoque[produto],preçodiario[[#Headers],[OVO VERMELHO A]],estoque[data],preçodiario[[#This Row],[data]],estoque[fornecedor],"&lt;&gt;saída"))/(AF69+(SUMIFS(estoque[quantidade],estoque[produto],preçodiario[[#Headers],[OVO VERMELHO A]],estoque[fornecedor],"&lt;&gt;saída",estoque[data],preçodiario[[#This Row],[data]])))))</f>
        <v/>
      </c>
      <c r="AF70" s="22">
        <f>IF(preçodiario[[#This Row],[entrada AV]]=0,AF69-(SUMIFS(estoque[quantidade],estoque[fornecedor],"saída",estoque[produto],preçodiario[[#Headers],[OVO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Row],[data]]))+AF69+preçodiario[[#This Row],[entrada AV]])</f>
        <v>0</v>
      </c>
      <c r="AG70" s="22">
        <f>SUMIFS(estoque[quantidade],estoque[fornecedor],"&lt;&gt;saída",estoque[produto],preçodiario[[#Headers],[OVO VERMELHO A]],estoque[data],preçodiario[[#This Row],[data]])</f>
        <v>0</v>
      </c>
      <c r="AH70" s="20">
        <f>SUMIFS(estoque[valor total],estoque[fornecedor],"&lt;&gt;saída",estoque[produto],preçodiario[[#Headers],[OVO VERMELHO A]],estoque[data],preçodiario[[#This Row],[data]])</f>
        <v>0</v>
      </c>
      <c r="AI70" s="20">
        <f>IFERROR(preçodiario[[#This Row],[OVO VERMELHO A]]*preçodiario[[#This Row],[estoque AV]],0)</f>
        <v>0</v>
      </c>
      <c r="AJ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Row],[data]])),((AJ69*AK69)+SUMIFS(estoque[valor total],estoque[produto],preçodiario[[#Headers],[OVO VERMELHO B]],estoque[data],preçodiario[[#This Row],[data]],estoque[fornecedor],"&lt;&gt;saída"))/(AK69+(SUMIFS(estoque[quantidade],estoque[produto],preçodiario[[#Headers],[OVO VERMELHO B]],estoque[fornecedor],"&lt;&gt;saída",estoque[data],preçodiario[[#This Row],[data]])))))</f>
        <v/>
      </c>
      <c r="AK70" s="22">
        <f>IF(preçodiario[[#This Row],[entrada BV]]=0,AK69-(SUMIFS(estoque[quantidade],estoque[fornecedor],"saída",estoque[produto],preçodiario[[#Headers],[OVO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Row],[data]]))+AK69+preçodiario[[#This Row],[entrada BV]])</f>
        <v>0</v>
      </c>
      <c r="AL70" s="22">
        <f>SUMIFS(estoque[quantidade],estoque[fornecedor],"&lt;&gt;saída",estoque[produto],preçodiario[[#Headers],[OVO VERMELHO B]],estoque[data],preçodiario[[#This Row],[data]])</f>
        <v>0</v>
      </c>
      <c r="AM70" s="20">
        <f>SUMIFS(estoque[valor total],estoque[fornecedor],"&lt;&gt;saída",estoque[produto],preçodiario[[#Headers],[OVO VERMELHO B]],estoque[data],preçodiario[[#This Row],[data]])</f>
        <v>0</v>
      </c>
      <c r="AN70" s="20">
        <f>IFERROR(preçodiario[[#This Row],[OVO VERMELHO B]]*preçodiario[[#This Row],[estoque BV]],0)</f>
        <v>0</v>
      </c>
      <c r="AO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Row],[data]])),((AO69*AP69)+SUMIFS(estoque[valor total],estoque[produto],preçodiario[[#Headers],[OVO VERMELHO C]],estoque[data],preçodiario[[#This Row],[data]],estoque[fornecedor],"&lt;&gt;saída"))/(AP69+(SUMIFS(estoque[quantidade],estoque[produto],preçodiario[[#Headers],[OVO VERMELHO C]],estoque[fornecedor],"&lt;&gt;saída",estoque[data],preçodiario[[#This Row],[data]])))))</f>
        <v/>
      </c>
      <c r="AP70" s="22">
        <f>IF(preçodiario[[#This Row],[entrada CV]]=0,AP69-(SUMIFS(estoque[quantidade],estoque[fornecedor],"saída",estoque[produto],preçodiario[[#Headers],[OVO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Row],[data]]))+AP69+preçodiario[[#This Row],[entrada CV]])</f>
        <v>0</v>
      </c>
      <c r="AQ70" s="22">
        <f>SUMIFS(estoque[quantidade],estoque[fornecedor],"&lt;&gt;saída",estoque[produto],preçodiario[[#Headers],[OVO VERMELHO C]],estoque[data],preçodiario[[#This Row],[data]])</f>
        <v>0</v>
      </c>
      <c r="AR70" s="20">
        <f>SUMIFS(estoque[valor total],estoque[fornecedor],"&lt;&gt;saída",estoque[produto],preçodiario[[#Headers],[OVO VERMELHO C]],estoque[data],preçodiario[[#This Row],[data]])</f>
        <v>0</v>
      </c>
      <c r="AS70" s="20">
        <f>IFERROR(preçodiario[[#This Row],[OVO VERMELHO C]]*preçodiario[[#This Row],[estoque CV]],0)</f>
        <v>0</v>
      </c>
      <c r="AT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Row],[data]])),((AT69*AU69)+SUMIFS(estoque[valor total],estoque[produto],preçodiario[[#Headers],[OVO VERMELHO EXTRA]],estoque[data],preçodiario[[#This Row],[data]],estoque[fornecedor],"&lt;&gt;saída"))/(AU69+(SUMIFS(estoque[quantidade],estoque[produto],preçodiario[[#Headers],[OVO VERMELHO EXTRA]],estoque[fornecedor],"&lt;&gt;saída",estoque[data],preçodiario[[#This Row],[data]])))))</f>
        <v/>
      </c>
      <c r="AU70" s="22">
        <f>IF(preçodiario[[#This Row],[entrada EV]]=0,AU69-(SUMIFS(estoque[quantidade],estoque[fornecedor],"saída",estoque[produto],preçodiario[[#Headers],[OVO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Row],[data]]))+AU69+preçodiario[[#This Row],[entrada EV]])</f>
        <v>0</v>
      </c>
      <c r="AV70" s="22">
        <f>SUMIFS(estoque[quantidade],estoque[fornecedor],"&lt;&gt;saída",estoque[produto],preçodiario[[#Headers],[OVO VERMELHO EXTRA]],estoque[data],preçodiario[[#This Row],[data]])</f>
        <v>0</v>
      </c>
      <c r="AW70" s="20">
        <f>SUMIFS(estoque[valor total],estoque[fornecedor],"&lt;&gt;saída",estoque[produto],preçodiario[[#Headers],[OVO VERMELHO EXTRA]],estoque[data],preçodiario[[#This Row],[data]])</f>
        <v>0</v>
      </c>
      <c r="AX70" s="20">
        <f>IFERROR(preçodiario[[#This Row],[OVO VERMELHO EXTRA]]*preçodiario[[#This Row],[estoque EV]],0)</f>
        <v>0</v>
      </c>
      <c r="AY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Row],[data]])),((AY69*AZ69)+SUMIFS(estoque[valor total],estoque[produto],preçodiario[[#Headers],[OVO VERMELHO JUMBO]],estoque[data],preçodiario[[#This Row],[data]],estoque[fornecedor],"&lt;&gt;saída"))/(AZ69+(SUMIFS(estoque[quantidade],estoque[produto],preçodiario[[#Headers],[OVO VERMELHO JUMBO]],estoque[fornecedor],"&lt;&gt;saída",estoque[data],preçodiario[[#This Row],[data]])))))</f>
        <v/>
      </c>
      <c r="AZ70" s="22">
        <f>IF(preçodiario[[#This Row],[entrada JV]]=0,AZ69-(SUMIFS(estoque[quantidade],estoque[fornecedor],"saída",estoque[produto],preçodiario[[#Headers],[OVO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Row],[data]]))+AZ69+preçodiario[[#This Row],[entrada JV]])</f>
        <v>0</v>
      </c>
      <c r="BA70" s="22">
        <f>SUMIFS(estoque[quantidade],estoque[fornecedor],"&lt;&gt;saída",estoque[produto],preçodiario[[#Headers],[OVO VERMELHO JUMBO]],estoque[data],preçodiario[[#This Row],[data]])</f>
        <v>0</v>
      </c>
      <c r="BB70" s="20">
        <f>SUMIFS(estoque[valor total],estoque[fornecedor],"&lt;&gt;saída",estoque[produto],preçodiario[[#Headers],[OVO VERMELHO JUMBO]],estoque[data],preçodiario[[#This Row],[data]])</f>
        <v>0</v>
      </c>
      <c r="BC70" s="20">
        <f>IFERROR(preçodiario[[#This Row],[OVO VERMELHO JUMBO]]*preçodiario[[#This Row],[estoque JV]],0)</f>
        <v>0</v>
      </c>
      <c r="BD70" t="str">
        <f>TEXT(vendaAno[[#This Row],[data]],"mmm")</f>
        <v>mar</v>
      </c>
      <c r="BE70" t="str">
        <f>TEXT(vendaAno[[#This Row],[data]],"ddd")</f>
        <v>ter</v>
      </c>
      <c r="BF70" s="82">
        <f>WEEKNUM(vendaAno[[#This Row],[data]],13)</f>
        <v>10</v>
      </c>
      <c r="BG70" s="27">
        <f>preçodiario[[#This Row],[data]]</f>
        <v>46091</v>
      </c>
      <c r="BH7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0" s="8">
        <f>IF(SUMIFS(estoque[valor total],estoque[fornecedor],"saída",estoque[data],vendaAno[[#This Row],[data]])=0,"",SUMIFS(estoque[valor total],estoque[fornecedor],"saída",estoque[data],vendaAno[[#This Row],[data]]))</f>
        <v>956</v>
      </c>
      <c r="BJ7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Row],[data]]))/12+BJ69,"")</f>
        <v>31.499999999999968</v>
      </c>
      <c r="BK70" s="79">
        <f ca="1">IF(TODAY()&gt;=vendaAno[[#This Row],[data]],IF(SUMIFS(estoque[quantidade],estoque[fornecedor],"saída",estoque[data],vendaAno[[#This Row],[data]])/12=0,AVERAGE(BK67:BK69),SUMIFS(estoque[quantidade],estoque[fornecedor],"saída",estoque[data],vendaAno[[#This Row],[data]])/12),"")</f>
        <v>5.083333333333333</v>
      </c>
      <c r="BL70" s="8">
        <f ca="1">IF(vendaAno[[#This Row],[data]]&lt;=TODAY(),IF(SUMIFS(estoque[lucro],estoque[fornecedor],"saída",estoque[data],vendaAno[[#This Row],[data]])=0,AVERAGE(BL67:BL69),SUMIFS(estoque[lucro],estoque[fornecedor],"saída",estoque[data],vendaAno[[#This Row],[data]])),"")</f>
        <v>127.87</v>
      </c>
      <c r="BM70" s="10">
        <f ca="1">IFERROR(vendaAno[[#This Row],[lucro]]/vendaAno[[#This Row],[valor de venda]],"")</f>
        <v>0.13375523012552301</v>
      </c>
      <c r="BN7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5040.1563942201201</v>
      </c>
      <c r="BO70" s="8">
        <f ca="1">IF(TODAY()&gt;=vendaAno[[#This Row],[data]],IF(vendaAno[[#This Row],[N°]]=BF69,vendaAno[[#This Row],[lucro]]-173.33+BO69,vendaAno[[#This Row],[lucro]]-150),"")</f>
        <v>-383.54000000000008</v>
      </c>
      <c r="BP70" s="81">
        <f ca="1">IF(TODAY()&gt;=vendaAno[[#This Row],[data]],SUM(BK64:BK70)*12,"")</f>
        <v>223</v>
      </c>
      <c r="BQ70" s="7">
        <f ca="1">IFERROR(vendaAno[[#This Row],[lucro]]/(vendaAno[[#This Row],[venda]]*12),"")</f>
        <v>2.0962295081967213</v>
      </c>
      <c r="CD70" s="7"/>
    </row>
    <row r="71" spans="1:82" x14ac:dyDescent="0.25">
      <c r="A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13.75</v>
      </c>
      <c r="B71" s="18" t="str">
        <f>TEXT(preçodiario[[#This Row],[data]],"MMM")</f>
        <v>mar</v>
      </c>
      <c r="C71" s="18" t="str">
        <f>TEXT(preçodiario[[#This Row],[data]],"ddd")</f>
        <v>qua</v>
      </c>
      <c r="D71" s="96">
        <f>WEEKNUM(preçodiario[[#This Row],[data]],13)</f>
        <v>11</v>
      </c>
      <c r="E71" s="37">
        <v>46092</v>
      </c>
      <c r="F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Row],[data]])),((F70*G70)+SUMIFS(estoque[valor total],estoque[produto],preçodiario[[#Headers],[OVO BRANCO A]],estoque[data],preçodiario[[#This Row],[data]],estoque[fornecedor],"&lt;&gt;saída"))/(G70+(SUMIFS(estoque[quantidade],estoque[produto],preçodiario[[#Headers],[OVO BRANCO A]],estoque[fornecedor],"&lt;&gt;saída",estoque[data],preçodiario[[#This Row],[data]])))))</f>
        <v>13.75</v>
      </c>
      <c r="G71" s="22">
        <f>IF(preçodiario[[#This Row],[entrada A]]=0,G70-(SUMIFS(estoque[quantidade],estoque[fornecedor],"saída",estoque[produto],preçodiario[[#Headers],[OVO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Row],[data]]))+G70+preçodiario[[#This Row],[entrada A]])</f>
        <v>6</v>
      </c>
      <c r="H71" s="22">
        <f>SUMIFS(estoque[quantidade],estoque[fornecedor],"&lt;&gt;saída",estoque[produto],preçodiario[[#Headers],[OVO BRANCO A]],estoque[data],preçodiario[[#This Row],[data]])</f>
        <v>0</v>
      </c>
      <c r="I71" s="20">
        <f>SUMIFS(estoque[valor total],estoque[fornecedor],"&lt;&gt;saída",estoque[produto],preçodiario[[#Headers],[OVO BRANCO A]],estoque[data],preçodiario[[#This Row],[data]])</f>
        <v>0</v>
      </c>
      <c r="J71" s="20">
        <f>IFERROR(preçodiario[[#This Row],[estoque A]]*preçodiario[[#This Row],[OVO BRANCO A]],0)</f>
        <v>82.5</v>
      </c>
      <c r="K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Row],[data]])),((K70*L70)+SUMIFS(estoque[valor total],estoque[produto],preçodiario[[#Headers],[OVO BRANCO B]],estoque[data],preçodiario[[#This Row],[data]],estoque[fornecedor],"&lt;&gt;saída"))/(L70+(SUMIFS(estoque[quantidade],estoque[produto],preçodiario[[#Headers],[OVO BRANCO B]],estoque[fornecedor],"&lt;&gt;saída",estoque[data],preçodiario[[#This Row],[data]])))))</f>
        <v>12.916666666666666</v>
      </c>
      <c r="L71" s="22">
        <f>IF(preçodiario[[#This Row],[entrada B]]=0,L70-(SUMIFS(estoque[quantidade],estoque[fornecedor],"saída",estoque[produto],preçodiario[[#Headers],[OVO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Row],[data]]))+L70+preçodiario[[#This Row],[entrada B]])</f>
        <v>106</v>
      </c>
      <c r="M71" s="22">
        <f>SUMIFS(estoque[quantidade],estoque[fornecedor],"&lt;&gt;saída",estoque[produto],preçodiario[[#Headers],[OVO BRANCO B]],estoque[data],preçodiario[[#This Row],[data]])</f>
        <v>0</v>
      </c>
      <c r="N71" s="20">
        <f>SUMIFS(estoque[valor total],estoque[fornecedor],"&lt;&gt;saída",estoque[produto],preçodiario[[#Headers],[OVO BRANCO B]],estoque[data],preçodiario[[#This Row],[data]])</f>
        <v>0</v>
      </c>
      <c r="O71" s="20">
        <f>IFERROR(preçodiario[[#This Row],[OVO BRANCO B]]*preçodiario[[#This Row],[estoque B]],0)</f>
        <v>1369.1666666666665</v>
      </c>
      <c r="P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Row],[data]])),((P70*Q70)+SUMIFS(estoque[valor total],estoque[produto],preçodiario[[#Headers],[OVO BRANCO C]],estoque[data],preçodiario[[#This Row],[data]],estoque[fornecedor],"&lt;&gt;saída"))/(Q70+(SUMIFS(estoque[quantidade],estoque[produto],preçodiario[[#Headers],[OVO BRANCO C]],estoque[fornecedor],"&lt;&gt;saída",estoque[data],preçodiario[[#This Row],[data]])))))</f>
        <v>11.583333333333334</v>
      </c>
      <c r="Q71" s="22">
        <f>IF(preçodiario[[#This Row],[entrada C]]=0,Q70-(SUMIFS(estoque[quantidade],estoque[fornecedor],"saída",estoque[produto],preçodiario[[#Headers],[OVO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Row],[data]]))+Q70+preçodiario[[#This Row],[entrada C]])</f>
        <v>110</v>
      </c>
      <c r="R71" s="22">
        <f>SUMIFS(estoque[quantidade],estoque[fornecedor],"&lt;&gt;saída",estoque[produto],preçodiario[[#Headers],[OVO BRANCO C]],estoque[data],preçodiario[[#This Row],[data]])</f>
        <v>0</v>
      </c>
      <c r="S71" s="20">
        <f>SUMIFS(estoque[valor total],estoque[fornecedor],"&lt;&gt;saída",estoque[produto],preçodiario[[#Headers],[OVO BRANCO C]],estoque[data],preçodiario[[#This Row],[data]])</f>
        <v>0</v>
      </c>
      <c r="T71" s="20">
        <f>IFERROR(preçodiario[[#This Row],[OVO BRANCO C]]*preçodiario[[#This Row],[estoque C]],0)</f>
        <v>1274.1666666666667</v>
      </c>
      <c r="U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Row],[data]])),((U70*V70)+SUMIFS(estoque[valor total],estoque[produto],preçodiario[[#Headers],[OVO BRANCO EXTRA]],estoque[data],preçodiario[[#This Row],[data]],estoque[fornecedor],"&lt;&gt;saída"))/(V70+(SUMIFS(estoque[quantidade],estoque[produto],preçodiario[[#Headers],[OVO BRANCO EXTRA]],estoque[fornecedor],"&lt;&gt;saída",estoque[data],preçodiario[[#This Row],[data]])))))</f>
        <v>14.620295014991903</v>
      </c>
      <c r="V71" s="22">
        <f>IF(preçodiario[[#This Row],[entrada E]]=0,V70-(SUMIFS(estoque[quantidade],estoque[fornecedor],"saída",estoque[produto],preçodiario[[#Headers],[OVO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Row],[data]]))+V70+preçodiario[[#This Row],[entrada E]])</f>
        <v>62</v>
      </c>
      <c r="W71" s="22">
        <f>SUMIFS(estoque[quantidade],estoque[fornecedor],"&lt;&gt;saída",estoque[produto],preçodiario[[#Headers],[OVO BRANCO EXTRA]],estoque[data],preçodiario[[#This Row],[data]])</f>
        <v>0</v>
      </c>
      <c r="X71" s="20">
        <f>SUMIFS(estoque[valor total],estoque[fornecedor],"&lt;&gt;saída",estoque[produto],preçodiario[[#Headers],[OVO BRANCO EXTRA]],estoque[data],preçodiario[[#This Row],[data]])</f>
        <v>0</v>
      </c>
      <c r="Y71" s="20">
        <f>IFERROR(preçodiario[[#This Row],[estoque E]]*preçodiario[[#This Row],[OVO BRANCO EXTRA]],0)</f>
        <v>906.45829092949805</v>
      </c>
      <c r="Z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Row],[data]])),((Z70*AA70)+SUMIFS(estoque[valor total],estoque[produto],preçodiario[[#Headers],[OVO BRANCO JUMBO]],estoque[data],preçodiario[[#This Row],[data]],estoque[fornecedor],"&lt;&gt;saída"))/(AA70+(SUMIFS(estoque[quantidade],estoque[produto],preçodiario[[#Headers],[OVO BRANCO JUMBO]],estoque[fornecedor],"&lt;&gt;saída",estoque[data],preçodiario[[#This Row],[data]])))))</f>
        <v>15.422235769503297</v>
      </c>
      <c r="AA71" s="22">
        <f>IF(preçodiario[[#This Row],[entrada J]]=0,AA70-(SUMIFS(estoque[quantidade],estoque[fornecedor],"saída",estoque[produto],preçodiario[[#Headers],[OVO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Row],[data]]))+AA70+preçodiario[[#This Row],[entrada J]])</f>
        <v>46</v>
      </c>
      <c r="AB71" s="22">
        <f>SUMIFS(estoque[quantidade],estoque[fornecedor],"&lt;&gt;saída",estoque[produto],preçodiario[[#Headers],[OVO BRANCO JUMBO]],estoque[data],preçodiario[[#This Row],[data]])</f>
        <v>0</v>
      </c>
      <c r="AC71" s="20">
        <f>SUMIFS(estoque[valor total],estoque[fornecedor],"&lt;&gt;saída",estoque[produto],preçodiario[[#Headers],[OVO BRANCO JUMBO]],estoque[data],preçodiario[[#This Row],[data]])</f>
        <v>0</v>
      </c>
      <c r="AD71" s="20">
        <f>IFERROR(preçodiario[[#This Row],[OVO BRANCO JUMBO]]*preçodiario[[#This Row],[estoque J]],0)</f>
        <v>709.42284539715172</v>
      </c>
      <c r="AE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Row],[data]])),((AE70*AF70)+SUMIFS(estoque[valor total],estoque[produto],preçodiario[[#Headers],[OVO VERMELHO A]],estoque[data],preçodiario[[#This Row],[data]],estoque[fornecedor],"&lt;&gt;saída"))/(AF70+(SUMIFS(estoque[quantidade],estoque[produto],preçodiario[[#Headers],[OVO VERMELHO A]],estoque[fornecedor],"&lt;&gt;saída",estoque[data],preçodiario[[#This Row],[data]])))))</f>
        <v/>
      </c>
      <c r="AF71" s="22">
        <f>IF(preçodiario[[#This Row],[entrada AV]]=0,AF70-(SUMIFS(estoque[quantidade],estoque[fornecedor],"saída",estoque[produto],preçodiario[[#Headers],[OVO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Row],[data]]))+AF70+preçodiario[[#This Row],[entrada AV]])</f>
        <v>0</v>
      </c>
      <c r="AG71" s="22">
        <f>SUMIFS(estoque[quantidade],estoque[fornecedor],"&lt;&gt;saída",estoque[produto],preçodiario[[#Headers],[OVO VERMELHO A]],estoque[data],preçodiario[[#This Row],[data]])</f>
        <v>0</v>
      </c>
      <c r="AH71" s="20">
        <f>SUMIFS(estoque[valor total],estoque[fornecedor],"&lt;&gt;saída",estoque[produto],preçodiario[[#Headers],[OVO VERMELHO A]],estoque[data],preçodiario[[#This Row],[data]])</f>
        <v>0</v>
      </c>
      <c r="AI71" s="20">
        <f>IFERROR(preçodiario[[#This Row],[OVO VERMELHO A]]*preçodiario[[#This Row],[estoque AV]],0)</f>
        <v>0</v>
      </c>
      <c r="AJ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Row],[data]])),((AJ70*AK70)+SUMIFS(estoque[valor total],estoque[produto],preçodiario[[#Headers],[OVO VERMELHO B]],estoque[data],preçodiario[[#This Row],[data]],estoque[fornecedor],"&lt;&gt;saída"))/(AK70+(SUMIFS(estoque[quantidade],estoque[produto],preçodiario[[#Headers],[OVO VERMELHO B]],estoque[fornecedor],"&lt;&gt;saída",estoque[data],preçodiario[[#This Row],[data]])))))</f>
        <v/>
      </c>
      <c r="AK71" s="22">
        <f>IF(preçodiario[[#This Row],[entrada BV]]=0,AK70-(SUMIFS(estoque[quantidade],estoque[fornecedor],"saída",estoque[produto],preçodiario[[#Headers],[OVO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Row],[data]]))+AK70+preçodiario[[#This Row],[entrada BV]])</f>
        <v>0</v>
      </c>
      <c r="AL71" s="22">
        <f>SUMIFS(estoque[quantidade],estoque[fornecedor],"&lt;&gt;saída",estoque[produto],preçodiario[[#Headers],[OVO VERMELHO B]],estoque[data],preçodiario[[#This Row],[data]])</f>
        <v>0</v>
      </c>
      <c r="AM71" s="20">
        <f>SUMIFS(estoque[valor total],estoque[fornecedor],"&lt;&gt;saída",estoque[produto],preçodiario[[#Headers],[OVO VERMELHO B]],estoque[data],preçodiario[[#This Row],[data]])</f>
        <v>0</v>
      </c>
      <c r="AN71" s="20">
        <f>IFERROR(preçodiario[[#This Row],[OVO VERMELHO B]]*preçodiario[[#This Row],[estoque BV]],0)</f>
        <v>0</v>
      </c>
      <c r="AO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Row],[data]])),((AO70*AP70)+SUMIFS(estoque[valor total],estoque[produto],preçodiario[[#Headers],[OVO VERMELHO C]],estoque[data],preçodiario[[#This Row],[data]],estoque[fornecedor],"&lt;&gt;saída"))/(AP70+(SUMIFS(estoque[quantidade],estoque[produto],preçodiario[[#Headers],[OVO VERMELHO C]],estoque[fornecedor],"&lt;&gt;saída",estoque[data],preçodiario[[#This Row],[data]])))))</f>
        <v/>
      </c>
      <c r="AP71" s="22">
        <f>IF(preçodiario[[#This Row],[entrada CV]]=0,AP70-(SUMIFS(estoque[quantidade],estoque[fornecedor],"saída",estoque[produto],preçodiario[[#Headers],[OVO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Row],[data]]))+AP70+preçodiario[[#This Row],[entrada CV]])</f>
        <v>0</v>
      </c>
      <c r="AQ71" s="22">
        <f>SUMIFS(estoque[quantidade],estoque[fornecedor],"&lt;&gt;saída",estoque[produto],preçodiario[[#Headers],[OVO VERMELHO C]],estoque[data],preçodiario[[#This Row],[data]])</f>
        <v>0</v>
      </c>
      <c r="AR71" s="20">
        <f>SUMIFS(estoque[valor total],estoque[fornecedor],"&lt;&gt;saída",estoque[produto],preçodiario[[#Headers],[OVO VERMELHO C]],estoque[data],preçodiario[[#This Row],[data]])</f>
        <v>0</v>
      </c>
      <c r="AS71" s="20">
        <f>IFERROR(preçodiario[[#This Row],[OVO VERMELHO C]]*preçodiario[[#This Row],[estoque CV]],0)</f>
        <v>0</v>
      </c>
      <c r="AT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Row],[data]])),((AT70*AU70)+SUMIFS(estoque[valor total],estoque[produto],preçodiario[[#Headers],[OVO VERMELHO EXTRA]],estoque[data],preçodiario[[#This Row],[data]],estoque[fornecedor],"&lt;&gt;saída"))/(AU70+(SUMIFS(estoque[quantidade],estoque[produto],preçodiario[[#Headers],[OVO VERMELHO EXTRA]],estoque[fornecedor],"&lt;&gt;saída",estoque[data],preçodiario[[#This Row],[data]])))))</f>
        <v/>
      </c>
      <c r="AU71" s="22">
        <f>IF(preçodiario[[#This Row],[entrada EV]]=0,AU70-(SUMIFS(estoque[quantidade],estoque[fornecedor],"saída",estoque[produto],preçodiario[[#Headers],[OVO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Row],[data]]))+AU70+preçodiario[[#This Row],[entrada EV]])</f>
        <v>0</v>
      </c>
      <c r="AV71" s="22">
        <f>SUMIFS(estoque[quantidade],estoque[fornecedor],"&lt;&gt;saída",estoque[produto],preçodiario[[#Headers],[OVO VERMELHO EXTRA]],estoque[data],preçodiario[[#This Row],[data]])</f>
        <v>0</v>
      </c>
      <c r="AW71" s="20">
        <f>SUMIFS(estoque[valor total],estoque[fornecedor],"&lt;&gt;saída",estoque[produto],preçodiario[[#Headers],[OVO VERMELHO EXTRA]],estoque[data],preçodiario[[#This Row],[data]])</f>
        <v>0</v>
      </c>
      <c r="AX71" s="20">
        <f>IFERROR(preçodiario[[#This Row],[OVO VERMELHO EXTRA]]*preçodiario[[#This Row],[estoque EV]],0)</f>
        <v>0</v>
      </c>
      <c r="AY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Row],[data]])),((AY70*AZ70)+SUMIFS(estoque[valor total],estoque[produto],preçodiario[[#Headers],[OVO VERMELHO JUMBO]],estoque[data],preçodiario[[#This Row],[data]],estoque[fornecedor],"&lt;&gt;saída"))/(AZ70+(SUMIFS(estoque[quantidade],estoque[produto],preçodiario[[#Headers],[OVO VERMELHO JUMBO]],estoque[fornecedor],"&lt;&gt;saída",estoque[data],preçodiario[[#This Row],[data]])))))</f>
        <v/>
      </c>
      <c r="AZ71" s="22">
        <f>IF(preçodiario[[#This Row],[entrada JV]]=0,AZ70-(SUMIFS(estoque[quantidade],estoque[fornecedor],"saída",estoque[produto],preçodiario[[#Headers],[OVO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Row],[data]]))+AZ70+preçodiario[[#This Row],[entrada JV]])</f>
        <v>0</v>
      </c>
      <c r="BA71" s="22">
        <f>SUMIFS(estoque[quantidade],estoque[fornecedor],"&lt;&gt;saída",estoque[produto],preçodiario[[#Headers],[OVO VERMELHO JUMBO]],estoque[data],preçodiario[[#This Row],[data]])</f>
        <v>0</v>
      </c>
      <c r="BB71" s="20">
        <f>SUMIFS(estoque[valor total],estoque[fornecedor],"&lt;&gt;saída",estoque[produto],preçodiario[[#Headers],[OVO VERMELHO JUMBO]],estoque[data],preçodiario[[#This Row],[data]])</f>
        <v>0</v>
      </c>
      <c r="BC71" s="20">
        <f>IFERROR(preçodiario[[#This Row],[OVO VERMELHO JUMBO]]*preçodiario[[#This Row],[estoque JV]],0)</f>
        <v>0</v>
      </c>
      <c r="BD71" t="str">
        <f>TEXT(vendaAno[[#This Row],[data]],"mmm")</f>
        <v>mar</v>
      </c>
      <c r="BE71" t="str">
        <f>TEXT(vendaAno[[#This Row],[data]],"ddd")</f>
        <v>qua</v>
      </c>
      <c r="BF71" s="82">
        <f>WEEKNUM(vendaAno[[#This Row],[data]],13)</f>
        <v>11</v>
      </c>
      <c r="BG71" s="27">
        <f>preçodiario[[#This Row],[data]]</f>
        <v>46092</v>
      </c>
      <c r="BH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1" s="8">
        <f>IF(SUMIFS(estoque[valor total],estoque[fornecedor],"saída",estoque[data],vendaAno[[#This Row],[data]])=0,"",SUMIFS(estoque[valor total],estoque[fornecedor],"saída",estoque[data],vendaAno[[#This Row],[data]]))</f>
        <v>872</v>
      </c>
      <c r="BJ7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Row],[data]]))/12+BJ70,"")</f>
        <v>27.499999999999968</v>
      </c>
      <c r="BK71" s="79">
        <f ca="1">IF(TODAY()&gt;=vendaAno[[#This Row],[data]],IF(SUMIFS(estoque[quantidade],estoque[fornecedor],"saída",estoque[data],vendaAno[[#This Row],[data]])/12=0,AVERAGE(BK68:BK70),SUMIFS(estoque[quantidade],estoque[fornecedor],"saída",estoque[data],vendaAno[[#This Row],[data]])/12),"")</f>
        <v>4</v>
      </c>
      <c r="BL71" s="8">
        <f ca="1">IF(vendaAno[[#This Row],[data]]&lt;=TODAY(),IF(SUMIFS(estoque[lucro],estoque[fornecedor],"saída",estoque[data],vendaAno[[#This Row],[data]])=0,AVERAGE(BL68:BL70),SUMIFS(estoque[lucro],estoque[fornecedor],"saída",estoque[data],vendaAno[[#This Row],[data]])),"")</f>
        <v>173.57</v>
      </c>
      <c r="BM71" s="10">
        <f ca="1">IFERROR(vendaAno[[#This Row],[lucro]]/vendaAno[[#This Row],[valor de venda]],"")</f>
        <v>0.19904816513761467</v>
      </c>
      <c r="BN7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4341.7144696599826</v>
      </c>
      <c r="BO71" s="8">
        <f ca="1">IF(TODAY()&gt;=vendaAno[[#This Row],[data]],IF(vendaAno[[#This Row],[N°]]=BF70,vendaAno[[#This Row],[lucro]]-173.33+BO70,vendaAno[[#This Row],[lucro]]-150),"")</f>
        <v>23.569999999999993</v>
      </c>
      <c r="BP71" s="81">
        <f ca="1">IF(TODAY()&gt;=vendaAno[[#This Row],[data]],SUM(BK65:BK71)*12,"")</f>
        <v>242</v>
      </c>
      <c r="BQ71" s="7">
        <f ca="1">IFERROR(vendaAno[[#This Row],[lucro]]/(vendaAno[[#This Row],[venda]]*12),"")</f>
        <v>3.6160416666666664</v>
      </c>
      <c r="CD71" s="7"/>
    </row>
    <row r="72" spans="1:82" x14ac:dyDescent="0.25">
      <c r="A72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2" s="18" t="str">
        <f>TEXT(preçodiario[[#This Row],[data]],"MMM")</f>
        <v>mar</v>
      </c>
      <c r="C72" s="18" t="str">
        <f>TEXT(preçodiario[[#This Row],[data]],"ddd")</f>
        <v>qui</v>
      </c>
      <c r="D72" s="96">
        <f>WEEKNUM(preçodiario[[#This Row],[data]],13)</f>
        <v>11</v>
      </c>
      <c r="E72" s="37">
        <v>46093</v>
      </c>
      <c r="F72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Row],[data]])),((F71*G71)+SUMIFS(estoque[valor total],estoque[produto],preçodiario[[#Headers],[OVO BRANCO A]],estoque[data],preçodiario[[#This Row],[data]],estoque[fornecedor],"&lt;&gt;saída"))/(G71+(SUMIFS(estoque[quantidade],estoque[produto],preçodiario[[#Headers],[OVO BRANCO A]],estoque[fornecedor],"&lt;&gt;saída",estoque[data],preçodiario[[#This Row],[data]])))))</f>
        <v/>
      </c>
      <c r="G72" s="22">
        <f>IF(preçodiario[[#This Row],[entrada A]]=0,G71-(SUMIFS(estoque[quantidade],estoque[fornecedor],"saída",estoque[produto],preçodiario[[#Headers],[OVO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Row],[data]]))+G71+preçodiario[[#This Row],[entrada A]])</f>
        <v>0</v>
      </c>
      <c r="H72" s="22">
        <f>SUMIFS(estoque[quantidade],estoque[fornecedor],"&lt;&gt;saída",estoque[produto],preçodiario[[#Headers],[OVO BRANCO A]],estoque[data],preçodiario[[#This Row],[data]])</f>
        <v>0</v>
      </c>
      <c r="I72" s="20">
        <f>SUMIFS(estoque[valor total],estoque[fornecedor],"&lt;&gt;saída",estoque[produto],preçodiario[[#Headers],[OVO BRANCO A]],estoque[data],preçodiario[[#This Row],[data]])</f>
        <v>0</v>
      </c>
      <c r="J72" s="20">
        <f>IFERROR(preçodiario[[#This Row],[estoque A]]*preçodiario[[#This Row],[OVO BRANCO A]],0)</f>
        <v>0</v>
      </c>
      <c r="K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Row],[data]])),((K71*L71)+SUMIFS(estoque[valor total],estoque[produto],preçodiario[[#Headers],[OVO BRANCO B]],estoque[data],preçodiario[[#This Row],[data]],estoque[fornecedor],"&lt;&gt;saída"))/(L71+(SUMIFS(estoque[quantidade],estoque[produto],preçodiario[[#Headers],[OVO BRANCO B]],estoque[fornecedor],"&lt;&gt;saída",estoque[data],preçodiario[[#This Row],[data]])))))</f>
        <v>12.916666666666666</v>
      </c>
      <c r="L72" s="22">
        <f>IF(preçodiario[[#This Row],[entrada B]]=0,L71-(SUMIFS(estoque[quantidade],estoque[fornecedor],"saída",estoque[produto],preçodiario[[#Headers],[OVO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Row],[data]]))+L71+preçodiario[[#This Row],[entrada B]])</f>
        <v>101</v>
      </c>
      <c r="M72" s="22">
        <f>SUMIFS(estoque[quantidade],estoque[fornecedor],"&lt;&gt;saída",estoque[produto],preçodiario[[#Headers],[OVO BRANCO B]],estoque[data],preçodiario[[#This Row],[data]])</f>
        <v>0</v>
      </c>
      <c r="N72" s="20">
        <f>SUMIFS(estoque[valor total],estoque[fornecedor],"&lt;&gt;saída",estoque[produto],preçodiario[[#Headers],[OVO BRANCO B]],estoque[data],preçodiario[[#This Row],[data]])</f>
        <v>0</v>
      </c>
      <c r="O72" s="20">
        <f>IFERROR(preçodiario[[#This Row],[OVO BRANCO B]]*preçodiario[[#This Row],[estoque B]],0)</f>
        <v>1304.5833333333333</v>
      </c>
      <c r="P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Row],[data]])),((P71*Q71)+SUMIFS(estoque[valor total],estoque[produto],preçodiario[[#Headers],[OVO BRANCO C]],estoque[data],preçodiario[[#This Row],[data]],estoque[fornecedor],"&lt;&gt;saída"))/(Q71+(SUMIFS(estoque[quantidade],estoque[produto],preçodiario[[#Headers],[OVO BRANCO C]],estoque[fornecedor],"&lt;&gt;saída",estoque[data],preçodiario[[#This Row],[data]])))))</f>
        <v>11.583333333333334</v>
      </c>
      <c r="Q72" s="22">
        <f>IF(preçodiario[[#This Row],[entrada C]]=0,Q71-(SUMIFS(estoque[quantidade],estoque[fornecedor],"saída",estoque[produto],preçodiario[[#Headers],[OVO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Row],[data]]))+Q71+preçodiario[[#This Row],[entrada C]])</f>
        <v>106</v>
      </c>
      <c r="R72" s="22">
        <f>SUMIFS(estoque[quantidade],estoque[fornecedor],"&lt;&gt;saída",estoque[produto],preçodiario[[#Headers],[OVO BRANCO C]],estoque[data],preçodiario[[#This Row],[data]])</f>
        <v>0</v>
      </c>
      <c r="S72" s="20">
        <f>SUMIFS(estoque[valor total],estoque[fornecedor],"&lt;&gt;saída",estoque[produto],preçodiario[[#Headers],[OVO BRANCO C]],estoque[data],preçodiario[[#This Row],[data]])</f>
        <v>0</v>
      </c>
      <c r="T72" s="20">
        <f>IFERROR(preçodiario[[#This Row],[OVO BRANCO C]]*preçodiario[[#This Row],[estoque C]],0)</f>
        <v>1227.8333333333335</v>
      </c>
      <c r="U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Row],[data]])),((U71*V71)+SUMIFS(estoque[valor total],estoque[produto],preçodiario[[#Headers],[OVO BRANCO EXTRA]],estoque[data],preçodiario[[#This Row],[data]],estoque[fornecedor],"&lt;&gt;saída"))/(V71+(SUMIFS(estoque[quantidade],estoque[produto],preçodiario[[#Headers],[OVO BRANCO EXTRA]],estoque[fornecedor],"&lt;&gt;saída",estoque[data],preçodiario[[#This Row],[data]])))))</f>
        <v>14.620295014991903</v>
      </c>
      <c r="V72" s="22">
        <f>IF(preçodiario[[#This Row],[entrada E]]=0,V71-(SUMIFS(estoque[quantidade],estoque[fornecedor],"saída",estoque[produto],preçodiario[[#Headers],[OVO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Row],[data]]))+V71+preçodiario[[#This Row],[entrada E]])</f>
        <v>52</v>
      </c>
      <c r="W72" s="22">
        <f>SUMIFS(estoque[quantidade],estoque[fornecedor],"&lt;&gt;saída",estoque[produto],preçodiario[[#Headers],[OVO BRANCO EXTRA]],estoque[data],preçodiario[[#This Row],[data]])</f>
        <v>0</v>
      </c>
      <c r="X72" s="20">
        <f>SUMIFS(estoque[valor total],estoque[fornecedor],"&lt;&gt;saída",estoque[produto],preçodiario[[#Headers],[OVO BRANCO EXTRA]],estoque[data],preçodiario[[#This Row],[data]])</f>
        <v>0</v>
      </c>
      <c r="Y72" s="20">
        <f>IFERROR(preçodiario[[#This Row],[estoque E]]*preçodiario[[#This Row],[OVO BRANCO EXTRA]],0)</f>
        <v>760.255340779579</v>
      </c>
      <c r="Z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Row],[data]])),((Z71*AA71)+SUMIFS(estoque[valor total],estoque[produto],preçodiario[[#Headers],[OVO BRANCO JUMBO]],estoque[data],preçodiario[[#This Row],[data]],estoque[fornecedor],"&lt;&gt;saída"))/(AA71+(SUMIFS(estoque[quantidade],estoque[produto],preçodiario[[#Headers],[OVO BRANCO JUMBO]],estoque[fornecedor],"&lt;&gt;saída",estoque[data],preçodiario[[#This Row],[data]])))))</f>
        <v>15.422235769503299</v>
      </c>
      <c r="AA72" s="22">
        <f>IF(preçodiario[[#This Row],[entrada J]]=0,AA71-(SUMIFS(estoque[quantidade],estoque[fornecedor],"saída",estoque[produto],preçodiario[[#Headers],[OVO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Row],[data]]))+AA71+preçodiario[[#This Row],[entrada J]])</f>
        <v>35</v>
      </c>
      <c r="AB72" s="22">
        <f>SUMIFS(estoque[quantidade],estoque[fornecedor],"&lt;&gt;saída",estoque[produto],preçodiario[[#Headers],[OVO BRANCO JUMBO]],estoque[data],preçodiario[[#This Row],[data]])</f>
        <v>0</v>
      </c>
      <c r="AC72" s="20">
        <f>SUMIFS(estoque[valor total],estoque[fornecedor],"&lt;&gt;saída",estoque[produto],preçodiario[[#Headers],[OVO BRANCO JUMBO]],estoque[data],preçodiario[[#This Row],[data]])</f>
        <v>0</v>
      </c>
      <c r="AD72" s="20">
        <f>IFERROR(preçodiario[[#This Row],[OVO BRANCO JUMBO]]*preçodiario[[#This Row],[estoque J]],0)</f>
        <v>539.77825193261549</v>
      </c>
      <c r="AE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Row],[data]])),((AE71*AF71)+SUMIFS(estoque[valor total],estoque[produto],preçodiario[[#Headers],[OVO VERMELHO A]],estoque[data],preçodiario[[#This Row],[data]],estoque[fornecedor],"&lt;&gt;saída"))/(AF71+(SUMIFS(estoque[quantidade],estoque[produto],preçodiario[[#Headers],[OVO VERMELHO A]],estoque[fornecedor],"&lt;&gt;saída",estoque[data],preçodiario[[#This Row],[data]])))))</f>
        <v/>
      </c>
      <c r="AF72" s="22">
        <f>IF(preçodiario[[#This Row],[entrada AV]]=0,AF71-(SUMIFS(estoque[quantidade],estoque[fornecedor],"saída",estoque[produto],preçodiario[[#Headers],[OVO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Row],[data]]))+AF71+preçodiario[[#This Row],[entrada AV]])</f>
        <v>0</v>
      </c>
      <c r="AG72" s="22">
        <f>SUMIFS(estoque[quantidade],estoque[fornecedor],"&lt;&gt;saída",estoque[produto],preçodiario[[#Headers],[OVO VERMELHO A]],estoque[data],preçodiario[[#This Row],[data]])</f>
        <v>0</v>
      </c>
      <c r="AH72" s="20">
        <f>SUMIFS(estoque[valor total],estoque[fornecedor],"&lt;&gt;saída",estoque[produto],preçodiario[[#Headers],[OVO VERMELHO A]],estoque[data],preçodiario[[#This Row],[data]])</f>
        <v>0</v>
      </c>
      <c r="AI72" s="20">
        <f>IFERROR(preçodiario[[#This Row],[OVO VERMELHO A]]*preçodiario[[#This Row],[estoque AV]],0)</f>
        <v>0</v>
      </c>
      <c r="AJ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Row],[data]])),((AJ71*AK71)+SUMIFS(estoque[valor total],estoque[produto],preçodiario[[#Headers],[OVO VERMELHO B]],estoque[data],preçodiario[[#This Row],[data]],estoque[fornecedor],"&lt;&gt;saída"))/(AK71+(SUMIFS(estoque[quantidade],estoque[produto],preçodiario[[#Headers],[OVO VERMELHO B]],estoque[fornecedor],"&lt;&gt;saída",estoque[data],preçodiario[[#This Row],[data]])))))</f>
        <v/>
      </c>
      <c r="AK72" s="22">
        <f>IF(preçodiario[[#This Row],[entrada BV]]=0,AK71-(SUMIFS(estoque[quantidade],estoque[fornecedor],"saída",estoque[produto],preçodiario[[#Headers],[OVO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Row],[data]]))+AK71+preçodiario[[#This Row],[entrada BV]])</f>
        <v>0</v>
      </c>
      <c r="AL72" s="22">
        <f>SUMIFS(estoque[quantidade],estoque[fornecedor],"&lt;&gt;saída",estoque[produto],preçodiario[[#Headers],[OVO VERMELHO B]],estoque[data],preçodiario[[#This Row],[data]])</f>
        <v>0</v>
      </c>
      <c r="AM72" s="20">
        <f>SUMIFS(estoque[valor total],estoque[fornecedor],"&lt;&gt;saída",estoque[produto],preçodiario[[#Headers],[OVO VERMELHO B]],estoque[data],preçodiario[[#This Row],[data]])</f>
        <v>0</v>
      </c>
      <c r="AN72" s="20">
        <f>IFERROR(preçodiario[[#This Row],[OVO VERMELHO B]]*preçodiario[[#This Row],[estoque BV]],0)</f>
        <v>0</v>
      </c>
      <c r="AO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Row],[data]])),((AO71*AP71)+SUMIFS(estoque[valor total],estoque[produto],preçodiario[[#Headers],[OVO VERMELHO C]],estoque[data],preçodiario[[#This Row],[data]],estoque[fornecedor],"&lt;&gt;saída"))/(AP71+(SUMIFS(estoque[quantidade],estoque[produto],preçodiario[[#Headers],[OVO VERMELHO C]],estoque[fornecedor],"&lt;&gt;saída",estoque[data],preçodiario[[#This Row],[data]])))))</f>
        <v/>
      </c>
      <c r="AP72" s="22">
        <f>IF(preçodiario[[#This Row],[entrada CV]]=0,AP71-(SUMIFS(estoque[quantidade],estoque[fornecedor],"saída",estoque[produto],preçodiario[[#Headers],[OVO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Row],[data]]))+AP71+preçodiario[[#This Row],[entrada CV]])</f>
        <v>0</v>
      </c>
      <c r="AQ72" s="22">
        <f>SUMIFS(estoque[quantidade],estoque[fornecedor],"&lt;&gt;saída",estoque[produto],preçodiario[[#Headers],[OVO VERMELHO C]],estoque[data],preçodiario[[#This Row],[data]])</f>
        <v>0</v>
      </c>
      <c r="AR72" s="20">
        <f>SUMIFS(estoque[valor total],estoque[fornecedor],"&lt;&gt;saída",estoque[produto],preçodiario[[#Headers],[OVO VERMELHO C]],estoque[data],preçodiario[[#This Row],[data]])</f>
        <v>0</v>
      </c>
      <c r="AS72" s="20">
        <f>IFERROR(preçodiario[[#This Row],[OVO VERMELHO C]]*preçodiario[[#This Row],[estoque CV]],0)</f>
        <v>0</v>
      </c>
      <c r="AT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Row],[data]])),((AT71*AU71)+SUMIFS(estoque[valor total],estoque[produto],preçodiario[[#Headers],[OVO VERMELHO EXTRA]],estoque[data],preçodiario[[#This Row],[data]],estoque[fornecedor],"&lt;&gt;saída"))/(AU71+(SUMIFS(estoque[quantidade],estoque[produto],preçodiario[[#Headers],[OVO VERMELHO EXTRA]],estoque[fornecedor],"&lt;&gt;saída",estoque[data],preçodiario[[#This Row],[data]])))))</f>
        <v/>
      </c>
      <c r="AU72" s="22">
        <f>IF(preçodiario[[#This Row],[entrada EV]]=0,AU71-(SUMIFS(estoque[quantidade],estoque[fornecedor],"saída",estoque[produto],preçodiario[[#Headers],[OVO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Row],[data]]))+AU71+preçodiario[[#This Row],[entrada EV]])</f>
        <v>0</v>
      </c>
      <c r="AV72" s="22">
        <f>SUMIFS(estoque[quantidade],estoque[fornecedor],"&lt;&gt;saída",estoque[produto],preçodiario[[#Headers],[OVO VERMELHO EXTRA]],estoque[data],preçodiario[[#This Row],[data]])</f>
        <v>0</v>
      </c>
      <c r="AW72" s="20">
        <f>SUMIFS(estoque[valor total],estoque[fornecedor],"&lt;&gt;saída",estoque[produto],preçodiario[[#Headers],[OVO VERMELHO EXTRA]],estoque[data],preçodiario[[#This Row],[data]])</f>
        <v>0</v>
      </c>
      <c r="AX72" s="20">
        <f>IFERROR(preçodiario[[#This Row],[OVO VERMELHO EXTRA]]*preçodiario[[#This Row],[estoque EV]],0)</f>
        <v>0</v>
      </c>
      <c r="AY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Row],[data]])),((AY71*AZ71)+SUMIFS(estoque[valor total],estoque[produto],preçodiario[[#Headers],[OVO VERMELHO JUMBO]],estoque[data],preçodiario[[#This Row],[data]],estoque[fornecedor],"&lt;&gt;saída"))/(AZ71+(SUMIFS(estoque[quantidade],estoque[produto],preçodiario[[#Headers],[OVO VERMELHO JUMBO]],estoque[fornecedor],"&lt;&gt;saída",estoque[data],preçodiario[[#This Row],[data]])))))</f>
        <v/>
      </c>
      <c r="AZ72" s="22">
        <f>IF(preçodiario[[#This Row],[entrada JV]]=0,AZ71-(SUMIFS(estoque[quantidade],estoque[fornecedor],"saída",estoque[produto],preçodiario[[#Headers],[OVO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Row],[data]]))+AZ71+preçodiario[[#This Row],[entrada JV]])</f>
        <v>0</v>
      </c>
      <c r="BA72" s="22">
        <f>SUMIFS(estoque[quantidade],estoque[fornecedor],"&lt;&gt;saída",estoque[produto],preçodiario[[#Headers],[OVO VERMELHO JUMBO]],estoque[data],preçodiario[[#This Row],[data]])</f>
        <v>0</v>
      </c>
      <c r="BB72" s="20">
        <f>SUMIFS(estoque[valor total],estoque[fornecedor],"&lt;&gt;saída",estoque[produto],preçodiario[[#Headers],[OVO VERMELHO JUMBO]],estoque[data],preçodiario[[#This Row],[data]])</f>
        <v>0</v>
      </c>
      <c r="BC72" s="20">
        <f>IFERROR(preçodiario[[#This Row],[OVO VERMELHO JUMBO]]*preçodiario[[#This Row],[estoque JV]],0)</f>
        <v>0</v>
      </c>
      <c r="BD72" t="str">
        <f>TEXT(vendaAno[[#This Row],[data]],"mmm")</f>
        <v>mar</v>
      </c>
      <c r="BE72" t="str">
        <f>TEXT(vendaAno[[#This Row],[data]],"ddd")</f>
        <v>qui</v>
      </c>
      <c r="BF72" s="82">
        <f>WEEKNUM(vendaAno[[#This Row],[data]],13)</f>
        <v>11</v>
      </c>
      <c r="BG72" s="27">
        <f>preçodiario[[#This Row],[data]]</f>
        <v>46093</v>
      </c>
      <c r="BH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2" s="8">
        <f>IF(SUMIFS(estoque[valor total],estoque[fornecedor],"saída",estoque[data],vendaAno[[#This Row],[data]])=0,"",SUMIFS(estoque[valor total],estoque[fornecedor],"saída",estoque[data],vendaAno[[#This Row],[data]]))</f>
        <v>638</v>
      </c>
      <c r="BJ7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Row],[data]]))/12+BJ71,"")</f>
        <v>24.499999999999968</v>
      </c>
      <c r="BK72" s="79">
        <f ca="1">IF(TODAY()&gt;=vendaAno[[#This Row],[data]],IF(SUMIFS(estoque[quantidade],estoque[fornecedor],"saída",estoque[data],vendaAno[[#This Row],[data]])/12=0,AVERAGE(BK69:BK71),SUMIFS(estoque[quantidade],estoque[fornecedor],"saída",estoque[data],vendaAno[[#This Row],[data]])/12),"")</f>
        <v>3</v>
      </c>
      <c r="BL72" s="8">
        <f ca="1">IF(vendaAno[[#This Row],[data]]&lt;=TODAY(),IF(SUMIFS(estoque[lucro],estoque[fornecedor],"saída",estoque[data],vendaAno[[#This Row],[data]])=0,AVERAGE(BL69:BL71),SUMIFS(estoque[lucro],estoque[fornecedor],"saída",estoque[data],vendaAno[[#This Row],[data]])),"")</f>
        <v>128.75</v>
      </c>
      <c r="BM72" s="10">
        <f ca="1">IFERROR(vendaAno[[#This Row],[lucro]]/vendaAno[[#This Row],[valor de venda]],"")</f>
        <v>0.20180250783699061</v>
      </c>
      <c r="BN7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3832.4502593788611</v>
      </c>
      <c r="BO72" s="8">
        <f ca="1">IF(TODAY()&gt;=vendaAno[[#This Row],[data]],IF(vendaAno[[#This Row],[N°]]=BF71,vendaAno[[#This Row],[lucro]]-173.33+BO71,vendaAno[[#This Row],[lucro]]-150),"")</f>
        <v>-21.010000000000019</v>
      </c>
      <c r="BP72" s="81">
        <f ca="1">IF(TODAY()&gt;=vendaAno[[#This Row],[data]],SUM(BK66:BK72)*12,"")</f>
        <v>247.99999999999997</v>
      </c>
      <c r="BQ72" s="7">
        <f ca="1">IFERROR(vendaAno[[#This Row],[lucro]]/(vendaAno[[#This Row],[venda]]*12),"")</f>
        <v>3.5763888888888888</v>
      </c>
      <c r="CD72" s="7"/>
    </row>
    <row r="73" spans="1:82" x14ac:dyDescent="0.25">
      <c r="A73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3" s="18" t="str">
        <f>TEXT(preçodiario[[#This Row],[data]],"MMM")</f>
        <v>mar</v>
      </c>
      <c r="C73" s="18" t="str">
        <f>TEXT(preçodiario[[#This Row],[data]],"ddd")</f>
        <v>sex</v>
      </c>
      <c r="D73" s="96">
        <f>WEEKNUM(preçodiario[[#This Row],[data]],13)</f>
        <v>11</v>
      </c>
      <c r="E73" s="37">
        <v>46094</v>
      </c>
      <c r="F73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Row],[data]])),((F72*G72)+SUMIFS(estoque[valor total],estoque[produto],preçodiario[[#Headers],[OVO BRANCO A]],estoque[data],preçodiario[[#This Row],[data]],estoque[fornecedor],"&lt;&gt;saída"))/(G72+(SUMIFS(estoque[quantidade],estoque[produto],preçodiario[[#Headers],[OVO BRANCO A]],estoque[fornecedor],"&lt;&gt;saída",estoque[data],preçodiario[[#This Row],[data]])))))</f>
        <v/>
      </c>
      <c r="G73" s="22">
        <f>IF(preçodiario[[#This Row],[entrada A]]=0,G72-(SUMIFS(estoque[quantidade],estoque[fornecedor],"saída",estoque[produto],preçodiario[[#Headers],[OVO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Row],[data]]))+G72+preçodiario[[#This Row],[entrada A]])</f>
        <v>0</v>
      </c>
      <c r="H73" s="22">
        <f>SUMIFS(estoque[quantidade],estoque[fornecedor],"&lt;&gt;saída",estoque[produto],preçodiario[[#Headers],[OVO BRANCO A]],estoque[data],preçodiario[[#This Row],[data]])</f>
        <v>0</v>
      </c>
      <c r="I73" s="20">
        <f>SUMIFS(estoque[valor total],estoque[fornecedor],"&lt;&gt;saída",estoque[produto],preçodiario[[#Headers],[OVO BRANCO A]],estoque[data],preçodiario[[#This Row],[data]])</f>
        <v>0</v>
      </c>
      <c r="J73" s="20">
        <f>IFERROR(preçodiario[[#This Row],[estoque A]]*preçodiario[[#This Row],[OVO BRANCO A]],0)</f>
        <v>0</v>
      </c>
      <c r="K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Row],[data]])),((K72*L72)+SUMIFS(estoque[valor total],estoque[produto],preçodiario[[#Headers],[OVO BRANCO B]],estoque[data],preçodiario[[#This Row],[data]],estoque[fornecedor],"&lt;&gt;saída"))/(L72+(SUMIFS(estoque[quantidade],estoque[produto],preçodiario[[#Headers],[OVO BRANCO B]],estoque[fornecedor],"&lt;&gt;saída",estoque[data],preçodiario[[#This Row],[data]])))))</f>
        <v>12.916666666666666</v>
      </c>
      <c r="L73" s="22">
        <f>IF(preçodiario[[#This Row],[entrada B]]=0,L72-(SUMIFS(estoque[quantidade],estoque[fornecedor],"saída",estoque[produto],preçodiario[[#Headers],[OVO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Row],[data]]))+L72+preçodiario[[#This Row],[entrada B]])</f>
        <v>91</v>
      </c>
      <c r="M73" s="22">
        <f>SUMIFS(estoque[quantidade],estoque[fornecedor],"&lt;&gt;saída",estoque[produto],preçodiario[[#Headers],[OVO BRANCO B]],estoque[data],preçodiario[[#This Row],[data]])</f>
        <v>0</v>
      </c>
      <c r="N73" s="20">
        <f>SUMIFS(estoque[valor total],estoque[fornecedor],"&lt;&gt;saída",estoque[produto],preçodiario[[#Headers],[OVO BRANCO B]],estoque[data],preçodiario[[#This Row],[data]])</f>
        <v>0</v>
      </c>
      <c r="O73" s="20">
        <f>IFERROR(preçodiario[[#This Row],[OVO BRANCO B]]*preçodiario[[#This Row],[estoque B]],0)</f>
        <v>1175.4166666666665</v>
      </c>
      <c r="P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Row],[data]])),((P72*Q72)+SUMIFS(estoque[valor total],estoque[produto],preçodiario[[#Headers],[OVO BRANCO C]],estoque[data],preçodiario[[#This Row],[data]],estoque[fornecedor],"&lt;&gt;saída"))/(Q72+(SUMIFS(estoque[quantidade],estoque[produto],preçodiario[[#Headers],[OVO BRANCO C]],estoque[fornecedor],"&lt;&gt;saída",estoque[data],preçodiario[[#This Row],[data]])))))</f>
        <v>11.583333333333334</v>
      </c>
      <c r="Q73" s="22">
        <f>IF(preçodiario[[#This Row],[entrada C]]=0,Q72-(SUMIFS(estoque[quantidade],estoque[fornecedor],"saída",estoque[produto],preçodiario[[#Headers],[OVO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Row],[data]]))+Q72+preçodiario[[#This Row],[entrada C]])</f>
        <v>101</v>
      </c>
      <c r="R73" s="22">
        <f>SUMIFS(estoque[quantidade],estoque[fornecedor],"&lt;&gt;saída",estoque[produto],preçodiario[[#Headers],[OVO BRANCO C]],estoque[data],preçodiario[[#This Row],[data]])</f>
        <v>0</v>
      </c>
      <c r="S73" s="20">
        <f>SUMIFS(estoque[valor total],estoque[fornecedor],"&lt;&gt;saída",estoque[produto],preçodiario[[#Headers],[OVO BRANCO C]],estoque[data],preçodiario[[#This Row],[data]])</f>
        <v>0</v>
      </c>
      <c r="T73" s="20">
        <f>IFERROR(preçodiario[[#This Row],[OVO BRANCO C]]*preçodiario[[#This Row],[estoque C]],0)</f>
        <v>1169.9166666666667</v>
      </c>
      <c r="U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Row],[data]])),((U72*V72)+SUMIFS(estoque[valor total],estoque[produto],preçodiario[[#Headers],[OVO BRANCO EXTRA]],estoque[data],preçodiario[[#This Row],[data]],estoque[fornecedor],"&lt;&gt;saída"))/(V72+(SUMIFS(estoque[quantidade],estoque[produto],preçodiario[[#Headers],[OVO BRANCO EXTRA]],estoque[fornecedor],"&lt;&gt;saída",estoque[data],preçodiario[[#This Row],[data]])))))</f>
        <v>14.620295014991903</v>
      </c>
      <c r="V73" s="22">
        <f>IF(preçodiario[[#This Row],[entrada E]]=0,V72-(SUMIFS(estoque[quantidade],estoque[fornecedor],"saída",estoque[produto],preçodiario[[#Headers],[OVO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Row],[data]]))+V72+preçodiario[[#This Row],[entrada E]])</f>
        <v>37</v>
      </c>
      <c r="W73" s="22">
        <f>SUMIFS(estoque[quantidade],estoque[fornecedor],"&lt;&gt;saída",estoque[produto],preçodiario[[#Headers],[OVO BRANCO EXTRA]],estoque[data],preçodiario[[#This Row],[data]])</f>
        <v>0</v>
      </c>
      <c r="X73" s="20">
        <f>SUMIFS(estoque[valor total],estoque[fornecedor],"&lt;&gt;saída",estoque[produto],preçodiario[[#Headers],[OVO BRANCO EXTRA]],estoque[data],preçodiario[[#This Row],[data]])</f>
        <v>0</v>
      </c>
      <c r="Y73" s="20">
        <f>IFERROR(preçodiario[[#This Row],[estoque E]]*preçodiario[[#This Row],[OVO BRANCO EXTRA]],0)</f>
        <v>540.95091555470037</v>
      </c>
      <c r="Z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Row],[data]])),((Z72*AA72)+SUMIFS(estoque[valor total],estoque[produto],preçodiario[[#Headers],[OVO BRANCO JUMBO]],estoque[data],preçodiario[[#This Row],[data]],estoque[fornecedor],"&lt;&gt;saída"))/(AA72+(SUMIFS(estoque[quantidade],estoque[produto],preçodiario[[#Headers],[OVO BRANCO JUMBO]],estoque[fornecedor],"&lt;&gt;saída",estoque[data],preçodiario[[#This Row],[data]])))))</f>
        <v>15.422235769503299</v>
      </c>
      <c r="AA73" s="22">
        <f>IF(preçodiario[[#This Row],[entrada J]]=0,AA72-(SUMIFS(estoque[quantidade],estoque[fornecedor],"saída",estoque[produto],preçodiario[[#Headers],[OVO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Row],[data]]))+AA72+preçodiario[[#This Row],[entrada J]])</f>
        <v>29</v>
      </c>
      <c r="AB73" s="22">
        <f>SUMIFS(estoque[quantidade],estoque[fornecedor],"&lt;&gt;saída",estoque[produto],preçodiario[[#Headers],[OVO BRANCO JUMBO]],estoque[data],preçodiario[[#This Row],[data]])</f>
        <v>0</v>
      </c>
      <c r="AC73" s="20">
        <f>SUMIFS(estoque[valor total],estoque[fornecedor],"&lt;&gt;saída",estoque[produto],preçodiario[[#Headers],[OVO BRANCO JUMBO]],estoque[data],preçodiario[[#This Row],[data]])</f>
        <v>0</v>
      </c>
      <c r="AD73" s="20">
        <f>IFERROR(preçodiario[[#This Row],[OVO BRANCO JUMBO]]*preçodiario[[#This Row],[estoque J]],0)</f>
        <v>447.24483731559565</v>
      </c>
      <c r="AE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Row],[data]])),((AE72*AF72)+SUMIFS(estoque[valor total],estoque[produto],preçodiario[[#Headers],[OVO VERMELHO A]],estoque[data],preçodiario[[#This Row],[data]],estoque[fornecedor],"&lt;&gt;saída"))/(AF72+(SUMIFS(estoque[quantidade],estoque[produto],preçodiario[[#Headers],[OVO VERMELHO A]],estoque[fornecedor],"&lt;&gt;saída",estoque[data],preçodiario[[#This Row],[data]])))))</f>
        <v/>
      </c>
      <c r="AF73" s="22">
        <f>IF(preçodiario[[#This Row],[entrada AV]]=0,AF72-(SUMIFS(estoque[quantidade],estoque[fornecedor],"saída",estoque[produto],preçodiario[[#Headers],[OVO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Row],[data]]))+AF72+preçodiario[[#This Row],[entrada AV]])</f>
        <v>0</v>
      </c>
      <c r="AG73" s="22">
        <f>SUMIFS(estoque[quantidade],estoque[fornecedor],"&lt;&gt;saída",estoque[produto],preçodiario[[#Headers],[OVO VERMELHO A]],estoque[data],preçodiario[[#This Row],[data]])</f>
        <v>0</v>
      </c>
      <c r="AH73" s="20">
        <f>SUMIFS(estoque[valor total],estoque[fornecedor],"&lt;&gt;saída",estoque[produto],preçodiario[[#Headers],[OVO VERMELHO A]],estoque[data],preçodiario[[#This Row],[data]])</f>
        <v>0</v>
      </c>
      <c r="AI73" s="20">
        <f>IFERROR(preçodiario[[#This Row],[OVO VERMELHO A]]*preçodiario[[#This Row],[estoque AV]],0)</f>
        <v>0</v>
      </c>
      <c r="AJ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Row],[data]])),((AJ72*AK72)+SUMIFS(estoque[valor total],estoque[produto],preçodiario[[#Headers],[OVO VERMELHO B]],estoque[data],preçodiario[[#This Row],[data]],estoque[fornecedor],"&lt;&gt;saída"))/(AK72+(SUMIFS(estoque[quantidade],estoque[produto],preçodiario[[#Headers],[OVO VERMELHO B]],estoque[fornecedor],"&lt;&gt;saída",estoque[data],preçodiario[[#This Row],[data]])))))</f>
        <v/>
      </c>
      <c r="AK73" s="22">
        <f>IF(preçodiario[[#This Row],[entrada BV]]=0,AK72-(SUMIFS(estoque[quantidade],estoque[fornecedor],"saída",estoque[produto],preçodiario[[#Headers],[OVO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Row],[data]]))+AK72+preçodiario[[#This Row],[entrada BV]])</f>
        <v>0</v>
      </c>
      <c r="AL73" s="22">
        <f>SUMIFS(estoque[quantidade],estoque[fornecedor],"&lt;&gt;saída",estoque[produto],preçodiario[[#Headers],[OVO VERMELHO B]],estoque[data],preçodiario[[#This Row],[data]])</f>
        <v>0</v>
      </c>
      <c r="AM73" s="20">
        <f>SUMIFS(estoque[valor total],estoque[fornecedor],"&lt;&gt;saída",estoque[produto],preçodiario[[#Headers],[OVO VERMELHO B]],estoque[data],preçodiario[[#This Row],[data]])</f>
        <v>0</v>
      </c>
      <c r="AN73" s="20">
        <f>IFERROR(preçodiario[[#This Row],[OVO VERMELHO B]]*preçodiario[[#This Row],[estoque BV]],0)</f>
        <v>0</v>
      </c>
      <c r="AO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Row],[data]])),((AO72*AP72)+SUMIFS(estoque[valor total],estoque[produto],preçodiario[[#Headers],[OVO VERMELHO C]],estoque[data],preçodiario[[#This Row],[data]],estoque[fornecedor],"&lt;&gt;saída"))/(AP72+(SUMIFS(estoque[quantidade],estoque[produto],preçodiario[[#Headers],[OVO VERMELHO C]],estoque[fornecedor],"&lt;&gt;saída",estoque[data],preçodiario[[#This Row],[data]])))))</f>
        <v/>
      </c>
      <c r="AP73" s="22">
        <f>IF(preçodiario[[#This Row],[entrada CV]]=0,AP72-(SUMIFS(estoque[quantidade],estoque[fornecedor],"saída",estoque[produto],preçodiario[[#Headers],[OVO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Row],[data]]))+AP72+preçodiario[[#This Row],[entrada CV]])</f>
        <v>0</v>
      </c>
      <c r="AQ73" s="22">
        <f>SUMIFS(estoque[quantidade],estoque[fornecedor],"&lt;&gt;saída",estoque[produto],preçodiario[[#Headers],[OVO VERMELHO C]],estoque[data],preçodiario[[#This Row],[data]])</f>
        <v>0</v>
      </c>
      <c r="AR73" s="20">
        <f>SUMIFS(estoque[valor total],estoque[fornecedor],"&lt;&gt;saída",estoque[produto],preçodiario[[#Headers],[OVO VERMELHO C]],estoque[data],preçodiario[[#This Row],[data]])</f>
        <v>0</v>
      </c>
      <c r="AS73" s="20">
        <f>IFERROR(preçodiario[[#This Row],[OVO VERMELHO C]]*preçodiario[[#This Row],[estoque CV]],0)</f>
        <v>0</v>
      </c>
      <c r="AT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Row],[data]])),((AT72*AU72)+SUMIFS(estoque[valor total],estoque[produto],preçodiario[[#Headers],[OVO VERMELHO EXTRA]],estoque[data],preçodiario[[#This Row],[data]],estoque[fornecedor],"&lt;&gt;saída"))/(AU72+(SUMIFS(estoque[quantidade],estoque[produto],preçodiario[[#Headers],[OVO VERMELHO EXTRA]],estoque[fornecedor],"&lt;&gt;saída",estoque[data],preçodiario[[#This Row],[data]])))))</f>
        <v/>
      </c>
      <c r="AU73" s="22">
        <f>IF(preçodiario[[#This Row],[entrada EV]]=0,AU72-(SUMIFS(estoque[quantidade],estoque[fornecedor],"saída",estoque[produto],preçodiario[[#Headers],[OVO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Row],[data]]))+AU72+preçodiario[[#This Row],[entrada EV]])</f>
        <v>0</v>
      </c>
      <c r="AV73" s="22">
        <f>SUMIFS(estoque[quantidade],estoque[fornecedor],"&lt;&gt;saída",estoque[produto],preçodiario[[#Headers],[OVO VERMELHO EXTRA]],estoque[data],preçodiario[[#This Row],[data]])</f>
        <v>0</v>
      </c>
      <c r="AW73" s="20">
        <f>SUMIFS(estoque[valor total],estoque[fornecedor],"&lt;&gt;saída",estoque[produto],preçodiario[[#Headers],[OVO VERMELHO EXTRA]],estoque[data],preçodiario[[#This Row],[data]])</f>
        <v>0</v>
      </c>
      <c r="AX73" s="20">
        <f>IFERROR(preçodiario[[#This Row],[OVO VERMELHO EXTRA]]*preçodiario[[#This Row],[estoque EV]],0)</f>
        <v>0</v>
      </c>
      <c r="AY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Row],[data]])),((AY72*AZ72)+SUMIFS(estoque[valor total],estoque[produto],preçodiario[[#Headers],[OVO VERMELHO JUMBO]],estoque[data],preçodiario[[#This Row],[data]],estoque[fornecedor],"&lt;&gt;saída"))/(AZ72+(SUMIFS(estoque[quantidade],estoque[produto],preçodiario[[#Headers],[OVO VERMELHO JUMBO]],estoque[fornecedor],"&lt;&gt;saída",estoque[data],preçodiario[[#This Row],[data]])))))</f>
        <v/>
      </c>
      <c r="AZ73" s="22">
        <f>IF(preçodiario[[#This Row],[entrada JV]]=0,AZ72-(SUMIFS(estoque[quantidade],estoque[fornecedor],"saída",estoque[produto],preçodiario[[#Headers],[OVO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Row],[data]]))+AZ72+preçodiario[[#This Row],[entrada JV]])</f>
        <v>0</v>
      </c>
      <c r="BA73" s="22">
        <f>SUMIFS(estoque[quantidade],estoque[fornecedor],"&lt;&gt;saída",estoque[produto],preçodiario[[#Headers],[OVO VERMELHO JUMBO]],estoque[data],preçodiario[[#This Row],[data]])</f>
        <v>0</v>
      </c>
      <c r="BB73" s="20">
        <f>SUMIFS(estoque[valor total],estoque[fornecedor],"&lt;&gt;saída",estoque[produto],preçodiario[[#Headers],[OVO VERMELHO JUMBO]],estoque[data],preçodiario[[#This Row],[data]])</f>
        <v>0</v>
      </c>
      <c r="BC73" s="20">
        <f>IFERROR(preçodiario[[#This Row],[OVO VERMELHO JUMBO]]*preçodiario[[#This Row],[estoque JV]],0)</f>
        <v>0</v>
      </c>
      <c r="BD73" t="str">
        <f>TEXT(vendaAno[[#This Row],[data]],"mmm")</f>
        <v>mar</v>
      </c>
      <c r="BE73" t="str">
        <f>TEXT(vendaAno[[#This Row],[data]],"ddd")</f>
        <v>sex</v>
      </c>
      <c r="BF73" s="82">
        <f>WEEKNUM(vendaAno[[#This Row],[data]],13)</f>
        <v>11</v>
      </c>
      <c r="BG73" s="27">
        <f>preçodiario[[#This Row],[data]]</f>
        <v>46094</v>
      </c>
      <c r="BH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3" s="8">
        <f>IF(SUMIFS(estoque[valor total],estoque[fornecedor],"saída",estoque[data],vendaAno[[#This Row],[data]])=0,"",SUMIFS(estoque[valor total],estoque[fornecedor],"saída",estoque[data],vendaAno[[#This Row],[data]]))</f>
        <v>598</v>
      </c>
      <c r="BJ7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Row],[data]]))/12+BJ72,"")</f>
        <v>21.499999999999968</v>
      </c>
      <c r="BK73" s="79">
        <f ca="1">IF(TODAY()&gt;=vendaAno[[#This Row],[data]],IF(SUMIFS(estoque[quantidade],estoque[fornecedor],"saída",estoque[data],vendaAno[[#This Row],[data]])/12=0,AVERAGE(BK70:BK72),SUMIFS(estoque[quantidade],estoque[fornecedor],"saída",estoque[data],vendaAno[[#This Row],[data]])/12),"")</f>
        <v>3</v>
      </c>
      <c r="BL73" s="8">
        <f ca="1">IF(vendaAno[[#This Row],[data]]&lt;=TODAY(),IF(SUMIFS(estoque[lucro],estoque[fornecedor],"saída",estoque[data],vendaAno[[#This Row],[data]])=0,AVERAGE(BL70:BL72),SUMIFS(estoque[lucro],estoque[fornecedor],"saída",estoque[data],vendaAno[[#This Row],[data]])),"")</f>
        <v>99.08</v>
      </c>
      <c r="BM73" s="10">
        <f ca="1">IFERROR(vendaAno[[#This Row],[lucro]]/vendaAno[[#This Row],[valor de venda]],"")</f>
        <v>0.16568561872909698</v>
      </c>
      <c r="BN7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3333.5290862036295</v>
      </c>
      <c r="BO73" s="8">
        <f ca="1">IF(TODAY()&gt;=vendaAno[[#This Row],[data]],IF(vendaAno[[#This Row],[N°]]=BF72,vendaAno[[#This Row],[lucro]]-173.33+BO72,vendaAno[[#This Row],[lucro]]-150),"")</f>
        <v>-95.260000000000034</v>
      </c>
      <c r="BP73" s="81">
        <f ca="1">IF(TODAY()&gt;=vendaAno[[#This Row],[data]],SUM(BK67:BK73)*12,"")</f>
        <v>253.99999999999997</v>
      </c>
      <c r="BQ73" s="7">
        <f ca="1">IFERROR(vendaAno[[#This Row],[lucro]]/(vendaAno[[#This Row],[venda]]*12),"")</f>
        <v>2.7522222222222221</v>
      </c>
      <c r="CD73" s="7"/>
    </row>
    <row r="74" spans="1:82" x14ac:dyDescent="0.25">
      <c r="A74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4" s="18" t="str">
        <f>TEXT(preçodiario[[#This Row],[data]],"MMM")</f>
        <v>mar</v>
      </c>
      <c r="C74" s="18" t="str">
        <f>TEXT(preçodiario[[#This Row],[data]],"ddd")</f>
        <v>sáb</v>
      </c>
      <c r="D74" s="96">
        <f>WEEKNUM(preçodiario[[#This Row],[data]],13)</f>
        <v>11</v>
      </c>
      <c r="E74" s="37">
        <v>46095</v>
      </c>
      <c r="F74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Row],[data]])),((F73*G73)+SUMIFS(estoque[valor total],estoque[produto],preçodiario[[#Headers],[OVO BRANCO A]],estoque[data],preçodiario[[#This Row],[data]],estoque[fornecedor],"&lt;&gt;saída"))/(G73+(SUMIFS(estoque[quantidade],estoque[produto],preçodiario[[#Headers],[OVO BRANCO A]],estoque[fornecedor],"&lt;&gt;saída",estoque[data],preçodiario[[#This Row],[data]])))))</f>
        <v/>
      </c>
      <c r="G74" s="22">
        <f>IF(preçodiario[[#This Row],[entrada A]]=0,G73-(SUMIFS(estoque[quantidade],estoque[fornecedor],"saída",estoque[produto],preçodiario[[#Headers],[OVO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Row],[data]]))+G73+preçodiario[[#This Row],[entrada A]])</f>
        <v>0</v>
      </c>
      <c r="H74" s="22">
        <f>SUMIFS(estoque[quantidade],estoque[fornecedor],"&lt;&gt;saída",estoque[produto],preçodiario[[#Headers],[OVO BRANCO A]],estoque[data],preçodiario[[#This Row],[data]])</f>
        <v>0</v>
      </c>
      <c r="I74" s="20">
        <f>SUMIFS(estoque[valor total],estoque[fornecedor],"&lt;&gt;saída",estoque[produto],preçodiario[[#Headers],[OVO BRANCO A]],estoque[data],preçodiario[[#This Row],[data]])</f>
        <v>0</v>
      </c>
      <c r="J74" s="20">
        <f>IFERROR(preçodiario[[#This Row],[estoque A]]*preçodiario[[#This Row],[OVO BRANCO A]],0)</f>
        <v>0</v>
      </c>
      <c r="K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Row],[data]])),((K73*L73)+SUMIFS(estoque[valor total],estoque[produto],preçodiario[[#Headers],[OVO BRANCO B]],estoque[data],preçodiario[[#This Row],[data]],estoque[fornecedor],"&lt;&gt;saída"))/(L73+(SUMIFS(estoque[quantidade],estoque[produto],preçodiario[[#Headers],[OVO BRANCO B]],estoque[fornecedor],"&lt;&gt;saída",estoque[data],preçodiario[[#This Row],[data]])))))</f>
        <v>12.916666666666664</v>
      </c>
      <c r="L74" s="22">
        <f>IF(preçodiario[[#This Row],[entrada B]]=0,L73-(SUMIFS(estoque[quantidade],estoque[fornecedor],"saída",estoque[produto],preçodiario[[#Headers],[OVO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Row],[data]]))+L73+preçodiario[[#This Row],[entrada B]])</f>
        <v>79</v>
      </c>
      <c r="M74" s="22">
        <f>SUMIFS(estoque[quantidade],estoque[fornecedor],"&lt;&gt;saída",estoque[produto],preçodiario[[#Headers],[OVO BRANCO B]],estoque[data],preçodiario[[#This Row],[data]])</f>
        <v>0</v>
      </c>
      <c r="N74" s="20">
        <f>SUMIFS(estoque[valor total],estoque[fornecedor],"&lt;&gt;saída",estoque[produto],preçodiario[[#Headers],[OVO BRANCO B]],estoque[data],preçodiario[[#This Row],[data]])</f>
        <v>0</v>
      </c>
      <c r="O74" s="20">
        <f>IFERROR(preçodiario[[#This Row],[OVO BRANCO B]]*preçodiario[[#This Row],[estoque B]],0)</f>
        <v>1020.4166666666665</v>
      </c>
      <c r="P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Row],[data]])),((P73*Q73)+SUMIFS(estoque[valor total],estoque[produto],preçodiario[[#Headers],[OVO BRANCO C]],estoque[data],preçodiario[[#This Row],[data]],estoque[fornecedor],"&lt;&gt;saída"))/(Q73+(SUMIFS(estoque[quantidade],estoque[produto],preçodiario[[#Headers],[OVO BRANCO C]],estoque[fornecedor],"&lt;&gt;saída",estoque[data],preçodiario[[#This Row],[data]])))))</f>
        <v>11.583333333333334</v>
      </c>
      <c r="Q74" s="22">
        <f>IF(preçodiario[[#This Row],[entrada C]]=0,Q73-(SUMIFS(estoque[quantidade],estoque[fornecedor],"saída",estoque[produto],preçodiario[[#Headers],[OVO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Row],[data]]))+Q73+preçodiario[[#This Row],[entrada C]])</f>
        <v>99</v>
      </c>
      <c r="R74" s="22">
        <f>SUMIFS(estoque[quantidade],estoque[fornecedor],"&lt;&gt;saída",estoque[produto],preçodiario[[#Headers],[OVO BRANCO C]],estoque[data],preçodiario[[#This Row],[data]])</f>
        <v>0</v>
      </c>
      <c r="S74" s="20">
        <f>SUMIFS(estoque[valor total],estoque[fornecedor],"&lt;&gt;saída",estoque[produto],preçodiario[[#Headers],[OVO BRANCO C]],estoque[data],preçodiario[[#This Row],[data]])</f>
        <v>0</v>
      </c>
      <c r="T74" s="20">
        <f>IFERROR(preçodiario[[#This Row],[OVO BRANCO C]]*preçodiario[[#This Row],[estoque C]],0)</f>
        <v>1146.75</v>
      </c>
      <c r="U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Row],[data]])),((U73*V73)+SUMIFS(estoque[valor total],estoque[produto],preçodiario[[#Headers],[OVO BRANCO EXTRA]],estoque[data],preçodiario[[#This Row],[data]],estoque[fornecedor],"&lt;&gt;saída"))/(V73+(SUMIFS(estoque[quantidade],estoque[produto],preçodiario[[#Headers],[OVO BRANCO EXTRA]],estoque[fornecedor],"&lt;&gt;saída",estoque[data],preçodiario[[#This Row],[data]])))))</f>
        <v>14.620295014991902</v>
      </c>
      <c r="V74" s="22">
        <f>IF(preçodiario[[#This Row],[entrada E]]=0,V73-(SUMIFS(estoque[quantidade],estoque[fornecedor],"saída",estoque[produto],preçodiario[[#Headers],[OVO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Row],[data]]))+V73+preçodiario[[#This Row],[entrada E]])</f>
        <v>36</v>
      </c>
      <c r="W74" s="22">
        <f>SUMIFS(estoque[quantidade],estoque[fornecedor],"&lt;&gt;saída",estoque[produto],preçodiario[[#Headers],[OVO BRANCO EXTRA]],estoque[data],preçodiario[[#This Row],[data]])</f>
        <v>0</v>
      </c>
      <c r="X74" s="20">
        <f>SUMIFS(estoque[valor total],estoque[fornecedor],"&lt;&gt;saída",estoque[produto],preçodiario[[#Headers],[OVO BRANCO EXTRA]],estoque[data],preçodiario[[#This Row],[data]])</f>
        <v>0</v>
      </c>
      <c r="Y74" s="20">
        <f>IFERROR(preçodiario[[#This Row],[estoque E]]*preçodiario[[#This Row],[OVO BRANCO EXTRA]],0)</f>
        <v>526.33062053970843</v>
      </c>
      <c r="Z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Row],[data]])),((Z73*AA73)+SUMIFS(estoque[valor total],estoque[produto],preçodiario[[#Headers],[OVO BRANCO JUMBO]],estoque[data],preçodiario[[#This Row],[data]],estoque[fornecedor],"&lt;&gt;saída"))/(AA73+(SUMIFS(estoque[quantidade],estoque[produto],preçodiario[[#Headers],[OVO BRANCO JUMBO]],estoque[fornecedor],"&lt;&gt;saída",estoque[data],preçodiario[[#This Row],[data]])))))</f>
        <v>15.422235769503299</v>
      </c>
      <c r="AA74" s="22">
        <f>IF(preçodiario[[#This Row],[entrada J]]=0,AA73-(SUMIFS(estoque[quantidade],estoque[fornecedor],"saída",estoque[produto],preçodiario[[#Headers],[OVO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Row],[data]]))+AA73+preçodiario[[#This Row],[entrada J]])</f>
        <v>24</v>
      </c>
      <c r="AB74" s="22">
        <f>SUMIFS(estoque[quantidade],estoque[fornecedor],"&lt;&gt;saída",estoque[produto],preçodiario[[#Headers],[OVO BRANCO JUMBO]],estoque[data],preçodiario[[#This Row],[data]])</f>
        <v>0</v>
      </c>
      <c r="AC74" s="20">
        <f>SUMIFS(estoque[valor total],estoque[fornecedor],"&lt;&gt;saída",estoque[produto],preçodiario[[#Headers],[OVO BRANCO JUMBO]],estoque[data],preçodiario[[#This Row],[data]])</f>
        <v>0</v>
      </c>
      <c r="AD74" s="20">
        <f>IFERROR(preçodiario[[#This Row],[OVO BRANCO JUMBO]]*preçodiario[[#This Row],[estoque J]],0)</f>
        <v>370.13365846807915</v>
      </c>
      <c r="AE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Row],[data]])),((AE73*AF73)+SUMIFS(estoque[valor total],estoque[produto],preçodiario[[#Headers],[OVO VERMELHO A]],estoque[data],preçodiario[[#This Row],[data]],estoque[fornecedor],"&lt;&gt;saída"))/(AF73+(SUMIFS(estoque[quantidade],estoque[produto],preçodiario[[#Headers],[OVO VERMELHO A]],estoque[fornecedor],"&lt;&gt;saída",estoque[data],preçodiario[[#This Row],[data]])))))</f>
        <v/>
      </c>
      <c r="AF74" s="22">
        <f>IF(preçodiario[[#This Row],[entrada AV]]=0,AF73-(SUMIFS(estoque[quantidade],estoque[fornecedor],"saída",estoque[produto],preçodiario[[#Headers],[OVO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Row],[data]]))+AF73+preçodiario[[#This Row],[entrada AV]])</f>
        <v>0</v>
      </c>
      <c r="AG74" s="22">
        <f>SUMIFS(estoque[quantidade],estoque[fornecedor],"&lt;&gt;saída",estoque[produto],preçodiario[[#Headers],[OVO VERMELHO A]],estoque[data],preçodiario[[#This Row],[data]])</f>
        <v>0</v>
      </c>
      <c r="AH74" s="20">
        <f>SUMIFS(estoque[valor total],estoque[fornecedor],"&lt;&gt;saída",estoque[produto],preçodiario[[#Headers],[OVO VERMELHO A]],estoque[data],preçodiario[[#This Row],[data]])</f>
        <v>0</v>
      </c>
      <c r="AI74" s="20">
        <f>IFERROR(preçodiario[[#This Row],[OVO VERMELHO A]]*preçodiario[[#This Row],[estoque AV]],0)</f>
        <v>0</v>
      </c>
      <c r="AJ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Row],[data]])),((AJ73*AK73)+SUMIFS(estoque[valor total],estoque[produto],preçodiario[[#Headers],[OVO VERMELHO B]],estoque[data],preçodiario[[#This Row],[data]],estoque[fornecedor],"&lt;&gt;saída"))/(AK73+(SUMIFS(estoque[quantidade],estoque[produto],preçodiario[[#Headers],[OVO VERMELHO B]],estoque[fornecedor],"&lt;&gt;saída",estoque[data],preçodiario[[#This Row],[data]])))))</f>
        <v/>
      </c>
      <c r="AK74" s="22">
        <f>IF(preçodiario[[#This Row],[entrada BV]]=0,AK73-(SUMIFS(estoque[quantidade],estoque[fornecedor],"saída",estoque[produto],preçodiario[[#Headers],[OVO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Row],[data]]))+AK73+preçodiario[[#This Row],[entrada BV]])</f>
        <v>0</v>
      </c>
      <c r="AL74" s="22">
        <f>SUMIFS(estoque[quantidade],estoque[fornecedor],"&lt;&gt;saída",estoque[produto],preçodiario[[#Headers],[OVO VERMELHO B]],estoque[data],preçodiario[[#This Row],[data]])</f>
        <v>0</v>
      </c>
      <c r="AM74" s="20">
        <f>SUMIFS(estoque[valor total],estoque[fornecedor],"&lt;&gt;saída",estoque[produto],preçodiario[[#Headers],[OVO VERMELHO B]],estoque[data],preçodiario[[#This Row],[data]])</f>
        <v>0</v>
      </c>
      <c r="AN74" s="20">
        <f>IFERROR(preçodiario[[#This Row],[OVO VERMELHO B]]*preçodiario[[#This Row],[estoque BV]],0)</f>
        <v>0</v>
      </c>
      <c r="AO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Row],[data]])),((AO73*AP73)+SUMIFS(estoque[valor total],estoque[produto],preçodiario[[#Headers],[OVO VERMELHO C]],estoque[data],preçodiario[[#This Row],[data]],estoque[fornecedor],"&lt;&gt;saída"))/(AP73+(SUMIFS(estoque[quantidade],estoque[produto],preçodiario[[#Headers],[OVO VERMELHO C]],estoque[fornecedor],"&lt;&gt;saída",estoque[data],preçodiario[[#This Row],[data]])))))</f>
        <v/>
      </c>
      <c r="AP74" s="22">
        <f>IF(preçodiario[[#This Row],[entrada CV]]=0,AP73-(SUMIFS(estoque[quantidade],estoque[fornecedor],"saída",estoque[produto],preçodiario[[#Headers],[OVO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Row],[data]]))+AP73+preçodiario[[#This Row],[entrada CV]])</f>
        <v>0</v>
      </c>
      <c r="AQ74" s="22">
        <f>SUMIFS(estoque[quantidade],estoque[fornecedor],"&lt;&gt;saída",estoque[produto],preçodiario[[#Headers],[OVO VERMELHO C]],estoque[data],preçodiario[[#This Row],[data]])</f>
        <v>0</v>
      </c>
      <c r="AR74" s="20">
        <f>SUMIFS(estoque[valor total],estoque[fornecedor],"&lt;&gt;saída",estoque[produto],preçodiario[[#Headers],[OVO VERMELHO C]],estoque[data],preçodiario[[#This Row],[data]])</f>
        <v>0</v>
      </c>
      <c r="AS74" s="20">
        <f>IFERROR(preçodiario[[#This Row],[OVO VERMELHO C]]*preçodiario[[#This Row],[estoque CV]],0)</f>
        <v>0</v>
      </c>
      <c r="AT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Row],[data]])),((AT73*AU73)+SUMIFS(estoque[valor total],estoque[produto],preçodiario[[#Headers],[OVO VERMELHO EXTRA]],estoque[data],preçodiario[[#This Row],[data]],estoque[fornecedor],"&lt;&gt;saída"))/(AU73+(SUMIFS(estoque[quantidade],estoque[produto],preçodiario[[#Headers],[OVO VERMELHO EXTRA]],estoque[fornecedor],"&lt;&gt;saída",estoque[data],preçodiario[[#This Row],[data]])))))</f>
        <v/>
      </c>
      <c r="AU74" s="22">
        <f>IF(preçodiario[[#This Row],[entrada EV]]=0,AU73-(SUMIFS(estoque[quantidade],estoque[fornecedor],"saída",estoque[produto],preçodiario[[#Headers],[OVO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Row],[data]]))+AU73+preçodiario[[#This Row],[entrada EV]])</f>
        <v>0</v>
      </c>
      <c r="AV74" s="22">
        <f>SUMIFS(estoque[quantidade],estoque[fornecedor],"&lt;&gt;saída",estoque[produto],preçodiario[[#Headers],[OVO VERMELHO EXTRA]],estoque[data],preçodiario[[#This Row],[data]])</f>
        <v>0</v>
      </c>
      <c r="AW74" s="20">
        <f>SUMIFS(estoque[valor total],estoque[fornecedor],"&lt;&gt;saída",estoque[produto],preçodiario[[#Headers],[OVO VERMELHO EXTRA]],estoque[data],preçodiario[[#This Row],[data]])</f>
        <v>0</v>
      </c>
      <c r="AX74" s="20">
        <f>IFERROR(preçodiario[[#This Row],[OVO VERMELHO EXTRA]]*preçodiario[[#This Row],[estoque EV]],0)</f>
        <v>0</v>
      </c>
      <c r="AY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Row],[data]])),((AY73*AZ73)+SUMIFS(estoque[valor total],estoque[produto],preçodiario[[#Headers],[OVO VERMELHO JUMBO]],estoque[data],preçodiario[[#This Row],[data]],estoque[fornecedor],"&lt;&gt;saída"))/(AZ73+(SUMIFS(estoque[quantidade],estoque[produto],preçodiario[[#Headers],[OVO VERMELHO JUMBO]],estoque[fornecedor],"&lt;&gt;saída",estoque[data],preçodiario[[#This Row],[data]])))))</f>
        <v/>
      </c>
      <c r="AZ74" s="22">
        <f>IF(preçodiario[[#This Row],[entrada JV]]=0,AZ73-(SUMIFS(estoque[quantidade],estoque[fornecedor],"saída",estoque[produto],preçodiario[[#Headers],[OVO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Row],[data]]))+AZ73+preçodiario[[#This Row],[entrada JV]])</f>
        <v>0</v>
      </c>
      <c r="BA74" s="22">
        <f>SUMIFS(estoque[quantidade],estoque[fornecedor],"&lt;&gt;saída",estoque[produto],preçodiario[[#Headers],[OVO VERMELHO JUMBO]],estoque[data],preçodiario[[#This Row],[data]])</f>
        <v>0</v>
      </c>
      <c r="BB74" s="20">
        <f>SUMIFS(estoque[valor total],estoque[fornecedor],"&lt;&gt;saída",estoque[produto],preçodiario[[#Headers],[OVO VERMELHO JUMBO]],estoque[data],preçodiario[[#This Row],[data]])</f>
        <v>0</v>
      </c>
      <c r="BC74" s="20">
        <f>IFERROR(preçodiario[[#This Row],[OVO VERMELHO JUMBO]]*preçodiario[[#This Row],[estoque JV]],0)</f>
        <v>0</v>
      </c>
      <c r="BD74" t="str">
        <f>TEXT(vendaAno[[#This Row],[data]],"mmm")</f>
        <v>mar</v>
      </c>
      <c r="BE74" t="str">
        <f>TEXT(vendaAno[[#This Row],[data]],"ddd")</f>
        <v>sáb</v>
      </c>
      <c r="BF74" s="82">
        <f>WEEKNUM(vendaAno[[#This Row],[data]],13)</f>
        <v>11</v>
      </c>
      <c r="BG74" s="27">
        <f>preçodiario[[#This Row],[data]]</f>
        <v>46095</v>
      </c>
      <c r="BH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4" s="8">
        <f>IF(SUMIFS(estoque[valor total],estoque[fornecedor],"saída",estoque[data],vendaAno[[#This Row],[data]])=0,"",SUMIFS(estoque[valor total],estoque[fornecedor],"saída",estoque[data],vendaAno[[#This Row],[data]]))</f>
        <v>314</v>
      </c>
      <c r="BJ7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Row],[data]]))/12+BJ73,"")</f>
        <v>19.8333333333333</v>
      </c>
      <c r="BK74" s="79">
        <f ca="1">IF(TODAY()&gt;=vendaAno[[#This Row],[data]],IF(SUMIFS(estoque[quantidade],estoque[fornecedor],"saída",estoque[data],vendaAno[[#This Row],[data]])/12=0,AVERAGE(BK71:BK73),SUMIFS(estoque[quantidade],estoque[fornecedor],"saída",estoque[data],vendaAno[[#This Row],[data]])/12),"")</f>
        <v>1.6666666666666667</v>
      </c>
      <c r="BL74" s="8">
        <f ca="1">IF(vendaAno[[#This Row],[data]]&lt;=TODAY(),IF(SUMIFS(estoque[lucro],estoque[fornecedor],"saída",estoque[data],vendaAno[[#This Row],[data]])=0,AVERAGE(BL71:BL73),SUMIFS(estoque[lucro],estoque[fornecedor],"saída",estoque[data],vendaAno[[#This Row],[data]])),"")</f>
        <v>44.1</v>
      </c>
      <c r="BM74" s="10">
        <f ca="1">IFERROR(vendaAno[[#This Row],[lucro]]/vendaAno[[#This Row],[valor de venda]],"")</f>
        <v>0.14044585987261146</v>
      </c>
      <c r="BN7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3063.6309456744539</v>
      </c>
      <c r="BO74" s="8">
        <f ca="1">IF(TODAY()&gt;=vendaAno[[#This Row],[data]],IF(vendaAno[[#This Row],[N°]]=BF73,vendaAno[[#This Row],[lucro]]-173.33+BO73,vendaAno[[#This Row],[lucro]]-150),"")</f>
        <v>-224.49000000000007</v>
      </c>
      <c r="BP74" s="81">
        <f ca="1">IF(TODAY()&gt;=vendaAno[[#This Row],[data]],SUM(BK68:BK74)*12,"")</f>
        <v>266</v>
      </c>
      <c r="BQ74" s="7">
        <f ca="1">IFERROR(vendaAno[[#This Row],[lucro]]/(vendaAno[[#This Row],[venda]]*12),"")</f>
        <v>2.2050000000000001</v>
      </c>
      <c r="CD74" s="7"/>
    </row>
    <row r="75" spans="1:82" x14ac:dyDescent="0.25">
      <c r="A75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5" s="18" t="str">
        <f>TEXT(preçodiario[[#This Row],[data]],"MMM")</f>
        <v>mar</v>
      </c>
      <c r="C75" s="18" t="str">
        <f>TEXT(preçodiario[[#This Row],[data]],"ddd")</f>
        <v>dom</v>
      </c>
      <c r="D75" s="96">
        <f>WEEKNUM(preçodiario[[#This Row],[data]],13)</f>
        <v>11</v>
      </c>
      <c r="E75" s="37">
        <v>46096</v>
      </c>
      <c r="F75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Row],[data]])),((F74*G74)+SUMIFS(estoque[valor total],estoque[produto],preçodiario[[#Headers],[OVO BRANCO A]],estoque[data],preçodiario[[#This Row],[data]],estoque[fornecedor],"&lt;&gt;saída"))/(G74+(SUMIFS(estoque[quantidade],estoque[produto],preçodiario[[#Headers],[OVO BRANCO A]],estoque[fornecedor],"&lt;&gt;saída",estoque[data],preçodiario[[#This Row],[data]])))))</f>
        <v/>
      </c>
      <c r="G75" s="22">
        <f>IF(preçodiario[[#This Row],[entrada A]]=0,G74-(SUMIFS(estoque[quantidade],estoque[fornecedor],"saída",estoque[produto],preçodiario[[#Headers],[OVO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Row],[data]]))+G74+preçodiario[[#This Row],[entrada A]])</f>
        <v>0</v>
      </c>
      <c r="H75" s="22">
        <f>SUMIFS(estoque[quantidade],estoque[fornecedor],"&lt;&gt;saída",estoque[produto],preçodiario[[#Headers],[OVO BRANCO A]],estoque[data],preçodiario[[#This Row],[data]])</f>
        <v>0</v>
      </c>
      <c r="I75" s="20">
        <f>SUMIFS(estoque[valor total],estoque[fornecedor],"&lt;&gt;saída",estoque[produto],preçodiario[[#Headers],[OVO BRANCO A]],estoque[data],preçodiario[[#This Row],[data]])</f>
        <v>0</v>
      </c>
      <c r="J75" s="20">
        <f>IFERROR(preçodiario[[#This Row],[estoque A]]*preçodiario[[#This Row],[OVO BRANCO A]],0)</f>
        <v>0</v>
      </c>
      <c r="K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Row],[data]])),((K74*L74)+SUMIFS(estoque[valor total],estoque[produto],preçodiario[[#Headers],[OVO BRANCO B]],estoque[data],preçodiario[[#This Row],[data]],estoque[fornecedor],"&lt;&gt;saída"))/(L74+(SUMIFS(estoque[quantidade],estoque[produto],preçodiario[[#Headers],[OVO BRANCO B]],estoque[fornecedor],"&lt;&gt;saída",estoque[data],preçodiario[[#This Row],[data]])))))</f>
        <v>12.916666666666664</v>
      </c>
      <c r="L75" s="22">
        <f>IF(preçodiario[[#This Row],[entrada B]]=0,L74-(SUMIFS(estoque[quantidade],estoque[fornecedor],"saída",estoque[produto],preçodiario[[#Headers],[OVO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Row],[data]]))+L74+preçodiario[[#This Row],[entrada B]])</f>
        <v>66</v>
      </c>
      <c r="M75" s="22">
        <f>SUMIFS(estoque[quantidade],estoque[fornecedor],"&lt;&gt;saída",estoque[produto],preçodiario[[#Headers],[OVO BRANCO B]],estoque[data],preçodiario[[#This Row],[data]])</f>
        <v>0</v>
      </c>
      <c r="N75" s="20">
        <f>SUMIFS(estoque[valor total],estoque[fornecedor],"&lt;&gt;saída",estoque[produto],preçodiario[[#Headers],[OVO BRANCO B]],estoque[data],preçodiario[[#This Row],[data]])</f>
        <v>0</v>
      </c>
      <c r="O75" s="20">
        <f>IFERROR(preçodiario[[#This Row],[OVO BRANCO B]]*preçodiario[[#This Row],[estoque B]],0)</f>
        <v>852.49999999999989</v>
      </c>
      <c r="P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Row],[data]])),((P74*Q74)+SUMIFS(estoque[valor total],estoque[produto],preçodiario[[#Headers],[OVO BRANCO C]],estoque[data],preçodiario[[#This Row],[data]],estoque[fornecedor],"&lt;&gt;saída"))/(Q74+(SUMIFS(estoque[quantidade],estoque[produto],preçodiario[[#Headers],[OVO BRANCO C]],estoque[fornecedor],"&lt;&gt;saída",estoque[data],preçodiario[[#This Row],[data]])))))</f>
        <v>11.583333333333334</v>
      </c>
      <c r="Q75" s="22">
        <f>IF(preçodiario[[#This Row],[entrada C]]=0,Q74-(SUMIFS(estoque[quantidade],estoque[fornecedor],"saída",estoque[produto],preçodiario[[#Headers],[OVO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Row],[data]]))+Q74+preçodiario[[#This Row],[entrada C]])</f>
        <v>98</v>
      </c>
      <c r="R75" s="22">
        <f>SUMIFS(estoque[quantidade],estoque[fornecedor],"&lt;&gt;saída",estoque[produto],preçodiario[[#Headers],[OVO BRANCO C]],estoque[data],preçodiario[[#This Row],[data]])</f>
        <v>0</v>
      </c>
      <c r="S75" s="20">
        <f>SUMIFS(estoque[valor total],estoque[fornecedor],"&lt;&gt;saída",estoque[produto],preçodiario[[#Headers],[OVO BRANCO C]],estoque[data],preçodiario[[#This Row],[data]])</f>
        <v>0</v>
      </c>
      <c r="T75" s="20">
        <f>IFERROR(preçodiario[[#This Row],[OVO BRANCO C]]*preçodiario[[#This Row],[estoque C]],0)</f>
        <v>1135.1666666666667</v>
      </c>
      <c r="U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Row],[data]])),((U74*V74)+SUMIFS(estoque[valor total],estoque[produto],preçodiario[[#Headers],[OVO BRANCO EXTRA]],estoque[data],preçodiario[[#This Row],[data]],estoque[fornecedor],"&lt;&gt;saída"))/(V74+(SUMIFS(estoque[quantidade],estoque[produto],preçodiario[[#Headers],[OVO BRANCO EXTRA]],estoque[fornecedor],"&lt;&gt;saída",estoque[data],preçodiario[[#This Row],[data]])))))</f>
        <v>14.620295014991902</v>
      </c>
      <c r="V75" s="22">
        <f>IF(preçodiario[[#This Row],[entrada E]]=0,V74-(SUMIFS(estoque[quantidade],estoque[fornecedor],"saída",estoque[produto],preçodiario[[#Headers],[OVO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Row],[data]]))+V74+preçodiario[[#This Row],[entrada E]])</f>
        <v>20</v>
      </c>
      <c r="W75" s="22">
        <f>SUMIFS(estoque[quantidade],estoque[fornecedor],"&lt;&gt;saída",estoque[produto],preçodiario[[#Headers],[OVO BRANCO EXTRA]],estoque[data],preçodiario[[#This Row],[data]])</f>
        <v>0</v>
      </c>
      <c r="X75" s="20">
        <f>SUMIFS(estoque[valor total],estoque[fornecedor],"&lt;&gt;saída",estoque[produto],preçodiario[[#Headers],[OVO BRANCO EXTRA]],estoque[data],preçodiario[[#This Row],[data]])</f>
        <v>0</v>
      </c>
      <c r="Y75" s="20">
        <f>IFERROR(preçodiario[[#This Row],[estoque E]]*preçodiario[[#This Row],[OVO BRANCO EXTRA]],0)</f>
        <v>292.40590029983804</v>
      </c>
      <c r="Z7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Row],[data]])),((Z74*AA74)+SUMIFS(estoque[valor total],estoque[produto],preçodiario[[#Headers],[OVO BRANCO JUMBO]],estoque[data],preçodiario[[#This Row],[data]],estoque[fornecedor],"&lt;&gt;saída"))/(AA74+(SUMIFS(estoque[quantidade],estoque[produto],preçodiario[[#Headers],[OVO BRANCO JUMBO]],estoque[fornecedor],"&lt;&gt;saída",estoque[data],preçodiario[[#This Row],[data]])))))</f>
        <v/>
      </c>
      <c r="AA75" s="22">
        <f>IF(preçodiario[[#This Row],[entrada J]]=0,AA74-(SUMIFS(estoque[quantidade],estoque[fornecedor],"saída",estoque[produto],preçodiario[[#Headers],[OVO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Row],[data]]))+AA74+preçodiario[[#This Row],[entrada J]])</f>
        <v>0</v>
      </c>
      <c r="AB75" s="22">
        <f>SUMIFS(estoque[quantidade],estoque[fornecedor],"&lt;&gt;saída",estoque[produto],preçodiario[[#Headers],[OVO BRANCO JUMBO]],estoque[data],preçodiario[[#This Row],[data]])</f>
        <v>0</v>
      </c>
      <c r="AC75" s="20">
        <f>SUMIFS(estoque[valor total],estoque[fornecedor],"&lt;&gt;saída",estoque[produto],preçodiario[[#Headers],[OVO BRANCO JUMBO]],estoque[data],preçodiario[[#This Row],[data]])</f>
        <v>0</v>
      </c>
      <c r="AD75" s="20">
        <f>IFERROR(preçodiario[[#This Row],[OVO BRANCO JUMBO]]*preçodiario[[#This Row],[estoque J]],0)</f>
        <v>0</v>
      </c>
      <c r="AE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Row],[data]])),((AE74*AF74)+SUMIFS(estoque[valor total],estoque[produto],preçodiario[[#Headers],[OVO VERMELHO A]],estoque[data],preçodiario[[#This Row],[data]],estoque[fornecedor],"&lt;&gt;saída"))/(AF74+(SUMIFS(estoque[quantidade],estoque[produto],preçodiario[[#Headers],[OVO VERMELHO A]],estoque[fornecedor],"&lt;&gt;saída",estoque[data],preçodiario[[#This Row],[data]])))))</f>
        <v/>
      </c>
      <c r="AF75" s="22">
        <f>IF(preçodiario[[#This Row],[entrada AV]]=0,AF74-(SUMIFS(estoque[quantidade],estoque[fornecedor],"saída",estoque[produto],preçodiario[[#Headers],[OVO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Row],[data]]))+AF74+preçodiario[[#This Row],[entrada AV]])</f>
        <v>0</v>
      </c>
      <c r="AG75" s="22">
        <f>SUMIFS(estoque[quantidade],estoque[fornecedor],"&lt;&gt;saída",estoque[produto],preçodiario[[#Headers],[OVO VERMELHO A]],estoque[data],preçodiario[[#This Row],[data]])</f>
        <v>0</v>
      </c>
      <c r="AH75" s="20">
        <f>SUMIFS(estoque[valor total],estoque[fornecedor],"&lt;&gt;saída",estoque[produto],preçodiario[[#Headers],[OVO VERMELHO A]],estoque[data],preçodiario[[#This Row],[data]])</f>
        <v>0</v>
      </c>
      <c r="AI75" s="20">
        <f>IFERROR(preçodiario[[#This Row],[OVO VERMELHO A]]*preçodiario[[#This Row],[estoque AV]],0)</f>
        <v>0</v>
      </c>
      <c r="AJ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Row],[data]])),((AJ74*AK74)+SUMIFS(estoque[valor total],estoque[produto],preçodiario[[#Headers],[OVO VERMELHO B]],estoque[data],preçodiario[[#This Row],[data]],estoque[fornecedor],"&lt;&gt;saída"))/(AK74+(SUMIFS(estoque[quantidade],estoque[produto],preçodiario[[#Headers],[OVO VERMELHO B]],estoque[fornecedor],"&lt;&gt;saída",estoque[data],preçodiario[[#This Row],[data]])))))</f>
        <v/>
      </c>
      <c r="AK75" s="22">
        <f>IF(preçodiario[[#This Row],[entrada BV]]=0,AK74-(SUMIFS(estoque[quantidade],estoque[fornecedor],"saída",estoque[produto],preçodiario[[#Headers],[OVO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Row],[data]]))+AK74+preçodiario[[#This Row],[entrada BV]])</f>
        <v>0</v>
      </c>
      <c r="AL75" s="22">
        <f>SUMIFS(estoque[quantidade],estoque[fornecedor],"&lt;&gt;saída",estoque[produto],preçodiario[[#Headers],[OVO VERMELHO B]],estoque[data],preçodiario[[#This Row],[data]])</f>
        <v>0</v>
      </c>
      <c r="AM75" s="20">
        <f>SUMIFS(estoque[valor total],estoque[fornecedor],"&lt;&gt;saída",estoque[produto],preçodiario[[#Headers],[OVO VERMELHO B]],estoque[data],preçodiario[[#This Row],[data]])</f>
        <v>0</v>
      </c>
      <c r="AN75" s="20">
        <f>IFERROR(preçodiario[[#This Row],[OVO VERMELHO B]]*preçodiario[[#This Row],[estoque BV]],0)</f>
        <v>0</v>
      </c>
      <c r="AO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Row],[data]])),((AO74*AP74)+SUMIFS(estoque[valor total],estoque[produto],preçodiario[[#Headers],[OVO VERMELHO C]],estoque[data],preçodiario[[#This Row],[data]],estoque[fornecedor],"&lt;&gt;saída"))/(AP74+(SUMIFS(estoque[quantidade],estoque[produto],preçodiario[[#Headers],[OVO VERMELHO C]],estoque[fornecedor],"&lt;&gt;saída",estoque[data],preçodiario[[#This Row],[data]])))))</f>
        <v/>
      </c>
      <c r="AP75" s="22">
        <f>IF(preçodiario[[#This Row],[entrada CV]]=0,AP74-(SUMIFS(estoque[quantidade],estoque[fornecedor],"saída",estoque[produto],preçodiario[[#Headers],[OVO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Row],[data]]))+AP74+preçodiario[[#This Row],[entrada CV]])</f>
        <v>0</v>
      </c>
      <c r="AQ75" s="22">
        <f>SUMIFS(estoque[quantidade],estoque[fornecedor],"&lt;&gt;saída",estoque[produto],preçodiario[[#Headers],[OVO VERMELHO C]],estoque[data],preçodiario[[#This Row],[data]])</f>
        <v>0</v>
      </c>
      <c r="AR75" s="20">
        <f>SUMIFS(estoque[valor total],estoque[fornecedor],"&lt;&gt;saída",estoque[produto],preçodiario[[#Headers],[OVO VERMELHO C]],estoque[data],preçodiario[[#This Row],[data]])</f>
        <v>0</v>
      </c>
      <c r="AS75" s="20">
        <f>IFERROR(preçodiario[[#This Row],[OVO VERMELHO C]]*preçodiario[[#This Row],[estoque CV]],0)</f>
        <v>0</v>
      </c>
      <c r="AT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Row],[data]])),((AT74*AU74)+SUMIFS(estoque[valor total],estoque[produto],preçodiario[[#Headers],[OVO VERMELHO EXTRA]],estoque[data],preçodiario[[#This Row],[data]],estoque[fornecedor],"&lt;&gt;saída"))/(AU74+(SUMIFS(estoque[quantidade],estoque[produto],preçodiario[[#Headers],[OVO VERMELHO EXTRA]],estoque[fornecedor],"&lt;&gt;saída",estoque[data],preçodiario[[#This Row],[data]])))))</f>
        <v/>
      </c>
      <c r="AU75" s="22">
        <f>IF(preçodiario[[#This Row],[entrada EV]]=0,AU74-(SUMIFS(estoque[quantidade],estoque[fornecedor],"saída",estoque[produto],preçodiario[[#Headers],[OVO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Row],[data]]))+AU74+preçodiario[[#This Row],[entrada EV]])</f>
        <v>0</v>
      </c>
      <c r="AV75" s="22">
        <f>SUMIFS(estoque[quantidade],estoque[fornecedor],"&lt;&gt;saída",estoque[produto],preçodiario[[#Headers],[OVO VERMELHO EXTRA]],estoque[data],preçodiario[[#This Row],[data]])</f>
        <v>0</v>
      </c>
      <c r="AW75" s="20">
        <f>SUMIFS(estoque[valor total],estoque[fornecedor],"&lt;&gt;saída",estoque[produto],preçodiario[[#Headers],[OVO VERMELHO EXTRA]],estoque[data],preçodiario[[#This Row],[data]])</f>
        <v>0</v>
      </c>
      <c r="AX75" s="20">
        <f>IFERROR(preçodiario[[#This Row],[OVO VERMELHO EXTRA]]*preçodiario[[#This Row],[estoque EV]],0)</f>
        <v>0</v>
      </c>
      <c r="AY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Row],[data]])),((AY74*AZ74)+SUMIFS(estoque[valor total],estoque[produto],preçodiario[[#Headers],[OVO VERMELHO JUMBO]],estoque[data],preçodiario[[#This Row],[data]],estoque[fornecedor],"&lt;&gt;saída"))/(AZ74+(SUMIFS(estoque[quantidade],estoque[produto],preçodiario[[#Headers],[OVO VERMELHO JUMBO]],estoque[fornecedor],"&lt;&gt;saída",estoque[data],preçodiario[[#This Row],[data]])))))</f>
        <v/>
      </c>
      <c r="AZ75" s="22">
        <f>IF(preçodiario[[#This Row],[entrada JV]]=0,AZ74-(SUMIFS(estoque[quantidade],estoque[fornecedor],"saída",estoque[produto],preçodiario[[#Headers],[OVO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Row],[data]]))+AZ74+preçodiario[[#This Row],[entrada JV]])</f>
        <v>0</v>
      </c>
      <c r="BA75" s="22">
        <f>SUMIFS(estoque[quantidade],estoque[fornecedor],"&lt;&gt;saída",estoque[produto],preçodiario[[#Headers],[OVO VERMELHO JUMBO]],estoque[data],preçodiario[[#This Row],[data]])</f>
        <v>0</v>
      </c>
      <c r="BB75" s="20">
        <f>SUMIFS(estoque[valor total],estoque[fornecedor],"&lt;&gt;saída",estoque[produto],preçodiario[[#Headers],[OVO VERMELHO JUMBO]],estoque[data],preçodiario[[#This Row],[data]])</f>
        <v>0</v>
      </c>
      <c r="BC75" s="20">
        <f>IFERROR(preçodiario[[#This Row],[OVO VERMELHO JUMBO]]*preçodiario[[#This Row],[estoque JV]],0)</f>
        <v>0</v>
      </c>
      <c r="BD75" t="str">
        <f>TEXT(vendaAno[[#This Row],[data]],"mmm")</f>
        <v>mar</v>
      </c>
      <c r="BE75" t="str">
        <f>TEXT(vendaAno[[#This Row],[data]],"ddd")</f>
        <v>dom</v>
      </c>
      <c r="BF75" s="82">
        <f>WEEKNUM(vendaAno[[#This Row],[data]],13)</f>
        <v>11</v>
      </c>
      <c r="BG75" s="27">
        <f>preçodiario[[#This Row],[data]]</f>
        <v>46096</v>
      </c>
      <c r="BH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5" s="8">
        <f>IF(SUMIFS(estoque[valor total],estoque[fornecedor],"saída",estoque[data],vendaAno[[#This Row],[data]])=0,"",SUMIFS(estoque[valor total],estoque[fornecedor],"saída",estoque[data],vendaAno[[#This Row],[data]]))</f>
        <v>890</v>
      </c>
      <c r="BJ7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Row],[data]]))/12+BJ74,"")</f>
        <v>15.3333333333333</v>
      </c>
      <c r="BK75" s="79">
        <f ca="1">IF(TODAY()&gt;=vendaAno[[#This Row],[data]],IF(SUMIFS(estoque[quantidade],estoque[fornecedor],"saída",estoque[data],vendaAno[[#This Row],[data]])/12=0,AVERAGE(BK72:BK74),SUMIFS(estoque[quantidade],estoque[fornecedor],"saída",estoque[data],vendaAno[[#This Row],[data]])/12),"")</f>
        <v>4.5</v>
      </c>
      <c r="BL75" s="8">
        <f ca="1">IF(vendaAno[[#This Row],[data]]&lt;=TODAY(),IF(SUMIFS(estoque[lucro],estoque[fornecedor],"saída",estoque[data],vendaAno[[#This Row],[data]])=0,AVERAGE(BL72:BL74),SUMIFS(estoque[lucro],estoque[fornecedor],"saída",estoque[data],vendaAno[[#This Row],[data]])),"")</f>
        <v>106.44999999999999</v>
      </c>
      <c r="BM75" s="10">
        <f ca="1">IFERROR(vendaAno[[#This Row],[lucro]]/vendaAno[[#This Row],[valor de venda]],"")</f>
        <v>0.11960674157303369</v>
      </c>
      <c r="BN7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2280.0725669665048</v>
      </c>
      <c r="BO75" s="8">
        <f ca="1">IF(TODAY()&gt;=vendaAno[[#This Row],[data]],IF(vendaAno[[#This Row],[N°]]=BF74,vendaAno[[#This Row],[lucro]]-173.33+BO74,vendaAno[[#This Row],[lucro]]-150),"")</f>
        <v>-291.37000000000012</v>
      </c>
      <c r="BP75" s="81">
        <f ca="1">IF(TODAY()&gt;=vendaAno[[#This Row],[data]],SUM(BK69:BK75)*12,"")</f>
        <v>299</v>
      </c>
      <c r="BQ75" s="7">
        <f ca="1">IFERROR(vendaAno[[#This Row],[lucro]]/(vendaAno[[#This Row],[venda]]*12),"")</f>
        <v>1.9712962962962961</v>
      </c>
      <c r="CD75" s="7"/>
    </row>
    <row r="76" spans="1:82" x14ac:dyDescent="0.25">
      <c r="A76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76" s="18" t="str">
        <f>TEXT(preçodiario[[#This Row],[data]],"MMM")</f>
        <v>mar</v>
      </c>
      <c r="C76" s="18" t="str">
        <f>TEXT(preçodiario[[#This Row],[data]],"ddd")</f>
        <v>seg</v>
      </c>
      <c r="D76" s="96">
        <f>WEEKNUM(preçodiario[[#This Row],[data]],13)</f>
        <v>11</v>
      </c>
      <c r="E76" s="37">
        <v>46097</v>
      </c>
      <c r="F76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Row],[data]])),((F75*G75)+SUMIFS(estoque[valor total],estoque[produto],preçodiario[[#Headers],[OVO BRANCO A]],estoque[data],preçodiario[[#This Row],[data]],estoque[fornecedor],"&lt;&gt;saída"))/(G75+(SUMIFS(estoque[quantidade],estoque[produto],preçodiario[[#Headers],[OVO BRANCO A]],estoque[fornecedor],"&lt;&gt;saída",estoque[data],preçodiario[[#This Row],[data]])))))</f>
        <v/>
      </c>
      <c r="G76" s="22">
        <f>IF(preçodiario[[#This Row],[entrada A]]=0,G75-(SUMIFS(estoque[quantidade],estoque[fornecedor],"saída",estoque[produto],preçodiario[[#Headers],[OVO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Row],[data]]))+G75+preçodiario[[#This Row],[entrada A]])</f>
        <v>0</v>
      </c>
      <c r="H76" s="22">
        <f>SUMIFS(estoque[quantidade],estoque[fornecedor],"&lt;&gt;saída",estoque[produto],preçodiario[[#Headers],[OVO BRANCO A]],estoque[data],preçodiario[[#This Row],[data]])</f>
        <v>0</v>
      </c>
      <c r="I76" s="20">
        <f>SUMIFS(estoque[valor total],estoque[fornecedor],"&lt;&gt;saída",estoque[produto],preçodiario[[#Headers],[OVO BRANCO A]],estoque[data],preçodiario[[#This Row],[data]])</f>
        <v>0</v>
      </c>
      <c r="J76" s="20">
        <f>IFERROR(preçodiario[[#This Row],[estoque A]]*preçodiario[[#This Row],[OVO BRANCO A]],0)</f>
        <v>0</v>
      </c>
      <c r="K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Row],[data]])),((K75*L75)+SUMIFS(estoque[valor total],estoque[produto],preçodiario[[#Headers],[OVO BRANCO B]],estoque[data],preçodiario[[#This Row],[data]],estoque[fornecedor],"&lt;&gt;saída"))/(L75+(SUMIFS(estoque[quantidade],estoque[produto],preçodiario[[#Headers],[OVO BRANCO B]],estoque[fornecedor],"&lt;&gt;saída",estoque[data],preçodiario[[#This Row],[data]])))))</f>
        <v>12.916666666666664</v>
      </c>
      <c r="L76" s="22">
        <f>IF(preçodiario[[#This Row],[entrada B]]=0,L75-(SUMIFS(estoque[quantidade],estoque[fornecedor],"saída",estoque[produto],preçodiario[[#Headers],[OVO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Row],[data]]))+L75+preçodiario[[#This Row],[entrada B]])</f>
        <v>45</v>
      </c>
      <c r="M76" s="22">
        <f>SUMIFS(estoque[quantidade],estoque[fornecedor],"&lt;&gt;saída",estoque[produto],preçodiario[[#Headers],[OVO BRANCO B]],estoque[data],preçodiario[[#This Row],[data]])</f>
        <v>0</v>
      </c>
      <c r="N76" s="20">
        <f>SUMIFS(estoque[valor total],estoque[fornecedor],"&lt;&gt;saída",estoque[produto],preçodiario[[#Headers],[OVO BRANCO B]],estoque[data],preçodiario[[#This Row],[data]])</f>
        <v>0</v>
      </c>
      <c r="O76" s="20">
        <f>IFERROR(preçodiario[[#This Row],[OVO BRANCO B]]*preçodiario[[#This Row],[estoque B]],0)</f>
        <v>581.24999999999989</v>
      </c>
      <c r="P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Row],[data]])),((P75*Q75)+SUMIFS(estoque[valor total],estoque[produto],preçodiario[[#Headers],[OVO BRANCO C]],estoque[data],preçodiario[[#This Row],[data]],estoque[fornecedor],"&lt;&gt;saída"))/(Q75+(SUMIFS(estoque[quantidade],estoque[produto],preçodiario[[#Headers],[OVO BRANCO C]],estoque[fornecedor],"&lt;&gt;saída",estoque[data],preçodiario[[#This Row],[data]])))))</f>
        <v>11.583333333333334</v>
      </c>
      <c r="Q76" s="22">
        <f>IF(preçodiario[[#This Row],[entrada C]]=0,Q75-(SUMIFS(estoque[quantidade],estoque[fornecedor],"saída",estoque[produto],preçodiario[[#Headers],[OVO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Row],[data]]))+Q75+preçodiario[[#This Row],[entrada C]])</f>
        <v>96</v>
      </c>
      <c r="R76" s="22">
        <f>SUMIFS(estoque[quantidade],estoque[fornecedor],"&lt;&gt;saída",estoque[produto],preçodiario[[#Headers],[OVO BRANCO C]],estoque[data],preçodiario[[#This Row],[data]])</f>
        <v>0</v>
      </c>
      <c r="S76" s="20">
        <f>SUMIFS(estoque[valor total],estoque[fornecedor],"&lt;&gt;saída",estoque[produto],preçodiario[[#Headers],[OVO BRANCO C]],estoque[data],preçodiario[[#This Row],[data]])</f>
        <v>0</v>
      </c>
      <c r="T76" s="20">
        <f>IFERROR(preçodiario[[#This Row],[OVO BRANCO C]]*preçodiario[[#This Row],[estoque C]],0)</f>
        <v>1112</v>
      </c>
      <c r="U76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Row],[data]])),((U75*V75)+SUMIFS(estoque[valor total],estoque[produto],preçodiario[[#Headers],[OVO BRANCO EXTRA]],estoque[data],preçodiario[[#This Row],[data]],estoque[fornecedor],"&lt;&gt;saída"))/(V75+(SUMIFS(estoque[quantidade],estoque[produto],preçodiario[[#Headers],[OVO BRANCO EXTRA]],estoque[fornecedor],"&lt;&gt;saída",estoque[data],preçodiario[[#This Row],[data]])))))</f>
        <v/>
      </c>
      <c r="V76" s="22">
        <f>IF(preçodiario[[#This Row],[entrada E]]=0,V75-(SUMIFS(estoque[quantidade],estoque[fornecedor],"saída",estoque[produto],preçodiario[[#Headers],[OVO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Row],[data]]))+V75+preçodiario[[#This Row],[entrada E]])</f>
        <v>0</v>
      </c>
      <c r="W76" s="22">
        <f>SUMIFS(estoque[quantidade],estoque[fornecedor],"&lt;&gt;saída",estoque[produto],preçodiario[[#Headers],[OVO BRANCO EXTRA]],estoque[data],preçodiario[[#This Row],[data]])</f>
        <v>0</v>
      </c>
      <c r="X76" s="20">
        <f>SUMIFS(estoque[valor total],estoque[fornecedor],"&lt;&gt;saída",estoque[produto],preçodiario[[#Headers],[OVO BRANCO EXTRA]],estoque[data],preçodiario[[#This Row],[data]])</f>
        <v>0</v>
      </c>
      <c r="Y76" s="20">
        <f>IFERROR(preçodiario[[#This Row],[estoque E]]*preçodiario[[#This Row],[OVO BRANCO EXTRA]],0)</f>
        <v>0</v>
      </c>
      <c r="Z7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Row],[data]])),((Z75*AA75)+SUMIFS(estoque[valor total],estoque[produto],preçodiario[[#Headers],[OVO BRANCO JUMBO]],estoque[data],preçodiario[[#This Row],[data]],estoque[fornecedor],"&lt;&gt;saída"))/(AA75+(SUMIFS(estoque[quantidade],estoque[produto],preçodiario[[#Headers],[OVO BRANCO JUMBO]],estoque[fornecedor],"&lt;&gt;saída",estoque[data],preçodiario[[#This Row],[data]])))))</f>
        <v/>
      </c>
      <c r="AA76" s="22">
        <f>IF(preçodiario[[#This Row],[entrada J]]=0,AA75-(SUMIFS(estoque[quantidade],estoque[fornecedor],"saída",estoque[produto],preçodiario[[#Headers],[OVO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Row],[data]]))+AA75+preçodiario[[#This Row],[entrada J]])</f>
        <v>0</v>
      </c>
      <c r="AB76" s="22">
        <f>SUMIFS(estoque[quantidade],estoque[fornecedor],"&lt;&gt;saída",estoque[produto],preçodiario[[#Headers],[OVO BRANCO JUMBO]],estoque[data],preçodiario[[#This Row],[data]])</f>
        <v>0</v>
      </c>
      <c r="AC76" s="20">
        <f>SUMIFS(estoque[valor total],estoque[fornecedor],"&lt;&gt;saída",estoque[produto],preçodiario[[#Headers],[OVO BRANCO JUMBO]],estoque[data],preçodiario[[#This Row],[data]])</f>
        <v>0</v>
      </c>
      <c r="AD76" s="20">
        <f>IFERROR(preçodiario[[#This Row],[OVO BRANCO JUMBO]]*preçodiario[[#This Row],[estoque J]],0)</f>
        <v>0</v>
      </c>
      <c r="AE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Row],[data]])),((AE75*AF75)+SUMIFS(estoque[valor total],estoque[produto],preçodiario[[#Headers],[OVO VERMELHO A]],estoque[data],preçodiario[[#This Row],[data]],estoque[fornecedor],"&lt;&gt;saída"))/(AF75+(SUMIFS(estoque[quantidade],estoque[produto],preçodiario[[#Headers],[OVO VERMELHO A]],estoque[fornecedor],"&lt;&gt;saída",estoque[data],preçodiario[[#This Row],[data]])))))</f>
        <v/>
      </c>
      <c r="AF76" s="22">
        <f>IF(preçodiario[[#This Row],[entrada AV]]=0,AF75-(SUMIFS(estoque[quantidade],estoque[fornecedor],"saída",estoque[produto],preçodiario[[#Headers],[OVO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Row],[data]]))+AF75+preçodiario[[#This Row],[entrada AV]])</f>
        <v>0</v>
      </c>
      <c r="AG76" s="22">
        <f>SUMIFS(estoque[quantidade],estoque[fornecedor],"&lt;&gt;saída",estoque[produto],preçodiario[[#Headers],[OVO VERMELHO A]],estoque[data],preçodiario[[#This Row],[data]])</f>
        <v>0</v>
      </c>
      <c r="AH76" s="20">
        <f>SUMIFS(estoque[valor total],estoque[fornecedor],"&lt;&gt;saída",estoque[produto],preçodiario[[#Headers],[OVO VERMELHO A]],estoque[data],preçodiario[[#This Row],[data]])</f>
        <v>0</v>
      </c>
      <c r="AI76" s="20">
        <f>IFERROR(preçodiario[[#This Row],[OVO VERMELHO A]]*preçodiario[[#This Row],[estoque AV]],0)</f>
        <v>0</v>
      </c>
      <c r="AJ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Row],[data]])),((AJ75*AK75)+SUMIFS(estoque[valor total],estoque[produto],preçodiario[[#Headers],[OVO VERMELHO B]],estoque[data],preçodiario[[#This Row],[data]],estoque[fornecedor],"&lt;&gt;saída"))/(AK75+(SUMIFS(estoque[quantidade],estoque[produto],preçodiario[[#Headers],[OVO VERMELHO B]],estoque[fornecedor],"&lt;&gt;saída",estoque[data],preçodiario[[#This Row],[data]])))))</f>
        <v/>
      </c>
      <c r="AK76" s="22">
        <f>IF(preçodiario[[#This Row],[entrada BV]]=0,AK75-(SUMIFS(estoque[quantidade],estoque[fornecedor],"saída",estoque[produto],preçodiario[[#Headers],[OVO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Row],[data]]))+AK75+preçodiario[[#This Row],[entrada BV]])</f>
        <v>0</v>
      </c>
      <c r="AL76" s="22">
        <f>SUMIFS(estoque[quantidade],estoque[fornecedor],"&lt;&gt;saída",estoque[produto],preçodiario[[#Headers],[OVO VERMELHO B]],estoque[data],preçodiario[[#This Row],[data]])</f>
        <v>0</v>
      </c>
      <c r="AM76" s="20">
        <f>SUMIFS(estoque[valor total],estoque[fornecedor],"&lt;&gt;saída",estoque[produto],preçodiario[[#Headers],[OVO VERMELHO B]],estoque[data],preçodiario[[#This Row],[data]])</f>
        <v>0</v>
      </c>
      <c r="AN76" s="20">
        <f>IFERROR(preçodiario[[#This Row],[OVO VERMELHO B]]*preçodiario[[#This Row],[estoque BV]],0)</f>
        <v>0</v>
      </c>
      <c r="AO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Row],[data]])),((AO75*AP75)+SUMIFS(estoque[valor total],estoque[produto],preçodiario[[#Headers],[OVO VERMELHO C]],estoque[data],preçodiario[[#This Row],[data]],estoque[fornecedor],"&lt;&gt;saída"))/(AP75+(SUMIFS(estoque[quantidade],estoque[produto],preçodiario[[#Headers],[OVO VERMELHO C]],estoque[fornecedor],"&lt;&gt;saída",estoque[data],preçodiario[[#This Row],[data]])))))</f>
        <v/>
      </c>
      <c r="AP76" s="22">
        <f>IF(preçodiario[[#This Row],[entrada CV]]=0,AP75-(SUMIFS(estoque[quantidade],estoque[fornecedor],"saída",estoque[produto],preçodiario[[#Headers],[OVO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Row],[data]]))+AP75+preçodiario[[#This Row],[entrada CV]])</f>
        <v>0</v>
      </c>
      <c r="AQ76" s="22">
        <f>SUMIFS(estoque[quantidade],estoque[fornecedor],"&lt;&gt;saída",estoque[produto],preçodiario[[#Headers],[OVO VERMELHO C]],estoque[data],preçodiario[[#This Row],[data]])</f>
        <v>0</v>
      </c>
      <c r="AR76" s="20">
        <f>SUMIFS(estoque[valor total],estoque[fornecedor],"&lt;&gt;saída",estoque[produto],preçodiario[[#Headers],[OVO VERMELHO C]],estoque[data],preçodiario[[#This Row],[data]])</f>
        <v>0</v>
      </c>
      <c r="AS76" s="20">
        <f>IFERROR(preçodiario[[#This Row],[OVO VERMELHO C]]*preçodiario[[#This Row],[estoque CV]],0)</f>
        <v>0</v>
      </c>
      <c r="AT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Row],[data]])),((AT75*AU75)+SUMIFS(estoque[valor total],estoque[produto],preçodiario[[#Headers],[OVO VERMELHO EXTRA]],estoque[data],preçodiario[[#This Row],[data]],estoque[fornecedor],"&lt;&gt;saída"))/(AU75+(SUMIFS(estoque[quantidade],estoque[produto],preçodiario[[#Headers],[OVO VERMELHO EXTRA]],estoque[fornecedor],"&lt;&gt;saída",estoque[data],preçodiario[[#This Row],[data]])))))</f>
        <v/>
      </c>
      <c r="AU76" s="22">
        <f>IF(preçodiario[[#This Row],[entrada EV]]=0,AU75-(SUMIFS(estoque[quantidade],estoque[fornecedor],"saída",estoque[produto],preçodiario[[#Headers],[OVO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Row],[data]]))+AU75+preçodiario[[#This Row],[entrada EV]])</f>
        <v>0</v>
      </c>
      <c r="AV76" s="22">
        <f>SUMIFS(estoque[quantidade],estoque[fornecedor],"&lt;&gt;saída",estoque[produto],preçodiario[[#Headers],[OVO VERMELHO EXTRA]],estoque[data],preçodiario[[#This Row],[data]])</f>
        <v>0</v>
      </c>
      <c r="AW76" s="20">
        <f>SUMIFS(estoque[valor total],estoque[fornecedor],"&lt;&gt;saída",estoque[produto],preçodiario[[#Headers],[OVO VERMELHO EXTRA]],estoque[data],preçodiario[[#This Row],[data]])</f>
        <v>0</v>
      </c>
      <c r="AX76" s="20">
        <f>IFERROR(preçodiario[[#This Row],[OVO VERMELHO EXTRA]]*preçodiario[[#This Row],[estoque EV]],0)</f>
        <v>0</v>
      </c>
      <c r="AY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Row],[data]])),((AY75*AZ75)+SUMIFS(estoque[valor total],estoque[produto],preçodiario[[#Headers],[OVO VERMELHO JUMBO]],estoque[data],preçodiario[[#This Row],[data]],estoque[fornecedor],"&lt;&gt;saída"))/(AZ75+(SUMIFS(estoque[quantidade],estoque[produto],preçodiario[[#Headers],[OVO VERMELHO JUMBO]],estoque[fornecedor],"&lt;&gt;saída",estoque[data],preçodiario[[#This Row],[data]])))))</f>
        <v/>
      </c>
      <c r="AZ76" s="22">
        <f>IF(preçodiario[[#This Row],[entrada JV]]=0,AZ75-(SUMIFS(estoque[quantidade],estoque[fornecedor],"saída",estoque[produto],preçodiario[[#Headers],[OVO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Row],[data]]))+AZ75+preçodiario[[#This Row],[entrada JV]])</f>
        <v>0</v>
      </c>
      <c r="BA76" s="22">
        <f>SUMIFS(estoque[quantidade],estoque[fornecedor],"&lt;&gt;saída",estoque[produto],preçodiario[[#Headers],[OVO VERMELHO JUMBO]],estoque[data],preçodiario[[#This Row],[data]])</f>
        <v>0</v>
      </c>
      <c r="BB76" s="20">
        <f>SUMIFS(estoque[valor total],estoque[fornecedor],"&lt;&gt;saída",estoque[produto],preçodiario[[#Headers],[OVO VERMELHO JUMBO]],estoque[data],preçodiario[[#This Row],[data]])</f>
        <v>0</v>
      </c>
      <c r="BC76" s="20">
        <f>IFERROR(preçodiario[[#This Row],[OVO VERMELHO JUMBO]]*preçodiario[[#This Row],[estoque JV]],0)</f>
        <v>0</v>
      </c>
      <c r="BD76" t="str">
        <f>TEXT(vendaAno[[#This Row],[data]],"mmm")</f>
        <v>mar</v>
      </c>
      <c r="BE76" t="str">
        <f>TEXT(vendaAno[[#This Row],[data]],"ddd")</f>
        <v>seg</v>
      </c>
      <c r="BF76" s="82">
        <f>WEEKNUM(vendaAno[[#This Row],[data]],13)</f>
        <v>11</v>
      </c>
      <c r="BG76" s="27">
        <f>preçodiario[[#This Row],[data]]</f>
        <v>46097</v>
      </c>
      <c r="BH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6" s="8">
        <f>IF(SUMIFS(estoque[valor total],estoque[fornecedor],"saída",estoque[data],vendaAno[[#This Row],[data]])=0,"",SUMIFS(estoque[valor total],estoque[fornecedor],"saída",estoque[data],vendaAno[[#This Row],[data]]))</f>
        <v>670</v>
      </c>
      <c r="BJ7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Row],[data]]))/12+BJ75,"")</f>
        <v>11.749999999999966</v>
      </c>
      <c r="BK76" s="79">
        <f ca="1">IF(TODAY()&gt;=vendaAno[[#This Row],[data]],IF(SUMIFS(estoque[quantidade],estoque[fornecedor],"saída",estoque[data],vendaAno[[#This Row],[data]])/12=0,AVERAGE(BK73:BK75),SUMIFS(estoque[quantidade],estoque[fornecedor],"saída",estoque[data],vendaAno[[#This Row],[data]])/12),"")</f>
        <v>3.5833333333333335</v>
      </c>
      <c r="BL76" s="8">
        <f ca="1">IF(vendaAno[[#This Row],[data]]&lt;=TODAY(),IF(SUMIFS(estoque[lucro],estoque[fornecedor],"saída",estoque[data],vendaAno[[#This Row],[data]])=0,AVERAGE(BL73:BL75),SUMIFS(estoque[lucro],estoque[fornecedor],"saída",estoque[data],vendaAno[[#This Row],[data]])),"")</f>
        <v>83.169999999999987</v>
      </c>
      <c r="BM76" s="10">
        <f ca="1">IFERROR(vendaAno[[#This Row],[lucro]]/vendaAno[[#This Row],[valor de venda]],"")</f>
        <v>0.12413432835820894</v>
      </c>
      <c r="BN7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1693.25</v>
      </c>
      <c r="BO76" s="8">
        <f ca="1">IF(TODAY()&gt;=vendaAno[[#This Row],[data]],IF(vendaAno[[#This Row],[N°]]=BF75,vendaAno[[#This Row],[lucro]]-173.33+BO75,vendaAno[[#This Row],[lucro]]-150),"")</f>
        <v>-381.53000000000014</v>
      </c>
      <c r="BP76" s="81">
        <f ca="1">IF(TODAY()&gt;=vendaAno[[#This Row],[data]],SUM(BK70:BK76)*12,"")</f>
        <v>298</v>
      </c>
      <c r="BQ76" s="7">
        <f ca="1">IFERROR(vendaAno[[#This Row],[lucro]]/(vendaAno[[#This Row],[venda]]*12),"")</f>
        <v>1.9341860465116276</v>
      </c>
      <c r="CD76" s="7"/>
    </row>
    <row r="77" spans="1:82" x14ac:dyDescent="0.25">
      <c r="A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7" s="18" t="str">
        <f>TEXT(preçodiario[[#This Row],[data]],"MMM")</f>
        <v>mar</v>
      </c>
      <c r="C77" s="18" t="str">
        <f>TEXT(preçodiario[[#This Row],[data]],"ddd")</f>
        <v>ter</v>
      </c>
      <c r="D77" s="96">
        <f>WEEKNUM(preçodiario[[#This Row],[data]],13)</f>
        <v>11</v>
      </c>
      <c r="E77" s="37">
        <v>46098</v>
      </c>
      <c r="F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Row],[data]])),((F76*G76)+SUMIFS(estoque[valor total],estoque[produto],preçodiario[[#Headers],[OVO BRANCO A]],estoque[data],preçodiario[[#This Row],[data]],estoque[fornecedor],"&lt;&gt;saída"))/(G76+(SUMIFS(estoque[quantidade],estoque[produto],preçodiario[[#Headers],[OVO BRANCO A]],estoque[fornecedor],"&lt;&gt;saída",estoque[data],preçodiario[[#This Row],[data]])))))</f>
        <v>15</v>
      </c>
      <c r="G77" s="22">
        <f>IF(preçodiario[[#This Row],[entrada A]]=0,G76-(SUMIFS(estoque[quantidade],estoque[fornecedor],"saída",estoque[produto],preçodiario[[#Headers],[OVO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Row],[data]]))+G76+preçodiario[[#This Row],[entrada A]])</f>
        <v>120</v>
      </c>
      <c r="H77" s="22">
        <f>SUMIFS(estoque[quantidade],estoque[fornecedor],"&lt;&gt;saída",estoque[produto],preçodiario[[#Headers],[OVO BRANCO A]],estoque[data],preçodiario[[#This Row],[data]])</f>
        <v>120</v>
      </c>
      <c r="I77" s="20">
        <f>SUMIFS(estoque[valor total],estoque[fornecedor],"&lt;&gt;saída",estoque[produto],preçodiario[[#Headers],[OVO BRANCO A]],estoque[data],preçodiario[[#This Row],[data]])</f>
        <v>1800</v>
      </c>
      <c r="J77" s="20">
        <f>IFERROR(preçodiario[[#This Row],[estoque A]]*preçodiario[[#This Row],[OVO BRANCO A]],0)</f>
        <v>1800</v>
      </c>
      <c r="K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Row],[data]])),((K76*L76)+SUMIFS(estoque[valor total],estoque[produto],preçodiario[[#Headers],[OVO BRANCO B]],estoque[data],preçodiario[[#This Row],[data]],estoque[fornecedor],"&lt;&gt;saída"))/(L76+(SUMIFS(estoque[quantidade],estoque[produto],preçodiario[[#Headers],[OVO BRANCO B]],estoque[fornecedor],"&lt;&gt;saída",estoque[data],preçodiario[[#This Row],[data]])))))</f>
        <v>13.825757575757576</v>
      </c>
      <c r="L77" s="22">
        <f>IF(preçodiario[[#This Row],[entrada B]]=0,L76-(SUMIFS(estoque[quantidade],estoque[fornecedor],"saída",estoque[produto],preçodiario[[#Headers],[OVO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Row],[data]]))+L76+preçodiario[[#This Row],[entrada B]])</f>
        <v>141</v>
      </c>
      <c r="M77" s="22">
        <f>SUMIFS(estoque[quantidade],estoque[fornecedor],"&lt;&gt;saída",estoque[produto],preçodiario[[#Headers],[OVO BRANCO B]],estoque[data],preçodiario[[#This Row],[data]])</f>
        <v>120</v>
      </c>
      <c r="N77" s="20">
        <f>SUMIFS(estoque[valor total],estoque[fornecedor],"&lt;&gt;saída",estoque[produto],preçodiario[[#Headers],[OVO BRANCO B]],estoque[data],preçodiario[[#This Row],[data]])</f>
        <v>1700</v>
      </c>
      <c r="O77" s="20">
        <f>IFERROR(preçodiario[[#This Row],[OVO BRANCO B]]*preçodiario[[#This Row],[estoque B]],0)</f>
        <v>1949.4318181818182</v>
      </c>
      <c r="P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Row],[data]])),((P76*Q76)+SUMIFS(estoque[valor total],estoque[produto],preçodiario[[#Headers],[OVO BRANCO C]],estoque[data],preçodiario[[#This Row],[data]],estoque[fornecedor],"&lt;&gt;saída"))/(Q76+(SUMIFS(estoque[quantidade],estoque[produto],preçodiario[[#Headers],[OVO BRANCO C]],estoque[fornecedor],"&lt;&gt;saída",estoque[data],preçodiario[[#This Row],[data]])))))</f>
        <v>11.583333333333334</v>
      </c>
      <c r="Q77" s="22">
        <f>IF(preçodiario[[#This Row],[entrada C]]=0,Q76-(SUMIFS(estoque[quantidade],estoque[fornecedor],"saída",estoque[produto],preçodiario[[#Headers],[OVO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Row],[data]]))+Q76+preçodiario[[#This Row],[entrada C]])</f>
        <v>94</v>
      </c>
      <c r="R77" s="22">
        <f>SUMIFS(estoque[quantidade],estoque[fornecedor],"&lt;&gt;saída",estoque[produto],preçodiario[[#Headers],[OVO BRANCO C]],estoque[data],preçodiario[[#This Row],[data]])</f>
        <v>0</v>
      </c>
      <c r="S77" s="20">
        <f>SUMIFS(estoque[valor total],estoque[fornecedor],"&lt;&gt;saída",estoque[produto],preçodiario[[#Headers],[OVO BRANCO C]],estoque[data],preçodiario[[#This Row],[data]])</f>
        <v>0</v>
      </c>
      <c r="T77" s="20">
        <f>IFERROR(preçodiario[[#This Row],[OVO BRANCO C]]*preçodiario[[#This Row],[estoque C]],0)</f>
        <v>1088.8333333333335</v>
      </c>
      <c r="U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Row],[data]])),((U76*V76)+SUMIFS(estoque[valor total],estoque[produto],preçodiario[[#Headers],[OVO BRANCO EXTRA]],estoque[data],preçodiario[[#This Row],[data]],estoque[fornecedor],"&lt;&gt;saída"))/(V76+(SUMIFS(estoque[quantidade],estoque[produto],preçodiario[[#Headers],[OVO BRANCO EXTRA]],estoque[fornecedor],"&lt;&gt;saída",estoque[data],preçodiario[[#This Row],[data]])))))</f>
        <v>15.833333333333334</v>
      </c>
      <c r="V77" s="22">
        <f>IF(preçodiario[[#This Row],[entrada E]]=0,V76-(SUMIFS(estoque[quantidade],estoque[fornecedor],"saída",estoque[produto],preçodiario[[#Headers],[OVO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Row],[data]]))+V76+preçodiario[[#This Row],[entrada E]])</f>
        <v>180</v>
      </c>
      <c r="W77" s="22">
        <f>SUMIFS(estoque[quantidade],estoque[fornecedor],"&lt;&gt;saída",estoque[produto],preçodiario[[#Headers],[OVO BRANCO EXTRA]],estoque[data],preçodiario[[#This Row],[data]])</f>
        <v>180</v>
      </c>
      <c r="X77" s="20">
        <f>SUMIFS(estoque[valor total],estoque[fornecedor],"&lt;&gt;saída",estoque[produto],preçodiario[[#Headers],[OVO BRANCO EXTRA]],estoque[data],preçodiario[[#This Row],[data]])</f>
        <v>2850</v>
      </c>
      <c r="Y77" s="20">
        <f>IFERROR(preçodiario[[#This Row],[estoque E]]*preçodiario[[#This Row],[OVO BRANCO EXTRA]],0)</f>
        <v>2850</v>
      </c>
      <c r="Z7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Row],[data]])),((Z76*AA76)+SUMIFS(estoque[valor total],estoque[produto],preçodiario[[#Headers],[OVO BRANCO JUMBO]],estoque[data],preçodiario[[#This Row],[data]],estoque[fornecedor],"&lt;&gt;saída"))/(AA76+(SUMIFS(estoque[quantidade],estoque[produto],preçodiario[[#Headers],[OVO BRANCO JUMBO]],estoque[fornecedor],"&lt;&gt;saída",estoque[data],preçodiario[[#This Row],[data]])))))</f>
        <v/>
      </c>
      <c r="AA77" s="22">
        <f>IF(preçodiario[[#This Row],[entrada J]]=0,AA76-(SUMIFS(estoque[quantidade],estoque[fornecedor],"saída",estoque[produto],preçodiario[[#Headers],[OVO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Row],[data]]))+AA76+preçodiario[[#This Row],[entrada J]])</f>
        <v>0</v>
      </c>
      <c r="AB77" s="22">
        <f>SUMIFS(estoque[quantidade],estoque[fornecedor],"&lt;&gt;saída",estoque[produto],preçodiario[[#Headers],[OVO BRANCO JUMBO]],estoque[data],preçodiario[[#This Row],[data]])</f>
        <v>0</v>
      </c>
      <c r="AC77" s="20">
        <f>SUMIFS(estoque[valor total],estoque[fornecedor],"&lt;&gt;saída",estoque[produto],preçodiario[[#Headers],[OVO BRANCO JUMBO]],estoque[data],preçodiario[[#This Row],[data]])</f>
        <v>0</v>
      </c>
      <c r="AD77" s="20">
        <f>IFERROR(preçodiario[[#This Row],[OVO BRANCO JUMBO]]*preçodiario[[#This Row],[estoque J]],0)</f>
        <v>0</v>
      </c>
      <c r="AE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Row],[data]])),((AE76*AF76)+SUMIFS(estoque[valor total],estoque[produto],preçodiario[[#Headers],[OVO VERMELHO A]],estoque[data],preçodiario[[#This Row],[data]],estoque[fornecedor],"&lt;&gt;saída"))/(AF76+(SUMIFS(estoque[quantidade],estoque[produto],preçodiario[[#Headers],[OVO VERMELHO A]],estoque[fornecedor],"&lt;&gt;saída",estoque[data],preçodiario[[#This Row],[data]])))))</f>
        <v/>
      </c>
      <c r="AF77" s="22">
        <f>IF(preçodiario[[#This Row],[entrada AV]]=0,AF76-(SUMIFS(estoque[quantidade],estoque[fornecedor],"saída",estoque[produto],preçodiario[[#Headers],[OVO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Row],[data]]))+AF76+preçodiario[[#This Row],[entrada AV]])</f>
        <v>0</v>
      </c>
      <c r="AG77" s="22">
        <f>SUMIFS(estoque[quantidade],estoque[fornecedor],"&lt;&gt;saída",estoque[produto],preçodiario[[#Headers],[OVO VERMELHO A]],estoque[data],preçodiario[[#This Row],[data]])</f>
        <v>0</v>
      </c>
      <c r="AH77" s="20">
        <f>SUMIFS(estoque[valor total],estoque[fornecedor],"&lt;&gt;saída",estoque[produto],preçodiario[[#Headers],[OVO VERMELHO A]],estoque[data],preçodiario[[#This Row],[data]])</f>
        <v>0</v>
      </c>
      <c r="AI77" s="20">
        <f>IFERROR(preçodiario[[#This Row],[OVO VERMELHO A]]*preçodiario[[#This Row],[estoque AV]],0)</f>
        <v>0</v>
      </c>
      <c r="AJ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Row],[data]])),((AJ76*AK76)+SUMIFS(estoque[valor total],estoque[produto],preçodiario[[#Headers],[OVO VERMELHO B]],estoque[data],preçodiario[[#This Row],[data]],estoque[fornecedor],"&lt;&gt;saída"))/(AK76+(SUMIFS(estoque[quantidade],estoque[produto],preçodiario[[#Headers],[OVO VERMELHO B]],estoque[fornecedor],"&lt;&gt;saída",estoque[data],preçodiario[[#This Row],[data]])))))</f>
        <v/>
      </c>
      <c r="AK77" s="22">
        <f>IF(preçodiario[[#This Row],[entrada BV]]=0,AK76-(SUMIFS(estoque[quantidade],estoque[fornecedor],"saída",estoque[produto],preçodiario[[#Headers],[OVO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Row],[data]]))+AK76+preçodiario[[#This Row],[entrada BV]])</f>
        <v>0</v>
      </c>
      <c r="AL77" s="22">
        <f>SUMIFS(estoque[quantidade],estoque[fornecedor],"&lt;&gt;saída",estoque[produto],preçodiario[[#Headers],[OVO VERMELHO B]],estoque[data],preçodiario[[#This Row],[data]])</f>
        <v>0</v>
      </c>
      <c r="AM77" s="20">
        <f>SUMIFS(estoque[valor total],estoque[fornecedor],"&lt;&gt;saída",estoque[produto],preçodiario[[#Headers],[OVO VERMELHO B]],estoque[data],preçodiario[[#This Row],[data]])</f>
        <v>0</v>
      </c>
      <c r="AN77" s="20">
        <f>IFERROR(preçodiario[[#This Row],[OVO VERMELHO B]]*preçodiario[[#This Row],[estoque BV]],0)</f>
        <v>0</v>
      </c>
      <c r="AO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Row],[data]])),((AO76*AP76)+SUMIFS(estoque[valor total],estoque[produto],preçodiario[[#Headers],[OVO VERMELHO C]],estoque[data],preçodiario[[#This Row],[data]],estoque[fornecedor],"&lt;&gt;saída"))/(AP76+(SUMIFS(estoque[quantidade],estoque[produto],preçodiario[[#Headers],[OVO VERMELHO C]],estoque[fornecedor],"&lt;&gt;saída",estoque[data],preçodiario[[#This Row],[data]])))))</f>
        <v/>
      </c>
      <c r="AP77" s="22">
        <f>IF(preçodiario[[#This Row],[entrada CV]]=0,AP76-(SUMIFS(estoque[quantidade],estoque[fornecedor],"saída",estoque[produto],preçodiario[[#Headers],[OVO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Row],[data]]))+AP76+preçodiario[[#This Row],[entrada CV]])</f>
        <v>0</v>
      </c>
      <c r="AQ77" s="22">
        <f>SUMIFS(estoque[quantidade],estoque[fornecedor],"&lt;&gt;saída",estoque[produto],preçodiario[[#Headers],[OVO VERMELHO C]],estoque[data],preçodiario[[#This Row],[data]])</f>
        <v>0</v>
      </c>
      <c r="AR77" s="20">
        <f>SUMIFS(estoque[valor total],estoque[fornecedor],"&lt;&gt;saída",estoque[produto],preçodiario[[#Headers],[OVO VERMELHO C]],estoque[data],preçodiario[[#This Row],[data]])</f>
        <v>0</v>
      </c>
      <c r="AS77" s="20">
        <f>IFERROR(preçodiario[[#This Row],[OVO VERMELHO C]]*preçodiario[[#This Row],[estoque CV]],0)</f>
        <v>0</v>
      </c>
      <c r="AT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Row],[data]])),((AT76*AU76)+SUMIFS(estoque[valor total],estoque[produto],preçodiario[[#Headers],[OVO VERMELHO EXTRA]],estoque[data],preçodiario[[#This Row],[data]],estoque[fornecedor],"&lt;&gt;saída"))/(AU76+(SUMIFS(estoque[quantidade],estoque[produto],preçodiario[[#Headers],[OVO VERMELHO EXTRA]],estoque[fornecedor],"&lt;&gt;saída",estoque[data],preçodiario[[#This Row],[data]])))))</f>
        <v/>
      </c>
      <c r="AU77" s="22">
        <f>IF(preçodiario[[#This Row],[entrada EV]]=0,AU76-(SUMIFS(estoque[quantidade],estoque[fornecedor],"saída",estoque[produto],preçodiario[[#Headers],[OVO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Row],[data]]))+AU76+preçodiario[[#This Row],[entrada EV]])</f>
        <v>0</v>
      </c>
      <c r="AV77" s="22">
        <f>SUMIFS(estoque[quantidade],estoque[fornecedor],"&lt;&gt;saída",estoque[produto],preçodiario[[#Headers],[OVO VERMELHO EXTRA]],estoque[data],preçodiario[[#This Row],[data]])</f>
        <v>0</v>
      </c>
      <c r="AW77" s="20">
        <f>SUMIFS(estoque[valor total],estoque[fornecedor],"&lt;&gt;saída",estoque[produto],preçodiario[[#Headers],[OVO VERMELHO EXTRA]],estoque[data],preçodiario[[#This Row],[data]])</f>
        <v>0</v>
      </c>
      <c r="AX77" s="20">
        <f>IFERROR(preçodiario[[#This Row],[OVO VERMELHO EXTRA]]*preçodiario[[#This Row],[estoque EV]],0)</f>
        <v>0</v>
      </c>
      <c r="AY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Row],[data]])),((AY76*AZ76)+SUMIFS(estoque[valor total],estoque[produto],preçodiario[[#Headers],[OVO VERMELHO JUMBO]],estoque[data],preçodiario[[#This Row],[data]],estoque[fornecedor],"&lt;&gt;saída"))/(AZ76+(SUMIFS(estoque[quantidade],estoque[produto],preçodiario[[#Headers],[OVO VERMELHO JUMBO]],estoque[fornecedor],"&lt;&gt;saída",estoque[data],preçodiario[[#This Row],[data]])))))</f>
        <v/>
      </c>
      <c r="AZ77" s="22">
        <f>IF(preçodiario[[#This Row],[entrada JV]]=0,AZ76-(SUMIFS(estoque[quantidade],estoque[fornecedor],"saída",estoque[produto],preçodiario[[#Headers],[OVO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Row],[data]]))+AZ76+preçodiario[[#This Row],[entrada JV]])</f>
        <v>0</v>
      </c>
      <c r="BA77" s="22">
        <f>SUMIFS(estoque[quantidade],estoque[fornecedor],"&lt;&gt;saída",estoque[produto],preçodiario[[#Headers],[OVO VERMELHO JUMBO]],estoque[data],preçodiario[[#This Row],[data]])</f>
        <v>0</v>
      </c>
      <c r="BB77" s="20">
        <f>SUMIFS(estoque[valor total],estoque[fornecedor],"&lt;&gt;saída",estoque[produto],preçodiario[[#Headers],[OVO VERMELHO JUMBO]],estoque[data],preçodiario[[#This Row],[data]])</f>
        <v>0</v>
      </c>
      <c r="BC77" s="20">
        <f>IFERROR(preçodiario[[#This Row],[OVO VERMELHO JUMBO]]*preçodiario[[#This Row],[estoque JV]],0)</f>
        <v>0</v>
      </c>
      <c r="BD77" t="str">
        <f>TEXT(vendaAno[[#This Row],[data]],"mmm")</f>
        <v>mar</v>
      </c>
      <c r="BE77" t="str">
        <f>TEXT(vendaAno[[#This Row],[data]],"ddd")</f>
        <v>ter</v>
      </c>
      <c r="BF77" s="82">
        <f>WEEKNUM(vendaAno[[#This Row],[data]],13)</f>
        <v>11</v>
      </c>
      <c r="BG77" s="27">
        <f>preçodiario[[#This Row],[data]]</f>
        <v>46098</v>
      </c>
      <c r="BH77" s="8">
        <f>IF(SUMIFS(estoque[valor total],estoque[fornecedor],"&lt;&gt;saída",estoque[data],vendaAno[[#This Row],[data]])=0,"",SUMIFS(estoque[valor total],estoque[fornecedor],"&lt;&gt;saída",estoque[data],vendaAno[[#This Row],[data]]))</f>
        <v>6350</v>
      </c>
      <c r="BI77" s="8">
        <f>IF(SUMIFS(estoque[valor total],estoque[fornecedor],"saída",estoque[data],vendaAno[[#This Row],[data]])=0,"",SUMIFS(estoque[valor total],estoque[fornecedor],"saída",estoque[data],vendaAno[[#This Row],[data]]))</f>
        <v>424</v>
      </c>
      <c r="BJ7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Row],[data]]))/12+BJ76,"")</f>
        <v>44.5833333333333</v>
      </c>
      <c r="BK77" s="79">
        <f ca="1">IF(TODAY()&gt;=vendaAno[[#This Row],[data]],IF(SUMIFS(estoque[quantidade],estoque[fornecedor],"saída",estoque[data],vendaAno[[#This Row],[data]])/12=0,AVERAGE(BK74:BK76),SUMIFS(estoque[quantidade],estoque[fornecedor],"saída",estoque[data],vendaAno[[#This Row],[data]])/12),"")</f>
        <v>2.1666666666666665</v>
      </c>
      <c r="BL77" s="8">
        <f ca="1">IF(vendaAno[[#This Row],[data]]&lt;=TODAY(),IF(SUMIFS(estoque[lucro],estoque[fornecedor],"saída",estoque[data],vendaAno[[#This Row],[data]])=0,AVERAGE(BL74:BL76),SUMIFS(estoque[lucro],estoque[fornecedor],"saída",estoque[data],vendaAno[[#This Row],[data]])),"")</f>
        <v>69.010000000000005</v>
      </c>
      <c r="BM77" s="10">
        <f ca="1">IFERROR(vendaAno[[#This Row],[lucro]]/vendaAno[[#This Row],[valor de venda]],"")</f>
        <v>0.16275943396226417</v>
      </c>
      <c r="BN7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7688.265151515152</v>
      </c>
      <c r="BO77" s="8">
        <f ca="1">IF(TODAY()&gt;=vendaAno[[#This Row],[data]],IF(vendaAno[[#This Row],[N°]]=BF76,vendaAno[[#This Row],[lucro]]-173.33+BO76,vendaAno[[#This Row],[lucro]]-150),"")</f>
        <v>-485.85000000000014</v>
      </c>
      <c r="BP77" s="81">
        <f ca="1">IF(TODAY()&gt;=vendaAno[[#This Row],[data]],SUM(BK71:BK77)*12,"")</f>
        <v>263</v>
      </c>
      <c r="BQ77" s="7">
        <f ca="1">IFERROR(vendaAno[[#This Row],[lucro]]/(vendaAno[[#This Row],[venda]]*12),"")</f>
        <v>2.6542307692307694</v>
      </c>
      <c r="CD77" s="7"/>
    </row>
    <row r="78" spans="1:82" x14ac:dyDescent="0.25">
      <c r="A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8" s="18" t="str">
        <f>TEXT(preçodiario[[#This Row],[data]],"MMM")</f>
        <v>mar</v>
      </c>
      <c r="C78" s="18" t="str">
        <f>TEXT(preçodiario[[#This Row],[data]],"ddd")</f>
        <v>qua</v>
      </c>
      <c r="D78" s="96">
        <f>WEEKNUM(preçodiario[[#This Row],[data]],13)</f>
        <v>12</v>
      </c>
      <c r="E78" s="37">
        <v>46099</v>
      </c>
      <c r="F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Row],[data]])),((F77*G77)+SUMIFS(estoque[valor total],estoque[produto],preçodiario[[#Headers],[OVO BRANCO A]],estoque[data],preçodiario[[#This Row],[data]],estoque[fornecedor],"&lt;&gt;saída"))/(G77+(SUMIFS(estoque[quantidade],estoque[produto],preçodiario[[#Headers],[OVO BRANCO A]],estoque[fornecedor],"&lt;&gt;saída",estoque[data],preçodiario[[#This Row],[data]])))))</f>
        <v>15</v>
      </c>
      <c r="G78" s="22">
        <f>IF(preçodiario[[#This Row],[entrada A]]=0,G77-(SUMIFS(estoque[quantidade],estoque[fornecedor],"saída",estoque[produto],preçodiario[[#Headers],[OVO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Row],[data]]))+G77+preçodiario[[#This Row],[entrada A]])</f>
        <v>116</v>
      </c>
      <c r="H78" s="22">
        <f>SUMIFS(estoque[quantidade],estoque[fornecedor],"&lt;&gt;saída",estoque[produto],preçodiario[[#Headers],[OVO BRANCO A]],estoque[data],preçodiario[[#This Row],[data]])</f>
        <v>0</v>
      </c>
      <c r="I78" s="20">
        <f>SUMIFS(estoque[valor total],estoque[fornecedor],"&lt;&gt;saída",estoque[produto],preçodiario[[#Headers],[OVO BRANCO A]],estoque[data],preçodiario[[#This Row],[data]])</f>
        <v>0</v>
      </c>
      <c r="J78" s="20">
        <f>IFERROR(preçodiario[[#This Row],[estoque A]]*preçodiario[[#This Row],[OVO BRANCO A]],0)</f>
        <v>1740</v>
      </c>
      <c r="K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Row],[data]])),((K77*L77)+SUMIFS(estoque[valor total],estoque[produto],preçodiario[[#Headers],[OVO BRANCO B]],estoque[data],preçodiario[[#This Row],[data]],estoque[fornecedor],"&lt;&gt;saída"))/(L77+(SUMIFS(estoque[quantidade],estoque[produto],preçodiario[[#Headers],[OVO BRANCO B]],estoque[fornecedor],"&lt;&gt;saída",estoque[data],preçodiario[[#This Row],[data]])))))</f>
        <v>13.825757575757576</v>
      </c>
      <c r="L78" s="22">
        <f>IF(preçodiario[[#This Row],[entrada B]]=0,L77-(SUMIFS(estoque[quantidade],estoque[fornecedor],"saída",estoque[produto],preçodiario[[#Headers],[OVO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Row],[data]]))+L77+preçodiario[[#This Row],[entrada B]])</f>
        <v>135</v>
      </c>
      <c r="M78" s="22">
        <f>SUMIFS(estoque[quantidade],estoque[fornecedor],"&lt;&gt;saída",estoque[produto],preçodiario[[#Headers],[OVO BRANCO B]],estoque[data],preçodiario[[#This Row],[data]])</f>
        <v>0</v>
      </c>
      <c r="N78" s="20">
        <f>SUMIFS(estoque[valor total],estoque[fornecedor],"&lt;&gt;saída",estoque[produto],preçodiario[[#Headers],[OVO BRANCO B]],estoque[data],preçodiario[[#This Row],[data]])</f>
        <v>0</v>
      </c>
      <c r="O78" s="20">
        <f>IFERROR(preçodiario[[#This Row],[OVO BRANCO B]]*preçodiario[[#This Row],[estoque B]],0)</f>
        <v>1866.4772727272727</v>
      </c>
      <c r="P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Row],[data]])),((P77*Q77)+SUMIFS(estoque[valor total],estoque[produto],preçodiario[[#Headers],[OVO BRANCO C]],estoque[data],preçodiario[[#This Row],[data]],estoque[fornecedor],"&lt;&gt;saída"))/(Q77+(SUMIFS(estoque[quantidade],estoque[produto],preçodiario[[#Headers],[OVO BRANCO C]],estoque[fornecedor],"&lt;&gt;saída",estoque[data],preçodiario[[#This Row],[data]])))))</f>
        <v>11.583333333333336</v>
      </c>
      <c r="Q78" s="22">
        <f>IF(preçodiario[[#This Row],[entrada C]]=0,Q77-(SUMIFS(estoque[quantidade],estoque[fornecedor],"saída",estoque[produto],preçodiario[[#Headers],[OVO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Row],[data]]))+Q77+preçodiario[[#This Row],[entrada C]])</f>
        <v>79</v>
      </c>
      <c r="R78" s="22">
        <f>SUMIFS(estoque[quantidade],estoque[fornecedor],"&lt;&gt;saída",estoque[produto],preçodiario[[#Headers],[OVO BRANCO C]],estoque[data],preçodiario[[#This Row],[data]])</f>
        <v>0</v>
      </c>
      <c r="S78" s="20">
        <f>SUMIFS(estoque[valor total],estoque[fornecedor],"&lt;&gt;saída",estoque[produto],preçodiario[[#Headers],[OVO BRANCO C]],estoque[data],preçodiario[[#This Row],[data]])</f>
        <v>0</v>
      </c>
      <c r="T78" s="20">
        <f>IFERROR(preçodiario[[#This Row],[OVO BRANCO C]]*preçodiario[[#This Row],[estoque C]],0)</f>
        <v>915.08333333333348</v>
      </c>
      <c r="U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Row],[data]])),((U77*V77)+SUMIFS(estoque[valor total],estoque[produto],preçodiario[[#Headers],[OVO BRANCO EXTRA]],estoque[data],preçodiario[[#This Row],[data]],estoque[fornecedor],"&lt;&gt;saída"))/(V77+(SUMIFS(estoque[quantidade],estoque[produto],preçodiario[[#Headers],[OVO BRANCO EXTRA]],estoque[fornecedor],"&lt;&gt;saída",estoque[data],preçodiario[[#This Row],[data]])))))</f>
        <v>15.833333333333334</v>
      </c>
      <c r="V78" s="22">
        <f>IF(preçodiario[[#This Row],[entrada E]]=0,V77-(SUMIFS(estoque[quantidade],estoque[fornecedor],"saída",estoque[produto],preçodiario[[#Headers],[OVO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Row],[data]]))+V77+preçodiario[[#This Row],[entrada E]])</f>
        <v>161</v>
      </c>
      <c r="W78" s="22">
        <f>SUMIFS(estoque[quantidade],estoque[fornecedor],"&lt;&gt;saída",estoque[produto],preçodiario[[#Headers],[OVO BRANCO EXTRA]],estoque[data],preçodiario[[#This Row],[data]])</f>
        <v>0</v>
      </c>
      <c r="X78" s="20">
        <f>SUMIFS(estoque[valor total],estoque[fornecedor],"&lt;&gt;saída",estoque[produto],preçodiario[[#Headers],[OVO BRANCO EXTRA]],estoque[data],preçodiario[[#This Row],[data]])</f>
        <v>0</v>
      </c>
      <c r="Y78" s="20">
        <f>IFERROR(preçodiario[[#This Row],[estoque E]]*preçodiario[[#This Row],[OVO BRANCO EXTRA]],0)</f>
        <v>2549.166666666667</v>
      </c>
      <c r="Z78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Row],[data]])),((Z77*AA77)+SUMIFS(estoque[valor total],estoque[produto],preçodiario[[#Headers],[OVO BRANCO JUMBO]],estoque[data],preçodiario[[#This Row],[data]],estoque[fornecedor],"&lt;&gt;saída"))/(AA77+(SUMIFS(estoque[quantidade],estoque[produto],preçodiario[[#Headers],[OVO BRANCO JUMBO]],estoque[fornecedor],"&lt;&gt;saída",estoque[data],preçodiario[[#This Row],[data]])))))</f>
        <v/>
      </c>
      <c r="AA78" s="22">
        <f>IF(preçodiario[[#This Row],[entrada J]]=0,AA77-(SUMIFS(estoque[quantidade],estoque[fornecedor],"saída",estoque[produto],preçodiario[[#Headers],[OVO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Row],[data]]))+AA77+preçodiario[[#This Row],[entrada J]])</f>
        <v>0</v>
      </c>
      <c r="AB78" s="22">
        <f>SUMIFS(estoque[quantidade],estoque[fornecedor],"&lt;&gt;saída",estoque[produto],preçodiario[[#Headers],[OVO BRANCO JUMBO]],estoque[data],preçodiario[[#This Row],[data]])</f>
        <v>0</v>
      </c>
      <c r="AC78" s="20">
        <f>SUMIFS(estoque[valor total],estoque[fornecedor],"&lt;&gt;saída",estoque[produto],preçodiario[[#Headers],[OVO BRANCO JUMBO]],estoque[data],preçodiario[[#This Row],[data]])</f>
        <v>0</v>
      </c>
      <c r="AD78" s="20">
        <f>IFERROR(preçodiario[[#This Row],[OVO BRANCO JUMBO]]*preçodiario[[#This Row],[estoque J]],0)</f>
        <v>0</v>
      </c>
      <c r="AE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Row],[data]])),((AE77*AF77)+SUMIFS(estoque[valor total],estoque[produto],preçodiario[[#Headers],[OVO VERMELHO A]],estoque[data],preçodiario[[#This Row],[data]],estoque[fornecedor],"&lt;&gt;saída"))/(AF77+(SUMIFS(estoque[quantidade],estoque[produto],preçodiario[[#Headers],[OVO VERMELHO A]],estoque[fornecedor],"&lt;&gt;saída",estoque[data],preçodiario[[#This Row],[data]])))))</f>
        <v/>
      </c>
      <c r="AF78" s="22">
        <f>IF(preçodiario[[#This Row],[entrada AV]]=0,AF77-(SUMIFS(estoque[quantidade],estoque[fornecedor],"saída",estoque[produto],preçodiario[[#Headers],[OVO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Row],[data]]))+AF77+preçodiario[[#This Row],[entrada AV]])</f>
        <v>0</v>
      </c>
      <c r="AG78" s="22">
        <f>SUMIFS(estoque[quantidade],estoque[fornecedor],"&lt;&gt;saída",estoque[produto],preçodiario[[#Headers],[OVO VERMELHO A]],estoque[data],preçodiario[[#This Row],[data]])</f>
        <v>0</v>
      </c>
      <c r="AH78" s="20">
        <f>SUMIFS(estoque[valor total],estoque[fornecedor],"&lt;&gt;saída",estoque[produto],preçodiario[[#Headers],[OVO VERMELHO A]],estoque[data],preçodiario[[#This Row],[data]])</f>
        <v>0</v>
      </c>
      <c r="AI78" s="20">
        <f>IFERROR(preçodiario[[#This Row],[OVO VERMELHO A]]*preçodiario[[#This Row],[estoque AV]],0)</f>
        <v>0</v>
      </c>
      <c r="AJ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Row],[data]])),((AJ77*AK77)+SUMIFS(estoque[valor total],estoque[produto],preçodiario[[#Headers],[OVO VERMELHO B]],estoque[data],preçodiario[[#This Row],[data]],estoque[fornecedor],"&lt;&gt;saída"))/(AK77+(SUMIFS(estoque[quantidade],estoque[produto],preçodiario[[#Headers],[OVO VERMELHO B]],estoque[fornecedor],"&lt;&gt;saída",estoque[data],preçodiario[[#This Row],[data]])))))</f>
        <v/>
      </c>
      <c r="AK78" s="22">
        <f>IF(preçodiario[[#This Row],[entrada BV]]=0,AK77-(SUMIFS(estoque[quantidade],estoque[fornecedor],"saída",estoque[produto],preçodiario[[#Headers],[OVO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Row],[data]]))+AK77+preçodiario[[#This Row],[entrada BV]])</f>
        <v>0</v>
      </c>
      <c r="AL78" s="22">
        <f>SUMIFS(estoque[quantidade],estoque[fornecedor],"&lt;&gt;saída",estoque[produto],preçodiario[[#Headers],[OVO VERMELHO B]],estoque[data],preçodiario[[#This Row],[data]])</f>
        <v>0</v>
      </c>
      <c r="AM78" s="20">
        <f>SUMIFS(estoque[valor total],estoque[fornecedor],"&lt;&gt;saída",estoque[produto],preçodiario[[#Headers],[OVO VERMELHO B]],estoque[data],preçodiario[[#This Row],[data]])</f>
        <v>0</v>
      </c>
      <c r="AN78" s="20">
        <f>IFERROR(preçodiario[[#This Row],[OVO VERMELHO B]]*preçodiario[[#This Row],[estoque BV]],0)</f>
        <v>0</v>
      </c>
      <c r="AO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Row],[data]])),((AO77*AP77)+SUMIFS(estoque[valor total],estoque[produto],preçodiario[[#Headers],[OVO VERMELHO C]],estoque[data],preçodiario[[#This Row],[data]],estoque[fornecedor],"&lt;&gt;saída"))/(AP77+(SUMIFS(estoque[quantidade],estoque[produto],preçodiario[[#Headers],[OVO VERMELHO C]],estoque[fornecedor],"&lt;&gt;saída",estoque[data],preçodiario[[#This Row],[data]])))))</f>
        <v/>
      </c>
      <c r="AP78" s="22">
        <f>IF(preçodiario[[#This Row],[entrada CV]]=0,AP77-(SUMIFS(estoque[quantidade],estoque[fornecedor],"saída",estoque[produto],preçodiario[[#Headers],[OVO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Row],[data]]))+AP77+preçodiario[[#This Row],[entrada CV]])</f>
        <v>0</v>
      </c>
      <c r="AQ78" s="22">
        <f>SUMIFS(estoque[quantidade],estoque[fornecedor],"&lt;&gt;saída",estoque[produto],preçodiario[[#Headers],[OVO VERMELHO C]],estoque[data],preçodiario[[#This Row],[data]])</f>
        <v>0</v>
      </c>
      <c r="AR78" s="20">
        <f>SUMIFS(estoque[valor total],estoque[fornecedor],"&lt;&gt;saída",estoque[produto],preçodiario[[#Headers],[OVO VERMELHO C]],estoque[data],preçodiario[[#This Row],[data]])</f>
        <v>0</v>
      </c>
      <c r="AS78" s="20">
        <f>IFERROR(preçodiario[[#This Row],[OVO VERMELHO C]]*preçodiario[[#This Row],[estoque CV]],0)</f>
        <v>0</v>
      </c>
      <c r="AT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Row],[data]])),((AT77*AU77)+SUMIFS(estoque[valor total],estoque[produto],preçodiario[[#Headers],[OVO VERMELHO EXTRA]],estoque[data],preçodiario[[#This Row],[data]],estoque[fornecedor],"&lt;&gt;saída"))/(AU77+(SUMIFS(estoque[quantidade],estoque[produto],preçodiario[[#Headers],[OVO VERMELHO EXTRA]],estoque[fornecedor],"&lt;&gt;saída",estoque[data],preçodiario[[#This Row],[data]])))))</f>
        <v/>
      </c>
      <c r="AU78" s="22">
        <f>IF(preçodiario[[#This Row],[entrada EV]]=0,AU77-(SUMIFS(estoque[quantidade],estoque[fornecedor],"saída",estoque[produto],preçodiario[[#Headers],[OVO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Row],[data]]))+AU77+preçodiario[[#This Row],[entrada EV]])</f>
        <v>0</v>
      </c>
      <c r="AV78" s="22">
        <f>SUMIFS(estoque[quantidade],estoque[fornecedor],"&lt;&gt;saída",estoque[produto],preçodiario[[#Headers],[OVO VERMELHO EXTRA]],estoque[data],preçodiario[[#This Row],[data]])</f>
        <v>0</v>
      </c>
      <c r="AW78" s="20">
        <f>SUMIFS(estoque[valor total],estoque[fornecedor],"&lt;&gt;saída",estoque[produto],preçodiario[[#Headers],[OVO VERMELHO EXTRA]],estoque[data],preçodiario[[#This Row],[data]])</f>
        <v>0</v>
      </c>
      <c r="AX78" s="20">
        <f>IFERROR(preçodiario[[#This Row],[OVO VERMELHO EXTRA]]*preçodiario[[#This Row],[estoque EV]],0)</f>
        <v>0</v>
      </c>
      <c r="AY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Row],[data]])),((AY77*AZ77)+SUMIFS(estoque[valor total],estoque[produto],preçodiario[[#Headers],[OVO VERMELHO JUMBO]],estoque[data],preçodiario[[#This Row],[data]],estoque[fornecedor],"&lt;&gt;saída"))/(AZ77+(SUMIFS(estoque[quantidade],estoque[produto],preçodiario[[#Headers],[OVO VERMELHO JUMBO]],estoque[fornecedor],"&lt;&gt;saída",estoque[data],preçodiario[[#This Row],[data]])))))</f>
        <v/>
      </c>
      <c r="AZ78" s="22">
        <f>IF(preçodiario[[#This Row],[entrada JV]]=0,AZ77-(SUMIFS(estoque[quantidade],estoque[fornecedor],"saída",estoque[produto],preçodiario[[#Headers],[OVO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Row],[data]]))+AZ77+preçodiario[[#This Row],[entrada JV]])</f>
        <v>0</v>
      </c>
      <c r="BA78" s="22">
        <f>SUMIFS(estoque[quantidade],estoque[fornecedor],"&lt;&gt;saída",estoque[produto],preçodiario[[#Headers],[OVO VERMELHO JUMBO]],estoque[data],preçodiario[[#This Row],[data]])</f>
        <v>0</v>
      </c>
      <c r="BB78" s="20">
        <f>SUMIFS(estoque[valor total],estoque[fornecedor],"&lt;&gt;saída",estoque[produto],preçodiario[[#Headers],[OVO VERMELHO JUMBO]],estoque[data],preçodiario[[#This Row],[data]])</f>
        <v>0</v>
      </c>
      <c r="BC78" s="20">
        <f>IFERROR(preçodiario[[#This Row],[OVO VERMELHO JUMBO]]*preçodiario[[#This Row],[estoque JV]],0)</f>
        <v>0</v>
      </c>
      <c r="BD78" t="str">
        <f>TEXT(vendaAno[[#This Row],[data]],"mmm")</f>
        <v>mar</v>
      </c>
      <c r="BE78" t="str">
        <f>TEXT(vendaAno[[#This Row],[data]],"ddd")</f>
        <v>qua</v>
      </c>
      <c r="BF78" s="82">
        <f>WEEKNUM(vendaAno[[#This Row],[data]],13)</f>
        <v>12</v>
      </c>
      <c r="BG78" s="27">
        <f>preçodiario[[#This Row],[data]]</f>
        <v>46099</v>
      </c>
      <c r="BH7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8" s="8">
        <f>IF(SUMIFS(estoque[valor total],estoque[fornecedor],"saída",estoque[data],vendaAno[[#This Row],[data]])=0,"",SUMIFS(estoque[valor total],estoque[fornecedor],"saída",estoque[data],vendaAno[[#This Row],[data]]))</f>
        <v>760</v>
      </c>
      <c r="BJ7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Row],[data]]))/12+BJ77,"")</f>
        <v>40.916666666666636</v>
      </c>
      <c r="BK78" s="79">
        <f ca="1">IF(TODAY()&gt;=vendaAno[[#This Row],[data]],IF(SUMIFS(estoque[quantidade],estoque[fornecedor],"saída",estoque[data],vendaAno[[#This Row],[data]])/12=0,AVERAGE(BK75:BK77),SUMIFS(estoque[quantidade],estoque[fornecedor],"saída",estoque[data],vendaAno[[#This Row],[data]])/12),"")</f>
        <v>3.6666666666666665</v>
      </c>
      <c r="BL78" s="8">
        <f ca="1">IF(vendaAno[[#This Row],[data]]&lt;=TODAY(),IF(SUMIFS(estoque[lucro],estoque[fornecedor],"saída",estoque[data],vendaAno[[#This Row],[data]])=0,AVERAGE(BL75:BL77),SUMIFS(estoque[lucro],estoque[fornecedor],"saída",estoque[data],vendaAno[[#This Row],[data]])),"")</f>
        <v>142.47</v>
      </c>
      <c r="BM78" s="10">
        <f ca="1">IFERROR(vendaAno[[#This Row],[lucro]]/vendaAno[[#This Row],[valor de venda]],"")</f>
        <v>0.18746052631578947</v>
      </c>
      <c r="BN7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7070.727272727273</v>
      </c>
      <c r="BO78" s="8">
        <f ca="1">IF(TODAY()&gt;=vendaAno[[#This Row],[data]],IF(vendaAno[[#This Row],[N°]]=BF77,vendaAno[[#This Row],[lucro]]-173.33+BO77,vendaAno[[#This Row],[lucro]]-150),"")</f>
        <v>-7.5300000000000011</v>
      </c>
      <c r="BP78" s="81">
        <f ca="1">IF(TODAY()&gt;=vendaAno[[#This Row],[data]],SUM(BK72:BK78)*12,"")</f>
        <v>259</v>
      </c>
      <c r="BQ78" s="7">
        <f ca="1">IFERROR(vendaAno[[#This Row],[lucro]]/(vendaAno[[#This Row],[venda]]*12),"")</f>
        <v>3.2379545454545453</v>
      </c>
      <c r="CD78" s="7"/>
    </row>
    <row r="79" spans="1:82" x14ac:dyDescent="0.25">
      <c r="A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79" s="18" t="str">
        <f>TEXT(preçodiario[[#This Row],[data]],"MMM")</f>
        <v>mar</v>
      </c>
      <c r="C79" s="18" t="str">
        <f>TEXT(preçodiario[[#This Row],[data]],"ddd")</f>
        <v>qui</v>
      </c>
      <c r="D79" s="96">
        <f>WEEKNUM(preçodiario[[#This Row],[data]],13)</f>
        <v>12</v>
      </c>
      <c r="E79" s="37">
        <v>46100</v>
      </c>
      <c r="F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Row],[data]])),((F78*G78)+SUMIFS(estoque[valor total],estoque[produto],preçodiario[[#Headers],[OVO BRANCO A]],estoque[data],preçodiario[[#This Row],[data]],estoque[fornecedor],"&lt;&gt;saída"))/(G78+(SUMIFS(estoque[quantidade],estoque[produto],preçodiario[[#Headers],[OVO BRANCO A]],estoque[fornecedor],"&lt;&gt;saída",estoque[data],preçodiario[[#This Row],[data]])))))</f>
        <v>15</v>
      </c>
      <c r="G79" s="22">
        <f>IF(preçodiario[[#This Row],[entrada A]]=0,G78-(SUMIFS(estoque[quantidade],estoque[fornecedor],"saída",estoque[produto],preçodiario[[#Headers],[OVO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Row],[data]]))+G78+preçodiario[[#This Row],[entrada A]])</f>
        <v>112</v>
      </c>
      <c r="H79" s="22">
        <f>SUMIFS(estoque[quantidade],estoque[fornecedor],"&lt;&gt;saída",estoque[produto],preçodiario[[#Headers],[OVO BRANCO A]],estoque[data],preçodiario[[#This Row],[data]])</f>
        <v>0</v>
      </c>
      <c r="I79" s="20">
        <f>SUMIFS(estoque[valor total],estoque[fornecedor],"&lt;&gt;saída",estoque[produto],preçodiario[[#Headers],[OVO BRANCO A]],estoque[data],preçodiario[[#This Row],[data]])</f>
        <v>0</v>
      </c>
      <c r="J79" s="20">
        <f>IFERROR(preçodiario[[#This Row],[estoque A]]*preçodiario[[#This Row],[OVO BRANCO A]],0)</f>
        <v>1680</v>
      </c>
      <c r="K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Row],[data]])),((K78*L78)+SUMIFS(estoque[valor total],estoque[produto],preçodiario[[#Headers],[OVO BRANCO B]],estoque[data],preçodiario[[#This Row],[data]],estoque[fornecedor],"&lt;&gt;saída"))/(L78+(SUMIFS(estoque[quantidade],estoque[produto],preçodiario[[#Headers],[OVO BRANCO B]],estoque[fornecedor],"&lt;&gt;saída",estoque[data],preçodiario[[#This Row],[data]])))))</f>
        <v>13.825757575757576</v>
      </c>
      <c r="L79" s="22">
        <f>IF(preçodiario[[#This Row],[entrada B]]=0,L78-(SUMIFS(estoque[quantidade],estoque[fornecedor],"saída",estoque[produto],preçodiario[[#Headers],[OVO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Row],[data]]))+L78+preçodiario[[#This Row],[entrada B]])</f>
        <v>113</v>
      </c>
      <c r="M79" s="22">
        <f>SUMIFS(estoque[quantidade],estoque[fornecedor],"&lt;&gt;saída",estoque[produto],preçodiario[[#Headers],[OVO BRANCO B]],estoque[data],preçodiario[[#This Row],[data]])</f>
        <v>0</v>
      </c>
      <c r="N79" s="20">
        <f>SUMIFS(estoque[valor total],estoque[fornecedor],"&lt;&gt;saída",estoque[produto],preçodiario[[#Headers],[OVO BRANCO B]],estoque[data],preçodiario[[#This Row],[data]])</f>
        <v>0</v>
      </c>
      <c r="O79" s="20">
        <f>IFERROR(preçodiario[[#This Row],[OVO BRANCO B]]*preçodiario[[#This Row],[estoque B]],0)</f>
        <v>1562.310606060606</v>
      </c>
      <c r="P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Row],[data]])),((P78*Q78)+SUMIFS(estoque[valor total],estoque[produto],preçodiario[[#Headers],[OVO BRANCO C]],estoque[data],preçodiario[[#This Row],[data]],estoque[fornecedor],"&lt;&gt;saída"))/(Q78+(SUMIFS(estoque[quantidade],estoque[produto],preçodiario[[#Headers],[OVO BRANCO C]],estoque[fornecedor],"&lt;&gt;saída",estoque[data],preçodiario[[#This Row],[data]])))))</f>
        <v>11.583333333333336</v>
      </c>
      <c r="Q79" s="22">
        <f>IF(preçodiario[[#This Row],[entrada C]]=0,Q78-(SUMIFS(estoque[quantidade],estoque[fornecedor],"saída",estoque[produto],preçodiario[[#Headers],[OVO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Row],[data]]))+Q78+preçodiario[[#This Row],[entrada C]])</f>
        <v>74</v>
      </c>
      <c r="R79" s="22">
        <f>SUMIFS(estoque[quantidade],estoque[fornecedor],"&lt;&gt;saída",estoque[produto],preçodiario[[#Headers],[OVO BRANCO C]],estoque[data],preçodiario[[#This Row],[data]])</f>
        <v>0</v>
      </c>
      <c r="S79" s="20">
        <f>SUMIFS(estoque[valor total],estoque[fornecedor],"&lt;&gt;saída",estoque[produto],preçodiario[[#Headers],[OVO BRANCO C]],estoque[data],preçodiario[[#This Row],[data]])</f>
        <v>0</v>
      </c>
      <c r="T79" s="20">
        <f>IFERROR(preçodiario[[#This Row],[OVO BRANCO C]]*preçodiario[[#This Row],[estoque C]],0)</f>
        <v>857.16666666666686</v>
      </c>
      <c r="U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Row],[data]])),((U78*V78)+SUMIFS(estoque[valor total],estoque[produto],preçodiario[[#Headers],[OVO BRANCO EXTRA]],estoque[data],preçodiario[[#This Row],[data]],estoque[fornecedor],"&lt;&gt;saída"))/(V78+(SUMIFS(estoque[quantidade],estoque[produto],preçodiario[[#Headers],[OVO BRANCO EXTRA]],estoque[fornecedor],"&lt;&gt;saída",estoque[data],preçodiario[[#This Row],[data]])))))</f>
        <v>15.833333333333336</v>
      </c>
      <c r="V79" s="22">
        <f>IF(preçodiario[[#This Row],[entrada E]]=0,V78-(SUMIFS(estoque[quantidade],estoque[fornecedor],"saída",estoque[produto],preçodiario[[#Headers],[OVO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Row],[data]]))+V78+preçodiario[[#This Row],[entrada E]])</f>
        <v>139</v>
      </c>
      <c r="W79" s="22">
        <f>SUMIFS(estoque[quantidade],estoque[fornecedor],"&lt;&gt;saída",estoque[produto],preçodiario[[#Headers],[OVO BRANCO EXTRA]],estoque[data],preçodiario[[#This Row],[data]])</f>
        <v>0</v>
      </c>
      <c r="X79" s="20">
        <f>SUMIFS(estoque[valor total],estoque[fornecedor],"&lt;&gt;saída",estoque[produto],preçodiario[[#Headers],[OVO BRANCO EXTRA]],estoque[data],preçodiario[[#This Row],[data]])</f>
        <v>0</v>
      </c>
      <c r="Y79" s="20">
        <f>IFERROR(preçodiario[[#This Row],[estoque E]]*preçodiario[[#This Row],[OVO BRANCO EXTRA]],0)</f>
        <v>2200.8333333333335</v>
      </c>
      <c r="Z7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Row],[data]])),((Z78*AA78)+SUMIFS(estoque[valor total],estoque[produto],preçodiario[[#Headers],[OVO BRANCO JUMBO]],estoque[data],preçodiario[[#This Row],[data]],estoque[fornecedor],"&lt;&gt;saída"))/(AA78+(SUMIFS(estoque[quantidade],estoque[produto],preçodiario[[#Headers],[OVO BRANCO JUMBO]],estoque[fornecedor],"&lt;&gt;saída",estoque[data],preçodiario[[#This Row],[data]])))))</f>
        <v/>
      </c>
      <c r="AA79" s="22">
        <f>IF(preçodiario[[#This Row],[entrada J]]=0,AA78-(SUMIFS(estoque[quantidade],estoque[fornecedor],"saída",estoque[produto],preçodiario[[#Headers],[OVO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Row],[data]]))+AA78+preçodiario[[#This Row],[entrada J]])</f>
        <v>0</v>
      </c>
      <c r="AB79" s="22">
        <f>SUMIFS(estoque[quantidade],estoque[fornecedor],"&lt;&gt;saída",estoque[produto],preçodiario[[#Headers],[OVO BRANCO JUMBO]],estoque[data],preçodiario[[#This Row],[data]])</f>
        <v>0</v>
      </c>
      <c r="AC79" s="20">
        <f>SUMIFS(estoque[valor total],estoque[fornecedor],"&lt;&gt;saída",estoque[produto],preçodiario[[#Headers],[OVO BRANCO JUMBO]],estoque[data],preçodiario[[#This Row],[data]])</f>
        <v>0</v>
      </c>
      <c r="AD79" s="20">
        <f>IFERROR(preçodiario[[#This Row],[OVO BRANCO JUMBO]]*preçodiario[[#This Row],[estoque J]],0)</f>
        <v>0</v>
      </c>
      <c r="AE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Row],[data]])),((AE78*AF78)+SUMIFS(estoque[valor total],estoque[produto],preçodiario[[#Headers],[OVO VERMELHO A]],estoque[data],preçodiario[[#This Row],[data]],estoque[fornecedor],"&lt;&gt;saída"))/(AF78+(SUMIFS(estoque[quantidade],estoque[produto],preçodiario[[#Headers],[OVO VERMELHO A]],estoque[fornecedor],"&lt;&gt;saída",estoque[data],preçodiario[[#This Row],[data]])))))</f>
        <v/>
      </c>
      <c r="AF79" s="22">
        <f>IF(preçodiario[[#This Row],[entrada AV]]=0,AF78-(SUMIFS(estoque[quantidade],estoque[fornecedor],"saída",estoque[produto],preçodiario[[#Headers],[OVO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Row],[data]]))+AF78+preçodiario[[#This Row],[entrada AV]])</f>
        <v>0</v>
      </c>
      <c r="AG79" s="22">
        <f>SUMIFS(estoque[quantidade],estoque[fornecedor],"&lt;&gt;saída",estoque[produto],preçodiario[[#Headers],[OVO VERMELHO A]],estoque[data],preçodiario[[#This Row],[data]])</f>
        <v>0</v>
      </c>
      <c r="AH79" s="20">
        <f>SUMIFS(estoque[valor total],estoque[fornecedor],"&lt;&gt;saída",estoque[produto],preçodiario[[#Headers],[OVO VERMELHO A]],estoque[data],preçodiario[[#This Row],[data]])</f>
        <v>0</v>
      </c>
      <c r="AI79" s="20">
        <f>IFERROR(preçodiario[[#This Row],[OVO VERMELHO A]]*preçodiario[[#This Row],[estoque AV]],0)</f>
        <v>0</v>
      </c>
      <c r="AJ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Row],[data]])),((AJ78*AK78)+SUMIFS(estoque[valor total],estoque[produto],preçodiario[[#Headers],[OVO VERMELHO B]],estoque[data],preçodiario[[#This Row],[data]],estoque[fornecedor],"&lt;&gt;saída"))/(AK78+(SUMIFS(estoque[quantidade],estoque[produto],preçodiario[[#Headers],[OVO VERMELHO B]],estoque[fornecedor],"&lt;&gt;saída",estoque[data],preçodiario[[#This Row],[data]])))))</f>
        <v/>
      </c>
      <c r="AK79" s="22">
        <f>IF(preçodiario[[#This Row],[entrada BV]]=0,AK78-(SUMIFS(estoque[quantidade],estoque[fornecedor],"saída",estoque[produto],preçodiario[[#Headers],[OVO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Row],[data]]))+AK78+preçodiario[[#This Row],[entrada BV]])</f>
        <v>0</v>
      </c>
      <c r="AL79" s="22">
        <f>SUMIFS(estoque[quantidade],estoque[fornecedor],"&lt;&gt;saída",estoque[produto],preçodiario[[#Headers],[OVO VERMELHO B]],estoque[data],preçodiario[[#This Row],[data]])</f>
        <v>0</v>
      </c>
      <c r="AM79" s="20">
        <f>SUMIFS(estoque[valor total],estoque[fornecedor],"&lt;&gt;saída",estoque[produto],preçodiario[[#Headers],[OVO VERMELHO B]],estoque[data],preçodiario[[#This Row],[data]])</f>
        <v>0</v>
      </c>
      <c r="AN79" s="20">
        <f>IFERROR(preçodiario[[#This Row],[OVO VERMELHO B]]*preçodiario[[#This Row],[estoque BV]],0)</f>
        <v>0</v>
      </c>
      <c r="AO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Row],[data]])),((AO78*AP78)+SUMIFS(estoque[valor total],estoque[produto],preçodiario[[#Headers],[OVO VERMELHO C]],estoque[data],preçodiario[[#This Row],[data]],estoque[fornecedor],"&lt;&gt;saída"))/(AP78+(SUMIFS(estoque[quantidade],estoque[produto],preçodiario[[#Headers],[OVO VERMELHO C]],estoque[fornecedor],"&lt;&gt;saída",estoque[data],preçodiario[[#This Row],[data]])))))</f>
        <v/>
      </c>
      <c r="AP79" s="22">
        <f>IF(preçodiario[[#This Row],[entrada CV]]=0,AP78-(SUMIFS(estoque[quantidade],estoque[fornecedor],"saída",estoque[produto],preçodiario[[#Headers],[OVO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Row],[data]]))+AP78+preçodiario[[#This Row],[entrada CV]])</f>
        <v>0</v>
      </c>
      <c r="AQ79" s="22">
        <f>SUMIFS(estoque[quantidade],estoque[fornecedor],"&lt;&gt;saída",estoque[produto],preçodiario[[#Headers],[OVO VERMELHO C]],estoque[data],preçodiario[[#This Row],[data]])</f>
        <v>0</v>
      </c>
      <c r="AR79" s="20">
        <f>SUMIFS(estoque[valor total],estoque[fornecedor],"&lt;&gt;saída",estoque[produto],preçodiario[[#Headers],[OVO VERMELHO C]],estoque[data],preçodiario[[#This Row],[data]])</f>
        <v>0</v>
      </c>
      <c r="AS79" s="20">
        <f>IFERROR(preçodiario[[#This Row],[OVO VERMELHO C]]*preçodiario[[#This Row],[estoque CV]],0)</f>
        <v>0</v>
      </c>
      <c r="AT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Row],[data]])),((AT78*AU78)+SUMIFS(estoque[valor total],estoque[produto],preçodiario[[#Headers],[OVO VERMELHO EXTRA]],estoque[data],preçodiario[[#This Row],[data]],estoque[fornecedor],"&lt;&gt;saída"))/(AU78+(SUMIFS(estoque[quantidade],estoque[produto],preçodiario[[#Headers],[OVO VERMELHO EXTRA]],estoque[fornecedor],"&lt;&gt;saída",estoque[data],preçodiario[[#This Row],[data]])))))</f>
        <v/>
      </c>
      <c r="AU79" s="22">
        <f>IF(preçodiario[[#This Row],[entrada EV]]=0,AU78-(SUMIFS(estoque[quantidade],estoque[fornecedor],"saída",estoque[produto],preçodiario[[#Headers],[OVO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Row],[data]]))+AU78+preçodiario[[#This Row],[entrada EV]])</f>
        <v>0</v>
      </c>
      <c r="AV79" s="22">
        <f>SUMIFS(estoque[quantidade],estoque[fornecedor],"&lt;&gt;saída",estoque[produto],preçodiario[[#Headers],[OVO VERMELHO EXTRA]],estoque[data],preçodiario[[#This Row],[data]])</f>
        <v>0</v>
      </c>
      <c r="AW79" s="20">
        <f>SUMIFS(estoque[valor total],estoque[fornecedor],"&lt;&gt;saída",estoque[produto],preçodiario[[#Headers],[OVO VERMELHO EXTRA]],estoque[data],preçodiario[[#This Row],[data]])</f>
        <v>0</v>
      </c>
      <c r="AX79" s="20">
        <f>IFERROR(preçodiario[[#This Row],[OVO VERMELHO EXTRA]]*preçodiario[[#This Row],[estoque EV]],0)</f>
        <v>0</v>
      </c>
      <c r="AY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Row],[data]])),((AY78*AZ78)+SUMIFS(estoque[valor total],estoque[produto],preçodiario[[#Headers],[OVO VERMELHO JUMBO]],estoque[data],preçodiario[[#This Row],[data]],estoque[fornecedor],"&lt;&gt;saída"))/(AZ78+(SUMIFS(estoque[quantidade],estoque[produto],preçodiario[[#Headers],[OVO VERMELHO JUMBO]],estoque[fornecedor],"&lt;&gt;saída",estoque[data],preçodiario[[#This Row],[data]])))))</f>
        <v/>
      </c>
      <c r="AZ79" s="22">
        <f>IF(preçodiario[[#This Row],[entrada JV]]=0,AZ78-(SUMIFS(estoque[quantidade],estoque[fornecedor],"saída",estoque[produto],preçodiario[[#Headers],[OVO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Row],[data]]))+AZ78+preçodiario[[#This Row],[entrada JV]])</f>
        <v>0</v>
      </c>
      <c r="BA79" s="22">
        <f>SUMIFS(estoque[quantidade],estoque[fornecedor],"&lt;&gt;saída",estoque[produto],preçodiario[[#Headers],[OVO VERMELHO JUMBO]],estoque[data],preçodiario[[#This Row],[data]])</f>
        <v>0</v>
      </c>
      <c r="BB79" s="20">
        <f>SUMIFS(estoque[valor total],estoque[fornecedor],"&lt;&gt;saída",estoque[produto],preçodiario[[#Headers],[OVO VERMELHO JUMBO]],estoque[data],preçodiario[[#This Row],[data]])</f>
        <v>0</v>
      </c>
      <c r="BC79" s="20">
        <f>IFERROR(preçodiario[[#This Row],[OVO VERMELHO JUMBO]]*preçodiario[[#This Row],[estoque JV]],0)</f>
        <v>0</v>
      </c>
      <c r="BD79" t="str">
        <f>TEXT(vendaAno[[#This Row],[data]],"mmm")</f>
        <v>mar</v>
      </c>
      <c r="BE79" t="str">
        <f>TEXT(vendaAno[[#This Row],[data]],"ddd")</f>
        <v>qui</v>
      </c>
      <c r="BF79" s="82">
        <f>WEEKNUM(vendaAno[[#This Row],[data]],13)</f>
        <v>12</v>
      </c>
      <c r="BG79" s="27">
        <f>preçodiario[[#This Row],[data]]</f>
        <v>46100</v>
      </c>
      <c r="BH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79" s="8">
        <f>IF(SUMIFS(estoque[valor total],estoque[fornecedor],"saída",estoque[data],vendaAno[[#This Row],[data]])=0,"",SUMIFS(estoque[valor total],estoque[fornecedor],"saída",estoque[data],vendaAno[[#This Row],[data]]))</f>
        <v>950</v>
      </c>
      <c r="BJ7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Row],[data]]))/12+BJ78,"")</f>
        <v>36.499999999999972</v>
      </c>
      <c r="BK79" s="79">
        <f ca="1">IF(TODAY()&gt;=vendaAno[[#This Row],[data]],IF(SUMIFS(estoque[quantidade],estoque[fornecedor],"saída",estoque[data],vendaAno[[#This Row],[data]])/12=0,AVERAGE(BK76:BK78),SUMIFS(estoque[quantidade],estoque[fornecedor],"saída",estoque[data],vendaAno[[#This Row],[data]])/12),"")</f>
        <v>4.416666666666667</v>
      </c>
      <c r="BL79" s="8">
        <f ca="1">IF(vendaAno[[#This Row],[data]]&lt;=TODAY(),IF(SUMIFS(estoque[lucro],estoque[fornecedor],"saída",estoque[data],vendaAno[[#This Row],[data]])=0,AVERAGE(BL76:BL78),SUMIFS(estoque[lucro],estoque[fornecedor],"saída",estoque[data],vendaAno[[#This Row],[data]])),"")</f>
        <v>179.57999999999998</v>
      </c>
      <c r="BM79" s="10">
        <f ca="1">IFERROR(vendaAno[[#This Row],[lucro]]/vendaAno[[#This Row],[valor de venda]],"")</f>
        <v>0.18903157894736841</v>
      </c>
      <c r="BN7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6300.310606060606</v>
      </c>
      <c r="BO79" s="8">
        <f ca="1">IF(TODAY()&gt;=vendaAno[[#This Row],[data]],IF(vendaAno[[#This Row],[N°]]=BF78,vendaAno[[#This Row],[lucro]]-173.33+BO78,vendaAno[[#This Row],[lucro]]-150),"")</f>
        <v>-1.2800000000000296</v>
      </c>
      <c r="BP79" s="81">
        <f ca="1">IF(TODAY()&gt;=vendaAno[[#This Row],[data]],SUM(BK73:BK79)*12,"")</f>
        <v>276.00000000000006</v>
      </c>
      <c r="BQ79" s="7">
        <f ca="1">IFERROR(vendaAno[[#This Row],[lucro]]/(vendaAno[[#This Row],[venda]]*12),"")</f>
        <v>3.3883018867924526</v>
      </c>
      <c r="CD79" s="7"/>
    </row>
    <row r="80" spans="1:82" x14ac:dyDescent="0.25">
      <c r="A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0" s="18" t="str">
        <f>TEXT(preçodiario[[#This Row],[data]],"MMM")</f>
        <v>mar</v>
      </c>
      <c r="C80" s="18" t="str">
        <f>TEXT(preçodiario[[#This Row],[data]],"ddd")</f>
        <v>sex</v>
      </c>
      <c r="D80" s="96">
        <f>WEEKNUM(preçodiario[[#This Row],[data]],13)</f>
        <v>12</v>
      </c>
      <c r="E80" s="37">
        <v>46101</v>
      </c>
      <c r="F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Row],[data]])),((F79*G79)+SUMIFS(estoque[valor total],estoque[produto],preçodiario[[#Headers],[OVO BRANCO A]],estoque[data],preçodiario[[#This Row],[data]],estoque[fornecedor],"&lt;&gt;saída"))/(G79+(SUMIFS(estoque[quantidade],estoque[produto],preçodiario[[#Headers],[OVO BRANCO A]],estoque[fornecedor],"&lt;&gt;saída",estoque[data],preçodiario[[#This Row],[data]])))))</f>
        <v>15</v>
      </c>
      <c r="G80" s="22">
        <f>IF(preçodiario[[#This Row],[entrada A]]=0,G79-(SUMIFS(estoque[quantidade],estoque[fornecedor],"saída",estoque[produto],preçodiario[[#Headers],[OVO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Row],[data]]))+G79+preçodiario[[#This Row],[entrada A]])</f>
        <v>107</v>
      </c>
      <c r="H80" s="22">
        <f>SUMIFS(estoque[quantidade],estoque[fornecedor],"&lt;&gt;saída",estoque[produto],preçodiario[[#Headers],[OVO BRANCO A]],estoque[data],preçodiario[[#This Row],[data]])</f>
        <v>0</v>
      </c>
      <c r="I80" s="20">
        <f>SUMIFS(estoque[valor total],estoque[fornecedor],"&lt;&gt;saída",estoque[produto],preçodiario[[#Headers],[OVO BRANCO A]],estoque[data],preçodiario[[#This Row],[data]])</f>
        <v>0</v>
      </c>
      <c r="J80" s="20">
        <f>IFERROR(preçodiario[[#This Row],[estoque A]]*preçodiario[[#This Row],[OVO BRANCO A]],0)</f>
        <v>1605</v>
      </c>
      <c r="K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Row],[data]])),((K79*L79)+SUMIFS(estoque[valor total],estoque[produto],preçodiario[[#Headers],[OVO BRANCO B]],estoque[data],preçodiario[[#This Row],[data]],estoque[fornecedor],"&lt;&gt;saída"))/(L79+(SUMIFS(estoque[quantidade],estoque[produto],preçodiario[[#Headers],[OVO BRANCO B]],estoque[fornecedor],"&lt;&gt;saída",estoque[data],preçodiario[[#This Row],[data]])))))</f>
        <v>13.825757575757576</v>
      </c>
      <c r="L80" s="22">
        <f>IF(preçodiario[[#This Row],[entrada B]]=0,L79-(SUMIFS(estoque[quantidade],estoque[fornecedor],"saída",estoque[produto],preçodiario[[#Headers],[OVO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Row],[data]]))+L79+preçodiario[[#This Row],[entrada B]])</f>
        <v>79</v>
      </c>
      <c r="M80" s="22">
        <f>SUMIFS(estoque[quantidade],estoque[fornecedor],"&lt;&gt;saída",estoque[produto],preçodiario[[#Headers],[OVO BRANCO B]],estoque[data],preçodiario[[#This Row],[data]])</f>
        <v>0</v>
      </c>
      <c r="N80" s="20">
        <f>SUMIFS(estoque[valor total],estoque[fornecedor],"&lt;&gt;saída",estoque[produto],preçodiario[[#Headers],[OVO BRANCO B]],estoque[data],preçodiario[[#This Row],[data]])</f>
        <v>0</v>
      </c>
      <c r="O80" s="20">
        <f>IFERROR(preçodiario[[#This Row],[OVO BRANCO B]]*preçodiario[[#This Row],[estoque B]],0)</f>
        <v>1092.2348484848485</v>
      </c>
      <c r="P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Row],[data]])),((P79*Q79)+SUMIFS(estoque[valor total],estoque[produto],preçodiario[[#Headers],[OVO BRANCO C]],estoque[data],preçodiario[[#This Row],[data]],estoque[fornecedor],"&lt;&gt;saída"))/(Q79+(SUMIFS(estoque[quantidade],estoque[produto],preçodiario[[#Headers],[OVO BRANCO C]],estoque[fornecedor],"&lt;&gt;saída",estoque[data],preçodiario[[#This Row],[data]])))))</f>
        <v>11.583333333333336</v>
      </c>
      <c r="Q80" s="22">
        <f>IF(preçodiario[[#This Row],[entrada C]]=0,Q79-(SUMIFS(estoque[quantidade],estoque[fornecedor],"saída",estoque[produto],preçodiario[[#Headers],[OVO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Row],[data]]))+Q79+preçodiario[[#This Row],[entrada C]])</f>
        <v>67</v>
      </c>
      <c r="R80" s="22">
        <f>SUMIFS(estoque[quantidade],estoque[fornecedor],"&lt;&gt;saída",estoque[produto],preçodiario[[#Headers],[OVO BRANCO C]],estoque[data],preçodiario[[#This Row],[data]])</f>
        <v>0</v>
      </c>
      <c r="S80" s="20">
        <f>SUMIFS(estoque[valor total],estoque[fornecedor],"&lt;&gt;saída",estoque[produto],preçodiario[[#Headers],[OVO BRANCO C]],estoque[data],preçodiario[[#This Row],[data]])</f>
        <v>0</v>
      </c>
      <c r="T80" s="20">
        <f>IFERROR(preçodiario[[#This Row],[OVO BRANCO C]]*preçodiario[[#This Row],[estoque C]],0)</f>
        <v>776.08333333333348</v>
      </c>
      <c r="U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Row],[data]])),((U79*V79)+SUMIFS(estoque[valor total],estoque[produto],preçodiario[[#Headers],[OVO BRANCO EXTRA]],estoque[data],preçodiario[[#This Row],[data]],estoque[fornecedor],"&lt;&gt;saída"))/(V79+(SUMIFS(estoque[quantidade],estoque[produto],preçodiario[[#Headers],[OVO BRANCO EXTRA]],estoque[fornecedor],"&lt;&gt;saída",estoque[data],preçodiario[[#This Row],[data]])))))</f>
        <v>15.833333333333334</v>
      </c>
      <c r="V80" s="22">
        <f>IF(preçodiario[[#This Row],[entrada E]]=0,V79-(SUMIFS(estoque[quantidade],estoque[fornecedor],"saída",estoque[produto],preçodiario[[#Headers],[OVO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Row],[data]]))+V79+preçodiario[[#This Row],[entrada E]])</f>
        <v>124</v>
      </c>
      <c r="W80" s="22">
        <f>SUMIFS(estoque[quantidade],estoque[fornecedor],"&lt;&gt;saída",estoque[produto],preçodiario[[#Headers],[OVO BRANCO EXTRA]],estoque[data],preçodiario[[#This Row],[data]])</f>
        <v>0</v>
      </c>
      <c r="X80" s="20">
        <f>SUMIFS(estoque[valor total],estoque[fornecedor],"&lt;&gt;saída",estoque[produto],preçodiario[[#Headers],[OVO BRANCO EXTRA]],estoque[data],preçodiario[[#This Row],[data]])</f>
        <v>0</v>
      </c>
      <c r="Y80" s="20">
        <f>IFERROR(preçodiario[[#This Row],[estoque E]]*preçodiario[[#This Row],[OVO BRANCO EXTRA]],0)</f>
        <v>1963.3333333333335</v>
      </c>
      <c r="Z8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Row],[data]])),((Z79*AA79)+SUMIFS(estoque[valor total],estoque[produto],preçodiario[[#Headers],[OVO BRANCO JUMBO]],estoque[data],preçodiario[[#This Row],[data]],estoque[fornecedor],"&lt;&gt;saída"))/(AA79+(SUMIFS(estoque[quantidade],estoque[produto],preçodiario[[#Headers],[OVO BRANCO JUMBO]],estoque[fornecedor],"&lt;&gt;saída",estoque[data],preçodiario[[#This Row],[data]])))))</f>
        <v/>
      </c>
      <c r="AA80" s="22">
        <f>IF(preçodiario[[#This Row],[entrada J]]=0,AA79-(SUMIFS(estoque[quantidade],estoque[fornecedor],"saída",estoque[produto],preçodiario[[#Headers],[OVO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Row],[data]]))+AA79+preçodiario[[#This Row],[entrada J]])</f>
        <v>0</v>
      </c>
      <c r="AB80" s="22">
        <f>SUMIFS(estoque[quantidade],estoque[fornecedor],"&lt;&gt;saída",estoque[produto],preçodiario[[#Headers],[OVO BRANCO JUMBO]],estoque[data],preçodiario[[#This Row],[data]])</f>
        <v>0</v>
      </c>
      <c r="AC80" s="20">
        <f>SUMIFS(estoque[valor total],estoque[fornecedor],"&lt;&gt;saída",estoque[produto],preçodiario[[#Headers],[OVO BRANCO JUMBO]],estoque[data],preçodiario[[#This Row],[data]])</f>
        <v>0</v>
      </c>
      <c r="AD80" s="20">
        <f>IFERROR(preçodiario[[#This Row],[OVO BRANCO JUMBO]]*preçodiario[[#This Row],[estoque J]],0)</f>
        <v>0</v>
      </c>
      <c r="AE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Row],[data]])),((AE79*AF79)+SUMIFS(estoque[valor total],estoque[produto],preçodiario[[#Headers],[OVO VERMELHO A]],estoque[data],preçodiario[[#This Row],[data]],estoque[fornecedor],"&lt;&gt;saída"))/(AF79+(SUMIFS(estoque[quantidade],estoque[produto],preçodiario[[#Headers],[OVO VERMELHO A]],estoque[fornecedor],"&lt;&gt;saída",estoque[data],preçodiario[[#This Row],[data]])))))</f>
        <v/>
      </c>
      <c r="AF80" s="22">
        <f>IF(preçodiario[[#This Row],[entrada AV]]=0,AF79-(SUMIFS(estoque[quantidade],estoque[fornecedor],"saída",estoque[produto],preçodiario[[#Headers],[OVO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Row],[data]]))+AF79+preçodiario[[#This Row],[entrada AV]])</f>
        <v>0</v>
      </c>
      <c r="AG80" s="22">
        <f>SUMIFS(estoque[quantidade],estoque[fornecedor],"&lt;&gt;saída",estoque[produto],preçodiario[[#Headers],[OVO VERMELHO A]],estoque[data],preçodiario[[#This Row],[data]])</f>
        <v>0</v>
      </c>
      <c r="AH80" s="20">
        <f>SUMIFS(estoque[valor total],estoque[fornecedor],"&lt;&gt;saída",estoque[produto],preçodiario[[#Headers],[OVO VERMELHO A]],estoque[data],preçodiario[[#This Row],[data]])</f>
        <v>0</v>
      </c>
      <c r="AI80" s="20">
        <f>IFERROR(preçodiario[[#This Row],[OVO VERMELHO A]]*preçodiario[[#This Row],[estoque AV]],0)</f>
        <v>0</v>
      </c>
      <c r="AJ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Row],[data]])),((AJ79*AK79)+SUMIFS(estoque[valor total],estoque[produto],preçodiario[[#Headers],[OVO VERMELHO B]],estoque[data],preçodiario[[#This Row],[data]],estoque[fornecedor],"&lt;&gt;saída"))/(AK79+(SUMIFS(estoque[quantidade],estoque[produto],preçodiario[[#Headers],[OVO VERMELHO B]],estoque[fornecedor],"&lt;&gt;saída",estoque[data],preçodiario[[#This Row],[data]])))))</f>
        <v/>
      </c>
      <c r="AK80" s="22">
        <f>IF(preçodiario[[#This Row],[entrada BV]]=0,AK79-(SUMIFS(estoque[quantidade],estoque[fornecedor],"saída",estoque[produto],preçodiario[[#Headers],[OVO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Row],[data]]))+AK79+preçodiario[[#This Row],[entrada BV]])</f>
        <v>0</v>
      </c>
      <c r="AL80" s="22">
        <f>SUMIFS(estoque[quantidade],estoque[fornecedor],"&lt;&gt;saída",estoque[produto],preçodiario[[#Headers],[OVO VERMELHO B]],estoque[data],preçodiario[[#This Row],[data]])</f>
        <v>0</v>
      </c>
      <c r="AM80" s="20">
        <f>SUMIFS(estoque[valor total],estoque[fornecedor],"&lt;&gt;saída",estoque[produto],preçodiario[[#Headers],[OVO VERMELHO B]],estoque[data],preçodiario[[#This Row],[data]])</f>
        <v>0</v>
      </c>
      <c r="AN80" s="20">
        <f>IFERROR(preçodiario[[#This Row],[OVO VERMELHO B]]*preçodiario[[#This Row],[estoque BV]],0)</f>
        <v>0</v>
      </c>
      <c r="AO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Row],[data]])),((AO79*AP79)+SUMIFS(estoque[valor total],estoque[produto],preçodiario[[#Headers],[OVO VERMELHO C]],estoque[data],preçodiario[[#This Row],[data]],estoque[fornecedor],"&lt;&gt;saída"))/(AP79+(SUMIFS(estoque[quantidade],estoque[produto],preçodiario[[#Headers],[OVO VERMELHO C]],estoque[fornecedor],"&lt;&gt;saída",estoque[data],preçodiario[[#This Row],[data]])))))</f>
        <v/>
      </c>
      <c r="AP80" s="22">
        <f>IF(preçodiario[[#This Row],[entrada CV]]=0,AP79-(SUMIFS(estoque[quantidade],estoque[fornecedor],"saída",estoque[produto],preçodiario[[#Headers],[OVO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Row],[data]]))+AP79+preçodiario[[#This Row],[entrada CV]])</f>
        <v>0</v>
      </c>
      <c r="AQ80" s="22">
        <f>SUMIFS(estoque[quantidade],estoque[fornecedor],"&lt;&gt;saída",estoque[produto],preçodiario[[#Headers],[OVO VERMELHO C]],estoque[data],preçodiario[[#This Row],[data]])</f>
        <v>0</v>
      </c>
      <c r="AR80" s="20">
        <f>SUMIFS(estoque[valor total],estoque[fornecedor],"&lt;&gt;saída",estoque[produto],preçodiario[[#Headers],[OVO VERMELHO C]],estoque[data],preçodiario[[#This Row],[data]])</f>
        <v>0</v>
      </c>
      <c r="AS80" s="20">
        <f>IFERROR(preçodiario[[#This Row],[OVO VERMELHO C]]*preçodiario[[#This Row],[estoque CV]],0)</f>
        <v>0</v>
      </c>
      <c r="AT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Row],[data]])),((AT79*AU79)+SUMIFS(estoque[valor total],estoque[produto],preçodiario[[#Headers],[OVO VERMELHO EXTRA]],estoque[data],preçodiario[[#This Row],[data]],estoque[fornecedor],"&lt;&gt;saída"))/(AU79+(SUMIFS(estoque[quantidade],estoque[produto],preçodiario[[#Headers],[OVO VERMELHO EXTRA]],estoque[fornecedor],"&lt;&gt;saída",estoque[data],preçodiario[[#This Row],[data]])))))</f>
        <v/>
      </c>
      <c r="AU80" s="22">
        <f>IF(preçodiario[[#This Row],[entrada EV]]=0,AU79-(SUMIFS(estoque[quantidade],estoque[fornecedor],"saída",estoque[produto],preçodiario[[#Headers],[OVO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Row],[data]]))+AU79+preçodiario[[#This Row],[entrada EV]])</f>
        <v>0</v>
      </c>
      <c r="AV80" s="22">
        <f>SUMIFS(estoque[quantidade],estoque[fornecedor],"&lt;&gt;saída",estoque[produto],preçodiario[[#Headers],[OVO VERMELHO EXTRA]],estoque[data],preçodiario[[#This Row],[data]])</f>
        <v>0</v>
      </c>
      <c r="AW80" s="20">
        <f>SUMIFS(estoque[valor total],estoque[fornecedor],"&lt;&gt;saída",estoque[produto],preçodiario[[#Headers],[OVO VERMELHO EXTRA]],estoque[data],preçodiario[[#This Row],[data]])</f>
        <v>0</v>
      </c>
      <c r="AX80" s="20">
        <f>IFERROR(preçodiario[[#This Row],[OVO VERMELHO EXTRA]]*preçodiario[[#This Row],[estoque EV]],0)</f>
        <v>0</v>
      </c>
      <c r="AY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Row],[data]])),((AY79*AZ79)+SUMIFS(estoque[valor total],estoque[produto],preçodiario[[#Headers],[OVO VERMELHO JUMBO]],estoque[data],preçodiario[[#This Row],[data]],estoque[fornecedor],"&lt;&gt;saída"))/(AZ79+(SUMIFS(estoque[quantidade],estoque[produto],preçodiario[[#Headers],[OVO VERMELHO JUMBO]],estoque[fornecedor],"&lt;&gt;saída",estoque[data],preçodiario[[#This Row],[data]])))))</f>
        <v/>
      </c>
      <c r="AZ80" s="22">
        <f>IF(preçodiario[[#This Row],[entrada JV]]=0,AZ79-(SUMIFS(estoque[quantidade],estoque[fornecedor],"saída",estoque[produto],preçodiario[[#Headers],[OVO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Row],[data]]))+AZ79+preçodiario[[#This Row],[entrada JV]])</f>
        <v>0</v>
      </c>
      <c r="BA80" s="22">
        <f>SUMIFS(estoque[quantidade],estoque[fornecedor],"&lt;&gt;saída",estoque[produto],preçodiario[[#Headers],[OVO VERMELHO JUMBO]],estoque[data],preçodiario[[#This Row],[data]])</f>
        <v>0</v>
      </c>
      <c r="BB80" s="20">
        <f>SUMIFS(estoque[valor total],estoque[fornecedor],"&lt;&gt;saída",estoque[produto],preçodiario[[#Headers],[OVO VERMELHO JUMBO]],estoque[data],preçodiario[[#This Row],[data]])</f>
        <v>0</v>
      </c>
      <c r="BC80" s="20">
        <f>IFERROR(preçodiario[[#This Row],[OVO VERMELHO JUMBO]]*preçodiario[[#This Row],[estoque JV]],0)</f>
        <v>0</v>
      </c>
      <c r="BD80" t="str">
        <f>TEXT(vendaAno[[#This Row],[data]],"mmm")</f>
        <v>mar</v>
      </c>
      <c r="BE80" t="str">
        <f>TEXT(vendaAno[[#This Row],[data]],"ddd")</f>
        <v>sex</v>
      </c>
      <c r="BF80" s="82">
        <f>WEEKNUM(vendaAno[[#This Row],[data]],13)</f>
        <v>12</v>
      </c>
      <c r="BG80" s="27">
        <f>preçodiario[[#This Row],[data]]</f>
        <v>46101</v>
      </c>
      <c r="BH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0" s="8">
        <f>IF(SUMIFS(estoque[valor total],estoque[fornecedor],"saída",estoque[data],vendaAno[[#This Row],[data]])=0,"",SUMIFS(estoque[valor total],estoque[fornecedor],"saída",estoque[data],vendaAno[[#This Row],[data]]))</f>
        <v>1034</v>
      </c>
      <c r="BJ8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Row],[data]]))/12+BJ79,"")</f>
        <v>31.416666666666639</v>
      </c>
      <c r="BK80" s="79">
        <f ca="1">IF(TODAY()&gt;=vendaAno[[#This Row],[data]],IF(SUMIFS(estoque[quantidade],estoque[fornecedor],"saída",estoque[data],vendaAno[[#This Row],[data]])/12=0,AVERAGE(BK77:BK79),SUMIFS(estoque[quantidade],estoque[fornecedor],"saída",estoque[data],vendaAno[[#This Row],[data]])/12),"")</f>
        <v>5.083333333333333</v>
      </c>
      <c r="BL80" s="8">
        <f ca="1">IF(vendaAno[[#This Row],[data]]&lt;=TODAY(),IF(SUMIFS(estoque[lucro],estoque[fornecedor],"saída",estoque[data],vendaAno[[#This Row],[data]])=0,AVERAGE(BL77:BL79),SUMIFS(estoque[lucro],estoque[fornecedor],"saída",estoque[data],vendaAno[[#This Row],[data]])),"")</f>
        <v>170.34</v>
      </c>
      <c r="BM80" s="10">
        <f ca="1">IFERROR(vendaAno[[#This Row],[lucro]]/vendaAno[[#This Row],[valor de venda]],"")</f>
        <v>0.16473887814313345</v>
      </c>
      <c r="BN8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5436.6515151515159</v>
      </c>
      <c r="BO80" s="8">
        <f ca="1">IF(TODAY()&gt;=vendaAno[[#This Row],[data]],IF(vendaAno[[#This Row],[N°]]=BF79,vendaAno[[#This Row],[lucro]]-173.33+BO79,vendaAno[[#This Row],[lucro]]-150),"")</f>
        <v>-4.2700000000000387</v>
      </c>
      <c r="BP80" s="81">
        <f ca="1">IF(TODAY()&gt;=vendaAno[[#This Row],[data]],SUM(BK74:BK80)*12,"")</f>
        <v>301</v>
      </c>
      <c r="BQ80" s="7">
        <f ca="1">IFERROR(vendaAno[[#This Row],[lucro]]/(vendaAno[[#This Row],[venda]]*12),"")</f>
        <v>2.7924590163934426</v>
      </c>
      <c r="CD80" s="7"/>
    </row>
    <row r="81" spans="1:82" x14ac:dyDescent="0.25">
      <c r="A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1" s="18" t="str">
        <f>TEXT(preçodiario[[#This Row],[data]],"MMM")</f>
        <v>mar</v>
      </c>
      <c r="C81" s="18" t="str">
        <f>TEXT(preçodiario[[#This Row],[data]],"ddd")</f>
        <v>sáb</v>
      </c>
      <c r="D81" s="96">
        <f>WEEKNUM(preçodiario[[#This Row],[data]],13)</f>
        <v>12</v>
      </c>
      <c r="E81" s="37">
        <v>46102</v>
      </c>
      <c r="F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Row],[data]])),((F80*G80)+SUMIFS(estoque[valor total],estoque[produto],preçodiario[[#Headers],[OVO BRANCO A]],estoque[data],preçodiario[[#This Row],[data]],estoque[fornecedor],"&lt;&gt;saída"))/(G80+(SUMIFS(estoque[quantidade],estoque[produto],preçodiario[[#Headers],[OVO BRANCO A]],estoque[fornecedor],"&lt;&gt;saída",estoque[data],preçodiario[[#This Row],[data]])))))</f>
        <v>15</v>
      </c>
      <c r="G81" s="22">
        <f>IF(preçodiario[[#This Row],[entrada A]]=0,G80-(SUMIFS(estoque[quantidade],estoque[fornecedor],"saída",estoque[produto],preçodiario[[#Headers],[OVO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Row],[data]]))+G80+preçodiario[[#This Row],[entrada A]])</f>
        <v>104</v>
      </c>
      <c r="H81" s="22">
        <f>SUMIFS(estoque[quantidade],estoque[fornecedor],"&lt;&gt;saída",estoque[produto],preçodiario[[#Headers],[OVO BRANCO A]],estoque[data],preçodiario[[#This Row],[data]])</f>
        <v>0</v>
      </c>
      <c r="I81" s="20">
        <f>SUMIFS(estoque[valor total],estoque[fornecedor],"&lt;&gt;saída",estoque[produto],preçodiario[[#Headers],[OVO BRANCO A]],estoque[data],preçodiario[[#This Row],[data]])</f>
        <v>0</v>
      </c>
      <c r="J81" s="20">
        <f>IFERROR(preçodiario[[#This Row],[estoque A]]*preçodiario[[#This Row],[OVO BRANCO A]],0)</f>
        <v>1560</v>
      </c>
      <c r="K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Row],[data]])),((K80*L80)+SUMIFS(estoque[valor total],estoque[produto],preçodiario[[#Headers],[OVO BRANCO B]],estoque[data],preçodiario[[#This Row],[data]],estoque[fornecedor],"&lt;&gt;saída"))/(L80+(SUMIFS(estoque[quantidade],estoque[produto],preçodiario[[#Headers],[OVO BRANCO B]],estoque[fornecedor],"&lt;&gt;saída",estoque[data],preçodiario[[#This Row],[data]])))))</f>
        <v>13.825757575757576</v>
      </c>
      <c r="L81" s="22">
        <f>IF(preçodiario[[#This Row],[entrada B]]=0,L80-(SUMIFS(estoque[quantidade],estoque[fornecedor],"saída",estoque[produto],preçodiario[[#Headers],[OVO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Row],[data]]))+L80+preçodiario[[#This Row],[entrada B]])</f>
        <v>78</v>
      </c>
      <c r="M81" s="22">
        <f>SUMIFS(estoque[quantidade],estoque[fornecedor],"&lt;&gt;saída",estoque[produto],preçodiario[[#Headers],[OVO BRANCO B]],estoque[data],preçodiario[[#This Row],[data]])</f>
        <v>0</v>
      </c>
      <c r="N81" s="20">
        <f>SUMIFS(estoque[valor total],estoque[fornecedor],"&lt;&gt;saída",estoque[produto],preçodiario[[#Headers],[OVO BRANCO B]],estoque[data],preçodiario[[#This Row],[data]])</f>
        <v>0</v>
      </c>
      <c r="O81" s="20">
        <f>IFERROR(preçodiario[[#This Row],[OVO BRANCO B]]*preçodiario[[#This Row],[estoque B]],0)</f>
        <v>1078.409090909091</v>
      </c>
      <c r="P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Row],[data]])),((P80*Q80)+SUMIFS(estoque[valor total],estoque[produto],preçodiario[[#Headers],[OVO BRANCO C]],estoque[data],preçodiario[[#This Row],[data]],estoque[fornecedor],"&lt;&gt;saída"))/(Q80+(SUMIFS(estoque[quantidade],estoque[produto],preçodiario[[#Headers],[OVO BRANCO C]],estoque[fornecedor],"&lt;&gt;saída",estoque[data],preçodiario[[#This Row],[data]])))))</f>
        <v>11.583333333333336</v>
      </c>
      <c r="Q81" s="22">
        <f>IF(preçodiario[[#This Row],[entrada C]]=0,Q80-(SUMIFS(estoque[quantidade],estoque[fornecedor],"saída",estoque[produto],preçodiario[[#Headers],[OVO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Row],[data]]))+Q80+preçodiario[[#This Row],[entrada C]])</f>
        <v>66</v>
      </c>
      <c r="R81" s="22">
        <f>SUMIFS(estoque[quantidade],estoque[fornecedor],"&lt;&gt;saída",estoque[produto],preçodiario[[#Headers],[OVO BRANCO C]],estoque[data],preçodiario[[#This Row],[data]])</f>
        <v>0</v>
      </c>
      <c r="S81" s="20">
        <f>SUMIFS(estoque[valor total],estoque[fornecedor],"&lt;&gt;saída",estoque[produto],preçodiario[[#Headers],[OVO BRANCO C]],estoque[data],preçodiario[[#This Row],[data]])</f>
        <v>0</v>
      </c>
      <c r="T81" s="20">
        <f>IFERROR(preçodiario[[#This Row],[OVO BRANCO C]]*preçodiario[[#This Row],[estoque C]],0)</f>
        <v>764.50000000000011</v>
      </c>
      <c r="U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Row],[data]])),((U80*V80)+SUMIFS(estoque[valor total],estoque[produto],preçodiario[[#Headers],[OVO BRANCO EXTRA]],estoque[data],preçodiario[[#This Row],[data]],estoque[fornecedor],"&lt;&gt;saída"))/(V80+(SUMIFS(estoque[quantidade],estoque[produto],preçodiario[[#Headers],[OVO BRANCO EXTRA]],estoque[fornecedor],"&lt;&gt;saída",estoque[data],preçodiario[[#This Row],[data]])))))</f>
        <v>15.833333333333334</v>
      </c>
      <c r="V81" s="22">
        <f>IF(preçodiario[[#This Row],[entrada E]]=0,V80-(SUMIFS(estoque[quantidade],estoque[fornecedor],"saída",estoque[produto],preçodiario[[#Headers],[OVO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Row],[data]]))+V80+preçodiario[[#This Row],[entrada E]])</f>
        <v>120</v>
      </c>
      <c r="W81" s="22">
        <f>SUMIFS(estoque[quantidade],estoque[fornecedor],"&lt;&gt;saída",estoque[produto],preçodiario[[#Headers],[OVO BRANCO EXTRA]],estoque[data],preçodiario[[#This Row],[data]])</f>
        <v>0</v>
      </c>
      <c r="X81" s="20">
        <f>SUMIFS(estoque[valor total],estoque[fornecedor],"&lt;&gt;saída",estoque[produto],preçodiario[[#Headers],[OVO BRANCO EXTRA]],estoque[data],preçodiario[[#This Row],[data]])</f>
        <v>0</v>
      </c>
      <c r="Y81" s="20">
        <f>IFERROR(preçodiario[[#This Row],[estoque E]]*preçodiario[[#This Row],[OVO BRANCO EXTRA]],0)</f>
        <v>1900</v>
      </c>
      <c r="Z8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Row],[data]])),((Z80*AA80)+SUMIFS(estoque[valor total],estoque[produto],preçodiario[[#Headers],[OVO BRANCO JUMBO]],estoque[data],preçodiario[[#This Row],[data]],estoque[fornecedor],"&lt;&gt;saída"))/(AA80+(SUMIFS(estoque[quantidade],estoque[produto],preçodiario[[#Headers],[OVO BRANCO JUMBO]],estoque[fornecedor],"&lt;&gt;saída",estoque[data],preçodiario[[#This Row],[data]])))))</f>
        <v/>
      </c>
      <c r="AA81" s="22">
        <f>IF(preçodiario[[#This Row],[entrada J]]=0,AA80-(SUMIFS(estoque[quantidade],estoque[fornecedor],"saída",estoque[produto],preçodiario[[#Headers],[OVO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Row],[data]]))+AA80+preçodiario[[#This Row],[entrada J]])</f>
        <v>0</v>
      </c>
      <c r="AB81" s="22">
        <f>SUMIFS(estoque[quantidade],estoque[fornecedor],"&lt;&gt;saída",estoque[produto],preçodiario[[#Headers],[OVO BRANCO JUMBO]],estoque[data],preçodiario[[#This Row],[data]])</f>
        <v>0</v>
      </c>
      <c r="AC81" s="20">
        <f>SUMIFS(estoque[valor total],estoque[fornecedor],"&lt;&gt;saída",estoque[produto],preçodiario[[#Headers],[OVO BRANCO JUMBO]],estoque[data],preçodiario[[#This Row],[data]])</f>
        <v>0</v>
      </c>
      <c r="AD81" s="20">
        <f>IFERROR(preçodiario[[#This Row],[OVO BRANCO JUMBO]]*preçodiario[[#This Row],[estoque J]],0)</f>
        <v>0</v>
      </c>
      <c r="AE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Row],[data]])),((AE80*AF80)+SUMIFS(estoque[valor total],estoque[produto],preçodiario[[#Headers],[OVO VERMELHO A]],estoque[data],preçodiario[[#This Row],[data]],estoque[fornecedor],"&lt;&gt;saída"))/(AF80+(SUMIFS(estoque[quantidade],estoque[produto],preçodiario[[#Headers],[OVO VERMELHO A]],estoque[fornecedor],"&lt;&gt;saída",estoque[data],preçodiario[[#This Row],[data]])))))</f>
        <v/>
      </c>
      <c r="AF81" s="22">
        <f>IF(preçodiario[[#This Row],[entrada AV]]=0,AF80-(SUMIFS(estoque[quantidade],estoque[fornecedor],"saída",estoque[produto],preçodiario[[#Headers],[OVO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Row],[data]]))+AF80+preçodiario[[#This Row],[entrada AV]])</f>
        <v>0</v>
      </c>
      <c r="AG81" s="22">
        <f>SUMIFS(estoque[quantidade],estoque[fornecedor],"&lt;&gt;saída",estoque[produto],preçodiario[[#Headers],[OVO VERMELHO A]],estoque[data],preçodiario[[#This Row],[data]])</f>
        <v>0</v>
      </c>
      <c r="AH81" s="20">
        <f>SUMIFS(estoque[valor total],estoque[fornecedor],"&lt;&gt;saída",estoque[produto],preçodiario[[#Headers],[OVO VERMELHO A]],estoque[data],preçodiario[[#This Row],[data]])</f>
        <v>0</v>
      </c>
      <c r="AI81" s="20">
        <f>IFERROR(preçodiario[[#This Row],[OVO VERMELHO A]]*preçodiario[[#This Row],[estoque AV]],0)</f>
        <v>0</v>
      </c>
      <c r="AJ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Row],[data]])),((AJ80*AK80)+SUMIFS(estoque[valor total],estoque[produto],preçodiario[[#Headers],[OVO VERMELHO B]],estoque[data],preçodiario[[#This Row],[data]],estoque[fornecedor],"&lt;&gt;saída"))/(AK80+(SUMIFS(estoque[quantidade],estoque[produto],preçodiario[[#Headers],[OVO VERMELHO B]],estoque[fornecedor],"&lt;&gt;saída",estoque[data],preçodiario[[#This Row],[data]])))))</f>
        <v/>
      </c>
      <c r="AK81" s="22">
        <f>IF(preçodiario[[#This Row],[entrada BV]]=0,AK80-(SUMIFS(estoque[quantidade],estoque[fornecedor],"saída",estoque[produto],preçodiario[[#Headers],[OVO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Row],[data]]))+AK80+preçodiario[[#This Row],[entrada BV]])</f>
        <v>0</v>
      </c>
      <c r="AL81" s="22">
        <f>SUMIFS(estoque[quantidade],estoque[fornecedor],"&lt;&gt;saída",estoque[produto],preçodiario[[#Headers],[OVO VERMELHO B]],estoque[data],preçodiario[[#This Row],[data]])</f>
        <v>0</v>
      </c>
      <c r="AM81" s="20">
        <f>SUMIFS(estoque[valor total],estoque[fornecedor],"&lt;&gt;saída",estoque[produto],preçodiario[[#Headers],[OVO VERMELHO B]],estoque[data],preçodiario[[#This Row],[data]])</f>
        <v>0</v>
      </c>
      <c r="AN81" s="20">
        <f>IFERROR(preçodiario[[#This Row],[OVO VERMELHO B]]*preçodiario[[#This Row],[estoque BV]],0)</f>
        <v>0</v>
      </c>
      <c r="AO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Row],[data]])),((AO80*AP80)+SUMIFS(estoque[valor total],estoque[produto],preçodiario[[#Headers],[OVO VERMELHO C]],estoque[data],preçodiario[[#This Row],[data]],estoque[fornecedor],"&lt;&gt;saída"))/(AP80+(SUMIFS(estoque[quantidade],estoque[produto],preçodiario[[#Headers],[OVO VERMELHO C]],estoque[fornecedor],"&lt;&gt;saída",estoque[data],preçodiario[[#This Row],[data]])))))</f>
        <v/>
      </c>
      <c r="AP81" s="22">
        <f>IF(preçodiario[[#This Row],[entrada CV]]=0,AP80-(SUMIFS(estoque[quantidade],estoque[fornecedor],"saída",estoque[produto],preçodiario[[#Headers],[OVO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Row],[data]]))+AP80+preçodiario[[#This Row],[entrada CV]])</f>
        <v>0</v>
      </c>
      <c r="AQ81" s="22">
        <f>SUMIFS(estoque[quantidade],estoque[fornecedor],"&lt;&gt;saída",estoque[produto],preçodiario[[#Headers],[OVO VERMELHO C]],estoque[data],preçodiario[[#This Row],[data]])</f>
        <v>0</v>
      </c>
      <c r="AR81" s="20">
        <f>SUMIFS(estoque[valor total],estoque[fornecedor],"&lt;&gt;saída",estoque[produto],preçodiario[[#Headers],[OVO VERMELHO C]],estoque[data],preçodiario[[#This Row],[data]])</f>
        <v>0</v>
      </c>
      <c r="AS81" s="20">
        <f>IFERROR(preçodiario[[#This Row],[OVO VERMELHO C]]*preçodiario[[#This Row],[estoque CV]],0)</f>
        <v>0</v>
      </c>
      <c r="AT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Row],[data]])),((AT80*AU80)+SUMIFS(estoque[valor total],estoque[produto],preçodiario[[#Headers],[OVO VERMELHO EXTRA]],estoque[data],preçodiario[[#This Row],[data]],estoque[fornecedor],"&lt;&gt;saída"))/(AU80+(SUMIFS(estoque[quantidade],estoque[produto],preçodiario[[#Headers],[OVO VERMELHO EXTRA]],estoque[fornecedor],"&lt;&gt;saída",estoque[data],preçodiario[[#This Row],[data]])))))</f>
        <v/>
      </c>
      <c r="AU81" s="22">
        <f>IF(preçodiario[[#This Row],[entrada EV]]=0,AU80-(SUMIFS(estoque[quantidade],estoque[fornecedor],"saída",estoque[produto],preçodiario[[#Headers],[OVO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Row],[data]]))+AU80+preçodiario[[#This Row],[entrada EV]])</f>
        <v>0</v>
      </c>
      <c r="AV81" s="22">
        <f>SUMIFS(estoque[quantidade],estoque[fornecedor],"&lt;&gt;saída",estoque[produto],preçodiario[[#Headers],[OVO VERMELHO EXTRA]],estoque[data],preçodiario[[#This Row],[data]])</f>
        <v>0</v>
      </c>
      <c r="AW81" s="20">
        <f>SUMIFS(estoque[valor total],estoque[fornecedor],"&lt;&gt;saída",estoque[produto],preçodiario[[#Headers],[OVO VERMELHO EXTRA]],estoque[data],preçodiario[[#This Row],[data]])</f>
        <v>0</v>
      </c>
      <c r="AX81" s="20">
        <f>IFERROR(preçodiario[[#This Row],[OVO VERMELHO EXTRA]]*preçodiario[[#This Row],[estoque EV]],0)</f>
        <v>0</v>
      </c>
      <c r="AY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Row],[data]])),((AY80*AZ80)+SUMIFS(estoque[valor total],estoque[produto],preçodiario[[#Headers],[OVO VERMELHO JUMBO]],estoque[data],preçodiario[[#This Row],[data]],estoque[fornecedor],"&lt;&gt;saída"))/(AZ80+(SUMIFS(estoque[quantidade],estoque[produto],preçodiario[[#Headers],[OVO VERMELHO JUMBO]],estoque[fornecedor],"&lt;&gt;saída",estoque[data],preçodiario[[#This Row],[data]])))))</f>
        <v/>
      </c>
      <c r="AZ81" s="22">
        <f>IF(preçodiario[[#This Row],[entrada JV]]=0,AZ80-(SUMIFS(estoque[quantidade],estoque[fornecedor],"saída",estoque[produto],preçodiario[[#Headers],[OVO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Row],[data]]))+AZ80+preçodiario[[#This Row],[entrada JV]])</f>
        <v>0</v>
      </c>
      <c r="BA81" s="22">
        <f>SUMIFS(estoque[quantidade],estoque[fornecedor],"&lt;&gt;saída",estoque[produto],preçodiario[[#Headers],[OVO VERMELHO JUMBO]],estoque[data],preçodiario[[#This Row],[data]])</f>
        <v>0</v>
      </c>
      <c r="BB81" s="20">
        <f>SUMIFS(estoque[valor total],estoque[fornecedor],"&lt;&gt;saída",estoque[produto],preçodiario[[#Headers],[OVO VERMELHO JUMBO]],estoque[data],preçodiario[[#This Row],[data]])</f>
        <v>0</v>
      </c>
      <c r="BC81" s="20">
        <f>IFERROR(preçodiario[[#This Row],[OVO VERMELHO JUMBO]]*preçodiario[[#This Row],[estoque JV]],0)</f>
        <v>0</v>
      </c>
      <c r="BD81" t="str">
        <f>TEXT(vendaAno[[#This Row],[data]],"mmm")</f>
        <v>mar</v>
      </c>
      <c r="BE81" t="str">
        <f>TEXT(vendaAno[[#This Row],[data]],"ddd")</f>
        <v>sáb</v>
      </c>
      <c r="BF81" s="82">
        <f>WEEKNUM(vendaAno[[#This Row],[data]],13)</f>
        <v>12</v>
      </c>
      <c r="BG81" s="27">
        <f>preçodiario[[#This Row],[data]]</f>
        <v>46102</v>
      </c>
      <c r="BH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1" s="8">
        <f>IF(SUMIFS(estoque[valor total],estoque[fornecedor],"saída",estoque[data],vendaAno[[#This Row],[data]])=0,"",SUMIFS(estoque[valor total],estoque[fornecedor],"saída",estoque[data],vendaAno[[#This Row],[data]]))</f>
        <v>165</v>
      </c>
      <c r="BJ8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Row],[data]]))/12+BJ80,"")</f>
        <v>30.666666666666639</v>
      </c>
      <c r="BK81" s="79">
        <f ca="1">IF(TODAY()&gt;=vendaAno[[#This Row],[data]],IF(SUMIFS(estoque[quantidade],estoque[fornecedor],"saída",estoque[data],vendaAno[[#This Row],[data]])/12=0,AVERAGE(BK78:BK80),SUMIFS(estoque[quantidade],estoque[fornecedor],"saída",estoque[data],vendaAno[[#This Row],[data]])/12),"")</f>
        <v>0.75</v>
      </c>
      <c r="BL81" s="8">
        <f ca="1">IF(vendaAno[[#This Row],[data]]&lt;=TODAY(),IF(SUMIFS(estoque[lucro],estoque[fornecedor],"saída",estoque[data],vendaAno[[#This Row],[data]])=0,AVERAGE(BL78:BL80),SUMIFS(estoque[lucro],estoque[fornecedor],"saída",estoque[data],vendaAno[[#This Row],[data]])),"")</f>
        <v>31.260000000000005</v>
      </c>
      <c r="BM81" s="10">
        <f ca="1">IFERROR(vendaAno[[#This Row],[lucro]]/vendaAno[[#This Row],[valor de venda]],"")</f>
        <v>0.18945454545454549</v>
      </c>
      <c r="BN8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5302.909090909091</v>
      </c>
      <c r="BO81" s="8">
        <f ca="1">IF(TODAY()&gt;=vendaAno[[#This Row],[data]],IF(vendaAno[[#This Row],[N°]]=BF80,vendaAno[[#This Row],[lucro]]-173.33+BO80,vendaAno[[#This Row],[lucro]]-150),"")</f>
        <v>-146.34000000000003</v>
      </c>
      <c r="BP81" s="81">
        <f ca="1">IF(TODAY()&gt;=vendaAno[[#This Row],[data]],SUM(BK75:BK81)*12,"")</f>
        <v>290</v>
      </c>
      <c r="BQ81" s="7">
        <f ca="1">IFERROR(vendaAno[[#This Row],[lucro]]/(vendaAno[[#This Row],[venda]]*12),"")</f>
        <v>3.473333333333334</v>
      </c>
      <c r="CD81" s="7"/>
    </row>
    <row r="82" spans="1:82" x14ac:dyDescent="0.25">
      <c r="A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2" s="18" t="str">
        <f>TEXT(preçodiario[[#This Row],[data]],"MMM")</f>
        <v>mar</v>
      </c>
      <c r="C82" s="18" t="str">
        <f>TEXT(preçodiario[[#This Row],[data]],"ddd")</f>
        <v>dom</v>
      </c>
      <c r="D82" s="96">
        <f>WEEKNUM(preçodiario[[#This Row],[data]],13)</f>
        <v>12</v>
      </c>
      <c r="E82" s="37">
        <v>46103</v>
      </c>
      <c r="F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Row],[data]])),((F81*G81)+SUMIFS(estoque[valor total],estoque[produto],preçodiario[[#Headers],[OVO BRANCO A]],estoque[data],preçodiario[[#This Row],[data]],estoque[fornecedor],"&lt;&gt;saída"))/(G81+(SUMIFS(estoque[quantidade],estoque[produto],preçodiario[[#Headers],[OVO BRANCO A]],estoque[fornecedor],"&lt;&gt;saída",estoque[data],preçodiario[[#This Row],[data]])))))</f>
        <v>15</v>
      </c>
      <c r="G82" s="22">
        <f>IF(preçodiario[[#This Row],[entrada A]]=0,G81-(SUMIFS(estoque[quantidade],estoque[fornecedor],"saída",estoque[produto],preçodiario[[#Headers],[OVO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Row],[data]]))+G81+preçodiario[[#This Row],[entrada A]])</f>
        <v>100</v>
      </c>
      <c r="H82" s="22">
        <f>SUMIFS(estoque[quantidade],estoque[fornecedor],"&lt;&gt;saída",estoque[produto],preçodiario[[#Headers],[OVO BRANCO A]],estoque[data],preçodiario[[#This Row],[data]])</f>
        <v>0</v>
      </c>
      <c r="I82" s="20">
        <f>SUMIFS(estoque[valor total],estoque[fornecedor],"&lt;&gt;saída",estoque[produto],preçodiario[[#Headers],[OVO BRANCO A]],estoque[data],preçodiario[[#This Row],[data]])</f>
        <v>0</v>
      </c>
      <c r="J82" s="20">
        <f>IFERROR(preçodiario[[#This Row],[estoque A]]*preçodiario[[#This Row],[OVO BRANCO A]],0)</f>
        <v>1500</v>
      </c>
      <c r="K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Row],[data]])),((K81*L81)+SUMIFS(estoque[valor total],estoque[produto],preçodiario[[#Headers],[OVO BRANCO B]],estoque[data],preçodiario[[#This Row],[data]],estoque[fornecedor],"&lt;&gt;saída"))/(L81+(SUMIFS(estoque[quantidade],estoque[produto],preçodiario[[#Headers],[OVO BRANCO B]],estoque[fornecedor],"&lt;&gt;saída",estoque[data],preçodiario[[#This Row],[data]])))))</f>
        <v>13.825757575757576</v>
      </c>
      <c r="L82" s="22">
        <f>IF(preçodiario[[#This Row],[entrada B]]=0,L81-(SUMIFS(estoque[quantidade],estoque[fornecedor],"saída",estoque[produto],preçodiario[[#Headers],[OVO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Row],[data]]))+L81+preçodiario[[#This Row],[entrada B]])</f>
        <v>68</v>
      </c>
      <c r="M82" s="22">
        <f>SUMIFS(estoque[quantidade],estoque[fornecedor],"&lt;&gt;saída",estoque[produto],preçodiario[[#Headers],[OVO BRANCO B]],estoque[data],preçodiario[[#This Row],[data]])</f>
        <v>0</v>
      </c>
      <c r="N82" s="20">
        <f>SUMIFS(estoque[valor total],estoque[fornecedor],"&lt;&gt;saída",estoque[produto],preçodiario[[#Headers],[OVO BRANCO B]],estoque[data],preçodiario[[#This Row],[data]])</f>
        <v>0</v>
      </c>
      <c r="O82" s="20">
        <f>IFERROR(preçodiario[[#This Row],[OVO BRANCO B]]*preçodiario[[#This Row],[estoque B]],0)</f>
        <v>940.15151515151513</v>
      </c>
      <c r="P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Row],[data]])),((P81*Q81)+SUMIFS(estoque[valor total],estoque[produto],preçodiario[[#Headers],[OVO BRANCO C]],estoque[data],preçodiario[[#This Row],[data]],estoque[fornecedor],"&lt;&gt;saída"))/(Q81+(SUMIFS(estoque[quantidade],estoque[produto],preçodiario[[#Headers],[OVO BRANCO C]],estoque[fornecedor],"&lt;&gt;saída",estoque[data],preçodiario[[#This Row],[data]])))))</f>
        <v>11.583333333333336</v>
      </c>
      <c r="Q82" s="22">
        <f>IF(preçodiario[[#This Row],[entrada C]]=0,Q81-(SUMIFS(estoque[quantidade],estoque[fornecedor],"saída",estoque[produto],preçodiario[[#Headers],[OVO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Row],[data]]))+Q81+preçodiario[[#This Row],[entrada C]])</f>
        <v>62</v>
      </c>
      <c r="R82" s="22">
        <f>SUMIFS(estoque[quantidade],estoque[fornecedor],"&lt;&gt;saída",estoque[produto],preçodiario[[#Headers],[OVO BRANCO C]],estoque[data],preçodiario[[#This Row],[data]])</f>
        <v>0</v>
      </c>
      <c r="S82" s="20">
        <f>SUMIFS(estoque[valor total],estoque[fornecedor],"&lt;&gt;saída",estoque[produto],preçodiario[[#Headers],[OVO BRANCO C]],estoque[data],preçodiario[[#This Row],[data]])</f>
        <v>0</v>
      </c>
      <c r="T82" s="20">
        <f>IFERROR(preçodiario[[#This Row],[OVO BRANCO C]]*preçodiario[[#This Row],[estoque C]],0)</f>
        <v>718.16666666666686</v>
      </c>
      <c r="U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Row],[data]])),((U81*V81)+SUMIFS(estoque[valor total],estoque[produto],preçodiario[[#Headers],[OVO BRANCO EXTRA]],estoque[data],preçodiario[[#This Row],[data]],estoque[fornecedor],"&lt;&gt;saída"))/(V81+(SUMIFS(estoque[quantidade],estoque[produto],preçodiario[[#Headers],[OVO BRANCO EXTRA]],estoque[fornecedor],"&lt;&gt;saída",estoque[data],preçodiario[[#This Row],[data]])))))</f>
        <v>15.833333333333334</v>
      </c>
      <c r="V82" s="22">
        <f>IF(preçodiario[[#This Row],[entrada E]]=0,V81-(SUMIFS(estoque[quantidade],estoque[fornecedor],"saída",estoque[produto],preçodiario[[#Headers],[OVO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Row],[data]]))+V81+preçodiario[[#This Row],[entrada E]])</f>
        <v>104</v>
      </c>
      <c r="W82" s="22">
        <f>SUMIFS(estoque[quantidade],estoque[fornecedor],"&lt;&gt;saída",estoque[produto],preçodiario[[#Headers],[OVO BRANCO EXTRA]],estoque[data],preçodiario[[#This Row],[data]])</f>
        <v>0</v>
      </c>
      <c r="X82" s="20">
        <f>SUMIFS(estoque[valor total],estoque[fornecedor],"&lt;&gt;saída",estoque[produto],preçodiario[[#Headers],[OVO BRANCO EXTRA]],estoque[data],preçodiario[[#This Row],[data]])</f>
        <v>0</v>
      </c>
      <c r="Y82" s="20">
        <f>IFERROR(preçodiario[[#This Row],[estoque E]]*preçodiario[[#This Row],[OVO BRANCO EXTRA]],0)</f>
        <v>1646.6666666666667</v>
      </c>
      <c r="Z8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Row],[data]])),((Z81*AA81)+SUMIFS(estoque[valor total],estoque[produto],preçodiario[[#Headers],[OVO BRANCO JUMBO]],estoque[data],preçodiario[[#This Row],[data]],estoque[fornecedor],"&lt;&gt;saída"))/(AA81+(SUMIFS(estoque[quantidade],estoque[produto],preçodiario[[#Headers],[OVO BRANCO JUMBO]],estoque[fornecedor],"&lt;&gt;saída",estoque[data],preçodiario[[#This Row],[data]])))))</f>
        <v/>
      </c>
      <c r="AA82" s="22">
        <f>IF(preçodiario[[#This Row],[entrada J]]=0,AA81-(SUMIFS(estoque[quantidade],estoque[fornecedor],"saída",estoque[produto],preçodiario[[#Headers],[OVO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Row],[data]]))+AA81+preçodiario[[#This Row],[entrada J]])</f>
        <v>0</v>
      </c>
      <c r="AB82" s="22">
        <f>SUMIFS(estoque[quantidade],estoque[fornecedor],"&lt;&gt;saída",estoque[produto],preçodiario[[#Headers],[OVO BRANCO JUMBO]],estoque[data],preçodiario[[#This Row],[data]])</f>
        <v>0</v>
      </c>
      <c r="AC82" s="20">
        <f>SUMIFS(estoque[valor total],estoque[fornecedor],"&lt;&gt;saída",estoque[produto],preçodiario[[#Headers],[OVO BRANCO JUMBO]],estoque[data],preçodiario[[#This Row],[data]])</f>
        <v>0</v>
      </c>
      <c r="AD82" s="20">
        <f>IFERROR(preçodiario[[#This Row],[OVO BRANCO JUMBO]]*preçodiario[[#This Row],[estoque J]],0)</f>
        <v>0</v>
      </c>
      <c r="AE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Row],[data]])),((AE81*AF81)+SUMIFS(estoque[valor total],estoque[produto],preçodiario[[#Headers],[OVO VERMELHO A]],estoque[data],preçodiario[[#This Row],[data]],estoque[fornecedor],"&lt;&gt;saída"))/(AF81+(SUMIFS(estoque[quantidade],estoque[produto],preçodiario[[#Headers],[OVO VERMELHO A]],estoque[fornecedor],"&lt;&gt;saída",estoque[data],preçodiario[[#This Row],[data]])))))</f>
        <v/>
      </c>
      <c r="AF82" s="22">
        <f>IF(preçodiario[[#This Row],[entrada AV]]=0,AF81-(SUMIFS(estoque[quantidade],estoque[fornecedor],"saída",estoque[produto],preçodiario[[#Headers],[OVO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Row],[data]]))+AF81+preçodiario[[#This Row],[entrada AV]])</f>
        <v>0</v>
      </c>
      <c r="AG82" s="22">
        <f>SUMIFS(estoque[quantidade],estoque[fornecedor],"&lt;&gt;saída",estoque[produto],preçodiario[[#Headers],[OVO VERMELHO A]],estoque[data],preçodiario[[#This Row],[data]])</f>
        <v>0</v>
      </c>
      <c r="AH82" s="20">
        <f>SUMIFS(estoque[valor total],estoque[fornecedor],"&lt;&gt;saída",estoque[produto],preçodiario[[#Headers],[OVO VERMELHO A]],estoque[data],preçodiario[[#This Row],[data]])</f>
        <v>0</v>
      </c>
      <c r="AI82" s="20">
        <f>IFERROR(preçodiario[[#This Row],[OVO VERMELHO A]]*preçodiario[[#This Row],[estoque AV]],0)</f>
        <v>0</v>
      </c>
      <c r="AJ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Row],[data]])),((AJ81*AK81)+SUMIFS(estoque[valor total],estoque[produto],preçodiario[[#Headers],[OVO VERMELHO B]],estoque[data],preçodiario[[#This Row],[data]],estoque[fornecedor],"&lt;&gt;saída"))/(AK81+(SUMIFS(estoque[quantidade],estoque[produto],preçodiario[[#Headers],[OVO VERMELHO B]],estoque[fornecedor],"&lt;&gt;saída",estoque[data],preçodiario[[#This Row],[data]])))))</f>
        <v/>
      </c>
      <c r="AK82" s="22">
        <f>IF(preçodiario[[#This Row],[entrada BV]]=0,AK81-(SUMIFS(estoque[quantidade],estoque[fornecedor],"saída",estoque[produto],preçodiario[[#Headers],[OVO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Row],[data]]))+AK81+preçodiario[[#This Row],[entrada BV]])</f>
        <v>0</v>
      </c>
      <c r="AL82" s="22">
        <f>SUMIFS(estoque[quantidade],estoque[fornecedor],"&lt;&gt;saída",estoque[produto],preçodiario[[#Headers],[OVO VERMELHO B]],estoque[data],preçodiario[[#This Row],[data]])</f>
        <v>0</v>
      </c>
      <c r="AM82" s="20">
        <f>SUMIFS(estoque[valor total],estoque[fornecedor],"&lt;&gt;saída",estoque[produto],preçodiario[[#Headers],[OVO VERMELHO B]],estoque[data],preçodiario[[#This Row],[data]])</f>
        <v>0</v>
      </c>
      <c r="AN82" s="20">
        <f>IFERROR(preçodiario[[#This Row],[OVO VERMELHO B]]*preçodiario[[#This Row],[estoque BV]],0)</f>
        <v>0</v>
      </c>
      <c r="AO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Row],[data]])),((AO81*AP81)+SUMIFS(estoque[valor total],estoque[produto],preçodiario[[#Headers],[OVO VERMELHO C]],estoque[data],preçodiario[[#This Row],[data]],estoque[fornecedor],"&lt;&gt;saída"))/(AP81+(SUMIFS(estoque[quantidade],estoque[produto],preçodiario[[#Headers],[OVO VERMELHO C]],estoque[fornecedor],"&lt;&gt;saída",estoque[data],preçodiario[[#This Row],[data]])))))</f>
        <v/>
      </c>
      <c r="AP82" s="22">
        <f>IF(preçodiario[[#This Row],[entrada CV]]=0,AP81-(SUMIFS(estoque[quantidade],estoque[fornecedor],"saída",estoque[produto],preçodiario[[#Headers],[OVO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Row],[data]]))+AP81+preçodiario[[#This Row],[entrada CV]])</f>
        <v>0</v>
      </c>
      <c r="AQ82" s="22">
        <f>SUMIFS(estoque[quantidade],estoque[fornecedor],"&lt;&gt;saída",estoque[produto],preçodiario[[#Headers],[OVO VERMELHO C]],estoque[data],preçodiario[[#This Row],[data]])</f>
        <v>0</v>
      </c>
      <c r="AR82" s="20">
        <f>SUMIFS(estoque[valor total],estoque[fornecedor],"&lt;&gt;saída",estoque[produto],preçodiario[[#Headers],[OVO VERMELHO C]],estoque[data],preçodiario[[#This Row],[data]])</f>
        <v>0</v>
      </c>
      <c r="AS82" s="20">
        <f>IFERROR(preçodiario[[#This Row],[OVO VERMELHO C]]*preçodiario[[#This Row],[estoque CV]],0)</f>
        <v>0</v>
      </c>
      <c r="AT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Row],[data]])),((AT81*AU81)+SUMIFS(estoque[valor total],estoque[produto],preçodiario[[#Headers],[OVO VERMELHO EXTRA]],estoque[data],preçodiario[[#This Row],[data]],estoque[fornecedor],"&lt;&gt;saída"))/(AU81+(SUMIFS(estoque[quantidade],estoque[produto],preçodiario[[#Headers],[OVO VERMELHO EXTRA]],estoque[fornecedor],"&lt;&gt;saída",estoque[data],preçodiario[[#This Row],[data]])))))</f>
        <v/>
      </c>
      <c r="AU82" s="22">
        <f>IF(preçodiario[[#This Row],[entrada EV]]=0,AU81-(SUMIFS(estoque[quantidade],estoque[fornecedor],"saída",estoque[produto],preçodiario[[#Headers],[OVO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Row],[data]]))+AU81+preçodiario[[#This Row],[entrada EV]])</f>
        <v>0</v>
      </c>
      <c r="AV82" s="22">
        <f>SUMIFS(estoque[quantidade],estoque[fornecedor],"&lt;&gt;saída",estoque[produto],preçodiario[[#Headers],[OVO VERMELHO EXTRA]],estoque[data],preçodiario[[#This Row],[data]])</f>
        <v>0</v>
      </c>
      <c r="AW82" s="20">
        <f>SUMIFS(estoque[valor total],estoque[fornecedor],"&lt;&gt;saída",estoque[produto],preçodiario[[#Headers],[OVO VERMELHO EXTRA]],estoque[data],preçodiario[[#This Row],[data]])</f>
        <v>0</v>
      </c>
      <c r="AX82" s="20">
        <f>IFERROR(preçodiario[[#This Row],[OVO VERMELHO EXTRA]]*preçodiario[[#This Row],[estoque EV]],0)</f>
        <v>0</v>
      </c>
      <c r="AY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Row],[data]])),((AY81*AZ81)+SUMIFS(estoque[valor total],estoque[produto],preçodiario[[#Headers],[OVO VERMELHO JUMBO]],estoque[data],preçodiario[[#This Row],[data]],estoque[fornecedor],"&lt;&gt;saída"))/(AZ81+(SUMIFS(estoque[quantidade],estoque[produto],preçodiario[[#Headers],[OVO VERMELHO JUMBO]],estoque[fornecedor],"&lt;&gt;saída",estoque[data],preçodiario[[#This Row],[data]])))))</f>
        <v/>
      </c>
      <c r="AZ82" s="22">
        <f>IF(preçodiario[[#This Row],[entrada JV]]=0,AZ81-(SUMIFS(estoque[quantidade],estoque[fornecedor],"saída",estoque[produto],preçodiario[[#Headers],[OVO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Row],[data]]))+AZ81+preçodiario[[#This Row],[entrada JV]])</f>
        <v>0</v>
      </c>
      <c r="BA82" s="22">
        <f>SUMIFS(estoque[quantidade],estoque[fornecedor],"&lt;&gt;saída",estoque[produto],preçodiario[[#Headers],[OVO VERMELHO JUMBO]],estoque[data],preçodiario[[#This Row],[data]])</f>
        <v>0</v>
      </c>
      <c r="BB82" s="20">
        <f>SUMIFS(estoque[valor total],estoque[fornecedor],"&lt;&gt;saída",estoque[produto],preçodiario[[#Headers],[OVO VERMELHO JUMBO]],estoque[data],preçodiario[[#This Row],[data]])</f>
        <v>0</v>
      </c>
      <c r="BC82" s="20">
        <f>IFERROR(preçodiario[[#This Row],[OVO VERMELHO JUMBO]]*preçodiario[[#This Row],[estoque JV]],0)</f>
        <v>0</v>
      </c>
      <c r="BD82" t="str">
        <f>TEXT(vendaAno[[#This Row],[data]],"mmm")</f>
        <v>mar</v>
      </c>
      <c r="BE82" t="str">
        <f>TEXT(vendaAno[[#This Row],[data]],"ddd")</f>
        <v>dom</v>
      </c>
      <c r="BF82" s="82">
        <f>WEEKNUM(vendaAno[[#This Row],[data]],13)</f>
        <v>12</v>
      </c>
      <c r="BG82" s="27">
        <f>preçodiario[[#This Row],[data]]</f>
        <v>46103</v>
      </c>
      <c r="BH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2" s="8">
        <f>IF(SUMIFS(estoque[valor total],estoque[fornecedor],"saída",estoque[data],vendaAno[[#This Row],[data]])=0,"",SUMIFS(estoque[valor total],estoque[fornecedor],"saída",estoque[data],vendaAno[[#This Row],[data]]))</f>
        <v>618</v>
      </c>
      <c r="BJ8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Row],[data]]))/12+BJ81,"")</f>
        <v>27.833333333333307</v>
      </c>
      <c r="BK82" s="79">
        <f ca="1">IF(TODAY()&gt;=vendaAno[[#This Row],[data]],IF(SUMIFS(estoque[quantidade],estoque[fornecedor],"saída",estoque[data],vendaAno[[#This Row],[data]])/12=0,AVERAGE(BK79:BK81),SUMIFS(estoque[quantidade],estoque[fornecedor],"saída",estoque[data],vendaAno[[#This Row],[data]])/12),"")</f>
        <v>2.8333333333333335</v>
      </c>
      <c r="BL82" s="8">
        <f ca="1">IF(vendaAno[[#This Row],[data]]&lt;=TODAY(),IF(SUMIFS(estoque[lucro],estoque[fornecedor],"saída",estoque[data],vendaAno[[#This Row],[data]])=0,AVERAGE(BL79:BL81),SUMIFS(estoque[lucro],estoque[fornecedor],"saída",estoque[data],vendaAno[[#This Row],[data]])),"")</f>
        <v>120.08</v>
      </c>
      <c r="BM82" s="10">
        <f ca="1">IFERROR(vendaAno[[#This Row],[lucro]]/vendaAno[[#This Row],[valor de venda]],"")</f>
        <v>0.19430420711974108</v>
      </c>
      <c r="BN8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4804.984848484848</v>
      </c>
      <c r="BO82" s="8">
        <f ca="1">IF(TODAY()&gt;=vendaAno[[#This Row],[data]],IF(vendaAno[[#This Row],[N°]]=BF81,vendaAno[[#This Row],[lucro]]-173.33+BO81,vendaAno[[#This Row],[lucro]]-150),"")</f>
        <v>-199.59000000000003</v>
      </c>
      <c r="BP82" s="81">
        <f ca="1">IF(TODAY()&gt;=vendaAno[[#This Row],[data]],SUM(BK76:BK82)*12,"")</f>
        <v>269.99999999999994</v>
      </c>
      <c r="BQ82" s="7">
        <f ca="1">IFERROR(vendaAno[[#This Row],[lucro]]/(vendaAno[[#This Row],[venda]]*12),"")</f>
        <v>3.5317647058823529</v>
      </c>
      <c r="CD82" s="7"/>
    </row>
    <row r="83" spans="1:82" x14ac:dyDescent="0.25">
      <c r="A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3" s="18" t="str">
        <f>TEXT(preçodiario[[#This Row],[data]],"MMM")</f>
        <v>mar</v>
      </c>
      <c r="C83" s="18" t="str">
        <f>TEXT(preçodiario[[#This Row],[data]],"ddd")</f>
        <v>seg</v>
      </c>
      <c r="D83" s="96">
        <f>WEEKNUM(preçodiario[[#This Row],[data]],13)</f>
        <v>12</v>
      </c>
      <c r="E83" s="37">
        <v>46104</v>
      </c>
      <c r="F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Row],[data]])),((F82*G82)+SUMIFS(estoque[valor total],estoque[produto],preçodiario[[#Headers],[OVO BRANCO A]],estoque[data],preçodiario[[#This Row],[data]],estoque[fornecedor],"&lt;&gt;saída"))/(G82+(SUMIFS(estoque[quantidade],estoque[produto],preçodiario[[#Headers],[OVO BRANCO A]],estoque[fornecedor],"&lt;&gt;saída",estoque[data],preçodiario[[#This Row],[data]])))))</f>
        <v>15</v>
      </c>
      <c r="G83" s="22">
        <f>IF(preçodiario[[#This Row],[entrada A]]=0,G82-(SUMIFS(estoque[quantidade],estoque[fornecedor],"saída",estoque[produto],preçodiario[[#Headers],[OVO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Row],[data]]))+G82+preçodiario[[#This Row],[entrada A]])</f>
        <v>93</v>
      </c>
      <c r="H83" s="22">
        <f>SUMIFS(estoque[quantidade],estoque[fornecedor],"&lt;&gt;saída",estoque[produto],preçodiario[[#Headers],[OVO BRANCO A]],estoque[data],preçodiario[[#This Row],[data]])</f>
        <v>0</v>
      </c>
      <c r="I83" s="20">
        <f>SUMIFS(estoque[valor total],estoque[fornecedor],"&lt;&gt;saída",estoque[produto],preçodiario[[#Headers],[OVO BRANCO A]],estoque[data],preçodiario[[#This Row],[data]])</f>
        <v>0</v>
      </c>
      <c r="J83" s="20">
        <f>IFERROR(preçodiario[[#This Row],[estoque A]]*preçodiario[[#This Row],[OVO BRANCO A]],0)</f>
        <v>1395</v>
      </c>
      <c r="K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Row],[data]])),((K82*L82)+SUMIFS(estoque[valor total],estoque[produto],preçodiario[[#Headers],[OVO BRANCO B]],estoque[data],preçodiario[[#This Row],[data]],estoque[fornecedor],"&lt;&gt;saída"))/(L82+(SUMIFS(estoque[quantidade],estoque[produto],preçodiario[[#Headers],[OVO BRANCO B]],estoque[fornecedor],"&lt;&gt;saída",estoque[data],preçodiario[[#This Row],[data]])))))</f>
        <v>13.825757575757576</v>
      </c>
      <c r="L83" s="22">
        <f>IF(preçodiario[[#This Row],[entrada B]]=0,L82-(SUMIFS(estoque[quantidade],estoque[fornecedor],"saída",estoque[produto],preçodiario[[#Headers],[OVO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Row],[data]]))+L82+preçodiario[[#This Row],[entrada B]])</f>
        <v>39</v>
      </c>
      <c r="M83" s="22">
        <f>SUMIFS(estoque[quantidade],estoque[fornecedor],"&lt;&gt;saída",estoque[produto],preçodiario[[#Headers],[OVO BRANCO B]],estoque[data],preçodiario[[#This Row],[data]])</f>
        <v>0</v>
      </c>
      <c r="N83" s="20">
        <f>SUMIFS(estoque[valor total],estoque[fornecedor],"&lt;&gt;saída",estoque[produto],preçodiario[[#Headers],[OVO BRANCO B]],estoque[data],preçodiario[[#This Row],[data]])</f>
        <v>0</v>
      </c>
      <c r="O83" s="20">
        <f>IFERROR(preçodiario[[#This Row],[OVO BRANCO B]]*preçodiario[[#This Row],[estoque B]],0)</f>
        <v>539.2045454545455</v>
      </c>
      <c r="P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Row],[data]])),((P82*Q82)+SUMIFS(estoque[valor total],estoque[produto],preçodiario[[#Headers],[OVO BRANCO C]],estoque[data],preçodiario[[#This Row],[data]],estoque[fornecedor],"&lt;&gt;saída"))/(Q82+(SUMIFS(estoque[quantidade],estoque[produto],preçodiario[[#Headers],[OVO BRANCO C]],estoque[fornecedor],"&lt;&gt;saída",estoque[data],preçodiario[[#This Row],[data]])))))</f>
        <v>11.583333333333336</v>
      </c>
      <c r="Q83" s="22">
        <f>IF(preçodiario[[#This Row],[entrada C]]=0,Q82-(SUMIFS(estoque[quantidade],estoque[fornecedor],"saída",estoque[produto],preçodiario[[#Headers],[OVO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Row],[data]]))+Q82+preçodiario[[#This Row],[entrada C]])</f>
        <v>53</v>
      </c>
      <c r="R83" s="22">
        <f>SUMIFS(estoque[quantidade],estoque[fornecedor],"&lt;&gt;saída",estoque[produto],preçodiario[[#Headers],[OVO BRANCO C]],estoque[data],preçodiario[[#This Row],[data]])</f>
        <v>0</v>
      </c>
      <c r="S83" s="20">
        <f>SUMIFS(estoque[valor total],estoque[fornecedor],"&lt;&gt;saída",estoque[produto],preçodiario[[#Headers],[OVO BRANCO C]],estoque[data],preçodiario[[#This Row],[data]])</f>
        <v>0</v>
      </c>
      <c r="T83" s="20">
        <f>IFERROR(preçodiario[[#This Row],[OVO BRANCO C]]*preçodiario[[#This Row],[estoque C]],0)</f>
        <v>613.91666666666674</v>
      </c>
      <c r="U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Row],[data]])),((U82*V82)+SUMIFS(estoque[valor total],estoque[produto],preçodiario[[#Headers],[OVO BRANCO EXTRA]],estoque[data],preçodiario[[#This Row],[data]],estoque[fornecedor],"&lt;&gt;saída"))/(V82+(SUMIFS(estoque[quantidade],estoque[produto],preçodiario[[#Headers],[OVO BRANCO EXTRA]],estoque[fornecedor],"&lt;&gt;saída",estoque[data],preçodiario[[#This Row],[data]])))))</f>
        <v>15.833333333333334</v>
      </c>
      <c r="V83" s="22">
        <f>IF(preçodiario[[#This Row],[entrada E]]=0,V82-(SUMIFS(estoque[quantidade],estoque[fornecedor],"saída",estoque[produto],preçodiario[[#Headers],[OVO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Row],[data]]))+V82+preçodiario[[#This Row],[entrada E]])</f>
        <v>75</v>
      </c>
      <c r="W83" s="22">
        <f>SUMIFS(estoque[quantidade],estoque[fornecedor],"&lt;&gt;saída",estoque[produto],preçodiario[[#Headers],[OVO BRANCO EXTRA]],estoque[data],preçodiario[[#This Row],[data]])</f>
        <v>0</v>
      </c>
      <c r="X83" s="20">
        <f>SUMIFS(estoque[valor total],estoque[fornecedor],"&lt;&gt;saída",estoque[produto],preçodiario[[#Headers],[OVO BRANCO EXTRA]],estoque[data],preçodiario[[#This Row],[data]])</f>
        <v>0</v>
      </c>
      <c r="Y83" s="20">
        <f>IFERROR(preçodiario[[#This Row],[estoque E]]*preçodiario[[#This Row],[OVO BRANCO EXTRA]],0)</f>
        <v>1187.5</v>
      </c>
      <c r="Z8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Row],[data]])),((Z82*AA82)+SUMIFS(estoque[valor total],estoque[produto],preçodiario[[#Headers],[OVO BRANCO JUMBO]],estoque[data],preçodiario[[#This Row],[data]],estoque[fornecedor],"&lt;&gt;saída"))/(AA82+(SUMIFS(estoque[quantidade],estoque[produto],preçodiario[[#Headers],[OVO BRANCO JUMBO]],estoque[fornecedor],"&lt;&gt;saída",estoque[data],preçodiario[[#This Row],[data]])))))</f>
        <v/>
      </c>
      <c r="AA83" s="22">
        <f>IF(preçodiario[[#This Row],[entrada J]]=0,AA82-(SUMIFS(estoque[quantidade],estoque[fornecedor],"saída",estoque[produto],preçodiario[[#Headers],[OVO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Row],[data]]))+AA82+preçodiario[[#This Row],[entrada J]])</f>
        <v>0</v>
      </c>
      <c r="AB83" s="22">
        <f>SUMIFS(estoque[quantidade],estoque[fornecedor],"&lt;&gt;saída",estoque[produto],preçodiario[[#Headers],[OVO BRANCO JUMBO]],estoque[data],preçodiario[[#This Row],[data]])</f>
        <v>0</v>
      </c>
      <c r="AC83" s="20">
        <f>SUMIFS(estoque[valor total],estoque[fornecedor],"&lt;&gt;saída",estoque[produto],preçodiario[[#Headers],[OVO BRANCO JUMBO]],estoque[data],preçodiario[[#This Row],[data]])</f>
        <v>0</v>
      </c>
      <c r="AD83" s="20">
        <f>IFERROR(preçodiario[[#This Row],[OVO BRANCO JUMBO]]*preçodiario[[#This Row],[estoque J]],0)</f>
        <v>0</v>
      </c>
      <c r="AE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Row],[data]])),((AE82*AF82)+SUMIFS(estoque[valor total],estoque[produto],preçodiario[[#Headers],[OVO VERMELHO A]],estoque[data],preçodiario[[#This Row],[data]],estoque[fornecedor],"&lt;&gt;saída"))/(AF82+(SUMIFS(estoque[quantidade],estoque[produto],preçodiario[[#Headers],[OVO VERMELHO A]],estoque[fornecedor],"&lt;&gt;saída",estoque[data],preçodiario[[#This Row],[data]])))))</f>
        <v/>
      </c>
      <c r="AF83" s="22">
        <f>IF(preçodiario[[#This Row],[entrada AV]]=0,AF82-(SUMIFS(estoque[quantidade],estoque[fornecedor],"saída",estoque[produto],preçodiario[[#Headers],[OVO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Row],[data]]))+AF82+preçodiario[[#This Row],[entrada AV]])</f>
        <v>0</v>
      </c>
      <c r="AG83" s="22">
        <f>SUMIFS(estoque[quantidade],estoque[fornecedor],"&lt;&gt;saída",estoque[produto],preçodiario[[#Headers],[OVO VERMELHO A]],estoque[data],preçodiario[[#This Row],[data]])</f>
        <v>0</v>
      </c>
      <c r="AH83" s="20">
        <f>SUMIFS(estoque[valor total],estoque[fornecedor],"&lt;&gt;saída",estoque[produto],preçodiario[[#Headers],[OVO VERMELHO A]],estoque[data],preçodiario[[#This Row],[data]])</f>
        <v>0</v>
      </c>
      <c r="AI83" s="20">
        <f>IFERROR(preçodiario[[#This Row],[OVO VERMELHO A]]*preçodiario[[#This Row],[estoque AV]],0)</f>
        <v>0</v>
      </c>
      <c r="AJ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Row],[data]])),((AJ82*AK82)+SUMIFS(estoque[valor total],estoque[produto],preçodiario[[#Headers],[OVO VERMELHO B]],estoque[data],preçodiario[[#This Row],[data]],estoque[fornecedor],"&lt;&gt;saída"))/(AK82+(SUMIFS(estoque[quantidade],estoque[produto],preçodiario[[#Headers],[OVO VERMELHO B]],estoque[fornecedor],"&lt;&gt;saída",estoque[data],preçodiario[[#This Row],[data]])))))</f>
        <v/>
      </c>
      <c r="AK83" s="22">
        <f>IF(preçodiario[[#This Row],[entrada BV]]=0,AK82-(SUMIFS(estoque[quantidade],estoque[fornecedor],"saída",estoque[produto],preçodiario[[#Headers],[OVO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Row],[data]]))+AK82+preçodiario[[#This Row],[entrada BV]])</f>
        <v>0</v>
      </c>
      <c r="AL83" s="22">
        <f>SUMIFS(estoque[quantidade],estoque[fornecedor],"&lt;&gt;saída",estoque[produto],preçodiario[[#Headers],[OVO VERMELHO B]],estoque[data],preçodiario[[#This Row],[data]])</f>
        <v>0</v>
      </c>
      <c r="AM83" s="20">
        <f>SUMIFS(estoque[valor total],estoque[fornecedor],"&lt;&gt;saída",estoque[produto],preçodiario[[#Headers],[OVO VERMELHO B]],estoque[data],preçodiario[[#This Row],[data]])</f>
        <v>0</v>
      </c>
      <c r="AN83" s="20">
        <f>IFERROR(preçodiario[[#This Row],[OVO VERMELHO B]]*preçodiario[[#This Row],[estoque BV]],0)</f>
        <v>0</v>
      </c>
      <c r="AO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Row],[data]])),((AO82*AP82)+SUMIFS(estoque[valor total],estoque[produto],preçodiario[[#Headers],[OVO VERMELHO C]],estoque[data],preçodiario[[#This Row],[data]],estoque[fornecedor],"&lt;&gt;saída"))/(AP82+(SUMIFS(estoque[quantidade],estoque[produto],preçodiario[[#Headers],[OVO VERMELHO C]],estoque[fornecedor],"&lt;&gt;saída",estoque[data],preçodiario[[#This Row],[data]])))))</f>
        <v/>
      </c>
      <c r="AP83" s="22">
        <f>IF(preçodiario[[#This Row],[entrada CV]]=0,AP82-(SUMIFS(estoque[quantidade],estoque[fornecedor],"saída",estoque[produto],preçodiario[[#Headers],[OVO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Row],[data]]))+AP82+preçodiario[[#This Row],[entrada CV]])</f>
        <v>0</v>
      </c>
      <c r="AQ83" s="22">
        <f>SUMIFS(estoque[quantidade],estoque[fornecedor],"&lt;&gt;saída",estoque[produto],preçodiario[[#Headers],[OVO VERMELHO C]],estoque[data],preçodiario[[#This Row],[data]])</f>
        <v>0</v>
      </c>
      <c r="AR83" s="20">
        <f>SUMIFS(estoque[valor total],estoque[fornecedor],"&lt;&gt;saída",estoque[produto],preçodiario[[#Headers],[OVO VERMELHO C]],estoque[data],preçodiario[[#This Row],[data]])</f>
        <v>0</v>
      </c>
      <c r="AS83" s="20">
        <f>IFERROR(preçodiario[[#This Row],[OVO VERMELHO C]]*preçodiario[[#This Row],[estoque CV]],0)</f>
        <v>0</v>
      </c>
      <c r="AT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Row],[data]])),((AT82*AU82)+SUMIFS(estoque[valor total],estoque[produto],preçodiario[[#Headers],[OVO VERMELHO EXTRA]],estoque[data],preçodiario[[#This Row],[data]],estoque[fornecedor],"&lt;&gt;saída"))/(AU82+(SUMIFS(estoque[quantidade],estoque[produto],preçodiario[[#Headers],[OVO VERMELHO EXTRA]],estoque[fornecedor],"&lt;&gt;saída",estoque[data],preçodiario[[#This Row],[data]])))))</f>
        <v/>
      </c>
      <c r="AU83" s="22">
        <f>IF(preçodiario[[#This Row],[entrada EV]]=0,AU82-(SUMIFS(estoque[quantidade],estoque[fornecedor],"saída",estoque[produto],preçodiario[[#Headers],[OVO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Row],[data]]))+AU82+preçodiario[[#This Row],[entrada EV]])</f>
        <v>0</v>
      </c>
      <c r="AV83" s="22">
        <f>SUMIFS(estoque[quantidade],estoque[fornecedor],"&lt;&gt;saída",estoque[produto],preçodiario[[#Headers],[OVO VERMELHO EXTRA]],estoque[data],preçodiario[[#This Row],[data]])</f>
        <v>0</v>
      </c>
      <c r="AW83" s="20">
        <f>SUMIFS(estoque[valor total],estoque[fornecedor],"&lt;&gt;saída",estoque[produto],preçodiario[[#Headers],[OVO VERMELHO EXTRA]],estoque[data],preçodiario[[#This Row],[data]])</f>
        <v>0</v>
      </c>
      <c r="AX83" s="20">
        <f>IFERROR(preçodiario[[#This Row],[OVO VERMELHO EXTRA]]*preçodiario[[#This Row],[estoque EV]],0)</f>
        <v>0</v>
      </c>
      <c r="AY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Row],[data]])),((AY82*AZ82)+SUMIFS(estoque[valor total],estoque[produto],preçodiario[[#Headers],[OVO VERMELHO JUMBO]],estoque[data],preçodiario[[#This Row],[data]],estoque[fornecedor],"&lt;&gt;saída"))/(AZ82+(SUMIFS(estoque[quantidade],estoque[produto],preçodiario[[#Headers],[OVO VERMELHO JUMBO]],estoque[fornecedor],"&lt;&gt;saída",estoque[data],preçodiario[[#This Row],[data]])))))</f>
        <v/>
      </c>
      <c r="AZ83" s="22">
        <f>IF(preçodiario[[#This Row],[entrada JV]]=0,AZ82-(SUMIFS(estoque[quantidade],estoque[fornecedor],"saída",estoque[produto],preçodiario[[#Headers],[OVO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Row],[data]]))+AZ82+preçodiario[[#This Row],[entrada JV]])</f>
        <v>0</v>
      </c>
      <c r="BA83" s="22">
        <f>SUMIFS(estoque[quantidade],estoque[fornecedor],"&lt;&gt;saída",estoque[produto],preçodiario[[#Headers],[OVO VERMELHO JUMBO]],estoque[data],preçodiario[[#This Row],[data]])</f>
        <v>0</v>
      </c>
      <c r="BB83" s="20">
        <f>SUMIFS(estoque[valor total],estoque[fornecedor],"&lt;&gt;saída",estoque[produto],preçodiario[[#Headers],[OVO VERMELHO JUMBO]],estoque[data],preçodiario[[#This Row],[data]])</f>
        <v>0</v>
      </c>
      <c r="BC83" s="20">
        <f>IFERROR(preçodiario[[#This Row],[OVO VERMELHO JUMBO]]*preçodiario[[#This Row],[estoque JV]],0)</f>
        <v>0</v>
      </c>
      <c r="BD83" t="str">
        <f>TEXT(vendaAno[[#This Row],[data]],"mmm")</f>
        <v>mar</v>
      </c>
      <c r="BE83" t="str">
        <f>TEXT(vendaAno[[#This Row],[data]],"ddd")</f>
        <v>seg</v>
      </c>
      <c r="BF83" s="82">
        <f>WEEKNUM(vendaAno[[#This Row],[data]],13)</f>
        <v>12</v>
      </c>
      <c r="BG83" s="27">
        <f>preçodiario[[#This Row],[data]]</f>
        <v>46104</v>
      </c>
      <c r="BH8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3" s="8">
        <f>IF(SUMIFS(estoque[valor total],estoque[fornecedor],"saída",estoque[data],vendaAno[[#This Row],[data]])=0,"",SUMIFS(estoque[valor total],estoque[fornecedor],"saída",estoque[data],vendaAno[[#This Row],[data]]))</f>
        <v>1313</v>
      </c>
      <c r="BJ8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Row],[data]]))/12+BJ82,"")</f>
        <v>21.666666666666639</v>
      </c>
      <c r="BK83" s="79">
        <f ca="1">IF(TODAY()&gt;=vendaAno[[#This Row],[data]],IF(SUMIFS(estoque[quantidade],estoque[fornecedor],"saída",estoque[data],vendaAno[[#This Row],[data]])/12=0,AVERAGE(BK80:BK82),SUMIFS(estoque[quantidade],estoque[fornecedor],"saída",estoque[data],vendaAno[[#This Row],[data]])/12),"")</f>
        <v>6.166666666666667</v>
      </c>
      <c r="BL83" s="8">
        <f ca="1">IF(vendaAno[[#This Row],[data]]&lt;=TODAY(),IF(SUMIFS(estoque[lucro],estoque[fornecedor],"saída",estoque[data],vendaAno[[#This Row],[data]])=0,AVERAGE(BL80:BL82),SUMIFS(estoque[lucro],estoque[fornecedor],"saída",estoque[data],vendaAno[[#This Row],[data]])),"")</f>
        <v>243.63</v>
      </c>
      <c r="BM83" s="10">
        <f ca="1">IFERROR(vendaAno[[#This Row],[lucro]]/vendaAno[[#This Row],[valor de venda]],"")</f>
        <v>0.18555217060167556</v>
      </c>
      <c r="BN8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3735.621212121212</v>
      </c>
      <c r="BO83" s="8">
        <f ca="1">IF(TODAY()&gt;=vendaAno[[#This Row],[data]],IF(vendaAno[[#This Row],[N°]]=BF82,vendaAno[[#This Row],[lucro]]-173.33+BO82,vendaAno[[#This Row],[lucro]]-150),"")</f>
        <v>-129.29000000000005</v>
      </c>
      <c r="BP83" s="81">
        <f ca="1">IF(TODAY()&gt;=vendaAno[[#This Row],[data]],SUM(BK77:BK83)*12,"")</f>
        <v>301</v>
      </c>
      <c r="BQ83" s="7">
        <f ca="1">IFERROR(vendaAno[[#This Row],[lucro]]/(vendaAno[[#This Row],[venda]]*12),"")</f>
        <v>3.292297297297297</v>
      </c>
      <c r="CD83" s="7"/>
    </row>
    <row r="84" spans="1:82" x14ac:dyDescent="0.25">
      <c r="A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4" s="18" t="str">
        <f>TEXT(preçodiario[[#This Row],[data]],"MMM")</f>
        <v>mar</v>
      </c>
      <c r="C84" s="18" t="str">
        <f>TEXT(preçodiario[[#This Row],[data]],"ddd")</f>
        <v>ter</v>
      </c>
      <c r="D84" s="96">
        <f>WEEKNUM(preçodiario[[#This Row],[data]],13)</f>
        <v>12</v>
      </c>
      <c r="E84" s="37">
        <v>46105</v>
      </c>
      <c r="F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Row],[data]])),((F83*G83)+SUMIFS(estoque[valor total],estoque[produto],preçodiario[[#Headers],[OVO BRANCO A]],estoque[data],preçodiario[[#This Row],[data]],estoque[fornecedor],"&lt;&gt;saída"))/(G83+(SUMIFS(estoque[quantidade],estoque[produto],preçodiario[[#Headers],[OVO BRANCO A]],estoque[fornecedor],"&lt;&gt;saída",estoque[data],preçodiario[[#This Row],[data]])))))</f>
        <v>15</v>
      </c>
      <c r="G84" s="22">
        <f>IF(preçodiario[[#This Row],[entrada A]]=0,G83-(SUMIFS(estoque[quantidade],estoque[fornecedor],"saída",estoque[produto],preçodiario[[#Headers],[OVO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Row],[data]]))+G83+preçodiario[[#This Row],[entrada A]])</f>
        <v>77</v>
      </c>
      <c r="H84" s="22">
        <f>SUMIFS(estoque[quantidade],estoque[fornecedor],"&lt;&gt;saída",estoque[produto],preçodiario[[#Headers],[OVO BRANCO A]],estoque[data],preçodiario[[#This Row],[data]])</f>
        <v>0</v>
      </c>
      <c r="I84" s="20">
        <f>SUMIFS(estoque[valor total],estoque[fornecedor],"&lt;&gt;saída",estoque[produto],preçodiario[[#Headers],[OVO BRANCO A]],estoque[data],preçodiario[[#This Row],[data]])</f>
        <v>0</v>
      </c>
      <c r="J84" s="20">
        <f>IFERROR(preçodiario[[#This Row],[estoque A]]*preçodiario[[#This Row],[OVO BRANCO A]],0)</f>
        <v>1155</v>
      </c>
      <c r="K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Row],[data]])),((K83*L83)+SUMIFS(estoque[valor total],estoque[produto],preçodiario[[#Headers],[OVO BRANCO B]],estoque[data],preçodiario[[#This Row],[data]],estoque[fornecedor],"&lt;&gt;saída"))/(L83+(SUMIFS(estoque[quantidade],estoque[produto],preçodiario[[#Headers],[OVO BRANCO B]],estoque[fornecedor],"&lt;&gt;saída",estoque[data],preçodiario[[#This Row],[data]])))))</f>
        <v>13.825757575757576</v>
      </c>
      <c r="L84" s="22">
        <f>IF(preçodiario[[#This Row],[entrada B]]=0,L83-(SUMIFS(estoque[quantidade],estoque[fornecedor],"saída",estoque[produto],preçodiario[[#Headers],[OVO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Row],[data]]))+L83+preçodiario[[#This Row],[entrada B]])</f>
        <v>34</v>
      </c>
      <c r="M84" s="22">
        <f>SUMIFS(estoque[quantidade],estoque[fornecedor],"&lt;&gt;saída",estoque[produto],preçodiario[[#Headers],[OVO BRANCO B]],estoque[data],preçodiario[[#This Row],[data]])</f>
        <v>0</v>
      </c>
      <c r="N84" s="20">
        <f>SUMIFS(estoque[valor total],estoque[fornecedor],"&lt;&gt;saída",estoque[produto],preçodiario[[#Headers],[OVO BRANCO B]],estoque[data],preçodiario[[#This Row],[data]])</f>
        <v>0</v>
      </c>
      <c r="O84" s="20">
        <f>IFERROR(preçodiario[[#This Row],[OVO BRANCO B]]*preçodiario[[#This Row],[estoque B]],0)</f>
        <v>470.07575757575756</v>
      </c>
      <c r="P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Row],[data]])),((P83*Q83)+SUMIFS(estoque[valor total],estoque[produto],preçodiario[[#Headers],[OVO BRANCO C]],estoque[data],preçodiario[[#This Row],[data]],estoque[fornecedor],"&lt;&gt;saída"))/(Q83+(SUMIFS(estoque[quantidade],estoque[produto],preçodiario[[#Headers],[OVO BRANCO C]],estoque[fornecedor],"&lt;&gt;saída",estoque[data],preçodiario[[#This Row],[data]])))))</f>
        <v>11.583333333333334</v>
      </c>
      <c r="Q84" s="22">
        <f>IF(preçodiario[[#This Row],[entrada C]]=0,Q83-(SUMIFS(estoque[quantidade],estoque[fornecedor],"saída",estoque[produto],preçodiario[[#Headers],[OVO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Row],[data]]))+Q83+preçodiario[[#This Row],[entrada C]])</f>
        <v>44</v>
      </c>
      <c r="R84" s="22">
        <f>SUMIFS(estoque[quantidade],estoque[fornecedor],"&lt;&gt;saída",estoque[produto],preçodiario[[#Headers],[OVO BRANCO C]],estoque[data],preçodiario[[#This Row],[data]])</f>
        <v>0</v>
      </c>
      <c r="S84" s="20">
        <f>SUMIFS(estoque[valor total],estoque[fornecedor],"&lt;&gt;saída",estoque[produto],preçodiario[[#Headers],[OVO BRANCO C]],estoque[data],preçodiario[[#This Row],[data]])</f>
        <v>0</v>
      </c>
      <c r="T84" s="20">
        <f>IFERROR(preçodiario[[#This Row],[OVO BRANCO C]]*preçodiario[[#This Row],[estoque C]],0)</f>
        <v>509.66666666666669</v>
      </c>
      <c r="U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Row],[data]])),((U83*V83)+SUMIFS(estoque[valor total],estoque[produto],preçodiario[[#Headers],[OVO BRANCO EXTRA]],estoque[data],preçodiario[[#This Row],[data]],estoque[fornecedor],"&lt;&gt;saída"))/(V83+(SUMIFS(estoque[quantidade],estoque[produto],preçodiario[[#Headers],[OVO BRANCO EXTRA]],estoque[fornecedor],"&lt;&gt;saída",estoque[data],preçodiario[[#This Row],[data]])))))</f>
        <v>15.833333333333334</v>
      </c>
      <c r="V84" s="22">
        <f>IF(preçodiario[[#This Row],[entrada E]]=0,V83-(SUMIFS(estoque[quantidade],estoque[fornecedor],"saída",estoque[produto],preçodiario[[#Headers],[OVO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Row],[data]]))+V83+preçodiario[[#This Row],[entrada E]])</f>
        <v>55</v>
      </c>
      <c r="W84" s="22">
        <f>SUMIFS(estoque[quantidade],estoque[fornecedor],"&lt;&gt;saída",estoque[produto],preçodiario[[#Headers],[OVO BRANCO EXTRA]],estoque[data],preçodiario[[#This Row],[data]])</f>
        <v>0</v>
      </c>
      <c r="X84" s="20">
        <f>SUMIFS(estoque[valor total],estoque[fornecedor],"&lt;&gt;saída",estoque[produto],preçodiario[[#Headers],[OVO BRANCO EXTRA]],estoque[data],preçodiario[[#This Row],[data]])</f>
        <v>0</v>
      </c>
      <c r="Y84" s="20">
        <f>IFERROR(preçodiario[[#This Row],[estoque E]]*preçodiario[[#This Row],[OVO BRANCO EXTRA]],0)</f>
        <v>870.83333333333337</v>
      </c>
      <c r="Z84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Row],[data]])),((Z83*AA83)+SUMIFS(estoque[valor total],estoque[produto],preçodiario[[#Headers],[OVO BRANCO JUMBO]],estoque[data],preçodiario[[#This Row],[data]],estoque[fornecedor],"&lt;&gt;saída"))/(AA83+(SUMIFS(estoque[quantidade],estoque[produto],preçodiario[[#Headers],[OVO BRANCO JUMBO]],estoque[fornecedor],"&lt;&gt;saída",estoque[data],preçodiario[[#This Row],[data]])))))</f>
        <v/>
      </c>
      <c r="AA84" s="22">
        <f>IF(preçodiario[[#This Row],[entrada J]]=0,AA83-(SUMIFS(estoque[quantidade],estoque[fornecedor],"saída",estoque[produto],preçodiario[[#Headers],[OVO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Row],[data]]))+AA83+preçodiario[[#This Row],[entrada J]])</f>
        <v>0</v>
      </c>
      <c r="AB84" s="22">
        <f>SUMIFS(estoque[quantidade],estoque[fornecedor],"&lt;&gt;saída",estoque[produto],preçodiario[[#Headers],[OVO BRANCO JUMBO]],estoque[data],preçodiario[[#This Row],[data]])</f>
        <v>0</v>
      </c>
      <c r="AC84" s="20">
        <f>SUMIFS(estoque[valor total],estoque[fornecedor],"&lt;&gt;saída",estoque[produto],preçodiario[[#Headers],[OVO BRANCO JUMBO]],estoque[data],preçodiario[[#This Row],[data]])</f>
        <v>0</v>
      </c>
      <c r="AD84" s="20">
        <f>IFERROR(preçodiario[[#This Row],[OVO BRANCO JUMBO]]*preçodiario[[#This Row],[estoque J]],0)</f>
        <v>0</v>
      </c>
      <c r="AE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Row],[data]])),((AE83*AF83)+SUMIFS(estoque[valor total],estoque[produto],preçodiario[[#Headers],[OVO VERMELHO A]],estoque[data],preçodiario[[#This Row],[data]],estoque[fornecedor],"&lt;&gt;saída"))/(AF83+(SUMIFS(estoque[quantidade],estoque[produto],preçodiario[[#Headers],[OVO VERMELHO A]],estoque[fornecedor],"&lt;&gt;saída",estoque[data],preçodiario[[#This Row],[data]])))))</f>
        <v/>
      </c>
      <c r="AF84" s="22">
        <f>IF(preçodiario[[#This Row],[entrada AV]]=0,AF83-(SUMIFS(estoque[quantidade],estoque[fornecedor],"saída",estoque[produto],preçodiario[[#Headers],[OVO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Row],[data]]))+AF83+preçodiario[[#This Row],[entrada AV]])</f>
        <v>0</v>
      </c>
      <c r="AG84" s="22">
        <f>SUMIFS(estoque[quantidade],estoque[fornecedor],"&lt;&gt;saída",estoque[produto],preçodiario[[#Headers],[OVO VERMELHO A]],estoque[data],preçodiario[[#This Row],[data]])</f>
        <v>0</v>
      </c>
      <c r="AH84" s="20">
        <f>SUMIFS(estoque[valor total],estoque[fornecedor],"&lt;&gt;saída",estoque[produto],preçodiario[[#Headers],[OVO VERMELHO A]],estoque[data],preçodiario[[#This Row],[data]])</f>
        <v>0</v>
      </c>
      <c r="AI84" s="20">
        <f>IFERROR(preçodiario[[#This Row],[OVO VERMELHO A]]*preçodiario[[#This Row],[estoque AV]],0)</f>
        <v>0</v>
      </c>
      <c r="AJ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Row],[data]])),((AJ83*AK83)+SUMIFS(estoque[valor total],estoque[produto],preçodiario[[#Headers],[OVO VERMELHO B]],estoque[data],preçodiario[[#This Row],[data]],estoque[fornecedor],"&lt;&gt;saída"))/(AK83+(SUMIFS(estoque[quantidade],estoque[produto],preçodiario[[#Headers],[OVO VERMELHO B]],estoque[fornecedor],"&lt;&gt;saída",estoque[data],preçodiario[[#This Row],[data]])))))</f>
        <v/>
      </c>
      <c r="AK84" s="22">
        <f>IF(preçodiario[[#This Row],[entrada BV]]=0,AK83-(SUMIFS(estoque[quantidade],estoque[fornecedor],"saída",estoque[produto],preçodiario[[#Headers],[OVO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Row],[data]]))+AK83+preçodiario[[#This Row],[entrada BV]])</f>
        <v>0</v>
      </c>
      <c r="AL84" s="22">
        <f>SUMIFS(estoque[quantidade],estoque[fornecedor],"&lt;&gt;saída",estoque[produto],preçodiario[[#Headers],[OVO VERMELHO B]],estoque[data],preçodiario[[#This Row],[data]])</f>
        <v>0</v>
      </c>
      <c r="AM84" s="20">
        <f>SUMIFS(estoque[valor total],estoque[fornecedor],"&lt;&gt;saída",estoque[produto],preçodiario[[#Headers],[OVO VERMELHO B]],estoque[data],preçodiario[[#This Row],[data]])</f>
        <v>0</v>
      </c>
      <c r="AN84" s="20">
        <f>IFERROR(preçodiario[[#This Row],[OVO VERMELHO B]]*preçodiario[[#This Row],[estoque BV]],0)</f>
        <v>0</v>
      </c>
      <c r="AO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Row],[data]])),((AO83*AP83)+SUMIFS(estoque[valor total],estoque[produto],preçodiario[[#Headers],[OVO VERMELHO C]],estoque[data],preçodiario[[#This Row],[data]],estoque[fornecedor],"&lt;&gt;saída"))/(AP83+(SUMIFS(estoque[quantidade],estoque[produto],preçodiario[[#Headers],[OVO VERMELHO C]],estoque[fornecedor],"&lt;&gt;saída",estoque[data],preçodiario[[#This Row],[data]])))))</f>
        <v/>
      </c>
      <c r="AP84" s="22">
        <f>IF(preçodiario[[#This Row],[entrada CV]]=0,AP83-(SUMIFS(estoque[quantidade],estoque[fornecedor],"saída",estoque[produto],preçodiario[[#Headers],[OVO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Row],[data]]))+AP83+preçodiario[[#This Row],[entrada CV]])</f>
        <v>0</v>
      </c>
      <c r="AQ84" s="22">
        <f>SUMIFS(estoque[quantidade],estoque[fornecedor],"&lt;&gt;saída",estoque[produto],preçodiario[[#Headers],[OVO VERMELHO C]],estoque[data],preçodiario[[#This Row],[data]])</f>
        <v>0</v>
      </c>
      <c r="AR84" s="20">
        <f>SUMIFS(estoque[valor total],estoque[fornecedor],"&lt;&gt;saída",estoque[produto],preçodiario[[#Headers],[OVO VERMELHO C]],estoque[data],preçodiario[[#This Row],[data]])</f>
        <v>0</v>
      </c>
      <c r="AS84" s="20">
        <f>IFERROR(preçodiario[[#This Row],[OVO VERMELHO C]]*preçodiario[[#This Row],[estoque CV]],0)</f>
        <v>0</v>
      </c>
      <c r="AT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Row],[data]])),((AT83*AU83)+SUMIFS(estoque[valor total],estoque[produto],preçodiario[[#Headers],[OVO VERMELHO EXTRA]],estoque[data],preçodiario[[#This Row],[data]],estoque[fornecedor],"&lt;&gt;saída"))/(AU83+(SUMIFS(estoque[quantidade],estoque[produto],preçodiario[[#Headers],[OVO VERMELHO EXTRA]],estoque[fornecedor],"&lt;&gt;saída",estoque[data],preçodiario[[#This Row],[data]])))))</f>
        <v/>
      </c>
      <c r="AU84" s="22">
        <f>IF(preçodiario[[#This Row],[entrada EV]]=0,AU83-(SUMIFS(estoque[quantidade],estoque[fornecedor],"saída",estoque[produto],preçodiario[[#Headers],[OVO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Row],[data]]))+AU83+preçodiario[[#This Row],[entrada EV]])</f>
        <v>0</v>
      </c>
      <c r="AV84" s="22">
        <f>SUMIFS(estoque[quantidade],estoque[fornecedor],"&lt;&gt;saída",estoque[produto],preçodiario[[#Headers],[OVO VERMELHO EXTRA]],estoque[data],preçodiario[[#This Row],[data]])</f>
        <v>0</v>
      </c>
      <c r="AW84" s="20">
        <f>SUMIFS(estoque[valor total],estoque[fornecedor],"&lt;&gt;saída",estoque[produto],preçodiario[[#Headers],[OVO VERMELHO EXTRA]],estoque[data],preçodiario[[#This Row],[data]])</f>
        <v>0</v>
      </c>
      <c r="AX84" s="20">
        <f>IFERROR(preçodiario[[#This Row],[OVO VERMELHO EXTRA]]*preçodiario[[#This Row],[estoque EV]],0)</f>
        <v>0</v>
      </c>
      <c r="AY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Row],[data]])),((AY83*AZ83)+SUMIFS(estoque[valor total],estoque[produto],preçodiario[[#Headers],[OVO VERMELHO JUMBO]],estoque[data],preçodiario[[#This Row],[data]],estoque[fornecedor],"&lt;&gt;saída"))/(AZ83+(SUMIFS(estoque[quantidade],estoque[produto],preçodiario[[#Headers],[OVO VERMELHO JUMBO]],estoque[fornecedor],"&lt;&gt;saída",estoque[data],preçodiario[[#This Row],[data]])))))</f>
        <v/>
      </c>
      <c r="AZ84" s="22">
        <f>IF(preçodiario[[#This Row],[entrada JV]]=0,AZ83-(SUMIFS(estoque[quantidade],estoque[fornecedor],"saída",estoque[produto],preçodiario[[#Headers],[OVO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Row],[data]]))+AZ83+preçodiario[[#This Row],[entrada JV]])</f>
        <v>0</v>
      </c>
      <c r="BA84" s="22">
        <f>SUMIFS(estoque[quantidade],estoque[fornecedor],"&lt;&gt;saída",estoque[produto],preçodiario[[#Headers],[OVO VERMELHO JUMBO]],estoque[data],preçodiario[[#This Row],[data]])</f>
        <v>0</v>
      </c>
      <c r="BB84" s="20">
        <f>SUMIFS(estoque[valor total],estoque[fornecedor],"&lt;&gt;saída",estoque[produto],preçodiario[[#Headers],[OVO VERMELHO JUMBO]],estoque[data],preçodiario[[#This Row],[data]])</f>
        <v>0</v>
      </c>
      <c r="BC84" s="20">
        <f>IFERROR(preçodiario[[#This Row],[OVO VERMELHO JUMBO]]*preçodiario[[#This Row],[estoque JV]],0)</f>
        <v>0</v>
      </c>
      <c r="BD84" t="str">
        <f>TEXT(vendaAno[[#This Row],[data]],"mmm")</f>
        <v>mar</v>
      </c>
      <c r="BE84" t="str">
        <f>TEXT(vendaAno[[#This Row],[data]],"ddd")</f>
        <v>ter</v>
      </c>
      <c r="BF84" s="82">
        <f>WEEKNUM(vendaAno[[#This Row],[data]],13)</f>
        <v>12</v>
      </c>
      <c r="BG84" s="27">
        <f>preçodiario[[#This Row],[data]]</f>
        <v>46105</v>
      </c>
      <c r="BH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4" s="8">
        <f>IF(SUMIFS(estoque[valor total],estoque[fornecedor],"saída",estoque[data],vendaAno[[#This Row],[data]])=0,"",SUMIFS(estoque[valor total],estoque[fornecedor],"saída",estoque[data],vendaAno[[#This Row],[data]]))</f>
        <v>899</v>
      </c>
      <c r="BJ8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Row],[data]]))/12+BJ83,"")</f>
        <v>17.499999999999972</v>
      </c>
      <c r="BK84" s="79">
        <f ca="1">IF(TODAY()&gt;=vendaAno[[#This Row],[data]],IF(SUMIFS(estoque[quantidade],estoque[fornecedor],"saída",estoque[data],vendaAno[[#This Row],[data]])/12=0,AVERAGE(BK81:BK83),SUMIFS(estoque[quantidade],estoque[fornecedor],"saída",estoque[data],vendaAno[[#This Row],[data]])/12),"")</f>
        <v>4.166666666666667</v>
      </c>
      <c r="BL84" s="8">
        <f ca="1">IF(vendaAno[[#This Row],[data]]&lt;=TODAY(),IF(SUMIFS(estoque[lucro],estoque[fornecedor],"saída",estoque[data],vendaAno[[#This Row],[data]])=0,AVERAGE(BL81:BL83),SUMIFS(estoque[lucro],estoque[fornecedor],"saída",estoque[data],vendaAno[[#This Row],[data]])),"")</f>
        <v>168.95</v>
      </c>
      <c r="BM84" s="10">
        <f ca="1">IFERROR(vendaAno[[#This Row],[lucro]]/vendaAno[[#This Row],[valor de venda]],"")</f>
        <v>0.18793103448275861</v>
      </c>
      <c r="BN8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3005.5757575757575</v>
      </c>
      <c r="BO84" s="8">
        <f ca="1">IF(TODAY()&gt;=vendaAno[[#This Row],[data]],IF(vendaAno[[#This Row],[N°]]=BF83,vendaAno[[#This Row],[lucro]]-173.33+BO83,vendaAno[[#This Row],[lucro]]-150),"")</f>
        <v>-133.67000000000007</v>
      </c>
      <c r="BP84" s="81">
        <f ca="1">IF(TODAY()&gt;=vendaAno[[#This Row],[data]],SUM(BK78:BK84)*12,"")</f>
        <v>325</v>
      </c>
      <c r="BQ84" s="7">
        <f ca="1">IFERROR(vendaAno[[#This Row],[lucro]]/(vendaAno[[#This Row],[venda]]*12),"")</f>
        <v>3.3789999999999996</v>
      </c>
      <c r="CD84" s="7"/>
    </row>
    <row r="85" spans="1:82" x14ac:dyDescent="0.25">
      <c r="A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5" s="18" t="str">
        <f>TEXT(preçodiario[[#This Row],[data]],"MMM")</f>
        <v>mar</v>
      </c>
      <c r="C85" s="18" t="str">
        <f>TEXT(preçodiario[[#This Row],[data]],"ddd")</f>
        <v>qua</v>
      </c>
      <c r="D85" s="96">
        <f>WEEKNUM(preçodiario[[#This Row],[data]],13)</f>
        <v>13</v>
      </c>
      <c r="E85" s="37">
        <v>46106</v>
      </c>
      <c r="F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Row],[data]])),((F84*G84)+SUMIFS(estoque[valor total],estoque[produto],preçodiario[[#Headers],[OVO BRANCO A]],estoque[data],preçodiario[[#This Row],[data]],estoque[fornecedor],"&lt;&gt;saída"))/(G84+(SUMIFS(estoque[quantidade],estoque[produto],preçodiario[[#Headers],[OVO BRANCO A]],estoque[fornecedor],"&lt;&gt;saída",estoque[data],preçodiario[[#This Row],[data]])))))</f>
        <v>15</v>
      </c>
      <c r="G85" s="22">
        <f>IF(preçodiario[[#This Row],[entrada A]]=0,G84-(SUMIFS(estoque[quantidade],estoque[fornecedor],"saída",estoque[produto],preçodiario[[#Headers],[OVO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Row],[data]]))+G84+preçodiario[[#This Row],[entrada A]])</f>
        <v>71</v>
      </c>
      <c r="H85" s="22">
        <f>SUMIFS(estoque[quantidade],estoque[fornecedor],"&lt;&gt;saída",estoque[produto],preçodiario[[#Headers],[OVO BRANCO A]],estoque[data],preçodiario[[#This Row],[data]])</f>
        <v>0</v>
      </c>
      <c r="I85" s="20">
        <f>SUMIFS(estoque[valor total],estoque[fornecedor],"&lt;&gt;saída",estoque[produto],preçodiario[[#Headers],[OVO BRANCO A]],estoque[data],preçodiario[[#This Row],[data]])</f>
        <v>0</v>
      </c>
      <c r="J85" s="20">
        <f>IFERROR(preçodiario[[#This Row],[estoque A]]*preçodiario[[#This Row],[OVO BRANCO A]],0)</f>
        <v>1065</v>
      </c>
      <c r="K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Row],[data]])),((K84*L84)+SUMIFS(estoque[valor total],estoque[produto],preçodiario[[#Headers],[OVO BRANCO B]],estoque[data],preçodiario[[#This Row],[data]],estoque[fornecedor],"&lt;&gt;saída"))/(L84+(SUMIFS(estoque[quantidade],estoque[produto],preçodiario[[#Headers],[OVO BRANCO B]],estoque[fornecedor],"&lt;&gt;saída",estoque[data],preçodiario[[#This Row],[data]])))))</f>
        <v>13.825757575757576</v>
      </c>
      <c r="L85" s="22">
        <f>IF(preçodiario[[#This Row],[entrada B]]=0,L84-(SUMIFS(estoque[quantidade],estoque[fornecedor],"saída",estoque[produto],preçodiario[[#Headers],[OVO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Row],[data]]))+L84+preçodiario[[#This Row],[entrada B]])</f>
        <v>33</v>
      </c>
      <c r="M85" s="22">
        <f>SUMIFS(estoque[quantidade],estoque[fornecedor],"&lt;&gt;saída",estoque[produto],preçodiario[[#Headers],[OVO BRANCO B]],estoque[data],preçodiario[[#This Row],[data]])</f>
        <v>0</v>
      </c>
      <c r="N85" s="20">
        <f>SUMIFS(estoque[valor total],estoque[fornecedor],"&lt;&gt;saída",estoque[produto],preçodiario[[#Headers],[OVO BRANCO B]],estoque[data],preçodiario[[#This Row],[data]])</f>
        <v>0</v>
      </c>
      <c r="O85" s="20">
        <f>IFERROR(preçodiario[[#This Row],[OVO BRANCO B]]*preçodiario[[#This Row],[estoque B]],0)</f>
        <v>456.25</v>
      </c>
      <c r="P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Row],[data]])),((P84*Q84)+SUMIFS(estoque[valor total],estoque[produto],preçodiario[[#Headers],[OVO BRANCO C]],estoque[data],preçodiario[[#This Row],[data]],estoque[fornecedor],"&lt;&gt;saída"))/(Q84+(SUMIFS(estoque[quantidade],estoque[produto],preçodiario[[#Headers],[OVO BRANCO C]],estoque[fornecedor],"&lt;&gt;saída",estoque[data],preçodiario[[#This Row],[data]])))))</f>
        <v>11.583333333333334</v>
      </c>
      <c r="Q85" s="22">
        <f>IF(preçodiario[[#This Row],[entrada C]]=0,Q84-(SUMIFS(estoque[quantidade],estoque[fornecedor],"saída",estoque[produto],preçodiario[[#Headers],[OVO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Row],[data]]))+Q84+preçodiario[[#This Row],[entrada C]])</f>
        <v>41</v>
      </c>
      <c r="R85" s="22">
        <f>SUMIFS(estoque[quantidade],estoque[fornecedor],"&lt;&gt;saída",estoque[produto],preçodiario[[#Headers],[OVO BRANCO C]],estoque[data],preçodiario[[#This Row],[data]])</f>
        <v>0</v>
      </c>
      <c r="S85" s="20">
        <f>SUMIFS(estoque[valor total],estoque[fornecedor],"&lt;&gt;saída",estoque[produto],preçodiario[[#Headers],[OVO BRANCO C]],estoque[data],preçodiario[[#This Row],[data]])</f>
        <v>0</v>
      </c>
      <c r="T85" s="20">
        <f>IFERROR(preçodiario[[#This Row],[OVO BRANCO C]]*preçodiario[[#This Row],[estoque C]],0)</f>
        <v>474.91666666666669</v>
      </c>
      <c r="U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Row],[data]])),((U84*V84)+SUMIFS(estoque[valor total],estoque[produto],preçodiario[[#Headers],[OVO BRANCO EXTRA]],estoque[data],preçodiario[[#This Row],[data]],estoque[fornecedor],"&lt;&gt;saída"))/(V84+(SUMIFS(estoque[quantidade],estoque[produto],preçodiario[[#Headers],[OVO BRANCO EXTRA]],estoque[fornecedor],"&lt;&gt;saída",estoque[data],preçodiario[[#This Row],[data]])))))</f>
        <v>15.833333333333334</v>
      </c>
      <c r="V85" s="22">
        <f>IF(preçodiario[[#This Row],[entrada E]]=0,V84-(SUMIFS(estoque[quantidade],estoque[fornecedor],"saída",estoque[produto],preçodiario[[#Headers],[OVO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Row],[data]]))+V84+preçodiario[[#This Row],[entrada E]])</f>
        <v>36</v>
      </c>
      <c r="W85" s="22">
        <f>SUMIFS(estoque[quantidade],estoque[fornecedor],"&lt;&gt;saída",estoque[produto],preçodiario[[#Headers],[OVO BRANCO EXTRA]],estoque[data],preçodiario[[#This Row],[data]])</f>
        <v>0</v>
      </c>
      <c r="X85" s="20">
        <f>SUMIFS(estoque[valor total],estoque[fornecedor],"&lt;&gt;saída",estoque[produto],preçodiario[[#Headers],[OVO BRANCO EXTRA]],estoque[data],preçodiario[[#This Row],[data]])</f>
        <v>0</v>
      </c>
      <c r="Y85" s="20">
        <f>IFERROR(preçodiario[[#This Row],[estoque E]]*preçodiario[[#This Row],[OVO BRANCO EXTRA]],0)</f>
        <v>570</v>
      </c>
      <c r="Z85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Row],[data]])),((Z84*AA84)+SUMIFS(estoque[valor total],estoque[produto],preçodiario[[#Headers],[OVO BRANCO JUMBO]],estoque[data],preçodiario[[#This Row],[data]],estoque[fornecedor],"&lt;&gt;saída"))/(AA84+(SUMIFS(estoque[quantidade],estoque[produto],preçodiario[[#Headers],[OVO BRANCO JUMBO]],estoque[fornecedor],"&lt;&gt;saída",estoque[data],preçodiario[[#This Row],[data]])))))</f>
        <v/>
      </c>
      <c r="AA85" s="22">
        <f>IF(preçodiario[[#This Row],[entrada J]]=0,AA84-(SUMIFS(estoque[quantidade],estoque[fornecedor],"saída",estoque[produto],preçodiario[[#Headers],[OVO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Row],[data]]))+AA84+preçodiario[[#This Row],[entrada J]])</f>
        <v>0</v>
      </c>
      <c r="AB85" s="22">
        <f>SUMIFS(estoque[quantidade],estoque[fornecedor],"&lt;&gt;saída",estoque[produto],preçodiario[[#Headers],[OVO BRANCO JUMBO]],estoque[data],preçodiario[[#This Row],[data]])</f>
        <v>0</v>
      </c>
      <c r="AC85" s="20">
        <f>SUMIFS(estoque[valor total],estoque[fornecedor],"&lt;&gt;saída",estoque[produto],preçodiario[[#Headers],[OVO BRANCO JUMBO]],estoque[data],preçodiario[[#This Row],[data]])</f>
        <v>0</v>
      </c>
      <c r="AD85" s="20">
        <f>IFERROR(preçodiario[[#This Row],[OVO BRANCO JUMBO]]*preçodiario[[#This Row],[estoque J]],0)</f>
        <v>0</v>
      </c>
      <c r="AE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Row],[data]])),((AE84*AF84)+SUMIFS(estoque[valor total],estoque[produto],preçodiario[[#Headers],[OVO VERMELHO A]],estoque[data],preçodiario[[#This Row],[data]],estoque[fornecedor],"&lt;&gt;saída"))/(AF84+(SUMIFS(estoque[quantidade],estoque[produto],preçodiario[[#Headers],[OVO VERMELHO A]],estoque[fornecedor],"&lt;&gt;saída",estoque[data],preçodiario[[#This Row],[data]])))))</f>
        <v/>
      </c>
      <c r="AF85" s="22">
        <f>IF(preçodiario[[#This Row],[entrada AV]]=0,AF84-(SUMIFS(estoque[quantidade],estoque[fornecedor],"saída",estoque[produto],preçodiario[[#Headers],[OVO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Row],[data]]))+AF84+preçodiario[[#This Row],[entrada AV]])</f>
        <v>0</v>
      </c>
      <c r="AG85" s="22">
        <f>SUMIFS(estoque[quantidade],estoque[fornecedor],"&lt;&gt;saída",estoque[produto],preçodiario[[#Headers],[OVO VERMELHO A]],estoque[data],preçodiario[[#This Row],[data]])</f>
        <v>0</v>
      </c>
      <c r="AH85" s="20">
        <f>SUMIFS(estoque[valor total],estoque[fornecedor],"&lt;&gt;saída",estoque[produto],preçodiario[[#Headers],[OVO VERMELHO A]],estoque[data],preçodiario[[#This Row],[data]])</f>
        <v>0</v>
      </c>
      <c r="AI85" s="20">
        <f>IFERROR(preçodiario[[#This Row],[OVO VERMELHO A]]*preçodiario[[#This Row],[estoque AV]],0)</f>
        <v>0</v>
      </c>
      <c r="AJ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Row],[data]])),((AJ84*AK84)+SUMIFS(estoque[valor total],estoque[produto],preçodiario[[#Headers],[OVO VERMELHO B]],estoque[data],preçodiario[[#This Row],[data]],estoque[fornecedor],"&lt;&gt;saída"))/(AK84+(SUMIFS(estoque[quantidade],estoque[produto],preçodiario[[#Headers],[OVO VERMELHO B]],estoque[fornecedor],"&lt;&gt;saída",estoque[data],preçodiario[[#This Row],[data]])))))</f>
        <v/>
      </c>
      <c r="AK85" s="22">
        <f>IF(preçodiario[[#This Row],[entrada BV]]=0,AK84-(SUMIFS(estoque[quantidade],estoque[fornecedor],"saída",estoque[produto],preçodiario[[#Headers],[OVO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Row],[data]]))+AK84+preçodiario[[#This Row],[entrada BV]])</f>
        <v>0</v>
      </c>
      <c r="AL85" s="22">
        <f>SUMIFS(estoque[quantidade],estoque[fornecedor],"&lt;&gt;saída",estoque[produto],preçodiario[[#Headers],[OVO VERMELHO B]],estoque[data],preçodiario[[#This Row],[data]])</f>
        <v>0</v>
      </c>
      <c r="AM85" s="20">
        <f>SUMIFS(estoque[valor total],estoque[fornecedor],"&lt;&gt;saída",estoque[produto],preçodiario[[#Headers],[OVO VERMELHO B]],estoque[data],preçodiario[[#This Row],[data]])</f>
        <v>0</v>
      </c>
      <c r="AN85" s="20">
        <f>IFERROR(preçodiario[[#This Row],[OVO VERMELHO B]]*preçodiario[[#This Row],[estoque BV]],0)</f>
        <v>0</v>
      </c>
      <c r="AO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Row],[data]])),((AO84*AP84)+SUMIFS(estoque[valor total],estoque[produto],preçodiario[[#Headers],[OVO VERMELHO C]],estoque[data],preçodiario[[#This Row],[data]],estoque[fornecedor],"&lt;&gt;saída"))/(AP84+(SUMIFS(estoque[quantidade],estoque[produto],preçodiario[[#Headers],[OVO VERMELHO C]],estoque[fornecedor],"&lt;&gt;saída",estoque[data],preçodiario[[#This Row],[data]])))))</f>
        <v/>
      </c>
      <c r="AP85" s="22">
        <f>IF(preçodiario[[#This Row],[entrada CV]]=0,AP84-(SUMIFS(estoque[quantidade],estoque[fornecedor],"saída",estoque[produto],preçodiario[[#Headers],[OVO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Row],[data]]))+AP84+preçodiario[[#This Row],[entrada CV]])</f>
        <v>0</v>
      </c>
      <c r="AQ85" s="22">
        <f>SUMIFS(estoque[quantidade],estoque[fornecedor],"&lt;&gt;saída",estoque[produto],preçodiario[[#Headers],[OVO VERMELHO C]],estoque[data],preçodiario[[#This Row],[data]])</f>
        <v>0</v>
      </c>
      <c r="AR85" s="20">
        <f>SUMIFS(estoque[valor total],estoque[fornecedor],"&lt;&gt;saída",estoque[produto],preçodiario[[#Headers],[OVO VERMELHO C]],estoque[data],preçodiario[[#This Row],[data]])</f>
        <v>0</v>
      </c>
      <c r="AS85" s="20">
        <f>IFERROR(preçodiario[[#This Row],[OVO VERMELHO C]]*preçodiario[[#This Row],[estoque CV]],0)</f>
        <v>0</v>
      </c>
      <c r="AT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Row],[data]])),((AT84*AU84)+SUMIFS(estoque[valor total],estoque[produto],preçodiario[[#Headers],[OVO VERMELHO EXTRA]],estoque[data],preçodiario[[#This Row],[data]],estoque[fornecedor],"&lt;&gt;saída"))/(AU84+(SUMIFS(estoque[quantidade],estoque[produto],preçodiario[[#Headers],[OVO VERMELHO EXTRA]],estoque[fornecedor],"&lt;&gt;saída",estoque[data],preçodiario[[#This Row],[data]])))))</f>
        <v/>
      </c>
      <c r="AU85" s="22">
        <f>IF(preçodiario[[#This Row],[entrada EV]]=0,AU84-(SUMIFS(estoque[quantidade],estoque[fornecedor],"saída",estoque[produto],preçodiario[[#Headers],[OVO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Row],[data]]))+AU84+preçodiario[[#This Row],[entrada EV]])</f>
        <v>0</v>
      </c>
      <c r="AV85" s="22">
        <f>SUMIFS(estoque[quantidade],estoque[fornecedor],"&lt;&gt;saída",estoque[produto],preçodiario[[#Headers],[OVO VERMELHO EXTRA]],estoque[data],preçodiario[[#This Row],[data]])</f>
        <v>0</v>
      </c>
      <c r="AW85" s="20">
        <f>SUMIFS(estoque[valor total],estoque[fornecedor],"&lt;&gt;saída",estoque[produto],preçodiario[[#Headers],[OVO VERMELHO EXTRA]],estoque[data],preçodiario[[#This Row],[data]])</f>
        <v>0</v>
      </c>
      <c r="AX85" s="20">
        <f>IFERROR(preçodiario[[#This Row],[OVO VERMELHO EXTRA]]*preçodiario[[#This Row],[estoque EV]],0)</f>
        <v>0</v>
      </c>
      <c r="AY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Row],[data]])),((AY84*AZ84)+SUMIFS(estoque[valor total],estoque[produto],preçodiario[[#Headers],[OVO VERMELHO JUMBO]],estoque[data],preçodiario[[#This Row],[data]],estoque[fornecedor],"&lt;&gt;saída"))/(AZ84+(SUMIFS(estoque[quantidade],estoque[produto],preçodiario[[#Headers],[OVO VERMELHO JUMBO]],estoque[fornecedor],"&lt;&gt;saída",estoque[data],preçodiario[[#This Row],[data]])))))</f>
        <v/>
      </c>
      <c r="AZ85" s="22">
        <f>IF(preçodiario[[#This Row],[entrada JV]]=0,AZ84-(SUMIFS(estoque[quantidade],estoque[fornecedor],"saída",estoque[produto],preçodiario[[#Headers],[OVO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Row],[data]]))+AZ84+preçodiario[[#This Row],[entrada JV]])</f>
        <v>0</v>
      </c>
      <c r="BA85" s="22">
        <f>SUMIFS(estoque[quantidade],estoque[fornecedor],"&lt;&gt;saída",estoque[produto],preçodiario[[#Headers],[OVO VERMELHO JUMBO]],estoque[data],preçodiario[[#This Row],[data]])</f>
        <v>0</v>
      </c>
      <c r="BB85" s="20">
        <f>SUMIFS(estoque[valor total],estoque[fornecedor],"&lt;&gt;saída",estoque[produto],preçodiario[[#Headers],[OVO VERMELHO JUMBO]],estoque[data],preçodiario[[#This Row],[data]])</f>
        <v>0</v>
      </c>
      <c r="BC85" s="20">
        <f>IFERROR(preçodiario[[#This Row],[OVO VERMELHO JUMBO]]*preçodiario[[#This Row],[estoque JV]],0)</f>
        <v>0</v>
      </c>
      <c r="BD85" t="str">
        <f>TEXT(vendaAno[[#This Row],[data]],"mmm")</f>
        <v>mar</v>
      </c>
      <c r="BE85" t="str">
        <f>TEXT(vendaAno[[#This Row],[data]],"ddd")</f>
        <v>qua</v>
      </c>
      <c r="BF85" s="82">
        <f>WEEKNUM(vendaAno[[#This Row],[data]],13)</f>
        <v>13</v>
      </c>
      <c r="BG85" s="27">
        <f>preçodiario[[#This Row],[data]]</f>
        <v>46106</v>
      </c>
      <c r="BH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5" s="8">
        <f>IF(SUMIFS(estoque[valor total],estoque[fornecedor],"saída",estoque[data],vendaAno[[#This Row],[data]])=0,"",SUMIFS(estoque[valor total],estoque[fornecedor],"saída",estoque[data],vendaAno[[#This Row],[data]]))</f>
        <v>575</v>
      </c>
      <c r="BJ8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Row],[data]]))/12+BJ84,"")</f>
        <v>15.083333333333306</v>
      </c>
      <c r="BK85" s="79">
        <f ca="1">IF(TODAY()&gt;=vendaAno[[#This Row],[data]],IF(SUMIFS(estoque[quantidade],estoque[fornecedor],"saída",estoque[data],vendaAno[[#This Row],[data]])/12=0,AVERAGE(BK82:BK84),SUMIFS(estoque[quantidade],estoque[fornecedor],"saída",estoque[data],vendaAno[[#This Row],[data]])/12),"")</f>
        <v>2.4166666666666665</v>
      </c>
      <c r="BL85" s="8">
        <f ca="1">IF(vendaAno[[#This Row],[data]]&lt;=TODAY(),IF(SUMIFS(estoque[lucro],estoque[fornecedor],"saída",estoque[data],vendaAno[[#This Row],[data]])=0,AVERAGE(BL82:BL84),SUMIFS(estoque[lucro],estoque[fornecedor],"saída",estoque[data],vendaAno[[#This Row],[data]])),"")</f>
        <v>135.59</v>
      </c>
      <c r="BM85" s="10">
        <f ca="1">IFERROR(vendaAno[[#This Row],[lucro]]/vendaAno[[#This Row],[valor de venda]],"")</f>
        <v>0.23580869565217391</v>
      </c>
      <c r="BN8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2566.166666666667</v>
      </c>
      <c r="BO85" s="8">
        <f ca="1">IF(TODAY()&gt;=vendaAno[[#This Row],[data]],IF(vendaAno[[#This Row],[N°]]=BF84,vendaAno[[#This Row],[lucro]]-173.33+BO84,vendaAno[[#This Row],[lucro]]-150),"")</f>
        <v>-14.409999999999997</v>
      </c>
      <c r="BP85" s="81">
        <f ca="1">IF(TODAY()&gt;=vendaAno[[#This Row],[data]],SUM(BK79:BK85)*12,"")</f>
        <v>310</v>
      </c>
      <c r="BQ85" s="7">
        <f ca="1">IFERROR(vendaAno[[#This Row],[lucro]]/(vendaAno[[#This Row],[venda]]*12),"")</f>
        <v>4.6755172413793105</v>
      </c>
      <c r="CD85" s="7"/>
    </row>
    <row r="86" spans="1:82" x14ac:dyDescent="0.25">
      <c r="A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6" s="18" t="str">
        <f>TEXT(preçodiario[[#This Row],[data]],"MMM")</f>
        <v>mar</v>
      </c>
      <c r="C86" s="18" t="str">
        <f>TEXT(preçodiario[[#This Row],[data]],"ddd")</f>
        <v>qui</v>
      </c>
      <c r="D86" s="96">
        <f>WEEKNUM(preçodiario[[#This Row],[data]],13)</f>
        <v>13</v>
      </c>
      <c r="E86" s="37">
        <v>46107</v>
      </c>
      <c r="F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Row],[data]])),((F85*G85)+SUMIFS(estoque[valor total],estoque[produto],preçodiario[[#Headers],[OVO BRANCO A]],estoque[data],preçodiario[[#This Row],[data]],estoque[fornecedor],"&lt;&gt;saída"))/(G85+(SUMIFS(estoque[quantidade],estoque[produto],preçodiario[[#Headers],[OVO BRANCO A]],estoque[fornecedor],"&lt;&gt;saída",estoque[data],preçodiario[[#This Row],[data]])))))</f>
        <v>15</v>
      </c>
      <c r="G86" s="22">
        <f>IF(preçodiario[[#This Row],[entrada A]]=0,G85-(SUMIFS(estoque[quantidade],estoque[fornecedor],"saída",estoque[produto],preçodiario[[#Headers],[OVO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Row],[data]]))+G85+preçodiario[[#This Row],[entrada A]])</f>
        <v>71</v>
      </c>
      <c r="H86" s="22">
        <f>SUMIFS(estoque[quantidade],estoque[fornecedor],"&lt;&gt;saída",estoque[produto],preçodiario[[#Headers],[OVO BRANCO A]],estoque[data],preçodiario[[#This Row],[data]])</f>
        <v>0</v>
      </c>
      <c r="I86" s="20">
        <f>SUMIFS(estoque[valor total],estoque[fornecedor],"&lt;&gt;saída",estoque[produto],preçodiario[[#Headers],[OVO BRANCO A]],estoque[data],preçodiario[[#This Row],[data]])</f>
        <v>0</v>
      </c>
      <c r="J86" s="20">
        <f>IFERROR(preçodiario[[#This Row],[estoque A]]*preçodiario[[#This Row],[OVO BRANCO A]],0)</f>
        <v>1065</v>
      </c>
      <c r="K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Row],[data]])),((K85*L85)+SUMIFS(estoque[valor total],estoque[produto],preçodiario[[#Headers],[OVO BRANCO B]],estoque[data],preçodiario[[#This Row],[data]],estoque[fornecedor],"&lt;&gt;saída"))/(L85+(SUMIFS(estoque[quantidade],estoque[produto],preçodiario[[#Headers],[OVO BRANCO B]],estoque[fornecedor],"&lt;&gt;saída",estoque[data],preçodiario[[#This Row],[data]])))))</f>
        <v>13.825757575757576</v>
      </c>
      <c r="L86" s="22">
        <f>IF(preçodiario[[#This Row],[entrada B]]=0,L85-(SUMIFS(estoque[quantidade],estoque[fornecedor],"saída",estoque[produto],preçodiario[[#Headers],[OVO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Row],[data]]))+L85+preçodiario[[#This Row],[entrada B]])</f>
        <v>27</v>
      </c>
      <c r="M86" s="22">
        <f>SUMIFS(estoque[quantidade],estoque[fornecedor],"&lt;&gt;saída",estoque[produto],preçodiario[[#Headers],[OVO BRANCO B]],estoque[data],preçodiario[[#This Row],[data]])</f>
        <v>0</v>
      </c>
      <c r="N86" s="20">
        <f>SUMIFS(estoque[valor total],estoque[fornecedor],"&lt;&gt;saída",estoque[produto],preçodiario[[#Headers],[OVO BRANCO B]],estoque[data],preçodiario[[#This Row],[data]])</f>
        <v>0</v>
      </c>
      <c r="O86" s="20">
        <f>IFERROR(preçodiario[[#This Row],[OVO BRANCO B]]*preçodiario[[#This Row],[estoque B]],0)</f>
        <v>373.29545454545456</v>
      </c>
      <c r="P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Row],[data]])),((P85*Q85)+SUMIFS(estoque[valor total],estoque[produto],preçodiario[[#Headers],[OVO BRANCO C]],estoque[data],preçodiario[[#This Row],[data]],estoque[fornecedor],"&lt;&gt;saída"))/(Q85+(SUMIFS(estoque[quantidade],estoque[produto],preçodiario[[#Headers],[OVO BRANCO C]],estoque[fornecedor],"&lt;&gt;saída",estoque[data],preçodiario[[#This Row],[data]])))))</f>
        <v>11.583333333333334</v>
      </c>
      <c r="Q86" s="22">
        <f>IF(preçodiario[[#This Row],[entrada C]]=0,Q85-(SUMIFS(estoque[quantidade],estoque[fornecedor],"saída",estoque[produto],preçodiario[[#Headers],[OVO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Row],[data]]))+Q85+preçodiario[[#This Row],[entrada C]])</f>
        <v>35</v>
      </c>
      <c r="R86" s="22">
        <f>SUMIFS(estoque[quantidade],estoque[fornecedor],"&lt;&gt;saída",estoque[produto],preçodiario[[#Headers],[OVO BRANCO C]],estoque[data],preçodiario[[#This Row],[data]])</f>
        <v>0</v>
      </c>
      <c r="S86" s="20">
        <f>SUMIFS(estoque[valor total],estoque[fornecedor],"&lt;&gt;saída",estoque[produto],preçodiario[[#Headers],[OVO BRANCO C]],estoque[data],preçodiario[[#This Row],[data]])</f>
        <v>0</v>
      </c>
      <c r="T86" s="20">
        <f>IFERROR(preçodiario[[#This Row],[OVO BRANCO C]]*preçodiario[[#This Row],[estoque C]],0)</f>
        <v>405.41666666666669</v>
      </c>
      <c r="U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Row],[data]])),((U85*V85)+SUMIFS(estoque[valor total],estoque[produto],preçodiario[[#Headers],[OVO BRANCO EXTRA]],estoque[data],preçodiario[[#This Row],[data]],estoque[fornecedor],"&lt;&gt;saída"))/(V85+(SUMIFS(estoque[quantidade],estoque[produto],preçodiario[[#Headers],[OVO BRANCO EXTRA]],estoque[fornecedor],"&lt;&gt;saída",estoque[data],preçodiario[[#This Row],[data]])))))</f>
        <v>15.833333333333334</v>
      </c>
      <c r="V86" s="22">
        <f>IF(preçodiario[[#This Row],[entrada E]]=0,V85-(SUMIFS(estoque[quantidade],estoque[fornecedor],"saída",estoque[produto],preçodiario[[#Headers],[OVO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Row],[data]]))+V85+preçodiario[[#This Row],[entrada E]])</f>
        <v>20</v>
      </c>
      <c r="W86" s="22">
        <f>SUMIFS(estoque[quantidade],estoque[fornecedor],"&lt;&gt;saída",estoque[produto],preçodiario[[#Headers],[OVO BRANCO EXTRA]],estoque[data],preçodiario[[#This Row],[data]])</f>
        <v>0</v>
      </c>
      <c r="X86" s="20">
        <f>SUMIFS(estoque[valor total],estoque[fornecedor],"&lt;&gt;saída",estoque[produto],preçodiario[[#Headers],[OVO BRANCO EXTRA]],estoque[data],preçodiario[[#This Row],[data]])</f>
        <v>0</v>
      </c>
      <c r="Y86" s="20">
        <f>IFERROR(preçodiario[[#This Row],[estoque E]]*preçodiario[[#This Row],[OVO BRANCO EXTRA]],0)</f>
        <v>316.66666666666669</v>
      </c>
      <c r="Z86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Row],[data]])),((Z85*AA85)+SUMIFS(estoque[valor total],estoque[produto],preçodiario[[#Headers],[OVO BRANCO JUMBO]],estoque[data],preçodiario[[#This Row],[data]],estoque[fornecedor],"&lt;&gt;saída"))/(AA85+(SUMIFS(estoque[quantidade],estoque[produto],preçodiario[[#Headers],[OVO BRANCO JUMBO]],estoque[fornecedor],"&lt;&gt;saída",estoque[data],preçodiario[[#This Row],[data]])))))</f>
        <v/>
      </c>
      <c r="AA86" s="22">
        <f>IF(preçodiario[[#This Row],[entrada J]]=0,AA85-(SUMIFS(estoque[quantidade],estoque[fornecedor],"saída",estoque[produto],preçodiario[[#Headers],[OVO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Row],[data]]))+AA85+preçodiario[[#This Row],[entrada J]])</f>
        <v>0</v>
      </c>
      <c r="AB86" s="22">
        <f>SUMIFS(estoque[quantidade],estoque[fornecedor],"&lt;&gt;saída",estoque[produto],preçodiario[[#Headers],[OVO BRANCO JUMBO]],estoque[data],preçodiario[[#This Row],[data]])</f>
        <v>0</v>
      </c>
      <c r="AC86" s="20">
        <f>SUMIFS(estoque[valor total],estoque[fornecedor],"&lt;&gt;saída",estoque[produto],preçodiario[[#Headers],[OVO BRANCO JUMBO]],estoque[data],preçodiario[[#This Row],[data]])</f>
        <v>0</v>
      </c>
      <c r="AD86" s="20">
        <f>IFERROR(preçodiario[[#This Row],[OVO BRANCO JUMBO]]*preçodiario[[#This Row],[estoque J]],0)</f>
        <v>0</v>
      </c>
      <c r="AE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Row],[data]])),((AE85*AF85)+SUMIFS(estoque[valor total],estoque[produto],preçodiario[[#Headers],[OVO VERMELHO A]],estoque[data],preçodiario[[#This Row],[data]],estoque[fornecedor],"&lt;&gt;saída"))/(AF85+(SUMIFS(estoque[quantidade],estoque[produto],preçodiario[[#Headers],[OVO VERMELHO A]],estoque[fornecedor],"&lt;&gt;saída",estoque[data],preçodiario[[#This Row],[data]])))))</f>
        <v/>
      </c>
      <c r="AF86" s="22">
        <f>IF(preçodiario[[#This Row],[entrada AV]]=0,AF85-(SUMIFS(estoque[quantidade],estoque[fornecedor],"saída",estoque[produto],preçodiario[[#Headers],[OVO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Row],[data]]))+AF85+preçodiario[[#This Row],[entrada AV]])</f>
        <v>0</v>
      </c>
      <c r="AG86" s="22">
        <f>SUMIFS(estoque[quantidade],estoque[fornecedor],"&lt;&gt;saída",estoque[produto],preçodiario[[#Headers],[OVO VERMELHO A]],estoque[data],preçodiario[[#This Row],[data]])</f>
        <v>0</v>
      </c>
      <c r="AH86" s="20">
        <f>SUMIFS(estoque[valor total],estoque[fornecedor],"&lt;&gt;saída",estoque[produto],preçodiario[[#Headers],[OVO VERMELHO A]],estoque[data],preçodiario[[#This Row],[data]])</f>
        <v>0</v>
      </c>
      <c r="AI86" s="20">
        <f>IFERROR(preçodiario[[#This Row],[OVO VERMELHO A]]*preçodiario[[#This Row],[estoque AV]],0)</f>
        <v>0</v>
      </c>
      <c r="AJ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Row],[data]])),((AJ85*AK85)+SUMIFS(estoque[valor total],estoque[produto],preçodiario[[#Headers],[OVO VERMELHO B]],estoque[data],preçodiario[[#This Row],[data]],estoque[fornecedor],"&lt;&gt;saída"))/(AK85+(SUMIFS(estoque[quantidade],estoque[produto],preçodiario[[#Headers],[OVO VERMELHO B]],estoque[fornecedor],"&lt;&gt;saída",estoque[data],preçodiario[[#This Row],[data]])))))</f>
        <v/>
      </c>
      <c r="AK86" s="22">
        <f>IF(preçodiario[[#This Row],[entrada BV]]=0,AK85-(SUMIFS(estoque[quantidade],estoque[fornecedor],"saída",estoque[produto],preçodiario[[#Headers],[OVO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Row],[data]]))+AK85+preçodiario[[#This Row],[entrada BV]])</f>
        <v>0</v>
      </c>
      <c r="AL86" s="22">
        <f>SUMIFS(estoque[quantidade],estoque[fornecedor],"&lt;&gt;saída",estoque[produto],preçodiario[[#Headers],[OVO VERMELHO B]],estoque[data],preçodiario[[#This Row],[data]])</f>
        <v>0</v>
      </c>
      <c r="AM86" s="20">
        <f>SUMIFS(estoque[valor total],estoque[fornecedor],"&lt;&gt;saída",estoque[produto],preçodiario[[#Headers],[OVO VERMELHO B]],estoque[data],preçodiario[[#This Row],[data]])</f>
        <v>0</v>
      </c>
      <c r="AN86" s="20">
        <f>IFERROR(preçodiario[[#This Row],[OVO VERMELHO B]]*preçodiario[[#This Row],[estoque BV]],0)</f>
        <v>0</v>
      </c>
      <c r="AO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Row],[data]])),((AO85*AP85)+SUMIFS(estoque[valor total],estoque[produto],preçodiario[[#Headers],[OVO VERMELHO C]],estoque[data],preçodiario[[#This Row],[data]],estoque[fornecedor],"&lt;&gt;saída"))/(AP85+(SUMIFS(estoque[quantidade],estoque[produto],preçodiario[[#Headers],[OVO VERMELHO C]],estoque[fornecedor],"&lt;&gt;saída",estoque[data],preçodiario[[#This Row],[data]])))))</f>
        <v/>
      </c>
      <c r="AP86" s="22">
        <f>IF(preçodiario[[#This Row],[entrada CV]]=0,AP85-(SUMIFS(estoque[quantidade],estoque[fornecedor],"saída",estoque[produto],preçodiario[[#Headers],[OVO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Row],[data]]))+AP85+preçodiario[[#This Row],[entrada CV]])</f>
        <v>0</v>
      </c>
      <c r="AQ86" s="22">
        <f>SUMIFS(estoque[quantidade],estoque[fornecedor],"&lt;&gt;saída",estoque[produto],preçodiario[[#Headers],[OVO VERMELHO C]],estoque[data],preçodiario[[#This Row],[data]])</f>
        <v>0</v>
      </c>
      <c r="AR86" s="20">
        <f>SUMIFS(estoque[valor total],estoque[fornecedor],"&lt;&gt;saída",estoque[produto],preçodiario[[#Headers],[OVO VERMELHO C]],estoque[data],preçodiario[[#This Row],[data]])</f>
        <v>0</v>
      </c>
      <c r="AS86" s="20">
        <f>IFERROR(preçodiario[[#This Row],[OVO VERMELHO C]]*preçodiario[[#This Row],[estoque CV]],0)</f>
        <v>0</v>
      </c>
      <c r="AT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Row],[data]])),((AT85*AU85)+SUMIFS(estoque[valor total],estoque[produto],preçodiario[[#Headers],[OVO VERMELHO EXTRA]],estoque[data],preçodiario[[#This Row],[data]],estoque[fornecedor],"&lt;&gt;saída"))/(AU85+(SUMIFS(estoque[quantidade],estoque[produto],preçodiario[[#Headers],[OVO VERMELHO EXTRA]],estoque[fornecedor],"&lt;&gt;saída",estoque[data],preçodiario[[#This Row],[data]])))))</f>
        <v/>
      </c>
      <c r="AU86" s="22">
        <f>IF(preçodiario[[#This Row],[entrada EV]]=0,AU85-(SUMIFS(estoque[quantidade],estoque[fornecedor],"saída",estoque[produto],preçodiario[[#Headers],[OVO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Row],[data]]))+AU85+preçodiario[[#This Row],[entrada EV]])</f>
        <v>0</v>
      </c>
      <c r="AV86" s="22">
        <f>SUMIFS(estoque[quantidade],estoque[fornecedor],"&lt;&gt;saída",estoque[produto],preçodiario[[#Headers],[OVO VERMELHO EXTRA]],estoque[data],preçodiario[[#This Row],[data]])</f>
        <v>0</v>
      </c>
      <c r="AW86" s="20">
        <f>SUMIFS(estoque[valor total],estoque[fornecedor],"&lt;&gt;saída",estoque[produto],preçodiario[[#Headers],[OVO VERMELHO EXTRA]],estoque[data],preçodiario[[#This Row],[data]])</f>
        <v>0</v>
      </c>
      <c r="AX86" s="20">
        <f>IFERROR(preçodiario[[#This Row],[OVO VERMELHO EXTRA]]*preçodiario[[#This Row],[estoque EV]],0)</f>
        <v>0</v>
      </c>
      <c r="AY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Row],[data]])),((AY85*AZ85)+SUMIFS(estoque[valor total],estoque[produto],preçodiario[[#Headers],[OVO VERMELHO JUMBO]],estoque[data],preçodiario[[#This Row],[data]],estoque[fornecedor],"&lt;&gt;saída"))/(AZ85+(SUMIFS(estoque[quantidade],estoque[produto],preçodiario[[#Headers],[OVO VERMELHO JUMBO]],estoque[fornecedor],"&lt;&gt;saída",estoque[data],preçodiario[[#This Row],[data]])))))</f>
        <v/>
      </c>
      <c r="AZ86" s="22">
        <f>IF(preçodiario[[#This Row],[entrada JV]]=0,AZ85-(SUMIFS(estoque[quantidade],estoque[fornecedor],"saída",estoque[produto],preçodiario[[#Headers],[OVO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Row],[data]]))+AZ85+preçodiario[[#This Row],[entrada JV]])</f>
        <v>0</v>
      </c>
      <c r="BA86" s="22">
        <f>SUMIFS(estoque[quantidade],estoque[fornecedor],"&lt;&gt;saída",estoque[produto],preçodiario[[#Headers],[OVO VERMELHO JUMBO]],estoque[data],preçodiario[[#This Row],[data]])</f>
        <v>0</v>
      </c>
      <c r="BB86" s="20">
        <f>SUMIFS(estoque[valor total],estoque[fornecedor],"&lt;&gt;saída",estoque[produto],preçodiario[[#Headers],[OVO VERMELHO JUMBO]],estoque[data],preçodiario[[#This Row],[data]])</f>
        <v>0</v>
      </c>
      <c r="BC86" s="20">
        <f>IFERROR(preçodiario[[#This Row],[OVO VERMELHO JUMBO]]*preçodiario[[#This Row],[estoque JV]],0)</f>
        <v>0</v>
      </c>
      <c r="BD86" t="str">
        <f>TEXT(vendaAno[[#This Row],[data]],"mmm")</f>
        <v>mar</v>
      </c>
      <c r="BE86" t="str">
        <f>TEXT(vendaAno[[#This Row],[data]],"ddd")</f>
        <v>qui</v>
      </c>
      <c r="BF86" s="82">
        <f>WEEKNUM(vendaAno[[#This Row],[data]],13)</f>
        <v>13</v>
      </c>
      <c r="BG86" s="27">
        <f>preçodiario[[#This Row],[data]]</f>
        <v>46107</v>
      </c>
      <c r="BH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6" s="8">
        <f>IF(SUMIFS(estoque[valor total],estoque[fornecedor],"saída",estoque[data],vendaAno[[#This Row],[data]])=0,"",SUMIFS(estoque[valor total],estoque[fornecedor],"saída",estoque[data],vendaAno[[#This Row],[data]]))</f>
        <v>538</v>
      </c>
      <c r="BJ8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Row],[data]]))/12+BJ85,"")</f>
        <v>12.749999999999972</v>
      </c>
      <c r="BK86" s="79">
        <f ca="1">IF(TODAY()&gt;=vendaAno[[#This Row],[data]],IF(SUMIFS(estoque[quantidade],estoque[fornecedor],"saída",estoque[data],vendaAno[[#This Row],[data]])/12=0,AVERAGE(BK83:BK85),SUMIFS(estoque[quantidade],estoque[fornecedor],"saída",estoque[data],vendaAno[[#This Row],[data]])/12),"")</f>
        <v>2.3333333333333335</v>
      </c>
      <c r="BL86" s="8">
        <f ca="1">IF(vendaAno[[#This Row],[data]]&lt;=TODAY(),IF(SUMIFS(estoque[lucro],estoque[fornecedor],"saída",estoque[data],vendaAno[[#This Row],[data]])=0,AVERAGE(BL83:BL85),SUMIFS(estoque[lucro],estoque[fornecedor],"saída",estoque[data],vendaAno[[#This Row],[data]])),"")</f>
        <v>132.22</v>
      </c>
      <c r="BM86" s="10">
        <f ca="1">IFERROR(vendaAno[[#This Row],[lucro]]/vendaAno[[#This Row],[valor de venda]],"")</f>
        <v>0.2457620817843866</v>
      </c>
      <c r="BN8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2160.378787878788</v>
      </c>
      <c r="BO86" s="8">
        <f ca="1">IF(TODAY()&gt;=vendaAno[[#This Row],[data]],IF(vendaAno[[#This Row],[N°]]=BF85,vendaAno[[#This Row],[lucro]]-173.33+BO85,vendaAno[[#This Row],[lucro]]-150),"")</f>
        <v>-55.52000000000001</v>
      </c>
      <c r="BP86" s="81">
        <f ca="1">IF(TODAY()&gt;=vendaAno[[#This Row],[data]],SUM(BK80:BK86)*12,"")</f>
        <v>285</v>
      </c>
      <c r="BQ86" s="7">
        <f ca="1">IFERROR(vendaAno[[#This Row],[lucro]]/(vendaAno[[#This Row],[venda]]*12),"")</f>
        <v>4.722142857142857</v>
      </c>
      <c r="CD86" s="7"/>
    </row>
    <row r="87" spans="1:82" x14ac:dyDescent="0.25">
      <c r="A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7" s="18" t="str">
        <f>TEXT(preçodiario[[#This Row],[data]],"MMM")</f>
        <v>mar</v>
      </c>
      <c r="C87" s="18" t="str">
        <f>TEXT(preçodiario[[#This Row],[data]],"ddd")</f>
        <v>sex</v>
      </c>
      <c r="D87" s="96">
        <f>WEEKNUM(preçodiario[[#This Row],[data]],13)</f>
        <v>13</v>
      </c>
      <c r="E87" s="37">
        <v>46108</v>
      </c>
      <c r="F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Row],[data]])),((F86*G86)+SUMIFS(estoque[valor total],estoque[produto],preçodiario[[#Headers],[OVO BRANCO A]],estoque[data],preçodiario[[#This Row],[data]],estoque[fornecedor],"&lt;&gt;saída"))/(G86+(SUMIFS(estoque[quantidade],estoque[produto],preçodiario[[#Headers],[OVO BRANCO A]],estoque[fornecedor],"&lt;&gt;saída",estoque[data],preçodiario[[#This Row],[data]])))))</f>
        <v>15</v>
      </c>
      <c r="G87" s="22">
        <f>IF(preçodiario[[#This Row],[entrada A]]=0,G86-(SUMIFS(estoque[quantidade],estoque[fornecedor],"saída",estoque[produto],preçodiario[[#Headers],[OVO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Row],[data]]))+G86+preçodiario[[#This Row],[entrada A]])</f>
        <v>51</v>
      </c>
      <c r="H87" s="22">
        <f>SUMIFS(estoque[quantidade],estoque[fornecedor],"&lt;&gt;saída",estoque[produto],preçodiario[[#Headers],[OVO BRANCO A]],estoque[data],preçodiario[[#This Row],[data]])</f>
        <v>0</v>
      </c>
      <c r="I87" s="20">
        <f>SUMIFS(estoque[valor total],estoque[fornecedor],"&lt;&gt;saída",estoque[produto],preçodiario[[#Headers],[OVO BRANCO A]],estoque[data],preçodiario[[#This Row],[data]])</f>
        <v>0</v>
      </c>
      <c r="J87" s="20">
        <f>IFERROR(preçodiario[[#This Row],[estoque A]]*preçodiario[[#This Row],[OVO BRANCO A]],0)</f>
        <v>765</v>
      </c>
      <c r="K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Row],[data]])),((K86*L86)+SUMIFS(estoque[valor total],estoque[produto],preçodiario[[#Headers],[OVO BRANCO B]],estoque[data],preçodiario[[#This Row],[data]],estoque[fornecedor],"&lt;&gt;saída"))/(L86+(SUMIFS(estoque[quantidade],estoque[produto],preçodiario[[#Headers],[OVO BRANCO B]],estoque[fornecedor],"&lt;&gt;saída",estoque[data],preçodiario[[#This Row],[data]])))))</f>
        <v>13.825757575757576</v>
      </c>
      <c r="L87" s="22">
        <f>IF(preçodiario[[#This Row],[entrada B]]=0,L86-(SUMIFS(estoque[quantidade],estoque[fornecedor],"saída",estoque[produto],preçodiario[[#Headers],[OVO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Row],[data]]))+L86+preçodiario[[#This Row],[entrada B]])</f>
        <v>10</v>
      </c>
      <c r="M87" s="22">
        <f>SUMIFS(estoque[quantidade],estoque[fornecedor],"&lt;&gt;saída",estoque[produto],preçodiario[[#Headers],[OVO BRANCO B]],estoque[data],preçodiario[[#This Row],[data]])</f>
        <v>0</v>
      </c>
      <c r="N87" s="20">
        <f>SUMIFS(estoque[valor total],estoque[fornecedor],"&lt;&gt;saída",estoque[produto],preçodiario[[#Headers],[OVO BRANCO B]],estoque[data],preçodiario[[#This Row],[data]])</f>
        <v>0</v>
      </c>
      <c r="O87" s="20">
        <f>IFERROR(preçodiario[[#This Row],[OVO BRANCO B]]*preçodiario[[#This Row],[estoque B]],0)</f>
        <v>138.25757575757575</v>
      </c>
      <c r="P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Row],[data]])),((P86*Q86)+SUMIFS(estoque[valor total],estoque[produto],preçodiario[[#Headers],[OVO BRANCO C]],estoque[data],preçodiario[[#This Row],[data]],estoque[fornecedor],"&lt;&gt;saída"))/(Q86+(SUMIFS(estoque[quantidade],estoque[produto],preçodiario[[#Headers],[OVO BRANCO C]],estoque[fornecedor],"&lt;&gt;saída",estoque[data],preçodiario[[#This Row],[data]])))))</f>
        <v>11.583333333333334</v>
      </c>
      <c r="Q87" s="22">
        <f>IF(preçodiario[[#This Row],[entrada C]]=0,Q86-(SUMIFS(estoque[quantidade],estoque[fornecedor],"saída",estoque[produto],preçodiario[[#Headers],[OVO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Row],[data]]))+Q86+preçodiario[[#This Row],[entrada C]])</f>
        <v>32</v>
      </c>
      <c r="R87" s="22">
        <f>SUMIFS(estoque[quantidade],estoque[fornecedor],"&lt;&gt;saída",estoque[produto],preçodiario[[#Headers],[OVO BRANCO C]],estoque[data],preçodiario[[#This Row],[data]])</f>
        <v>0</v>
      </c>
      <c r="S87" s="20">
        <f>SUMIFS(estoque[valor total],estoque[fornecedor],"&lt;&gt;saída",estoque[produto],preçodiario[[#Headers],[OVO BRANCO C]],estoque[data],preçodiario[[#This Row],[data]])</f>
        <v>0</v>
      </c>
      <c r="T87" s="20">
        <f>IFERROR(preçodiario[[#This Row],[OVO BRANCO C]]*preçodiario[[#This Row],[estoque C]],0)</f>
        <v>370.66666666666669</v>
      </c>
      <c r="U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Row],[data]])),((U86*V86)+SUMIFS(estoque[valor total],estoque[produto],preçodiario[[#Headers],[OVO BRANCO EXTRA]],estoque[data],preçodiario[[#This Row],[data]],estoque[fornecedor],"&lt;&gt;saída"))/(V86+(SUMIFS(estoque[quantidade],estoque[produto],preçodiario[[#Headers],[OVO BRANCO EXTRA]],estoque[fornecedor],"&lt;&gt;saída",estoque[data],preçodiario[[#This Row],[data]])))))</f>
        <v>15.833333333333334</v>
      </c>
      <c r="V87" s="22">
        <f>IF(preçodiario[[#This Row],[entrada E]]=0,V86-(SUMIFS(estoque[quantidade],estoque[fornecedor],"saída",estoque[produto],preçodiario[[#Headers],[OVO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Row],[data]]))+V86+preçodiario[[#This Row],[entrada E]])</f>
        <v>15</v>
      </c>
      <c r="W87" s="22">
        <f>SUMIFS(estoque[quantidade],estoque[fornecedor],"&lt;&gt;saída",estoque[produto],preçodiario[[#Headers],[OVO BRANCO EXTRA]],estoque[data],preçodiario[[#This Row],[data]])</f>
        <v>0</v>
      </c>
      <c r="X87" s="20">
        <f>SUMIFS(estoque[valor total],estoque[fornecedor],"&lt;&gt;saída",estoque[produto],preçodiario[[#Headers],[OVO BRANCO EXTRA]],estoque[data],preçodiario[[#This Row],[data]])</f>
        <v>0</v>
      </c>
      <c r="Y87" s="20">
        <f>IFERROR(preçodiario[[#This Row],[estoque E]]*preçodiario[[#This Row],[OVO BRANCO EXTRA]],0)</f>
        <v>237.5</v>
      </c>
      <c r="Z8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Row],[data]])),((Z86*AA86)+SUMIFS(estoque[valor total],estoque[produto],preçodiario[[#Headers],[OVO BRANCO JUMBO]],estoque[data],preçodiario[[#This Row],[data]],estoque[fornecedor],"&lt;&gt;saída"))/(AA86+(SUMIFS(estoque[quantidade],estoque[produto],preçodiario[[#Headers],[OVO BRANCO JUMBO]],estoque[fornecedor],"&lt;&gt;saída",estoque[data],preçodiario[[#This Row],[data]])))))</f>
        <v/>
      </c>
      <c r="AA87" s="22">
        <f>IF(preçodiario[[#This Row],[entrada J]]=0,AA86-(SUMIFS(estoque[quantidade],estoque[fornecedor],"saída",estoque[produto],preçodiario[[#Headers],[OVO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Row],[data]]))+AA86+preçodiario[[#This Row],[entrada J]])</f>
        <v>0</v>
      </c>
      <c r="AB87" s="22">
        <f>SUMIFS(estoque[quantidade],estoque[fornecedor],"&lt;&gt;saída",estoque[produto],preçodiario[[#Headers],[OVO BRANCO JUMBO]],estoque[data],preçodiario[[#This Row],[data]])</f>
        <v>0</v>
      </c>
      <c r="AC87" s="20">
        <f>SUMIFS(estoque[valor total],estoque[fornecedor],"&lt;&gt;saída",estoque[produto],preçodiario[[#Headers],[OVO BRANCO JUMBO]],estoque[data],preçodiario[[#This Row],[data]])</f>
        <v>0</v>
      </c>
      <c r="AD87" s="20">
        <f>IFERROR(preçodiario[[#This Row],[OVO BRANCO JUMBO]]*preçodiario[[#This Row],[estoque J]],0)</f>
        <v>0</v>
      </c>
      <c r="AE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Row],[data]])),((AE86*AF86)+SUMIFS(estoque[valor total],estoque[produto],preçodiario[[#Headers],[OVO VERMELHO A]],estoque[data],preçodiario[[#This Row],[data]],estoque[fornecedor],"&lt;&gt;saída"))/(AF86+(SUMIFS(estoque[quantidade],estoque[produto],preçodiario[[#Headers],[OVO VERMELHO A]],estoque[fornecedor],"&lt;&gt;saída",estoque[data],preçodiario[[#This Row],[data]])))))</f>
        <v/>
      </c>
      <c r="AF87" s="22">
        <f>IF(preçodiario[[#This Row],[entrada AV]]=0,AF86-(SUMIFS(estoque[quantidade],estoque[fornecedor],"saída",estoque[produto],preçodiario[[#Headers],[OVO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Row],[data]]))+AF86+preçodiario[[#This Row],[entrada AV]])</f>
        <v>0</v>
      </c>
      <c r="AG87" s="22">
        <f>SUMIFS(estoque[quantidade],estoque[fornecedor],"&lt;&gt;saída",estoque[produto],preçodiario[[#Headers],[OVO VERMELHO A]],estoque[data],preçodiario[[#This Row],[data]])</f>
        <v>0</v>
      </c>
      <c r="AH87" s="20">
        <f>SUMIFS(estoque[valor total],estoque[fornecedor],"&lt;&gt;saída",estoque[produto],preçodiario[[#Headers],[OVO VERMELHO A]],estoque[data],preçodiario[[#This Row],[data]])</f>
        <v>0</v>
      </c>
      <c r="AI87" s="20">
        <f>IFERROR(preçodiario[[#This Row],[OVO VERMELHO A]]*preçodiario[[#This Row],[estoque AV]],0)</f>
        <v>0</v>
      </c>
      <c r="AJ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Row],[data]])),((AJ86*AK86)+SUMIFS(estoque[valor total],estoque[produto],preçodiario[[#Headers],[OVO VERMELHO B]],estoque[data],preçodiario[[#This Row],[data]],estoque[fornecedor],"&lt;&gt;saída"))/(AK86+(SUMIFS(estoque[quantidade],estoque[produto],preçodiario[[#Headers],[OVO VERMELHO B]],estoque[fornecedor],"&lt;&gt;saída",estoque[data],preçodiario[[#This Row],[data]])))))</f>
        <v/>
      </c>
      <c r="AK87" s="22">
        <f>IF(preçodiario[[#This Row],[entrada BV]]=0,AK86-(SUMIFS(estoque[quantidade],estoque[fornecedor],"saída",estoque[produto],preçodiario[[#Headers],[OVO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Row],[data]]))+AK86+preçodiario[[#This Row],[entrada BV]])</f>
        <v>0</v>
      </c>
      <c r="AL87" s="22">
        <f>SUMIFS(estoque[quantidade],estoque[fornecedor],"&lt;&gt;saída",estoque[produto],preçodiario[[#Headers],[OVO VERMELHO B]],estoque[data],preçodiario[[#This Row],[data]])</f>
        <v>0</v>
      </c>
      <c r="AM87" s="20">
        <f>SUMIFS(estoque[valor total],estoque[fornecedor],"&lt;&gt;saída",estoque[produto],preçodiario[[#Headers],[OVO VERMELHO B]],estoque[data],preçodiario[[#This Row],[data]])</f>
        <v>0</v>
      </c>
      <c r="AN87" s="20">
        <f>IFERROR(preçodiario[[#This Row],[OVO VERMELHO B]]*preçodiario[[#This Row],[estoque BV]],0)</f>
        <v>0</v>
      </c>
      <c r="AO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Row],[data]])),((AO86*AP86)+SUMIFS(estoque[valor total],estoque[produto],preçodiario[[#Headers],[OVO VERMELHO C]],estoque[data],preçodiario[[#This Row],[data]],estoque[fornecedor],"&lt;&gt;saída"))/(AP86+(SUMIFS(estoque[quantidade],estoque[produto],preçodiario[[#Headers],[OVO VERMELHO C]],estoque[fornecedor],"&lt;&gt;saída",estoque[data],preçodiario[[#This Row],[data]])))))</f>
        <v/>
      </c>
      <c r="AP87" s="22">
        <f>IF(preçodiario[[#This Row],[entrada CV]]=0,AP86-(SUMIFS(estoque[quantidade],estoque[fornecedor],"saída",estoque[produto],preçodiario[[#Headers],[OVO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Row],[data]]))+AP86+preçodiario[[#This Row],[entrada CV]])</f>
        <v>0</v>
      </c>
      <c r="AQ87" s="22">
        <f>SUMIFS(estoque[quantidade],estoque[fornecedor],"&lt;&gt;saída",estoque[produto],preçodiario[[#Headers],[OVO VERMELHO C]],estoque[data],preçodiario[[#This Row],[data]])</f>
        <v>0</v>
      </c>
      <c r="AR87" s="20">
        <f>SUMIFS(estoque[valor total],estoque[fornecedor],"&lt;&gt;saída",estoque[produto],preçodiario[[#Headers],[OVO VERMELHO C]],estoque[data],preçodiario[[#This Row],[data]])</f>
        <v>0</v>
      </c>
      <c r="AS87" s="20">
        <f>IFERROR(preçodiario[[#This Row],[OVO VERMELHO C]]*preçodiario[[#This Row],[estoque CV]],0)</f>
        <v>0</v>
      </c>
      <c r="AT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Row],[data]])),((AT86*AU86)+SUMIFS(estoque[valor total],estoque[produto],preçodiario[[#Headers],[OVO VERMELHO EXTRA]],estoque[data],preçodiario[[#This Row],[data]],estoque[fornecedor],"&lt;&gt;saída"))/(AU86+(SUMIFS(estoque[quantidade],estoque[produto],preçodiario[[#Headers],[OVO VERMELHO EXTRA]],estoque[fornecedor],"&lt;&gt;saída",estoque[data],preçodiario[[#This Row],[data]])))))</f>
        <v/>
      </c>
      <c r="AU87" s="22">
        <f>IF(preçodiario[[#This Row],[entrada EV]]=0,AU86-(SUMIFS(estoque[quantidade],estoque[fornecedor],"saída",estoque[produto],preçodiario[[#Headers],[OVO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Row],[data]]))+AU86+preçodiario[[#This Row],[entrada EV]])</f>
        <v>0</v>
      </c>
      <c r="AV87" s="22">
        <f>SUMIFS(estoque[quantidade],estoque[fornecedor],"&lt;&gt;saída",estoque[produto],preçodiario[[#Headers],[OVO VERMELHO EXTRA]],estoque[data],preçodiario[[#This Row],[data]])</f>
        <v>0</v>
      </c>
      <c r="AW87" s="20">
        <f>SUMIFS(estoque[valor total],estoque[fornecedor],"&lt;&gt;saída",estoque[produto],preçodiario[[#Headers],[OVO VERMELHO EXTRA]],estoque[data],preçodiario[[#This Row],[data]])</f>
        <v>0</v>
      </c>
      <c r="AX87" s="20">
        <f>IFERROR(preçodiario[[#This Row],[OVO VERMELHO EXTRA]]*preçodiario[[#This Row],[estoque EV]],0)</f>
        <v>0</v>
      </c>
      <c r="AY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Row],[data]])),((AY86*AZ86)+SUMIFS(estoque[valor total],estoque[produto],preçodiario[[#Headers],[OVO VERMELHO JUMBO]],estoque[data],preçodiario[[#This Row],[data]],estoque[fornecedor],"&lt;&gt;saída"))/(AZ86+(SUMIFS(estoque[quantidade],estoque[produto],preçodiario[[#Headers],[OVO VERMELHO JUMBO]],estoque[fornecedor],"&lt;&gt;saída",estoque[data],preçodiario[[#This Row],[data]])))))</f>
        <v/>
      </c>
      <c r="AZ87" s="22">
        <f>IF(preçodiario[[#This Row],[entrada JV]]=0,AZ86-(SUMIFS(estoque[quantidade],estoque[fornecedor],"saída",estoque[produto],preçodiario[[#Headers],[OVO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Row],[data]]))+AZ86+preçodiario[[#This Row],[entrada JV]])</f>
        <v>0</v>
      </c>
      <c r="BA87" s="22">
        <f>SUMIFS(estoque[quantidade],estoque[fornecedor],"&lt;&gt;saída",estoque[produto],preçodiario[[#Headers],[OVO VERMELHO JUMBO]],estoque[data],preçodiario[[#This Row],[data]])</f>
        <v>0</v>
      </c>
      <c r="BB87" s="20">
        <f>SUMIFS(estoque[valor total],estoque[fornecedor],"&lt;&gt;saída",estoque[produto],preçodiario[[#Headers],[OVO VERMELHO JUMBO]],estoque[data],preçodiario[[#This Row],[data]])</f>
        <v>0</v>
      </c>
      <c r="BC87" s="20">
        <f>IFERROR(preçodiario[[#This Row],[OVO VERMELHO JUMBO]]*preçodiario[[#This Row],[estoque JV]],0)</f>
        <v>0</v>
      </c>
      <c r="BD87" t="str">
        <f>TEXT(vendaAno[[#This Row],[data]],"mmm")</f>
        <v>mar</v>
      </c>
      <c r="BE87" t="str">
        <f>TEXT(vendaAno[[#This Row],[data]],"ddd")</f>
        <v>sex</v>
      </c>
      <c r="BF87" s="82">
        <f>WEEKNUM(vendaAno[[#This Row],[data]],13)</f>
        <v>13</v>
      </c>
      <c r="BG87" s="27">
        <f>preçodiario[[#This Row],[data]]</f>
        <v>46108</v>
      </c>
      <c r="BH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7" s="8">
        <f>IF(SUMIFS(estoque[valor total],estoque[fornecedor],"saída",estoque[data],vendaAno[[#This Row],[data]])=0,"",SUMIFS(estoque[valor total],estoque[fornecedor],"saída",estoque[data],vendaAno[[#This Row],[data]]))</f>
        <v>844.5</v>
      </c>
      <c r="BJ8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Row],[data]]))/12+BJ86,"")</f>
        <v>8.9999999999999716</v>
      </c>
      <c r="BK87" s="79">
        <f ca="1">IF(TODAY()&gt;=vendaAno[[#This Row],[data]],IF(SUMIFS(estoque[quantidade],estoque[fornecedor],"saída",estoque[data],vendaAno[[#This Row],[data]])/12=0,AVERAGE(BK84:BK86),SUMIFS(estoque[quantidade],estoque[fornecedor],"saída",estoque[data],vendaAno[[#This Row],[data]])/12),"")</f>
        <v>3.75</v>
      </c>
      <c r="BL87" s="8">
        <f ca="1">IF(vendaAno[[#This Row],[data]]&lt;=TODAY(),IF(SUMIFS(estoque[lucro],estoque[fornecedor],"saída",estoque[data],vendaAno[[#This Row],[data]])=0,AVERAGE(BL84:BL86),SUMIFS(estoque[lucro],estoque[fornecedor],"saída",estoque[data],vendaAno[[#This Row],[data]])),"")</f>
        <v>195.54</v>
      </c>
      <c r="BM87" s="10">
        <f ca="1">IFERROR(vendaAno[[#This Row],[lucro]]/vendaAno[[#This Row],[valor de venda]],"")</f>
        <v>0.23154529307282415</v>
      </c>
      <c r="BN8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1511.4242424242425</v>
      </c>
      <c r="BO87" s="8">
        <f ca="1">IF(TODAY()&gt;=vendaAno[[#This Row],[data]],IF(vendaAno[[#This Row],[N°]]=BF86,vendaAno[[#This Row],[lucro]]-173.33+BO86,vendaAno[[#This Row],[lucro]]-150),"")</f>
        <v>-33.310000000000031</v>
      </c>
      <c r="BP87" s="81">
        <f ca="1">IF(TODAY()&gt;=vendaAno[[#This Row],[data]],SUM(BK81:BK87)*12,"")</f>
        <v>269</v>
      </c>
      <c r="BQ87" s="7">
        <f ca="1">IFERROR(vendaAno[[#This Row],[lucro]]/(vendaAno[[#This Row],[venda]]*12),"")</f>
        <v>4.3453333333333335</v>
      </c>
      <c r="CD87" s="7"/>
    </row>
    <row r="88" spans="1:82" x14ac:dyDescent="0.25">
      <c r="A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8" s="18" t="str">
        <f>TEXT(preçodiario[[#This Row],[data]],"MMM")</f>
        <v>mar</v>
      </c>
      <c r="C88" s="18" t="str">
        <f>TEXT(preçodiario[[#This Row],[data]],"ddd")</f>
        <v>sáb</v>
      </c>
      <c r="D88" s="96">
        <f>WEEKNUM(preçodiario[[#This Row],[data]],13)</f>
        <v>13</v>
      </c>
      <c r="E88" s="37">
        <v>46109</v>
      </c>
      <c r="F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Row],[data]])),((F87*G87)+SUMIFS(estoque[valor total],estoque[produto],preçodiario[[#Headers],[OVO BRANCO A]],estoque[data],preçodiario[[#This Row],[data]],estoque[fornecedor],"&lt;&gt;saída"))/(G87+(SUMIFS(estoque[quantidade],estoque[produto],preçodiario[[#Headers],[OVO BRANCO A]],estoque[fornecedor],"&lt;&gt;saída",estoque[data],preçodiario[[#This Row],[data]])))))</f>
        <v>15</v>
      </c>
      <c r="G88" s="22">
        <f>IF(preçodiario[[#This Row],[entrada A]]=0,G87-(SUMIFS(estoque[quantidade],estoque[fornecedor],"saída",estoque[produto],preçodiario[[#Headers],[OVO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Row],[data]]))+G87+preçodiario[[#This Row],[entrada A]])</f>
        <v>108</v>
      </c>
      <c r="H88" s="22">
        <f>SUMIFS(estoque[quantidade],estoque[fornecedor],"&lt;&gt;saída",estoque[produto],preçodiario[[#Headers],[OVO BRANCO A]],estoque[data],preçodiario[[#This Row],[data]])</f>
        <v>60</v>
      </c>
      <c r="I88" s="20">
        <f>SUMIFS(estoque[valor total],estoque[fornecedor],"&lt;&gt;saída",estoque[produto],preçodiario[[#Headers],[OVO BRANCO A]],estoque[data],preçodiario[[#This Row],[data]])</f>
        <v>900</v>
      </c>
      <c r="J88" s="20">
        <f>IFERROR(preçodiario[[#This Row],[estoque A]]*preçodiario[[#This Row],[OVO BRANCO A]],0)</f>
        <v>1620</v>
      </c>
      <c r="K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Row],[data]])),((K87*L87)+SUMIFS(estoque[valor total],estoque[produto],preçodiario[[#Headers],[OVO BRANCO B]],estoque[data],preçodiario[[#This Row],[data]],estoque[fornecedor],"&lt;&gt;saída"))/(L87+(SUMIFS(estoque[quantidade],estoque[produto],preçodiario[[#Headers],[OVO BRANCO B]],estoque[fornecedor],"&lt;&gt;saída",estoque[data],preçodiario[[#This Row],[data]])))))</f>
        <v>14.140442890442891</v>
      </c>
      <c r="L88" s="22">
        <f>IF(preçodiario[[#This Row],[entrada B]]=0,L87-(SUMIFS(estoque[quantidade],estoque[fornecedor],"saída",estoque[produto],preçodiario[[#Headers],[OVO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Row],[data]]))+L87+preçodiario[[#This Row],[entrada B]])</f>
        <v>111</v>
      </c>
      <c r="M88" s="22">
        <f>SUMIFS(estoque[quantidade],estoque[fornecedor],"&lt;&gt;saída",estoque[produto],preçodiario[[#Headers],[OVO BRANCO B]],estoque[data],preçodiario[[#This Row],[data]])</f>
        <v>120</v>
      </c>
      <c r="N88" s="20">
        <f>SUMIFS(estoque[valor total],estoque[fornecedor],"&lt;&gt;saída",estoque[produto],preçodiario[[#Headers],[OVO BRANCO B]],estoque[data],preçodiario[[#This Row],[data]])</f>
        <v>1700</v>
      </c>
      <c r="O88" s="20">
        <f>IFERROR(preçodiario[[#This Row],[OVO BRANCO B]]*preçodiario[[#This Row],[estoque B]],0)</f>
        <v>1569.589160839161</v>
      </c>
      <c r="P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Row],[data]])),((P87*Q87)+SUMIFS(estoque[valor total],estoque[produto],preçodiario[[#Headers],[OVO BRANCO C]],estoque[data],preçodiario[[#This Row],[data]],estoque[fornecedor],"&lt;&gt;saída"))/(Q87+(SUMIFS(estoque[quantidade],estoque[produto],preçodiario[[#Headers],[OVO BRANCO C]],estoque[fornecedor],"&lt;&gt;saída",estoque[data],preçodiario[[#This Row],[data]])))))</f>
        <v>11.583333333333334</v>
      </c>
      <c r="Q88" s="22">
        <f>IF(preçodiario[[#This Row],[entrada C]]=0,Q87-(SUMIFS(estoque[quantidade],estoque[fornecedor],"saída",estoque[produto],preçodiario[[#Headers],[OVO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Row],[data]]))+Q87+preçodiario[[#This Row],[entrada C]])</f>
        <v>28</v>
      </c>
      <c r="R88" s="22">
        <f>SUMIFS(estoque[quantidade],estoque[fornecedor],"&lt;&gt;saída",estoque[produto],preçodiario[[#Headers],[OVO BRANCO C]],estoque[data],preçodiario[[#This Row],[data]])</f>
        <v>0</v>
      </c>
      <c r="S88" s="20">
        <f>SUMIFS(estoque[valor total],estoque[fornecedor],"&lt;&gt;saída",estoque[produto],preçodiario[[#Headers],[OVO BRANCO C]],estoque[data],preçodiario[[#This Row],[data]])</f>
        <v>0</v>
      </c>
      <c r="T88" s="20">
        <f>IFERROR(preçodiario[[#This Row],[OVO BRANCO C]]*preçodiario[[#This Row],[estoque C]],0)</f>
        <v>324.33333333333337</v>
      </c>
      <c r="U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Row],[data]])),((U87*V87)+SUMIFS(estoque[valor total],estoque[produto],preçodiario[[#Headers],[OVO BRANCO EXTRA]],estoque[data],preçodiario[[#This Row],[data]],estoque[fornecedor],"&lt;&gt;saída"))/(V87+(SUMIFS(estoque[quantidade],estoque[produto],preçodiario[[#Headers],[OVO BRANCO EXTRA]],estoque[fornecedor],"&lt;&gt;saída",estoque[data],preçodiario[[#This Row],[data]])))))</f>
        <v>15.833333333333334</v>
      </c>
      <c r="V88" s="22">
        <f>IF(preçodiario[[#This Row],[entrada E]]=0,V87-(SUMIFS(estoque[quantidade],estoque[fornecedor],"saída",estoque[produto],preçodiario[[#Headers],[OVO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Row],[data]]))+V87+preçodiario[[#This Row],[entrada E]])</f>
        <v>146</v>
      </c>
      <c r="W88" s="22">
        <f>SUMIFS(estoque[quantidade],estoque[fornecedor],"&lt;&gt;saída",estoque[produto],preçodiario[[#Headers],[OVO BRANCO EXTRA]],estoque[data],preçodiario[[#This Row],[data]])</f>
        <v>132</v>
      </c>
      <c r="X88" s="20">
        <f>SUMIFS(estoque[valor total],estoque[fornecedor],"&lt;&gt;saída",estoque[produto],preçodiario[[#Headers],[OVO BRANCO EXTRA]],estoque[data],preçodiario[[#This Row],[data]])</f>
        <v>2090</v>
      </c>
      <c r="Y88" s="20">
        <f>IFERROR(preçodiario[[#This Row],[estoque E]]*preçodiario[[#This Row],[OVO BRANCO EXTRA]],0)</f>
        <v>2311.666666666667</v>
      </c>
      <c r="Z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Row],[data]])),((Z87*AA87)+SUMIFS(estoque[valor total],estoque[produto],preçodiario[[#Headers],[OVO BRANCO JUMBO]],estoque[data],preçodiario[[#This Row],[data]],estoque[fornecedor],"&lt;&gt;saída"))/(AA87+(SUMIFS(estoque[quantidade],estoque[produto],preçodiario[[#Headers],[OVO BRANCO JUMBO]],estoque[fornecedor],"&lt;&gt;saída",estoque[data],preçodiario[[#This Row],[data]])))))</f>
        <v>16.666666666666668</v>
      </c>
      <c r="AA88" s="22">
        <f>IF(preçodiario[[#This Row],[entrada J]]=0,AA87-(SUMIFS(estoque[quantidade],estoque[fornecedor],"saída",estoque[produto],preçodiario[[#Headers],[OVO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Row],[data]]))+AA87+preçodiario[[#This Row],[entrada J]])</f>
        <v>120</v>
      </c>
      <c r="AB88" s="22">
        <f>SUMIFS(estoque[quantidade],estoque[fornecedor],"&lt;&gt;saída",estoque[produto],preçodiario[[#Headers],[OVO BRANCO JUMBO]],estoque[data],preçodiario[[#This Row],[data]])</f>
        <v>120</v>
      </c>
      <c r="AC88" s="20">
        <f>SUMIFS(estoque[valor total],estoque[fornecedor],"&lt;&gt;saída",estoque[produto],preçodiario[[#Headers],[OVO BRANCO JUMBO]],estoque[data],preçodiario[[#This Row],[data]])</f>
        <v>2000</v>
      </c>
      <c r="AD88" s="20">
        <f>IFERROR(preçodiario[[#This Row],[OVO BRANCO JUMBO]]*preçodiario[[#This Row],[estoque J]],0)</f>
        <v>2000.0000000000002</v>
      </c>
      <c r="AE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Row],[data]])),((AE87*AF87)+SUMIFS(estoque[valor total],estoque[produto],preçodiario[[#Headers],[OVO VERMELHO A]],estoque[data],preçodiario[[#This Row],[data]],estoque[fornecedor],"&lt;&gt;saída"))/(AF87+(SUMIFS(estoque[quantidade],estoque[produto],preçodiario[[#Headers],[OVO VERMELHO A]],estoque[fornecedor],"&lt;&gt;saída",estoque[data],preçodiario[[#This Row],[data]])))))</f>
        <v/>
      </c>
      <c r="AF88" s="22">
        <f>IF(preçodiario[[#This Row],[entrada AV]]=0,AF87-(SUMIFS(estoque[quantidade],estoque[fornecedor],"saída",estoque[produto],preçodiario[[#Headers],[OVO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Row],[data]]))+AF87+preçodiario[[#This Row],[entrada AV]])</f>
        <v>0</v>
      </c>
      <c r="AG88" s="22">
        <f>SUMIFS(estoque[quantidade],estoque[fornecedor],"&lt;&gt;saída",estoque[produto],preçodiario[[#Headers],[OVO VERMELHO A]],estoque[data],preçodiario[[#This Row],[data]])</f>
        <v>0</v>
      </c>
      <c r="AH88" s="20">
        <f>SUMIFS(estoque[valor total],estoque[fornecedor],"&lt;&gt;saída",estoque[produto],preçodiario[[#Headers],[OVO VERMELHO A]],estoque[data],preçodiario[[#This Row],[data]])</f>
        <v>0</v>
      </c>
      <c r="AI88" s="20">
        <f>IFERROR(preçodiario[[#This Row],[OVO VERMELHO A]]*preçodiario[[#This Row],[estoque AV]],0)</f>
        <v>0</v>
      </c>
      <c r="AJ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Row],[data]])),((AJ87*AK87)+SUMIFS(estoque[valor total],estoque[produto],preçodiario[[#Headers],[OVO VERMELHO B]],estoque[data],preçodiario[[#This Row],[data]],estoque[fornecedor],"&lt;&gt;saída"))/(AK87+(SUMIFS(estoque[quantidade],estoque[produto],preçodiario[[#Headers],[OVO VERMELHO B]],estoque[fornecedor],"&lt;&gt;saída",estoque[data],preçodiario[[#This Row],[data]])))))</f>
        <v/>
      </c>
      <c r="AK88" s="22">
        <f>IF(preçodiario[[#This Row],[entrada BV]]=0,AK87-(SUMIFS(estoque[quantidade],estoque[fornecedor],"saída",estoque[produto],preçodiario[[#Headers],[OVO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Row],[data]]))+AK87+preçodiario[[#This Row],[entrada BV]])</f>
        <v>0</v>
      </c>
      <c r="AL88" s="22">
        <f>SUMIFS(estoque[quantidade],estoque[fornecedor],"&lt;&gt;saída",estoque[produto],preçodiario[[#Headers],[OVO VERMELHO B]],estoque[data],preçodiario[[#This Row],[data]])</f>
        <v>0</v>
      </c>
      <c r="AM88" s="20">
        <f>SUMIFS(estoque[valor total],estoque[fornecedor],"&lt;&gt;saída",estoque[produto],preçodiario[[#Headers],[OVO VERMELHO B]],estoque[data],preçodiario[[#This Row],[data]])</f>
        <v>0</v>
      </c>
      <c r="AN88" s="20">
        <f>IFERROR(preçodiario[[#This Row],[OVO VERMELHO B]]*preçodiario[[#This Row],[estoque BV]],0)</f>
        <v>0</v>
      </c>
      <c r="AO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Row],[data]])),((AO87*AP87)+SUMIFS(estoque[valor total],estoque[produto],preçodiario[[#Headers],[OVO VERMELHO C]],estoque[data],preçodiario[[#This Row],[data]],estoque[fornecedor],"&lt;&gt;saída"))/(AP87+(SUMIFS(estoque[quantidade],estoque[produto],preçodiario[[#Headers],[OVO VERMELHO C]],estoque[fornecedor],"&lt;&gt;saída",estoque[data],preçodiario[[#This Row],[data]])))))</f>
        <v/>
      </c>
      <c r="AP88" s="22">
        <f>IF(preçodiario[[#This Row],[entrada CV]]=0,AP87-(SUMIFS(estoque[quantidade],estoque[fornecedor],"saída",estoque[produto],preçodiario[[#Headers],[OVO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Row],[data]]))+AP87+preçodiario[[#This Row],[entrada CV]])</f>
        <v>0</v>
      </c>
      <c r="AQ88" s="22">
        <f>SUMIFS(estoque[quantidade],estoque[fornecedor],"&lt;&gt;saída",estoque[produto],preçodiario[[#Headers],[OVO VERMELHO C]],estoque[data],preçodiario[[#This Row],[data]])</f>
        <v>0</v>
      </c>
      <c r="AR88" s="20">
        <f>SUMIFS(estoque[valor total],estoque[fornecedor],"&lt;&gt;saída",estoque[produto],preçodiario[[#Headers],[OVO VERMELHO C]],estoque[data],preçodiario[[#This Row],[data]])</f>
        <v>0</v>
      </c>
      <c r="AS88" s="20">
        <f>IFERROR(preçodiario[[#This Row],[OVO VERMELHO C]]*preçodiario[[#This Row],[estoque CV]],0)</f>
        <v>0</v>
      </c>
      <c r="AT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Row],[data]])),((AT87*AU87)+SUMIFS(estoque[valor total],estoque[produto],preçodiario[[#Headers],[OVO VERMELHO EXTRA]],estoque[data],preçodiario[[#This Row],[data]],estoque[fornecedor],"&lt;&gt;saída"))/(AU87+(SUMIFS(estoque[quantidade],estoque[produto],preçodiario[[#Headers],[OVO VERMELHO EXTRA]],estoque[fornecedor],"&lt;&gt;saída",estoque[data],preçodiario[[#This Row],[data]])))))</f>
        <v/>
      </c>
      <c r="AU88" s="22">
        <f>IF(preçodiario[[#This Row],[entrada EV]]=0,AU87-(SUMIFS(estoque[quantidade],estoque[fornecedor],"saída",estoque[produto],preçodiario[[#Headers],[OVO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Row],[data]]))+AU87+preçodiario[[#This Row],[entrada EV]])</f>
        <v>0</v>
      </c>
      <c r="AV88" s="22">
        <f>SUMIFS(estoque[quantidade],estoque[fornecedor],"&lt;&gt;saída",estoque[produto],preçodiario[[#Headers],[OVO VERMELHO EXTRA]],estoque[data],preçodiario[[#This Row],[data]])</f>
        <v>0</v>
      </c>
      <c r="AW88" s="20">
        <f>SUMIFS(estoque[valor total],estoque[fornecedor],"&lt;&gt;saída",estoque[produto],preçodiario[[#Headers],[OVO VERMELHO EXTRA]],estoque[data],preçodiario[[#This Row],[data]])</f>
        <v>0</v>
      </c>
      <c r="AX88" s="20">
        <f>IFERROR(preçodiario[[#This Row],[OVO VERMELHO EXTRA]]*preçodiario[[#This Row],[estoque EV]],0)</f>
        <v>0</v>
      </c>
      <c r="AY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Row],[data]])),((AY87*AZ87)+SUMIFS(estoque[valor total],estoque[produto],preçodiario[[#Headers],[OVO VERMELHO JUMBO]],estoque[data],preçodiario[[#This Row],[data]],estoque[fornecedor],"&lt;&gt;saída"))/(AZ87+(SUMIFS(estoque[quantidade],estoque[produto],preçodiario[[#Headers],[OVO VERMELHO JUMBO]],estoque[fornecedor],"&lt;&gt;saída",estoque[data],preçodiario[[#This Row],[data]])))))</f>
        <v/>
      </c>
      <c r="AZ88" s="22">
        <f>IF(preçodiario[[#This Row],[entrada JV]]=0,AZ87-(SUMIFS(estoque[quantidade],estoque[fornecedor],"saída",estoque[produto],preçodiario[[#Headers],[OVO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Row],[data]]))+AZ87+preçodiario[[#This Row],[entrada JV]])</f>
        <v>0</v>
      </c>
      <c r="BA88" s="22">
        <f>SUMIFS(estoque[quantidade],estoque[fornecedor],"&lt;&gt;saída",estoque[produto],preçodiario[[#Headers],[OVO VERMELHO JUMBO]],estoque[data],preçodiario[[#This Row],[data]])</f>
        <v>0</v>
      </c>
      <c r="BB88" s="20">
        <f>SUMIFS(estoque[valor total],estoque[fornecedor],"&lt;&gt;saída",estoque[produto],preçodiario[[#Headers],[OVO VERMELHO JUMBO]],estoque[data],preçodiario[[#This Row],[data]])</f>
        <v>0</v>
      </c>
      <c r="BC88" s="20">
        <f>IFERROR(preçodiario[[#This Row],[OVO VERMELHO JUMBO]]*preçodiario[[#This Row],[estoque JV]],0)</f>
        <v>0</v>
      </c>
      <c r="BD88" t="str">
        <f>TEXT(vendaAno[[#This Row],[data]],"mmm")</f>
        <v>mar</v>
      </c>
      <c r="BE88" t="str">
        <f>TEXT(vendaAno[[#This Row],[data]],"ddd")</f>
        <v>sáb</v>
      </c>
      <c r="BF88" s="82">
        <f>WEEKNUM(vendaAno[[#This Row],[data]],13)</f>
        <v>13</v>
      </c>
      <c r="BG88" s="27">
        <f>preçodiario[[#This Row],[data]]</f>
        <v>46109</v>
      </c>
      <c r="BH88" s="8">
        <f>IF(SUMIFS(estoque[valor total],estoque[fornecedor],"&lt;&gt;saída",estoque[data],vendaAno[[#This Row],[data]])=0,"",SUMIFS(estoque[valor total],estoque[fornecedor],"&lt;&gt;saída",estoque[data],vendaAno[[#This Row],[data]]))</f>
        <v>6690</v>
      </c>
      <c r="BI88" s="8">
        <f>IF(SUMIFS(estoque[valor total],estoque[fornecedor],"saída",estoque[data],vendaAno[[#This Row],[data]])=0,"",SUMIFS(estoque[valor total],estoque[fornecedor],"saída",estoque[data],vendaAno[[#This Row],[data]]))</f>
        <v>460</v>
      </c>
      <c r="BJ8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Row],[data]]))/12+BJ87,"")</f>
        <v>42.749999999999972</v>
      </c>
      <c r="BK88" s="79">
        <f ca="1">IF(TODAY()&gt;=vendaAno[[#This Row],[data]],IF(SUMIFS(estoque[quantidade],estoque[fornecedor],"saída",estoque[data],vendaAno[[#This Row],[data]])/12=0,AVERAGE(BK85:BK87),SUMIFS(estoque[quantidade],estoque[fornecedor],"saída",estoque[data],vendaAno[[#This Row],[data]])/12),"")</f>
        <v>2.25</v>
      </c>
      <c r="BL88" s="8">
        <f ca="1">IF(vendaAno[[#This Row],[data]]&lt;=TODAY(),IF(SUMIFS(estoque[lucro],estoque[fornecedor],"saída",estoque[data],vendaAno[[#This Row],[data]])=0,AVERAGE(BL85:BL87),SUMIFS(estoque[lucro],estoque[fornecedor],"saída",estoque[data],vendaAno[[#This Row],[data]])),"")</f>
        <v>84.17</v>
      </c>
      <c r="BM88" s="10">
        <f ca="1">IFERROR(vendaAno[[#This Row],[lucro]]/vendaAno[[#This Row],[valor de venda]],"")</f>
        <v>0.18297826086956523</v>
      </c>
      <c r="BN8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7825.5891608391612</v>
      </c>
      <c r="BO88" s="8">
        <f ca="1">IF(TODAY()&gt;=vendaAno[[#This Row],[data]],IF(vendaAno[[#This Row],[N°]]=BF87,vendaAno[[#This Row],[lucro]]-173.33+BO87,vendaAno[[#This Row],[lucro]]-150),"")</f>
        <v>-122.47000000000004</v>
      </c>
      <c r="BP88" s="81">
        <f ca="1">IF(TODAY()&gt;=vendaAno[[#This Row],[data]],SUM(BK82:BK88)*12,"")</f>
        <v>287</v>
      </c>
      <c r="BQ88" s="7">
        <f ca="1">IFERROR(vendaAno[[#This Row],[lucro]]/(vendaAno[[#This Row],[venda]]*12),"")</f>
        <v>3.1174074074074074</v>
      </c>
      <c r="CD88" s="7"/>
    </row>
    <row r="89" spans="1:82" x14ac:dyDescent="0.25">
      <c r="A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89" s="18" t="str">
        <f>TEXT(preçodiario[[#This Row],[data]],"MMM")</f>
        <v>mar</v>
      </c>
      <c r="C89" s="18" t="str">
        <f>TEXT(preçodiario[[#This Row],[data]],"ddd")</f>
        <v>dom</v>
      </c>
      <c r="D89" s="96">
        <f>WEEKNUM(preçodiario[[#This Row],[data]],13)</f>
        <v>13</v>
      </c>
      <c r="E89" s="37">
        <v>46110</v>
      </c>
      <c r="F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Row],[data]])),((F88*G88)+SUMIFS(estoque[valor total],estoque[produto],preçodiario[[#Headers],[OVO BRANCO A]],estoque[data],preçodiario[[#This Row],[data]],estoque[fornecedor],"&lt;&gt;saída"))/(G88+(SUMIFS(estoque[quantidade],estoque[produto],preçodiario[[#Headers],[OVO BRANCO A]],estoque[fornecedor],"&lt;&gt;saída",estoque[data],preçodiario[[#This Row],[data]])))))</f>
        <v>15</v>
      </c>
      <c r="G89" s="22">
        <f>IF(preçodiario[[#This Row],[entrada A]]=0,G88-(SUMIFS(estoque[quantidade],estoque[fornecedor],"saída",estoque[produto],preçodiario[[#Headers],[OVO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Row],[data]]))+G88+preçodiario[[#This Row],[entrada A]])</f>
        <v>106</v>
      </c>
      <c r="H89" s="22">
        <f>SUMIFS(estoque[quantidade],estoque[fornecedor],"&lt;&gt;saída",estoque[produto],preçodiario[[#Headers],[OVO BRANCO A]],estoque[data],preçodiario[[#This Row],[data]])</f>
        <v>0</v>
      </c>
      <c r="I89" s="20">
        <f>SUMIFS(estoque[valor total],estoque[fornecedor],"&lt;&gt;saída",estoque[produto],preçodiario[[#Headers],[OVO BRANCO A]],estoque[data],preçodiario[[#This Row],[data]])</f>
        <v>0</v>
      </c>
      <c r="J89" s="20">
        <f>IFERROR(preçodiario[[#This Row],[estoque A]]*preçodiario[[#This Row],[OVO BRANCO A]],0)</f>
        <v>1590</v>
      </c>
      <c r="K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Row],[data]])),((K88*L88)+SUMIFS(estoque[valor total],estoque[produto],preçodiario[[#Headers],[OVO BRANCO B]],estoque[data],preçodiario[[#This Row],[data]],estoque[fornecedor],"&lt;&gt;saída"))/(L88+(SUMIFS(estoque[quantidade],estoque[produto],preçodiario[[#Headers],[OVO BRANCO B]],estoque[fornecedor],"&lt;&gt;saída",estoque[data],preçodiario[[#This Row],[data]])))))</f>
        <v>14.140442890442891</v>
      </c>
      <c r="L89" s="22">
        <f>IF(preçodiario[[#This Row],[entrada B]]=0,L88-(SUMIFS(estoque[quantidade],estoque[fornecedor],"saída",estoque[produto],preçodiario[[#Headers],[OVO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Row],[data]]))+L88+preçodiario[[#This Row],[entrada B]])</f>
        <v>89</v>
      </c>
      <c r="M89" s="22">
        <f>SUMIFS(estoque[quantidade],estoque[fornecedor],"&lt;&gt;saída",estoque[produto],preçodiario[[#Headers],[OVO BRANCO B]],estoque[data],preçodiario[[#This Row],[data]])</f>
        <v>0</v>
      </c>
      <c r="N89" s="20">
        <f>SUMIFS(estoque[valor total],estoque[fornecedor],"&lt;&gt;saída",estoque[produto],preçodiario[[#Headers],[OVO BRANCO B]],estoque[data],preçodiario[[#This Row],[data]])</f>
        <v>0</v>
      </c>
      <c r="O89" s="20">
        <f>IFERROR(preçodiario[[#This Row],[OVO BRANCO B]]*preçodiario[[#This Row],[estoque B]],0)</f>
        <v>1258.4994172494173</v>
      </c>
      <c r="P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Row],[data]])),((P88*Q88)+SUMIFS(estoque[valor total],estoque[produto],preçodiario[[#Headers],[OVO BRANCO C]],estoque[data],preçodiario[[#This Row],[data]],estoque[fornecedor],"&lt;&gt;saída"))/(Q88+(SUMIFS(estoque[quantidade],estoque[produto],preçodiario[[#Headers],[OVO BRANCO C]],estoque[fornecedor],"&lt;&gt;saída",estoque[data],preçodiario[[#This Row],[data]])))))</f>
        <v>11.583333333333334</v>
      </c>
      <c r="Q89" s="22">
        <f>IF(preçodiario[[#This Row],[entrada C]]=0,Q88-(SUMIFS(estoque[quantidade],estoque[fornecedor],"saída",estoque[produto],preçodiario[[#Headers],[OVO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Row],[data]]))+Q88+preçodiario[[#This Row],[entrada C]])</f>
        <v>22</v>
      </c>
      <c r="R89" s="22">
        <f>SUMIFS(estoque[quantidade],estoque[fornecedor],"&lt;&gt;saída",estoque[produto],preçodiario[[#Headers],[OVO BRANCO C]],estoque[data],preçodiario[[#This Row],[data]])</f>
        <v>0</v>
      </c>
      <c r="S89" s="20">
        <f>SUMIFS(estoque[valor total],estoque[fornecedor],"&lt;&gt;saída",estoque[produto],preçodiario[[#Headers],[OVO BRANCO C]],estoque[data],preçodiario[[#This Row],[data]])</f>
        <v>0</v>
      </c>
      <c r="T89" s="20">
        <f>IFERROR(preçodiario[[#This Row],[OVO BRANCO C]]*preçodiario[[#This Row],[estoque C]],0)</f>
        <v>254.83333333333334</v>
      </c>
      <c r="U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Row],[data]])),((U88*V88)+SUMIFS(estoque[valor total],estoque[produto],preçodiario[[#Headers],[OVO BRANCO EXTRA]],estoque[data],preçodiario[[#This Row],[data]],estoque[fornecedor],"&lt;&gt;saída"))/(V88+(SUMIFS(estoque[quantidade],estoque[produto],preçodiario[[#Headers],[OVO BRANCO EXTRA]],estoque[fornecedor],"&lt;&gt;saída",estoque[data],preçodiario[[#This Row],[data]])))))</f>
        <v>15.833333333333336</v>
      </c>
      <c r="V89" s="22">
        <f>IF(preçodiario[[#This Row],[entrada E]]=0,V88-(SUMIFS(estoque[quantidade],estoque[fornecedor],"saída",estoque[produto],preçodiario[[#Headers],[OVO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Row],[data]]))+V88+preçodiario[[#This Row],[entrada E]])</f>
        <v>135</v>
      </c>
      <c r="W89" s="22">
        <f>SUMIFS(estoque[quantidade],estoque[fornecedor],"&lt;&gt;saída",estoque[produto],preçodiario[[#Headers],[OVO BRANCO EXTRA]],estoque[data],preçodiario[[#This Row],[data]])</f>
        <v>0</v>
      </c>
      <c r="X89" s="20">
        <f>SUMIFS(estoque[valor total],estoque[fornecedor],"&lt;&gt;saída",estoque[produto],preçodiario[[#Headers],[OVO BRANCO EXTRA]],estoque[data],preçodiario[[#This Row],[data]])</f>
        <v>0</v>
      </c>
      <c r="Y89" s="20">
        <f>IFERROR(preçodiario[[#This Row],[estoque E]]*preçodiario[[#This Row],[OVO BRANCO EXTRA]],0)</f>
        <v>2137.5000000000005</v>
      </c>
      <c r="Z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Row],[data]])),((Z88*AA88)+SUMIFS(estoque[valor total],estoque[produto],preçodiario[[#Headers],[OVO BRANCO JUMBO]],estoque[data],preçodiario[[#This Row],[data]],estoque[fornecedor],"&lt;&gt;saída"))/(AA88+(SUMIFS(estoque[quantidade],estoque[produto],preçodiario[[#Headers],[OVO BRANCO JUMBO]],estoque[fornecedor],"&lt;&gt;saída",estoque[data],preçodiario[[#This Row],[data]])))))</f>
        <v>16.666666666666668</v>
      </c>
      <c r="AA89" s="22">
        <f>IF(preçodiario[[#This Row],[entrada J]]=0,AA88-(SUMIFS(estoque[quantidade],estoque[fornecedor],"saída",estoque[produto],preçodiario[[#Headers],[OVO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Row],[data]]))+AA88+preçodiario[[#This Row],[entrada J]])</f>
        <v>116</v>
      </c>
      <c r="AB89" s="22">
        <f>SUMIFS(estoque[quantidade],estoque[fornecedor],"&lt;&gt;saída",estoque[produto],preçodiario[[#Headers],[OVO BRANCO JUMBO]],estoque[data],preçodiario[[#This Row],[data]])</f>
        <v>0</v>
      </c>
      <c r="AC89" s="20">
        <f>SUMIFS(estoque[valor total],estoque[fornecedor],"&lt;&gt;saída",estoque[produto],preçodiario[[#Headers],[OVO BRANCO JUMBO]],estoque[data],preçodiario[[#This Row],[data]])</f>
        <v>0</v>
      </c>
      <c r="AD89" s="20">
        <f>IFERROR(preçodiario[[#This Row],[OVO BRANCO JUMBO]]*preçodiario[[#This Row],[estoque J]],0)</f>
        <v>1933.3333333333335</v>
      </c>
      <c r="AE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Row],[data]])),((AE88*AF88)+SUMIFS(estoque[valor total],estoque[produto],preçodiario[[#Headers],[OVO VERMELHO A]],estoque[data],preçodiario[[#This Row],[data]],estoque[fornecedor],"&lt;&gt;saída"))/(AF88+(SUMIFS(estoque[quantidade],estoque[produto],preçodiario[[#Headers],[OVO VERMELHO A]],estoque[fornecedor],"&lt;&gt;saída",estoque[data],preçodiario[[#This Row],[data]])))))</f>
        <v/>
      </c>
      <c r="AF89" s="22">
        <f>IF(preçodiario[[#This Row],[entrada AV]]=0,AF88-(SUMIFS(estoque[quantidade],estoque[fornecedor],"saída",estoque[produto],preçodiario[[#Headers],[OVO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Row],[data]]))+AF88+preçodiario[[#This Row],[entrada AV]])</f>
        <v>0</v>
      </c>
      <c r="AG89" s="22">
        <f>SUMIFS(estoque[quantidade],estoque[fornecedor],"&lt;&gt;saída",estoque[produto],preçodiario[[#Headers],[OVO VERMELHO A]],estoque[data],preçodiario[[#This Row],[data]])</f>
        <v>0</v>
      </c>
      <c r="AH89" s="20">
        <f>SUMIFS(estoque[valor total],estoque[fornecedor],"&lt;&gt;saída",estoque[produto],preçodiario[[#Headers],[OVO VERMELHO A]],estoque[data],preçodiario[[#This Row],[data]])</f>
        <v>0</v>
      </c>
      <c r="AI89" s="20">
        <f>IFERROR(preçodiario[[#This Row],[OVO VERMELHO A]]*preçodiario[[#This Row],[estoque AV]],0)</f>
        <v>0</v>
      </c>
      <c r="AJ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Row],[data]])),((AJ88*AK88)+SUMIFS(estoque[valor total],estoque[produto],preçodiario[[#Headers],[OVO VERMELHO B]],estoque[data],preçodiario[[#This Row],[data]],estoque[fornecedor],"&lt;&gt;saída"))/(AK88+(SUMIFS(estoque[quantidade],estoque[produto],preçodiario[[#Headers],[OVO VERMELHO B]],estoque[fornecedor],"&lt;&gt;saída",estoque[data],preçodiario[[#This Row],[data]])))))</f>
        <v/>
      </c>
      <c r="AK89" s="22">
        <f>IF(preçodiario[[#This Row],[entrada BV]]=0,AK88-(SUMIFS(estoque[quantidade],estoque[fornecedor],"saída",estoque[produto],preçodiario[[#Headers],[OVO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Row],[data]]))+AK88+preçodiario[[#This Row],[entrada BV]])</f>
        <v>0</v>
      </c>
      <c r="AL89" s="22">
        <f>SUMIFS(estoque[quantidade],estoque[fornecedor],"&lt;&gt;saída",estoque[produto],preçodiario[[#Headers],[OVO VERMELHO B]],estoque[data],preçodiario[[#This Row],[data]])</f>
        <v>0</v>
      </c>
      <c r="AM89" s="20">
        <f>SUMIFS(estoque[valor total],estoque[fornecedor],"&lt;&gt;saída",estoque[produto],preçodiario[[#Headers],[OVO VERMELHO B]],estoque[data],preçodiario[[#This Row],[data]])</f>
        <v>0</v>
      </c>
      <c r="AN89" s="20">
        <f>IFERROR(preçodiario[[#This Row],[OVO VERMELHO B]]*preçodiario[[#This Row],[estoque BV]],0)</f>
        <v>0</v>
      </c>
      <c r="AO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Row],[data]])),((AO88*AP88)+SUMIFS(estoque[valor total],estoque[produto],preçodiario[[#Headers],[OVO VERMELHO C]],estoque[data],preçodiario[[#This Row],[data]],estoque[fornecedor],"&lt;&gt;saída"))/(AP88+(SUMIFS(estoque[quantidade],estoque[produto],preçodiario[[#Headers],[OVO VERMELHO C]],estoque[fornecedor],"&lt;&gt;saída",estoque[data],preçodiario[[#This Row],[data]])))))</f>
        <v/>
      </c>
      <c r="AP89" s="22">
        <f>IF(preçodiario[[#This Row],[entrada CV]]=0,AP88-(SUMIFS(estoque[quantidade],estoque[fornecedor],"saída",estoque[produto],preçodiario[[#Headers],[OVO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Row],[data]]))+AP88+preçodiario[[#This Row],[entrada CV]])</f>
        <v>0</v>
      </c>
      <c r="AQ89" s="22">
        <f>SUMIFS(estoque[quantidade],estoque[fornecedor],"&lt;&gt;saída",estoque[produto],preçodiario[[#Headers],[OVO VERMELHO C]],estoque[data],preçodiario[[#This Row],[data]])</f>
        <v>0</v>
      </c>
      <c r="AR89" s="20">
        <f>SUMIFS(estoque[valor total],estoque[fornecedor],"&lt;&gt;saída",estoque[produto],preçodiario[[#Headers],[OVO VERMELHO C]],estoque[data],preçodiario[[#This Row],[data]])</f>
        <v>0</v>
      </c>
      <c r="AS89" s="20">
        <f>IFERROR(preçodiario[[#This Row],[OVO VERMELHO C]]*preçodiario[[#This Row],[estoque CV]],0)</f>
        <v>0</v>
      </c>
      <c r="AT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Row],[data]])),((AT88*AU88)+SUMIFS(estoque[valor total],estoque[produto],preçodiario[[#Headers],[OVO VERMELHO EXTRA]],estoque[data],preçodiario[[#This Row],[data]],estoque[fornecedor],"&lt;&gt;saída"))/(AU88+(SUMIFS(estoque[quantidade],estoque[produto],preçodiario[[#Headers],[OVO VERMELHO EXTRA]],estoque[fornecedor],"&lt;&gt;saída",estoque[data],preçodiario[[#This Row],[data]])))))</f>
        <v/>
      </c>
      <c r="AU89" s="22">
        <f>IF(preçodiario[[#This Row],[entrada EV]]=0,AU88-(SUMIFS(estoque[quantidade],estoque[fornecedor],"saída",estoque[produto],preçodiario[[#Headers],[OVO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Row],[data]]))+AU88+preçodiario[[#This Row],[entrada EV]])</f>
        <v>0</v>
      </c>
      <c r="AV89" s="22">
        <f>SUMIFS(estoque[quantidade],estoque[fornecedor],"&lt;&gt;saída",estoque[produto],preçodiario[[#Headers],[OVO VERMELHO EXTRA]],estoque[data],preçodiario[[#This Row],[data]])</f>
        <v>0</v>
      </c>
      <c r="AW89" s="20">
        <f>SUMIFS(estoque[valor total],estoque[fornecedor],"&lt;&gt;saída",estoque[produto],preçodiario[[#Headers],[OVO VERMELHO EXTRA]],estoque[data],preçodiario[[#This Row],[data]])</f>
        <v>0</v>
      </c>
      <c r="AX89" s="20">
        <f>IFERROR(preçodiario[[#This Row],[OVO VERMELHO EXTRA]]*preçodiario[[#This Row],[estoque EV]],0)</f>
        <v>0</v>
      </c>
      <c r="AY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Row],[data]])),((AY88*AZ88)+SUMIFS(estoque[valor total],estoque[produto],preçodiario[[#Headers],[OVO VERMELHO JUMBO]],estoque[data],preçodiario[[#This Row],[data]],estoque[fornecedor],"&lt;&gt;saída"))/(AZ88+(SUMIFS(estoque[quantidade],estoque[produto],preçodiario[[#Headers],[OVO VERMELHO JUMBO]],estoque[fornecedor],"&lt;&gt;saída",estoque[data],preçodiario[[#This Row],[data]])))))</f>
        <v/>
      </c>
      <c r="AZ89" s="22">
        <f>IF(preçodiario[[#This Row],[entrada JV]]=0,AZ88-(SUMIFS(estoque[quantidade],estoque[fornecedor],"saída",estoque[produto],preçodiario[[#Headers],[OVO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Row],[data]]))+AZ88+preçodiario[[#This Row],[entrada JV]])</f>
        <v>0</v>
      </c>
      <c r="BA89" s="22">
        <f>SUMIFS(estoque[quantidade],estoque[fornecedor],"&lt;&gt;saída",estoque[produto],preçodiario[[#Headers],[OVO VERMELHO JUMBO]],estoque[data],preçodiario[[#This Row],[data]])</f>
        <v>0</v>
      </c>
      <c r="BB89" s="20">
        <f>SUMIFS(estoque[valor total],estoque[fornecedor],"&lt;&gt;saída",estoque[produto],preçodiario[[#Headers],[OVO VERMELHO JUMBO]],estoque[data],preçodiario[[#This Row],[data]])</f>
        <v>0</v>
      </c>
      <c r="BC89" s="20">
        <f>IFERROR(preçodiario[[#This Row],[OVO VERMELHO JUMBO]]*preçodiario[[#This Row],[estoque JV]],0)</f>
        <v>0</v>
      </c>
      <c r="BD89" t="str">
        <f>TEXT(vendaAno[[#This Row],[data]],"mmm")</f>
        <v>mar</v>
      </c>
      <c r="BE89" t="str">
        <f>TEXT(vendaAno[[#This Row],[data]],"ddd")</f>
        <v>dom</v>
      </c>
      <c r="BF89" s="82">
        <f>WEEKNUM(vendaAno[[#This Row],[data]],13)</f>
        <v>13</v>
      </c>
      <c r="BG89" s="27">
        <f>preçodiario[[#This Row],[data]]</f>
        <v>46110</v>
      </c>
      <c r="BH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89" s="8">
        <f>IF(SUMIFS(estoque[valor total],estoque[fornecedor],"saída",estoque[data],vendaAno[[#This Row],[data]])=0,"",SUMIFS(estoque[valor total],estoque[fornecedor],"saída",estoque[data],vendaAno[[#This Row],[data]]))</f>
        <v>842</v>
      </c>
      <c r="BJ8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Row],[data]]))/12+BJ88,"")</f>
        <v>38.999999999999972</v>
      </c>
      <c r="BK89" s="79">
        <f ca="1">IF(TODAY()&gt;=vendaAno[[#This Row],[data]],IF(SUMIFS(estoque[quantidade],estoque[fornecedor],"saída",estoque[data],vendaAno[[#This Row],[data]])/12=0,AVERAGE(BK86:BK88),SUMIFS(estoque[quantidade],estoque[fornecedor],"saída",estoque[data],vendaAno[[#This Row],[data]])/12),"")</f>
        <v>3.75</v>
      </c>
      <c r="BL89" s="8">
        <f ca="1">IF(vendaAno[[#This Row],[data]]&lt;=TODAY(),IF(SUMIFS(estoque[lucro],estoque[fornecedor],"saída",estoque[data],vendaAno[[#This Row],[data]])=0,AVERAGE(BL86:BL88),SUMIFS(estoque[lucro],estoque[fornecedor],"saída",estoque[data],vendaAno[[#This Row],[data]])),"")</f>
        <v>190.57</v>
      </c>
      <c r="BM89" s="10">
        <f ca="1">IFERROR(vendaAno[[#This Row],[lucro]]/vendaAno[[#This Row],[valor de venda]],"")</f>
        <v>0.22633016627078384</v>
      </c>
      <c r="BN8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7174.1660839160841</v>
      </c>
      <c r="BO89" s="8">
        <f ca="1">IF(TODAY()&gt;=vendaAno[[#This Row],[data]],IF(vendaAno[[#This Row],[N°]]=BF88,vendaAno[[#This Row],[lucro]]-173.33+BO88,vendaAno[[#This Row],[lucro]]-150),"")</f>
        <v>-105.23000000000006</v>
      </c>
      <c r="BP89" s="81">
        <f ca="1">IF(TODAY()&gt;=vendaAno[[#This Row],[data]],SUM(BK83:BK89)*12,"")</f>
        <v>298</v>
      </c>
      <c r="BQ89" s="7">
        <f ca="1">IFERROR(vendaAno[[#This Row],[lucro]]/(vendaAno[[#This Row],[venda]]*12),"")</f>
        <v>4.2348888888888885</v>
      </c>
      <c r="CD89" s="7"/>
    </row>
    <row r="90" spans="1:82" x14ac:dyDescent="0.25">
      <c r="A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0" s="18" t="str">
        <f>TEXT(preçodiario[[#This Row],[data]],"MMM")</f>
        <v>mar</v>
      </c>
      <c r="C90" s="18" t="str">
        <f>TEXT(preçodiario[[#This Row],[data]],"ddd")</f>
        <v>seg</v>
      </c>
      <c r="D90" s="96">
        <f>WEEKNUM(preçodiario[[#This Row],[data]],13)</f>
        <v>13</v>
      </c>
      <c r="E90" s="37">
        <v>46111</v>
      </c>
      <c r="F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Row],[data]])),((F89*G89)+SUMIFS(estoque[valor total],estoque[produto],preçodiario[[#Headers],[OVO BRANCO A]],estoque[data],preçodiario[[#This Row],[data]],estoque[fornecedor],"&lt;&gt;saída"))/(G89+(SUMIFS(estoque[quantidade],estoque[produto],preçodiario[[#Headers],[OVO BRANCO A]],estoque[fornecedor],"&lt;&gt;saída",estoque[data],preçodiario[[#This Row],[data]])))))</f>
        <v>15</v>
      </c>
      <c r="G90" s="22">
        <f>IF(preçodiario[[#This Row],[entrada A]]=0,G89-(SUMIFS(estoque[quantidade],estoque[fornecedor],"saída",estoque[produto],preçodiario[[#Headers],[OVO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Row],[data]]))+G89+preçodiario[[#This Row],[entrada A]])</f>
        <v>98</v>
      </c>
      <c r="H90" s="22">
        <f>SUMIFS(estoque[quantidade],estoque[fornecedor],"&lt;&gt;saída",estoque[produto],preçodiario[[#Headers],[OVO BRANCO A]],estoque[data],preçodiario[[#This Row],[data]])</f>
        <v>0</v>
      </c>
      <c r="I90" s="20">
        <f>SUMIFS(estoque[valor total],estoque[fornecedor],"&lt;&gt;saída",estoque[produto],preçodiario[[#Headers],[OVO BRANCO A]],estoque[data],preçodiario[[#This Row],[data]])</f>
        <v>0</v>
      </c>
      <c r="J90" s="20">
        <f>IFERROR(preçodiario[[#This Row],[estoque A]]*preçodiario[[#This Row],[OVO BRANCO A]],0)</f>
        <v>1470</v>
      </c>
      <c r="K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Row],[data]])),((K89*L89)+SUMIFS(estoque[valor total],estoque[produto],preçodiario[[#Headers],[OVO BRANCO B]],estoque[data],preçodiario[[#This Row],[data]],estoque[fornecedor],"&lt;&gt;saída"))/(L89+(SUMIFS(estoque[quantidade],estoque[produto],preçodiario[[#Headers],[OVO BRANCO B]],estoque[fornecedor],"&lt;&gt;saída",estoque[data],preçodiario[[#This Row],[data]])))))</f>
        <v>14.140442890442891</v>
      </c>
      <c r="L90" s="22">
        <f>IF(preçodiario[[#This Row],[entrada B]]=0,L89-(SUMIFS(estoque[quantidade],estoque[fornecedor],"saída",estoque[produto],preçodiario[[#Headers],[OVO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Row],[data]]))+L89+preçodiario[[#This Row],[entrada B]])</f>
        <v>86</v>
      </c>
      <c r="M90" s="22">
        <f>SUMIFS(estoque[quantidade],estoque[fornecedor],"&lt;&gt;saída",estoque[produto],preçodiario[[#Headers],[OVO BRANCO B]],estoque[data],preçodiario[[#This Row],[data]])</f>
        <v>0</v>
      </c>
      <c r="N90" s="20">
        <f>SUMIFS(estoque[valor total],estoque[fornecedor],"&lt;&gt;saída",estoque[produto],preçodiario[[#Headers],[OVO BRANCO B]],estoque[data],preçodiario[[#This Row],[data]])</f>
        <v>0</v>
      </c>
      <c r="O90" s="20">
        <f>IFERROR(preçodiario[[#This Row],[OVO BRANCO B]]*preçodiario[[#This Row],[estoque B]],0)</f>
        <v>1216.0780885780887</v>
      </c>
      <c r="P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Row],[data]])),((P89*Q89)+SUMIFS(estoque[valor total],estoque[produto],preçodiario[[#Headers],[OVO BRANCO C]],estoque[data],preçodiario[[#This Row],[data]],estoque[fornecedor],"&lt;&gt;saída"))/(Q89+(SUMIFS(estoque[quantidade],estoque[produto],preçodiario[[#Headers],[OVO BRANCO C]],estoque[fornecedor],"&lt;&gt;saída",estoque[data],preçodiario[[#This Row],[data]])))))</f>
        <v>11.583333333333334</v>
      </c>
      <c r="Q90" s="22">
        <f>IF(preçodiario[[#This Row],[entrada C]]=0,Q89-(SUMIFS(estoque[quantidade],estoque[fornecedor],"saída",estoque[produto],preçodiario[[#Headers],[OVO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Row],[data]]))+Q89+preçodiario[[#This Row],[entrada C]])</f>
        <v>17</v>
      </c>
      <c r="R90" s="22">
        <f>SUMIFS(estoque[quantidade],estoque[fornecedor],"&lt;&gt;saída",estoque[produto],preçodiario[[#Headers],[OVO BRANCO C]],estoque[data],preçodiario[[#This Row],[data]])</f>
        <v>0</v>
      </c>
      <c r="S90" s="20">
        <f>SUMIFS(estoque[valor total],estoque[fornecedor],"&lt;&gt;saída",estoque[produto],preçodiario[[#Headers],[OVO BRANCO C]],estoque[data],preçodiario[[#This Row],[data]])</f>
        <v>0</v>
      </c>
      <c r="T90" s="20">
        <f>IFERROR(preçodiario[[#This Row],[OVO BRANCO C]]*preçodiario[[#This Row],[estoque C]],0)</f>
        <v>196.91666666666669</v>
      </c>
      <c r="U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Row],[data]])),((U89*V89)+SUMIFS(estoque[valor total],estoque[produto],preçodiario[[#Headers],[OVO BRANCO EXTRA]],estoque[data],preçodiario[[#This Row],[data]],estoque[fornecedor],"&lt;&gt;saída"))/(V89+(SUMIFS(estoque[quantidade],estoque[produto],preçodiario[[#Headers],[OVO BRANCO EXTRA]],estoque[fornecedor],"&lt;&gt;saída",estoque[data],preçodiario[[#This Row],[data]])))))</f>
        <v>15.833333333333337</v>
      </c>
      <c r="V90" s="22">
        <f>IF(preçodiario[[#This Row],[entrada E]]=0,V89-(SUMIFS(estoque[quantidade],estoque[fornecedor],"saída",estoque[produto],preçodiario[[#Headers],[OVO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Row],[data]]))+V89+preçodiario[[#This Row],[entrada E]])</f>
        <v>130</v>
      </c>
      <c r="W90" s="22">
        <f>SUMIFS(estoque[quantidade],estoque[fornecedor],"&lt;&gt;saída",estoque[produto],preçodiario[[#Headers],[OVO BRANCO EXTRA]],estoque[data],preçodiario[[#This Row],[data]])</f>
        <v>0</v>
      </c>
      <c r="X90" s="20">
        <f>SUMIFS(estoque[valor total],estoque[fornecedor],"&lt;&gt;saída",estoque[produto],preçodiario[[#Headers],[OVO BRANCO EXTRA]],estoque[data],preçodiario[[#This Row],[data]])</f>
        <v>0</v>
      </c>
      <c r="Y90" s="20">
        <f>IFERROR(preçodiario[[#This Row],[estoque E]]*preçodiario[[#This Row],[OVO BRANCO EXTRA]],0)</f>
        <v>2058.3333333333339</v>
      </c>
      <c r="Z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Row],[data]])),((Z89*AA89)+SUMIFS(estoque[valor total],estoque[produto],preçodiario[[#Headers],[OVO BRANCO JUMBO]],estoque[data],preçodiario[[#This Row],[data]],estoque[fornecedor],"&lt;&gt;saída"))/(AA89+(SUMIFS(estoque[quantidade],estoque[produto],preçodiario[[#Headers],[OVO BRANCO JUMBO]],estoque[fornecedor],"&lt;&gt;saída",estoque[data],preçodiario[[#This Row],[data]])))))</f>
        <v>16.666666666666668</v>
      </c>
      <c r="AA90" s="22">
        <f>IF(preçodiario[[#This Row],[entrada J]]=0,AA89-(SUMIFS(estoque[quantidade],estoque[fornecedor],"saída",estoque[produto],preçodiario[[#Headers],[OVO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Row],[data]]))+AA89+preçodiario[[#This Row],[entrada J]])</f>
        <v>111</v>
      </c>
      <c r="AB90" s="22">
        <f>SUMIFS(estoque[quantidade],estoque[fornecedor],"&lt;&gt;saída",estoque[produto],preçodiario[[#Headers],[OVO BRANCO JUMBO]],estoque[data],preçodiario[[#This Row],[data]])</f>
        <v>0</v>
      </c>
      <c r="AC90" s="20">
        <f>SUMIFS(estoque[valor total],estoque[fornecedor],"&lt;&gt;saída",estoque[produto],preçodiario[[#Headers],[OVO BRANCO JUMBO]],estoque[data],preçodiario[[#This Row],[data]])</f>
        <v>0</v>
      </c>
      <c r="AD90" s="20">
        <f>IFERROR(preçodiario[[#This Row],[OVO BRANCO JUMBO]]*preçodiario[[#This Row],[estoque J]],0)</f>
        <v>1850.0000000000002</v>
      </c>
      <c r="AE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Row],[data]])),((AE89*AF89)+SUMIFS(estoque[valor total],estoque[produto],preçodiario[[#Headers],[OVO VERMELHO A]],estoque[data],preçodiario[[#This Row],[data]],estoque[fornecedor],"&lt;&gt;saída"))/(AF89+(SUMIFS(estoque[quantidade],estoque[produto],preçodiario[[#Headers],[OVO VERMELHO A]],estoque[fornecedor],"&lt;&gt;saída",estoque[data],preçodiario[[#This Row],[data]])))))</f>
        <v/>
      </c>
      <c r="AF90" s="22">
        <f>IF(preçodiario[[#This Row],[entrada AV]]=0,AF89-(SUMIFS(estoque[quantidade],estoque[fornecedor],"saída",estoque[produto],preçodiario[[#Headers],[OVO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Row],[data]]))+AF89+preçodiario[[#This Row],[entrada AV]])</f>
        <v>0</v>
      </c>
      <c r="AG90" s="22">
        <f>SUMIFS(estoque[quantidade],estoque[fornecedor],"&lt;&gt;saída",estoque[produto],preçodiario[[#Headers],[OVO VERMELHO A]],estoque[data],preçodiario[[#This Row],[data]])</f>
        <v>0</v>
      </c>
      <c r="AH90" s="20">
        <f>SUMIFS(estoque[valor total],estoque[fornecedor],"&lt;&gt;saída",estoque[produto],preçodiario[[#Headers],[OVO VERMELHO A]],estoque[data],preçodiario[[#This Row],[data]])</f>
        <v>0</v>
      </c>
      <c r="AI90" s="20">
        <f>IFERROR(preçodiario[[#This Row],[OVO VERMELHO A]]*preçodiario[[#This Row],[estoque AV]],0)</f>
        <v>0</v>
      </c>
      <c r="AJ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Row],[data]])),((AJ89*AK89)+SUMIFS(estoque[valor total],estoque[produto],preçodiario[[#Headers],[OVO VERMELHO B]],estoque[data],preçodiario[[#This Row],[data]],estoque[fornecedor],"&lt;&gt;saída"))/(AK89+(SUMIFS(estoque[quantidade],estoque[produto],preçodiario[[#Headers],[OVO VERMELHO B]],estoque[fornecedor],"&lt;&gt;saída",estoque[data],preçodiario[[#This Row],[data]])))))</f>
        <v/>
      </c>
      <c r="AK90" s="22">
        <f>IF(preçodiario[[#This Row],[entrada BV]]=0,AK89-(SUMIFS(estoque[quantidade],estoque[fornecedor],"saída",estoque[produto],preçodiario[[#Headers],[OVO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Row],[data]]))+AK89+preçodiario[[#This Row],[entrada BV]])</f>
        <v>0</v>
      </c>
      <c r="AL90" s="22">
        <f>SUMIFS(estoque[quantidade],estoque[fornecedor],"&lt;&gt;saída",estoque[produto],preçodiario[[#Headers],[OVO VERMELHO B]],estoque[data],preçodiario[[#This Row],[data]])</f>
        <v>0</v>
      </c>
      <c r="AM90" s="20">
        <f>SUMIFS(estoque[valor total],estoque[fornecedor],"&lt;&gt;saída",estoque[produto],preçodiario[[#Headers],[OVO VERMELHO B]],estoque[data],preçodiario[[#This Row],[data]])</f>
        <v>0</v>
      </c>
      <c r="AN90" s="20">
        <f>IFERROR(preçodiario[[#This Row],[OVO VERMELHO B]]*preçodiario[[#This Row],[estoque BV]],0)</f>
        <v>0</v>
      </c>
      <c r="AO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Row],[data]])),((AO89*AP89)+SUMIFS(estoque[valor total],estoque[produto],preçodiario[[#Headers],[OVO VERMELHO C]],estoque[data],preçodiario[[#This Row],[data]],estoque[fornecedor],"&lt;&gt;saída"))/(AP89+(SUMIFS(estoque[quantidade],estoque[produto],preçodiario[[#Headers],[OVO VERMELHO C]],estoque[fornecedor],"&lt;&gt;saída",estoque[data],preçodiario[[#This Row],[data]])))))</f>
        <v/>
      </c>
      <c r="AP90" s="22">
        <f>IF(preçodiario[[#This Row],[entrada CV]]=0,AP89-(SUMIFS(estoque[quantidade],estoque[fornecedor],"saída",estoque[produto],preçodiario[[#Headers],[OVO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Row],[data]]))+AP89+preçodiario[[#This Row],[entrada CV]])</f>
        <v>0</v>
      </c>
      <c r="AQ90" s="22">
        <f>SUMIFS(estoque[quantidade],estoque[fornecedor],"&lt;&gt;saída",estoque[produto],preçodiario[[#Headers],[OVO VERMELHO C]],estoque[data],preçodiario[[#This Row],[data]])</f>
        <v>0</v>
      </c>
      <c r="AR90" s="20">
        <f>SUMIFS(estoque[valor total],estoque[fornecedor],"&lt;&gt;saída",estoque[produto],preçodiario[[#Headers],[OVO VERMELHO C]],estoque[data],preçodiario[[#This Row],[data]])</f>
        <v>0</v>
      </c>
      <c r="AS90" s="20">
        <f>IFERROR(preçodiario[[#This Row],[OVO VERMELHO C]]*preçodiario[[#This Row],[estoque CV]],0)</f>
        <v>0</v>
      </c>
      <c r="AT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Row],[data]])),((AT89*AU89)+SUMIFS(estoque[valor total],estoque[produto],preçodiario[[#Headers],[OVO VERMELHO EXTRA]],estoque[data],preçodiario[[#This Row],[data]],estoque[fornecedor],"&lt;&gt;saída"))/(AU89+(SUMIFS(estoque[quantidade],estoque[produto],preçodiario[[#Headers],[OVO VERMELHO EXTRA]],estoque[fornecedor],"&lt;&gt;saída",estoque[data],preçodiario[[#This Row],[data]])))))</f>
        <v/>
      </c>
      <c r="AU90" s="22">
        <f>IF(preçodiario[[#This Row],[entrada EV]]=0,AU89-(SUMIFS(estoque[quantidade],estoque[fornecedor],"saída",estoque[produto],preçodiario[[#Headers],[OVO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Row],[data]]))+AU89+preçodiario[[#This Row],[entrada EV]])</f>
        <v>0</v>
      </c>
      <c r="AV90" s="22">
        <f>SUMIFS(estoque[quantidade],estoque[fornecedor],"&lt;&gt;saída",estoque[produto],preçodiario[[#Headers],[OVO VERMELHO EXTRA]],estoque[data],preçodiario[[#This Row],[data]])</f>
        <v>0</v>
      </c>
      <c r="AW90" s="20">
        <f>SUMIFS(estoque[valor total],estoque[fornecedor],"&lt;&gt;saída",estoque[produto],preçodiario[[#Headers],[OVO VERMELHO EXTRA]],estoque[data],preçodiario[[#This Row],[data]])</f>
        <v>0</v>
      </c>
      <c r="AX90" s="20">
        <f>IFERROR(preçodiario[[#This Row],[OVO VERMELHO EXTRA]]*preçodiario[[#This Row],[estoque EV]],0)</f>
        <v>0</v>
      </c>
      <c r="AY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Row],[data]])),((AY89*AZ89)+SUMIFS(estoque[valor total],estoque[produto],preçodiario[[#Headers],[OVO VERMELHO JUMBO]],estoque[data],preçodiario[[#This Row],[data]],estoque[fornecedor],"&lt;&gt;saída"))/(AZ89+(SUMIFS(estoque[quantidade],estoque[produto],preçodiario[[#Headers],[OVO VERMELHO JUMBO]],estoque[fornecedor],"&lt;&gt;saída",estoque[data],preçodiario[[#This Row],[data]])))))</f>
        <v/>
      </c>
      <c r="AZ90" s="22">
        <f>IF(preçodiario[[#This Row],[entrada JV]]=0,AZ89-(SUMIFS(estoque[quantidade],estoque[fornecedor],"saída",estoque[produto],preçodiario[[#Headers],[OVO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Row],[data]]))+AZ89+preçodiario[[#This Row],[entrada JV]])</f>
        <v>0</v>
      </c>
      <c r="BA90" s="22">
        <f>SUMIFS(estoque[quantidade],estoque[fornecedor],"&lt;&gt;saída",estoque[produto],preçodiario[[#Headers],[OVO VERMELHO JUMBO]],estoque[data],preçodiario[[#This Row],[data]])</f>
        <v>0</v>
      </c>
      <c r="BB90" s="20">
        <f>SUMIFS(estoque[valor total],estoque[fornecedor],"&lt;&gt;saída",estoque[produto],preçodiario[[#Headers],[OVO VERMELHO JUMBO]],estoque[data],preçodiario[[#This Row],[data]])</f>
        <v>0</v>
      </c>
      <c r="BC90" s="20">
        <f>IFERROR(preçodiario[[#This Row],[OVO VERMELHO JUMBO]]*preçodiario[[#This Row],[estoque JV]],0)</f>
        <v>0</v>
      </c>
      <c r="BD90" t="str">
        <f>TEXT(vendaAno[[#This Row],[data]],"mmm")</f>
        <v>mar</v>
      </c>
      <c r="BE90" t="str">
        <f>TEXT(vendaAno[[#This Row],[data]],"ddd")</f>
        <v>seg</v>
      </c>
      <c r="BF90" s="82">
        <f>WEEKNUM(vendaAno[[#This Row],[data]],13)</f>
        <v>13</v>
      </c>
      <c r="BG90" s="27">
        <f>preçodiario[[#This Row],[data]]</f>
        <v>46111</v>
      </c>
      <c r="BH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0" s="8">
        <f>IF(SUMIFS(estoque[valor total],estoque[fornecedor],"saída",estoque[data],vendaAno[[#This Row],[data]])=0,"",SUMIFS(estoque[valor total],estoque[fornecedor],"saída",estoque[data],vendaAno[[#This Row],[data]]))</f>
        <v>509</v>
      </c>
      <c r="BJ9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Row],[data]]))/12+BJ89,"")</f>
        <v>36.833333333333307</v>
      </c>
      <c r="BK90" s="79">
        <f ca="1">IF(TODAY()&gt;=vendaAno[[#This Row],[data]],IF(SUMIFS(estoque[quantidade],estoque[fornecedor],"saída",estoque[data],vendaAno[[#This Row],[data]])/12=0,AVERAGE(BK87:BK89),SUMIFS(estoque[quantidade],estoque[fornecedor],"saída",estoque[data],vendaAno[[#This Row],[data]])/12),"")</f>
        <v>2.1666666666666665</v>
      </c>
      <c r="BL90" s="8">
        <f ca="1">IF(vendaAno[[#This Row],[data]]&lt;=TODAY(),IF(SUMIFS(estoque[lucro],estoque[fornecedor],"saída",estoque[data],vendaAno[[#This Row],[data]])=0,AVERAGE(BL87:BL89),SUMIFS(estoque[lucro],estoque[fornecedor],"saída",estoque[data],vendaAno[[#This Row],[data]])),"")</f>
        <v>126.16</v>
      </c>
      <c r="BM90" s="10">
        <f ca="1">IFERROR(vendaAno[[#This Row],[lucro]]/vendaAno[[#This Row],[valor de venda]],"")</f>
        <v>0.24785854616895875</v>
      </c>
      <c r="BN9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6791.3280885780896</v>
      </c>
      <c r="BO90" s="8">
        <f ca="1">IF(TODAY()&gt;=vendaAno[[#This Row],[data]],IF(vendaAno[[#This Row],[N°]]=BF89,vendaAno[[#This Row],[lucro]]-173.33+BO89,vendaAno[[#This Row],[lucro]]-150),"")</f>
        <v>-152.40000000000009</v>
      </c>
      <c r="BP90" s="81">
        <f ca="1">IF(TODAY()&gt;=vendaAno[[#This Row],[data]],SUM(BK84:BK90)*12,"")</f>
        <v>250.00000000000003</v>
      </c>
      <c r="BQ90" s="7">
        <f ca="1">IFERROR(vendaAno[[#This Row],[lucro]]/(vendaAno[[#This Row],[venda]]*12),"")</f>
        <v>4.8523076923076918</v>
      </c>
      <c r="CD90" s="7"/>
    </row>
    <row r="91" spans="1:82" x14ac:dyDescent="0.25">
      <c r="A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1" s="18" t="str">
        <f>TEXT(preçodiario[[#This Row],[data]],"MMM")</f>
        <v>mar</v>
      </c>
      <c r="C91" s="18" t="str">
        <f>TEXT(preçodiario[[#This Row],[data]],"ddd")</f>
        <v>ter</v>
      </c>
      <c r="D91" s="96">
        <f>WEEKNUM(preçodiario[[#This Row],[data]],13)</f>
        <v>13</v>
      </c>
      <c r="E91" s="37">
        <v>46112</v>
      </c>
      <c r="F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Row],[data]])),((F90*G90)+SUMIFS(estoque[valor total],estoque[produto],preçodiario[[#Headers],[OVO BRANCO A]],estoque[data],preçodiario[[#This Row],[data]],estoque[fornecedor],"&lt;&gt;saída"))/(G90+(SUMIFS(estoque[quantidade],estoque[produto],preçodiario[[#Headers],[OVO BRANCO A]],estoque[fornecedor],"&lt;&gt;saída",estoque[data],preçodiario[[#This Row],[data]])))))</f>
        <v>15</v>
      </c>
      <c r="G91" s="22">
        <f>IF(preçodiario[[#This Row],[entrada A]]=0,G90-(SUMIFS(estoque[quantidade],estoque[fornecedor],"saída",estoque[produto],preçodiario[[#Headers],[OVO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Row],[data]]))+G90+preçodiario[[#This Row],[entrada A]])</f>
        <v>91</v>
      </c>
      <c r="H91" s="22">
        <f>SUMIFS(estoque[quantidade],estoque[fornecedor],"&lt;&gt;saída",estoque[produto],preçodiario[[#Headers],[OVO BRANCO A]],estoque[data],preçodiario[[#This Row],[data]])</f>
        <v>0</v>
      </c>
      <c r="I91" s="20">
        <f>SUMIFS(estoque[valor total],estoque[fornecedor],"&lt;&gt;saída",estoque[produto],preçodiario[[#Headers],[OVO BRANCO A]],estoque[data],preçodiario[[#This Row],[data]])</f>
        <v>0</v>
      </c>
      <c r="J91" s="20">
        <f>IFERROR(preçodiario[[#This Row],[estoque A]]*preçodiario[[#This Row],[OVO BRANCO A]],0)</f>
        <v>1365</v>
      </c>
      <c r="K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Row],[data]])),((K90*L90)+SUMIFS(estoque[valor total],estoque[produto],preçodiario[[#Headers],[OVO BRANCO B]],estoque[data],preçodiario[[#This Row],[data]],estoque[fornecedor],"&lt;&gt;saída"))/(L90+(SUMIFS(estoque[quantidade],estoque[produto],preçodiario[[#Headers],[OVO BRANCO B]],estoque[fornecedor],"&lt;&gt;saída",estoque[data],preçodiario[[#This Row],[data]])))))</f>
        <v>14.140442890442891</v>
      </c>
      <c r="L91" s="22">
        <f>IF(preçodiario[[#This Row],[entrada B]]=0,L90-(SUMIFS(estoque[quantidade],estoque[fornecedor],"saída",estoque[produto],preçodiario[[#Headers],[OVO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Row],[data]]))+L90+preçodiario[[#This Row],[entrada B]])</f>
        <v>77</v>
      </c>
      <c r="M91" s="22">
        <f>SUMIFS(estoque[quantidade],estoque[fornecedor],"&lt;&gt;saída",estoque[produto],preçodiario[[#Headers],[OVO BRANCO B]],estoque[data],preçodiario[[#This Row],[data]])</f>
        <v>0</v>
      </c>
      <c r="N91" s="20">
        <f>SUMIFS(estoque[valor total],estoque[fornecedor],"&lt;&gt;saída",estoque[produto],preçodiario[[#Headers],[OVO BRANCO B]],estoque[data],preçodiario[[#This Row],[data]])</f>
        <v>0</v>
      </c>
      <c r="O91" s="20">
        <f>IFERROR(preçodiario[[#This Row],[OVO BRANCO B]]*preçodiario[[#This Row],[estoque B]],0)</f>
        <v>1088.8141025641025</v>
      </c>
      <c r="P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Row],[data]])),((P90*Q90)+SUMIFS(estoque[valor total],estoque[produto],preçodiario[[#Headers],[OVO BRANCO C]],estoque[data],preçodiario[[#This Row],[data]],estoque[fornecedor],"&lt;&gt;saída"))/(Q90+(SUMIFS(estoque[quantidade],estoque[produto],preçodiario[[#Headers],[OVO BRANCO C]],estoque[fornecedor],"&lt;&gt;saída",estoque[data],preçodiario[[#This Row],[data]])))))</f>
        <v>11.583333333333334</v>
      </c>
      <c r="Q91" s="22">
        <f>IF(preçodiario[[#This Row],[entrada C]]=0,Q90-(SUMIFS(estoque[quantidade],estoque[fornecedor],"saída",estoque[produto],preçodiario[[#Headers],[OVO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Row],[data]]))+Q90+preçodiario[[#This Row],[entrada C]])</f>
        <v>5</v>
      </c>
      <c r="R91" s="22">
        <f>SUMIFS(estoque[quantidade],estoque[fornecedor],"&lt;&gt;saída",estoque[produto],preçodiario[[#Headers],[OVO BRANCO C]],estoque[data],preçodiario[[#This Row],[data]])</f>
        <v>0</v>
      </c>
      <c r="S91" s="20">
        <f>SUMIFS(estoque[valor total],estoque[fornecedor],"&lt;&gt;saída",estoque[produto],preçodiario[[#Headers],[OVO BRANCO C]],estoque[data],preçodiario[[#This Row],[data]])</f>
        <v>0</v>
      </c>
      <c r="T91" s="20">
        <f>IFERROR(preçodiario[[#This Row],[OVO BRANCO C]]*preçodiario[[#This Row],[estoque C]],0)</f>
        <v>57.916666666666671</v>
      </c>
      <c r="U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Row],[data]])),((U90*V90)+SUMIFS(estoque[valor total],estoque[produto],preçodiario[[#Headers],[OVO BRANCO EXTRA]],estoque[data],preçodiario[[#This Row],[data]],estoque[fornecedor],"&lt;&gt;saída"))/(V90+(SUMIFS(estoque[quantidade],estoque[produto],preçodiario[[#Headers],[OVO BRANCO EXTRA]],estoque[fornecedor],"&lt;&gt;saída",estoque[data],preçodiario[[#This Row],[data]])))))</f>
        <v>15.833333333333337</v>
      </c>
      <c r="V91" s="22">
        <f>IF(preçodiario[[#This Row],[entrada E]]=0,V90-(SUMIFS(estoque[quantidade],estoque[fornecedor],"saída",estoque[produto],preçodiario[[#Headers],[OVO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Row],[data]]))+V90+preçodiario[[#This Row],[entrada E]])</f>
        <v>120</v>
      </c>
      <c r="W91" s="22">
        <f>SUMIFS(estoque[quantidade],estoque[fornecedor],"&lt;&gt;saída",estoque[produto],preçodiario[[#Headers],[OVO BRANCO EXTRA]],estoque[data],preçodiario[[#This Row],[data]])</f>
        <v>0</v>
      </c>
      <c r="X91" s="20">
        <f>SUMIFS(estoque[valor total],estoque[fornecedor],"&lt;&gt;saída",estoque[produto],preçodiario[[#Headers],[OVO BRANCO EXTRA]],estoque[data],preçodiario[[#This Row],[data]])</f>
        <v>0</v>
      </c>
      <c r="Y91" s="20">
        <f>IFERROR(preçodiario[[#This Row],[estoque E]]*preçodiario[[#This Row],[OVO BRANCO EXTRA]],0)</f>
        <v>1900.0000000000005</v>
      </c>
      <c r="Z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Row],[data]])),((Z90*AA90)+SUMIFS(estoque[valor total],estoque[produto],preçodiario[[#Headers],[OVO BRANCO JUMBO]],estoque[data],preçodiario[[#This Row],[data]],estoque[fornecedor],"&lt;&gt;saída"))/(AA90+(SUMIFS(estoque[quantidade],estoque[produto],preçodiario[[#Headers],[OVO BRANCO JUMBO]],estoque[fornecedor],"&lt;&gt;saída",estoque[data],preçodiario[[#This Row],[data]])))))</f>
        <v>16.666666666666668</v>
      </c>
      <c r="AA91" s="22">
        <f>IF(preçodiario[[#This Row],[entrada J]]=0,AA90-(SUMIFS(estoque[quantidade],estoque[fornecedor],"saída",estoque[produto],preçodiario[[#Headers],[OVO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Row],[data]]))+AA90+preçodiario[[#This Row],[entrada J]])</f>
        <v>105</v>
      </c>
      <c r="AB91" s="22">
        <f>SUMIFS(estoque[quantidade],estoque[fornecedor],"&lt;&gt;saída",estoque[produto],preçodiario[[#Headers],[OVO BRANCO JUMBO]],estoque[data],preçodiario[[#This Row],[data]])</f>
        <v>0</v>
      </c>
      <c r="AC91" s="20">
        <f>SUMIFS(estoque[valor total],estoque[fornecedor],"&lt;&gt;saída",estoque[produto],preçodiario[[#Headers],[OVO BRANCO JUMBO]],estoque[data],preçodiario[[#This Row],[data]])</f>
        <v>0</v>
      </c>
      <c r="AD91" s="20">
        <f>IFERROR(preçodiario[[#This Row],[OVO BRANCO JUMBO]]*preçodiario[[#This Row],[estoque J]],0)</f>
        <v>1750.0000000000002</v>
      </c>
      <c r="AE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Row],[data]])),((AE90*AF90)+SUMIFS(estoque[valor total],estoque[produto],preçodiario[[#Headers],[OVO VERMELHO A]],estoque[data],preçodiario[[#This Row],[data]],estoque[fornecedor],"&lt;&gt;saída"))/(AF90+(SUMIFS(estoque[quantidade],estoque[produto],preçodiario[[#Headers],[OVO VERMELHO A]],estoque[fornecedor],"&lt;&gt;saída",estoque[data],preçodiario[[#This Row],[data]])))))</f>
        <v/>
      </c>
      <c r="AF91" s="22">
        <f>IF(preçodiario[[#This Row],[entrada AV]]=0,AF90-(SUMIFS(estoque[quantidade],estoque[fornecedor],"saída",estoque[produto],preçodiario[[#Headers],[OVO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Row],[data]]))+AF90+preçodiario[[#This Row],[entrada AV]])</f>
        <v>0</v>
      </c>
      <c r="AG91" s="22">
        <f>SUMIFS(estoque[quantidade],estoque[fornecedor],"&lt;&gt;saída",estoque[produto],preçodiario[[#Headers],[OVO VERMELHO A]],estoque[data],preçodiario[[#This Row],[data]])</f>
        <v>0</v>
      </c>
      <c r="AH91" s="20">
        <f>SUMIFS(estoque[valor total],estoque[fornecedor],"&lt;&gt;saída",estoque[produto],preçodiario[[#Headers],[OVO VERMELHO A]],estoque[data],preçodiario[[#This Row],[data]])</f>
        <v>0</v>
      </c>
      <c r="AI91" s="20">
        <f>IFERROR(preçodiario[[#This Row],[OVO VERMELHO A]]*preçodiario[[#This Row],[estoque AV]],0)</f>
        <v>0</v>
      </c>
      <c r="AJ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Row],[data]])),((AJ90*AK90)+SUMIFS(estoque[valor total],estoque[produto],preçodiario[[#Headers],[OVO VERMELHO B]],estoque[data],preçodiario[[#This Row],[data]],estoque[fornecedor],"&lt;&gt;saída"))/(AK90+(SUMIFS(estoque[quantidade],estoque[produto],preçodiario[[#Headers],[OVO VERMELHO B]],estoque[fornecedor],"&lt;&gt;saída",estoque[data],preçodiario[[#This Row],[data]])))))</f>
        <v/>
      </c>
      <c r="AK91" s="22">
        <f>IF(preçodiario[[#This Row],[entrada BV]]=0,AK90-(SUMIFS(estoque[quantidade],estoque[fornecedor],"saída",estoque[produto],preçodiario[[#Headers],[OVO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Row],[data]]))+AK90+preçodiario[[#This Row],[entrada BV]])</f>
        <v>0</v>
      </c>
      <c r="AL91" s="22">
        <f>SUMIFS(estoque[quantidade],estoque[fornecedor],"&lt;&gt;saída",estoque[produto],preçodiario[[#Headers],[OVO VERMELHO B]],estoque[data],preçodiario[[#This Row],[data]])</f>
        <v>0</v>
      </c>
      <c r="AM91" s="20">
        <f>SUMIFS(estoque[valor total],estoque[fornecedor],"&lt;&gt;saída",estoque[produto],preçodiario[[#Headers],[OVO VERMELHO B]],estoque[data],preçodiario[[#This Row],[data]])</f>
        <v>0</v>
      </c>
      <c r="AN91" s="20">
        <f>IFERROR(preçodiario[[#This Row],[OVO VERMELHO B]]*preçodiario[[#This Row],[estoque BV]],0)</f>
        <v>0</v>
      </c>
      <c r="AO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Row],[data]])),((AO90*AP90)+SUMIFS(estoque[valor total],estoque[produto],preçodiario[[#Headers],[OVO VERMELHO C]],estoque[data],preçodiario[[#This Row],[data]],estoque[fornecedor],"&lt;&gt;saída"))/(AP90+(SUMIFS(estoque[quantidade],estoque[produto],preçodiario[[#Headers],[OVO VERMELHO C]],estoque[fornecedor],"&lt;&gt;saída",estoque[data],preçodiario[[#This Row],[data]])))))</f>
        <v/>
      </c>
      <c r="AP91" s="22">
        <f>IF(preçodiario[[#This Row],[entrada CV]]=0,AP90-(SUMIFS(estoque[quantidade],estoque[fornecedor],"saída",estoque[produto],preçodiario[[#Headers],[OVO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Row],[data]]))+AP90+preçodiario[[#This Row],[entrada CV]])</f>
        <v>0</v>
      </c>
      <c r="AQ91" s="22">
        <f>SUMIFS(estoque[quantidade],estoque[fornecedor],"&lt;&gt;saída",estoque[produto],preçodiario[[#Headers],[OVO VERMELHO C]],estoque[data],preçodiario[[#This Row],[data]])</f>
        <v>0</v>
      </c>
      <c r="AR91" s="20">
        <f>SUMIFS(estoque[valor total],estoque[fornecedor],"&lt;&gt;saída",estoque[produto],preçodiario[[#Headers],[OVO VERMELHO C]],estoque[data],preçodiario[[#This Row],[data]])</f>
        <v>0</v>
      </c>
      <c r="AS91" s="20">
        <f>IFERROR(preçodiario[[#This Row],[OVO VERMELHO C]]*preçodiario[[#This Row],[estoque CV]],0)</f>
        <v>0</v>
      </c>
      <c r="AT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Row],[data]])),((AT90*AU90)+SUMIFS(estoque[valor total],estoque[produto],preçodiario[[#Headers],[OVO VERMELHO EXTRA]],estoque[data],preçodiario[[#This Row],[data]],estoque[fornecedor],"&lt;&gt;saída"))/(AU90+(SUMIFS(estoque[quantidade],estoque[produto],preçodiario[[#Headers],[OVO VERMELHO EXTRA]],estoque[fornecedor],"&lt;&gt;saída",estoque[data],preçodiario[[#This Row],[data]])))))</f>
        <v/>
      </c>
      <c r="AU91" s="22">
        <f>IF(preçodiario[[#This Row],[entrada EV]]=0,AU90-(SUMIFS(estoque[quantidade],estoque[fornecedor],"saída",estoque[produto],preçodiario[[#Headers],[OVO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Row],[data]]))+AU90+preçodiario[[#This Row],[entrada EV]])</f>
        <v>0</v>
      </c>
      <c r="AV91" s="22">
        <f>SUMIFS(estoque[quantidade],estoque[fornecedor],"&lt;&gt;saída",estoque[produto],preçodiario[[#Headers],[OVO VERMELHO EXTRA]],estoque[data],preçodiario[[#This Row],[data]])</f>
        <v>0</v>
      </c>
      <c r="AW91" s="20">
        <f>SUMIFS(estoque[valor total],estoque[fornecedor],"&lt;&gt;saída",estoque[produto],preçodiario[[#Headers],[OVO VERMELHO EXTRA]],estoque[data],preçodiario[[#This Row],[data]])</f>
        <v>0</v>
      </c>
      <c r="AX91" s="20">
        <f>IFERROR(preçodiario[[#This Row],[OVO VERMELHO EXTRA]]*preçodiario[[#This Row],[estoque EV]],0)</f>
        <v>0</v>
      </c>
      <c r="AY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Row],[data]])),((AY90*AZ90)+SUMIFS(estoque[valor total],estoque[produto],preçodiario[[#Headers],[OVO VERMELHO JUMBO]],estoque[data],preçodiario[[#This Row],[data]],estoque[fornecedor],"&lt;&gt;saída"))/(AZ90+(SUMIFS(estoque[quantidade],estoque[produto],preçodiario[[#Headers],[OVO VERMELHO JUMBO]],estoque[fornecedor],"&lt;&gt;saída",estoque[data],preçodiario[[#This Row],[data]])))))</f>
        <v/>
      </c>
      <c r="AZ91" s="22">
        <f>IF(preçodiario[[#This Row],[entrada JV]]=0,AZ90-(SUMIFS(estoque[quantidade],estoque[fornecedor],"saída",estoque[produto],preçodiario[[#Headers],[OVO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Row],[data]]))+AZ90+preçodiario[[#This Row],[entrada JV]])</f>
        <v>0</v>
      </c>
      <c r="BA91" s="22">
        <f>SUMIFS(estoque[quantidade],estoque[fornecedor],"&lt;&gt;saída",estoque[produto],preçodiario[[#Headers],[OVO VERMELHO JUMBO]],estoque[data],preçodiario[[#This Row],[data]])</f>
        <v>0</v>
      </c>
      <c r="BB91" s="20">
        <f>SUMIFS(estoque[valor total],estoque[fornecedor],"&lt;&gt;saída",estoque[produto],preçodiario[[#Headers],[OVO VERMELHO JUMBO]],estoque[data],preçodiario[[#This Row],[data]])</f>
        <v>0</v>
      </c>
      <c r="BC91" s="20">
        <f>IFERROR(preçodiario[[#This Row],[OVO VERMELHO JUMBO]]*preçodiario[[#This Row],[estoque JV]],0)</f>
        <v>0</v>
      </c>
      <c r="BD91" t="str">
        <f>TEXT(vendaAno[[#This Row],[data]],"mmm")</f>
        <v>mar</v>
      </c>
      <c r="BE91" t="str">
        <f>TEXT(vendaAno[[#This Row],[data]],"ddd")</f>
        <v>ter</v>
      </c>
      <c r="BF91" s="82">
        <f>WEEKNUM(vendaAno[[#This Row],[data]],13)</f>
        <v>13</v>
      </c>
      <c r="BG91" s="27">
        <f>preçodiario[[#This Row],[data]]</f>
        <v>46112</v>
      </c>
      <c r="BH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1" s="8">
        <f>IF(SUMIFS(estoque[valor total],estoque[fornecedor],"saída",estoque[data],vendaAno[[#This Row],[data]])=0,"",SUMIFS(estoque[valor total],estoque[fornecedor],"saída",estoque[data],vendaAno[[#This Row],[data]]))</f>
        <v>822</v>
      </c>
      <c r="BJ9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Row],[data]]))/12+BJ90,"")</f>
        <v>33.166666666666643</v>
      </c>
      <c r="BK91" s="79">
        <f ca="1">IF(TODAY()&gt;=vendaAno[[#This Row],[data]],IF(SUMIFS(estoque[quantidade],estoque[fornecedor],"saída",estoque[data],vendaAno[[#This Row],[data]])/12=0,AVERAGE(BK88:BK90),SUMIFS(estoque[quantidade],estoque[fornecedor],"saída",estoque[data],vendaAno[[#This Row],[data]])/12),"")</f>
        <v>3.6666666666666665</v>
      </c>
      <c r="BL91" s="8">
        <f ca="1">IF(vendaAno[[#This Row],[data]]&lt;=TODAY(),IF(SUMIFS(estoque[lucro],estoque[fornecedor],"saída",estoque[data],vendaAno[[#This Row],[data]])=0,AVERAGE(BL88:BL90),SUMIFS(estoque[lucro],estoque[fornecedor],"saída",estoque[data],vendaAno[[#This Row],[data]])),"")</f>
        <v>192.41000000000003</v>
      </c>
      <c r="BM91" s="10">
        <f ca="1">IFERROR(vendaAno[[#This Row],[lucro]]/vendaAno[[#This Row],[valor de venda]],"")</f>
        <v>0.2340754257907543</v>
      </c>
      <c r="BN9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6161.7307692307695</v>
      </c>
      <c r="BO91" s="8">
        <f ca="1">IF(TODAY()&gt;=vendaAno[[#This Row],[data]],IF(vendaAno[[#This Row],[N°]]=BF90,vendaAno[[#This Row],[lucro]]-173.33+BO90,vendaAno[[#This Row],[lucro]]-150),"")</f>
        <v>-133.32000000000008</v>
      </c>
      <c r="BP91" s="81">
        <f ca="1">IF(TODAY()&gt;=vendaAno[[#This Row],[data]],SUM(BK85:BK91)*12,"")</f>
        <v>244.00000000000003</v>
      </c>
      <c r="BQ91" s="7">
        <f ca="1">IFERROR(vendaAno[[#This Row],[lucro]]/(vendaAno[[#This Row],[venda]]*12),"")</f>
        <v>4.3729545454545464</v>
      </c>
      <c r="CD91" s="7"/>
    </row>
    <row r="92" spans="1:82" x14ac:dyDescent="0.25">
      <c r="A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2" s="18" t="str">
        <f>TEXT(preçodiario[[#This Row],[data]],"MMM")</f>
        <v>abr</v>
      </c>
      <c r="C92" s="18" t="str">
        <f>TEXT(preçodiario[[#This Row],[data]],"ddd")</f>
        <v>qua</v>
      </c>
      <c r="D92" s="96">
        <f>WEEKNUM(preçodiario[[#This Row],[data]],13)</f>
        <v>14</v>
      </c>
      <c r="E92" s="37">
        <v>46113</v>
      </c>
      <c r="F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Row],[data]])),((F91*G91)+SUMIFS(estoque[valor total],estoque[produto],preçodiario[[#Headers],[OVO BRANCO A]],estoque[data],preçodiario[[#This Row],[data]],estoque[fornecedor],"&lt;&gt;saída"))/(G91+(SUMIFS(estoque[quantidade],estoque[produto],preçodiario[[#Headers],[OVO BRANCO A]],estoque[fornecedor],"&lt;&gt;saída",estoque[data],preçodiario[[#This Row],[data]])))))</f>
        <v>15</v>
      </c>
      <c r="G92" s="22">
        <f>IF(preçodiario[[#This Row],[entrada A]]=0,G91-(SUMIFS(estoque[quantidade],estoque[fornecedor],"saída",estoque[produto],preçodiario[[#Headers],[OVO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Row],[data]]))+G91+preçodiario[[#This Row],[entrada A]])</f>
        <v>77</v>
      </c>
      <c r="H92" s="22">
        <f>SUMIFS(estoque[quantidade],estoque[fornecedor],"&lt;&gt;saída",estoque[produto],preçodiario[[#Headers],[OVO BRANCO A]],estoque[data],preçodiario[[#This Row],[data]])</f>
        <v>0</v>
      </c>
      <c r="I92" s="20">
        <f>SUMIFS(estoque[valor total],estoque[fornecedor],"&lt;&gt;saída",estoque[produto],preçodiario[[#Headers],[OVO BRANCO A]],estoque[data],preçodiario[[#This Row],[data]])</f>
        <v>0</v>
      </c>
      <c r="J92" s="20">
        <f>IFERROR(preçodiario[[#This Row],[estoque A]]*preçodiario[[#This Row],[OVO BRANCO A]],0)</f>
        <v>1155</v>
      </c>
      <c r="K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Row],[data]])),((K91*L91)+SUMIFS(estoque[valor total],estoque[produto],preçodiario[[#Headers],[OVO BRANCO B]],estoque[data],preçodiario[[#This Row],[data]],estoque[fornecedor],"&lt;&gt;saída"))/(L91+(SUMIFS(estoque[quantidade],estoque[produto],preçodiario[[#Headers],[OVO BRANCO B]],estoque[fornecedor],"&lt;&gt;saída",estoque[data],preçodiario[[#This Row],[data]])))))</f>
        <v>14.140442890442889</v>
      </c>
      <c r="L92" s="22">
        <f>IF(preçodiario[[#This Row],[entrada B]]=0,L91-(SUMIFS(estoque[quantidade],estoque[fornecedor],"saída",estoque[produto],preçodiario[[#Headers],[OVO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Row],[data]]))+L91+preçodiario[[#This Row],[entrada B]])</f>
        <v>52</v>
      </c>
      <c r="M92" s="22">
        <f>SUMIFS(estoque[quantidade],estoque[fornecedor],"&lt;&gt;saída",estoque[produto],preçodiario[[#Headers],[OVO BRANCO B]],estoque[data],preçodiario[[#This Row],[data]])</f>
        <v>0</v>
      </c>
      <c r="N92" s="20">
        <f>SUMIFS(estoque[valor total],estoque[fornecedor],"&lt;&gt;saída",estoque[produto],preçodiario[[#Headers],[OVO BRANCO B]],estoque[data],preçodiario[[#This Row],[data]])</f>
        <v>0</v>
      </c>
      <c r="O92" s="20">
        <f>IFERROR(preçodiario[[#This Row],[OVO BRANCO B]]*preçodiario[[#This Row],[estoque B]],0)</f>
        <v>735.30303030303025</v>
      </c>
      <c r="P9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Row],[data]])),((P91*Q91)+SUMIFS(estoque[valor total],estoque[produto],preçodiario[[#Headers],[OVO BRANCO C]],estoque[data],preçodiario[[#This Row],[data]],estoque[fornecedor],"&lt;&gt;saída"))/(Q91+(SUMIFS(estoque[quantidade],estoque[produto],preçodiario[[#Headers],[OVO BRANCO C]],estoque[fornecedor],"&lt;&gt;saída",estoque[data],preçodiario[[#This Row],[data]])))))</f>
        <v>11.583333333333334</v>
      </c>
      <c r="Q92" s="22">
        <f>IF(preçodiario[[#This Row],[entrada C]]=0,Q91-(SUMIFS(estoque[quantidade],estoque[fornecedor],"saída",estoque[produto],preçodiario[[#Headers],[OVO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Row],[data]]))+Q91+preçodiario[[#This Row],[entrada C]])</f>
        <v>3</v>
      </c>
      <c r="R92" s="22">
        <f>SUMIFS(estoque[quantidade],estoque[fornecedor],"&lt;&gt;saída",estoque[produto],preçodiario[[#Headers],[OVO BRANCO C]],estoque[data],preçodiario[[#This Row],[data]])</f>
        <v>0</v>
      </c>
      <c r="S92" s="20">
        <f>SUMIFS(estoque[valor total],estoque[fornecedor],"&lt;&gt;saída",estoque[produto],preçodiario[[#Headers],[OVO BRANCO C]],estoque[data],preçodiario[[#This Row],[data]])</f>
        <v>0</v>
      </c>
      <c r="T92" s="20">
        <f>IFERROR(preçodiario[[#This Row],[OVO BRANCO C]]*preçodiario[[#This Row],[estoque C]],0)</f>
        <v>34.75</v>
      </c>
      <c r="U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Row],[data]])),((U91*V91)+SUMIFS(estoque[valor total],estoque[produto],preçodiario[[#Headers],[OVO BRANCO EXTRA]],estoque[data],preçodiario[[#This Row],[data]],estoque[fornecedor],"&lt;&gt;saída"))/(V91+(SUMIFS(estoque[quantidade],estoque[produto],preçodiario[[#Headers],[OVO BRANCO EXTRA]],estoque[fornecedor],"&lt;&gt;saída",estoque[data],preçodiario[[#This Row],[data]])))))</f>
        <v>15.833333333333337</v>
      </c>
      <c r="V92" s="22">
        <f>IF(preçodiario[[#This Row],[entrada E]]=0,V91-(SUMIFS(estoque[quantidade],estoque[fornecedor],"saída",estoque[produto],preçodiario[[#Headers],[OVO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Row],[data]]))+V91+preçodiario[[#This Row],[entrada E]])</f>
        <v>118</v>
      </c>
      <c r="W92" s="22">
        <f>SUMIFS(estoque[quantidade],estoque[fornecedor],"&lt;&gt;saída",estoque[produto],preçodiario[[#Headers],[OVO BRANCO EXTRA]],estoque[data],preçodiario[[#This Row],[data]])</f>
        <v>0</v>
      </c>
      <c r="X92" s="20">
        <f>SUMIFS(estoque[valor total],estoque[fornecedor],"&lt;&gt;saída",estoque[produto],preçodiario[[#Headers],[OVO BRANCO EXTRA]],estoque[data],preçodiario[[#This Row],[data]])</f>
        <v>0</v>
      </c>
      <c r="Y92" s="20">
        <f>IFERROR(preçodiario[[#This Row],[estoque E]]*preçodiario[[#This Row],[OVO BRANCO EXTRA]],0)</f>
        <v>1868.3333333333337</v>
      </c>
      <c r="Z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Row],[data]])),((Z91*AA91)+SUMIFS(estoque[valor total],estoque[produto],preçodiario[[#Headers],[OVO BRANCO JUMBO]],estoque[data],preçodiario[[#This Row],[data]],estoque[fornecedor],"&lt;&gt;saída"))/(AA91+(SUMIFS(estoque[quantidade],estoque[produto],preçodiario[[#Headers],[OVO BRANCO JUMBO]],estoque[fornecedor],"&lt;&gt;saída",estoque[data],preçodiario[[#This Row],[data]])))))</f>
        <v>16.666666666666668</v>
      </c>
      <c r="AA92" s="22">
        <f>IF(preçodiario[[#This Row],[entrada J]]=0,AA91-(SUMIFS(estoque[quantidade],estoque[fornecedor],"saída",estoque[produto],preçodiario[[#Headers],[OVO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Row],[data]]))+AA91+preçodiario[[#This Row],[entrada J]])</f>
        <v>101</v>
      </c>
      <c r="AB92" s="22">
        <f>SUMIFS(estoque[quantidade],estoque[fornecedor],"&lt;&gt;saída",estoque[produto],preçodiario[[#Headers],[OVO BRANCO JUMBO]],estoque[data],preçodiario[[#This Row],[data]])</f>
        <v>0</v>
      </c>
      <c r="AC92" s="20">
        <f>SUMIFS(estoque[valor total],estoque[fornecedor],"&lt;&gt;saída",estoque[produto],preçodiario[[#Headers],[OVO BRANCO JUMBO]],estoque[data],preçodiario[[#This Row],[data]])</f>
        <v>0</v>
      </c>
      <c r="AD92" s="20">
        <f>IFERROR(preçodiario[[#This Row],[OVO BRANCO JUMBO]]*preçodiario[[#This Row],[estoque J]],0)</f>
        <v>1683.3333333333335</v>
      </c>
      <c r="AE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Row],[data]])),((AE91*AF91)+SUMIFS(estoque[valor total],estoque[produto],preçodiario[[#Headers],[OVO VERMELHO A]],estoque[data],preçodiario[[#This Row],[data]],estoque[fornecedor],"&lt;&gt;saída"))/(AF91+(SUMIFS(estoque[quantidade],estoque[produto],preçodiario[[#Headers],[OVO VERMELHO A]],estoque[fornecedor],"&lt;&gt;saída",estoque[data],preçodiario[[#This Row],[data]])))))</f>
        <v/>
      </c>
      <c r="AF92" s="22">
        <f>IF(preçodiario[[#This Row],[entrada AV]]=0,AF91-(SUMIFS(estoque[quantidade],estoque[fornecedor],"saída",estoque[produto],preçodiario[[#Headers],[OVO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Row],[data]]))+AF91+preçodiario[[#This Row],[entrada AV]])</f>
        <v>0</v>
      </c>
      <c r="AG92" s="22">
        <f>SUMIFS(estoque[quantidade],estoque[fornecedor],"&lt;&gt;saída",estoque[produto],preçodiario[[#Headers],[OVO VERMELHO A]],estoque[data],preçodiario[[#This Row],[data]])</f>
        <v>0</v>
      </c>
      <c r="AH92" s="20">
        <f>SUMIFS(estoque[valor total],estoque[fornecedor],"&lt;&gt;saída",estoque[produto],preçodiario[[#Headers],[OVO VERMELHO A]],estoque[data],preçodiario[[#This Row],[data]])</f>
        <v>0</v>
      </c>
      <c r="AI92" s="20">
        <f>IFERROR(preçodiario[[#This Row],[OVO VERMELHO A]]*preçodiario[[#This Row],[estoque AV]],0)</f>
        <v>0</v>
      </c>
      <c r="AJ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Row],[data]])),((AJ91*AK91)+SUMIFS(estoque[valor total],estoque[produto],preçodiario[[#Headers],[OVO VERMELHO B]],estoque[data],preçodiario[[#This Row],[data]],estoque[fornecedor],"&lt;&gt;saída"))/(AK91+(SUMIFS(estoque[quantidade],estoque[produto],preçodiario[[#Headers],[OVO VERMELHO B]],estoque[fornecedor],"&lt;&gt;saída",estoque[data],preçodiario[[#This Row],[data]])))))</f>
        <v/>
      </c>
      <c r="AK92" s="22">
        <f>IF(preçodiario[[#This Row],[entrada BV]]=0,AK91-(SUMIFS(estoque[quantidade],estoque[fornecedor],"saída",estoque[produto],preçodiario[[#Headers],[OVO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Row],[data]]))+AK91+preçodiario[[#This Row],[entrada BV]])</f>
        <v>0</v>
      </c>
      <c r="AL92" s="22">
        <f>SUMIFS(estoque[quantidade],estoque[fornecedor],"&lt;&gt;saída",estoque[produto],preçodiario[[#Headers],[OVO VERMELHO B]],estoque[data],preçodiario[[#This Row],[data]])</f>
        <v>0</v>
      </c>
      <c r="AM92" s="20">
        <f>SUMIFS(estoque[valor total],estoque[fornecedor],"&lt;&gt;saída",estoque[produto],preçodiario[[#Headers],[OVO VERMELHO B]],estoque[data],preçodiario[[#This Row],[data]])</f>
        <v>0</v>
      </c>
      <c r="AN92" s="20">
        <f>IFERROR(preçodiario[[#This Row],[OVO VERMELHO B]]*preçodiario[[#This Row],[estoque BV]],0)</f>
        <v>0</v>
      </c>
      <c r="AO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Row],[data]])),((AO91*AP91)+SUMIFS(estoque[valor total],estoque[produto],preçodiario[[#Headers],[OVO VERMELHO C]],estoque[data],preçodiario[[#This Row],[data]],estoque[fornecedor],"&lt;&gt;saída"))/(AP91+(SUMIFS(estoque[quantidade],estoque[produto],preçodiario[[#Headers],[OVO VERMELHO C]],estoque[fornecedor],"&lt;&gt;saída",estoque[data],preçodiario[[#This Row],[data]])))))</f>
        <v/>
      </c>
      <c r="AP92" s="22">
        <f>IF(preçodiario[[#This Row],[entrada CV]]=0,AP91-(SUMIFS(estoque[quantidade],estoque[fornecedor],"saída",estoque[produto],preçodiario[[#Headers],[OVO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Row],[data]]))+AP91+preçodiario[[#This Row],[entrada CV]])</f>
        <v>0</v>
      </c>
      <c r="AQ92" s="22">
        <f>SUMIFS(estoque[quantidade],estoque[fornecedor],"&lt;&gt;saída",estoque[produto],preçodiario[[#Headers],[OVO VERMELHO C]],estoque[data],preçodiario[[#This Row],[data]])</f>
        <v>0</v>
      </c>
      <c r="AR92" s="20">
        <f>SUMIFS(estoque[valor total],estoque[fornecedor],"&lt;&gt;saída",estoque[produto],preçodiario[[#Headers],[OVO VERMELHO C]],estoque[data],preçodiario[[#This Row],[data]])</f>
        <v>0</v>
      </c>
      <c r="AS92" s="20">
        <f>IFERROR(preçodiario[[#This Row],[OVO VERMELHO C]]*preçodiario[[#This Row],[estoque CV]],0)</f>
        <v>0</v>
      </c>
      <c r="AT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Row],[data]])),((AT91*AU91)+SUMIFS(estoque[valor total],estoque[produto],preçodiario[[#Headers],[OVO VERMELHO EXTRA]],estoque[data],preçodiario[[#This Row],[data]],estoque[fornecedor],"&lt;&gt;saída"))/(AU91+(SUMIFS(estoque[quantidade],estoque[produto],preçodiario[[#Headers],[OVO VERMELHO EXTRA]],estoque[fornecedor],"&lt;&gt;saída",estoque[data],preçodiario[[#This Row],[data]])))))</f>
        <v/>
      </c>
      <c r="AU92" s="22">
        <f>IF(preçodiario[[#This Row],[entrada EV]]=0,AU91-(SUMIFS(estoque[quantidade],estoque[fornecedor],"saída",estoque[produto],preçodiario[[#Headers],[OVO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Row],[data]]))+AU91+preçodiario[[#This Row],[entrada EV]])</f>
        <v>0</v>
      </c>
      <c r="AV92" s="22">
        <f>SUMIFS(estoque[quantidade],estoque[fornecedor],"&lt;&gt;saída",estoque[produto],preçodiario[[#Headers],[OVO VERMELHO EXTRA]],estoque[data],preçodiario[[#This Row],[data]])</f>
        <v>0</v>
      </c>
      <c r="AW92" s="20">
        <f>SUMIFS(estoque[valor total],estoque[fornecedor],"&lt;&gt;saída",estoque[produto],preçodiario[[#Headers],[OVO VERMELHO EXTRA]],estoque[data],preçodiario[[#This Row],[data]])</f>
        <v>0</v>
      </c>
      <c r="AX92" s="20">
        <f>IFERROR(preçodiario[[#This Row],[OVO VERMELHO EXTRA]]*preçodiario[[#This Row],[estoque EV]],0)</f>
        <v>0</v>
      </c>
      <c r="AY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Row],[data]])),((AY91*AZ91)+SUMIFS(estoque[valor total],estoque[produto],preçodiario[[#Headers],[OVO VERMELHO JUMBO]],estoque[data],preçodiario[[#This Row],[data]],estoque[fornecedor],"&lt;&gt;saída"))/(AZ91+(SUMIFS(estoque[quantidade],estoque[produto],preçodiario[[#Headers],[OVO VERMELHO JUMBO]],estoque[fornecedor],"&lt;&gt;saída",estoque[data],preçodiario[[#This Row],[data]])))))</f>
        <v/>
      </c>
      <c r="AZ92" s="22">
        <f>IF(preçodiario[[#This Row],[entrada JV]]=0,AZ91-(SUMIFS(estoque[quantidade],estoque[fornecedor],"saída",estoque[produto],preçodiario[[#Headers],[OVO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Row],[data]]))+AZ91+preçodiario[[#This Row],[entrada JV]])</f>
        <v>0</v>
      </c>
      <c r="BA92" s="22">
        <f>SUMIFS(estoque[quantidade],estoque[fornecedor],"&lt;&gt;saída",estoque[produto],preçodiario[[#Headers],[OVO VERMELHO JUMBO]],estoque[data],preçodiario[[#This Row],[data]])</f>
        <v>0</v>
      </c>
      <c r="BB92" s="20">
        <f>SUMIFS(estoque[valor total],estoque[fornecedor],"&lt;&gt;saída",estoque[produto],preçodiario[[#Headers],[OVO VERMELHO JUMBO]],estoque[data],preçodiario[[#This Row],[data]])</f>
        <v>0</v>
      </c>
      <c r="BC92" s="20">
        <f>IFERROR(preçodiario[[#This Row],[OVO VERMELHO JUMBO]]*preçodiario[[#This Row],[estoque JV]],0)</f>
        <v>0</v>
      </c>
      <c r="BD92" t="str">
        <f>TEXT(vendaAno[[#This Row],[data]],"mmm")</f>
        <v>abr</v>
      </c>
      <c r="BE92" t="str">
        <f>TEXT(vendaAno[[#This Row],[data]],"ddd")</f>
        <v>qua</v>
      </c>
      <c r="BF92" s="82">
        <f>WEEKNUM(vendaAno[[#This Row],[data]],13)</f>
        <v>14</v>
      </c>
      <c r="BG92" s="27">
        <f>preçodiario[[#This Row],[data]]</f>
        <v>46113</v>
      </c>
      <c r="BH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2" s="8">
        <f>IF(SUMIFS(estoque[valor total],estoque[fornecedor],"saída",estoque[data],vendaAno[[#This Row],[data]])=0,"",SUMIFS(estoque[valor total],estoque[fornecedor],"saída",estoque[data],vendaAno[[#This Row],[data]]))</f>
        <v>888</v>
      </c>
      <c r="BJ9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Row],[data]]))/12+BJ91,"")</f>
        <v>29.249999999999975</v>
      </c>
      <c r="BK92" s="79">
        <f ca="1">IF(TODAY()&gt;=vendaAno[[#This Row],[data]],IF(SUMIFS(estoque[quantidade],estoque[fornecedor],"saída",estoque[data],vendaAno[[#This Row],[data]])/12=0,AVERAGE(BK89:BK91),SUMIFS(estoque[quantidade],estoque[fornecedor],"saída",estoque[data],vendaAno[[#This Row],[data]])/12),"")</f>
        <v>3.9166666666666665</v>
      </c>
      <c r="BL92" s="8">
        <f ca="1">IF(vendaAno[[#This Row],[data]]&lt;=TODAY(),IF(SUMIFS(estoque[lucro],estoque[fornecedor],"saída",estoque[data],vendaAno[[#This Row],[data]])=0,AVERAGE(BL89:BL91),SUMIFS(estoque[lucro],estoque[fornecedor],"saída",estoque[data],vendaAno[[#This Row],[data]])),"")</f>
        <v>202.98</v>
      </c>
      <c r="BM92" s="10">
        <f ca="1">IFERROR(vendaAno[[#This Row],[lucro]]/vendaAno[[#This Row],[valor de venda]],"")</f>
        <v>0.22858108108108108</v>
      </c>
      <c r="BN9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5476.719696969697</v>
      </c>
      <c r="BO92" s="8">
        <f ca="1">IF(TODAY()&gt;=vendaAno[[#This Row],[data]],IF(vendaAno[[#This Row],[N°]]=BF91,vendaAno[[#This Row],[lucro]]-173.33+BO91,vendaAno[[#This Row],[lucro]]-150),"")</f>
        <v>52.97999999999999</v>
      </c>
      <c r="BP92" s="81">
        <f ca="1">IF(TODAY()&gt;=vendaAno[[#This Row],[data]],SUM(BK86:BK92)*12,"")</f>
        <v>262</v>
      </c>
      <c r="BQ92" s="7">
        <f ca="1">IFERROR(vendaAno[[#This Row],[lucro]]/(vendaAno[[#This Row],[venda]]*12),"")</f>
        <v>4.3187234042553193</v>
      </c>
    </row>
    <row r="93" spans="1:82" x14ac:dyDescent="0.25">
      <c r="A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3" s="18" t="str">
        <f>TEXT(preçodiario[[#This Row],[data]],"MMM")</f>
        <v>abr</v>
      </c>
      <c r="C93" s="18" t="str">
        <f>TEXT(preçodiario[[#This Row],[data]],"ddd")</f>
        <v>qui</v>
      </c>
      <c r="D93" s="96">
        <f>WEEKNUM(preçodiario[[#This Row],[data]],13)</f>
        <v>14</v>
      </c>
      <c r="E93" s="37">
        <v>46114</v>
      </c>
      <c r="F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Row],[data]])),((F92*G92)+SUMIFS(estoque[valor total],estoque[produto],preçodiario[[#Headers],[OVO BRANCO A]],estoque[data],preçodiario[[#This Row],[data]],estoque[fornecedor],"&lt;&gt;saída"))/(G92+(SUMIFS(estoque[quantidade],estoque[produto],preçodiario[[#Headers],[OVO BRANCO A]],estoque[fornecedor],"&lt;&gt;saída",estoque[data],preçodiario[[#This Row],[data]])))))</f>
        <v>15</v>
      </c>
      <c r="G93" s="22">
        <f>IF(preçodiario[[#This Row],[entrada A]]=0,G92-(SUMIFS(estoque[quantidade],estoque[fornecedor],"saída",estoque[produto],preçodiario[[#Headers],[OVO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Row],[data]]))+G92+preçodiario[[#This Row],[entrada A]])</f>
        <v>62</v>
      </c>
      <c r="H93" s="22">
        <f>SUMIFS(estoque[quantidade],estoque[fornecedor],"&lt;&gt;saída",estoque[produto],preçodiario[[#Headers],[OVO BRANCO A]],estoque[data],preçodiario[[#This Row],[data]])</f>
        <v>0</v>
      </c>
      <c r="I93" s="20">
        <f>SUMIFS(estoque[valor total],estoque[fornecedor],"&lt;&gt;saída",estoque[produto],preçodiario[[#Headers],[OVO BRANCO A]],estoque[data],preçodiario[[#This Row],[data]])</f>
        <v>0</v>
      </c>
      <c r="J93" s="20">
        <f>IFERROR(preçodiario[[#This Row],[estoque A]]*preçodiario[[#This Row],[OVO BRANCO A]],0)</f>
        <v>930</v>
      </c>
      <c r="K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Row],[data]])),((K92*L92)+SUMIFS(estoque[valor total],estoque[produto],preçodiario[[#Headers],[OVO BRANCO B]],estoque[data],preçodiario[[#This Row],[data]],estoque[fornecedor],"&lt;&gt;saída"))/(L92+(SUMIFS(estoque[quantidade],estoque[produto],preçodiario[[#Headers],[OVO BRANCO B]],estoque[fornecedor],"&lt;&gt;saída",estoque[data],preçodiario[[#This Row],[data]])))))</f>
        <v>14.140442890442889</v>
      </c>
      <c r="L93" s="22">
        <f>IF(preçodiario[[#This Row],[entrada B]]=0,L92-(SUMIFS(estoque[quantidade],estoque[fornecedor],"saída",estoque[produto],preçodiario[[#Headers],[OVO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Row],[data]]))+L92+preçodiario[[#This Row],[entrada B]])</f>
        <v>43</v>
      </c>
      <c r="M93" s="22">
        <f>SUMIFS(estoque[quantidade],estoque[fornecedor],"&lt;&gt;saída",estoque[produto],preçodiario[[#Headers],[OVO BRANCO B]],estoque[data],preçodiario[[#This Row],[data]])</f>
        <v>0</v>
      </c>
      <c r="N93" s="20">
        <f>SUMIFS(estoque[valor total],estoque[fornecedor],"&lt;&gt;saída",estoque[produto],preçodiario[[#Headers],[OVO BRANCO B]],estoque[data],preçodiario[[#This Row],[data]])</f>
        <v>0</v>
      </c>
      <c r="O93" s="20">
        <f>IFERROR(preçodiario[[#This Row],[OVO BRANCO B]]*preçodiario[[#This Row],[estoque B]],0)</f>
        <v>608.03904428904423</v>
      </c>
      <c r="P9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Row],[data]])),((P92*Q92)+SUMIFS(estoque[valor total],estoque[produto],preçodiario[[#Headers],[OVO BRANCO C]],estoque[data],preçodiario[[#This Row],[data]],estoque[fornecedor],"&lt;&gt;saída"))/(Q92+(SUMIFS(estoque[quantidade],estoque[produto],preçodiario[[#Headers],[OVO BRANCO C]],estoque[fornecedor],"&lt;&gt;saída",estoque[data],preçodiario[[#This Row],[data]])))))</f>
        <v/>
      </c>
      <c r="Q93" s="22">
        <f>IF(preçodiario[[#This Row],[entrada C]]=0,Q92-(SUMIFS(estoque[quantidade],estoque[fornecedor],"saída",estoque[produto],preçodiario[[#Headers],[OVO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Row],[data]]))+Q92+preçodiario[[#This Row],[entrada C]])</f>
        <v>0</v>
      </c>
      <c r="R93" s="22">
        <f>SUMIFS(estoque[quantidade],estoque[fornecedor],"&lt;&gt;saída",estoque[produto],preçodiario[[#Headers],[OVO BRANCO C]],estoque[data],preçodiario[[#This Row],[data]])</f>
        <v>0</v>
      </c>
      <c r="S93" s="20">
        <f>SUMIFS(estoque[valor total],estoque[fornecedor],"&lt;&gt;saída",estoque[produto],preçodiario[[#Headers],[OVO BRANCO C]],estoque[data],preçodiario[[#This Row],[data]])</f>
        <v>0</v>
      </c>
      <c r="T93" s="20">
        <f>IFERROR(preçodiario[[#This Row],[OVO BRANCO C]]*preçodiario[[#This Row],[estoque C]],0)</f>
        <v>0</v>
      </c>
      <c r="U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Row],[data]])),((U92*V92)+SUMIFS(estoque[valor total],estoque[produto],preçodiario[[#Headers],[OVO BRANCO EXTRA]],estoque[data],preçodiario[[#This Row],[data]],estoque[fornecedor],"&lt;&gt;saída"))/(V92+(SUMIFS(estoque[quantidade],estoque[produto],preçodiario[[#Headers],[OVO BRANCO EXTRA]],estoque[fornecedor],"&lt;&gt;saída",estoque[data],preçodiario[[#This Row],[data]])))))</f>
        <v>15.833333333333336</v>
      </c>
      <c r="V93" s="22">
        <f>IF(preçodiario[[#This Row],[entrada E]]=0,V92-(SUMIFS(estoque[quantidade],estoque[fornecedor],"saída",estoque[produto],preçodiario[[#Headers],[OVO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Row],[data]]))+V92+preçodiario[[#This Row],[entrada E]])</f>
        <v>110</v>
      </c>
      <c r="W93" s="22">
        <f>SUMIFS(estoque[quantidade],estoque[fornecedor],"&lt;&gt;saída",estoque[produto],preçodiario[[#Headers],[OVO BRANCO EXTRA]],estoque[data],preçodiario[[#This Row],[data]])</f>
        <v>0</v>
      </c>
      <c r="X93" s="20">
        <f>SUMIFS(estoque[valor total],estoque[fornecedor],"&lt;&gt;saída",estoque[produto],preçodiario[[#Headers],[OVO BRANCO EXTRA]],estoque[data],preçodiario[[#This Row],[data]])</f>
        <v>0</v>
      </c>
      <c r="Y93" s="20">
        <f>IFERROR(preçodiario[[#This Row],[estoque E]]*preçodiario[[#This Row],[OVO BRANCO EXTRA]],0)</f>
        <v>1741.666666666667</v>
      </c>
      <c r="Z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Row],[data]])),((Z92*AA92)+SUMIFS(estoque[valor total],estoque[produto],preçodiario[[#Headers],[OVO BRANCO JUMBO]],estoque[data],preçodiario[[#This Row],[data]],estoque[fornecedor],"&lt;&gt;saída"))/(AA92+(SUMIFS(estoque[quantidade],estoque[produto],preçodiario[[#Headers],[OVO BRANCO JUMBO]],estoque[fornecedor],"&lt;&gt;saída",estoque[data],preçodiario[[#This Row],[data]])))))</f>
        <v>16.666666666666668</v>
      </c>
      <c r="AA93" s="22">
        <f>IF(preçodiario[[#This Row],[entrada J]]=0,AA92-(SUMIFS(estoque[quantidade],estoque[fornecedor],"saída",estoque[produto],preçodiario[[#Headers],[OVO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Row],[data]]))+AA92+preçodiario[[#This Row],[entrada J]])</f>
        <v>96</v>
      </c>
      <c r="AB93" s="22">
        <f>SUMIFS(estoque[quantidade],estoque[fornecedor],"&lt;&gt;saída",estoque[produto],preçodiario[[#Headers],[OVO BRANCO JUMBO]],estoque[data],preçodiario[[#This Row],[data]])</f>
        <v>0</v>
      </c>
      <c r="AC93" s="20">
        <f>SUMIFS(estoque[valor total],estoque[fornecedor],"&lt;&gt;saída",estoque[produto],preçodiario[[#Headers],[OVO BRANCO JUMBO]],estoque[data],preçodiario[[#This Row],[data]])</f>
        <v>0</v>
      </c>
      <c r="AD93" s="20">
        <f>IFERROR(preçodiario[[#This Row],[OVO BRANCO JUMBO]]*preçodiario[[#This Row],[estoque J]],0)</f>
        <v>1600</v>
      </c>
      <c r="AE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Row],[data]])),((AE92*AF92)+SUMIFS(estoque[valor total],estoque[produto],preçodiario[[#Headers],[OVO VERMELHO A]],estoque[data],preçodiario[[#This Row],[data]],estoque[fornecedor],"&lt;&gt;saída"))/(AF92+(SUMIFS(estoque[quantidade],estoque[produto],preçodiario[[#Headers],[OVO VERMELHO A]],estoque[fornecedor],"&lt;&gt;saída",estoque[data],preçodiario[[#This Row],[data]])))))</f>
        <v/>
      </c>
      <c r="AF93" s="22">
        <f>IF(preçodiario[[#This Row],[entrada AV]]=0,AF92-(SUMIFS(estoque[quantidade],estoque[fornecedor],"saída",estoque[produto],preçodiario[[#Headers],[OVO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Row],[data]]))+AF92+preçodiario[[#This Row],[entrada AV]])</f>
        <v>0</v>
      </c>
      <c r="AG93" s="22">
        <f>SUMIFS(estoque[quantidade],estoque[fornecedor],"&lt;&gt;saída",estoque[produto],preçodiario[[#Headers],[OVO VERMELHO A]],estoque[data],preçodiario[[#This Row],[data]])</f>
        <v>0</v>
      </c>
      <c r="AH93" s="20">
        <f>SUMIFS(estoque[valor total],estoque[fornecedor],"&lt;&gt;saída",estoque[produto],preçodiario[[#Headers],[OVO VERMELHO A]],estoque[data],preçodiario[[#This Row],[data]])</f>
        <v>0</v>
      </c>
      <c r="AI93" s="20">
        <f>IFERROR(preçodiario[[#This Row],[OVO VERMELHO A]]*preçodiario[[#This Row],[estoque AV]],0)</f>
        <v>0</v>
      </c>
      <c r="AJ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Row],[data]])),((AJ92*AK92)+SUMIFS(estoque[valor total],estoque[produto],preçodiario[[#Headers],[OVO VERMELHO B]],estoque[data],preçodiario[[#This Row],[data]],estoque[fornecedor],"&lt;&gt;saída"))/(AK92+(SUMIFS(estoque[quantidade],estoque[produto],preçodiario[[#Headers],[OVO VERMELHO B]],estoque[fornecedor],"&lt;&gt;saída",estoque[data],preçodiario[[#This Row],[data]])))))</f>
        <v/>
      </c>
      <c r="AK93" s="22">
        <f>IF(preçodiario[[#This Row],[entrada BV]]=0,AK92-(SUMIFS(estoque[quantidade],estoque[fornecedor],"saída",estoque[produto],preçodiario[[#Headers],[OVO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Row],[data]]))+AK92+preçodiario[[#This Row],[entrada BV]])</f>
        <v>0</v>
      </c>
      <c r="AL93" s="22">
        <f>SUMIFS(estoque[quantidade],estoque[fornecedor],"&lt;&gt;saída",estoque[produto],preçodiario[[#Headers],[OVO VERMELHO B]],estoque[data],preçodiario[[#This Row],[data]])</f>
        <v>0</v>
      </c>
      <c r="AM93" s="20">
        <f>SUMIFS(estoque[valor total],estoque[fornecedor],"&lt;&gt;saída",estoque[produto],preçodiario[[#Headers],[OVO VERMELHO B]],estoque[data],preçodiario[[#This Row],[data]])</f>
        <v>0</v>
      </c>
      <c r="AN93" s="20">
        <f>IFERROR(preçodiario[[#This Row],[OVO VERMELHO B]]*preçodiario[[#This Row],[estoque BV]],0)</f>
        <v>0</v>
      </c>
      <c r="AO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Row],[data]])),((AO92*AP92)+SUMIFS(estoque[valor total],estoque[produto],preçodiario[[#Headers],[OVO VERMELHO C]],estoque[data],preçodiario[[#This Row],[data]],estoque[fornecedor],"&lt;&gt;saída"))/(AP92+(SUMIFS(estoque[quantidade],estoque[produto],preçodiario[[#Headers],[OVO VERMELHO C]],estoque[fornecedor],"&lt;&gt;saída",estoque[data],preçodiario[[#This Row],[data]])))))</f>
        <v/>
      </c>
      <c r="AP93" s="22">
        <f>IF(preçodiario[[#This Row],[entrada CV]]=0,AP92-(SUMIFS(estoque[quantidade],estoque[fornecedor],"saída",estoque[produto],preçodiario[[#Headers],[OVO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Row],[data]]))+AP92+preçodiario[[#This Row],[entrada CV]])</f>
        <v>0</v>
      </c>
      <c r="AQ93" s="22">
        <f>SUMIFS(estoque[quantidade],estoque[fornecedor],"&lt;&gt;saída",estoque[produto],preçodiario[[#Headers],[OVO VERMELHO C]],estoque[data],preçodiario[[#This Row],[data]])</f>
        <v>0</v>
      </c>
      <c r="AR93" s="20">
        <f>SUMIFS(estoque[valor total],estoque[fornecedor],"&lt;&gt;saída",estoque[produto],preçodiario[[#Headers],[OVO VERMELHO C]],estoque[data],preçodiario[[#This Row],[data]])</f>
        <v>0</v>
      </c>
      <c r="AS93" s="20">
        <f>IFERROR(preçodiario[[#This Row],[OVO VERMELHO C]]*preçodiario[[#This Row],[estoque CV]],0)</f>
        <v>0</v>
      </c>
      <c r="AT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Row],[data]])),((AT92*AU92)+SUMIFS(estoque[valor total],estoque[produto],preçodiario[[#Headers],[OVO VERMELHO EXTRA]],estoque[data],preçodiario[[#This Row],[data]],estoque[fornecedor],"&lt;&gt;saída"))/(AU92+(SUMIFS(estoque[quantidade],estoque[produto],preçodiario[[#Headers],[OVO VERMELHO EXTRA]],estoque[fornecedor],"&lt;&gt;saída",estoque[data],preçodiario[[#This Row],[data]])))))</f>
        <v/>
      </c>
      <c r="AU93" s="22">
        <f>IF(preçodiario[[#This Row],[entrada EV]]=0,AU92-(SUMIFS(estoque[quantidade],estoque[fornecedor],"saída",estoque[produto],preçodiario[[#Headers],[OVO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Row],[data]]))+AU92+preçodiario[[#This Row],[entrada EV]])</f>
        <v>0</v>
      </c>
      <c r="AV93" s="22">
        <f>SUMIFS(estoque[quantidade],estoque[fornecedor],"&lt;&gt;saída",estoque[produto],preçodiario[[#Headers],[OVO VERMELHO EXTRA]],estoque[data],preçodiario[[#This Row],[data]])</f>
        <v>0</v>
      </c>
      <c r="AW93" s="20">
        <f>SUMIFS(estoque[valor total],estoque[fornecedor],"&lt;&gt;saída",estoque[produto],preçodiario[[#Headers],[OVO VERMELHO EXTRA]],estoque[data],preçodiario[[#This Row],[data]])</f>
        <v>0</v>
      </c>
      <c r="AX93" s="20">
        <f>IFERROR(preçodiario[[#This Row],[OVO VERMELHO EXTRA]]*preçodiario[[#This Row],[estoque EV]],0)</f>
        <v>0</v>
      </c>
      <c r="AY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Row],[data]])),((AY92*AZ92)+SUMIFS(estoque[valor total],estoque[produto],preçodiario[[#Headers],[OVO VERMELHO JUMBO]],estoque[data],preçodiario[[#This Row],[data]],estoque[fornecedor],"&lt;&gt;saída"))/(AZ92+(SUMIFS(estoque[quantidade],estoque[produto],preçodiario[[#Headers],[OVO VERMELHO JUMBO]],estoque[fornecedor],"&lt;&gt;saída",estoque[data],preçodiario[[#This Row],[data]])))))</f>
        <v/>
      </c>
      <c r="AZ93" s="22">
        <f>IF(preçodiario[[#This Row],[entrada JV]]=0,AZ92-(SUMIFS(estoque[quantidade],estoque[fornecedor],"saída",estoque[produto],preçodiario[[#Headers],[OVO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Row],[data]]))+AZ92+preçodiario[[#This Row],[entrada JV]])</f>
        <v>0</v>
      </c>
      <c r="BA93" s="22">
        <f>SUMIFS(estoque[quantidade],estoque[fornecedor],"&lt;&gt;saída",estoque[produto],preçodiario[[#Headers],[OVO VERMELHO JUMBO]],estoque[data],preçodiario[[#This Row],[data]])</f>
        <v>0</v>
      </c>
      <c r="BB93" s="20">
        <f>SUMIFS(estoque[valor total],estoque[fornecedor],"&lt;&gt;saída",estoque[produto],preçodiario[[#Headers],[OVO VERMELHO JUMBO]],estoque[data],preçodiario[[#This Row],[data]])</f>
        <v>0</v>
      </c>
      <c r="BC93" s="20">
        <f>IFERROR(preçodiario[[#This Row],[OVO VERMELHO JUMBO]]*preçodiario[[#This Row],[estoque JV]],0)</f>
        <v>0</v>
      </c>
      <c r="BD93" t="str">
        <f>TEXT(vendaAno[[#This Row],[data]],"mmm")</f>
        <v>abr</v>
      </c>
      <c r="BE93" t="str">
        <f>TEXT(vendaAno[[#This Row],[data]],"ddd")</f>
        <v>qui</v>
      </c>
      <c r="BF93" s="82">
        <f>WEEKNUM(vendaAno[[#This Row],[data]],13)</f>
        <v>14</v>
      </c>
      <c r="BG93" s="27">
        <f>preçodiario[[#This Row],[data]]</f>
        <v>46114</v>
      </c>
      <c r="BH9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3" s="8">
        <f>IF(SUMIFS(estoque[valor total],estoque[fornecedor],"saída",estoque[data],vendaAno[[#This Row],[data]])=0,"",SUMIFS(estoque[valor total],estoque[fornecedor],"saída",estoque[data],vendaAno[[#This Row],[data]]))</f>
        <v>780</v>
      </c>
      <c r="BJ9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Row],[data]]))/12+BJ92,"")</f>
        <v>25.916666666666643</v>
      </c>
      <c r="BK93" s="79">
        <f ca="1">IF(TODAY()&gt;=vendaAno[[#This Row],[data]],IF(SUMIFS(estoque[quantidade],estoque[fornecedor],"saída",estoque[data],vendaAno[[#This Row],[data]])/12=0,AVERAGE(BK90:BK92),SUMIFS(estoque[quantidade],estoque[fornecedor],"saída",estoque[data],vendaAno[[#This Row],[data]])/12),"")</f>
        <v>3.3333333333333335</v>
      </c>
      <c r="BL93" s="8">
        <f ca="1">IF(vendaAno[[#This Row],[data]]&lt;=TODAY(),IF(SUMIFS(estoque[lucro],estoque[fornecedor],"saída",estoque[data],vendaAno[[#This Row],[data]])=0,AVERAGE(BL90:BL92),SUMIFS(estoque[lucro],estoque[fornecedor],"saída",estoque[data],vendaAno[[#This Row],[data]])),"")</f>
        <v>182.99</v>
      </c>
      <c r="BM93" s="10">
        <f ca="1">IFERROR(vendaAno[[#This Row],[lucro]]/vendaAno[[#This Row],[valor de venda]],"")</f>
        <v>0.23460256410256411</v>
      </c>
      <c r="BN9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4879.7057109557118</v>
      </c>
      <c r="BO93" s="8">
        <f ca="1">IF(TODAY()&gt;=vendaAno[[#This Row],[data]],IF(vendaAno[[#This Row],[N°]]=BF92,vendaAno[[#This Row],[lucro]]-173.33+BO92,vendaAno[[#This Row],[lucro]]-150),"")</f>
        <v>62.639999999999986</v>
      </c>
      <c r="BP93" s="81">
        <f ca="1">IF(TODAY()&gt;=vendaAno[[#This Row],[data]],SUM(BK87:BK93)*12,"")</f>
        <v>274</v>
      </c>
      <c r="BQ93" s="7">
        <f ca="1">IFERROR(vendaAno[[#This Row],[lucro]]/(vendaAno[[#This Row],[venda]]*12),"")</f>
        <v>4.5747499999999999</v>
      </c>
    </row>
    <row r="94" spans="1:82" x14ac:dyDescent="0.25">
      <c r="A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4" s="18" t="str">
        <f>TEXT(preçodiario[[#This Row],[data]],"MMM")</f>
        <v>abr</v>
      </c>
      <c r="C94" s="18" t="str">
        <f>TEXT(preçodiario[[#This Row],[data]],"ddd")</f>
        <v>sex</v>
      </c>
      <c r="D94" s="96">
        <f>WEEKNUM(preçodiario[[#This Row],[data]],13)</f>
        <v>14</v>
      </c>
      <c r="E94" s="37">
        <v>46115</v>
      </c>
      <c r="F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Row],[data]])),((F93*G93)+SUMIFS(estoque[valor total],estoque[produto],preçodiario[[#Headers],[OVO BRANCO A]],estoque[data],preçodiario[[#This Row],[data]],estoque[fornecedor],"&lt;&gt;saída"))/(G93+(SUMIFS(estoque[quantidade],estoque[produto],preçodiario[[#Headers],[OVO BRANCO A]],estoque[fornecedor],"&lt;&gt;saída",estoque[data],preçodiario[[#This Row],[data]])))))</f>
        <v>15</v>
      </c>
      <c r="G94" s="22">
        <f>IF(preçodiario[[#This Row],[entrada A]]=0,G93-(SUMIFS(estoque[quantidade],estoque[fornecedor],"saída",estoque[produto],preçodiario[[#Headers],[OVO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Row],[data]]))+G93+preçodiario[[#This Row],[entrada A]])</f>
        <v>37</v>
      </c>
      <c r="H94" s="22">
        <f>SUMIFS(estoque[quantidade],estoque[fornecedor],"&lt;&gt;saída",estoque[produto],preçodiario[[#Headers],[OVO BRANCO A]],estoque[data],preçodiario[[#This Row],[data]])</f>
        <v>0</v>
      </c>
      <c r="I94" s="20">
        <f>SUMIFS(estoque[valor total],estoque[fornecedor],"&lt;&gt;saída",estoque[produto],preçodiario[[#Headers],[OVO BRANCO A]],estoque[data],preçodiario[[#This Row],[data]])</f>
        <v>0</v>
      </c>
      <c r="J94" s="20">
        <f>IFERROR(preçodiario[[#This Row],[estoque A]]*preçodiario[[#This Row],[OVO BRANCO A]],0)</f>
        <v>555</v>
      </c>
      <c r="K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Row],[data]])),((K93*L93)+SUMIFS(estoque[valor total],estoque[produto],preçodiario[[#Headers],[OVO BRANCO B]],estoque[data],preçodiario[[#This Row],[data]],estoque[fornecedor],"&lt;&gt;saída"))/(L93+(SUMIFS(estoque[quantidade],estoque[produto],preçodiario[[#Headers],[OVO BRANCO B]],estoque[fornecedor],"&lt;&gt;saída",estoque[data],preçodiario[[#This Row],[data]])))))</f>
        <v>14.140442890442889</v>
      </c>
      <c r="L94" s="22">
        <f>IF(preçodiario[[#This Row],[entrada B]]=0,L93-(SUMIFS(estoque[quantidade],estoque[fornecedor],"saída",estoque[produto],preçodiario[[#Headers],[OVO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Row],[data]]))+L93+preçodiario[[#This Row],[entrada B]])</f>
        <v>29</v>
      </c>
      <c r="M94" s="22">
        <f>SUMIFS(estoque[quantidade],estoque[fornecedor],"&lt;&gt;saída",estoque[produto],preçodiario[[#Headers],[OVO BRANCO B]],estoque[data],preçodiario[[#This Row],[data]])</f>
        <v>0</v>
      </c>
      <c r="N94" s="20">
        <f>SUMIFS(estoque[valor total],estoque[fornecedor],"&lt;&gt;saída",estoque[produto],preçodiario[[#Headers],[OVO BRANCO B]],estoque[data],preçodiario[[#This Row],[data]])</f>
        <v>0</v>
      </c>
      <c r="O94" s="20">
        <f>IFERROR(preçodiario[[#This Row],[OVO BRANCO B]]*preçodiario[[#This Row],[estoque B]],0)</f>
        <v>410.07284382284377</v>
      </c>
      <c r="P9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Row],[data]])),((P93*Q93)+SUMIFS(estoque[valor total],estoque[produto],preçodiario[[#Headers],[OVO BRANCO C]],estoque[data],preçodiario[[#This Row],[data]],estoque[fornecedor],"&lt;&gt;saída"))/(Q93+(SUMIFS(estoque[quantidade],estoque[produto],preçodiario[[#Headers],[OVO BRANCO C]],estoque[fornecedor],"&lt;&gt;saída",estoque[data],preçodiario[[#This Row],[data]])))))</f>
        <v/>
      </c>
      <c r="Q94" s="22">
        <f>IF(preçodiario[[#This Row],[entrada C]]=0,Q93-(SUMIFS(estoque[quantidade],estoque[fornecedor],"saída",estoque[produto],preçodiario[[#Headers],[OVO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Row],[data]]))+Q93+preçodiario[[#This Row],[entrada C]])</f>
        <v>0</v>
      </c>
      <c r="R94" s="22">
        <f>SUMIFS(estoque[quantidade],estoque[fornecedor],"&lt;&gt;saída",estoque[produto],preçodiario[[#Headers],[OVO BRANCO C]],estoque[data],preçodiario[[#This Row],[data]])</f>
        <v>0</v>
      </c>
      <c r="S94" s="20">
        <f>SUMIFS(estoque[valor total],estoque[fornecedor],"&lt;&gt;saída",estoque[produto],preçodiario[[#Headers],[OVO BRANCO C]],estoque[data],preçodiario[[#This Row],[data]])</f>
        <v>0</v>
      </c>
      <c r="T94" s="20">
        <f>IFERROR(preçodiario[[#This Row],[OVO BRANCO C]]*preçodiario[[#This Row],[estoque C]],0)</f>
        <v>0</v>
      </c>
      <c r="U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Row],[data]])),((U93*V93)+SUMIFS(estoque[valor total],estoque[produto],preçodiario[[#Headers],[OVO BRANCO EXTRA]],estoque[data],preçodiario[[#This Row],[data]],estoque[fornecedor],"&lt;&gt;saída"))/(V93+(SUMIFS(estoque[quantidade],estoque[produto],preçodiario[[#Headers],[OVO BRANCO EXTRA]],estoque[fornecedor],"&lt;&gt;saída",estoque[data],preçodiario[[#This Row],[data]])))))</f>
        <v>15.833333333333336</v>
      </c>
      <c r="V94" s="22">
        <f>IF(preçodiario[[#This Row],[entrada E]]=0,V93-(SUMIFS(estoque[quantidade],estoque[fornecedor],"saída",estoque[produto],preçodiario[[#Headers],[OVO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Row],[data]]))+V93+preçodiario[[#This Row],[entrada E]])</f>
        <v>101</v>
      </c>
      <c r="W94" s="22">
        <f>SUMIFS(estoque[quantidade],estoque[fornecedor],"&lt;&gt;saída",estoque[produto],preçodiario[[#Headers],[OVO BRANCO EXTRA]],estoque[data],preçodiario[[#This Row],[data]])</f>
        <v>0</v>
      </c>
      <c r="X94" s="20">
        <f>SUMIFS(estoque[valor total],estoque[fornecedor],"&lt;&gt;saída",estoque[produto],preçodiario[[#Headers],[OVO BRANCO EXTRA]],estoque[data],preçodiario[[#This Row],[data]])</f>
        <v>0</v>
      </c>
      <c r="Y94" s="20">
        <f>IFERROR(preçodiario[[#This Row],[estoque E]]*preçodiario[[#This Row],[OVO BRANCO EXTRA]],0)</f>
        <v>1599.166666666667</v>
      </c>
      <c r="Z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Row],[data]])),((Z93*AA93)+SUMIFS(estoque[valor total],estoque[produto],preçodiario[[#Headers],[OVO BRANCO JUMBO]],estoque[data],preçodiario[[#This Row],[data]],estoque[fornecedor],"&lt;&gt;saída"))/(AA93+(SUMIFS(estoque[quantidade],estoque[produto],preçodiario[[#Headers],[OVO BRANCO JUMBO]],estoque[fornecedor],"&lt;&gt;saída",estoque[data],preçodiario[[#This Row],[data]])))))</f>
        <v>16.666666666666668</v>
      </c>
      <c r="AA94" s="22">
        <f>IF(preçodiario[[#This Row],[entrada J]]=0,AA93-(SUMIFS(estoque[quantidade],estoque[fornecedor],"saída",estoque[produto],preçodiario[[#Headers],[OVO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Row],[data]]))+AA93+preçodiario[[#This Row],[entrada J]])</f>
        <v>86</v>
      </c>
      <c r="AB94" s="22">
        <f>SUMIFS(estoque[quantidade],estoque[fornecedor],"&lt;&gt;saída",estoque[produto],preçodiario[[#Headers],[OVO BRANCO JUMBO]],estoque[data],preçodiario[[#This Row],[data]])</f>
        <v>0</v>
      </c>
      <c r="AC94" s="20">
        <f>SUMIFS(estoque[valor total],estoque[fornecedor],"&lt;&gt;saída",estoque[produto],preçodiario[[#Headers],[OVO BRANCO JUMBO]],estoque[data],preçodiario[[#This Row],[data]])</f>
        <v>0</v>
      </c>
      <c r="AD94" s="20">
        <f>IFERROR(preçodiario[[#This Row],[OVO BRANCO JUMBO]]*preçodiario[[#This Row],[estoque J]],0)</f>
        <v>1433.3333333333335</v>
      </c>
      <c r="AE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Row],[data]])),((AE93*AF93)+SUMIFS(estoque[valor total],estoque[produto],preçodiario[[#Headers],[OVO VERMELHO A]],estoque[data],preçodiario[[#This Row],[data]],estoque[fornecedor],"&lt;&gt;saída"))/(AF93+(SUMIFS(estoque[quantidade],estoque[produto],preçodiario[[#Headers],[OVO VERMELHO A]],estoque[fornecedor],"&lt;&gt;saída",estoque[data],preçodiario[[#This Row],[data]])))))</f>
        <v/>
      </c>
      <c r="AF94" s="22">
        <f>IF(preçodiario[[#This Row],[entrada AV]]=0,AF93-(SUMIFS(estoque[quantidade],estoque[fornecedor],"saída",estoque[produto],preçodiario[[#Headers],[OVO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Row],[data]]))+AF93+preçodiario[[#This Row],[entrada AV]])</f>
        <v>0</v>
      </c>
      <c r="AG94" s="22">
        <f>SUMIFS(estoque[quantidade],estoque[fornecedor],"&lt;&gt;saída",estoque[produto],preçodiario[[#Headers],[OVO VERMELHO A]],estoque[data],preçodiario[[#This Row],[data]])</f>
        <v>0</v>
      </c>
      <c r="AH94" s="20">
        <f>SUMIFS(estoque[valor total],estoque[fornecedor],"&lt;&gt;saída",estoque[produto],preçodiario[[#Headers],[OVO VERMELHO A]],estoque[data],preçodiario[[#This Row],[data]])</f>
        <v>0</v>
      </c>
      <c r="AI94" s="20">
        <f>IFERROR(preçodiario[[#This Row],[OVO VERMELHO A]]*preçodiario[[#This Row],[estoque AV]],0)</f>
        <v>0</v>
      </c>
      <c r="AJ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Row],[data]])),((AJ93*AK93)+SUMIFS(estoque[valor total],estoque[produto],preçodiario[[#Headers],[OVO VERMELHO B]],estoque[data],preçodiario[[#This Row],[data]],estoque[fornecedor],"&lt;&gt;saída"))/(AK93+(SUMIFS(estoque[quantidade],estoque[produto],preçodiario[[#Headers],[OVO VERMELHO B]],estoque[fornecedor],"&lt;&gt;saída",estoque[data],preçodiario[[#This Row],[data]])))))</f>
        <v/>
      </c>
      <c r="AK94" s="22">
        <f>IF(preçodiario[[#This Row],[entrada BV]]=0,AK93-(SUMIFS(estoque[quantidade],estoque[fornecedor],"saída",estoque[produto],preçodiario[[#Headers],[OVO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Row],[data]]))+AK93+preçodiario[[#This Row],[entrada BV]])</f>
        <v>0</v>
      </c>
      <c r="AL94" s="22">
        <f>SUMIFS(estoque[quantidade],estoque[fornecedor],"&lt;&gt;saída",estoque[produto],preçodiario[[#Headers],[OVO VERMELHO B]],estoque[data],preçodiario[[#This Row],[data]])</f>
        <v>0</v>
      </c>
      <c r="AM94" s="20">
        <f>SUMIFS(estoque[valor total],estoque[fornecedor],"&lt;&gt;saída",estoque[produto],preçodiario[[#Headers],[OVO VERMELHO B]],estoque[data],preçodiario[[#This Row],[data]])</f>
        <v>0</v>
      </c>
      <c r="AN94" s="20">
        <f>IFERROR(preçodiario[[#This Row],[OVO VERMELHO B]]*preçodiario[[#This Row],[estoque BV]],0)</f>
        <v>0</v>
      </c>
      <c r="AO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Row],[data]])),((AO93*AP93)+SUMIFS(estoque[valor total],estoque[produto],preçodiario[[#Headers],[OVO VERMELHO C]],estoque[data],preçodiario[[#This Row],[data]],estoque[fornecedor],"&lt;&gt;saída"))/(AP93+(SUMIFS(estoque[quantidade],estoque[produto],preçodiario[[#Headers],[OVO VERMELHO C]],estoque[fornecedor],"&lt;&gt;saída",estoque[data],preçodiario[[#This Row],[data]])))))</f>
        <v/>
      </c>
      <c r="AP94" s="22">
        <f>IF(preçodiario[[#This Row],[entrada CV]]=0,AP93-(SUMIFS(estoque[quantidade],estoque[fornecedor],"saída",estoque[produto],preçodiario[[#Headers],[OVO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Row],[data]]))+AP93+preçodiario[[#This Row],[entrada CV]])</f>
        <v>0</v>
      </c>
      <c r="AQ94" s="22">
        <f>SUMIFS(estoque[quantidade],estoque[fornecedor],"&lt;&gt;saída",estoque[produto],preçodiario[[#Headers],[OVO VERMELHO C]],estoque[data],preçodiario[[#This Row],[data]])</f>
        <v>0</v>
      </c>
      <c r="AR94" s="20">
        <f>SUMIFS(estoque[valor total],estoque[fornecedor],"&lt;&gt;saída",estoque[produto],preçodiario[[#Headers],[OVO VERMELHO C]],estoque[data],preçodiario[[#This Row],[data]])</f>
        <v>0</v>
      </c>
      <c r="AS94" s="20">
        <f>IFERROR(preçodiario[[#This Row],[OVO VERMELHO C]]*preçodiario[[#This Row],[estoque CV]],0)</f>
        <v>0</v>
      </c>
      <c r="AT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Row],[data]])),((AT93*AU93)+SUMIFS(estoque[valor total],estoque[produto],preçodiario[[#Headers],[OVO VERMELHO EXTRA]],estoque[data],preçodiario[[#This Row],[data]],estoque[fornecedor],"&lt;&gt;saída"))/(AU93+(SUMIFS(estoque[quantidade],estoque[produto],preçodiario[[#Headers],[OVO VERMELHO EXTRA]],estoque[fornecedor],"&lt;&gt;saída",estoque[data],preçodiario[[#This Row],[data]])))))</f>
        <v/>
      </c>
      <c r="AU94" s="22">
        <f>IF(preçodiario[[#This Row],[entrada EV]]=0,AU93-(SUMIFS(estoque[quantidade],estoque[fornecedor],"saída",estoque[produto],preçodiario[[#Headers],[OVO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Row],[data]]))+AU93+preçodiario[[#This Row],[entrada EV]])</f>
        <v>0</v>
      </c>
      <c r="AV94" s="22">
        <f>SUMIFS(estoque[quantidade],estoque[fornecedor],"&lt;&gt;saída",estoque[produto],preçodiario[[#Headers],[OVO VERMELHO EXTRA]],estoque[data],preçodiario[[#This Row],[data]])</f>
        <v>0</v>
      </c>
      <c r="AW94" s="20">
        <f>SUMIFS(estoque[valor total],estoque[fornecedor],"&lt;&gt;saída",estoque[produto],preçodiario[[#Headers],[OVO VERMELHO EXTRA]],estoque[data],preçodiario[[#This Row],[data]])</f>
        <v>0</v>
      </c>
      <c r="AX94" s="20">
        <f>IFERROR(preçodiario[[#This Row],[OVO VERMELHO EXTRA]]*preçodiario[[#This Row],[estoque EV]],0)</f>
        <v>0</v>
      </c>
      <c r="AY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Row],[data]])),((AY93*AZ93)+SUMIFS(estoque[valor total],estoque[produto],preçodiario[[#Headers],[OVO VERMELHO JUMBO]],estoque[data],preçodiario[[#This Row],[data]],estoque[fornecedor],"&lt;&gt;saída"))/(AZ93+(SUMIFS(estoque[quantidade],estoque[produto],preçodiario[[#Headers],[OVO VERMELHO JUMBO]],estoque[fornecedor],"&lt;&gt;saída",estoque[data],preçodiario[[#This Row],[data]])))))</f>
        <v/>
      </c>
      <c r="AZ94" s="22">
        <f>IF(preçodiario[[#This Row],[entrada JV]]=0,AZ93-(SUMIFS(estoque[quantidade],estoque[fornecedor],"saída",estoque[produto],preçodiario[[#Headers],[OVO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Row],[data]]))+AZ93+preçodiario[[#This Row],[entrada JV]])</f>
        <v>0</v>
      </c>
      <c r="BA94" s="22">
        <f>SUMIFS(estoque[quantidade],estoque[fornecedor],"&lt;&gt;saída",estoque[produto],preçodiario[[#Headers],[OVO VERMELHO JUMBO]],estoque[data],preçodiario[[#This Row],[data]])</f>
        <v>0</v>
      </c>
      <c r="BB94" s="20">
        <f>SUMIFS(estoque[valor total],estoque[fornecedor],"&lt;&gt;saída",estoque[produto],preçodiario[[#Headers],[OVO VERMELHO JUMBO]],estoque[data],preçodiario[[#This Row],[data]])</f>
        <v>0</v>
      </c>
      <c r="BC94" s="20">
        <f>IFERROR(preçodiario[[#This Row],[OVO VERMELHO JUMBO]]*preçodiario[[#This Row],[estoque JV]],0)</f>
        <v>0</v>
      </c>
      <c r="BD94" t="str">
        <f>TEXT(vendaAno[[#This Row],[data]],"mmm")</f>
        <v>abr</v>
      </c>
      <c r="BE94" t="str">
        <f>TEXT(vendaAno[[#This Row],[data]],"ddd")</f>
        <v>sex</v>
      </c>
      <c r="BF94" s="82">
        <f>WEEKNUM(vendaAno[[#This Row],[data]],13)</f>
        <v>14</v>
      </c>
      <c r="BG94" s="27">
        <f>preçodiario[[#This Row],[data]]</f>
        <v>46115</v>
      </c>
      <c r="BH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4" s="8">
        <f>IF(SUMIFS(estoque[valor total],estoque[fornecedor],"saída",estoque[data],vendaAno[[#This Row],[data]])=0,"",SUMIFS(estoque[valor total],estoque[fornecedor],"saída",estoque[data],vendaAno[[#This Row],[data]]))</f>
        <v>1168</v>
      </c>
      <c r="BJ9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Row],[data]]))/12+BJ93,"")</f>
        <v>21.083333333333311</v>
      </c>
      <c r="BK94" s="79">
        <f ca="1">IF(TODAY()&gt;=vendaAno[[#This Row],[data]],IF(SUMIFS(estoque[quantidade],estoque[fornecedor],"saída",estoque[data],vendaAno[[#This Row],[data]])/12=0,AVERAGE(BK91:BK93),SUMIFS(estoque[quantidade],estoque[fornecedor],"saída",estoque[data],vendaAno[[#This Row],[data]])/12),"")</f>
        <v>4.833333333333333</v>
      </c>
      <c r="BL94" s="8">
        <f ca="1">IF(vendaAno[[#This Row],[data]]&lt;=TODAY(),IF(SUMIFS(estoque[lucro],estoque[fornecedor],"saída",estoque[data],vendaAno[[#This Row],[data]])=0,AVERAGE(BL91:BL93),SUMIFS(estoque[lucro],estoque[fornecedor],"saída",estoque[data],vendaAno[[#This Row],[data]])),"")</f>
        <v>285.86</v>
      </c>
      <c r="BM94" s="10">
        <f ca="1">IFERROR(vendaAno[[#This Row],[lucro]]/vendaAno[[#This Row],[valor de venda]],"")</f>
        <v>0.24474315068493152</v>
      </c>
      <c r="BN9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3997.5728438228443</v>
      </c>
      <c r="BO94" s="8">
        <f ca="1">IF(TODAY()&gt;=vendaAno[[#This Row],[data]],IF(vendaAno[[#This Row],[N°]]=BF93,vendaAno[[#This Row],[lucro]]-173.33+BO93,vendaAno[[#This Row],[lucro]]-150),"")</f>
        <v>175.17</v>
      </c>
      <c r="BP94" s="81">
        <f ca="1">IF(TODAY()&gt;=vendaAno[[#This Row],[data]],SUM(BK88:BK94)*12,"")</f>
        <v>287</v>
      </c>
      <c r="BQ94" s="7">
        <f ca="1">IFERROR(vendaAno[[#This Row],[lucro]]/(vendaAno[[#This Row],[venda]]*12),"")</f>
        <v>4.9286206896551725</v>
      </c>
    </row>
    <row r="95" spans="1:82" x14ac:dyDescent="0.25">
      <c r="A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5" s="18" t="str">
        <f>TEXT(preçodiario[[#This Row],[data]],"MMM")</f>
        <v>abr</v>
      </c>
      <c r="C95" s="18" t="str">
        <f>TEXT(preçodiario[[#This Row],[data]],"ddd")</f>
        <v>sáb</v>
      </c>
      <c r="D95" s="96">
        <f>WEEKNUM(preçodiario[[#This Row],[data]],13)</f>
        <v>14</v>
      </c>
      <c r="E95" s="37">
        <v>46116</v>
      </c>
      <c r="F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Row],[data]])),((F94*G94)+SUMIFS(estoque[valor total],estoque[produto],preçodiario[[#Headers],[OVO BRANCO A]],estoque[data],preçodiario[[#This Row],[data]],estoque[fornecedor],"&lt;&gt;saída"))/(G94+(SUMIFS(estoque[quantidade],estoque[produto],preçodiario[[#Headers],[OVO BRANCO A]],estoque[fornecedor],"&lt;&gt;saída",estoque[data],preçodiario[[#This Row],[data]])))))</f>
        <v>15</v>
      </c>
      <c r="G95" s="22">
        <f>IF(preçodiario[[#This Row],[entrada A]]=0,G94-(SUMIFS(estoque[quantidade],estoque[fornecedor],"saída",estoque[produto],preçodiario[[#Headers],[OVO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Row],[data]]))+G94+preçodiario[[#This Row],[entrada A]])</f>
        <v>29</v>
      </c>
      <c r="H95" s="22">
        <f>SUMIFS(estoque[quantidade],estoque[fornecedor],"&lt;&gt;saída",estoque[produto],preçodiario[[#Headers],[OVO BRANCO A]],estoque[data],preçodiario[[#This Row],[data]])</f>
        <v>0</v>
      </c>
      <c r="I95" s="20">
        <f>SUMIFS(estoque[valor total],estoque[fornecedor],"&lt;&gt;saída",estoque[produto],preçodiario[[#Headers],[OVO BRANCO A]],estoque[data],preçodiario[[#This Row],[data]])</f>
        <v>0</v>
      </c>
      <c r="J95" s="20">
        <f>IFERROR(preçodiario[[#This Row],[estoque A]]*preçodiario[[#This Row],[OVO BRANCO A]],0)</f>
        <v>435</v>
      </c>
      <c r="K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Row],[data]])),((K94*L94)+SUMIFS(estoque[valor total],estoque[produto],preçodiario[[#Headers],[OVO BRANCO B]],estoque[data],preçodiario[[#This Row],[data]],estoque[fornecedor],"&lt;&gt;saída"))/(L94+(SUMIFS(estoque[quantidade],estoque[produto],preçodiario[[#Headers],[OVO BRANCO B]],estoque[fornecedor],"&lt;&gt;saída",estoque[data],preçodiario[[#This Row],[data]])))))</f>
        <v>14.140442890442888</v>
      </c>
      <c r="L95" s="22">
        <f>IF(preçodiario[[#This Row],[entrada B]]=0,L94-(SUMIFS(estoque[quantidade],estoque[fornecedor],"saída",estoque[produto],preçodiario[[#Headers],[OVO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Row],[data]]))+L94+preçodiario[[#This Row],[entrada B]])</f>
        <v>24</v>
      </c>
      <c r="M95" s="22">
        <f>SUMIFS(estoque[quantidade],estoque[fornecedor],"&lt;&gt;saída",estoque[produto],preçodiario[[#Headers],[OVO BRANCO B]],estoque[data],preçodiario[[#This Row],[data]])</f>
        <v>0</v>
      </c>
      <c r="N95" s="20">
        <f>SUMIFS(estoque[valor total],estoque[fornecedor],"&lt;&gt;saída",estoque[produto],preçodiario[[#Headers],[OVO BRANCO B]],estoque[data],preçodiario[[#This Row],[data]])</f>
        <v>0</v>
      </c>
      <c r="O95" s="20">
        <f>IFERROR(preçodiario[[#This Row],[OVO BRANCO B]]*preçodiario[[#This Row],[estoque B]],0)</f>
        <v>339.37062937062933</v>
      </c>
      <c r="P9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Row],[data]])),((P94*Q94)+SUMIFS(estoque[valor total],estoque[produto],preçodiario[[#Headers],[OVO BRANCO C]],estoque[data],preçodiario[[#This Row],[data]],estoque[fornecedor],"&lt;&gt;saída"))/(Q94+(SUMIFS(estoque[quantidade],estoque[produto],preçodiario[[#Headers],[OVO BRANCO C]],estoque[fornecedor],"&lt;&gt;saída",estoque[data],preçodiario[[#This Row],[data]])))))</f>
        <v/>
      </c>
      <c r="Q95" s="22">
        <f>IF(preçodiario[[#This Row],[entrada C]]=0,Q94-(SUMIFS(estoque[quantidade],estoque[fornecedor],"saída",estoque[produto],preçodiario[[#Headers],[OVO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Row],[data]]))+Q94+preçodiario[[#This Row],[entrada C]])</f>
        <v>0</v>
      </c>
      <c r="R95" s="22">
        <f>SUMIFS(estoque[quantidade],estoque[fornecedor],"&lt;&gt;saída",estoque[produto],preçodiario[[#Headers],[OVO BRANCO C]],estoque[data],preçodiario[[#This Row],[data]])</f>
        <v>0</v>
      </c>
      <c r="S95" s="20">
        <f>SUMIFS(estoque[valor total],estoque[fornecedor],"&lt;&gt;saída",estoque[produto],preçodiario[[#Headers],[OVO BRANCO C]],estoque[data],preçodiario[[#This Row],[data]])</f>
        <v>0</v>
      </c>
      <c r="T95" s="20">
        <f>IFERROR(preçodiario[[#This Row],[OVO BRANCO C]]*preçodiario[[#This Row],[estoque C]],0)</f>
        <v>0</v>
      </c>
      <c r="U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Row],[data]])),((U94*V94)+SUMIFS(estoque[valor total],estoque[produto],preçodiario[[#Headers],[OVO BRANCO EXTRA]],estoque[data],preçodiario[[#This Row],[data]],estoque[fornecedor],"&lt;&gt;saída"))/(V94+(SUMIFS(estoque[quantidade],estoque[produto],preçodiario[[#Headers],[OVO BRANCO EXTRA]],estoque[fornecedor],"&lt;&gt;saída",estoque[data],preçodiario[[#This Row],[data]])))))</f>
        <v>15.833333333333336</v>
      </c>
      <c r="V95" s="22">
        <f>IF(preçodiario[[#This Row],[entrada E]]=0,V94-(SUMIFS(estoque[quantidade],estoque[fornecedor],"saída",estoque[produto],preçodiario[[#Headers],[OVO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Row],[data]]))+V94+preçodiario[[#This Row],[entrada E]])</f>
        <v>100</v>
      </c>
      <c r="W95" s="22">
        <f>SUMIFS(estoque[quantidade],estoque[fornecedor],"&lt;&gt;saída",estoque[produto],preçodiario[[#Headers],[OVO BRANCO EXTRA]],estoque[data],preçodiario[[#This Row],[data]])</f>
        <v>0</v>
      </c>
      <c r="X95" s="20">
        <f>SUMIFS(estoque[valor total],estoque[fornecedor],"&lt;&gt;saída",estoque[produto],preçodiario[[#Headers],[OVO BRANCO EXTRA]],estoque[data],preçodiario[[#This Row],[data]])</f>
        <v>0</v>
      </c>
      <c r="Y95" s="20">
        <f>IFERROR(preçodiario[[#This Row],[estoque E]]*preçodiario[[#This Row],[OVO BRANCO EXTRA]],0)</f>
        <v>1583.3333333333335</v>
      </c>
      <c r="Z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Row],[data]])),((Z94*AA94)+SUMIFS(estoque[valor total],estoque[produto],preçodiario[[#Headers],[OVO BRANCO JUMBO]],estoque[data],preçodiario[[#This Row],[data]],estoque[fornecedor],"&lt;&gt;saída"))/(AA94+(SUMIFS(estoque[quantidade],estoque[produto],preçodiario[[#Headers],[OVO BRANCO JUMBO]],estoque[fornecedor],"&lt;&gt;saída",estoque[data],preçodiario[[#This Row],[data]])))))</f>
        <v>16.666666666666668</v>
      </c>
      <c r="AA95" s="22">
        <f>IF(preçodiario[[#This Row],[entrada J]]=0,AA94-(SUMIFS(estoque[quantidade],estoque[fornecedor],"saída",estoque[produto],preçodiario[[#Headers],[OVO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Row],[data]]))+AA94+preçodiario[[#This Row],[entrada J]])</f>
        <v>80</v>
      </c>
      <c r="AB95" s="22">
        <f>SUMIFS(estoque[quantidade],estoque[fornecedor],"&lt;&gt;saída",estoque[produto],preçodiario[[#Headers],[OVO BRANCO JUMBO]],estoque[data],preçodiario[[#This Row],[data]])</f>
        <v>0</v>
      </c>
      <c r="AC95" s="20">
        <f>SUMIFS(estoque[valor total],estoque[fornecedor],"&lt;&gt;saída",estoque[produto],preçodiario[[#Headers],[OVO BRANCO JUMBO]],estoque[data],preçodiario[[#This Row],[data]])</f>
        <v>0</v>
      </c>
      <c r="AD95" s="20">
        <f>IFERROR(preçodiario[[#This Row],[OVO BRANCO JUMBO]]*preçodiario[[#This Row],[estoque J]],0)</f>
        <v>1333.3333333333335</v>
      </c>
      <c r="AE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Row],[data]])),((AE94*AF94)+SUMIFS(estoque[valor total],estoque[produto],preçodiario[[#Headers],[OVO VERMELHO A]],estoque[data],preçodiario[[#This Row],[data]],estoque[fornecedor],"&lt;&gt;saída"))/(AF94+(SUMIFS(estoque[quantidade],estoque[produto],preçodiario[[#Headers],[OVO VERMELHO A]],estoque[fornecedor],"&lt;&gt;saída",estoque[data],preçodiario[[#This Row],[data]])))))</f>
        <v/>
      </c>
      <c r="AF95" s="22">
        <f>IF(preçodiario[[#This Row],[entrada AV]]=0,AF94-(SUMIFS(estoque[quantidade],estoque[fornecedor],"saída",estoque[produto],preçodiario[[#Headers],[OVO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Row],[data]]))+AF94+preçodiario[[#This Row],[entrada AV]])</f>
        <v>0</v>
      </c>
      <c r="AG95" s="22">
        <f>SUMIFS(estoque[quantidade],estoque[fornecedor],"&lt;&gt;saída",estoque[produto],preçodiario[[#Headers],[OVO VERMELHO A]],estoque[data],preçodiario[[#This Row],[data]])</f>
        <v>0</v>
      </c>
      <c r="AH95" s="20">
        <f>SUMIFS(estoque[valor total],estoque[fornecedor],"&lt;&gt;saída",estoque[produto],preçodiario[[#Headers],[OVO VERMELHO A]],estoque[data],preçodiario[[#This Row],[data]])</f>
        <v>0</v>
      </c>
      <c r="AI95" s="20">
        <f>IFERROR(preçodiario[[#This Row],[OVO VERMELHO A]]*preçodiario[[#This Row],[estoque AV]],0)</f>
        <v>0</v>
      </c>
      <c r="AJ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Row],[data]])),((AJ94*AK94)+SUMIFS(estoque[valor total],estoque[produto],preçodiario[[#Headers],[OVO VERMELHO B]],estoque[data],preçodiario[[#This Row],[data]],estoque[fornecedor],"&lt;&gt;saída"))/(AK94+(SUMIFS(estoque[quantidade],estoque[produto],preçodiario[[#Headers],[OVO VERMELHO B]],estoque[fornecedor],"&lt;&gt;saída",estoque[data],preçodiario[[#This Row],[data]])))))</f>
        <v/>
      </c>
      <c r="AK95" s="22">
        <f>IF(preçodiario[[#This Row],[entrada BV]]=0,AK94-(SUMIFS(estoque[quantidade],estoque[fornecedor],"saída",estoque[produto],preçodiario[[#Headers],[OVO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Row],[data]]))+AK94+preçodiario[[#This Row],[entrada BV]])</f>
        <v>0</v>
      </c>
      <c r="AL95" s="22">
        <f>SUMIFS(estoque[quantidade],estoque[fornecedor],"&lt;&gt;saída",estoque[produto],preçodiario[[#Headers],[OVO VERMELHO B]],estoque[data],preçodiario[[#This Row],[data]])</f>
        <v>0</v>
      </c>
      <c r="AM95" s="20">
        <f>SUMIFS(estoque[valor total],estoque[fornecedor],"&lt;&gt;saída",estoque[produto],preçodiario[[#Headers],[OVO VERMELHO B]],estoque[data],preçodiario[[#This Row],[data]])</f>
        <v>0</v>
      </c>
      <c r="AN95" s="20">
        <f>IFERROR(preçodiario[[#This Row],[OVO VERMELHO B]]*preçodiario[[#This Row],[estoque BV]],0)</f>
        <v>0</v>
      </c>
      <c r="AO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Row],[data]])),((AO94*AP94)+SUMIFS(estoque[valor total],estoque[produto],preçodiario[[#Headers],[OVO VERMELHO C]],estoque[data],preçodiario[[#This Row],[data]],estoque[fornecedor],"&lt;&gt;saída"))/(AP94+(SUMIFS(estoque[quantidade],estoque[produto],preçodiario[[#Headers],[OVO VERMELHO C]],estoque[fornecedor],"&lt;&gt;saída",estoque[data],preçodiario[[#This Row],[data]])))))</f>
        <v/>
      </c>
      <c r="AP95" s="22">
        <f>IF(preçodiario[[#This Row],[entrada CV]]=0,AP94-(SUMIFS(estoque[quantidade],estoque[fornecedor],"saída",estoque[produto],preçodiario[[#Headers],[OVO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Row],[data]]))+AP94+preçodiario[[#This Row],[entrada CV]])</f>
        <v>0</v>
      </c>
      <c r="AQ95" s="22">
        <f>SUMIFS(estoque[quantidade],estoque[fornecedor],"&lt;&gt;saída",estoque[produto],preçodiario[[#Headers],[OVO VERMELHO C]],estoque[data],preçodiario[[#This Row],[data]])</f>
        <v>0</v>
      </c>
      <c r="AR95" s="20">
        <f>SUMIFS(estoque[valor total],estoque[fornecedor],"&lt;&gt;saída",estoque[produto],preçodiario[[#Headers],[OVO VERMELHO C]],estoque[data],preçodiario[[#This Row],[data]])</f>
        <v>0</v>
      </c>
      <c r="AS95" s="20">
        <f>IFERROR(preçodiario[[#This Row],[OVO VERMELHO C]]*preçodiario[[#This Row],[estoque CV]],0)</f>
        <v>0</v>
      </c>
      <c r="AT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Row],[data]])),((AT94*AU94)+SUMIFS(estoque[valor total],estoque[produto],preçodiario[[#Headers],[OVO VERMELHO EXTRA]],estoque[data],preçodiario[[#This Row],[data]],estoque[fornecedor],"&lt;&gt;saída"))/(AU94+(SUMIFS(estoque[quantidade],estoque[produto],preçodiario[[#Headers],[OVO VERMELHO EXTRA]],estoque[fornecedor],"&lt;&gt;saída",estoque[data],preçodiario[[#This Row],[data]])))))</f>
        <v/>
      </c>
      <c r="AU95" s="22">
        <f>IF(preçodiario[[#This Row],[entrada EV]]=0,AU94-(SUMIFS(estoque[quantidade],estoque[fornecedor],"saída",estoque[produto],preçodiario[[#Headers],[OVO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Row],[data]]))+AU94+preçodiario[[#This Row],[entrada EV]])</f>
        <v>0</v>
      </c>
      <c r="AV95" s="22">
        <f>SUMIFS(estoque[quantidade],estoque[fornecedor],"&lt;&gt;saída",estoque[produto],preçodiario[[#Headers],[OVO VERMELHO EXTRA]],estoque[data],preçodiario[[#This Row],[data]])</f>
        <v>0</v>
      </c>
      <c r="AW95" s="20">
        <f>SUMIFS(estoque[valor total],estoque[fornecedor],"&lt;&gt;saída",estoque[produto],preçodiario[[#Headers],[OVO VERMELHO EXTRA]],estoque[data],preçodiario[[#This Row],[data]])</f>
        <v>0</v>
      </c>
      <c r="AX95" s="20">
        <f>IFERROR(preçodiario[[#This Row],[OVO VERMELHO EXTRA]]*preçodiario[[#This Row],[estoque EV]],0)</f>
        <v>0</v>
      </c>
      <c r="AY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Row],[data]])),((AY94*AZ94)+SUMIFS(estoque[valor total],estoque[produto],preçodiario[[#Headers],[OVO VERMELHO JUMBO]],estoque[data],preçodiario[[#This Row],[data]],estoque[fornecedor],"&lt;&gt;saída"))/(AZ94+(SUMIFS(estoque[quantidade],estoque[produto],preçodiario[[#Headers],[OVO VERMELHO JUMBO]],estoque[fornecedor],"&lt;&gt;saída",estoque[data],preçodiario[[#This Row],[data]])))))</f>
        <v/>
      </c>
      <c r="AZ95" s="22">
        <f>IF(preçodiario[[#This Row],[entrada JV]]=0,AZ94-(SUMIFS(estoque[quantidade],estoque[fornecedor],"saída",estoque[produto],preçodiario[[#Headers],[OVO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Row],[data]]))+AZ94+preçodiario[[#This Row],[entrada JV]])</f>
        <v>0</v>
      </c>
      <c r="BA95" s="22">
        <f>SUMIFS(estoque[quantidade],estoque[fornecedor],"&lt;&gt;saída",estoque[produto],preçodiario[[#Headers],[OVO VERMELHO JUMBO]],estoque[data],preçodiario[[#This Row],[data]])</f>
        <v>0</v>
      </c>
      <c r="BB95" s="20">
        <f>SUMIFS(estoque[valor total],estoque[fornecedor],"&lt;&gt;saída",estoque[produto],preçodiario[[#Headers],[OVO VERMELHO JUMBO]],estoque[data],preçodiario[[#This Row],[data]])</f>
        <v>0</v>
      </c>
      <c r="BC95" s="20">
        <f>IFERROR(preçodiario[[#This Row],[OVO VERMELHO JUMBO]]*preçodiario[[#This Row],[estoque JV]],0)</f>
        <v>0</v>
      </c>
      <c r="BD95" t="str">
        <f>TEXT(vendaAno[[#This Row],[data]],"mmm")</f>
        <v>abr</v>
      </c>
      <c r="BE95" t="str">
        <f>TEXT(vendaAno[[#This Row],[data]],"ddd")</f>
        <v>sáb</v>
      </c>
      <c r="BF95" s="82">
        <f>WEEKNUM(vendaAno[[#This Row],[data]],13)</f>
        <v>14</v>
      </c>
      <c r="BG95" s="27">
        <f>preçodiario[[#This Row],[data]]</f>
        <v>46116</v>
      </c>
      <c r="BH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5" s="8">
        <f>IF(SUMIFS(estoque[valor total],estoque[fornecedor],"saída",estoque[data],vendaAno[[#This Row],[data]])=0,"",SUMIFS(estoque[valor total],estoque[fornecedor],"saída",estoque[data],vendaAno[[#This Row],[data]]))</f>
        <v>410</v>
      </c>
      <c r="BJ9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Row],[data]]))/12+BJ94,"")</f>
        <v>19.416666666666643</v>
      </c>
      <c r="BK95" s="79">
        <f ca="1">IF(TODAY()&gt;=vendaAno[[#This Row],[data]],IF(SUMIFS(estoque[quantidade],estoque[fornecedor],"saída",estoque[data],vendaAno[[#This Row],[data]])/12=0,AVERAGE(BK92:BK94),SUMIFS(estoque[quantidade],estoque[fornecedor],"saída",estoque[data],vendaAno[[#This Row],[data]])/12),"")</f>
        <v>1.6666666666666667</v>
      </c>
      <c r="BL95" s="8">
        <f ca="1">IF(vendaAno[[#This Row],[data]]&lt;=TODAY(),IF(SUMIFS(estoque[lucro],estoque[fornecedor],"saída",estoque[data],vendaAno[[#This Row],[data]])=0,AVERAGE(BL92:BL94),SUMIFS(estoque[lucro],estoque[fornecedor],"saída",estoque[data],vendaAno[[#This Row],[data]])),"")</f>
        <v>103.47</v>
      </c>
      <c r="BM95" s="10">
        <f ca="1">IFERROR(vendaAno[[#This Row],[lucro]]/vendaAno[[#This Row],[valor de venda]],"")</f>
        <v>0.25236585365853659</v>
      </c>
      <c r="BN9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3691.0372960372961</v>
      </c>
      <c r="BO95" s="8">
        <f ca="1">IF(TODAY()&gt;=vendaAno[[#This Row],[data]],IF(vendaAno[[#This Row],[N°]]=BF94,vendaAno[[#This Row],[lucro]]-173.33+BO94,vendaAno[[#This Row],[lucro]]-150),"")</f>
        <v>105.30999999999997</v>
      </c>
      <c r="BP95" s="81">
        <f ca="1">IF(TODAY()&gt;=vendaAno[[#This Row],[data]],SUM(BK89:BK95)*12,"")</f>
        <v>280</v>
      </c>
      <c r="BQ95" s="7">
        <f ca="1">IFERROR(vendaAno[[#This Row],[lucro]]/(vendaAno[[#This Row],[venda]]*12),"")</f>
        <v>5.1734999999999998</v>
      </c>
    </row>
    <row r="96" spans="1:82" x14ac:dyDescent="0.25">
      <c r="A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6" s="18" t="str">
        <f>TEXT(preçodiario[[#This Row],[data]],"MMM")</f>
        <v>abr</v>
      </c>
      <c r="C96" s="18" t="str">
        <f>TEXT(preçodiario[[#This Row],[data]],"ddd")</f>
        <v>dom</v>
      </c>
      <c r="D96" s="96">
        <f>WEEKNUM(preçodiario[[#This Row],[data]],13)</f>
        <v>14</v>
      </c>
      <c r="E96" s="37">
        <v>46117</v>
      </c>
      <c r="F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Row],[data]])),((F95*G95)+SUMIFS(estoque[valor total],estoque[produto],preçodiario[[#Headers],[OVO BRANCO A]],estoque[data],preçodiario[[#This Row],[data]],estoque[fornecedor],"&lt;&gt;saída"))/(G95+(SUMIFS(estoque[quantidade],estoque[produto],preçodiario[[#Headers],[OVO BRANCO A]],estoque[fornecedor],"&lt;&gt;saída",estoque[data],preçodiario[[#This Row],[data]])))))</f>
        <v>15</v>
      </c>
      <c r="G96" s="22">
        <f>IF(preçodiario[[#This Row],[entrada A]]=0,G95-(SUMIFS(estoque[quantidade],estoque[fornecedor],"saída",estoque[produto],preçodiario[[#Headers],[OVO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Row],[data]]))+G95+preçodiario[[#This Row],[entrada A]])</f>
        <v>19</v>
      </c>
      <c r="H96" s="22">
        <f>SUMIFS(estoque[quantidade],estoque[fornecedor],"&lt;&gt;saída",estoque[produto],preçodiario[[#Headers],[OVO BRANCO A]],estoque[data],preçodiario[[#This Row],[data]])</f>
        <v>0</v>
      </c>
      <c r="I96" s="20">
        <f>SUMIFS(estoque[valor total],estoque[fornecedor],"&lt;&gt;saída",estoque[produto],preçodiario[[#Headers],[OVO BRANCO A]],estoque[data],preçodiario[[#This Row],[data]])</f>
        <v>0</v>
      </c>
      <c r="J96" s="20">
        <f>IFERROR(preçodiario[[#This Row],[estoque A]]*preçodiario[[#This Row],[OVO BRANCO A]],0)</f>
        <v>285</v>
      </c>
      <c r="K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Row],[data]])),((K95*L95)+SUMIFS(estoque[valor total],estoque[produto],preçodiario[[#Headers],[OVO BRANCO B]],estoque[data],preçodiario[[#This Row],[data]],estoque[fornecedor],"&lt;&gt;saída"))/(L95+(SUMIFS(estoque[quantidade],estoque[produto],preçodiario[[#Headers],[OVO BRANCO B]],estoque[fornecedor],"&lt;&gt;saída",estoque[data],preçodiario[[#This Row],[data]])))))</f>
        <v>14.140442890442889</v>
      </c>
      <c r="L96" s="22">
        <f>IF(preçodiario[[#This Row],[entrada B]]=0,L95-(SUMIFS(estoque[quantidade],estoque[fornecedor],"saída",estoque[produto],preçodiario[[#Headers],[OVO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Row],[data]]))+L95+preçodiario[[#This Row],[entrada B]])</f>
        <v>20</v>
      </c>
      <c r="M96" s="22">
        <f>SUMIFS(estoque[quantidade],estoque[fornecedor],"&lt;&gt;saída",estoque[produto],preçodiario[[#Headers],[OVO BRANCO B]],estoque[data],preçodiario[[#This Row],[data]])</f>
        <v>0</v>
      </c>
      <c r="N96" s="20">
        <f>SUMIFS(estoque[valor total],estoque[fornecedor],"&lt;&gt;saída",estoque[produto],preçodiario[[#Headers],[OVO BRANCO B]],estoque[data],preçodiario[[#This Row],[data]])</f>
        <v>0</v>
      </c>
      <c r="O96" s="20">
        <f>IFERROR(preçodiario[[#This Row],[OVO BRANCO B]]*preçodiario[[#This Row],[estoque B]],0)</f>
        <v>282.80885780885779</v>
      </c>
      <c r="P9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Row],[data]])),((P95*Q95)+SUMIFS(estoque[valor total],estoque[produto],preçodiario[[#Headers],[OVO BRANCO C]],estoque[data],preçodiario[[#This Row],[data]],estoque[fornecedor],"&lt;&gt;saída"))/(Q95+(SUMIFS(estoque[quantidade],estoque[produto],preçodiario[[#Headers],[OVO BRANCO C]],estoque[fornecedor],"&lt;&gt;saída",estoque[data],preçodiario[[#This Row],[data]])))))</f>
        <v/>
      </c>
      <c r="Q96" s="22">
        <f>IF(preçodiario[[#This Row],[entrada C]]=0,Q95-(SUMIFS(estoque[quantidade],estoque[fornecedor],"saída",estoque[produto],preçodiario[[#Headers],[OVO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Row],[data]]))+Q95+preçodiario[[#This Row],[entrada C]])</f>
        <v>0</v>
      </c>
      <c r="R96" s="22">
        <f>SUMIFS(estoque[quantidade],estoque[fornecedor],"&lt;&gt;saída",estoque[produto],preçodiario[[#Headers],[OVO BRANCO C]],estoque[data],preçodiario[[#This Row],[data]])</f>
        <v>0</v>
      </c>
      <c r="S96" s="20">
        <f>SUMIFS(estoque[valor total],estoque[fornecedor],"&lt;&gt;saída",estoque[produto],preçodiario[[#Headers],[OVO BRANCO C]],estoque[data],preçodiario[[#This Row],[data]])</f>
        <v>0</v>
      </c>
      <c r="T96" s="20">
        <f>IFERROR(preçodiario[[#This Row],[OVO BRANCO C]]*preçodiario[[#This Row],[estoque C]],0)</f>
        <v>0</v>
      </c>
      <c r="U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Row],[data]])),((U95*V95)+SUMIFS(estoque[valor total],estoque[produto],preçodiario[[#Headers],[OVO BRANCO EXTRA]],estoque[data],preçodiario[[#This Row],[data]],estoque[fornecedor],"&lt;&gt;saída"))/(V95+(SUMIFS(estoque[quantidade],estoque[produto],preçodiario[[#Headers],[OVO BRANCO EXTRA]],estoque[fornecedor],"&lt;&gt;saída",estoque[data],preçodiario[[#This Row],[data]])))))</f>
        <v>15.833333333333336</v>
      </c>
      <c r="V96" s="22">
        <f>IF(preçodiario[[#This Row],[entrada E]]=0,V95-(SUMIFS(estoque[quantidade],estoque[fornecedor],"saída",estoque[produto],preçodiario[[#Headers],[OVO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Row],[data]]))+V95+preçodiario[[#This Row],[entrada E]])</f>
        <v>95</v>
      </c>
      <c r="W96" s="22">
        <f>SUMIFS(estoque[quantidade],estoque[fornecedor],"&lt;&gt;saída",estoque[produto],preçodiario[[#Headers],[OVO BRANCO EXTRA]],estoque[data],preçodiario[[#This Row],[data]])</f>
        <v>0</v>
      </c>
      <c r="X96" s="20">
        <f>SUMIFS(estoque[valor total],estoque[fornecedor],"&lt;&gt;saída",estoque[produto],preçodiario[[#Headers],[OVO BRANCO EXTRA]],estoque[data],preçodiario[[#This Row],[data]])</f>
        <v>0</v>
      </c>
      <c r="Y96" s="20">
        <f>IFERROR(preçodiario[[#This Row],[estoque E]]*preçodiario[[#This Row],[OVO BRANCO EXTRA]],0)</f>
        <v>1504.166666666667</v>
      </c>
      <c r="Z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Row],[data]])),((Z95*AA95)+SUMIFS(estoque[valor total],estoque[produto],preçodiario[[#Headers],[OVO BRANCO JUMBO]],estoque[data],preçodiario[[#This Row],[data]],estoque[fornecedor],"&lt;&gt;saída"))/(AA95+(SUMIFS(estoque[quantidade],estoque[produto],preçodiario[[#Headers],[OVO BRANCO JUMBO]],estoque[fornecedor],"&lt;&gt;saída",estoque[data],preçodiario[[#This Row],[data]])))))</f>
        <v>16.666666666666668</v>
      </c>
      <c r="AA96" s="22">
        <f>IF(preçodiario[[#This Row],[entrada J]]=0,AA95-(SUMIFS(estoque[quantidade],estoque[fornecedor],"saída",estoque[produto],preçodiario[[#Headers],[OVO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Row],[data]]))+AA95+preçodiario[[#This Row],[entrada J]])</f>
        <v>74</v>
      </c>
      <c r="AB96" s="22">
        <f>SUMIFS(estoque[quantidade],estoque[fornecedor],"&lt;&gt;saída",estoque[produto],preçodiario[[#Headers],[OVO BRANCO JUMBO]],estoque[data],preçodiario[[#This Row],[data]])</f>
        <v>0</v>
      </c>
      <c r="AC96" s="20">
        <f>SUMIFS(estoque[valor total],estoque[fornecedor],"&lt;&gt;saída",estoque[produto],preçodiario[[#Headers],[OVO BRANCO JUMBO]],estoque[data],preçodiario[[#This Row],[data]])</f>
        <v>0</v>
      </c>
      <c r="AD96" s="20">
        <f>IFERROR(preçodiario[[#This Row],[OVO BRANCO JUMBO]]*preçodiario[[#This Row],[estoque J]],0)</f>
        <v>1233.3333333333335</v>
      </c>
      <c r="AE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Row],[data]])),((AE95*AF95)+SUMIFS(estoque[valor total],estoque[produto],preçodiario[[#Headers],[OVO VERMELHO A]],estoque[data],preçodiario[[#This Row],[data]],estoque[fornecedor],"&lt;&gt;saída"))/(AF95+(SUMIFS(estoque[quantidade],estoque[produto],preçodiario[[#Headers],[OVO VERMELHO A]],estoque[fornecedor],"&lt;&gt;saída",estoque[data],preçodiario[[#This Row],[data]])))))</f>
        <v/>
      </c>
      <c r="AF96" s="22">
        <f>IF(preçodiario[[#This Row],[entrada AV]]=0,AF95-(SUMIFS(estoque[quantidade],estoque[fornecedor],"saída",estoque[produto],preçodiario[[#Headers],[OVO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Row],[data]]))+AF95+preçodiario[[#This Row],[entrada AV]])</f>
        <v>0</v>
      </c>
      <c r="AG96" s="22">
        <f>SUMIFS(estoque[quantidade],estoque[fornecedor],"&lt;&gt;saída",estoque[produto],preçodiario[[#Headers],[OVO VERMELHO A]],estoque[data],preçodiario[[#This Row],[data]])</f>
        <v>0</v>
      </c>
      <c r="AH96" s="20">
        <f>SUMIFS(estoque[valor total],estoque[fornecedor],"&lt;&gt;saída",estoque[produto],preçodiario[[#Headers],[OVO VERMELHO A]],estoque[data],preçodiario[[#This Row],[data]])</f>
        <v>0</v>
      </c>
      <c r="AI96" s="20">
        <f>IFERROR(preçodiario[[#This Row],[OVO VERMELHO A]]*preçodiario[[#This Row],[estoque AV]],0)</f>
        <v>0</v>
      </c>
      <c r="AJ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Row],[data]])),((AJ95*AK95)+SUMIFS(estoque[valor total],estoque[produto],preçodiario[[#Headers],[OVO VERMELHO B]],estoque[data],preçodiario[[#This Row],[data]],estoque[fornecedor],"&lt;&gt;saída"))/(AK95+(SUMIFS(estoque[quantidade],estoque[produto],preçodiario[[#Headers],[OVO VERMELHO B]],estoque[fornecedor],"&lt;&gt;saída",estoque[data],preçodiario[[#This Row],[data]])))))</f>
        <v/>
      </c>
      <c r="AK96" s="22">
        <f>IF(preçodiario[[#This Row],[entrada BV]]=0,AK95-(SUMIFS(estoque[quantidade],estoque[fornecedor],"saída",estoque[produto],preçodiario[[#Headers],[OVO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Row],[data]]))+AK95+preçodiario[[#This Row],[entrada BV]])</f>
        <v>0</v>
      </c>
      <c r="AL96" s="22">
        <f>SUMIFS(estoque[quantidade],estoque[fornecedor],"&lt;&gt;saída",estoque[produto],preçodiario[[#Headers],[OVO VERMELHO B]],estoque[data],preçodiario[[#This Row],[data]])</f>
        <v>0</v>
      </c>
      <c r="AM96" s="20">
        <f>SUMIFS(estoque[valor total],estoque[fornecedor],"&lt;&gt;saída",estoque[produto],preçodiario[[#Headers],[OVO VERMELHO B]],estoque[data],preçodiario[[#This Row],[data]])</f>
        <v>0</v>
      </c>
      <c r="AN96" s="20">
        <f>IFERROR(preçodiario[[#This Row],[OVO VERMELHO B]]*preçodiario[[#This Row],[estoque BV]],0)</f>
        <v>0</v>
      </c>
      <c r="AO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Row],[data]])),((AO95*AP95)+SUMIFS(estoque[valor total],estoque[produto],preçodiario[[#Headers],[OVO VERMELHO C]],estoque[data],preçodiario[[#This Row],[data]],estoque[fornecedor],"&lt;&gt;saída"))/(AP95+(SUMIFS(estoque[quantidade],estoque[produto],preçodiario[[#Headers],[OVO VERMELHO C]],estoque[fornecedor],"&lt;&gt;saída",estoque[data],preçodiario[[#This Row],[data]])))))</f>
        <v/>
      </c>
      <c r="AP96" s="22">
        <f>IF(preçodiario[[#This Row],[entrada CV]]=0,AP95-(SUMIFS(estoque[quantidade],estoque[fornecedor],"saída",estoque[produto],preçodiario[[#Headers],[OVO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Row],[data]]))+AP95+preçodiario[[#This Row],[entrada CV]])</f>
        <v>0</v>
      </c>
      <c r="AQ96" s="22">
        <f>SUMIFS(estoque[quantidade],estoque[fornecedor],"&lt;&gt;saída",estoque[produto],preçodiario[[#Headers],[OVO VERMELHO C]],estoque[data],preçodiario[[#This Row],[data]])</f>
        <v>0</v>
      </c>
      <c r="AR96" s="20">
        <f>SUMIFS(estoque[valor total],estoque[fornecedor],"&lt;&gt;saída",estoque[produto],preçodiario[[#Headers],[OVO VERMELHO C]],estoque[data],preçodiario[[#This Row],[data]])</f>
        <v>0</v>
      </c>
      <c r="AS96" s="20">
        <f>IFERROR(preçodiario[[#This Row],[OVO VERMELHO C]]*preçodiario[[#This Row],[estoque CV]],0)</f>
        <v>0</v>
      </c>
      <c r="AT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Row],[data]])),((AT95*AU95)+SUMIFS(estoque[valor total],estoque[produto],preçodiario[[#Headers],[OVO VERMELHO EXTRA]],estoque[data],preçodiario[[#This Row],[data]],estoque[fornecedor],"&lt;&gt;saída"))/(AU95+(SUMIFS(estoque[quantidade],estoque[produto],preçodiario[[#Headers],[OVO VERMELHO EXTRA]],estoque[fornecedor],"&lt;&gt;saída",estoque[data],preçodiario[[#This Row],[data]])))))</f>
        <v/>
      </c>
      <c r="AU96" s="22">
        <f>IF(preçodiario[[#This Row],[entrada EV]]=0,AU95-(SUMIFS(estoque[quantidade],estoque[fornecedor],"saída",estoque[produto],preçodiario[[#Headers],[OVO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Row],[data]]))+AU95+preçodiario[[#This Row],[entrada EV]])</f>
        <v>0</v>
      </c>
      <c r="AV96" s="22">
        <f>SUMIFS(estoque[quantidade],estoque[fornecedor],"&lt;&gt;saída",estoque[produto],preçodiario[[#Headers],[OVO VERMELHO EXTRA]],estoque[data],preçodiario[[#This Row],[data]])</f>
        <v>0</v>
      </c>
      <c r="AW96" s="20">
        <f>SUMIFS(estoque[valor total],estoque[fornecedor],"&lt;&gt;saída",estoque[produto],preçodiario[[#Headers],[OVO VERMELHO EXTRA]],estoque[data],preçodiario[[#This Row],[data]])</f>
        <v>0</v>
      </c>
      <c r="AX96" s="20">
        <f>IFERROR(preçodiario[[#This Row],[OVO VERMELHO EXTRA]]*preçodiario[[#This Row],[estoque EV]],0)</f>
        <v>0</v>
      </c>
      <c r="AY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Row],[data]])),((AY95*AZ95)+SUMIFS(estoque[valor total],estoque[produto],preçodiario[[#Headers],[OVO VERMELHO JUMBO]],estoque[data],preçodiario[[#This Row],[data]],estoque[fornecedor],"&lt;&gt;saída"))/(AZ95+(SUMIFS(estoque[quantidade],estoque[produto],preçodiario[[#Headers],[OVO VERMELHO JUMBO]],estoque[fornecedor],"&lt;&gt;saída",estoque[data],preçodiario[[#This Row],[data]])))))</f>
        <v/>
      </c>
      <c r="AZ96" s="22">
        <f>IF(preçodiario[[#This Row],[entrada JV]]=0,AZ95-(SUMIFS(estoque[quantidade],estoque[fornecedor],"saída",estoque[produto],preçodiario[[#Headers],[OVO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Row],[data]]))+AZ95+preçodiario[[#This Row],[entrada JV]])</f>
        <v>0</v>
      </c>
      <c r="BA96" s="22">
        <f>SUMIFS(estoque[quantidade],estoque[fornecedor],"&lt;&gt;saída",estoque[produto],preçodiario[[#Headers],[OVO VERMELHO JUMBO]],estoque[data],preçodiario[[#This Row],[data]])</f>
        <v>0</v>
      </c>
      <c r="BB96" s="20">
        <f>SUMIFS(estoque[valor total],estoque[fornecedor],"&lt;&gt;saída",estoque[produto],preçodiario[[#Headers],[OVO VERMELHO JUMBO]],estoque[data],preçodiario[[#This Row],[data]])</f>
        <v>0</v>
      </c>
      <c r="BC96" s="20">
        <f>IFERROR(preçodiario[[#This Row],[OVO VERMELHO JUMBO]]*preçodiario[[#This Row],[estoque JV]],0)</f>
        <v>0</v>
      </c>
      <c r="BD96" t="str">
        <f>TEXT(vendaAno[[#This Row],[data]],"mmm")</f>
        <v>abr</v>
      </c>
      <c r="BE96" t="str">
        <f>TEXT(vendaAno[[#This Row],[data]],"ddd")</f>
        <v>dom</v>
      </c>
      <c r="BF96" s="82">
        <f>WEEKNUM(vendaAno[[#This Row],[data]],13)</f>
        <v>14</v>
      </c>
      <c r="BG96" s="27">
        <f>preçodiario[[#This Row],[data]]</f>
        <v>46117</v>
      </c>
      <c r="BH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6" s="8">
        <f>IF(SUMIFS(estoque[valor total],estoque[fornecedor],"saída",estoque[data],vendaAno[[#This Row],[data]])=0,"",SUMIFS(estoque[valor total],estoque[fornecedor],"saída",estoque[data],vendaAno[[#This Row],[data]]))</f>
        <v>511</v>
      </c>
      <c r="BJ9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Row],[data]]))/12+BJ95,"")</f>
        <v>17.333333333333311</v>
      </c>
      <c r="BK96" s="79">
        <f ca="1">IF(TODAY()&gt;=vendaAno[[#This Row],[data]],IF(SUMIFS(estoque[quantidade],estoque[fornecedor],"saída",estoque[data],vendaAno[[#This Row],[data]])/12=0,AVERAGE(BK93:BK95),SUMIFS(estoque[quantidade],estoque[fornecedor],"saída",estoque[data],vendaAno[[#This Row],[data]])/12),"")</f>
        <v>2.0833333333333335</v>
      </c>
      <c r="BL96" s="8">
        <f ca="1">IF(vendaAno[[#This Row],[data]]&lt;=TODAY(),IF(SUMIFS(estoque[lucro],estoque[fornecedor],"saída",estoque[data],vendaAno[[#This Row],[data]])=0,AVERAGE(BL93:BL95),SUMIFS(estoque[lucro],estoque[fornecedor],"saída",estoque[data],vendaAno[[#This Row],[data]])),"")</f>
        <v>125.27</v>
      </c>
      <c r="BM96" s="10">
        <f ca="1">IFERROR(vendaAno[[#This Row],[lucro]]/vendaAno[[#This Row],[valor de venda]],"")</f>
        <v>0.24514677103718199</v>
      </c>
      <c r="BN9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3305.3088578088582</v>
      </c>
      <c r="BO96" s="8">
        <f ca="1">IF(TODAY()&gt;=vendaAno[[#This Row],[data]],IF(vendaAno[[#This Row],[N°]]=BF95,vendaAno[[#This Row],[lucro]]-173.33+BO95,vendaAno[[#This Row],[lucro]]-150),"")</f>
        <v>57.249999999999957</v>
      </c>
      <c r="BP96" s="81">
        <f ca="1">IF(TODAY()&gt;=vendaAno[[#This Row],[data]],SUM(BK90:BK96)*12,"")</f>
        <v>260</v>
      </c>
      <c r="BQ96" s="7">
        <f ca="1">IFERROR(vendaAno[[#This Row],[lucro]]/(vendaAno[[#This Row],[venda]]*12),"")</f>
        <v>5.0107999999999997</v>
      </c>
    </row>
    <row r="97" spans="1:69" x14ac:dyDescent="0.25">
      <c r="A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7" s="18" t="str">
        <f>TEXT(preçodiario[[#This Row],[data]],"MMM")</f>
        <v>abr</v>
      </c>
      <c r="C97" s="18" t="str">
        <f>TEXT(preçodiario[[#This Row],[data]],"ddd")</f>
        <v>seg</v>
      </c>
      <c r="D97" s="96">
        <f>WEEKNUM(preçodiario[[#This Row],[data]],13)</f>
        <v>14</v>
      </c>
      <c r="E97" s="37">
        <v>46118</v>
      </c>
      <c r="F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Row],[data]])),((F96*G96)+SUMIFS(estoque[valor total],estoque[produto],preçodiario[[#Headers],[OVO BRANCO A]],estoque[data],preçodiario[[#This Row],[data]],estoque[fornecedor],"&lt;&gt;saída"))/(G96+(SUMIFS(estoque[quantidade],estoque[produto],preçodiario[[#Headers],[OVO BRANCO A]],estoque[fornecedor],"&lt;&gt;saída",estoque[data],preçodiario[[#This Row],[data]])))))</f>
        <v>15</v>
      </c>
      <c r="G97" s="22">
        <f>IF(preçodiario[[#This Row],[entrada A]]=0,G96-(SUMIFS(estoque[quantidade],estoque[fornecedor],"saída",estoque[produto],preçodiario[[#Headers],[OVO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Row],[data]]))+G96+preçodiario[[#This Row],[entrada A]])</f>
        <v>13</v>
      </c>
      <c r="H97" s="22">
        <f>SUMIFS(estoque[quantidade],estoque[fornecedor],"&lt;&gt;saída",estoque[produto],preçodiario[[#Headers],[OVO BRANCO A]],estoque[data],preçodiario[[#This Row],[data]])</f>
        <v>0</v>
      </c>
      <c r="I97" s="20">
        <f>SUMIFS(estoque[valor total],estoque[fornecedor],"&lt;&gt;saída",estoque[produto],preçodiario[[#Headers],[OVO BRANCO A]],estoque[data],preçodiario[[#This Row],[data]])</f>
        <v>0</v>
      </c>
      <c r="J97" s="20">
        <f>IFERROR(preçodiario[[#This Row],[estoque A]]*preçodiario[[#This Row],[OVO BRANCO A]],0)</f>
        <v>195</v>
      </c>
      <c r="K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Row],[data]])),((K96*L96)+SUMIFS(estoque[valor total],estoque[produto],preçodiario[[#Headers],[OVO BRANCO B]],estoque[data],preçodiario[[#This Row],[data]],estoque[fornecedor],"&lt;&gt;saída"))/(L96+(SUMIFS(estoque[quantidade],estoque[produto],preçodiario[[#Headers],[OVO BRANCO B]],estoque[fornecedor],"&lt;&gt;saída",estoque[data],preçodiario[[#This Row],[data]])))))</f>
        <v>14.140442890442889</v>
      </c>
      <c r="L97" s="22">
        <f>IF(preçodiario[[#This Row],[entrada B]]=0,L96-(SUMIFS(estoque[quantidade],estoque[fornecedor],"saída",estoque[produto],preçodiario[[#Headers],[OVO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Row],[data]]))+L96+preçodiario[[#This Row],[entrada B]])</f>
        <v>15</v>
      </c>
      <c r="M97" s="22">
        <f>SUMIFS(estoque[quantidade],estoque[fornecedor],"&lt;&gt;saída",estoque[produto],preçodiario[[#Headers],[OVO BRANCO B]],estoque[data],preçodiario[[#This Row],[data]])</f>
        <v>0</v>
      </c>
      <c r="N97" s="20">
        <f>SUMIFS(estoque[valor total],estoque[fornecedor],"&lt;&gt;saída",estoque[produto],preçodiario[[#Headers],[OVO BRANCO B]],estoque[data],preçodiario[[#This Row],[data]])</f>
        <v>0</v>
      </c>
      <c r="O97" s="20">
        <f>IFERROR(preçodiario[[#This Row],[OVO BRANCO B]]*preçodiario[[#This Row],[estoque B]],0)</f>
        <v>212.10664335664333</v>
      </c>
      <c r="P9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Row],[data]])),((P96*Q96)+SUMIFS(estoque[valor total],estoque[produto],preçodiario[[#Headers],[OVO BRANCO C]],estoque[data],preçodiario[[#This Row],[data]],estoque[fornecedor],"&lt;&gt;saída"))/(Q96+(SUMIFS(estoque[quantidade],estoque[produto],preçodiario[[#Headers],[OVO BRANCO C]],estoque[fornecedor],"&lt;&gt;saída",estoque[data],preçodiario[[#This Row],[data]])))))</f>
        <v/>
      </c>
      <c r="Q97" s="22">
        <f>IF(preçodiario[[#This Row],[entrada C]]=0,Q96-(SUMIFS(estoque[quantidade],estoque[fornecedor],"saída",estoque[produto],preçodiario[[#Headers],[OVO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Row],[data]]))+Q96+preçodiario[[#This Row],[entrada C]])</f>
        <v>0</v>
      </c>
      <c r="R97" s="22">
        <f>SUMIFS(estoque[quantidade],estoque[fornecedor],"&lt;&gt;saída",estoque[produto],preçodiario[[#Headers],[OVO BRANCO C]],estoque[data],preçodiario[[#This Row],[data]])</f>
        <v>0</v>
      </c>
      <c r="S97" s="20">
        <f>SUMIFS(estoque[valor total],estoque[fornecedor],"&lt;&gt;saída",estoque[produto],preçodiario[[#Headers],[OVO BRANCO C]],estoque[data],preçodiario[[#This Row],[data]])</f>
        <v>0</v>
      </c>
      <c r="T97" s="20">
        <f>IFERROR(preçodiario[[#This Row],[OVO BRANCO C]]*preçodiario[[#This Row],[estoque C]],0)</f>
        <v>0</v>
      </c>
      <c r="U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Row],[data]])),((U96*V96)+SUMIFS(estoque[valor total],estoque[produto],preçodiario[[#Headers],[OVO BRANCO EXTRA]],estoque[data],preçodiario[[#This Row],[data]],estoque[fornecedor],"&lt;&gt;saída"))/(V96+(SUMIFS(estoque[quantidade],estoque[produto],preçodiario[[#Headers],[OVO BRANCO EXTRA]],estoque[fornecedor],"&lt;&gt;saída",estoque[data],preçodiario[[#This Row],[data]])))))</f>
        <v>15.833333333333336</v>
      </c>
      <c r="V97" s="22">
        <f>IF(preçodiario[[#This Row],[entrada E]]=0,V96-(SUMIFS(estoque[quantidade],estoque[fornecedor],"saída",estoque[produto],preçodiario[[#Headers],[OVO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Row],[data]]))+V96+preçodiario[[#This Row],[entrada E]])</f>
        <v>86</v>
      </c>
      <c r="W97" s="22">
        <f>SUMIFS(estoque[quantidade],estoque[fornecedor],"&lt;&gt;saída",estoque[produto],preçodiario[[#Headers],[OVO BRANCO EXTRA]],estoque[data],preçodiario[[#This Row],[data]])</f>
        <v>0</v>
      </c>
      <c r="X97" s="20">
        <f>SUMIFS(estoque[valor total],estoque[fornecedor],"&lt;&gt;saída",estoque[produto],preçodiario[[#Headers],[OVO BRANCO EXTRA]],estoque[data],preçodiario[[#This Row],[data]])</f>
        <v>0</v>
      </c>
      <c r="Y97" s="20">
        <f>IFERROR(preçodiario[[#This Row],[estoque E]]*preçodiario[[#This Row],[OVO BRANCO EXTRA]],0)</f>
        <v>1361.666666666667</v>
      </c>
      <c r="Z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Row],[data]])),((Z96*AA96)+SUMIFS(estoque[valor total],estoque[produto],preçodiario[[#Headers],[OVO BRANCO JUMBO]],estoque[data],preçodiario[[#This Row],[data]],estoque[fornecedor],"&lt;&gt;saída"))/(AA96+(SUMIFS(estoque[quantidade],estoque[produto],preçodiario[[#Headers],[OVO BRANCO JUMBO]],estoque[fornecedor],"&lt;&gt;saída",estoque[data],preçodiario[[#This Row],[data]])))))</f>
        <v>16.666666666666668</v>
      </c>
      <c r="AA97" s="22">
        <f>IF(preçodiario[[#This Row],[entrada J]]=0,AA96-(SUMIFS(estoque[quantidade],estoque[fornecedor],"saída",estoque[produto],preçodiario[[#Headers],[OVO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Row],[data]]))+AA96+preçodiario[[#This Row],[entrada J]])</f>
        <v>68</v>
      </c>
      <c r="AB97" s="22">
        <f>SUMIFS(estoque[quantidade],estoque[fornecedor],"&lt;&gt;saída",estoque[produto],preçodiario[[#Headers],[OVO BRANCO JUMBO]],estoque[data],preçodiario[[#This Row],[data]])</f>
        <v>0</v>
      </c>
      <c r="AC97" s="20">
        <f>SUMIFS(estoque[valor total],estoque[fornecedor],"&lt;&gt;saída",estoque[produto],preçodiario[[#Headers],[OVO BRANCO JUMBO]],estoque[data],preçodiario[[#This Row],[data]])</f>
        <v>0</v>
      </c>
      <c r="AD97" s="20">
        <f>IFERROR(preçodiario[[#This Row],[OVO BRANCO JUMBO]]*preçodiario[[#This Row],[estoque J]],0)</f>
        <v>1133.3333333333335</v>
      </c>
      <c r="AE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Row],[data]])),((AE96*AF96)+SUMIFS(estoque[valor total],estoque[produto],preçodiario[[#Headers],[OVO VERMELHO A]],estoque[data],preçodiario[[#This Row],[data]],estoque[fornecedor],"&lt;&gt;saída"))/(AF96+(SUMIFS(estoque[quantidade],estoque[produto],preçodiario[[#Headers],[OVO VERMELHO A]],estoque[fornecedor],"&lt;&gt;saída",estoque[data],preçodiario[[#This Row],[data]])))))</f>
        <v/>
      </c>
      <c r="AF97" s="22">
        <f>IF(preçodiario[[#This Row],[entrada AV]]=0,AF96-(SUMIFS(estoque[quantidade],estoque[fornecedor],"saída",estoque[produto],preçodiario[[#Headers],[OVO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Row],[data]]))+AF96+preçodiario[[#This Row],[entrada AV]])</f>
        <v>0</v>
      </c>
      <c r="AG97" s="22">
        <f>SUMIFS(estoque[quantidade],estoque[fornecedor],"&lt;&gt;saída",estoque[produto],preçodiario[[#Headers],[OVO VERMELHO A]],estoque[data],preçodiario[[#This Row],[data]])</f>
        <v>0</v>
      </c>
      <c r="AH97" s="20">
        <f>SUMIFS(estoque[valor total],estoque[fornecedor],"&lt;&gt;saída",estoque[produto],preçodiario[[#Headers],[OVO VERMELHO A]],estoque[data],preçodiario[[#This Row],[data]])</f>
        <v>0</v>
      </c>
      <c r="AI97" s="20">
        <f>IFERROR(preçodiario[[#This Row],[OVO VERMELHO A]]*preçodiario[[#This Row],[estoque AV]],0)</f>
        <v>0</v>
      </c>
      <c r="AJ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Row],[data]])),((AJ96*AK96)+SUMIFS(estoque[valor total],estoque[produto],preçodiario[[#Headers],[OVO VERMELHO B]],estoque[data],preçodiario[[#This Row],[data]],estoque[fornecedor],"&lt;&gt;saída"))/(AK96+(SUMIFS(estoque[quantidade],estoque[produto],preçodiario[[#Headers],[OVO VERMELHO B]],estoque[fornecedor],"&lt;&gt;saída",estoque[data],preçodiario[[#This Row],[data]])))))</f>
        <v/>
      </c>
      <c r="AK97" s="22">
        <f>IF(preçodiario[[#This Row],[entrada BV]]=0,AK96-(SUMIFS(estoque[quantidade],estoque[fornecedor],"saída",estoque[produto],preçodiario[[#Headers],[OVO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Row],[data]]))+AK96+preçodiario[[#This Row],[entrada BV]])</f>
        <v>0</v>
      </c>
      <c r="AL97" s="22">
        <f>SUMIFS(estoque[quantidade],estoque[fornecedor],"&lt;&gt;saída",estoque[produto],preçodiario[[#Headers],[OVO VERMELHO B]],estoque[data],preçodiario[[#This Row],[data]])</f>
        <v>0</v>
      </c>
      <c r="AM97" s="20">
        <f>SUMIFS(estoque[valor total],estoque[fornecedor],"&lt;&gt;saída",estoque[produto],preçodiario[[#Headers],[OVO VERMELHO B]],estoque[data],preçodiario[[#This Row],[data]])</f>
        <v>0</v>
      </c>
      <c r="AN97" s="20">
        <f>IFERROR(preçodiario[[#This Row],[OVO VERMELHO B]]*preçodiario[[#This Row],[estoque BV]],0)</f>
        <v>0</v>
      </c>
      <c r="AO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Row],[data]])),((AO96*AP96)+SUMIFS(estoque[valor total],estoque[produto],preçodiario[[#Headers],[OVO VERMELHO C]],estoque[data],preçodiario[[#This Row],[data]],estoque[fornecedor],"&lt;&gt;saída"))/(AP96+(SUMIFS(estoque[quantidade],estoque[produto],preçodiario[[#Headers],[OVO VERMELHO C]],estoque[fornecedor],"&lt;&gt;saída",estoque[data],preçodiario[[#This Row],[data]])))))</f>
        <v/>
      </c>
      <c r="AP97" s="22">
        <f>IF(preçodiario[[#This Row],[entrada CV]]=0,AP96-(SUMIFS(estoque[quantidade],estoque[fornecedor],"saída",estoque[produto],preçodiario[[#Headers],[OVO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Row],[data]]))+AP96+preçodiario[[#This Row],[entrada CV]])</f>
        <v>0</v>
      </c>
      <c r="AQ97" s="22">
        <f>SUMIFS(estoque[quantidade],estoque[fornecedor],"&lt;&gt;saída",estoque[produto],preçodiario[[#Headers],[OVO VERMELHO C]],estoque[data],preçodiario[[#This Row],[data]])</f>
        <v>0</v>
      </c>
      <c r="AR97" s="20">
        <f>SUMIFS(estoque[valor total],estoque[fornecedor],"&lt;&gt;saída",estoque[produto],preçodiario[[#Headers],[OVO VERMELHO C]],estoque[data],preçodiario[[#This Row],[data]])</f>
        <v>0</v>
      </c>
      <c r="AS97" s="20">
        <f>IFERROR(preçodiario[[#This Row],[OVO VERMELHO C]]*preçodiario[[#This Row],[estoque CV]],0)</f>
        <v>0</v>
      </c>
      <c r="AT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Row],[data]])),((AT96*AU96)+SUMIFS(estoque[valor total],estoque[produto],preçodiario[[#Headers],[OVO VERMELHO EXTRA]],estoque[data],preçodiario[[#This Row],[data]],estoque[fornecedor],"&lt;&gt;saída"))/(AU96+(SUMIFS(estoque[quantidade],estoque[produto],preçodiario[[#Headers],[OVO VERMELHO EXTRA]],estoque[fornecedor],"&lt;&gt;saída",estoque[data],preçodiario[[#This Row],[data]])))))</f>
        <v/>
      </c>
      <c r="AU97" s="22">
        <f>IF(preçodiario[[#This Row],[entrada EV]]=0,AU96-(SUMIFS(estoque[quantidade],estoque[fornecedor],"saída",estoque[produto],preçodiario[[#Headers],[OVO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Row],[data]]))+AU96+preçodiario[[#This Row],[entrada EV]])</f>
        <v>0</v>
      </c>
      <c r="AV97" s="22">
        <f>SUMIFS(estoque[quantidade],estoque[fornecedor],"&lt;&gt;saída",estoque[produto],preçodiario[[#Headers],[OVO VERMELHO EXTRA]],estoque[data],preçodiario[[#This Row],[data]])</f>
        <v>0</v>
      </c>
      <c r="AW97" s="20">
        <f>SUMIFS(estoque[valor total],estoque[fornecedor],"&lt;&gt;saída",estoque[produto],preçodiario[[#Headers],[OVO VERMELHO EXTRA]],estoque[data],preçodiario[[#This Row],[data]])</f>
        <v>0</v>
      </c>
      <c r="AX97" s="20">
        <f>IFERROR(preçodiario[[#This Row],[OVO VERMELHO EXTRA]]*preçodiario[[#This Row],[estoque EV]],0)</f>
        <v>0</v>
      </c>
      <c r="AY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Row],[data]])),((AY96*AZ96)+SUMIFS(estoque[valor total],estoque[produto],preçodiario[[#Headers],[OVO VERMELHO JUMBO]],estoque[data],preçodiario[[#This Row],[data]],estoque[fornecedor],"&lt;&gt;saída"))/(AZ96+(SUMIFS(estoque[quantidade],estoque[produto],preçodiario[[#Headers],[OVO VERMELHO JUMBO]],estoque[fornecedor],"&lt;&gt;saída",estoque[data],preçodiario[[#This Row],[data]])))))</f>
        <v/>
      </c>
      <c r="AZ97" s="22">
        <f>IF(preçodiario[[#This Row],[entrada JV]]=0,AZ96-(SUMIFS(estoque[quantidade],estoque[fornecedor],"saída",estoque[produto],preçodiario[[#Headers],[OVO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Row],[data]]))+AZ96+preçodiario[[#This Row],[entrada JV]])</f>
        <v>0</v>
      </c>
      <c r="BA97" s="22">
        <f>SUMIFS(estoque[quantidade],estoque[fornecedor],"&lt;&gt;saída",estoque[produto],preçodiario[[#Headers],[OVO VERMELHO JUMBO]],estoque[data],preçodiario[[#This Row],[data]])</f>
        <v>0</v>
      </c>
      <c r="BB97" s="20">
        <f>SUMIFS(estoque[valor total],estoque[fornecedor],"&lt;&gt;saída",estoque[produto],preçodiario[[#Headers],[OVO VERMELHO JUMBO]],estoque[data],preçodiario[[#This Row],[data]])</f>
        <v>0</v>
      </c>
      <c r="BC97" s="20">
        <f>IFERROR(preçodiario[[#This Row],[OVO VERMELHO JUMBO]]*preçodiario[[#This Row],[estoque JV]],0)</f>
        <v>0</v>
      </c>
      <c r="BD97" t="str">
        <f>TEXT(vendaAno[[#This Row],[data]],"mmm")</f>
        <v>abr</v>
      </c>
      <c r="BE97" t="str">
        <f>TEXT(vendaAno[[#This Row],[data]],"ddd")</f>
        <v>seg</v>
      </c>
      <c r="BF97" s="82">
        <f>WEEKNUM(vendaAno[[#This Row],[data]],13)</f>
        <v>14</v>
      </c>
      <c r="BG97" s="27">
        <f>preçodiario[[#This Row],[data]]</f>
        <v>46118</v>
      </c>
      <c r="BH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7" s="8">
        <f>IF(SUMIFS(estoque[valor total],estoque[fornecedor],"saída",estoque[data],vendaAno[[#This Row],[data]])=0,"",SUMIFS(estoque[valor total],estoque[fornecedor],"saída",estoque[data],vendaAno[[#This Row],[data]]))</f>
        <v>546</v>
      </c>
      <c r="BJ9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Row],[data]]))/12+BJ96,"")</f>
        <v>15.166666666666645</v>
      </c>
      <c r="BK97" s="79">
        <f ca="1">IF(TODAY()&gt;=vendaAno[[#This Row],[data]],IF(SUMIFS(estoque[quantidade],estoque[fornecedor],"saída",estoque[data],vendaAno[[#This Row],[data]])/12=0,AVERAGE(BK94:BK96),SUMIFS(estoque[quantidade],estoque[fornecedor],"saída",estoque[data],vendaAno[[#This Row],[data]])/12),"")</f>
        <v>2.1666666666666665</v>
      </c>
      <c r="BL97" s="8">
        <f ca="1">IF(vendaAno[[#This Row],[data]]&lt;=TODAY(),IF(SUMIFS(estoque[lucro],estoque[fornecedor],"saída",estoque[data],vendaAno[[#This Row],[data]])=0,AVERAGE(BL94:BL96),SUMIFS(estoque[lucro],estoque[fornecedor],"saída",estoque[data],vendaAno[[#This Row],[data]])),"")</f>
        <v>142.80000000000001</v>
      </c>
      <c r="BM97" s="10">
        <f ca="1">IFERROR(vendaAno[[#This Row],[lucro]]/vendaAno[[#This Row],[valor de venda]],"")</f>
        <v>0.26153846153846155</v>
      </c>
      <c r="BN9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2902.1066433566439</v>
      </c>
      <c r="BO97" s="8">
        <f ca="1">IF(TODAY()&gt;=vendaAno[[#This Row],[data]],IF(vendaAno[[#This Row],[N°]]=BF96,vendaAno[[#This Row],[lucro]]-173.33+BO96,vendaAno[[#This Row],[lucro]]-150),"")</f>
        <v>26.719999999999956</v>
      </c>
      <c r="BP97" s="81">
        <f ca="1">IF(TODAY()&gt;=vendaAno[[#This Row],[data]],SUM(BK91:BK97)*12,"")</f>
        <v>260</v>
      </c>
      <c r="BQ97" s="7">
        <f ca="1">IFERROR(vendaAno[[#This Row],[lucro]]/(vendaAno[[#This Row],[venda]]*12),"")</f>
        <v>5.4923076923076923</v>
      </c>
    </row>
    <row r="98" spans="1:69" x14ac:dyDescent="0.25">
      <c r="A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</v>
      </c>
      <c r="B98" s="18" t="str">
        <f>TEXT(preçodiario[[#This Row],[data]],"MMM")</f>
        <v>abr</v>
      </c>
      <c r="C98" s="18" t="str">
        <f>TEXT(preçodiario[[#This Row],[data]],"ddd")</f>
        <v>ter</v>
      </c>
      <c r="D98" s="96">
        <f>WEEKNUM(preçodiario[[#This Row],[data]],13)</f>
        <v>14</v>
      </c>
      <c r="E98" s="37">
        <v>46119</v>
      </c>
      <c r="F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Row],[data]])),((F97*G97)+SUMIFS(estoque[valor total],estoque[produto],preçodiario[[#Headers],[OVO BRANCO A]],estoque[data],preçodiario[[#This Row],[data]],estoque[fornecedor],"&lt;&gt;saída"))/(G97+(SUMIFS(estoque[quantidade],estoque[produto],preçodiario[[#Headers],[OVO BRANCO A]],estoque[fornecedor],"&lt;&gt;saída",estoque[data],preçodiario[[#This Row],[data]])))))</f>
        <v>15</v>
      </c>
      <c r="G98" s="22">
        <f>IF(preçodiario[[#This Row],[entrada A]]=0,G97-(SUMIFS(estoque[quantidade],estoque[fornecedor],"saída",estoque[produto],preçodiario[[#Headers],[OVO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Row],[data]]))+G97+preçodiario[[#This Row],[entrada A]])</f>
        <v>5</v>
      </c>
      <c r="H98" s="22">
        <f>SUMIFS(estoque[quantidade],estoque[fornecedor],"&lt;&gt;saída",estoque[produto],preçodiario[[#Headers],[OVO BRANCO A]],estoque[data],preçodiario[[#This Row],[data]])</f>
        <v>0</v>
      </c>
      <c r="I98" s="20">
        <f>SUMIFS(estoque[valor total],estoque[fornecedor],"&lt;&gt;saída",estoque[produto],preçodiario[[#Headers],[OVO BRANCO A]],estoque[data],preçodiario[[#This Row],[data]])</f>
        <v>0</v>
      </c>
      <c r="J98" s="20">
        <f>IFERROR(preçodiario[[#This Row],[estoque A]]*preçodiario[[#This Row],[OVO BRANCO A]],0)</f>
        <v>75</v>
      </c>
      <c r="K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Row],[data]])),((K97*L97)+SUMIFS(estoque[valor total],estoque[produto],preçodiario[[#Headers],[OVO BRANCO B]],estoque[data],preçodiario[[#This Row],[data]],estoque[fornecedor],"&lt;&gt;saída"))/(L97+(SUMIFS(estoque[quantidade],estoque[produto],preçodiario[[#Headers],[OVO BRANCO B]],estoque[fornecedor],"&lt;&gt;saída",estoque[data],preçodiario[[#This Row],[data]])))))</f>
        <v>14.140442890442889</v>
      </c>
      <c r="L98" s="22">
        <f>IF(preçodiario[[#This Row],[entrada B]]=0,L97-(SUMIFS(estoque[quantidade],estoque[fornecedor],"saída",estoque[produto],preçodiario[[#Headers],[OVO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Row],[data]]))+L97+preçodiario[[#This Row],[entrada B]])</f>
        <v>8</v>
      </c>
      <c r="M98" s="22">
        <f>SUMIFS(estoque[quantidade],estoque[fornecedor],"&lt;&gt;saída",estoque[produto],preçodiario[[#Headers],[OVO BRANCO B]],estoque[data],preçodiario[[#This Row],[data]])</f>
        <v>0</v>
      </c>
      <c r="N98" s="20">
        <f>SUMIFS(estoque[valor total],estoque[fornecedor],"&lt;&gt;saída",estoque[produto],preçodiario[[#Headers],[OVO BRANCO B]],estoque[data],preçodiario[[#This Row],[data]])</f>
        <v>0</v>
      </c>
      <c r="O98" s="20">
        <f>IFERROR(preçodiario[[#This Row],[OVO BRANCO B]]*preçodiario[[#This Row],[estoque B]],0)</f>
        <v>113.12354312354312</v>
      </c>
      <c r="P9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Row],[data]])),((P97*Q97)+SUMIFS(estoque[valor total],estoque[produto],preçodiario[[#Headers],[OVO BRANCO C]],estoque[data],preçodiario[[#This Row],[data]],estoque[fornecedor],"&lt;&gt;saída"))/(Q97+(SUMIFS(estoque[quantidade],estoque[produto],preçodiario[[#Headers],[OVO BRANCO C]],estoque[fornecedor],"&lt;&gt;saída",estoque[data],preçodiario[[#This Row],[data]])))))</f>
        <v/>
      </c>
      <c r="Q98" s="22">
        <f>IF(preçodiario[[#This Row],[entrada C]]=0,Q97-(SUMIFS(estoque[quantidade],estoque[fornecedor],"saída",estoque[produto],preçodiario[[#Headers],[OVO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Row],[data]]))+Q97+preçodiario[[#This Row],[entrada C]])</f>
        <v>0</v>
      </c>
      <c r="R98" s="22">
        <f>SUMIFS(estoque[quantidade],estoque[fornecedor],"&lt;&gt;saída",estoque[produto],preçodiario[[#Headers],[OVO BRANCO C]],estoque[data],preçodiario[[#This Row],[data]])</f>
        <v>0</v>
      </c>
      <c r="S98" s="20">
        <f>SUMIFS(estoque[valor total],estoque[fornecedor],"&lt;&gt;saída",estoque[produto],preçodiario[[#Headers],[OVO BRANCO C]],estoque[data],preçodiario[[#This Row],[data]])</f>
        <v>0</v>
      </c>
      <c r="T98" s="20">
        <f>IFERROR(preçodiario[[#This Row],[OVO BRANCO C]]*preçodiario[[#This Row],[estoque C]],0)</f>
        <v>0</v>
      </c>
      <c r="U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Row],[data]])),((U97*V97)+SUMIFS(estoque[valor total],estoque[produto],preçodiario[[#Headers],[OVO BRANCO EXTRA]],estoque[data],preçodiario[[#This Row],[data]],estoque[fornecedor],"&lt;&gt;saída"))/(V97+(SUMIFS(estoque[quantidade],estoque[produto],preçodiario[[#Headers],[OVO BRANCO EXTRA]],estoque[fornecedor],"&lt;&gt;saída",estoque[data],preçodiario[[#This Row],[data]])))))</f>
        <v>15.833333333333337</v>
      </c>
      <c r="V98" s="22">
        <f>IF(preçodiario[[#This Row],[entrada E]]=0,V97-(SUMIFS(estoque[quantidade],estoque[fornecedor],"saída",estoque[produto],preçodiario[[#Headers],[OVO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Row],[data]]))+V97+preçodiario[[#This Row],[entrada E]])</f>
        <v>83</v>
      </c>
      <c r="W98" s="22">
        <f>SUMIFS(estoque[quantidade],estoque[fornecedor],"&lt;&gt;saída",estoque[produto],preçodiario[[#Headers],[OVO BRANCO EXTRA]],estoque[data],preçodiario[[#This Row],[data]])</f>
        <v>0</v>
      </c>
      <c r="X98" s="20">
        <f>SUMIFS(estoque[valor total],estoque[fornecedor],"&lt;&gt;saída",estoque[produto],preçodiario[[#Headers],[OVO BRANCO EXTRA]],estoque[data],preçodiario[[#This Row],[data]])</f>
        <v>0</v>
      </c>
      <c r="Y98" s="20">
        <f>IFERROR(preçodiario[[#This Row],[estoque E]]*preçodiario[[#This Row],[OVO BRANCO EXTRA]],0)</f>
        <v>1314.166666666667</v>
      </c>
      <c r="Z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Row],[data]])),((Z97*AA97)+SUMIFS(estoque[valor total],estoque[produto],preçodiario[[#Headers],[OVO BRANCO JUMBO]],estoque[data],preçodiario[[#This Row],[data]],estoque[fornecedor],"&lt;&gt;saída"))/(AA97+(SUMIFS(estoque[quantidade],estoque[produto],preçodiario[[#Headers],[OVO BRANCO JUMBO]],estoque[fornecedor],"&lt;&gt;saída",estoque[data],preçodiario[[#This Row],[data]])))))</f>
        <v>16.666666666666668</v>
      </c>
      <c r="AA98" s="22">
        <f>IF(preçodiario[[#This Row],[entrada J]]=0,AA97-(SUMIFS(estoque[quantidade],estoque[fornecedor],"saída",estoque[produto],preçodiario[[#Headers],[OVO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Row],[data]]))+AA97+preçodiario[[#This Row],[entrada J]])</f>
        <v>61</v>
      </c>
      <c r="AB98" s="22">
        <f>SUMIFS(estoque[quantidade],estoque[fornecedor],"&lt;&gt;saída",estoque[produto],preçodiario[[#Headers],[OVO BRANCO JUMBO]],estoque[data],preçodiario[[#This Row],[data]])</f>
        <v>0</v>
      </c>
      <c r="AC98" s="20">
        <f>SUMIFS(estoque[valor total],estoque[fornecedor],"&lt;&gt;saída",estoque[produto],preçodiario[[#Headers],[OVO BRANCO JUMBO]],estoque[data],preçodiario[[#This Row],[data]])</f>
        <v>0</v>
      </c>
      <c r="AD98" s="20">
        <f>IFERROR(preçodiario[[#This Row],[OVO BRANCO JUMBO]]*preçodiario[[#This Row],[estoque J]],0)</f>
        <v>1016.6666666666667</v>
      </c>
      <c r="AE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Row],[data]])),((AE97*AF97)+SUMIFS(estoque[valor total],estoque[produto],preçodiario[[#Headers],[OVO VERMELHO A]],estoque[data],preçodiario[[#This Row],[data]],estoque[fornecedor],"&lt;&gt;saída"))/(AF97+(SUMIFS(estoque[quantidade],estoque[produto],preçodiario[[#Headers],[OVO VERMELHO A]],estoque[fornecedor],"&lt;&gt;saída",estoque[data],preçodiario[[#This Row],[data]])))))</f>
        <v/>
      </c>
      <c r="AF98" s="22">
        <f>IF(preçodiario[[#This Row],[entrada AV]]=0,AF97-(SUMIFS(estoque[quantidade],estoque[fornecedor],"saída",estoque[produto],preçodiario[[#Headers],[OVO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Row],[data]]))+AF97+preçodiario[[#This Row],[entrada AV]])</f>
        <v>0</v>
      </c>
      <c r="AG98" s="22">
        <f>SUMIFS(estoque[quantidade],estoque[fornecedor],"&lt;&gt;saída",estoque[produto],preçodiario[[#Headers],[OVO VERMELHO A]],estoque[data],preçodiario[[#This Row],[data]])</f>
        <v>0</v>
      </c>
      <c r="AH98" s="20">
        <f>SUMIFS(estoque[valor total],estoque[fornecedor],"&lt;&gt;saída",estoque[produto],preçodiario[[#Headers],[OVO VERMELHO A]],estoque[data],preçodiario[[#This Row],[data]])</f>
        <v>0</v>
      </c>
      <c r="AI98" s="20">
        <f>IFERROR(preçodiario[[#This Row],[OVO VERMELHO A]]*preçodiario[[#This Row],[estoque AV]],0)</f>
        <v>0</v>
      </c>
      <c r="AJ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Row],[data]])),((AJ97*AK97)+SUMIFS(estoque[valor total],estoque[produto],preçodiario[[#Headers],[OVO VERMELHO B]],estoque[data],preçodiario[[#This Row],[data]],estoque[fornecedor],"&lt;&gt;saída"))/(AK97+(SUMIFS(estoque[quantidade],estoque[produto],preçodiario[[#Headers],[OVO VERMELHO B]],estoque[fornecedor],"&lt;&gt;saída",estoque[data],preçodiario[[#This Row],[data]])))))</f>
        <v/>
      </c>
      <c r="AK98" s="22">
        <f>IF(preçodiario[[#This Row],[entrada BV]]=0,AK97-(SUMIFS(estoque[quantidade],estoque[fornecedor],"saída",estoque[produto],preçodiario[[#Headers],[OVO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Row],[data]]))+AK97+preçodiario[[#This Row],[entrada BV]])</f>
        <v>0</v>
      </c>
      <c r="AL98" s="22">
        <f>SUMIFS(estoque[quantidade],estoque[fornecedor],"&lt;&gt;saída",estoque[produto],preçodiario[[#Headers],[OVO VERMELHO B]],estoque[data],preçodiario[[#This Row],[data]])</f>
        <v>0</v>
      </c>
      <c r="AM98" s="20">
        <f>SUMIFS(estoque[valor total],estoque[fornecedor],"&lt;&gt;saída",estoque[produto],preçodiario[[#Headers],[OVO VERMELHO B]],estoque[data],preçodiario[[#This Row],[data]])</f>
        <v>0</v>
      </c>
      <c r="AN98" s="20">
        <f>IFERROR(preçodiario[[#This Row],[OVO VERMELHO B]]*preçodiario[[#This Row],[estoque BV]],0)</f>
        <v>0</v>
      </c>
      <c r="AO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Row],[data]])),((AO97*AP97)+SUMIFS(estoque[valor total],estoque[produto],preçodiario[[#Headers],[OVO VERMELHO C]],estoque[data],preçodiario[[#This Row],[data]],estoque[fornecedor],"&lt;&gt;saída"))/(AP97+(SUMIFS(estoque[quantidade],estoque[produto],preçodiario[[#Headers],[OVO VERMELHO C]],estoque[fornecedor],"&lt;&gt;saída",estoque[data],preçodiario[[#This Row],[data]])))))</f>
        <v/>
      </c>
      <c r="AP98" s="22">
        <f>IF(preçodiario[[#This Row],[entrada CV]]=0,AP97-(SUMIFS(estoque[quantidade],estoque[fornecedor],"saída",estoque[produto],preçodiario[[#Headers],[OVO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Row],[data]]))+AP97+preçodiario[[#This Row],[entrada CV]])</f>
        <v>0</v>
      </c>
      <c r="AQ98" s="22">
        <f>SUMIFS(estoque[quantidade],estoque[fornecedor],"&lt;&gt;saída",estoque[produto],preçodiario[[#Headers],[OVO VERMELHO C]],estoque[data],preçodiario[[#This Row],[data]])</f>
        <v>0</v>
      </c>
      <c r="AR98" s="20">
        <f>SUMIFS(estoque[valor total],estoque[fornecedor],"&lt;&gt;saída",estoque[produto],preçodiario[[#Headers],[OVO VERMELHO C]],estoque[data],preçodiario[[#This Row],[data]])</f>
        <v>0</v>
      </c>
      <c r="AS98" s="20">
        <f>IFERROR(preçodiario[[#This Row],[OVO VERMELHO C]]*preçodiario[[#This Row],[estoque CV]],0)</f>
        <v>0</v>
      </c>
      <c r="AT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Row],[data]])),((AT97*AU97)+SUMIFS(estoque[valor total],estoque[produto],preçodiario[[#Headers],[OVO VERMELHO EXTRA]],estoque[data],preçodiario[[#This Row],[data]],estoque[fornecedor],"&lt;&gt;saída"))/(AU97+(SUMIFS(estoque[quantidade],estoque[produto],preçodiario[[#Headers],[OVO VERMELHO EXTRA]],estoque[fornecedor],"&lt;&gt;saída",estoque[data],preçodiario[[#This Row],[data]])))))</f>
        <v/>
      </c>
      <c r="AU98" s="22">
        <f>IF(preçodiario[[#This Row],[entrada EV]]=0,AU97-(SUMIFS(estoque[quantidade],estoque[fornecedor],"saída",estoque[produto],preçodiario[[#Headers],[OVO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Row],[data]]))+AU97+preçodiario[[#This Row],[entrada EV]])</f>
        <v>0</v>
      </c>
      <c r="AV98" s="22">
        <f>SUMIFS(estoque[quantidade],estoque[fornecedor],"&lt;&gt;saída",estoque[produto],preçodiario[[#Headers],[OVO VERMELHO EXTRA]],estoque[data],preçodiario[[#This Row],[data]])</f>
        <v>0</v>
      </c>
      <c r="AW98" s="20">
        <f>SUMIFS(estoque[valor total],estoque[fornecedor],"&lt;&gt;saída",estoque[produto],preçodiario[[#Headers],[OVO VERMELHO EXTRA]],estoque[data],preçodiario[[#This Row],[data]])</f>
        <v>0</v>
      </c>
      <c r="AX98" s="20">
        <f>IFERROR(preçodiario[[#This Row],[OVO VERMELHO EXTRA]]*preçodiario[[#This Row],[estoque EV]],0)</f>
        <v>0</v>
      </c>
      <c r="AY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Row],[data]])),((AY97*AZ97)+SUMIFS(estoque[valor total],estoque[produto],preçodiario[[#Headers],[OVO VERMELHO JUMBO]],estoque[data],preçodiario[[#This Row],[data]],estoque[fornecedor],"&lt;&gt;saída"))/(AZ97+(SUMIFS(estoque[quantidade],estoque[produto],preçodiario[[#Headers],[OVO VERMELHO JUMBO]],estoque[fornecedor],"&lt;&gt;saída",estoque[data],preçodiario[[#This Row],[data]])))))</f>
        <v/>
      </c>
      <c r="AZ98" s="22">
        <f>IF(preçodiario[[#This Row],[entrada JV]]=0,AZ97-(SUMIFS(estoque[quantidade],estoque[fornecedor],"saída",estoque[produto],preçodiario[[#Headers],[OVO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Row],[data]]))+AZ97+preçodiario[[#This Row],[entrada JV]])</f>
        <v>0</v>
      </c>
      <c r="BA98" s="22">
        <f>SUMIFS(estoque[quantidade],estoque[fornecedor],"&lt;&gt;saída",estoque[produto],preçodiario[[#Headers],[OVO VERMELHO JUMBO]],estoque[data],preçodiario[[#This Row],[data]])</f>
        <v>0</v>
      </c>
      <c r="BB98" s="20">
        <f>SUMIFS(estoque[valor total],estoque[fornecedor],"&lt;&gt;saída",estoque[produto],preçodiario[[#Headers],[OVO VERMELHO JUMBO]],estoque[data],preçodiario[[#This Row],[data]])</f>
        <v>0</v>
      </c>
      <c r="BC98" s="20">
        <f>IFERROR(preçodiario[[#This Row],[OVO VERMELHO JUMBO]]*preçodiario[[#This Row],[estoque JV]],0)</f>
        <v>0</v>
      </c>
      <c r="BD98" t="str">
        <f>TEXT(vendaAno[[#This Row],[data]],"mmm")</f>
        <v>abr</v>
      </c>
      <c r="BE98" t="str">
        <f>TEXT(vendaAno[[#This Row],[data]],"ddd")</f>
        <v>ter</v>
      </c>
      <c r="BF98" s="82">
        <f>WEEKNUM(vendaAno[[#This Row],[data]],13)</f>
        <v>14</v>
      </c>
      <c r="BG98" s="27">
        <f>preçodiario[[#This Row],[data]]</f>
        <v>46119</v>
      </c>
      <c r="BH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98" s="8">
        <f>IF(SUMIFS(estoque[valor total],estoque[fornecedor],"saída",estoque[data],vendaAno[[#This Row],[data]])=0,"",SUMIFS(estoque[valor total],estoque[fornecedor],"saída",estoque[data],vendaAno[[#This Row],[data]]))</f>
        <v>509</v>
      </c>
      <c r="BJ9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Row],[data]]))/12+BJ97,"")</f>
        <v>13.083333333333311</v>
      </c>
      <c r="BK98" s="79">
        <f ca="1">IF(TODAY()&gt;=vendaAno[[#This Row],[data]],IF(SUMIFS(estoque[quantidade],estoque[fornecedor],"saída",estoque[data],vendaAno[[#This Row],[data]])/12=0,AVERAGE(BK95:BK97),SUMIFS(estoque[quantidade],estoque[fornecedor],"saída",estoque[data],vendaAno[[#This Row],[data]])/12),"")</f>
        <v>2.0833333333333335</v>
      </c>
      <c r="BL98" s="8">
        <f ca="1">IF(vendaAno[[#This Row],[data]]&lt;=TODAY(),IF(SUMIFS(estoque[lucro],estoque[fornecedor],"saída",estoque[data],vendaAno[[#This Row],[data]])=0,AVERAGE(BL95:BL97),SUMIFS(estoque[lucro],estoque[fornecedor],"saída",estoque[data],vendaAno[[#This Row],[data]])),"")</f>
        <v>125.85</v>
      </c>
      <c r="BM98" s="10">
        <f ca="1">IFERROR(vendaAno[[#This Row],[lucro]]/vendaAno[[#This Row],[valor de venda]],"")</f>
        <v>0.24724950884086444</v>
      </c>
      <c r="BN9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2518.9568764568771</v>
      </c>
      <c r="BO98" s="8">
        <f ca="1">IF(TODAY()&gt;=vendaAno[[#This Row],[data]],IF(vendaAno[[#This Row],[N°]]=BF97,vendaAno[[#This Row],[lucro]]-173.33+BO97,vendaAno[[#This Row],[lucro]]-150),"")</f>
        <v>-20.760000000000062</v>
      </c>
      <c r="BP98" s="81">
        <f ca="1">IF(TODAY()&gt;=vendaAno[[#This Row],[data]],SUM(BK92:BK98)*12,"")</f>
        <v>241</v>
      </c>
      <c r="BQ98" s="7">
        <f ca="1">IFERROR(vendaAno[[#This Row],[lucro]]/(vendaAno[[#This Row],[venda]]*12),"")</f>
        <v>5.0339999999999998</v>
      </c>
    </row>
    <row r="99" spans="1:69" x14ac:dyDescent="0.25">
      <c r="A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99" s="18" t="str">
        <f>TEXT(preçodiario[[#This Row],[data]],"MMM")</f>
        <v>abr</v>
      </c>
      <c r="C99" s="18" t="str">
        <f>TEXT(preçodiario[[#This Row],[data]],"ddd")</f>
        <v>qua</v>
      </c>
      <c r="D99" s="96">
        <f>WEEKNUM(preçodiario[[#This Row],[data]],13)</f>
        <v>15</v>
      </c>
      <c r="E99" s="37">
        <v>46120</v>
      </c>
      <c r="F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Row],[data]])),((F98*G98)+SUMIFS(estoque[valor total],estoque[produto],preçodiario[[#Headers],[OVO BRANCO A]],estoque[data],preçodiario[[#This Row],[data]],estoque[fornecedor],"&lt;&gt;saída"))/(G98+(SUMIFS(estoque[quantidade],estoque[produto],preçodiario[[#Headers],[OVO BRANCO A]],estoque[fornecedor],"&lt;&gt;saída",estoque[data],preçodiario[[#This Row],[data]])))))</f>
        <v>16.600000000000001</v>
      </c>
      <c r="G99" s="22">
        <f>IF(preçodiario[[#This Row],[entrada A]]=0,G98-(SUMIFS(estoque[quantidade],estoque[fornecedor],"saída",estoque[produto],preçodiario[[#Headers],[OVO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Row],[data]]))+G98+preçodiario[[#This Row],[entrada A]])</f>
        <v>120</v>
      </c>
      <c r="H99" s="22">
        <f>SUMIFS(estoque[quantidade],estoque[fornecedor],"&lt;&gt;saída",estoque[produto],preçodiario[[#Headers],[OVO BRANCO A]],estoque[data],preçodiario[[#This Row],[data]])</f>
        <v>120</v>
      </c>
      <c r="I99" s="20">
        <f>SUMIFS(estoque[valor total],estoque[fornecedor],"&lt;&gt;saída",estoque[produto],preçodiario[[#Headers],[OVO BRANCO A]],estoque[data],preçodiario[[#This Row],[data]])</f>
        <v>2000</v>
      </c>
      <c r="J99" s="20">
        <f>IFERROR(preçodiario[[#This Row],[estoque A]]*preçodiario[[#This Row],[OVO BRANCO A]],0)</f>
        <v>1992.0000000000002</v>
      </c>
      <c r="K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Row],[data]])),((K98*L98)+SUMIFS(estoque[valor total],estoque[produto],preçodiario[[#Headers],[OVO BRANCO B]],estoque[data],preçodiario[[#This Row],[data]],estoque[fornecedor],"&lt;&gt;saída"))/(L98+(SUMIFS(estoque[quantidade],estoque[produto],preçodiario[[#Headers],[OVO BRANCO B]],estoque[fornecedor],"&lt;&gt;saída",estoque[data],preçodiario[[#This Row],[data]])))))</f>
        <v>16.17848958950654</v>
      </c>
      <c r="L99" s="22">
        <f>IF(preçodiario[[#This Row],[entrada B]]=0,L98-(SUMIFS(estoque[quantidade],estoque[fornecedor],"saída",estoque[produto],preçodiario[[#Headers],[OVO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Row],[data]]))+L98+preçodiario[[#This Row],[entrada B]])</f>
        <v>213</v>
      </c>
      <c r="M99" s="22">
        <f>SUMIFS(estoque[quantidade],estoque[fornecedor],"&lt;&gt;saída",estoque[produto],preçodiario[[#Headers],[OVO BRANCO B]],estoque[data],preçodiario[[#This Row],[data]])</f>
        <v>228</v>
      </c>
      <c r="N99" s="20">
        <f>SUMIFS(estoque[valor total],estoque[fornecedor],"&lt;&gt;saída",estoque[produto],preçodiario[[#Headers],[OVO BRANCO B]],estoque[data],preçodiario[[#This Row],[data]])</f>
        <v>3705</v>
      </c>
      <c r="O99" s="20">
        <f>IFERROR(preçodiario[[#This Row],[OVO BRANCO B]]*preçodiario[[#This Row],[estoque B]],0)</f>
        <v>3446.0182825648931</v>
      </c>
      <c r="P9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Row],[data]])),((P98*Q98)+SUMIFS(estoque[valor total],estoque[produto],preçodiario[[#Headers],[OVO BRANCO C]],estoque[data],preçodiario[[#This Row],[data]],estoque[fornecedor],"&lt;&gt;saída"))/(Q98+(SUMIFS(estoque[quantidade],estoque[produto],preçodiario[[#Headers],[OVO BRANCO C]],estoque[fornecedor],"&lt;&gt;saída",estoque[data],preçodiario[[#This Row],[data]])))))</f>
        <v/>
      </c>
      <c r="Q99" s="22">
        <f>IF(preçodiario[[#This Row],[entrada C]]=0,Q98-(SUMIFS(estoque[quantidade],estoque[fornecedor],"saída",estoque[produto],preçodiario[[#Headers],[OVO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Row],[data]]))+Q98+preçodiario[[#This Row],[entrada C]])</f>
        <v>0</v>
      </c>
      <c r="R99" s="22">
        <f>SUMIFS(estoque[quantidade],estoque[fornecedor],"&lt;&gt;saída",estoque[produto],preçodiario[[#Headers],[OVO BRANCO C]],estoque[data],preçodiario[[#This Row],[data]])</f>
        <v>0</v>
      </c>
      <c r="S99" s="20">
        <f>SUMIFS(estoque[valor total],estoque[fornecedor],"&lt;&gt;saída",estoque[produto],preçodiario[[#Headers],[OVO BRANCO C]],estoque[data],preçodiario[[#This Row],[data]])</f>
        <v>0</v>
      </c>
      <c r="T99" s="20">
        <f>IFERROR(preçodiario[[#This Row],[OVO BRANCO C]]*preçodiario[[#This Row],[estoque C]],0)</f>
        <v>0</v>
      </c>
      <c r="U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Row],[data]])),((U98*V98)+SUMIFS(estoque[valor total],estoque[produto],preçodiario[[#Headers],[OVO BRANCO EXTRA]],estoque[data],preçodiario[[#This Row],[data]],estoque[fornecedor],"&lt;&gt;saída"))/(V98+(SUMIFS(estoque[quantidade],estoque[produto],preçodiario[[#Headers],[OVO BRANCO EXTRA]],estoque[fornecedor],"&lt;&gt;saída",estoque[data],preçodiario[[#This Row],[data]])))))</f>
        <v>15.833333333333337</v>
      </c>
      <c r="V99" s="22">
        <f>IF(preçodiario[[#This Row],[entrada E]]=0,V98-(SUMIFS(estoque[quantidade],estoque[fornecedor],"saída",estoque[produto],preçodiario[[#Headers],[OVO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Row],[data]]))+V98+preçodiario[[#This Row],[entrada E]])</f>
        <v>83</v>
      </c>
      <c r="W99" s="22">
        <f>SUMIFS(estoque[quantidade],estoque[fornecedor],"&lt;&gt;saída",estoque[produto],preçodiario[[#Headers],[OVO BRANCO EXTRA]],estoque[data],preçodiario[[#This Row],[data]])</f>
        <v>0</v>
      </c>
      <c r="X99" s="20">
        <f>SUMIFS(estoque[valor total],estoque[fornecedor],"&lt;&gt;saída",estoque[produto],preçodiario[[#Headers],[OVO BRANCO EXTRA]],estoque[data],preçodiario[[#This Row],[data]])</f>
        <v>0</v>
      </c>
      <c r="Y99" s="20">
        <f>IFERROR(preçodiario[[#This Row],[estoque E]]*preçodiario[[#This Row],[OVO BRANCO EXTRA]],0)</f>
        <v>1314.166666666667</v>
      </c>
      <c r="Z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Row],[data]])),((Z98*AA98)+SUMIFS(estoque[valor total],estoque[produto],preçodiario[[#Headers],[OVO BRANCO JUMBO]],estoque[data],preçodiario[[#This Row],[data]],estoque[fornecedor],"&lt;&gt;saída"))/(AA98+(SUMIFS(estoque[quantidade],estoque[produto],preçodiario[[#Headers],[OVO BRANCO JUMBO]],estoque[fornecedor],"&lt;&gt;saída",estoque[data],preçodiario[[#This Row],[data]])))))</f>
        <v>16.666666666666668</v>
      </c>
      <c r="AA99" s="22">
        <f>IF(preçodiario[[#This Row],[entrada J]]=0,AA98-(SUMIFS(estoque[quantidade],estoque[fornecedor],"saída",estoque[produto],preçodiario[[#Headers],[OVO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Row],[data]]))+AA98+preçodiario[[#This Row],[entrada J]])</f>
        <v>52</v>
      </c>
      <c r="AB99" s="22">
        <f>SUMIFS(estoque[quantidade],estoque[fornecedor],"&lt;&gt;saída",estoque[produto],preçodiario[[#Headers],[OVO BRANCO JUMBO]],estoque[data],preçodiario[[#This Row],[data]])</f>
        <v>0</v>
      </c>
      <c r="AC99" s="20">
        <f>SUMIFS(estoque[valor total],estoque[fornecedor],"&lt;&gt;saída",estoque[produto],preçodiario[[#Headers],[OVO BRANCO JUMBO]],estoque[data],preçodiario[[#This Row],[data]])</f>
        <v>0</v>
      </c>
      <c r="AD99" s="20">
        <f>IFERROR(preçodiario[[#This Row],[OVO BRANCO JUMBO]]*preçodiario[[#This Row],[estoque J]],0)</f>
        <v>866.66666666666674</v>
      </c>
      <c r="AE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Row],[data]])),((AE98*AF98)+SUMIFS(estoque[valor total],estoque[produto],preçodiario[[#Headers],[OVO VERMELHO A]],estoque[data],preçodiario[[#This Row],[data]],estoque[fornecedor],"&lt;&gt;saída"))/(AF98+(SUMIFS(estoque[quantidade],estoque[produto],preçodiario[[#Headers],[OVO VERMELHO A]],estoque[fornecedor],"&lt;&gt;saída",estoque[data],preçodiario[[#This Row],[data]])))))</f>
        <v/>
      </c>
      <c r="AF99" s="22">
        <f>IF(preçodiario[[#This Row],[entrada AV]]=0,AF98-(SUMIFS(estoque[quantidade],estoque[fornecedor],"saída",estoque[produto],preçodiario[[#Headers],[OVO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Row],[data]]))+AF98+preçodiario[[#This Row],[entrada AV]])</f>
        <v>0</v>
      </c>
      <c r="AG99" s="22">
        <f>SUMIFS(estoque[quantidade],estoque[fornecedor],"&lt;&gt;saída",estoque[produto],preçodiario[[#Headers],[OVO VERMELHO A]],estoque[data],preçodiario[[#This Row],[data]])</f>
        <v>0</v>
      </c>
      <c r="AH99" s="20">
        <f>SUMIFS(estoque[valor total],estoque[fornecedor],"&lt;&gt;saída",estoque[produto],preçodiario[[#Headers],[OVO VERMELHO A]],estoque[data],preçodiario[[#This Row],[data]])</f>
        <v>0</v>
      </c>
      <c r="AI99" s="20">
        <f>IFERROR(preçodiario[[#This Row],[OVO VERMELHO A]]*preçodiario[[#This Row],[estoque AV]],0)</f>
        <v>0</v>
      </c>
      <c r="AJ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Row],[data]])),((AJ98*AK98)+SUMIFS(estoque[valor total],estoque[produto],preçodiario[[#Headers],[OVO VERMELHO B]],estoque[data],preçodiario[[#This Row],[data]],estoque[fornecedor],"&lt;&gt;saída"))/(AK98+(SUMIFS(estoque[quantidade],estoque[produto],preçodiario[[#Headers],[OVO VERMELHO B]],estoque[fornecedor],"&lt;&gt;saída",estoque[data],preçodiario[[#This Row],[data]])))))</f>
        <v/>
      </c>
      <c r="AK99" s="22">
        <f>IF(preçodiario[[#This Row],[entrada BV]]=0,AK98-(SUMIFS(estoque[quantidade],estoque[fornecedor],"saída",estoque[produto],preçodiario[[#Headers],[OVO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Row],[data]]))+AK98+preçodiario[[#This Row],[entrada BV]])</f>
        <v>0</v>
      </c>
      <c r="AL99" s="22">
        <f>SUMIFS(estoque[quantidade],estoque[fornecedor],"&lt;&gt;saída",estoque[produto],preçodiario[[#Headers],[OVO VERMELHO B]],estoque[data],preçodiario[[#This Row],[data]])</f>
        <v>0</v>
      </c>
      <c r="AM99" s="20">
        <f>SUMIFS(estoque[valor total],estoque[fornecedor],"&lt;&gt;saída",estoque[produto],preçodiario[[#Headers],[OVO VERMELHO B]],estoque[data],preçodiario[[#This Row],[data]])</f>
        <v>0</v>
      </c>
      <c r="AN99" s="20">
        <f>IFERROR(preçodiario[[#This Row],[OVO VERMELHO B]]*preçodiario[[#This Row],[estoque BV]],0)</f>
        <v>0</v>
      </c>
      <c r="AO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Row],[data]])),((AO98*AP98)+SUMIFS(estoque[valor total],estoque[produto],preçodiario[[#Headers],[OVO VERMELHO C]],estoque[data],preçodiario[[#This Row],[data]],estoque[fornecedor],"&lt;&gt;saída"))/(AP98+(SUMIFS(estoque[quantidade],estoque[produto],preçodiario[[#Headers],[OVO VERMELHO C]],estoque[fornecedor],"&lt;&gt;saída",estoque[data],preçodiario[[#This Row],[data]])))))</f>
        <v/>
      </c>
      <c r="AP99" s="22">
        <f>IF(preçodiario[[#This Row],[entrada CV]]=0,AP98-(SUMIFS(estoque[quantidade],estoque[fornecedor],"saída",estoque[produto],preçodiario[[#Headers],[OVO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Row],[data]]))+AP98+preçodiario[[#This Row],[entrada CV]])</f>
        <v>0</v>
      </c>
      <c r="AQ99" s="22">
        <f>SUMIFS(estoque[quantidade],estoque[fornecedor],"&lt;&gt;saída",estoque[produto],preçodiario[[#Headers],[OVO VERMELHO C]],estoque[data],preçodiario[[#This Row],[data]])</f>
        <v>0</v>
      </c>
      <c r="AR99" s="20">
        <f>SUMIFS(estoque[valor total],estoque[fornecedor],"&lt;&gt;saída",estoque[produto],preçodiario[[#Headers],[OVO VERMELHO C]],estoque[data],preçodiario[[#This Row],[data]])</f>
        <v>0</v>
      </c>
      <c r="AS99" s="20">
        <f>IFERROR(preçodiario[[#This Row],[OVO VERMELHO C]]*preçodiario[[#This Row],[estoque CV]],0)</f>
        <v>0</v>
      </c>
      <c r="AT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Row],[data]])),((AT98*AU98)+SUMIFS(estoque[valor total],estoque[produto],preçodiario[[#Headers],[OVO VERMELHO EXTRA]],estoque[data],preçodiario[[#This Row],[data]],estoque[fornecedor],"&lt;&gt;saída"))/(AU98+(SUMIFS(estoque[quantidade],estoque[produto],preçodiario[[#Headers],[OVO VERMELHO EXTRA]],estoque[fornecedor],"&lt;&gt;saída",estoque[data],preçodiario[[#This Row],[data]])))))</f>
        <v/>
      </c>
      <c r="AU99" s="22">
        <f>IF(preçodiario[[#This Row],[entrada EV]]=0,AU98-(SUMIFS(estoque[quantidade],estoque[fornecedor],"saída",estoque[produto],preçodiario[[#Headers],[OVO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Row],[data]]))+AU98+preçodiario[[#This Row],[entrada EV]])</f>
        <v>0</v>
      </c>
      <c r="AV99" s="22">
        <f>SUMIFS(estoque[quantidade],estoque[fornecedor],"&lt;&gt;saída",estoque[produto],preçodiario[[#Headers],[OVO VERMELHO EXTRA]],estoque[data],preçodiario[[#This Row],[data]])</f>
        <v>0</v>
      </c>
      <c r="AW99" s="20">
        <f>SUMIFS(estoque[valor total],estoque[fornecedor],"&lt;&gt;saída",estoque[produto],preçodiario[[#Headers],[OVO VERMELHO EXTRA]],estoque[data],preçodiario[[#This Row],[data]])</f>
        <v>0</v>
      </c>
      <c r="AX99" s="20">
        <f>IFERROR(preçodiario[[#This Row],[OVO VERMELHO EXTRA]]*preçodiario[[#This Row],[estoque EV]],0)</f>
        <v>0</v>
      </c>
      <c r="AY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Row],[data]])),((AY98*AZ98)+SUMIFS(estoque[valor total],estoque[produto],preçodiario[[#Headers],[OVO VERMELHO JUMBO]],estoque[data],preçodiario[[#This Row],[data]],estoque[fornecedor],"&lt;&gt;saída"))/(AZ98+(SUMIFS(estoque[quantidade],estoque[produto],preçodiario[[#Headers],[OVO VERMELHO JUMBO]],estoque[fornecedor],"&lt;&gt;saída",estoque[data],preçodiario[[#This Row],[data]])))))</f>
        <v/>
      </c>
      <c r="AZ99" s="22">
        <f>IF(preçodiario[[#This Row],[entrada JV]]=0,AZ98-(SUMIFS(estoque[quantidade],estoque[fornecedor],"saída",estoque[produto],preçodiario[[#Headers],[OVO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Row],[data]]))+AZ98+preçodiario[[#This Row],[entrada JV]])</f>
        <v>0</v>
      </c>
      <c r="BA99" s="22">
        <f>SUMIFS(estoque[quantidade],estoque[fornecedor],"&lt;&gt;saída",estoque[produto],preçodiario[[#Headers],[OVO VERMELHO JUMBO]],estoque[data],preçodiario[[#This Row],[data]])</f>
        <v>0</v>
      </c>
      <c r="BB99" s="20">
        <f>SUMIFS(estoque[valor total],estoque[fornecedor],"&lt;&gt;saída",estoque[produto],preçodiario[[#Headers],[OVO VERMELHO JUMBO]],estoque[data],preçodiario[[#This Row],[data]])</f>
        <v>0</v>
      </c>
      <c r="BC99" s="20">
        <f>IFERROR(preçodiario[[#This Row],[OVO VERMELHO JUMBO]]*preçodiario[[#This Row],[estoque JV]],0)</f>
        <v>0</v>
      </c>
      <c r="BD99" t="str">
        <f>TEXT(vendaAno[[#This Row],[data]],"mmm")</f>
        <v>abr</v>
      </c>
      <c r="BE99" t="str">
        <f>TEXT(vendaAno[[#This Row],[data]],"ddd")</f>
        <v>qua</v>
      </c>
      <c r="BF99" s="82">
        <f>WEEKNUM(vendaAno[[#This Row],[data]],13)</f>
        <v>15</v>
      </c>
      <c r="BG99" s="27">
        <f>preçodiario[[#This Row],[data]]</f>
        <v>46120</v>
      </c>
      <c r="BH99" s="8">
        <f>IF(SUMIFS(estoque[valor total],estoque[fornecedor],"&lt;&gt;saída",estoque[data],vendaAno[[#This Row],[data]])=0,"",SUMIFS(estoque[valor total],estoque[fornecedor],"&lt;&gt;saída",estoque[data],vendaAno[[#This Row],[data]]))</f>
        <v>5705</v>
      </c>
      <c r="BI99" s="8">
        <f>IF(SUMIFS(estoque[valor total],estoque[fornecedor],"saída",estoque[data],vendaAno[[#This Row],[data]])=0,"",SUMIFS(estoque[valor total],estoque[fornecedor],"saída",estoque[data],vendaAno[[#This Row],[data]]))</f>
        <v>761</v>
      </c>
      <c r="BJ9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Row],[data]]))/12+BJ98,"")</f>
        <v>38.999999999999979</v>
      </c>
      <c r="BK99" s="79">
        <f ca="1">IF(TODAY()&gt;=vendaAno[[#This Row],[data]],IF(SUMIFS(estoque[quantidade],estoque[fornecedor],"saída",estoque[data],vendaAno[[#This Row],[data]])/12=0,AVERAGE(BK96:BK98),SUMIFS(estoque[quantidade],estoque[fornecedor],"saída",estoque[data],vendaAno[[#This Row],[data]])/12),"")</f>
        <v>3.0833333333333335</v>
      </c>
      <c r="BL99" s="8">
        <f ca="1">IF(vendaAno[[#This Row],[data]]&lt;=TODAY(),IF(SUMIFS(estoque[lucro],estoque[fornecedor],"saída",estoque[data],vendaAno[[#This Row],[data]])=0,AVERAGE(BL96:BL98),SUMIFS(estoque[lucro],estoque[fornecedor],"saída",estoque[data],vendaAno[[#This Row],[data]])),"")</f>
        <v>155.88999999999999</v>
      </c>
      <c r="BM99" s="10">
        <f ca="1">IFERROR(vendaAno[[#This Row],[lucro]]/vendaAno[[#This Row],[valor de venda]],"")</f>
        <v>0.20484888304862023</v>
      </c>
      <c r="BN9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7618.8516158982275</v>
      </c>
      <c r="BO99" s="8">
        <f ca="1">IF(TODAY()&gt;=vendaAno[[#This Row],[data]],IF(vendaAno[[#This Row],[N°]]=BF98,vendaAno[[#This Row],[lucro]]-173.33+BO98,vendaAno[[#This Row],[lucro]]-150),"")</f>
        <v>5.8899999999999864</v>
      </c>
      <c r="BP99" s="81">
        <f ca="1">IF(TODAY()&gt;=vendaAno[[#This Row],[data]],SUM(BK93:BK99)*12,"")</f>
        <v>230.99999999999994</v>
      </c>
      <c r="BQ99" s="7">
        <f ca="1">IFERROR(vendaAno[[#This Row],[lucro]]/(vendaAno[[#This Row],[venda]]*12),"")</f>
        <v>4.2132432432432427</v>
      </c>
    </row>
    <row r="100" spans="1:69" x14ac:dyDescent="0.25">
      <c r="A1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0" s="18" t="str">
        <f>TEXT(preçodiario[[#This Row],[data]],"MMM")</f>
        <v>abr</v>
      </c>
      <c r="C100" s="18" t="str">
        <f>TEXT(preçodiario[[#This Row],[data]],"ddd")</f>
        <v>qui</v>
      </c>
      <c r="D100" s="96">
        <f>WEEKNUM(preçodiario[[#This Row],[data]],13)</f>
        <v>15</v>
      </c>
      <c r="E100" s="37">
        <v>46121</v>
      </c>
      <c r="F1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Row],[data]])),((F99*G99)+SUMIFS(estoque[valor total],estoque[produto],preçodiario[[#Headers],[OVO BRANCO A]],estoque[data],preçodiario[[#This Row],[data]],estoque[fornecedor],"&lt;&gt;saída"))/(G99+(SUMIFS(estoque[quantidade],estoque[produto],preçodiario[[#Headers],[OVO BRANCO A]],estoque[fornecedor],"&lt;&gt;saída",estoque[data],preçodiario[[#This Row],[data]])))))</f>
        <v>16.600000000000001</v>
      </c>
      <c r="G100" s="22">
        <f>IF(preçodiario[[#This Row],[entrada A]]=0,G99-(SUMIFS(estoque[quantidade],estoque[fornecedor],"saída",estoque[produto],preçodiario[[#Headers],[OVO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Row],[data]]))+G99+preçodiario[[#This Row],[entrada A]])</f>
        <v>117</v>
      </c>
      <c r="H100" s="22">
        <f>SUMIFS(estoque[quantidade],estoque[fornecedor],"&lt;&gt;saída",estoque[produto],preçodiario[[#Headers],[OVO BRANCO A]],estoque[data],preçodiario[[#This Row],[data]])</f>
        <v>0</v>
      </c>
      <c r="I100" s="20">
        <f>SUMIFS(estoque[valor total],estoque[fornecedor],"&lt;&gt;saída",estoque[produto],preçodiario[[#Headers],[OVO BRANCO A]],estoque[data],preçodiario[[#This Row],[data]])</f>
        <v>0</v>
      </c>
      <c r="J100" s="20">
        <f>IFERROR(preçodiario[[#This Row],[estoque A]]*preçodiario[[#This Row],[OVO BRANCO A]],0)</f>
        <v>1942.2000000000003</v>
      </c>
      <c r="K1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Row],[data]])),((K99*L99)+SUMIFS(estoque[valor total],estoque[produto],preçodiario[[#Headers],[OVO BRANCO B]],estoque[data],preçodiario[[#This Row],[data]],estoque[fornecedor],"&lt;&gt;saída"))/(L99+(SUMIFS(estoque[quantidade],estoque[produto],preçodiario[[#Headers],[OVO BRANCO B]],estoque[fornecedor],"&lt;&gt;saída",estoque[data],preçodiario[[#This Row],[data]])))))</f>
        <v>16.17848958950654</v>
      </c>
      <c r="L100" s="22">
        <f>IF(preçodiario[[#This Row],[entrada B]]=0,L99-(SUMIFS(estoque[quantidade],estoque[fornecedor],"saída",estoque[produto],preçodiario[[#Headers],[OVO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Row],[data]]))+L99+preçodiario[[#This Row],[entrada B]])</f>
        <v>213</v>
      </c>
      <c r="M100" s="22">
        <f>SUMIFS(estoque[quantidade],estoque[fornecedor],"&lt;&gt;saída",estoque[produto],preçodiario[[#Headers],[OVO BRANCO B]],estoque[data],preçodiario[[#This Row],[data]])</f>
        <v>0</v>
      </c>
      <c r="N100" s="20">
        <f>SUMIFS(estoque[valor total],estoque[fornecedor],"&lt;&gt;saída",estoque[produto],preçodiario[[#Headers],[OVO BRANCO B]],estoque[data],preçodiario[[#This Row],[data]])</f>
        <v>0</v>
      </c>
      <c r="O100" s="20">
        <f>IFERROR(preçodiario[[#This Row],[OVO BRANCO B]]*preçodiario[[#This Row],[estoque B]],0)</f>
        <v>3446.0182825648931</v>
      </c>
      <c r="P10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Row],[data]])),((P99*Q99)+SUMIFS(estoque[valor total],estoque[produto],preçodiario[[#Headers],[OVO BRANCO C]],estoque[data],preçodiario[[#This Row],[data]],estoque[fornecedor],"&lt;&gt;saída"))/(Q99+(SUMIFS(estoque[quantidade],estoque[produto],preçodiario[[#Headers],[OVO BRANCO C]],estoque[fornecedor],"&lt;&gt;saída",estoque[data],preçodiario[[#This Row],[data]])))))</f>
        <v/>
      </c>
      <c r="Q100" s="22">
        <f>IF(preçodiario[[#This Row],[entrada C]]=0,Q99-(SUMIFS(estoque[quantidade],estoque[fornecedor],"saída",estoque[produto],preçodiario[[#Headers],[OVO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Row],[data]]))+Q99+preçodiario[[#This Row],[entrada C]])</f>
        <v>0</v>
      </c>
      <c r="R100" s="22">
        <f>SUMIFS(estoque[quantidade],estoque[fornecedor],"&lt;&gt;saída",estoque[produto],preçodiario[[#Headers],[OVO BRANCO C]],estoque[data],preçodiario[[#This Row],[data]])</f>
        <v>0</v>
      </c>
      <c r="S100" s="20">
        <f>SUMIFS(estoque[valor total],estoque[fornecedor],"&lt;&gt;saída",estoque[produto],preçodiario[[#Headers],[OVO BRANCO C]],estoque[data],preçodiario[[#This Row],[data]])</f>
        <v>0</v>
      </c>
      <c r="T100" s="20">
        <f>IFERROR(preçodiario[[#This Row],[OVO BRANCO C]]*preçodiario[[#This Row],[estoque C]],0)</f>
        <v>0</v>
      </c>
      <c r="U1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Row],[data]])),((U99*V99)+SUMIFS(estoque[valor total],estoque[produto],preçodiario[[#Headers],[OVO BRANCO EXTRA]],estoque[data],preçodiario[[#This Row],[data]],estoque[fornecedor],"&lt;&gt;saída"))/(V99+(SUMIFS(estoque[quantidade],estoque[produto],preçodiario[[#Headers],[OVO BRANCO EXTRA]],estoque[fornecedor],"&lt;&gt;saída",estoque[data],preçodiario[[#This Row],[data]])))))</f>
        <v>15.833333333333337</v>
      </c>
      <c r="V100" s="22">
        <f>IF(preçodiario[[#This Row],[entrada E]]=0,V99-(SUMIFS(estoque[quantidade],estoque[fornecedor],"saída",estoque[produto],preçodiario[[#Headers],[OVO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Row],[data]]))+V99+preçodiario[[#This Row],[entrada E]])</f>
        <v>68</v>
      </c>
      <c r="W100" s="22">
        <f>SUMIFS(estoque[quantidade],estoque[fornecedor],"&lt;&gt;saída",estoque[produto],preçodiario[[#Headers],[OVO BRANCO EXTRA]],estoque[data],preçodiario[[#This Row],[data]])</f>
        <v>0</v>
      </c>
      <c r="X100" s="20">
        <f>SUMIFS(estoque[valor total],estoque[fornecedor],"&lt;&gt;saída",estoque[produto],preçodiario[[#Headers],[OVO BRANCO EXTRA]],estoque[data],preçodiario[[#This Row],[data]])</f>
        <v>0</v>
      </c>
      <c r="Y100" s="20">
        <f>IFERROR(preçodiario[[#This Row],[estoque E]]*preçodiario[[#This Row],[OVO BRANCO EXTRA]],0)</f>
        <v>1076.666666666667</v>
      </c>
      <c r="Z1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Row],[data]])),((Z99*AA99)+SUMIFS(estoque[valor total],estoque[produto],preçodiario[[#Headers],[OVO BRANCO JUMBO]],estoque[data],preçodiario[[#This Row],[data]],estoque[fornecedor],"&lt;&gt;saída"))/(AA99+(SUMIFS(estoque[quantidade],estoque[produto],preçodiario[[#Headers],[OVO BRANCO JUMBO]],estoque[fornecedor],"&lt;&gt;saída",estoque[data],preçodiario[[#This Row],[data]])))))</f>
        <v>16.666666666666668</v>
      </c>
      <c r="AA100" s="22">
        <f>IF(preçodiario[[#This Row],[entrada J]]=0,AA99-(SUMIFS(estoque[quantidade],estoque[fornecedor],"saída",estoque[produto],preçodiario[[#Headers],[OVO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Row],[data]]))+AA99+preçodiario[[#This Row],[entrada J]])</f>
        <v>38</v>
      </c>
      <c r="AB100" s="22">
        <f>SUMIFS(estoque[quantidade],estoque[fornecedor],"&lt;&gt;saída",estoque[produto],preçodiario[[#Headers],[OVO BRANCO JUMBO]],estoque[data],preçodiario[[#This Row],[data]])</f>
        <v>0</v>
      </c>
      <c r="AC100" s="20">
        <f>SUMIFS(estoque[valor total],estoque[fornecedor],"&lt;&gt;saída",estoque[produto],preçodiario[[#Headers],[OVO BRANCO JUMBO]],estoque[data],preçodiario[[#This Row],[data]])</f>
        <v>0</v>
      </c>
      <c r="AD100" s="20">
        <f>IFERROR(preçodiario[[#This Row],[OVO BRANCO JUMBO]]*preçodiario[[#This Row],[estoque J]],0)</f>
        <v>633.33333333333337</v>
      </c>
      <c r="AE1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Row],[data]])),((AE99*AF99)+SUMIFS(estoque[valor total],estoque[produto],preçodiario[[#Headers],[OVO VERMELHO A]],estoque[data],preçodiario[[#This Row],[data]],estoque[fornecedor],"&lt;&gt;saída"))/(AF99+(SUMIFS(estoque[quantidade],estoque[produto],preçodiario[[#Headers],[OVO VERMELHO A]],estoque[fornecedor],"&lt;&gt;saída",estoque[data],preçodiario[[#This Row],[data]])))))</f>
        <v/>
      </c>
      <c r="AF100" s="22">
        <f>IF(preçodiario[[#This Row],[entrada AV]]=0,AF99-(SUMIFS(estoque[quantidade],estoque[fornecedor],"saída",estoque[produto],preçodiario[[#Headers],[OVO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Row],[data]]))+AF99+preçodiario[[#This Row],[entrada AV]])</f>
        <v>0</v>
      </c>
      <c r="AG100" s="22">
        <f>SUMIFS(estoque[quantidade],estoque[fornecedor],"&lt;&gt;saída",estoque[produto],preçodiario[[#Headers],[OVO VERMELHO A]],estoque[data],preçodiario[[#This Row],[data]])</f>
        <v>0</v>
      </c>
      <c r="AH100" s="20">
        <f>SUMIFS(estoque[valor total],estoque[fornecedor],"&lt;&gt;saída",estoque[produto],preçodiario[[#Headers],[OVO VERMELHO A]],estoque[data],preçodiario[[#This Row],[data]])</f>
        <v>0</v>
      </c>
      <c r="AI100" s="20">
        <f>IFERROR(preçodiario[[#This Row],[OVO VERMELHO A]]*preçodiario[[#This Row],[estoque AV]],0)</f>
        <v>0</v>
      </c>
      <c r="AJ1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Row],[data]])),((AJ99*AK99)+SUMIFS(estoque[valor total],estoque[produto],preçodiario[[#Headers],[OVO VERMELHO B]],estoque[data],preçodiario[[#This Row],[data]],estoque[fornecedor],"&lt;&gt;saída"))/(AK99+(SUMIFS(estoque[quantidade],estoque[produto],preçodiario[[#Headers],[OVO VERMELHO B]],estoque[fornecedor],"&lt;&gt;saída",estoque[data],preçodiario[[#This Row],[data]])))))</f>
        <v/>
      </c>
      <c r="AK100" s="22">
        <f>IF(preçodiario[[#This Row],[entrada BV]]=0,AK99-(SUMIFS(estoque[quantidade],estoque[fornecedor],"saída",estoque[produto],preçodiario[[#Headers],[OVO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Row],[data]]))+AK99+preçodiario[[#This Row],[entrada BV]])</f>
        <v>0</v>
      </c>
      <c r="AL100" s="22">
        <f>SUMIFS(estoque[quantidade],estoque[fornecedor],"&lt;&gt;saída",estoque[produto],preçodiario[[#Headers],[OVO VERMELHO B]],estoque[data],preçodiario[[#This Row],[data]])</f>
        <v>0</v>
      </c>
      <c r="AM100" s="20">
        <f>SUMIFS(estoque[valor total],estoque[fornecedor],"&lt;&gt;saída",estoque[produto],preçodiario[[#Headers],[OVO VERMELHO B]],estoque[data],preçodiario[[#This Row],[data]])</f>
        <v>0</v>
      </c>
      <c r="AN100" s="20">
        <f>IFERROR(preçodiario[[#This Row],[OVO VERMELHO B]]*preçodiario[[#This Row],[estoque BV]],0)</f>
        <v>0</v>
      </c>
      <c r="AO1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Row],[data]])),((AO99*AP99)+SUMIFS(estoque[valor total],estoque[produto],preçodiario[[#Headers],[OVO VERMELHO C]],estoque[data],preçodiario[[#This Row],[data]],estoque[fornecedor],"&lt;&gt;saída"))/(AP99+(SUMIFS(estoque[quantidade],estoque[produto],preçodiario[[#Headers],[OVO VERMELHO C]],estoque[fornecedor],"&lt;&gt;saída",estoque[data],preçodiario[[#This Row],[data]])))))</f>
        <v/>
      </c>
      <c r="AP100" s="22">
        <f>IF(preçodiario[[#This Row],[entrada CV]]=0,AP99-(SUMIFS(estoque[quantidade],estoque[fornecedor],"saída",estoque[produto],preçodiario[[#Headers],[OVO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Row],[data]]))+AP99+preçodiario[[#This Row],[entrada CV]])</f>
        <v>0</v>
      </c>
      <c r="AQ100" s="22">
        <f>SUMIFS(estoque[quantidade],estoque[fornecedor],"&lt;&gt;saída",estoque[produto],preçodiario[[#Headers],[OVO VERMELHO C]],estoque[data],preçodiario[[#This Row],[data]])</f>
        <v>0</v>
      </c>
      <c r="AR100" s="20">
        <f>SUMIFS(estoque[valor total],estoque[fornecedor],"&lt;&gt;saída",estoque[produto],preçodiario[[#Headers],[OVO VERMELHO C]],estoque[data],preçodiario[[#This Row],[data]])</f>
        <v>0</v>
      </c>
      <c r="AS100" s="20">
        <f>IFERROR(preçodiario[[#This Row],[OVO VERMELHO C]]*preçodiario[[#This Row],[estoque CV]],0)</f>
        <v>0</v>
      </c>
      <c r="AT1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Row],[data]])),((AT99*AU99)+SUMIFS(estoque[valor total],estoque[produto],preçodiario[[#Headers],[OVO VERMELHO EXTRA]],estoque[data],preçodiario[[#This Row],[data]],estoque[fornecedor],"&lt;&gt;saída"))/(AU99+(SUMIFS(estoque[quantidade],estoque[produto],preçodiario[[#Headers],[OVO VERMELHO EXTRA]],estoque[fornecedor],"&lt;&gt;saída",estoque[data],preçodiario[[#This Row],[data]])))))</f>
        <v/>
      </c>
      <c r="AU100" s="22">
        <f>IF(preçodiario[[#This Row],[entrada EV]]=0,AU99-(SUMIFS(estoque[quantidade],estoque[fornecedor],"saída",estoque[produto],preçodiario[[#Headers],[OVO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Row],[data]]))+AU99+preçodiario[[#This Row],[entrada EV]])</f>
        <v>0</v>
      </c>
      <c r="AV100" s="22">
        <f>SUMIFS(estoque[quantidade],estoque[fornecedor],"&lt;&gt;saída",estoque[produto],preçodiario[[#Headers],[OVO VERMELHO EXTRA]],estoque[data],preçodiario[[#This Row],[data]])</f>
        <v>0</v>
      </c>
      <c r="AW100" s="20">
        <f>SUMIFS(estoque[valor total],estoque[fornecedor],"&lt;&gt;saída",estoque[produto],preçodiario[[#Headers],[OVO VERMELHO EXTRA]],estoque[data],preçodiario[[#This Row],[data]])</f>
        <v>0</v>
      </c>
      <c r="AX100" s="20">
        <f>IFERROR(preçodiario[[#This Row],[OVO VERMELHO EXTRA]]*preçodiario[[#This Row],[estoque EV]],0)</f>
        <v>0</v>
      </c>
      <c r="AY1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Row],[data]])),((AY99*AZ99)+SUMIFS(estoque[valor total],estoque[produto],preçodiario[[#Headers],[OVO VERMELHO JUMBO]],estoque[data],preçodiario[[#This Row],[data]],estoque[fornecedor],"&lt;&gt;saída"))/(AZ99+(SUMIFS(estoque[quantidade],estoque[produto],preçodiario[[#Headers],[OVO VERMELHO JUMBO]],estoque[fornecedor],"&lt;&gt;saída",estoque[data],preçodiario[[#This Row],[data]])))))</f>
        <v/>
      </c>
      <c r="AZ100" s="22">
        <f>IF(preçodiario[[#This Row],[entrada JV]]=0,AZ99-(SUMIFS(estoque[quantidade],estoque[fornecedor],"saída",estoque[produto],preçodiario[[#Headers],[OVO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Row],[data]]))+AZ99+preçodiario[[#This Row],[entrada JV]])</f>
        <v>0</v>
      </c>
      <c r="BA100" s="22">
        <f>SUMIFS(estoque[quantidade],estoque[fornecedor],"&lt;&gt;saída",estoque[produto],preçodiario[[#Headers],[OVO VERMELHO JUMBO]],estoque[data],preçodiario[[#This Row],[data]])</f>
        <v>0</v>
      </c>
      <c r="BB100" s="20">
        <f>SUMIFS(estoque[valor total],estoque[fornecedor],"&lt;&gt;saída",estoque[produto],preçodiario[[#Headers],[OVO VERMELHO JUMBO]],estoque[data],preçodiario[[#This Row],[data]])</f>
        <v>0</v>
      </c>
      <c r="BC100" s="20">
        <f>IFERROR(preçodiario[[#This Row],[OVO VERMELHO JUMBO]]*preçodiario[[#This Row],[estoque JV]],0)</f>
        <v>0</v>
      </c>
      <c r="BD100" t="str">
        <f>TEXT(vendaAno[[#This Row],[data]],"mmm")</f>
        <v>abr</v>
      </c>
      <c r="BE100" t="str">
        <f>TEXT(vendaAno[[#This Row],[data]],"ddd")</f>
        <v>qui</v>
      </c>
      <c r="BF100" s="82">
        <f>WEEKNUM(vendaAno[[#This Row],[data]],13)</f>
        <v>15</v>
      </c>
      <c r="BG100" s="27">
        <f>preçodiario[[#This Row],[data]]</f>
        <v>46121</v>
      </c>
      <c r="BH1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0" s="8">
        <f>IF(SUMIFS(estoque[valor total],estoque[fornecedor],"saída",estoque[data],vendaAno[[#This Row],[data]])=0,"",SUMIFS(estoque[valor total],estoque[fornecedor],"saída",estoque[data],vendaAno[[#This Row],[data]]))</f>
        <v>712.5</v>
      </c>
      <c r="BJ10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Row],[data]]))/12+BJ99,"")</f>
        <v>36.333333333333314</v>
      </c>
      <c r="BK100" s="79">
        <f ca="1">IF(TODAY()&gt;=vendaAno[[#This Row],[data]],IF(SUMIFS(estoque[quantidade],estoque[fornecedor],"saída",estoque[data],vendaAno[[#This Row],[data]])/12=0,AVERAGE(BK97:BK99),SUMIFS(estoque[quantidade],estoque[fornecedor],"saída",estoque[data],vendaAno[[#This Row],[data]])/12),"")</f>
        <v>2.6666666666666665</v>
      </c>
      <c r="BL100" s="8">
        <f ca="1">IF(vendaAno[[#This Row],[data]]&lt;=TODAY(),IF(SUMIFS(estoque[lucro],estoque[fornecedor],"saída",estoque[data],vendaAno[[#This Row],[data]])=0,AVERAGE(BL97:BL99),SUMIFS(estoque[lucro],estoque[fornecedor],"saída",estoque[data],vendaAno[[#This Row],[data]])),"")</f>
        <v>191.87</v>
      </c>
      <c r="BM100" s="10">
        <f ca="1">IFERROR(vendaAno[[#This Row],[lucro]]/vendaAno[[#This Row],[valor de venda]],"")</f>
        <v>0.26929122807017547</v>
      </c>
      <c r="BN10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7098.2182825648943</v>
      </c>
      <c r="BO100" s="8">
        <f ca="1">IF(TODAY()&gt;=vendaAno[[#This Row],[data]],IF(vendaAno[[#This Row],[N°]]=BF99,vendaAno[[#This Row],[lucro]]-173.33+BO99,vendaAno[[#This Row],[lucro]]-150),"")</f>
        <v>24.429999999999978</v>
      </c>
      <c r="BP100" s="81">
        <f ca="1">IF(TODAY()&gt;=vendaAno[[#This Row],[data]],SUM(BK94:BK100)*12,"")</f>
        <v>223.00000000000003</v>
      </c>
      <c r="BQ100" s="7">
        <f ca="1">IFERROR(vendaAno[[#This Row],[lucro]]/(vendaAno[[#This Row],[venda]]*12),"")</f>
        <v>5.9959375000000001</v>
      </c>
    </row>
    <row r="101" spans="1:69" x14ac:dyDescent="0.25">
      <c r="A1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1" s="18" t="str">
        <f>TEXT(preçodiario[[#This Row],[data]],"MMM")</f>
        <v>abr</v>
      </c>
      <c r="C101" s="18" t="str">
        <f>TEXT(preçodiario[[#This Row],[data]],"ddd")</f>
        <v>sex</v>
      </c>
      <c r="D101" s="96">
        <f>WEEKNUM(preçodiario[[#This Row],[data]],13)</f>
        <v>15</v>
      </c>
      <c r="E101" s="37">
        <v>46122</v>
      </c>
      <c r="F1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Row],[data]])),((F100*G100)+SUMIFS(estoque[valor total],estoque[produto],preçodiario[[#Headers],[OVO BRANCO A]],estoque[data],preçodiario[[#This Row],[data]],estoque[fornecedor],"&lt;&gt;saída"))/(G100+(SUMIFS(estoque[quantidade],estoque[produto],preçodiario[[#Headers],[OVO BRANCO A]],estoque[fornecedor],"&lt;&gt;saída",estoque[data],preçodiario[[#This Row],[data]])))))</f>
        <v>16.600000000000001</v>
      </c>
      <c r="G101" s="22">
        <f>IF(preçodiario[[#This Row],[entrada A]]=0,G100-(SUMIFS(estoque[quantidade],estoque[fornecedor],"saída",estoque[produto],preçodiario[[#Headers],[OVO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Row],[data]]))+G100+preçodiario[[#This Row],[entrada A]])</f>
        <v>116</v>
      </c>
      <c r="H101" s="22">
        <f>SUMIFS(estoque[quantidade],estoque[fornecedor],"&lt;&gt;saída",estoque[produto],preçodiario[[#Headers],[OVO BRANCO A]],estoque[data],preçodiario[[#This Row],[data]])</f>
        <v>0</v>
      </c>
      <c r="I101" s="20">
        <f>SUMIFS(estoque[valor total],estoque[fornecedor],"&lt;&gt;saída",estoque[produto],preçodiario[[#Headers],[OVO BRANCO A]],estoque[data],preçodiario[[#This Row],[data]])</f>
        <v>0</v>
      </c>
      <c r="J101" s="20">
        <f>IFERROR(preçodiario[[#This Row],[estoque A]]*preçodiario[[#This Row],[OVO BRANCO A]],0)</f>
        <v>1925.6000000000001</v>
      </c>
      <c r="K1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Row],[data]])),((K100*L100)+SUMIFS(estoque[valor total],estoque[produto],preçodiario[[#Headers],[OVO BRANCO B]],estoque[data],preçodiario[[#This Row],[data]],estoque[fornecedor],"&lt;&gt;saída"))/(L100+(SUMIFS(estoque[quantidade],estoque[produto],preçodiario[[#Headers],[OVO BRANCO B]],estoque[fornecedor],"&lt;&gt;saída",estoque[data],preçodiario[[#This Row],[data]])))))</f>
        <v>16.17848958950654</v>
      </c>
      <c r="L101" s="22">
        <f>IF(preçodiario[[#This Row],[entrada B]]=0,L100-(SUMIFS(estoque[quantidade],estoque[fornecedor],"saída",estoque[produto],preçodiario[[#Headers],[OVO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Row],[data]]))+L100+preçodiario[[#This Row],[entrada B]])</f>
        <v>193</v>
      </c>
      <c r="M101" s="22">
        <f>SUMIFS(estoque[quantidade],estoque[fornecedor],"&lt;&gt;saída",estoque[produto],preçodiario[[#Headers],[OVO BRANCO B]],estoque[data],preçodiario[[#This Row],[data]])</f>
        <v>0</v>
      </c>
      <c r="N101" s="20">
        <f>SUMIFS(estoque[valor total],estoque[fornecedor],"&lt;&gt;saída",estoque[produto],preçodiario[[#Headers],[OVO BRANCO B]],estoque[data],preçodiario[[#This Row],[data]])</f>
        <v>0</v>
      </c>
      <c r="O101" s="20">
        <f>IFERROR(preçodiario[[#This Row],[OVO BRANCO B]]*preçodiario[[#This Row],[estoque B]],0)</f>
        <v>3122.4484907747624</v>
      </c>
      <c r="P10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Row],[data]])),((P100*Q100)+SUMIFS(estoque[valor total],estoque[produto],preçodiario[[#Headers],[OVO BRANCO C]],estoque[data],preçodiario[[#This Row],[data]],estoque[fornecedor],"&lt;&gt;saída"))/(Q100+(SUMIFS(estoque[quantidade],estoque[produto],preçodiario[[#Headers],[OVO BRANCO C]],estoque[fornecedor],"&lt;&gt;saída",estoque[data],preçodiario[[#This Row],[data]])))))</f>
        <v/>
      </c>
      <c r="Q101" s="22">
        <f>IF(preçodiario[[#This Row],[entrada C]]=0,Q100-(SUMIFS(estoque[quantidade],estoque[fornecedor],"saída",estoque[produto],preçodiario[[#Headers],[OVO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Row],[data]]))+Q100+preçodiario[[#This Row],[entrada C]])</f>
        <v>0</v>
      </c>
      <c r="R101" s="22">
        <f>SUMIFS(estoque[quantidade],estoque[fornecedor],"&lt;&gt;saída",estoque[produto],preçodiario[[#Headers],[OVO BRANCO C]],estoque[data],preçodiario[[#This Row],[data]])</f>
        <v>0</v>
      </c>
      <c r="S101" s="20">
        <f>SUMIFS(estoque[valor total],estoque[fornecedor],"&lt;&gt;saída",estoque[produto],preçodiario[[#Headers],[OVO BRANCO C]],estoque[data],preçodiario[[#This Row],[data]])</f>
        <v>0</v>
      </c>
      <c r="T101" s="20">
        <f>IFERROR(preçodiario[[#This Row],[OVO BRANCO C]]*preçodiario[[#This Row],[estoque C]],0)</f>
        <v>0</v>
      </c>
      <c r="U1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Row],[data]])),((U100*V100)+SUMIFS(estoque[valor total],estoque[produto],preçodiario[[#Headers],[OVO BRANCO EXTRA]],estoque[data],preçodiario[[#This Row],[data]],estoque[fornecedor],"&lt;&gt;saída"))/(V100+(SUMIFS(estoque[quantidade],estoque[produto],preçodiario[[#Headers],[OVO BRANCO EXTRA]],estoque[fornecedor],"&lt;&gt;saída",estoque[data],preçodiario[[#This Row],[data]])))))</f>
        <v>15.833333333333337</v>
      </c>
      <c r="V101" s="22">
        <f>IF(preçodiario[[#This Row],[entrada E]]=0,V100-(SUMIFS(estoque[quantidade],estoque[fornecedor],"saída",estoque[produto],preçodiario[[#Headers],[OVO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Row],[data]]))+V100+preçodiario[[#This Row],[entrada E]])</f>
        <v>64</v>
      </c>
      <c r="W101" s="22">
        <f>SUMIFS(estoque[quantidade],estoque[fornecedor],"&lt;&gt;saída",estoque[produto],preçodiario[[#Headers],[OVO BRANCO EXTRA]],estoque[data],preçodiario[[#This Row],[data]])</f>
        <v>0</v>
      </c>
      <c r="X101" s="20">
        <f>SUMIFS(estoque[valor total],estoque[fornecedor],"&lt;&gt;saída",estoque[produto],preçodiario[[#Headers],[OVO BRANCO EXTRA]],estoque[data],preçodiario[[#This Row],[data]])</f>
        <v>0</v>
      </c>
      <c r="Y101" s="20">
        <f>IFERROR(preçodiario[[#This Row],[estoque E]]*preçodiario[[#This Row],[OVO BRANCO EXTRA]],0)</f>
        <v>1013.3333333333336</v>
      </c>
      <c r="Z1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Row],[data]])),((Z100*AA100)+SUMIFS(estoque[valor total],estoque[produto],preçodiario[[#Headers],[OVO BRANCO JUMBO]],estoque[data],preçodiario[[#This Row],[data]],estoque[fornecedor],"&lt;&gt;saída"))/(AA100+(SUMIFS(estoque[quantidade],estoque[produto],preçodiario[[#Headers],[OVO BRANCO JUMBO]],estoque[fornecedor],"&lt;&gt;saída",estoque[data],preçodiario[[#This Row],[data]])))))</f>
        <v>16.666666666666668</v>
      </c>
      <c r="AA101" s="22">
        <f>IF(preçodiario[[#This Row],[entrada J]]=0,AA100-(SUMIFS(estoque[quantidade],estoque[fornecedor],"saída",estoque[produto],preçodiario[[#Headers],[OVO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Row],[data]]))+AA100+preçodiario[[#This Row],[entrada J]])</f>
        <v>34</v>
      </c>
      <c r="AB101" s="22">
        <f>SUMIFS(estoque[quantidade],estoque[fornecedor],"&lt;&gt;saída",estoque[produto],preçodiario[[#Headers],[OVO BRANCO JUMBO]],estoque[data],preçodiario[[#This Row],[data]])</f>
        <v>0</v>
      </c>
      <c r="AC101" s="20">
        <f>SUMIFS(estoque[valor total],estoque[fornecedor],"&lt;&gt;saída",estoque[produto],preçodiario[[#Headers],[OVO BRANCO JUMBO]],estoque[data],preçodiario[[#This Row],[data]])</f>
        <v>0</v>
      </c>
      <c r="AD101" s="20">
        <f>IFERROR(preçodiario[[#This Row],[OVO BRANCO JUMBO]]*preçodiario[[#This Row],[estoque J]],0)</f>
        <v>566.66666666666674</v>
      </c>
      <c r="AE1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Row],[data]])),((AE100*AF100)+SUMIFS(estoque[valor total],estoque[produto],preçodiario[[#Headers],[OVO VERMELHO A]],estoque[data],preçodiario[[#This Row],[data]],estoque[fornecedor],"&lt;&gt;saída"))/(AF100+(SUMIFS(estoque[quantidade],estoque[produto],preçodiario[[#Headers],[OVO VERMELHO A]],estoque[fornecedor],"&lt;&gt;saída",estoque[data],preçodiario[[#This Row],[data]])))))</f>
        <v/>
      </c>
      <c r="AF101" s="22">
        <f>IF(preçodiario[[#This Row],[entrada AV]]=0,AF100-(SUMIFS(estoque[quantidade],estoque[fornecedor],"saída",estoque[produto],preçodiario[[#Headers],[OVO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Row],[data]]))+AF100+preçodiario[[#This Row],[entrada AV]])</f>
        <v>0</v>
      </c>
      <c r="AG101" s="22">
        <f>SUMIFS(estoque[quantidade],estoque[fornecedor],"&lt;&gt;saída",estoque[produto],preçodiario[[#Headers],[OVO VERMELHO A]],estoque[data],preçodiario[[#This Row],[data]])</f>
        <v>0</v>
      </c>
      <c r="AH101" s="20">
        <f>SUMIFS(estoque[valor total],estoque[fornecedor],"&lt;&gt;saída",estoque[produto],preçodiario[[#Headers],[OVO VERMELHO A]],estoque[data],preçodiario[[#This Row],[data]])</f>
        <v>0</v>
      </c>
      <c r="AI101" s="20">
        <f>IFERROR(preçodiario[[#This Row],[OVO VERMELHO A]]*preçodiario[[#This Row],[estoque AV]],0)</f>
        <v>0</v>
      </c>
      <c r="AJ1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Row],[data]])),((AJ100*AK100)+SUMIFS(estoque[valor total],estoque[produto],preçodiario[[#Headers],[OVO VERMELHO B]],estoque[data],preçodiario[[#This Row],[data]],estoque[fornecedor],"&lt;&gt;saída"))/(AK100+(SUMIFS(estoque[quantidade],estoque[produto],preçodiario[[#Headers],[OVO VERMELHO B]],estoque[fornecedor],"&lt;&gt;saída",estoque[data],preçodiario[[#This Row],[data]])))))</f>
        <v/>
      </c>
      <c r="AK101" s="22">
        <f>IF(preçodiario[[#This Row],[entrada BV]]=0,AK100-(SUMIFS(estoque[quantidade],estoque[fornecedor],"saída",estoque[produto],preçodiario[[#Headers],[OVO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Row],[data]]))+AK100+preçodiario[[#This Row],[entrada BV]])</f>
        <v>0</v>
      </c>
      <c r="AL101" s="22">
        <f>SUMIFS(estoque[quantidade],estoque[fornecedor],"&lt;&gt;saída",estoque[produto],preçodiario[[#Headers],[OVO VERMELHO B]],estoque[data],preçodiario[[#This Row],[data]])</f>
        <v>0</v>
      </c>
      <c r="AM101" s="20">
        <f>SUMIFS(estoque[valor total],estoque[fornecedor],"&lt;&gt;saída",estoque[produto],preçodiario[[#Headers],[OVO VERMELHO B]],estoque[data],preçodiario[[#This Row],[data]])</f>
        <v>0</v>
      </c>
      <c r="AN101" s="20">
        <f>IFERROR(preçodiario[[#This Row],[OVO VERMELHO B]]*preçodiario[[#This Row],[estoque BV]],0)</f>
        <v>0</v>
      </c>
      <c r="AO1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Row],[data]])),((AO100*AP100)+SUMIFS(estoque[valor total],estoque[produto],preçodiario[[#Headers],[OVO VERMELHO C]],estoque[data],preçodiario[[#This Row],[data]],estoque[fornecedor],"&lt;&gt;saída"))/(AP100+(SUMIFS(estoque[quantidade],estoque[produto],preçodiario[[#Headers],[OVO VERMELHO C]],estoque[fornecedor],"&lt;&gt;saída",estoque[data],preçodiario[[#This Row],[data]])))))</f>
        <v/>
      </c>
      <c r="AP101" s="22">
        <f>IF(preçodiario[[#This Row],[entrada CV]]=0,AP100-(SUMIFS(estoque[quantidade],estoque[fornecedor],"saída",estoque[produto],preçodiario[[#Headers],[OVO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Row],[data]]))+AP100+preçodiario[[#This Row],[entrada CV]])</f>
        <v>0</v>
      </c>
      <c r="AQ101" s="22">
        <f>SUMIFS(estoque[quantidade],estoque[fornecedor],"&lt;&gt;saída",estoque[produto],preçodiario[[#Headers],[OVO VERMELHO C]],estoque[data],preçodiario[[#This Row],[data]])</f>
        <v>0</v>
      </c>
      <c r="AR101" s="20">
        <f>SUMIFS(estoque[valor total],estoque[fornecedor],"&lt;&gt;saída",estoque[produto],preçodiario[[#Headers],[OVO VERMELHO C]],estoque[data],preçodiario[[#This Row],[data]])</f>
        <v>0</v>
      </c>
      <c r="AS101" s="20">
        <f>IFERROR(preçodiario[[#This Row],[OVO VERMELHO C]]*preçodiario[[#This Row],[estoque CV]],0)</f>
        <v>0</v>
      </c>
      <c r="AT1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Row],[data]])),((AT100*AU100)+SUMIFS(estoque[valor total],estoque[produto],preçodiario[[#Headers],[OVO VERMELHO EXTRA]],estoque[data],preçodiario[[#This Row],[data]],estoque[fornecedor],"&lt;&gt;saída"))/(AU100+(SUMIFS(estoque[quantidade],estoque[produto],preçodiario[[#Headers],[OVO VERMELHO EXTRA]],estoque[fornecedor],"&lt;&gt;saída",estoque[data],preçodiario[[#This Row],[data]])))))</f>
        <v/>
      </c>
      <c r="AU101" s="22">
        <f>IF(preçodiario[[#This Row],[entrada EV]]=0,AU100-(SUMIFS(estoque[quantidade],estoque[fornecedor],"saída",estoque[produto],preçodiario[[#Headers],[OVO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Row],[data]]))+AU100+preçodiario[[#This Row],[entrada EV]])</f>
        <v>0</v>
      </c>
      <c r="AV101" s="22">
        <f>SUMIFS(estoque[quantidade],estoque[fornecedor],"&lt;&gt;saída",estoque[produto],preçodiario[[#Headers],[OVO VERMELHO EXTRA]],estoque[data],preçodiario[[#This Row],[data]])</f>
        <v>0</v>
      </c>
      <c r="AW101" s="20">
        <f>SUMIFS(estoque[valor total],estoque[fornecedor],"&lt;&gt;saída",estoque[produto],preçodiario[[#Headers],[OVO VERMELHO EXTRA]],estoque[data],preçodiario[[#This Row],[data]])</f>
        <v>0</v>
      </c>
      <c r="AX101" s="20">
        <f>IFERROR(preçodiario[[#This Row],[OVO VERMELHO EXTRA]]*preçodiario[[#This Row],[estoque EV]],0)</f>
        <v>0</v>
      </c>
      <c r="AY1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Row],[data]])),((AY100*AZ100)+SUMIFS(estoque[valor total],estoque[produto],preçodiario[[#Headers],[OVO VERMELHO JUMBO]],estoque[data],preçodiario[[#This Row],[data]],estoque[fornecedor],"&lt;&gt;saída"))/(AZ100+(SUMIFS(estoque[quantidade],estoque[produto],preçodiario[[#Headers],[OVO VERMELHO JUMBO]],estoque[fornecedor],"&lt;&gt;saída",estoque[data],preçodiario[[#This Row],[data]])))))</f>
        <v/>
      </c>
      <c r="AZ101" s="22">
        <f>IF(preçodiario[[#This Row],[entrada JV]]=0,AZ100-(SUMIFS(estoque[quantidade],estoque[fornecedor],"saída",estoque[produto],preçodiario[[#Headers],[OVO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Row],[data]]))+AZ100+preçodiario[[#This Row],[entrada JV]])</f>
        <v>0</v>
      </c>
      <c r="BA101" s="22">
        <f>SUMIFS(estoque[quantidade],estoque[fornecedor],"&lt;&gt;saída",estoque[produto],preçodiario[[#Headers],[OVO VERMELHO JUMBO]],estoque[data],preçodiario[[#This Row],[data]])</f>
        <v>0</v>
      </c>
      <c r="BB101" s="20">
        <f>SUMIFS(estoque[valor total],estoque[fornecedor],"&lt;&gt;saída",estoque[produto],preçodiario[[#Headers],[OVO VERMELHO JUMBO]],estoque[data],preçodiario[[#This Row],[data]])</f>
        <v>0</v>
      </c>
      <c r="BC101" s="20">
        <f>IFERROR(preçodiario[[#This Row],[OVO VERMELHO JUMBO]]*preçodiario[[#This Row],[estoque JV]],0)</f>
        <v>0</v>
      </c>
      <c r="BD101" t="str">
        <f>TEXT(vendaAno[[#This Row],[data]],"mmm")</f>
        <v>abr</v>
      </c>
      <c r="BE101" t="str">
        <f>TEXT(vendaAno[[#This Row],[data]],"ddd")</f>
        <v>sex</v>
      </c>
      <c r="BF101" s="82">
        <f>WEEKNUM(vendaAno[[#This Row],[data]],13)</f>
        <v>15</v>
      </c>
      <c r="BG101" s="27">
        <f>preçodiario[[#This Row],[data]]</f>
        <v>46122</v>
      </c>
      <c r="BH1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1" s="8">
        <f>IF(SUMIFS(estoque[valor total],estoque[fornecedor],"saída",estoque[data],vendaAno[[#This Row],[data]])=0,"",SUMIFS(estoque[valor total],estoque[fornecedor],"saída",estoque[data],vendaAno[[#This Row],[data]]))</f>
        <v>601</v>
      </c>
      <c r="BJ10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Row],[data]]))/12+BJ100,"")</f>
        <v>33.91666666666665</v>
      </c>
      <c r="BK101" s="79">
        <f ca="1">IF(TODAY()&gt;=vendaAno[[#This Row],[data]],IF(SUMIFS(estoque[quantidade],estoque[fornecedor],"saída",estoque[data],vendaAno[[#This Row],[data]])/12=0,AVERAGE(BK98:BK100),SUMIFS(estoque[quantidade],estoque[fornecedor],"saída",estoque[data],vendaAno[[#This Row],[data]])/12),"")</f>
        <v>2.4166666666666665</v>
      </c>
      <c r="BL101" s="8">
        <f ca="1">IF(vendaAno[[#This Row],[data]]&lt;=TODAY(),IF(SUMIFS(estoque[lucro],estoque[fornecedor],"saída",estoque[data],vendaAno[[#This Row],[data]])=0,AVERAGE(BL98:BL100),SUMIFS(estoque[lucro],estoque[fornecedor],"saída",estoque[data],vendaAno[[#This Row],[data]])),"")</f>
        <v>130.83000000000001</v>
      </c>
      <c r="BM101" s="10">
        <f ca="1">IFERROR(vendaAno[[#This Row],[lucro]]/vendaAno[[#This Row],[valor de venda]],"")</f>
        <v>0.21768718801996675</v>
      </c>
      <c r="BN10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6628.0484907747632</v>
      </c>
      <c r="BO101" s="8">
        <f ca="1">IF(TODAY()&gt;=vendaAno[[#This Row],[data]],IF(vendaAno[[#This Row],[N°]]=BF100,vendaAno[[#This Row],[lucro]]-173.33+BO100,vendaAno[[#This Row],[lucro]]-150),"")</f>
        <v>-18.070000000000022</v>
      </c>
      <c r="BP101" s="81">
        <f ca="1">IF(TODAY()&gt;=vendaAno[[#This Row],[data]],SUM(BK95:BK101)*12,"")</f>
        <v>194</v>
      </c>
      <c r="BQ101" s="7">
        <f ca="1">IFERROR(vendaAno[[#This Row],[lucro]]/(vendaAno[[#This Row],[venda]]*12),"")</f>
        <v>4.5113793103448279</v>
      </c>
    </row>
    <row r="102" spans="1:69" x14ac:dyDescent="0.25">
      <c r="A1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2" s="18" t="str">
        <f>TEXT(preçodiario[[#This Row],[data]],"MMM")</f>
        <v>abr</v>
      </c>
      <c r="C102" s="18" t="str">
        <f>TEXT(preçodiario[[#This Row],[data]],"ddd")</f>
        <v>sáb</v>
      </c>
      <c r="D102" s="96">
        <f>WEEKNUM(preçodiario[[#This Row],[data]],13)</f>
        <v>15</v>
      </c>
      <c r="E102" s="37">
        <v>46123</v>
      </c>
      <c r="F1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Row],[data]])),((F101*G101)+SUMIFS(estoque[valor total],estoque[produto],preçodiario[[#Headers],[OVO BRANCO A]],estoque[data],preçodiario[[#This Row],[data]],estoque[fornecedor],"&lt;&gt;saída"))/(G101+(SUMIFS(estoque[quantidade],estoque[produto],preçodiario[[#Headers],[OVO BRANCO A]],estoque[fornecedor],"&lt;&gt;saída",estoque[data],preçodiario[[#This Row],[data]])))))</f>
        <v>16.600000000000001</v>
      </c>
      <c r="G102" s="22">
        <f>IF(preçodiario[[#This Row],[entrada A]]=0,G101-(SUMIFS(estoque[quantidade],estoque[fornecedor],"saída",estoque[produto],preçodiario[[#Headers],[OVO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Row],[data]]))+G101+preçodiario[[#This Row],[entrada A]])</f>
        <v>114</v>
      </c>
      <c r="H102" s="22">
        <f>SUMIFS(estoque[quantidade],estoque[fornecedor],"&lt;&gt;saída",estoque[produto],preçodiario[[#Headers],[OVO BRANCO A]],estoque[data],preçodiario[[#This Row],[data]])</f>
        <v>0</v>
      </c>
      <c r="I102" s="20">
        <f>SUMIFS(estoque[valor total],estoque[fornecedor],"&lt;&gt;saída",estoque[produto],preçodiario[[#Headers],[OVO BRANCO A]],estoque[data],preçodiario[[#This Row],[data]])</f>
        <v>0</v>
      </c>
      <c r="J102" s="20">
        <f>IFERROR(preçodiario[[#This Row],[estoque A]]*preçodiario[[#This Row],[OVO BRANCO A]],0)</f>
        <v>1892.4</v>
      </c>
      <c r="K1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Row],[data]])),((K101*L101)+SUMIFS(estoque[valor total],estoque[produto],preçodiario[[#Headers],[OVO BRANCO B]],estoque[data],preçodiario[[#This Row],[data]],estoque[fornecedor],"&lt;&gt;saída"))/(L101+(SUMIFS(estoque[quantidade],estoque[produto],preçodiario[[#Headers],[OVO BRANCO B]],estoque[fornecedor],"&lt;&gt;saída",estoque[data],preçodiario[[#This Row],[data]])))))</f>
        <v>16.17848958950654</v>
      </c>
      <c r="L102" s="22">
        <f>IF(preçodiario[[#This Row],[entrada B]]=0,L101-(SUMIFS(estoque[quantidade],estoque[fornecedor],"saída",estoque[produto],preçodiario[[#Headers],[OVO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Row],[data]]))+L101+preçodiario[[#This Row],[entrada B]])</f>
        <v>179</v>
      </c>
      <c r="M102" s="22">
        <f>SUMIFS(estoque[quantidade],estoque[fornecedor],"&lt;&gt;saída",estoque[produto],preçodiario[[#Headers],[OVO BRANCO B]],estoque[data],preçodiario[[#This Row],[data]])</f>
        <v>0</v>
      </c>
      <c r="N102" s="20">
        <f>SUMIFS(estoque[valor total],estoque[fornecedor],"&lt;&gt;saída",estoque[produto],preçodiario[[#Headers],[OVO BRANCO B]],estoque[data],preçodiario[[#This Row],[data]])</f>
        <v>0</v>
      </c>
      <c r="O102" s="20">
        <f>IFERROR(preçodiario[[#This Row],[OVO BRANCO B]]*preçodiario[[#This Row],[estoque B]],0)</f>
        <v>2895.9496365216705</v>
      </c>
      <c r="P10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Row],[data]])),((P101*Q101)+SUMIFS(estoque[valor total],estoque[produto],preçodiario[[#Headers],[OVO BRANCO C]],estoque[data],preçodiario[[#This Row],[data]],estoque[fornecedor],"&lt;&gt;saída"))/(Q101+(SUMIFS(estoque[quantidade],estoque[produto],preçodiario[[#Headers],[OVO BRANCO C]],estoque[fornecedor],"&lt;&gt;saída",estoque[data],preçodiario[[#This Row],[data]])))))</f>
        <v/>
      </c>
      <c r="Q102" s="22">
        <f>IF(preçodiario[[#This Row],[entrada C]]=0,Q101-(SUMIFS(estoque[quantidade],estoque[fornecedor],"saída",estoque[produto],preçodiario[[#Headers],[OVO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Row],[data]]))+Q101+preçodiario[[#This Row],[entrada C]])</f>
        <v>0</v>
      </c>
      <c r="R102" s="22">
        <f>SUMIFS(estoque[quantidade],estoque[fornecedor],"&lt;&gt;saída",estoque[produto],preçodiario[[#Headers],[OVO BRANCO C]],estoque[data],preçodiario[[#This Row],[data]])</f>
        <v>0</v>
      </c>
      <c r="S102" s="20">
        <f>SUMIFS(estoque[valor total],estoque[fornecedor],"&lt;&gt;saída",estoque[produto],preçodiario[[#Headers],[OVO BRANCO C]],estoque[data],preçodiario[[#This Row],[data]])</f>
        <v>0</v>
      </c>
      <c r="T102" s="20">
        <f>IFERROR(preçodiario[[#This Row],[OVO BRANCO C]]*preçodiario[[#This Row],[estoque C]],0)</f>
        <v>0</v>
      </c>
      <c r="U1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Row],[data]])),((U101*V101)+SUMIFS(estoque[valor total],estoque[produto],preçodiario[[#Headers],[OVO BRANCO EXTRA]],estoque[data],preçodiario[[#This Row],[data]],estoque[fornecedor],"&lt;&gt;saída"))/(V101+(SUMIFS(estoque[quantidade],estoque[produto],preçodiario[[#Headers],[OVO BRANCO EXTRA]],estoque[fornecedor],"&lt;&gt;saída",estoque[data],preçodiario[[#This Row],[data]])))))</f>
        <v>15.833333333333337</v>
      </c>
      <c r="V102" s="22">
        <f>IF(preçodiario[[#This Row],[entrada E]]=0,V101-(SUMIFS(estoque[quantidade],estoque[fornecedor],"saída",estoque[produto],preçodiario[[#Headers],[OVO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Row],[data]]))+V101+preçodiario[[#This Row],[entrada E]])</f>
        <v>63</v>
      </c>
      <c r="W102" s="22">
        <f>SUMIFS(estoque[quantidade],estoque[fornecedor],"&lt;&gt;saída",estoque[produto],preçodiario[[#Headers],[OVO BRANCO EXTRA]],estoque[data],preçodiario[[#This Row],[data]])</f>
        <v>0</v>
      </c>
      <c r="X102" s="20">
        <f>SUMIFS(estoque[valor total],estoque[fornecedor],"&lt;&gt;saída",estoque[produto],preçodiario[[#Headers],[OVO BRANCO EXTRA]],estoque[data],preçodiario[[#This Row],[data]])</f>
        <v>0</v>
      </c>
      <c r="Y102" s="20">
        <f>IFERROR(preçodiario[[#This Row],[estoque E]]*preçodiario[[#This Row],[OVO BRANCO EXTRA]],0)</f>
        <v>997.50000000000023</v>
      </c>
      <c r="Z1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Row],[data]])),((Z101*AA101)+SUMIFS(estoque[valor total],estoque[produto],preçodiario[[#Headers],[OVO BRANCO JUMBO]],estoque[data],preçodiario[[#This Row],[data]],estoque[fornecedor],"&lt;&gt;saída"))/(AA101+(SUMIFS(estoque[quantidade],estoque[produto],preçodiario[[#Headers],[OVO BRANCO JUMBO]],estoque[fornecedor],"&lt;&gt;saída",estoque[data],preçodiario[[#This Row],[data]])))))</f>
        <v>16.666666666666668</v>
      </c>
      <c r="AA102" s="22">
        <f>IF(preçodiario[[#This Row],[entrada J]]=0,AA101-(SUMIFS(estoque[quantidade],estoque[fornecedor],"saída",estoque[produto],preçodiario[[#Headers],[OVO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Row],[data]]))+AA101+preçodiario[[#This Row],[entrada J]])</f>
        <v>34</v>
      </c>
      <c r="AB102" s="22">
        <f>SUMIFS(estoque[quantidade],estoque[fornecedor],"&lt;&gt;saída",estoque[produto],preçodiario[[#Headers],[OVO BRANCO JUMBO]],estoque[data],preçodiario[[#This Row],[data]])</f>
        <v>0</v>
      </c>
      <c r="AC102" s="20">
        <f>SUMIFS(estoque[valor total],estoque[fornecedor],"&lt;&gt;saída",estoque[produto],preçodiario[[#Headers],[OVO BRANCO JUMBO]],estoque[data],preçodiario[[#This Row],[data]])</f>
        <v>0</v>
      </c>
      <c r="AD102" s="20">
        <f>IFERROR(preçodiario[[#This Row],[OVO BRANCO JUMBO]]*preçodiario[[#This Row],[estoque J]],0)</f>
        <v>566.66666666666674</v>
      </c>
      <c r="AE1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Row],[data]])),((AE101*AF101)+SUMIFS(estoque[valor total],estoque[produto],preçodiario[[#Headers],[OVO VERMELHO A]],estoque[data],preçodiario[[#This Row],[data]],estoque[fornecedor],"&lt;&gt;saída"))/(AF101+(SUMIFS(estoque[quantidade],estoque[produto],preçodiario[[#Headers],[OVO VERMELHO A]],estoque[fornecedor],"&lt;&gt;saída",estoque[data],preçodiario[[#This Row],[data]])))))</f>
        <v/>
      </c>
      <c r="AF102" s="22">
        <f>IF(preçodiario[[#This Row],[entrada AV]]=0,AF101-(SUMIFS(estoque[quantidade],estoque[fornecedor],"saída",estoque[produto],preçodiario[[#Headers],[OVO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Row],[data]]))+AF101+preçodiario[[#This Row],[entrada AV]])</f>
        <v>0</v>
      </c>
      <c r="AG102" s="22">
        <f>SUMIFS(estoque[quantidade],estoque[fornecedor],"&lt;&gt;saída",estoque[produto],preçodiario[[#Headers],[OVO VERMELHO A]],estoque[data],preçodiario[[#This Row],[data]])</f>
        <v>0</v>
      </c>
      <c r="AH102" s="20">
        <f>SUMIFS(estoque[valor total],estoque[fornecedor],"&lt;&gt;saída",estoque[produto],preçodiario[[#Headers],[OVO VERMELHO A]],estoque[data],preçodiario[[#This Row],[data]])</f>
        <v>0</v>
      </c>
      <c r="AI102" s="20">
        <f>IFERROR(preçodiario[[#This Row],[OVO VERMELHO A]]*preçodiario[[#This Row],[estoque AV]],0)</f>
        <v>0</v>
      </c>
      <c r="AJ1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Row],[data]])),((AJ101*AK101)+SUMIFS(estoque[valor total],estoque[produto],preçodiario[[#Headers],[OVO VERMELHO B]],estoque[data],preçodiario[[#This Row],[data]],estoque[fornecedor],"&lt;&gt;saída"))/(AK101+(SUMIFS(estoque[quantidade],estoque[produto],preçodiario[[#Headers],[OVO VERMELHO B]],estoque[fornecedor],"&lt;&gt;saída",estoque[data],preçodiario[[#This Row],[data]])))))</f>
        <v/>
      </c>
      <c r="AK102" s="22">
        <f>IF(preçodiario[[#This Row],[entrada BV]]=0,AK101-(SUMIFS(estoque[quantidade],estoque[fornecedor],"saída",estoque[produto],preçodiario[[#Headers],[OVO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Row],[data]]))+AK101+preçodiario[[#This Row],[entrada BV]])</f>
        <v>0</v>
      </c>
      <c r="AL102" s="22">
        <f>SUMIFS(estoque[quantidade],estoque[fornecedor],"&lt;&gt;saída",estoque[produto],preçodiario[[#Headers],[OVO VERMELHO B]],estoque[data],preçodiario[[#This Row],[data]])</f>
        <v>0</v>
      </c>
      <c r="AM102" s="20">
        <f>SUMIFS(estoque[valor total],estoque[fornecedor],"&lt;&gt;saída",estoque[produto],preçodiario[[#Headers],[OVO VERMELHO B]],estoque[data],preçodiario[[#This Row],[data]])</f>
        <v>0</v>
      </c>
      <c r="AN102" s="20">
        <f>IFERROR(preçodiario[[#This Row],[OVO VERMELHO B]]*preçodiario[[#This Row],[estoque BV]],0)</f>
        <v>0</v>
      </c>
      <c r="AO1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Row],[data]])),((AO101*AP101)+SUMIFS(estoque[valor total],estoque[produto],preçodiario[[#Headers],[OVO VERMELHO C]],estoque[data],preçodiario[[#This Row],[data]],estoque[fornecedor],"&lt;&gt;saída"))/(AP101+(SUMIFS(estoque[quantidade],estoque[produto],preçodiario[[#Headers],[OVO VERMELHO C]],estoque[fornecedor],"&lt;&gt;saída",estoque[data],preçodiario[[#This Row],[data]])))))</f>
        <v/>
      </c>
      <c r="AP102" s="22">
        <f>IF(preçodiario[[#This Row],[entrada CV]]=0,AP101-(SUMIFS(estoque[quantidade],estoque[fornecedor],"saída",estoque[produto],preçodiario[[#Headers],[OVO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Row],[data]]))+AP101+preçodiario[[#This Row],[entrada CV]])</f>
        <v>0</v>
      </c>
      <c r="AQ102" s="22">
        <f>SUMIFS(estoque[quantidade],estoque[fornecedor],"&lt;&gt;saída",estoque[produto],preçodiario[[#Headers],[OVO VERMELHO C]],estoque[data],preçodiario[[#This Row],[data]])</f>
        <v>0</v>
      </c>
      <c r="AR102" s="20">
        <f>SUMIFS(estoque[valor total],estoque[fornecedor],"&lt;&gt;saída",estoque[produto],preçodiario[[#Headers],[OVO VERMELHO C]],estoque[data],preçodiario[[#This Row],[data]])</f>
        <v>0</v>
      </c>
      <c r="AS102" s="20">
        <f>IFERROR(preçodiario[[#This Row],[OVO VERMELHO C]]*preçodiario[[#This Row],[estoque CV]],0)</f>
        <v>0</v>
      </c>
      <c r="AT1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Row],[data]])),((AT101*AU101)+SUMIFS(estoque[valor total],estoque[produto],preçodiario[[#Headers],[OVO VERMELHO EXTRA]],estoque[data],preçodiario[[#This Row],[data]],estoque[fornecedor],"&lt;&gt;saída"))/(AU101+(SUMIFS(estoque[quantidade],estoque[produto],preçodiario[[#Headers],[OVO VERMELHO EXTRA]],estoque[fornecedor],"&lt;&gt;saída",estoque[data],preçodiario[[#This Row],[data]])))))</f>
        <v/>
      </c>
      <c r="AU102" s="22">
        <f>IF(preçodiario[[#This Row],[entrada EV]]=0,AU101-(SUMIFS(estoque[quantidade],estoque[fornecedor],"saída",estoque[produto],preçodiario[[#Headers],[OVO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Row],[data]]))+AU101+preçodiario[[#This Row],[entrada EV]])</f>
        <v>0</v>
      </c>
      <c r="AV102" s="22">
        <f>SUMIFS(estoque[quantidade],estoque[fornecedor],"&lt;&gt;saída",estoque[produto],preçodiario[[#Headers],[OVO VERMELHO EXTRA]],estoque[data],preçodiario[[#This Row],[data]])</f>
        <v>0</v>
      </c>
      <c r="AW102" s="20">
        <f>SUMIFS(estoque[valor total],estoque[fornecedor],"&lt;&gt;saída",estoque[produto],preçodiario[[#Headers],[OVO VERMELHO EXTRA]],estoque[data],preçodiario[[#This Row],[data]])</f>
        <v>0</v>
      </c>
      <c r="AX102" s="20">
        <f>IFERROR(preçodiario[[#This Row],[OVO VERMELHO EXTRA]]*preçodiario[[#This Row],[estoque EV]],0)</f>
        <v>0</v>
      </c>
      <c r="AY1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Row],[data]])),((AY101*AZ101)+SUMIFS(estoque[valor total],estoque[produto],preçodiario[[#Headers],[OVO VERMELHO JUMBO]],estoque[data],preçodiario[[#This Row],[data]],estoque[fornecedor],"&lt;&gt;saída"))/(AZ101+(SUMIFS(estoque[quantidade],estoque[produto],preçodiario[[#Headers],[OVO VERMELHO JUMBO]],estoque[fornecedor],"&lt;&gt;saída",estoque[data],preçodiario[[#This Row],[data]])))))</f>
        <v/>
      </c>
      <c r="AZ102" s="22">
        <f>IF(preçodiario[[#This Row],[entrada JV]]=0,AZ101-(SUMIFS(estoque[quantidade],estoque[fornecedor],"saída",estoque[produto],preçodiario[[#Headers],[OVO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Row],[data]]))+AZ101+preçodiario[[#This Row],[entrada JV]])</f>
        <v>0</v>
      </c>
      <c r="BA102" s="22">
        <f>SUMIFS(estoque[quantidade],estoque[fornecedor],"&lt;&gt;saída",estoque[produto],preçodiario[[#Headers],[OVO VERMELHO JUMBO]],estoque[data],preçodiario[[#This Row],[data]])</f>
        <v>0</v>
      </c>
      <c r="BB102" s="20">
        <f>SUMIFS(estoque[valor total],estoque[fornecedor],"&lt;&gt;saída",estoque[produto],preçodiario[[#Headers],[OVO VERMELHO JUMBO]],estoque[data],preçodiario[[#This Row],[data]])</f>
        <v>0</v>
      </c>
      <c r="BC102" s="20">
        <f>IFERROR(preçodiario[[#This Row],[OVO VERMELHO JUMBO]]*preçodiario[[#This Row],[estoque JV]],0)</f>
        <v>0</v>
      </c>
      <c r="BD102" t="str">
        <f>TEXT(vendaAno[[#This Row],[data]],"mmm")</f>
        <v>abr</v>
      </c>
      <c r="BE102" t="str">
        <f>TEXT(vendaAno[[#This Row],[data]],"ddd")</f>
        <v>sáb</v>
      </c>
      <c r="BF102" s="82">
        <f>WEEKNUM(vendaAno[[#This Row],[data]],13)</f>
        <v>15</v>
      </c>
      <c r="BG102" s="27">
        <f>preçodiario[[#This Row],[data]]</f>
        <v>46123</v>
      </c>
      <c r="BH1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2" s="8">
        <f>IF(SUMIFS(estoque[valor total],estoque[fornecedor],"saída",estoque[data],vendaAno[[#This Row],[data]])=0,"",SUMIFS(estoque[valor total],estoque[fornecedor],"saída",estoque[data],vendaAno[[#This Row],[data]]))</f>
        <v>323</v>
      </c>
      <c r="BJ10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Row],[data]]))/12+BJ101,"")</f>
        <v>32.499999999999986</v>
      </c>
      <c r="BK102" s="79">
        <f ca="1">IF(TODAY()&gt;=vendaAno[[#This Row],[data]],IF(SUMIFS(estoque[quantidade],estoque[fornecedor],"saída",estoque[data],vendaAno[[#This Row],[data]])/12=0,AVERAGE(BK99:BK101),SUMIFS(estoque[quantidade],estoque[fornecedor],"saída",estoque[data],vendaAno[[#This Row],[data]])/12),"")</f>
        <v>1.4166666666666667</v>
      </c>
      <c r="BL102" s="8">
        <f ca="1">IF(vendaAno[[#This Row],[data]]&lt;=TODAY(),IF(SUMIFS(estoque[lucro],estoque[fornecedor],"saída",estoque[data],vendaAno[[#This Row],[data]])=0,AVERAGE(BL99:BL101),SUMIFS(estoque[lucro],estoque[fornecedor],"saída",estoque[data],vendaAno[[#This Row],[data]])),"")</f>
        <v>47.47</v>
      </c>
      <c r="BM102" s="10">
        <f ca="1">IFERROR(vendaAno[[#This Row],[lucro]]/vendaAno[[#This Row],[valor de venda]],"")</f>
        <v>0.1469659442724458</v>
      </c>
      <c r="BN10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6352.5163031883367</v>
      </c>
      <c r="BO102" s="8">
        <f ca="1">IF(TODAY()&gt;=vendaAno[[#This Row],[data]],IF(vendaAno[[#This Row],[N°]]=BF101,vendaAno[[#This Row],[lucro]]-173.33+BO101,vendaAno[[#This Row],[lucro]]-150),"")</f>
        <v>-143.93000000000004</v>
      </c>
      <c r="BP102" s="81">
        <f ca="1">IF(TODAY()&gt;=vendaAno[[#This Row],[data]],SUM(BK96:BK102)*12,"")</f>
        <v>191</v>
      </c>
      <c r="BQ102" s="7">
        <f ca="1">IFERROR(vendaAno[[#This Row],[lucro]]/(vendaAno[[#This Row],[venda]]*12),"")</f>
        <v>2.7923529411764707</v>
      </c>
    </row>
    <row r="103" spans="1:69" x14ac:dyDescent="0.25">
      <c r="A1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3" s="18" t="str">
        <f>TEXT(preçodiario[[#This Row],[data]],"MMM")</f>
        <v>abr</v>
      </c>
      <c r="C103" s="18" t="str">
        <f>TEXT(preçodiario[[#This Row],[data]],"ddd")</f>
        <v>dom</v>
      </c>
      <c r="D103" s="96">
        <f>WEEKNUM(preçodiario[[#This Row],[data]],13)</f>
        <v>15</v>
      </c>
      <c r="E103" s="37">
        <v>46124</v>
      </c>
      <c r="F1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Row],[data]])),((F102*G102)+SUMIFS(estoque[valor total],estoque[produto],preçodiario[[#Headers],[OVO BRANCO A]],estoque[data],preçodiario[[#This Row],[data]],estoque[fornecedor],"&lt;&gt;saída"))/(G102+(SUMIFS(estoque[quantidade],estoque[produto],preçodiario[[#Headers],[OVO BRANCO A]],estoque[fornecedor],"&lt;&gt;saída",estoque[data],preçodiario[[#This Row],[data]])))))</f>
        <v>16.600000000000001</v>
      </c>
      <c r="G103" s="22">
        <f>IF(preçodiario[[#This Row],[entrada A]]=0,G102-(SUMIFS(estoque[quantidade],estoque[fornecedor],"saída",estoque[produto],preçodiario[[#Headers],[OVO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Row],[data]]))+G102+preçodiario[[#This Row],[entrada A]])</f>
        <v>110</v>
      </c>
      <c r="H103" s="22">
        <f>SUMIFS(estoque[quantidade],estoque[fornecedor],"&lt;&gt;saída",estoque[produto],preçodiario[[#Headers],[OVO BRANCO A]],estoque[data],preçodiario[[#This Row],[data]])</f>
        <v>0</v>
      </c>
      <c r="I103" s="20">
        <f>SUMIFS(estoque[valor total],estoque[fornecedor],"&lt;&gt;saída",estoque[produto],preçodiario[[#Headers],[OVO BRANCO A]],estoque[data],preçodiario[[#This Row],[data]])</f>
        <v>0</v>
      </c>
      <c r="J103" s="20">
        <f>IFERROR(preçodiario[[#This Row],[estoque A]]*preçodiario[[#This Row],[OVO BRANCO A]],0)</f>
        <v>1826.0000000000002</v>
      </c>
      <c r="K1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Row],[data]])),((K102*L102)+SUMIFS(estoque[valor total],estoque[produto],preçodiario[[#Headers],[OVO BRANCO B]],estoque[data],preçodiario[[#This Row],[data]],estoque[fornecedor],"&lt;&gt;saída"))/(L102+(SUMIFS(estoque[quantidade],estoque[produto],preçodiario[[#Headers],[OVO BRANCO B]],estoque[fornecedor],"&lt;&gt;saída",estoque[data],preçodiario[[#This Row],[data]])))))</f>
        <v>16.17848958950654</v>
      </c>
      <c r="L103" s="22">
        <f>IF(preçodiario[[#This Row],[entrada B]]=0,L102-(SUMIFS(estoque[quantidade],estoque[fornecedor],"saída",estoque[produto],preçodiario[[#Headers],[OVO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Row],[data]]))+L102+preçodiario[[#This Row],[entrada B]])</f>
        <v>160</v>
      </c>
      <c r="M103" s="22">
        <f>SUMIFS(estoque[quantidade],estoque[fornecedor],"&lt;&gt;saída",estoque[produto],preçodiario[[#Headers],[OVO BRANCO B]],estoque[data],preçodiario[[#This Row],[data]])</f>
        <v>0</v>
      </c>
      <c r="N103" s="20">
        <f>SUMIFS(estoque[valor total],estoque[fornecedor],"&lt;&gt;saída",estoque[produto],preçodiario[[#Headers],[OVO BRANCO B]],estoque[data],preçodiario[[#This Row],[data]])</f>
        <v>0</v>
      </c>
      <c r="O103" s="20">
        <f>IFERROR(preçodiario[[#This Row],[OVO BRANCO B]]*preçodiario[[#This Row],[estoque B]],0)</f>
        <v>2588.5583343210465</v>
      </c>
      <c r="P10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Row],[data]])),((P102*Q102)+SUMIFS(estoque[valor total],estoque[produto],preçodiario[[#Headers],[OVO BRANCO C]],estoque[data],preçodiario[[#This Row],[data]],estoque[fornecedor],"&lt;&gt;saída"))/(Q102+(SUMIFS(estoque[quantidade],estoque[produto],preçodiario[[#Headers],[OVO BRANCO C]],estoque[fornecedor],"&lt;&gt;saída",estoque[data],preçodiario[[#This Row],[data]])))))</f>
        <v/>
      </c>
      <c r="Q103" s="22">
        <f>IF(preçodiario[[#This Row],[entrada C]]=0,Q102-(SUMIFS(estoque[quantidade],estoque[fornecedor],"saída",estoque[produto],preçodiario[[#Headers],[OVO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Row],[data]]))+Q102+preçodiario[[#This Row],[entrada C]])</f>
        <v>0</v>
      </c>
      <c r="R103" s="22">
        <f>SUMIFS(estoque[quantidade],estoque[fornecedor],"&lt;&gt;saída",estoque[produto],preçodiario[[#Headers],[OVO BRANCO C]],estoque[data],preçodiario[[#This Row],[data]])</f>
        <v>0</v>
      </c>
      <c r="S103" s="20">
        <f>SUMIFS(estoque[valor total],estoque[fornecedor],"&lt;&gt;saída",estoque[produto],preçodiario[[#Headers],[OVO BRANCO C]],estoque[data],preçodiario[[#This Row],[data]])</f>
        <v>0</v>
      </c>
      <c r="T103" s="20">
        <f>IFERROR(preçodiario[[#This Row],[OVO BRANCO C]]*preçodiario[[#This Row],[estoque C]],0)</f>
        <v>0</v>
      </c>
      <c r="U1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Row],[data]])),((U102*V102)+SUMIFS(estoque[valor total],estoque[produto],preçodiario[[#Headers],[OVO BRANCO EXTRA]],estoque[data],preçodiario[[#This Row],[data]],estoque[fornecedor],"&lt;&gt;saída"))/(V102+(SUMIFS(estoque[quantidade],estoque[produto],preçodiario[[#Headers],[OVO BRANCO EXTRA]],estoque[fornecedor],"&lt;&gt;saída",estoque[data],preçodiario[[#This Row],[data]])))))</f>
        <v>15.833333333333337</v>
      </c>
      <c r="V103" s="22">
        <f>IF(preçodiario[[#This Row],[entrada E]]=0,V102-(SUMIFS(estoque[quantidade],estoque[fornecedor],"saída",estoque[produto],preçodiario[[#Headers],[OVO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Row],[data]]))+V102+preçodiario[[#This Row],[entrada E]])</f>
        <v>55</v>
      </c>
      <c r="W103" s="22">
        <f>SUMIFS(estoque[quantidade],estoque[fornecedor],"&lt;&gt;saída",estoque[produto],preçodiario[[#Headers],[OVO BRANCO EXTRA]],estoque[data],preçodiario[[#This Row],[data]])</f>
        <v>0</v>
      </c>
      <c r="X103" s="20">
        <f>SUMIFS(estoque[valor total],estoque[fornecedor],"&lt;&gt;saída",estoque[produto],preçodiario[[#Headers],[OVO BRANCO EXTRA]],estoque[data],preçodiario[[#This Row],[data]])</f>
        <v>0</v>
      </c>
      <c r="Y103" s="20">
        <f>IFERROR(preçodiario[[#This Row],[estoque E]]*preçodiario[[#This Row],[OVO BRANCO EXTRA]],0)</f>
        <v>870.8333333333336</v>
      </c>
      <c r="Z1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Row],[data]])),((Z102*AA102)+SUMIFS(estoque[valor total],estoque[produto],preçodiario[[#Headers],[OVO BRANCO JUMBO]],estoque[data],preçodiario[[#This Row],[data]],estoque[fornecedor],"&lt;&gt;saída"))/(AA102+(SUMIFS(estoque[quantidade],estoque[produto],preçodiario[[#Headers],[OVO BRANCO JUMBO]],estoque[fornecedor],"&lt;&gt;saída",estoque[data],preçodiario[[#This Row],[data]])))))</f>
        <v>16.666666666666668</v>
      </c>
      <c r="AA103" s="22">
        <f>IF(preçodiario[[#This Row],[entrada J]]=0,AA102-(SUMIFS(estoque[quantidade],estoque[fornecedor],"saída",estoque[produto],preçodiario[[#Headers],[OVO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Row],[data]]))+AA102+preçodiario[[#This Row],[entrada J]])</f>
        <v>30</v>
      </c>
      <c r="AB103" s="22">
        <f>SUMIFS(estoque[quantidade],estoque[fornecedor],"&lt;&gt;saída",estoque[produto],preçodiario[[#Headers],[OVO BRANCO JUMBO]],estoque[data],preçodiario[[#This Row],[data]])</f>
        <v>0</v>
      </c>
      <c r="AC103" s="20">
        <f>SUMIFS(estoque[valor total],estoque[fornecedor],"&lt;&gt;saída",estoque[produto],preçodiario[[#Headers],[OVO BRANCO JUMBO]],estoque[data],preçodiario[[#This Row],[data]])</f>
        <v>0</v>
      </c>
      <c r="AD103" s="20">
        <f>IFERROR(preçodiario[[#This Row],[OVO BRANCO JUMBO]]*preçodiario[[#This Row],[estoque J]],0)</f>
        <v>500.00000000000006</v>
      </c>
      <c r="AE1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Row],[data]])),((AE102*AF102)+SUMIFS(estoque[valor total],estoque[produto],preçodiario[[#Headers],[OVO VERMELHO A]],estoque[data],preçodiario[[#This Row],[data]],estoque[fornecedor],"&lt;&gt;saída"))/(AF102+(SUMIFS(estoque[quantidade],estoque[produto],preçodiario[[#Headers],[OVO VERMELHO A]],estoque[fornecedor],"&lt;&gt;saída",estoque[data],preçodiario[[#This Row],[data]])))))</f>
        <v/>
      </c>
      <c r="AF103" s="22">
        <f>IF(preçodiario[[#This Row],[entrada AV]]=0,AF102-(SUMIFS(estoque[quantidade],estoque[fornecedor],"saída",estoque[produto],preçodiario[[#Headers],[OVO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Row],[data]]))+AF102+preçodiario[[#This Row],[entrada AV]])</f>
        <v>0</v>
      </c>
      <c r="AG103" s="22">
        <f>SUMIFS(estoque[quantidade],estoque[fornecedor],"&lt;&gt;saída",estoque[produto],preçodiario[[#Headers],[OVO VERMELHO A]],estoque[data],preçodiario[[#This Row],[data]])</f>
        <v>0</v>
      </c>
      <c r="AH103" s="20">
        <f>SUMIFS(estoque[valor total],estoque[fornecedor],"&lt;&gt;saída",estoque[produto],preçodiario[[#Headers],[OVO VERMELHO A]],estoque[data],preçodiario[[#This Row],[data]])</f>
        <v>0</v>
      </c>
      <c r="AI103" s="20">
        <f>IFERROR(preçodiario[[#This Row],[OVO VERMELHO A]]*preçodiario[[#This Row],[estoque AV]],0)</f>
        <v>0</v>
      </c>
      <c r="AJ1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Row],[data]])),((AJ102*AK102)+SUMIFS(estoque[valor total],estoque[produto],preçodiario[[#Headers],[OVO VERMELHO B]],estoque[data],preçodiario[[#This Row],[data]],estoque[fornecedor],"&lt;&gt;saída"))/(AK102+(SUMIFS(estoque[quantidade],estoque[produto],preçodiario[[#Headers],[OVO VERMELHO B]],estoque[fornecedor],"&lt;&gt;saída",estoque[data],preçodiario[[#This Row],[data]])))))</f>
        <v/>
      </c>
      <c r="AK103" s="22">
        <f>IF(preçodiario[[#This Row],[entrada BV]]=0,AK102-(SUMIFS(estoque[quantidade],estoque[fornecedor],"saída",estoque[produto],preçodiario[[#Headers],[OVO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Row],[data]]))+AK102+preçodiario[[#This Row],[entrada BV]])</f>
        <v>0</v>
      </c>
      <c r="AL103" s="22">
        <f>SUMIFS(estoque[quantidade],estoque[fornecedor],"&lt;&gt;saída",estoque[produto],preçodiario[[#Headers],[OVO VERMELHO B]],estoque[data],preçodiario[[#This Row],[data]])</f>
        <v>0</v>
      </c>
      <c r="AM103" s="20">
        <f>SUMIFS(estoque[valor total],estoque[fornecedor],"&lt;&gt;saída",estoque[produto],preçodiario[[#Headers],[OVO VERMELHO B]],estoque[data],preçodiario[[#This Row],[data]])</f>
        <v>0</v>
      </c>
      <c r="AN103" s="20">
        <f>IFERROR(preçodiario[[#This Row],[OVO VERMELHO B]]*preçodiario[[#This Row],[estoque BV]],0)</f>
        <v>0</v>
      </c>
      <c r="AO1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Row],[data]])),((AO102*AP102)+SUMIFS(estoque[valor total],estoque[produto],preçodiario[[#Headers],[OVO VERMELHO C]],estoque[data],preçodiario[[#This Row],[data]],estoque[fornecedor],"&lt;&gt;saída"))/(AP102+(SUMIFS(estoque[quantidade],estoque[produto],preçodiario[[#Headers],[OVO VERMELHO C]],estoque[fornecedor],"&lt;&gt;saída",estoque[data],preçodiario[[#This Row],[data]])))))</f>
        <v/>
      </c>
      <c r="AP103" s="22">
        <f>IF(preçodiario[[#This Row],[entrada CV]]=0,AP102-(SUMIFS(estoque[quantidade],estoque[fornecedor],"saída",estoque[produto],preçodiario[[#Headers],[OVO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Row],[data]]))+AP102+preçodiario[[#This Row],[entrada CV]])</f>
        <v>0</v>
      </c>
      <c r="AQ103" s="22">
        <f>SUMIFS(estoque[quantidade],estoque[fornecedor],"&lt;&gt;saída",estoque[produto],preçodiario[[#Headers],[OVO VERMELHO C]],estoque[data],preçodiario[[#This Row],[data]])</f>
        <v>0</v>
      </c>
      <c r="AR103" s="20">
        <f>SUMIFS(estoque[valor total],estoque[fornecedor],"&lt;&gt;saída",estoque[produto],preçodiario[[#Headers],[OVO VERMELHO C]],estoque[data],preçodiario[[#This Row],[data]])</f>
        <v>0</v>
      </c>
      <c r="AS103" s="20">
        <f>IFERROR(preçodiario[[#This Row],[OVO VERMELHO C]]*preçodiario[[#This Row],[estoque CV]],0)</f>
        <v>0</v>
      </c>
      <c r="AT1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Row],[data]])),((AT102*AU102)+SUMIFS(estoque[valor total],estoque[produto],preçodiario[[#Headers],[OVO VERMELHO EXTRA]],estoque[data],preçodiario[[#This Row],[data]],estoque[fornecedor],"&lt;&gt;saída"))/(AU102+(SUMIFS(estoque[quantidade],estoque[produto],preçodiario[[#Headers],[OVO VERMELHO EXTRA]],estoque[fornecedor],"&lt;&gt;saída",estoque[data],preçodiario[[#This Row],[data]])))))</f>
        <v/>
      </c>
      <c r="AU103" s="22">
        <f>IF(preçodiario[[#This Row],[entrada EV]]=0,AU102-(SUMIFS(estoque[quantidade],estoque[fornecedor],"saída",estoque[produto],preçodiario[[#Headers],[OVO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Row],[data]]))+AU102+preçodiario[[#This Row],[entrada EV]])</f>
        <v>0</v>
      </c>
      <c r="AV103" s="22">
        <f>SUMIFS(estoque[quantidade],estoque[fornecedor],"&lt;&gt;saída",estoque[produto],preçodiario[[#Headers],[OVO VERMELHO EXTRA]],estoque[data],preçodiario[[#This Row],[data]])</f>
        <v>0</v>
      </c>
      <c r="AW103" s="20">
        <f>SUMIFS(estoque[valor total],estoque[fornecedor],"&lt;&gt;saída",estoque[produto],preçodiario[[#Headers],[OVO VERMELHO EXTRA]],estoque[data],preçodiario[[#This Row],[data]])</f>
        <v>0</v>
      </c>
      <c r="AX103" s="20">
        <f>IFERROR(preçodiario[[#This Row],[OVO VERMELHO EXTRA]]*preçodiario[[#This Row],[estoque EV]],0)</f>
        <v>0</v>
      </c>
      <c r="AY1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Row],[data]])),((AY102*AZ102)+SUMIFS(estoque[valor total],estoque[produto],preçodiario[[#Headers],[OVO VERMELHO JUMBO]],estoque[data],preçodiario[[#This Row],[data]],estoque[fornecedor],"&lt;&gt;saída"))/(AZ102+(SUMIFS(estoque[quantidade],estoque[produto],preçodiario[[#Headers],[OVO VERMELHO JUMBO]],estoque[fornecedor],"&lt;&gt;saída",estoque[data],preçodiario[[#This Row],[data]])))))</f>
        <v/>
      </c>
      <c r="AZ103" s="22">
        <f>IF(preçodiario[[#This Row],[entrada JV]]=0,AZ102-(SUMIFS(estoque[quantidade],estoque[fornecedor],"saída",estoque[produto],preçodiario[[#Headers],[OVO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Row],[data]]))+AZ102+preçodiario[[#This Row],[entrada JV]])</f>
        <v>0</v>
      </c>
      <c r="BA103" s="22">
        <f>SUMIFS(estoque[quantidade],estoque[fornecedor],"&lt;&gt;saída",estoque[produto],preçodiario[[#Headers],[OVO VERMELHO JUMBO]],estoque[data],preçodiario[[#This Row],[data]])</f>
        <v>0</v>
      </c>
      <c r="BB103" s="20">
        <f>SUMIFS(estoque[valor total],estoque[fornecedor],"&lt;&gt;saída",estoque[produto],preçodiario[[#Headers],[OVO VERMELHO JUMBO]],estoque[data],preçodiario[[#This Row],[data]])</f>
        <v>0</v>
      </c>
      <c r="BC103" s="20">
        <f>IFERROR(preçodiario[[#This Row],[OVO VERMELHO JUMBO]]*preçodiario[[#This Row],[estoque JV]],0)</f>
        <v>0</v>
      </c>
      <c r="BD103" t="str">
        <f>TEXT(vendaAno[[#This Row],[data]],"mmm")</f>
        <v>abr</v>
      </c>
      <c r="BE103" t="str">
        <f>TEXT(vendaAno[[#This Row],[data]],"ddd")</f>
        <v>dom</v>
      </c>
      <c r="BF103" s="82">
        <f>WEEKNUM(vendaAno[[#This Row],[data]],13)</f>
        <v>15</v>
      </c>
      <c r="BG103" s="27">
        <f>preçodiario[[#This Row],[data]]</f>
        <v>46124</v>
      </c>
      <c r="BH1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3" s="8">
        <f>IF(SUMIFS(estoque[valor total],estoque[fornecedor],"saída",estoque[data],vendaAno[[#This Row],[data]])=0,"",SUMIFS(estoque[valor total],estoque[fornecedor],"saída",estoque[data],vendaAno[[#This Row],[data]]))</f>
        <v>711</v>
      </c>
      <c r="BJ10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Row],[data]]))/12+BJ102,"")</f>
        <v>29.583333333333318</v>
      </c>
      <c r="BK103" s="79">
        <f ca="1">IF(TODAY()&gt;=vendaAno[[#This Row],[data]],IF(SUMIFS(estoque[quantidade],estoque[fornecedor],"saída",estoque[data],vendaAno[[#This Row],[data]])/12=0,AVERAGE(BK100:BK102),SUMIFS(estoque[quantidade],estoque[fornecedor],"saída",estoque[data],vendaAno[[#This Row],[data]])/12),"")</f>
        <v>2.9166666666666665</v>
      </c>
      <c r="BL103" s="8">
        <f ca="1">IF(vendaAno[[#This Row],[data]]&lt;=TODAY(),IF(SUMIFS(estoque[lucro],estoque[fornecedor],"saída",estoque[data],vendaAno[[#This Row],[data]])=0,AVERAGE(BL100:BL102),SUMIFS(estoque[lucro],estoque[fornecedor],"saída",estoque[data],vendaAno[[#This Row],[data]])),"")</f>
        <v>143.87</v>
      </c>
      <c r="BM103" s="10">
        <f ca="1">IFERROR(vendaAno[[#This Row],[lucro]]/vendaAno[[#This Row],[valor de venda]],"")</f>
        <v>0.20234880450070325</v>
      </c>
      <c r="BN10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5785.3916676543804</v>
      </c>
      <c r="BO103" s="8">
        <f ca="1">IF(TODAY()&gt;=vendaAno[[#This Row],[data]],IF(vendaAno[[#This Row],[N°]]=BF102,vendaAno[[#This Row],[lucro]]-173.33+BO102,vendaAno[[#This Row],[lucro]]-150),"")</f>
        <v>-173.39000000000004</v>
      </c>
      <c r="BP103" s="81">
        <f ca="1">IF(TODAY()&gt;=vendaAno[[#This Row],[data]],SUM(BK97:BK103)*12,"")</f>
        <v>201</v>
      </c>
      <c r="BQ103" s="7">
        <f ca="1">IFERROR(vendaAno[[#This Row],[lucro]]/(vendaAno[[#This Row],[venda]]*12),"")</f>
        <v>4.1105714285714283</v>
      </c>
    </row>
    <row r="104" spans="1:69" x14ac:dyDescent="0.25">
      <c r="A1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4" s="18" t="str">
        <f>TEXT(preçodiario[[#This Row],[data]],"MMM")</f>
        <v>abr</v>
      </c>
      <c r="C104" s="18" t="str">
        <f>TEXT(preçodiario[[#This Row],[data]],"ddd")</f>
        <v>seg</v>
      </c>
      <c r="D104" s="96">
        <f>WEEKNUM(preçodiario[[#This Row],[data]],13)</f>
        <v>15</v>
      </c>
      <c r="E104" s="37">
        <v>46125</v>
      </c>
      <c r="F1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Row],[data]])),((F103*G103)+SUMIFS(estoque[valor total],estoque[produto],preçodiario[[#Headers],[OVO BRANCO A]],estoque[data],preçodiario[[#This Row],[data]],estoque[fornecedor],"&lt;&gt;saída"))/(G103+(SUMIFS(estoque[quantidade],estoque[produto],preçodiario[[#Headers],[OVO BRANCO A]],estoque[fornecedor],"&lt;&gt;saída",estoque[data],preçodiario[[#This Row],[data]])))))</f>
        <v>16.600000000000001</v>
      </c>
      <c r="G104" s="22">
        <f>IF(preçodiario[[#This Row],[entrada A]]=0,G103-(SUMIFS(estoque[quantidade],estoque[fornecedor],"saída",estoque[produto],preçodiario[[#Headers],[OVO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Row],[data]]))+G103+preçodiario[[#This Row],[entrada A]])</f>
        <v>85</v>
      </c>
      <c r="H104" s="22">
        <f>SUMIFS(estoque[quantidade],estoque[fornecedor],"&lt;&gt;saída",estoque[produto],preçodiario[[#Headers],[OVO BRANCO A]],estoque[data],preçodiario[[#This Row],[data]])</f>
        <v>0</v>
      </c>
      <c r="I104" s="20">
        <f>SUMIFS(estoque[valor total],estoque[fornecedor],"&lt;&gt;saída",estoque[produto],preçodiario[[#Headers],[OVO BRANCO A]],estoque[data],preçodiario[[#This Row],[data]])</f>
        <v>0</v>
      </c>
      <c r="J104" s="20">
        <f>IFERROR(preçodiario[[#This Row],[estoque A]]*preçodiario[[#This Row],[OVO BRANCO A]],0)</f>
        <v>1411.0000000000002</v>
      </c>
      <c r="K1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Row],[data]])),((K103*L103)+SUMIFS(estoque[valor total],estoque[produto],preçodiario[[#Headers],[OVO BRANCO B]],estoque[data],preçodiario[[#This Row],[data]],estoque[fornecedor],"&lt;&gt;saída"))/(L103+(SUMIFS(estoque[quantidade],estoque[produto],preçodiario[[#Headers],[OVO BRANCO B]],estoque[fornecedor],"&lt;&gt;saída",estoque[data],preçodiario[[#This Row],[data]])))))</f>
        <v>16.17848958950654</v>
      </c>
      <c r="L104" s="22">
        <f>IF(preçodiario[[#This Row],[entrada B]]=0,L103-(SUMIFS(estoque[quantidade],estoque[fornecedor],"saída",estoque[produto],preçodiario[[#Headers],[OVO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Row],[data]]))+L103+preçodiario[[#This Row],[entrada B]])</f>
        <v>146</v>
      </c>
      <c r="M104" s="22">
        <f>SUMIFS(estoque[quantidade],estoque[fornecedor],"&lt;&gt;saída",estoque[produto],preçodiario[[#Headers],[OVO BRANCO B]],estoque[data],preçodiario[[#This Row],[data]])</f>
        <v>0</v>
      </c>
      <c r="N104" s="20">
        <f>SUMIFS(estoque[valor total],estoque[fornecedor],"&lt;&gt;saída",estoque[produto],preçodiario[[#Headers],[OVO BRANCO B]],estoque[data],preçodiario[[#This Row],[data]])</f>
        <v>0</v>
      </c>
      <c r="O104" s="20">
        <f>IFERROR(preçodiario[[#This Row],[OVO BRANCO B]]*preçodiario[[#This Row],[estoque B]],0)</f>
        <v>2362.0594800679551</v>
      </c>
      <c r="P10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Row],[data]])),((P103*Q103)+SUMIFS(estoque[valor total],estoque[produto],preçodiario[[#Headers],[OVO BRANCO C]],estoque[data],preçodiario[[#This Row],[data]],estoque[fornecedor],"&lt;&gt;saída"))/(Q103+(SUMIFS(estoque[quantidade],estoque[produto],preçodiario[[#Headers],[OVO BRANCO C]],estoque[fornecedor],"&lt;&gt;saída",estoque[data],preçodiario[[#This Row],[data]])))))</f>
        <v/>
      </c>
      <c r="Q104" s="22">
        <f>IF(preçodiario[[#This Row],[entrada C]]=0,Q103-(SUMIFS(estoque[quantidade],estoque[fornecedor],"saída",estoque[produto],preçodiario[[#Headers],[OVO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Row],[data]]))+Q103+preçodiario[[#This Row],[entrada C]])</f>
        <v>0</v>
      </c>
      <c r="R104" s="22">
        <f>SUMIFS(estoque[quantidade],estoque[fornecedor],"&lt;&gt;saída",estoque[produto],preçodiario[[#Headers],[OVO BRANCO C]],estoque[data],preçodiario[[#This Row],[data]])</f>
        <v>0</v>
      </c>
      <c r="S104" s="20">
        <f>SUMIFS(estoque[valor total],estoque[fornecedor],"&lt;&gt;saída",estoque[produto],preçodiario[[#Headers],[OVO BRANCO C]],estoque[data],preçodiario[[#This Row],[data]])</f>
        <v>0</v>
      </c>
      <c r="T104" s="20">
        <f>IFERROR(preçodiario[[#This Row],[OVO BRANCO C]]*preçodiario[[#This Row],[estoque C]],0)</f>
        <v>0</v>
      </c>
      <c r="U1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Row],[data]])),((U103*V103)+SUMIFS(estoque[valor total],estoque[produto],preçodiario[[#Headers],[OVO BRANCO EXTRA]],estoque[data],preçodiario[[#This Row],[data]],estoque[fornecedor],"&lt;&gt;saída"))/(V103+(SUMIFS(estoque[quantidade],estoque[produto],preçodiario[[#Headers],[OVO BRANCO EXTRA]],estoque[fornecedor],"&lt;&gt;saída",estoque[data],preçodiario[[#This Row],[data]])))))</f>
        <v>15.833333333333337</v>
      </c>
      <c r="V104" s="22">
        <f>IF(preçodiario[[#This Row],[entrada E]]=0,V103-(SUMIFS(estoque[quantidade],estoque[fornecedor],"saída",estoque[produto],preçodiario[[#Headers],[OVO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Row],[data]]))+V103+preçodiario[[#This Row],[entrada E]])</f>
        <v>49</v>
      </c>
      <c r="W104" s="22">
        <f>SUMIFS(estoque[quantidade],estoque[fornecedor],"&lt;&gt;saída",estoque[produto],preçodiario[[#Headers],[OVO BRANCO EXTRA]],estoque[data],preçodiario[[#This Row],[data]])</f>
        <v>0</v>
      </c>
      <c r="X104" s="20">
        <f>SUMIFS(estoque[valor total],estoque[fornecedor],"&lt;&gt;saída",estoque[produto],preçodiario[[#Headers],[OVO BRANCO EXTRA]],estoque[data],preçodiario[[#This Row],[data]])</f>
        <v>0</v>
      </c>
      <c r="Y104" s="20">
        <f>IFERROR(preçodiario[[#This Row],[estoque E]]*preçodiario[[#This Row],[OVO BRANCO EXTRA]],0)</f>
        <v>775.83333333333348</v>
      </c>
      <c r="Z1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Row],[data]])),((Z103*AA103)+SUMIFS(estoque[valor total],estoque[produto],preçodiario[[#Headers],[OVO BRANCO JUMBO]],estoque[data],preçodiario[[#This Row],[data]],estoque[fornecedor],"&lt;&gt;saída"))/(AA103+(SUMIFS(estoque[quantidade],estoque[produto],preçodiario[[#Headers],[OVO BRANCO JUMBO]],estoque[fornecedor],"&lt;&gt;saída",estoque[data],preçodiario[[#This Row],[data]])))))</f>
        <v>16.666666666666668</v>
      </c>
      <c r="AA104" s="22">
        <f>IF(preçodiario[[#This Row],[entrada J]]=0,AA103-(SUMIFS(estoque[quantidade],estoque[fornecedor],"saída",estoque[produto],preçodiario[[#Headers],[OVO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Row],[data]]))+AA103+preçodiario[[#This Row],[entrada J]])</f>
        <v>25</v>
      </c>
      <c r="AB104" s="22">
        <f>SUMIFS(estoque[quantidade],estoque[fornecedor],"&lt;&gt;saída",estoque[produto],preçodiario[[#Headers],[OVO BRANCO JUMBO]],estoque[data],preçodiario[[#This Row],[data]])</f>
        <v>0</v>
      </c>
      <c r="AC104" s="20">
        <f>SUMIFS(estoque[valor total],estoque[fornecedor],"&lt;&gt;saída",estoque[produto],preçodiario[[#Headers],[OVO BRANCO JUMBO]],estoque[data],preçodiario[[#This Row],[data]])</f>
        <v>0</v>
      </c>
      <c r="AD104" s="20">
        <f>IFERROR(preçodiario[[#This Row],[OVO BRANCO JUMBO]]*preçodiario[[#This Row],[estoque J]],0)</f>
        <v>416.66666666666669</v>
      </c>
      <c r="AE1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Row],[data]])),((AE103*AF103)+SUMIFS(estoque[valor total],estoque[produto],preçodiario[[#Headers],[OVO VERMELHO A]],estoque[data],preçodiario[[#This Row],[data]],estoque[fornecedor],"&lt;&gt;saída"))/(AF103+(SUMIFS(estoque[quantidade],estoque[produto],preçodiario[[#Headers],[OVO VERMELHO A]],estoque[fornecedor],"&lt;&gt;saída",estoque[data],preçodiario[[#This Row],[data]])))))</f>
        <v/>
      </c>
      <c r="AF104" s="22">
        <f>IF(preçodiario[[#This Row],[entrada AV]]=0,AF103-(SUMIFS(estoque[quantidade],estoque[fornecedor],"saída",estoque[produto],preçodiario[[#Headers],[OVO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Row],[data]]))+AF103+preçodiario[[#This Row],[entrada AV]])</f>
        <v>0</v>
      </c>
      <c r="AG104" s="22">
        <f>SUMIFS(estoque[quantidade],estoque[fornecedor],"&lt;&gt;saída",estoque[produto],preçodiario[[#Headers],[OVO VERMELHO A]],estoque[data],preçodiario[[#This Row],[data]])</f>
        <v>0</v>
      </c>
      <c r="AH104" s="20">
        <f>SUMIFS(estoque[valor total],estoque[fornecedor],"&lt;&gt;saída",estoque[produto],preçodiario[[#Headers],[OVO VERMELHO A]],estoque[data],preçodiario[[#This Row],[data]])</f>
        <v>0</v>
      </c>
      <c r="AI104" s="20">
        <f>IFERROR(preçodiario[[#This Row],[OVO VERMELHO A]]*preçodiario[[#This Row],[estoque AV]],0)</f>
        <v>0</v>
      </c>
      <c r="AJ1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Row],[data]])),((AJ103*AK103)+SUMIFS(estoque[valor total],estoque[produto],preçodiario[[#Headers],[OVO VERMELHO B]],estoque[data],preçodiario[[#This Row],[data]],estoque[fornecedor],"&lt;&gt;saída"))/(AK103+(SUMIFS(estoque[quantidade],estoque[produto],preçodiario[[#Headers],[OVO VERMELHO B]],estoque[fornecedor],"&lt;&gt;saída",estoque[data],preçodiario[[#This Row],[data]])))))</f>
        <v/>
      </c>
      <c r="AK104" s="22">
        <f>IF(preçodiario[[#This Row],[entrada BV]]=0,AK103-(SUMIFS(estoque[quantidade],estoque[fornecedor],"saída",estoque[produto],preçodiario[[#Headers],[OVO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Row],[data]]))+AK103+preçodiario[[#This Row],[entrada BV]])</f>
        <v>0</v>
      </c>
      <c r="AL104" s="22">
        <f>SUMIFS(estoque[quantidade],estoque[fornecedor],"&lt;&gt;saída",estoque[produto],preçodiario[[#Headers],[OVO VERMELHO B]],estoque[data],preçodiario[[#This Row],[data]])</f>
        <v>0</v>
      </c>
      <c r="AM104" s="20">
        <f>SUMIFS(estoque[valor total],estoque[fornecedor],"&lt;&gt;saída",estoque[produto],preçodiario[[#Headers],[OVO VERMELHO B]],estoque[data],preçodiario[[#This Row],[data]])</f>
        <v>0</v>
      </c>
      <c r="AN104" s="20">
        <f>IFERROR(preçodiario[[#This Row],[OVO VERMELHO B]]*preçodiario[[#This Row],[estoque BV]],0)</f>
        <v>0</v>
      </c>
      <c r="AO1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Row],[data]])),((AO103*AP103)+SUMIFS(estoque[valor total],estoque[produto],preçodiario[[#Headers],[OVO VERMELHO C]],estoque[data],preçodiario[[#This Row],[data]],estoque[fornecedor],"&lt;&gt;saída"))/(AP103+(SUMIFS(estoque[quantidade],estoque[produto],preçodiario[[#Headers],[OVO VERMELHO C]],estoque[fornecedor],"&lt;&gt;saída",estoque[data],preçodiario[[#This Row],[data]])))))</f>
        <v/>
      </c>
      <c r="AP104" s="22">
        <f>IF(preçodiario[[#This Row],[entrada CV]]=0,AP103-(SUMIFS(estoque[quantidade],estoque[fornecedor],"saída",estoque[produto],preçodiario[[#Headers],[OVO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Row],[data]]))+AP103+preçodiario[[#This Row],[entrada CV]])</f>
        <v>0</v>
      </c>
      <c r="AQ104" s="22">
        <f>SUMIFS(estoque[quantidade],estoque[fornecedor],"&lt;&gt;saída",estoque[produto],preçodiario[[#Headers],[OVO VERMELHO C]],estoque[data],preçodiario[[#This Row],[data]])</f>
        <v>0</v>
      </c>
      <c r="AR104" s="20">
        <f>SUMIFS(estoque[valor total],estoque[fornecedor],"&lt;&gt;saída",estoque[produto],preçodiario[[#Headers],[OVO VERMELHO C]],estoque[data],preçodiario[[#This Row],[data]])</f>
        <v>0</v>
      </c>
      <c r="AS104" s="20">
        <f>IFERROR(preçodiario[[#This Row],[OVO VERMELHO C]]*preçodiario[[#This Row],[estoque CV]],0)</f>
        <v>0</v>
      </c>
      <c r="AT1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Row],[data]])),((AT103*AU103)+SUMIFS(estoque[valor total],estoque[produto],preçodiario[[#Headers],[OVO VERMELHO EXTRA]],estoque[data],preçodiario[[#This Row],[data]],estoque[fornecedor],"&lt;&gt;saída"))/(AU103+(SUMIFS(estoque[quantidade],estoque[produto],preçodiario[[#Headers],[OVO VERMELHO EXTRA]],estoque[fornecedor],"&lt;&gt;saída",estoque[data],preçodiario[[#This Row],[data]])))))</f>
        <v/>
      </c>
      <c r="AU104" s="22">
        <f>IF(preçodiario[[#This Row],[entrada EV]]=0,AU103-(SUMIFS(estoque[quantidade],estoque[fornecedor],"saída",estoque[produto],preçodiario[[#Headers],[OVO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Row],[data]]))+AU103+preçodiario[[#This Row],[entrada EV]])</f>
        <v>0</v>
      </c>
      <c r="AV104" s="22">
        <f>SUMIFS(estoque[quantidade],estoque[fornecedor],"&lt;&gt;saída",estoque[produto],preçodiario[[#Headers],[OVO VERMELHO EXTRA]],estoque[data],preçodiario[[#This Row],[data]])</f>
        <v>0</v>
      </c>
      <c r="AW104" s="20">
        <f>SUMIFS(estoque[valor total],estoque[fornecedor],"&lt;&gt;saída",estoque[produto],preçodiario[[#Headers],[OVO VERMELHO EXTRA]],estoque[data],preçodiario[[#This Row],[data]])</f>
        <v>0</v>
      </c>
      <c r="AX104" s="20">
        <f>IFERROR(preçodiario[[#This Row],[OVO VERMELHO EXTRA]]*preçodiario[[#This Row],[estoque EV]],0)</f>
        <v>0</v>
      </c>
      <c r="AY1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Row],[data]])),((AY103*AZ103)+SUMIFS(estoque[valor total],estoque[produto],preçodiario[[#Headers],[OVO VERMELHO JUMBO]],estoque[data],preçodiario[[#This Row],[data]],estoque[fornecedor],"&lt;&gt;saída"))/(AZ103+(SUMIFS(estoque[quantidade],estoque[produto],preçodiario[[#Headers],[OVO VERMELHO JUMBO]],estoque[fornecedor],"&lt;&gt;saída",estoque[data],preçodiario[[#This Row],[data]])))))</f>
        <v/>
      </c>
      <c r="AZ104" s="22">
        <f>IF(preçodiario[[#This Row],[entrada JV]]=0,AZ103-(SUMIFS(estoque[quantidade],estoque[fornecedor],"saída",estoque[produto],preçodiario[[#Headers],[OVO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Row],[data]]))+AZ103+preçodiario[[#This Row],[entrada JV]])</f>
        <v>0</v>
      </c>
      <c r="BA104" s="22">
        <f>SUMIFS(estoque[quantidade],estoque[fornecedor],"&lt;&gt;saída",estoque[produto],preçodiario[[#Headers],[OVO VERMELHO JUMBO]],estoque[data],preçodiario[[#This Row],[data]])</f>
        <v>0</v>
      </c>
      <c r="BB104" s="20">
        <f>SUMIFS(estoque[valor total],estoque[fornecedor],"&lt;&gt;saída",estoque[produto],preçodiario[[#Headers],[OVO VERMELHO JUMBO]],estoque[data],preçodiario[[#This Row],[data]])</f>
        <v>0</v>
      </c>
      <c r="BC104" s="20">
        <f>IFERROR(preçodiario[[#This Row],[OVO VERMELHO JUMBO]]*preçodiario[[#This Row],[estoque JV]],0)</f>
        <v>0</v>
      </c>
      <c r="BD104" t="str">
        <f>TEXT(vendaAno[[#This Row],[data]],"mmm")</f>
        <v>abr</v>
      </c>
      <c r="BE104" t="str">
        <f>TEXT(vendaAno[[#This Row],[data]],"ddd")</f>
        <v>seg</v>
      </c>
      <c r="BF104" s="82">
        <f>WEEKNUM(vendaAno[[#This Row],[data]],13)</f>
        <v>15</v>
      </c>
      <c r="BG104" s="27">
        <f>preçodiario[[#This Row],[data]]</f>
        <v>46125</v>
      </c>
      <c r="BH1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4" s="8">
        <f>IF(SUMIFS(estoque[valor total],estoque[fornecedor],"saída",estoque[data],vendaAno[[#This Row],[data]])=0,"",SUMIFS(estoque[valor total],estoque[fornecedor],"saída",estoque[data],vendaAno[[#This Row],[data]]))</f>
        <v>1019</v>
      </c>
      <c r="BJ10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Row],[data]]))/12+BJ103,"")</f>
        <v>25.41666666666665</v>
      </c>
      <c r="BK104" s="79">
        <f ca="1">IF(TODAY()&gt;=vendaAno[[#This Row],[data]],IF(SUMIFS(estoque[quantidade],estoque[fornecedor],"saída",estoque[data],vendaAno[[#This Row],[data]])/12=0,AVERAGE(BK101:BK103),SUMIFS(estoque[quantidade],estoque[fornecedor],"saída",estoque[data],vendaAno[[#This Row],[data]])/12),"")</f>
        <v>4.166666666666667</v>
      </c>
      <c r="BL104" s="8">
        <f ca="1">IF(vendaAno[[#This Row],[data]]&lt;=TODAY(),IF(SUMIFS(estoque[lucro],estoque[fornecedor],"saída",estoque[data],vendaAno[[#This Row],[data]])=0,AVERAGE(BL101:BL103),SUMIFS(estoque[lucro],estoque[fornecedor],"saída",estoque[data],vendaAno[[#This Row],[data]])),"")</f>
        <v>199.17000000000002</v>
      </c>
      <c r="BM104" s="10">
        <f ca="1">IFERROR(vendaAno[[#This Row],[lucro]]/vendaAno[[#This Row],[valor de venda]],"")</f>
        <v>0.19545632973503435</v>
      </c>
      <c r="BN10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4965.5594800679555</v>
      </c>
      <c r="BO104" s="8">
        <f ca="1">IF(TODAY()&gt;=vendaAno[[#This Row],[data]],IF(vendaAno[[#This Row],[N°]]=BF103,vendaAno[[#This Row],[lucro]]-173.33+BO103,vendaAno[[#This Row],[lucro]]-150),"")</f>
        <v>-147.55000000000004</v>
      </c>
      <c r="BP104" s="81">
        <f ca="1">IF(TODAY()&gt;=vendaAno[[#This Row],[data]],SUM(BK98:BK104)*12,"")</f>
        <v>225</v>
      </c>
      <c r="BQ104" s="7">
        <f ca="1">IFERROR(vendaAno[[#This Row],[lucro]]/(vendaAno[[#This Row],[venda]]*12),"")</f>
        <v>3.9834000000000005</v>
      </c>
    </row>
    <row r="105" spans="1:69" x14ac:dyDescent="0.25">
      <c r="A1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5" s="18" t="str">
        <f>TEXT(preçodiario[[#This Row],[data]],"MMM")</f>
        <v>abr</v>
      </c>
      <c r="C105" s="18" t="str">
        <f>TEXT(preçodiario[[#This Row],[data]],"ddd")</f>
        <v>ter</v>
      </c>
      <c r="D105" s="96">
        <f>WEEKNUM(preçodiario[[#This Row],[data]],13)</f>
        <v>15</v>
      </c>
      <c r="E105" s="37">
        <v>46126</v>
      </c>
      <c r="F1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Row],[data]])),((F104*G104)+SUMIFS(estoque[valor total],estoque[produto],preçodiario[[#Headers],[OVO BRANCO A]],estoque[data],preçodiario[[#This Row],[data]],estoque[fornecedor],"&lt;&gt;saída"))/(G104+(SUMIFS(estoque[quantidade],estoque[produto],preçodiario[[#Headers],[OVO BRANCO A]],estoque[fornecedor],"&lt;&gt;saída",estoque[data],preçodiario[[#This Row],[data]])))))</f>
        <v>16.600000000000001</v>
      </c>
      <c r="G105" s="22">
        <f>IF(preçodiario[[#This Row],[entrada A]]=0,G104-(SUMIFS(estoque[quantidade],estoque[fornecedor],"saída",estoque[produto],preçodiario[[#Headers],[OVO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Row],[data]]))+G104+preçodiario[[#This Row],[entrada A]])</f>
        <v>81</v>
      </c>
      <c r="H105" s="22">
        <f>SUMIFS(estoque[quantidade],estoque[fornecedor],"&lt;&gt;saída",estoque[produto],preçodiario[[#Headers],[OVO BRANCO A]],estoque[data],preçodiario[[#This Row],[data]])</f>
        <v>0</v>
      </c>
      <c r="I105" s="20">
        <f>SUMIFS(estoque[valor total],estoque[fornecedor],"&lt;&gt;saída",estoque[produto],preçodiario[[#Headers],[OVO BRANCO A]],estoque[data],preçodiario[[#This Row],[data]])</f>
        <v>0</v>
      </c>
      <c r="J105" s="20">
        <f>IFERROR(preçodiario[[#This Row],[estoque A]]*preçodiario[[#This Row],[OVO BRANCO A]],0)</f>
        <v>1344.6000000000001</v>
      </c>
      <c r="K1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Row],[data]])),((K104*L104)+SUMIFS(estoque[valor total],estoque[produto],preçodiario[[#Headers],[OVO BRANCO B]],estoque[data],preçodiario[[#This Row],[data]],estoque[fornecedor],"&lt;&gt;saída"))/(L104+(SUMIFS(estoque[quantidade],estoque[produto],preçodiario[[#Headers],[OVO BRANCO B]],estoque[fornecedor],"&lt;&gt;saída",estoque[data],preçodiario[[#This Row],[data]])))))</f>
        <v>16.17848958950654</v>
      </c>
      <c r="L105" s="22">
        <f>IF(preçodiario[[#This Row],[entrada B]]=0,L104-(SUMIFS(estoque[quantidade],estoque[fornecedor],"saída",estoque[produto],preçodiario[[#Headers],[OVO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Row],[data]]))+L104+preçodiario[[#This Row],[entrada B]])</f>
        <v>136</v>
      </c>
      <c r="M105" s="22">
        <f>SUMIFS(estoque[quantidade],estoque[fornecedor],"&lt;&gt;saída",estoque[produto],preçodiario[[#Headers],[OVO BRANCO B]],estoque[data],preçodiario[[#This Row],[data]])</f>
        <v>0</v>
      </c>
      <c r="N105" s="20">
        <f>SUMIFS(estoque[valor total],estoque[fornecedor],"&lt;&gt;saída",estoque[produto],preçodiario[[#Headers],[OVO BRANCO B]],estoque[data],preçodiario[[#This Row],[data]])</f>
        <v>0</v>
      </c>
      <c r="O105" s="20">
        <f>IFERROR(preçodiario[[#This Row],[OVO BRANCO B]]*preçodiario[[#This Row],[estoque B]],0)</f>
        <v>2200.2745841728893</v>
      </c>
      <c r="P10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Row],[data]])),((P104*Q104)+SUMIFS(estoque[valor total],estoque[produto],preçodiario[[#Headers],[OVO BRANCO C]],estoque[data],preçodiario[[#This Row],[data]],estoque[fornecedor],"&lt;&gt;saída"))/(Q104+(SUMIFS(estoque[quantidade],estoque[produto],preçodiario[[#Headers],[OVO BRANCO C]],estoque[fornecedor],"&lt;&gt;saída",estoque[data],preçodiario[[#This Row],[data]])))))</f>
        <v/>
      </c>
      <c r="Q105" s="22">
        <f>IF(preçodiario[[#This Row],[entrada C]]=0,Q104-(SUMIFS(estoque[quantidade],estoque[fornecedor],"saída",estoque[produto],preçodiario[[#Headers],[OVO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Row],[data]]))+Q104+preçodiario[[#This Row],[entrada C]])</f>
        <v>0</v>
      </c>
      <c r="R105" s="22">
        <f>SUMIFS(estoque[quantidade],estoque[fornecedor],"&lt;&gt;saída",estoque[produto],preçodiario[[#Headers],[OVO BRANCO C]],estoque[data],preçodiario[[#This Row],[data]])</f>
        <v>0</v>
      </c>
      <c r="S105" s="20">
        <f>SUMIFS(estoque[valor total],estoque[fornecedor],"&lt;&gt;saída",estoque[produto],preçodiario[[#Headers],[OVO BRANCO C]],estoque[data],preçodiario[[#This Row],[data]])</f>
        <v>0</v>
      </c>
      <c r="T105" s="20">
        <f>IFERROR(preçodiario[[#This Row],[OVO BRANCO C]]*preçodiario[[#This Row],[estoque C]],0)</f>
        <v>0</v>
      </c>
      <c r="U1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Row],[data]])),((U104*V104)+SUMIFS(estoque[valor total],estoque[produto],preçodiario[[#Headers],[OVO BRANCO EXTRA]],estoque[data],preçodiario[[#This Row],[data]],estoque[fornecedor],"&lt;&gt;saída"))/(V104+(SUMIFS(estoque[quantidade],estoque[produto],preçodiario[[#Headers],[OVO BRANCO EXTRA]],estoque[fornecedor],"&lt;&gt;saída",estoque[data],preçodiario[[#This Row],[data]])))))</f>
        <v>15.833333333333336</v>
      </c>
      <c r="V105" s="22">
        <f>IF(preçodiario[[#This Row],[entrada E]]=0,V104-(SUMIFS(estoque[quantidade],estoque[fornecedor],"saída",estoque[produto],preçodiario[[#Headers],[OVO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Row],[data]]))+V104+preçodiario[[#This Row],[entrada E]])</f>
        <v>47</v>
      </c>
      <c r="W105" s="22">
        <f>SUMIFS(estoque[quantidade],estoque[fornecedor],"&lt;&gt;saída",estoque[produto],preçodiario[[#Headers],[OVO BRANCO EXTRA]],estoque[data],preçodiario[[#This Row],[data]])</f>
        <v>0</v>
      </c>
      <c r="X105" s="20">
        <f>SUMIFS(estoque[valor total],estoque[fornecedor],"&lt;&gt;saída",estoque[produto],preçodiario[[#Headers],[OVO BRANCO EXTRA]],estoque[data],preçodiario[[#This Row],[data]])</f>
        <v>0</v>
      </c>
      <c r="Y105" s="20">
        <f>IFERROR(preçodiario[[#This Row],[estoque E]]*preçodiario[[#This Row],[OVO BRANCO EXTRA]],0)</f>
        <v>744.16666666666674</v>
      </c>
      <c r="Z1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Row],[data]])),((Z104*AA104)+SUMIFS(estoque[valor total],estoque[produto],preçodiario[[#Headers],[OVO BRANCO JUMBO]],estoque[data],preçodiario[[#This Row],[data]],estoque[fornecedor],"&lt;&gt;saída"))/(AA104+(SUMIFS(estoque[quantidade],estoque[produto],preçodiario[[#Headers],[OVO BRANCO JUMBO]],estoque[fornecedor],"&lt;&gt;saída",estoque[data],preçodiario[[#This Row],[data]])))))</f>
        <v>16.666666666666668</v>
      </c>
      <c r="AA105" s="22">
        <f>IF(preçodiario[[#This Row],[entrada J]]=0,AA104-(SUMIFS(estoque[quantidade],estoque[fornecedor],"saída",estoque[produto],preçodiario[[#Headers],[OVO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Row],[data]]))+AA104+preçodiario[[#This Row],[entrada J]])</f>
        <v>13</v>
      </c>
      <c r="AB105" s="22">
        <f>SUMIFS(estoque[quantidade],estoque[fornecedor],"&lt;&gt;saída",estoque[produto],preçodiario[[#Headers],[OVO BRANCO JUMBO]],estoque[data],preçodiario[[#This Row],[data]])</f>
        <v>0</v>
      </c>
      <c r="AC105" s="20">
        <f>SUMIFS(estoque[valor total],estoque[fornecedor],"&lt;&gt;saída",estoque[produto],preçodiario[[#Headers],[OVO BRANCO JUMBO]],estoque[data],preçodiario[[#This Row],[data]])</f>
        <v>0</v>
      </c>
      <c r="AD105" s="20">
        <f>IFERROR(preçodiario[[#This Row],[OVO BRANCO JUMBO]]*preçodiario[[#This Row],[estoque J]],0)</f>
        <v>216.66666666666669</v>
      </c>
      <c r="AE1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Row],[data]])),((AE104*AF104)+SUMIFS(estoque[valor total],estoque[produto],preçodiario[[#Headers],[OVO VERMELHO A]],estoque[data],preçodiario[[#This Row],[data]],estoque[fornecedor],"&lt;&gt;saída"))/(AF104+(SUMIFS(estoque[quantidade],estoque[produto],preçodiario[[#Headers],[OVO VERMELHO A]],estoque[fornecedor],"&lt;&gt;saída",estoque[data],preçodiario[[#This Row],[data]])))))</f>
        <v/>
      </c>
      <c r="AF105" s="22">
        <f>IF(preçodiario[[#This Row],[entrada AV]]=0,AF104-(SUMIFS(estoque[quantidade],estoque[fornecedor],"saída",estoque[produto],preçodiario[[#Headers],[OVO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Row],[data]]))+AF104+preçodiario[[#This Row],[entrada AV]])</f>
        <v>0</v>
      </c>
      <c r="AG105" s="22">
        <f>SUMIFS(estoque[quantidade],estoque[fornecedor],"&lt;&gt;saída",estoque[produto],preçodiario[[#Headers],[OVO VERMELHO A]],estoque[data],preçodiario[[#This Row],[data]])</f>
        <v>0</v>
      </c>
      <c r="AH105" s="20">
        <f>SUMIFS(estoque[valor total],estoque[fornecedor],"&lt;&gt;saída",estoque[produto],preçodiario[[#Headers],[OVO VERMELHO A]],estoque[data],preçodiario[[#This Row],[data]])</f>
        <v>0</v>
      </c>
      <c r="AI105" s="20">
        <f>IFERROR(preçodiario[[#This Row],[OVO VERMELHO A]]*preçodiario[[#This Row],[estoque AV]],0)</f>
        <v>0</v>
      </c>
      <c r="AJ1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Row],[data]])),((AJ104*AK104)+SUMIFS(estoque[valor total],estoque[produto],preçodiario[[#Headers],[OVO VERMELHO B]],estoque[data],preçodiario[[#This Row],[data]],estoque[fornecedor],"&lt;&gt;saída"))/(AK104+(SUMIFS(estoque[quantidade],estoque[produto],preçodiario[[#Headers],[OVO VERMELHO B]],estoque[fornecedor],"&lt;&gt;saída",estoque[data],preçodiario[[#This Row],[data]])))))</f>
        <v/>
      </c>
      <c r="AK105" s="22">
        <f>IF(preçodiario[[#This Row],[entrada BV]]=0,AK104-(SUMIFS(estoque[quantidade],estoque[fornecedor],"saída",estoque[produto],preçodiario[[#Headers],[OVO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Row],[data]]))+AK104+preçodiario[[#This Row],[entrada BV]])</f>
        <v>0</v>
      </c>
      <c r="AL105" s="22">
        <f>SUMIFS(estoque[quantidade],estoque[fornecedor],"&lt;&gt;saída",estoque[produto],preçodiario[[#Headers],[OVO VERMELHO B]],estoque[data],preçodiario[[#This Row],[data]])</f>
        <v>0</v>
      </c>
      <c r="AM105" s="20">
        <f>SUMIFS(estoque[valor total],estoque[fornecedor],"&lt;&gt;saída",estoque[produto],preçodiario[[#Headers],[OVO VERMELHO B]],estoque[data],preçodiario[[#This Row],[data]])</f>
        <v>0</v>
      </c>
      <c r="AN105" s="20">
        <f>IFERROR(preçodiario[[#This Row],[OVO VERMELHO B]]*preçodiario[[#This Row],[estoque BV]],0)</f>
        <v>0</v>
      </c>
      <c r="AO1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Row],[data]])),((AO104*AP104)+SUMIFS(estoque[valor total],estoque[produto],preçodiario[[#Headers],[OVO VERMELHO C]],estoque[data],preçodiario[[#This Row],[data]],estoque[fornecedor],"&lt;&gt;saída"))/(AP104+(SUMIFS(estoque[quantidade],estoque[produto],preçodiario[[#Headers],[OVO VERMELHO C]],estoque[fornecedor],"&lt;&gt;saída",estoque[data],preçodiario[[#This Row],[data]])))))</f>
        <v/>
      </c>
      <c r="AP105" s="22">
        <f>IF(preçodiario[[#This Row],[entrada CV]]=0,AP104-(SUMIFS(estoque[quantidade],estoque[fornecedor],"saída",estoque[produto],preçodiario[[#Headers],[OVO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Row],[data]]))+AP104+preçodiario[[#This Row],[entrada CV]])</f>
        <v>0</v>
      </c>
      <c r="AQ105" s="22">
        <f>SUMIFS(estoque[quantidade],estoque[fornecedor],"&lt;&gt;saída",estoque[produto],preçodiario[[#Headers],[OVO VERMELHO C]],estoque[data],preçodiario[[#This Row],[data]])</f>
        <v>0</v>
      </c>
      <c r="AR105" s="20">
        <f>SUMIFS(estoque[valor total],estoque[fornecedor],"&lt;&gt;saída",estoque[produto],preçodiario[[#Headers],[OVO VERMELHO C]],estoque[data],preçodiario[[#This Row],[data]])</f>
        <v>0</v>
      </c>
      <c r="AS105" s="20">
        <f>IFERROR(preçodiario[[#This Row],[OVO VERMELHO C]]*preçodiario[[#This Row],[estoque CV]],0)</f>
        <v>0</v>
      </c>
      <c r="AT1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Row],[data]])),((AT104*AU104)+SUMIFS(estoque[valor total],estoque[produto],preçodiario[[#Headers],[OVO VERMELHO EXTRA]],estoque[data],preçodiario[[#This Row],[data]],estoque[fornecedor],"&lt;&gt;saída"))/(AU104+(SUMIFS(estoque[quantidade],estoque[produto],preçodiario[[#Headers],[OVO VERMELHO EXTRA]],estoque[fornecedor],"&lt;&gt;saída",estoque[data],preçodiario[[#This Row],[data]])))))</f>
        <v/>
      </c>
      <c r="AU105" s="22">
        <f>IF(preçodiario[[#This Row],[entrada EV]]=0,AU104-(SUMIFS(estoque[quantidade],estoque[fornecedor],"saída",estoque[produto],preçodiario[[#Headers],[OVO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Row],[data]]))+AU104+preçodiario[[#This Row],[entrada EV]])</f>
        <v>0</v>
      </c>
      <c r="AV105" s="22">
        <f>SUMIFS(estoque[quantidade],estoque[fornecedor],"&lt;&gt;saída",estoque[produto],preçodiario[[#Headers],[OVO VERMELHO EXTRA]],estoque[data],preçodiario[[#This Row],[data]])</f>
        <v>0</v>
      </c>
      <c r="AW105" s="20">
        <f>SUMIFS(estoque[valor total],estoque[fornecedor],"&lt;&gt;saída",estoque[produto],preçodiario[[#Headers],[OVO VERMELHO EXTRA]],estoque[data],preçodiario[[#This Row],[data]])</f>
        <v>0</v>
      </c>
      <c r="AX105" s="20">
        <f>IFERROR(preçodiario[[#This Row],[OVO VERMELHO EXTRA]]*preçodiario[[#This Row],[estoque EV]],0)</f>
        <v>0</v>
      </c>
      <c r="AY1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Row],[data]])),((AY104*AZ104)+SUMIFS(estoque[valor total],estoque[produto],preçodiario[[#Headers],[OVO VERMELHO JUMBO]],estoque[data],preçodiario[[#This Row],[data]],estoque[fornecedor],"&lt;&gt;saída"))/(AZ104+(SUMIFS(estoque[quantidade],estoque[produto],preçodiario[[#Headers],[OVO VERMELHO JUMBO]],estoque[fornecedor],"&lt;&gt;saída",estoque[data],preçodiario[[#This Row],[data]])))))</f>
        <v/>
      </c>
      <c r="AZ105" s="22">
        <f>IF(preçodiario[[#This Row],[entrada JV]]=0,AZ104-(SUMIFS(estoque[quantidade],estoque[fornecedor],"saída",estoque[produto],preçodiario[[#Headers],[OVO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Row],[data]]))+AZ104+preçodiario[[#This Row],[entrada JV]])</f>
        <v>0</v>
      </c>
      <c r="BA105" s="22">
        <f>SUMIFS(estoque[quantidade],estoque[fornecedor],"&lt;&gt;saída",estoque[produto],preçodiario[[#Headers],[OVO VERMELHO JUMBO]],estoque[data],preçodiario[[#This Row],[data]])</f>
        <v>0</v>
      </c>
      <c r="BB105" s="20">
        <f>SUMIFS(estoque[valor total],estoque[fornecedor],"&lt;&gt;saída",estoque[produto],preçodiario[[#Headers],[OVO VERMELHO JUMBO]],estoque[data],preçodiario[[#This Row],[data]])</f>
        <v>0</v>
      </c>
      <c r="BC105" s="20">
        <f>IFERROR(preçodiario[[#This Row],[OVO VERMELHO JUMBO]]*preçodiario[[#This Row],[estoque JV]],0)</f>
        <v>0</v>
      </c>
      <c r="BD105" t="str">
        <f>TEXT(vendaAno[[#This Row],[data]],"mmm")</f>
        <v>abr</v>
      </c>
      <c r="BE105" t="str">
        <f>TEXT(vendaAno[[#This Row],[data]],"ddd")</f>
        <v>ter</v>
      </c>
      <c r="BF105" s="82">
        <f>WEEKNUM(vendaAno[[#This Row],[data]],13)</f>
        <v>15</v>
      </c>
      <c r="BG105" s="27">
        <f>preçodiario[[#This Row],[data]]</f>
        <v>46126</v>
      </c>
      <c r="BH1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5" s="8">
        <f>IF(SUMIFS(estoque[valor total],estoque[fornecedor],"saída",estoque[data],vendaAno[[#This Row],[data]])=0,"",SUMIFS(estoque[valor total],estoque[fornecedor],"saída",estoque[data],vendaAno[[#This Row],[data]]))</f>
        <v>604</v>
      </c>
      <c r="BJ10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Row],[data]]))/12+BJ104,"")</f>
        <v>23.083333333333318</v>
      </c>
      <c r="BK105" s="79">
        <f ca="1">IF(TODAY()&gt;=vendaAno[[#This Row],[data]],IF(SUMIFS(estoque[quantidade],estoque[fornecedor],"saída",estoque[data],vendaAno[[#This Row],[data]])/12=0,AVERAGE(BK102:BK104),SUMIFS(estoque[quantidade],estoque[fornecedor],"saída",estoque[data],vendaAno[[#This Row],[data]])/12),"")</f>
        <v>2.3333333333333335</v>
      </c>
      <c r="BL105" s="8">
        <f ca="1">IF(vendaAno[[#This Row],[data]]&lt;=TODAY(),IF(SUMIFS(estoque[lucro],estoque[fornecedor],"saída",estoque[data],vendaAno[[#This Row],[data]])=0,AVERAGE(BL102:BL104),SUMIFS(estoque[lucro],estoque[fornecedor],"saída",estoque[data],vendaAno[[#This Row],[data]])),"")</f>
        <v>144.15</v>
      </c>
      <c r="BM105" s="10">
        <f ca="1">IFERROR(vendaAno[[#This Row],[lucro]]/vendaAno[[#This Row],[valor de venda]],"")</f>
        <v>0.238658940397351</v>
      </c>
      <c r="BN10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4505.7079175062227</v>
      </c>
      <c r="BO105" s="8">
        <f ca="1">IF(TODAY()&gt;=vendaAno[[#This Row],[data]],IF(vendaAno[[#This Row],[N°]]=BF104,vendaAno[[#This Row],[lucro]]-173.33+BO104,vendaAno[[#This Row],[lucro]]-150),"")</f>
        <v>-176.73000000000005</v>
      </c>
      <c r="BP105" s="81">
        <f ca="1">IF(TODAY()&gt;=vendaAno[[#This Row],[data]],SUM(BK99:BK105)*12,"")</f>
        <v>227.99999999999994</v>
      </c>
      <c r="BQ105" s="7">
        <f ca="1">IFERROR(vendaAno[[#This Row],[lucro]]/(vendaAno[[#This Row],[venda]]*12),"")</f>
        <v>5.1482142857142863</v>
      </c>
    </row>
    <row r="106" spans="1:69" x14ac:dyDescent="0.25">
      <c r="A1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6" s="18" t="str">
        <f>TEXT(preçodiario[[#This Row],[data]],"MMM")</f>
        <v>abr</v>
      </c>
      <c r="C106" s="18" t="str">
        <f>TEXT(preçodiario[[#This Row],[data]],"ddd")</f>
        <v>qua</v>
      </c>
      <c r="D106" s="96">
        <f>WEEKNUM(preçodiario[[#This Row],[data]],13)</f>
        <v>16</v>
      </c>
      <c r="E106" s="37">
        <v>46127</v>
      </c>
      <c r="F1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Row],[data]])),((F105*G105)+SUMIFS(estoque[valor total],estoque[produto],preçodiario[[#Headers],[OVO BRANCO A]],estoque[data],preçodiario[[#This Row],[data]],estoque[fornecedor],"&lt;&gt;saída"))/(G105+(SUMIFS(estoque[quantidade],estoque[produto],preçodiario[[#Headers],[OVO BRANCO A]],estoque[fornecedor],"&lt;&gt;saída",estoque[data],preçodiario[[#This Row],[data]])))))</f>
        <v>16.600000000000001</v>
      </c>
      <c r="G106" s="22">
        <f>IF(preçodiario[[#This Row],[entrada A]]=0,G105-(SUMIFS(estoque[quantidade],estoque[fornecedor],"saída",estoque[produto],preçodiario[[#Headers],[OVO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Row],[data]]))+G105+preçodiario[[#This Row],[entrada A]])</f>
        <v>78</v>
      </c>
      <c r="H106" s="22">
        <f>SUMIFS(estoque[quantidade],estoque[fornecedor],"&lt;&gt;saída",estoque[produto],preçodiario[[#Headers],[OVO BRANCO A]],estoque[data],preçodiario[[#This Row],[data]])</f>
        <v>0</v>
      </c>
      <c r="I106" s="20">
        <f>SUMIFS(estoque[valor total],estoque[fornecedor],"&lt;&gt;saída",estoque[produto],preçodiario[[#Headers],[OVO BRANCO A]],estoque[data],preçodiario[[#This Row],[data]])</f>
        <v>0</v>
      </c>
      <c r="J106" s="20">
        <f>IFERROR(preçodiario[[#This Row],[estoque A]]*preçodiario[[#This Row],[OVO BRANCO A]],0)</f>
        <v>1294.8000000000002</v>
      </c>
      <c r="K1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Row],[data]])),((K105*L105)+SUMIFS(estoque[valor total],estoque[produto],preçodiario[[#Headers],[OVO BRANCO B]],estoque[data],preçodiario[[#This Row],[data]],estoque[fornecedor],"&lt;&gt;saída"))/(L105+(SUMIFS(estoque[quantidade],estoque[produto],preçodiario[[#Headers],[OVO BRANCO B]],estoque[fornecedor],"&lt;&gt;saída",estoque[data],preçodiario[[#This Row],[data]])))))</f>
        <v>16.17848958950654</v>
      </c>
      <c r="L106" s="22">
        <f>IF(preçodiario[[#This Row],[entrada B]]=0,L105-(SUMIFS(estoque[quantidade],estoque[fornecedor],"saída",estoque[produto],preçodiario[[#Headers],[OVO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Row],[data]]))+L105+preçodiario[[#This Row],[entrada B]])</f>
        <v>120</v>
      </c>
      <c r="M106" s="22">
        <f>SUMIFS(estoque[quantidade],estoque[fornecedor],"&lt;&gt;saída",estoque[produto],preçodiario[[#Headers],[OVO BRANCO B]],estoque[data],preçodiario[[#This Row],[data]])</f>
        <v>0</v>
      </c>
      <c r="N106" s="20">
        <f>SUMIFS(estoque[valor total],estoque[fornecedor],"&lt;&gt;saída",estoque[produto],preçodiario[[#Headers],[OVO BRANCO B]],estoque[data],preçodiario[[#This Row],[data]])</f>
        <v>0</v>
      </c>
      <c r="O106" s="20">
        <f>IFERROR(preçodiario[[#This Row],[OVO BRANCO B]]*preçodiario[[#This Row],[estoque B]],0)</f>
        <v>1941.4187507407848</v>
      </c>
      <c r="P10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Row],[data]])),((P105*Q105)+SUMIFS(estoque[valor total],estoque[produto],preçodiario[[#Headers],[OVO BRANCO C]],estoque[data],preçodiario[[#This Row],[data]],estoque[fornecedor],"&lt;&gt;saída"))/(Q105+(SUMIFS(estoque[quantidade],estoque[produto],preçodiario[[#Headers],[OVO BRANCO C]],estoque[fornecedor],"&lt;&gt;saída",estoque[data],preçodiario[[#This Row],[data]])))))</f>
        <v/>
      </c>
      <c r="Q106" s="22">
        <f>IF(preçodiario[[#This Row],[entrada C]]=0,Q105-(SUMIFS(estoque[quantidade],estoque[fornecedor],"saída",estoque[produto],preçodiario[[#Headers],[OVO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Row],[data]]))+Q105+preçodiario[[#This Row],[entrada C]])</f>
        <v>0</v>
      </c>
      <c r="R106" s="22">
        <f>SUMIFS(estoque[quantidade],estoque[fornecedor],"&lt;&gt;saída",estoque[produto],preçodiario[[#Headers],[OVO BRANCO C]],estoque[data],preçodiario[[#This Row],[data]])</f>
        <v>0</v>
      </c>
      <c r="S106" s="20">
        <f>SUMIFS(estoque[valor total],estoque[fornecedor],"&lt;&gt;saída",estoque[produto],preçodiario[[#Headers],[OVO BRANCO C]],estoque[data],preçodiario[[#This Row],[data]])</f>
        <v>0</v>
      </c>
      <c r="T106" s="20">
        <f>IFERROR(preçodiario[[#This Row],[OVO BRANCO C]]*preçodiario[[#This Row],[estoque C]],0)</f>
        <v>0</v>
      </c>
      <c r="U1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Row],[data]])),((U105*V105)+SUMIFS(estoque[valor total],estoque[produto],preçodiario[[#Headers],[OVO BRANCO EXTRA]],estoque[data],preçodiario[[#This Row],[data]],estoque[fornecedor],"&lt;&gt;saída"))/(V105+(SUMIFS(estoque[quantidade],estoque[produto],preçodiario[[#Headers],[OVO BRANCO EXTRA]],estoque[fornecedor],"&lt;&gt;saída",estoque[data],preçodiario[[#This Row],[data]])))))</f>
        <v>15.833333333333336</v>
      </c>
      <c r="V106" s="22">
        <f>IF(preçodiario[[#This Row],[entrada E]]=0,V105-(SUMIFS(estoque[quantidade],estoque[fornecedor],"saída",estoque[produto],preçodiario[[#Headers],[OVO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Row],[data]]))+V105+preçodiario[[#This Row],[entrada E]])</f>
        <v>34</v>
      </c>
      <c r="W106" s="22">
        <f>SUMIFS(estoque[quantidade],estoque[fornecedor],"&lt;&gt;saída",estoque[produto],preçodiario[[#Headers],[OVO BRANCO EXTRA]],estoque[data],preçodiario[[#This Row],[data]])</f>
        <v>0</v>
      </c>
      <c r="X106" s="20">
        <f>SUMIFS(estoque[valor total],estoque[fornecedor],"&lt;&gt;saída",estoque[produto],preçodiario[[#Headers],[OVO BRANCO EXTRA]],estoque[data],preçodiario[[#This Row],[data]])</f>
        <v>0</v>
      </c>
      <c r="Y106" s="20">
        <f>IFERROR(preçodiario[[#This Row],[estoque E]]*preçodiario[[#This Row],[OVO BRANCO EXTRA]],0)</f>
        <v>538.33333333333337</v>
      </c>
      <c r="Z1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Row],[data]])),((Z105*AA105)+SUMIFS(estoque[valor total],estoque[produto],preçodiario[[#Headers],[OVO BRANCO JUMBO]],estoque[data],preçodiario[[#This Row],[data]],estoque[fornecedor],"&lt;&gt;saída"))/(AA105+(SUMIFS(estoque[quantidade],estoque[produto],preçodiario[[#Headers],[OVO BRANCO JUMBO]],estoque[fornecedor],"&lt;&gt;saída",estoque[data],preçodiario[[#This Row],[data]])))))</f>
        <v>16.666666666666668</v>
      </c>
      <c r="AA106" s="22">
        <f>IF(preçodiario[[#This Row],[entrada J]]=0,AA105-(SUMIFS(estoque[quantidade],estoque[fornecedor],"saída",estoque[produto],preçodiario[[#Headers],[OVO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Row],[data]]))+AA105+preçodiario[[#This Row],[entrada J]])</f>
        <v>2</v>
      </c>
      <c r="AB106" s="22">
        <f>SUMIFS(estoque[quantidade],estoque[fornecedor],"&lt;&gt;saída",estoque[produto],preçodiario[[#Headers],[OVO BRANCO JUMBO]],estoque[data],preçodiario[[#This Row],[data]])</f>
        <v>0</v>
      </c>
      <c r="AC106" s="20">
        <f>SUMIFS(estoque[valor total],estoque[fornecedor],"&lt;&gt;saída",estoque[produto],preçodiario[[#Headers],[OVO BRANCO JUMBO]],estoque[data],preçodiario[[#This Row],[data]])</f>
        <v>0</v>
      </c>
      <c r="AD106" s="20">
        <f>IFERROR(preçodiario[[#This Row],[OVO BRANCO JUMBO]]*preçodiario[[#This Row],[estoque J]],0)</f>
        <v>33.333333333333336</v>
      </c>
      <c r="AE1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Row],[data]])),((AE105*AF105)+SUMIFS(estoque[valor total],estoque[produto],preçodiario[[#Headers],[OVO VERMELHO A]],estoque[data],preçodiario[[#This Row],[data]],estoque[fornecedor],"&lt;&gt;saída"))/(AF105+(SUMIFS(estoque[quantidade],estoque[produto],preçodiario[[#Headers],[OVO VERMELHO A]],estoque[fornecedor],"&lt;&gt;saída",estoque[data],preçodiario[[#This Row],[data]])))))</f>
        <v/>
      </c>
      <c r="AF106" s="22">
        <f>IF(preçodiario[[#This Row],[entrada AV]]=0,AF105-(SUMIFS(estoque[quantidade],estoque[fornecedor],"saída",estoque[produto],preçodiario[[#Headers],[OVO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Row],[data]]))+AF105+preçodiario[[#This Row],[entrada AV]])</f>
        <v>0</v>
      </c>
      <c r="AG106" s="22">
        <f>SUMIFS(estoque[quantidade],estoque[fornecedor],"&lt;&gt;saída",estoque[produto],preçodiario[[#Headers],[OVO VERMELHO A]],estoque[data],preçodiario[[#This Row],[data]])</f>
        <v>0</v>
      </c>
      <c r="AH106" s="20">
        <f>SUMIFS(estoque[valor total],estoque[fornecedor],"&lt;&gt;saída",estoque[produto],preçodiario[[#Headers],[OVO VERMELHO A]],estoque[data],preçodiario[[#This Row],[data]])</f>
        <v>0</v>
      </c>
      <c r="AI106" s="20">
        <f>IFERROR(preçodiario[[#This Row],[OVO VERMELHO A]]*preçodiario[[#This Row],[estoque AV]],0)</f>
        <v>0</v>
      </c>
      <c r="AJ1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Row],[data]])),((AJ105*AK105)+SUMIFS(estoque[valor total],estoque[produto],preçodiario[[#Headers],[OVO VERMELHO B]],estoque[data],preçodiario[[#This Row],[data]],estoque[fornecedor],"&lt;&gt;saída"))/(AK105+(SUMIFS(estoque[quantidade],estoque[produto],preçodiario[[#Headers],[OVO VERMELHO B]],estoque[fornecedor],"&lt;&gt;saída",estoque[data],preçodiario[[#This Row],[data]])))))</f>
        <v/>
      </c>
      <c r="AK106" s="22">
        <f>IF(preçodiario[[#This Row],[entrada BV]]=0,AK105-(SUMIFS(estoque[quantidade],estoque[fornecedor],"saída",estoque[produto],preçodiario[[#Headers],[OVO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Row],[data]]))+AK105+preçodiario[[#This Row],[entrada BV]])</f>
        <v>0</v>
      </c>
      <c r="AL106" s="22">
        <f>SUMIFS(estoque[quantidade],estoque[fornecedor],"&lt;&gt;saída",estoque[produto],preçodiario[[#Headers],[OVO VERMELHO B]],estoque[data],preçodiario[[#This Row],[data]])</f>
        <v>0</v>
      </c>
      <c r="AM106" s="20">
        <f>SUMIFS(estoque[valor total],estoque[fornecedor],"&lt;&gt;saída",estoque[produto],preçodiario[[#Headers],[OVO VERMELHO B]],estoque[data],preçodiario[[#This Row],[data]])</f>
        <v>0</v>
      </c>
      <c r="AN106" s="20">
        <f>IFERROR(preçodiario[[#This Row],[OVO VERMELHO B]]*preçodiario[[#This Row],[estoque BV]],0)</f>
        <v>0</v>
      </c>
      <c r="AO1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Row],[data]])),((AO105*AP105)+SUMIFS(estoque[valor total],estoque[produto],preçodiario[[#Headers],[OVO VERMELHO C]],estoque[data],preçodiario[[#This Row],[data]],estoque[fornecedor],"&lt;&gt;saída"))/(AP105+(SUMIFS(estoque[quantidade],estoque[produto],preçodiario[[#Headers],[OVO VERMELHO C]],estoque[fornecedor],"&lt;&gt;saída",estoque[data],preçodiario[[#This Row],[data]])))))</f>
        <v/>
      </c>
      <c r="AP106" s="22">
        <f>IF(preçodiario[[#This Row],[entrada CV]]=0,AP105-(SUMIFS(estoque[quantidade],estoque[fornecedor],"saída",estoque[produto],preçodiario[[#Headers],[OVO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Row],[data]]))+AP105+preçodiario[[#This Row],[entrada CV]])</f>
        <v>0</v>
      </c>
      <c r="AQ106" s="22">
        <f>SUMIFS(estoque[quantidade],estoque[fornecedor],"&lt;&gt;saída",estoque[produto],preçodiario[[#Headers],[OVO VERMELHO C]],estoque[data],preçodiario[[#This Row],[data]])</f>
        <v>0</v>
      </c>
      <c r="AR106" s="20">
        <f>SUMIFS(estoque[valor total],estoque[fornecedor],"&lt;&gt;saída",estoque[produto],preçodiario[[#Headers],[OVO VERMELHO C]],estoque[data],preçodiario[[#This Row],[data]])</f>
        <v>0</v>
      </c>
      <c r="AS106" s="20">
        <f>IFERROR(preçodiario[[#This Row],[OVO VERMELHO C]]*preçodiario[[#This Row],[estoque CV]],0)</f>
        <v>0</v>
      </c>
      <c r="AT1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Row],[data]])),((AT105*AU105)+SUMIFS(estoque[valor total],estoque[produto],preçodiario[[#Headers],[OVO VERMELHO EXTRA]],estoque[data],preçodiario[[#This Row],[data]],estoque[fornecedor],"&lt;&gt;saída"))/(AU105+(SUMIFS(estoque[quantidade],estoque[produto],preçodiario[[#Headers],[OVO VERMELHO EXTRA]],estoque[fornecedor],"&lt;&gt;saída",estoque[data],preçodiario[[#This Row],[data]])))))</f>
        <v/>
      </c>
      <c r="AU106" s="22">
        <f>IF(preçodiario[[#This Row],[entrada EV]]=0,AU105-(SUMIFS(estoque[quantidade],estoque[fornecedor],"saída",estoque[produto],preçodiario[[#Headers],[OVO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Row],[data]]))+AU105+preçodiario[[#This Row],[entrada EV]])</f>
        <v>0</v>
      </c>
      <c r="AV106" s="22">
        <f>SUMIFS(estoque[quantidade],estoque[fornecedor],"&lt;&gt;saída",estoque[produto],preçodiario[[#Headers],[OVO VERMELHO EXTRA]],estoque[data],preçodiario[[#This Row],[data]])</f>
        <v>0</v>
      </c>
      <c r="AW106" s="20">
        <f>SUMIFS(estoque[valor total],estoque[fornecedor],"&lt;&gt;saída",estoque[produto],preçodiario[[#Headers],[OVO VERMELHO EXTRA]],estoque[data],preçodiario[[#This Row],[data]])</f>
        <v>0</v>
      </c>
      <c r="AX106" s="20">
        <f>IFERROR(preçodiario[[#This Row],[OVO VERMELHO EXTRA]]*preçodiario[[#This Row],[estoque EV]],0)</f>
        <v>0</v>
      </c>
      <c r="AY1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Row],[data]])),((AY105*AZ105)+SUMIFS(estoque[valor total],estoque[produto],preçodiario[[#Headers],[OVO VERMELHO JUMBO]],estoque[data],preçodiario[[#This Row],[data]],estoque[fornecedor],"&lt;&gt;saída"))/(AZ105+(SUMIFS(estoque[quantidade],estoque[produto],preçodiario[[#Headers],[OVO VERMELHO JUMBO]],estoque[fornecedor],"&lt;&gt;saída",estoque[data],preçodiario[[#This Row],[data]])))))</f>
        <v/>
      </c>
      <c r="AZ106" s="22">
        <f>IF(preçodiario[[#This Row],[entrada JV]]=0,AZ105-(SUMIFS(estoque[quantidade],estoque[fornecedor],"saída",estoque[produto],preçodiario[[#Headers],[OVO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Row],[data]]))+AZ105+preçodiario[[#This Row],[entrada JV]])</f>
        <v>0</v>
      </c>
      <c r="BA106" s="22">
        <f>SUMIFS(estoque[quantidade],estoque[fornecedor],"&lt;&gt;saída",estoque[produto],preçodiario[[#Headers],[OVO VERMELHO JUMBO]],estoque[data],preçodiario[[#This Row],[data]])</f>
        <v>0</v>
      </c>
      <c r="BB106" s="20">
        <f>SUMIFS(estoque[valor total],estoque[fornecedor],"&lt;&gt;saída",estoque[produto],preçodiario[[#Headers],[OVO VERMELHO JUMBO]],estoque[data],preçodiario[[#This Row],[data]])</f>
        <v>0</v>
      </c>
      <c r="BC106" s="20">
        <f>IFERROR(preçodiario[[#This Row],[OVO VERMELHO JUMBO]]*preçodiario[[#This Row],[estoque JV]],0)</f>
        <v>0</v>
      </c>
      <c r="BD106" t="str">
        <f>TEXT(vendaAno[[#This Row],[data]],"mmm")</f>
        <v>abr</v>
      </c>
      <c r="BE106" t="str">
        <f>TEXT(vendaAno[[#This Row],[data]],"ddd")</f>
        <v>qua</v>
      </c>
      <c r="BF106" s="82">
        <f>WEEKNUM(vendaAno[[#This Row],[data]],13)</f>
        <v>16</v>
      </c>
      <c r="BG106" s="27">
        <f>preçodiario[[#This Row],[data]]</f>
        <v>46127</v>
      </c>
      <c r="BH10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6" s="8">
        <f>IF(SUMIFS(estoque[valor total],estoque[fornecedor],"saída",estoque[data],vendaAno[[#This Row],[data]])=0,"",SUMIFS(estoque[valor total],estoque[fornecedor],"saída",estoque[data],vendaAno[[#This Row],[data]]))</f>
        <v>922</v>
      </c>
      <c r="BJ10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Row],[data]]))/12+BJ105,"")</f>
        <v>19.499999999999986</v>
      </c>
      <c r="BK106" s="79">
        <f ca="1">IF(TODAY()&gt;=vendaAno[[#This Row],[data]],IF(SUMIFS(estoque[quantidade],estoque[fornecedor],"saída",estoque[data],vendaAno[[#This Row],[data]])/12=0,AVERAGE(BK103:BK105),SUMIFS(estoque[quantidade],estoque[fornecedor],"saída",estoque[data],vendaAno[[#This Row],[data]])/12),"")</f>
        <v>3.5833333333333335</v>
      </c>
      <c r="BL106" s="8">
        <f ca="1">IF(vendaAno[[#This Row],[data]]&lt;=TODAY(),IF(SUMIFS(estoque[lucro],estoque[fornecedor],"saída",estoque[data],vendaAno[[#This Row],[data]])=0,AVERAGE(BL103:BL105),SUMIFS(estoque[lucro],estoque[fornecedor],"saída",estoque[data],vendaAno[[#This Row],[data]])),"")</f>
        <v>224.18</v>
      </c>
      <c r="BM106" s="10">
        <f ca="1">IFERROR(vendaAno[[#This Row],[lucro]]/vendaAno[[#This Row],[valor de venda]],"")</f>
        <v>0.24314533622559653</v>
      </c>
      <c r="BN10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3807.8854174074518</v>
      </c>
      <c r="BO106" s="8">
        <f ca="1">IF(TODAY()&gt;=vendaAno[[#This Row],[data]],IF(vendaAno[[#This Row],[N°]]=BF105,vendaAno[[#This Row],[lucro]]-173.33+BO105,vendaAno[[#This Row],[lucro]]-150),"")</f>
        <v>74.180000000000007</v>
      </c>
      <c r="BP106" s="81">
        <f ca="1">IF(TODAY()&gt;=vendaAno[[#This Row],[data]],SUM(BK100:BK106)*12,"")</f>
        <v>234</v>
      </c>
      <c r="BQ106" s="7">
        <f ca="1">IFERROR(vendaAno[[#This Row],[lucro]]/(vendaAno[[#This Row],[venda]]*12),"")</f>
        <v>5.2134883720930238</v>
      </c>
    </row>
    <row r="107" spans="1:69" x14ac:dyDescent="0.25">
      <c r="A1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7" s="18" t="str">
        <f>TEXT(preçodiario[[#This Row],[data]],"MMM")</f>
        <v>abr</v>
      </c>
      <c r="C107" s="18" t="str">
        <f>TEXT(preçodiario[[#This Row],[data]],"ddd")</f>
        <v>qui</v>
      </c>
      <c r="D107" s="96">
        <f>WEEKNUM(preçodiario[[#This Row],[data]],13)</f>
        <v>16</v>
      </c>
      <c r="E107" s="37">
        <v>46128</v>
      </c>
      <c r="F1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Row],[data]])),((F106*G106)+SUMIFS(estoque[valor total],estoque[produto],preçodiario[[#Headers],[OVO BRANCO A]],estoque[data],preçodiario[[#This Row],[data]],estoque[fornecedor],"&lt;&gt;saída"))/(G106+(SUMIFS(estoque[quantidade],estoque[produto],preçodiario[[#Headers],[OVO BRANCO A]],estoque[fornecedor],"&lt;&gt;saída",estoque[data],preçodiario[[#This Row],[data]])))))</f>
        <v>16.600000000000001</v>
      </c>
      <c r="G107" s="22">
        <f>IF(preçodiario[[#This Row],[entrada A]]=0,G106-(SUMIFS(estoque[quantidade],estoque[fornecedor],"saída",estoque[produto],preçodiario[[#Headers],[OVO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Row],[data]]))+G106+preçodiario[[#This Row],[entrada A]])</f>
        <v>68</v>
      </c>
      <c r="H107" s="22">
        <f>SUMIFS(estoque[quantidade],estoque[fornecedor],"&lt;&gt;saída",estoque[produto],preçodiario[[#Headers],[OVO BRANCO A]],estoque[data],preçodiario[[#This Row],[data]])</f>
        <v>0</v>
      </c>
      <c r="I107" s="20">
        <f>SUMIFS(estoque[valor total],estoque[fornecedor],"&lt;&gt;saída",estoque[produto],preçodiario[[#Headers],[OVO BRANCO A]],estoque[data],preçodiario[[#This Row],[data]])</f>
        <v>0</v>
      </c>
      <c r="J107" s="20">
        <f>IFERROR(preçodiario[[#This Row],[estoque A]]*preçodiario[[#This Row],[OVO BRANCO A]],0)</f>
        <v>1128.8000000000002</v>
      </c>
      <c r="K1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Row],[data]])),((K106*L106)+SUMIFS(estoque[valor total],estoque[produto],preçodiario[[#Headers],[OVO BRANCO B]],estoque[data],preçodiario[[#This Row],[data]],estoque[fornecedor],"&lt;&gt;saída"))/(L106+(SUMIFS(estoque[quantidade],estoque[produto],preçodiario[[#Headers],[OVO BRANCO B]],estoque[fornecedor],"&lt;&gt;saída",estoque[data],preçodiario[[#This Row],[data]])))))</f>
        <v>16.17848958950654</v>
      </c>
      <c r="L107" s="22">
        <f>IF(preçodiario[[#This Row],[entrada B]]=0,L106-(SUMIFS(estoque[quantidade],estoque[fornecedor],"saída",estoque[produto],preçodiario[[#Headers],[OVO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Row],[data]]))+L106+preçodiario[[#This Row],[entrada B]])</f>
        <v>113</v>
      </c>
      <c r="M107" s="22">
        <f>SUMIFS(estoque[quantidade],estoque[fornecedor],"&lt;&gt;saída",estoque[produto],preçodiario[[#Headers],[OVO BRANCO B]],estoque[data],preçodiario[[#This Row],[data]])</f>
        <v>0</v>
      </c>
      <c r="N107" s="20">
        <f>SUMIFS(estoque[valor total],estoque[fornecedor],"&lt;&gt;saída",estoque[produto],preçodiario[[#Headers],[OVO BRANCO B]],estoque[data],preçodiario[[#This Row],[data]])</f>
        <v>0</v>
      </c>
      <c r="O107" s="20">
        <f>IFERROR(preçodiario[[#This Row],[OVO BRANCO B]]*preçodiario[[#This Row],[estoque B]],0)</f>
        <v>1828.1693236142391</v>
      </c>
      <c r="P10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Row],[data]])),((P106*Q106)+SUMIFS(estoque[valor total],estoque[produto],preçodiario[[#Headers],[OVO BRANCO C]],estoque[data],preçodiario[[#This Row],[data]],estoque[fornecedor],"&lt;&gt;saída"))/(Q106+(SUMIFS(estoque[quantidade],estoque[produto],preçodiario[[#Headers],[OVO BRANCO C]],estoque[fornecedor],"&lt;&gt;saída",estoque[data],preçodiario[[#This Row],[data]])))))</f>
        <v/>
      </c>
      <c r="Q107" s="22">
        <f>IF(preçodiario[[#This Row],[entrada C]]=0,Q106-(SUMIFS(estoque[quantidade],estoque[fornecedor],"saída",estoque[produto],preçodiario[[#Headers],[OVO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Row],[data]]))+Q106+preçodiario[[#This Row],[entrada C]])</f>
        <v>0</v>
      </c>
      <c r="R107" s="22">
        <f>SUMIFS(estoque[quantidade],estoque[fornecedor],"&lt;&gt;saída",estoque[produto],preçodiario[[#Headers],[OVO BRANCO C]],estoque[data],preçodiario[[#This Row],[data]])</f>
        <v>0</v>
      </c>
      <c r="S107" s="20">
        <f>SUMIFS(estoque[valor total],estoque[fornecedor],"&lt;&gt;saída",estoque[produto],preçodiario[[#Headers],[OVO BRANCO C]],estoque[data],preçodiario[[#This Row],[data]])</f>
        <v>0</v>
      </c>
      <c r="T107" s="20">
        <f>IFERROR(preçodiario[[#This Row],[OVO BRANCO C]]*preçodiario[[#This Row],[estoque C]],0)</f>
        <v>0</v>
      </c>
      <c r="U1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Row],[data]])),((U106*V106)+SUMIFS(estoque[valor total],estoque[produto],preçodiario[[#Headers],[OVO BRANCO EXTRA]],estoque[data],preçodiario[[#This Row],[data]],estoque[fornecedor],"&lt;&gt;saída"))/(V106+(SUMIFS(estoque[quantidade],estoque[produto],preçodiario[[#Headers],[OVO BRANCO EXTRA]],estoque[fornecedor],"&lt;&gt;saída",estoque[data],preçodiario[[#This Row],[data]])))))</f>
        <v>15.833333333333334</v>
      </c>
      <c r="V107" s="22">
        <f>IF(preçodiario[[#This Row],[entrada E]]=0,V106-(SUMIFS(estoque[quantidade],estoque[fornecedor],"saída",estoque[produto],preçodiario[[#Headers],[OVO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Row],[data]]))+V106+preçodiario[[#This Row],[entrada E]])</f>
        <v>15</v>
      </c>
      <c r="W107" s="22">
        <f>SUMIFS(estoque[quantidade],estoque[fornecedor],"&lt;&gt;saída",estoque[produto],preçodiario[[#Headers],[OVO BRANCO EXTRA]],estoque[data],preçodiario[[#This Row],[data]])</f>
        <v>0</v>
      </c>
      <c r="X107" s="20">
        <f>SUMIFS(estoque[valor total],estoque[fornecedor],"&lt;&gt;saída",estoque[produto],preçodiario[[#Headers],[OVO BRANCO EXTRA]],estoque[data],preçodiario[[#This Row],[data]])</f>
        <v>0</v>
      </c>
      <c r="Y107" s="20">
        <f>IFERROR(preçodiario[[#This Row],[estoque E]]*preçodiario[[#This Row],[OVO BRANCO EXTRA]],0)</f>
        <v>237.5</v>
      </c>
      <c r="Z107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Row],[data]])),((Z106*AA106)+SUMIFS(estoque[valor total],estoque[produto],preçodiario[[#Headers],[OVO BRANCO JUMBO]],estoque[data],preçodiario[[#This Row],[data]],estoque[fornecedor],"&lt;&gt;saída"))/(AA106+(SUMIFS(estoque[quantidade],estoque[produto],preçodiario[[#Headers],[OVO BRANCO JUMBO]],estoque[fornecedor],"&lt;&gt;saída",estoque[data],preçodiario[[#This Row],[data]])))))</f>
        <v/>
      </c>
      <c r="AA107" s="22">
        <f>IF(preçodiario[[#This Row],[entrada J]]=0,AA106-(SUMIFS(estoque[quantidade],estoque[fornecedor],"saída",estoque[produto],preçodiario[[#Headers],[OVO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Row],[data]]))+AA106+preçodiario[[#This Row],[entrada J]])</f>
        <v>0</v>
      </c>
      <c r="AB107" s="22">
        <f>SUMIFS(estoque[quantidade],estoque[fornecedor],"&lt;&gt;saída",estoque[produto],preçodiario[[#Headers],[OVO BRANCO JUMBO]],estoque[data],preçodiario[[#This Row],[data]])</f>
        <v>0</v>
      </c>
      <c r="AC107" s="20">
        <f>SUMIFS(estoque[valor total],estoque[fornecedor],"&lt;&gt;saída",estoque[produto],preçodiario[[#Headers],[OVO BRANCO JUMBO]],estoque[data],preçodiario[[#This Row],[data]])</f>
        <v>0</v>
      </c>
      <c r="AD107" s="20">
        <f>IFERROR(preçodiario[[#This Row],[OVO BRANCO JUMBO]]*preçodiario[[#This Row],[estoque J]],0)</f>
        <v>0</v>
      </c>
      <c r="AE1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Row],[data]])),((AE106*AF106)+SUMIFS(estoque[valor total],estoque[produto],preçodiario[[#Headers],[OVO VERMELHO A]],estoque[data],preçodiario[[#This Row],[data]],estoque[fornecedor],"&lt;&gt;saída"))/(AF106+(SUMIFS(estoque[quantidade],estoque[produto],preçodiario[[#Headers],[OVO VERMELHO A]],estoque[fornecedor],"&lt;&gt;saída",estoque[data],preçodiario[[#This Row],[data]])))))</f>
        <v/>
      </c>
      <c r="AF107" s="22">
        <f>IF(preçodiario[[#This Row],[entrada AV]]=0,AF106-(SUMIFS(estoque[quantidade],estoque[fornecedor],"saída",estoque[produto],preçodiario[[#Headers],[OVO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Row],[data]]))+AF106+preçodiario[[#This Row],[entrada AV]])</f>
        <v>0</v>
      </c>
      <c r="AG107" s="22">
        <f>SUMIFS(estoque[quantidade],estoque[fornecedor],"&lt;&gt;saída",estoque[produto],preçodiario[[#Headers],[OVO VERMELHO A]],estoque[data],preçodiario[[#This Row],[data]])</f>
        <v>0</v>
      </c>
      <c r="AH107" s="20">
        <f>SUMIFS(estoque[valor total],estoque[fornecedor],"&lt;&gt;saída",estoque[produto],preçodiario[[#Headers],[OVO VERMELHO A]],estoque[data],preçodiario[[#This Row],[data]])</f>
        <v>0</v>
      </c>
      <c r="AI107" s="20">
        <f>IFERROR(preçodiario[[#This Row],[OVO VERMELHO A]]*preçodiario[[#This Row],[estoque AV]],0)</f>
        <v>0</v>
      </c>
      <c r="AJ1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Row],[data]])),((AJ106*AK106)+SUMIFS(estoque[valor total],estoque[produto],preçodiario[[#Headers],[OVO VERMELHO B]],estoque[data],preçodiario[[#This Row],[data]],estoque[fornecedor],"&lt;&gt;saída"))/(AK106+(SUMIFS(estoque[quantidade],estoque[produto],preçodiario[[#Headers],[OVO VERMELHO B]],estoque[fornecedor],"&lt;&gt;saída",estoque[data],preçodiario[[#This Row],[data]])))))</f>
        <v/>
      </c>
      <c r="AK107" s="22">
        <f>IF(preçodiario[[#This Row],[entrada BV]]=0,AK106-(SUMIFS(estoque[quantidade],estoque[fornecedor],"saída",estoque[produto],preçodiario[[#Headers],[OVO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Row],[data]]))+AK106+preçodiario[[#This Row],[entrada BV]])</f>
        <v>0</v>
      </c>
      <c r="AL107" s="22">
        <f>SUMIFS(estoque[quantidade],estoque[fornecedor],"&lt;&gt;saída",estoque[produto],preçodiario[[#Headers],[OVO VERMELHO B]],estoque[data],preçodiario[[#This Row],[data]])</f>
        <v>0</v>
      </c>
      <c r="AM107" s="20">
        <f>SUMIFS(estoque[valor total],estoque[fornecedor],"&lt;&gt;saída",estoque[produto],preçodiario[[#Headers],[OVO VERMELHO B]],estoque[data],preçodiario[[#This Row],[data]])</f>
        <v>0</v>
      </c>
      <c r="AN107" s="20">
        <f>IFERROR(preçodiario[[#This Row],[OVO VERMELHO B]]*preçodiario[[#This Row],[estoque BV]],0)</f>
        <v>0</v>
      </c>
      <c r="AO1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Row],[data]])),((AO106*AP106)+SUMIFS(estoque[valor total],estoque[produto],preçodiario[[#Headers],[OVO VERMELHO C]],estoque[data],preçodiario[[#This Row],[data]],estoque[fornecedor],"&lt;&gt;saída"))/(AP106+(SUMIFS(estoque[quantidade],estoque[produto],preçodiario[[#Headers],[OVO VERMELHO C]],estoque[fornecedor],"&lt;&gt;saída",estoque[data],preçodiario[[#This Row],[data]])))))</f>
        <v/>
      </c>
      <c r="AP107" s="22">
        <f>IF(preçodiario[[#This Row],[entrada CV]]=0,AP106-(SUMIFS(estoque[quantidade],estoque[fornecedor],"saída",estoque[produto],preçodiario[[#Headers],[OVO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Row],[data]]))+AP106+preçodiario[[#This Row],[entrada CV]])</f>
        <v>0</v>
      </c>
      <c r="AQ107" s="22">
        <f>SUMIFS(estoque[quantidade],estoque[fornecedor],"&lt;&gt;saída",estoque[produto],preçodiario[[#Headers],[OVO VERMELHO C]],estoque[data],preçodiario[[#This Row],[data]])</f>
        <v>0</v>
      </c>
      <c r="AR107" s="20">
        <f>SUMIFS(estoque[valor total],estoque[fornecedor],"&lt;&gt;saída",estoque[produto],preçodiario[[#Headers],[OVO VERMELHO C]],estoque[data],preçodiario[[#This Row],[data]])</f>
        <v>0</v>
      </c>
      <c r="AS107" s="20">
        <f>IFERROR(preçodiario[[#This Row],[OVO VERMELHO C]]*preçodiario[[#This Row],[estoque CV]],0)</f>
        <v>0</v>
      </c>
      <c r="AT1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Row],[data]])),((AT106*AU106)+SUMIFS(estoque[valor total],estoque[produto],preçodiario[[#Headers],[OVO VERMELHO EXTRA]],estoque[data],preçodiario[[#This Row],[data]],estoque[fornecedor],"&lt;&gt;saída"))/(AU106+(SUMIFS(estoque[quantidade],estoque[produto],preçodiario[[#Headers],[OVO VERMELHO EXTRA]],estoque[fornecedor],"&lt;&gt;saída",estoque[data],preçodiario[[#This Row],[data]])))))</f>
        <v/>
      </c>
      <c r="AU107" s="22">
        <f>IF(preçodiario[[#This Row],[entrada EV]]=0,AU106-(SUMIFS(estoque[quantidade],estoque[fornecedor],"saída",estoque[produto],preçodiario[[#Headers],[OVO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Row],[data]]))+AU106+preçodiario[[#This Row],[entrada EV]])</f>
        <v>0</v>
      </c>
      <c r="AV107" s="22">
        <f>SUMIFS(estoque[quantidade],estoque[fornecedor],"&lt;&gt;saída",estoque[produto],preçodiario[[#Headers],[OVO VERMELHO EXTRA]],estoque[data],preçodiario[[#This Row],[data]])</f>
        <v>0</v>
      </c>
      <c r="AW107" s="20">
        <f>SUMIFS(estoque[valor total],estoque[fornecedor],"&lt;&gt;saída",estoque[produto],preçodiario[[#Headers],[OVO VERMELHO EXTRA]],estoque[data],preçodiario[[#This Row],[data]])</f>
        <v>0</v>
      </c>
      <c r="AX107" s="20">
        <f>IFERROR(preçodiario[[#This Row],[OVO VERMELHO EXTRA]]*preçodiario[[#This Row],[estoque EV]],0)</f>
        <v>0</v>
      </c>
      <c r="AY1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Row],[data]])),((AY106*AZ106)+SUMIFS(estoque[valor total],estoque[produto],preçodiario[[#Headers],[OVO VERMELHO JUMBO]],estoque[data],preçodiario[[#This Row],[data]],estoque[fornecedor],"&lt;&gt;saída"))/(AZ106+(SUMIFS(estoque[quantidade],estoque[produto],preçodiario[[#Headers],[OVO VERMELHO JUMBO]],estoque[fornecedor],"&lt;&gt;saída",estoque[data],preçodiario[[#This Row],[data]])))))</f>
        <v/>
      </c>
      <c r="AZ107" s="22">
        <f>IF(preçodiario[[#This Row],[entrada JV]]=0,AZ106-(SUMIFS(estoque[quantidade],estoque[fornecedor],"saída",estoque[produto],preçodiario[[#Headers],[OVO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Row],[data]]))+AZ106+preçodiario[[#This Row],[entrada JV]])</f>
        <v>0</v>
      </c>
      <c r="BA107" s="22">
        <f>SUMIFS(estoque[quantidade],estoque[fornecedor],"&lt;&gt;saída",estoque[produto],preçodiario[[#Headers],[OVO VERMELHO JUMBO]],estoque[data],preçodiario[[#This Row],[data]])</f>
        <v>0</v>
      </c>
      <c r="BB107" s="20">
        <f>SUMIFS(estoque[valor total],estoque[fornecedor],"&lt;&gt;saída",estoque[produto],preçodiario[[#Headers],[OVO VERMELHO JUMBO]],estoque[data],preçodiario[[#This Row],[data]])</f>
        <v>0</v>
      </c>
      <c r="BC107" s="20">
        <f>IFERROR(preçodiario[[#This Row],[OVO VERMELHO JUMBO]]*preçodiario[[#This Row],[estoque JV]],0)</f>
        <v>0</v>
      </c>
      <c r="BD107" t="str">
        <f>TEXT(vendaAno[[#This Row],[data]],"mmm")</f>
        <v>abr</v>
      </c>
      <c r="BE107" t="str">
        <f>TEXT(vendaAno[[#This Row],[data]],"ddd")</f>
        <v>qui</v>
      </c>
      <c r="BF107" s="82">
        <f>WEEKNUM(vendaAno[[#This Row],[data]],13)</f>
        <v>16</v>
      </c>
      <c r="BG107" s="27">
        <f>preçodiario[[#This Row],[data]]</f>
        <v>46128</v>
      </c>
      <c r="BH1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7" s="8">
        <f>IF(SUMIFS(estoque[valor total],estoque[fornecedor],"saída",estoque[data],vendaAno[[#This Row],[data]])=0,"",SUMIFS(estoque[valor total],estoque[fornecedor],"saída",estoque[data],vendaAno[[#This Row],[data]]))</f>
        <v>795.5</v>
      </c>
      <c r="BJ10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Row],[data]]))/12+BJ106,"")</f>
        <v>16.333333333333318</v>
      </c>
      <c r="BK107" s="79">
        <f ca="1">IF(TODAY()&gt;=vendaAno[[#This Row],[data]],IF(SUMIFS(estoque[quantidade],estoque[fornecedor],"saída",estoque[data],vendaAno[[#This Row],[data]])/12=0,AVERAGE(BK104:BK106),SUMIFS(estoque[quantidade],estoque[fornecedor],"saída",estoque[data],vendaAno[[#This Row],[data]])/12),"")</f>
        <v>3.1666666666666665</v>
      </c>
      <c r="BL107" s="8">
        <f ca="1">IF(vendaAno[[#This Row],[data]]&lt;=TODAY(),IF(SUMIFS(estoque[lucro],estoque[fornecedor],"saída",estoque[data],vendaAno[[#This Row],[data]])=0,AVERAGE(BL104:BL106),SUMIFS(estoque[lucro],estoque[fornecedor],"saída",estoque[data],vendaAno[[#This Row],[data]])),"")</f>
        <v>182.09</v>
      </c>
      <c r="BM107" s="10">
        <f ca="1">IFERROR(vendaAno[[#This Row],[lucro]]/vendaAno[[#This Row],[valor de venda]],"")</f>
        <v>0.22890006285355122</v>
      </c>
      <c r="BN10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3194.4693236142393</v>
      </c>
      <c r="BO107" s="8">
        <f ca="1">IF(TODAY()&gt;=vendaAno[[#This Row],[data]],IF(vendaAno[[#This Row],[N°]]=BF106,vendaAno[[#This Row],[lucro]]-173.33+BO106,vendaAno[[#This Row],[lucro]]-150),"")</f>
        <v>82.94</v>
      </c>
      <c r="BP107" s="81">
        <f ca="1">IF(TODAY()&gt;=vendaAno[[#This Row],[data]],SUM(BK101:BK107)*12,"")</f>
        <v>240.00000000000006</v>
      </c>
      <c r="BQ107" s="7">
        <f ca="1">IFERROR(vendaAno[[#This Row],[lucro]]/(vendaAno[[#This Row],[venda]]*12),"")</f>
        <v>4.7918421052631581</v>
      </c>
    </row>
    <row r="108" spans="1:69" x14ac:dyDescent="0.25">
      <c r="A1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8" s="18" t="str">
        <f>TEXT(preçodiario[[#This Row],[data]],"MMM")</f>
        <v>abr</v>
      </c>
      <c r="C108" s="18" t="str">
        <f>TEXT(preçodiario[[#This Row],[data]],"ddd")</f>
        <v>sex</v>
      </c>
      <c r="D108" s="96">
        <f>WEEKNUM(preçodiario[[#This Row],[data]],13)</f>
        <v>16</v>
      </c>
      <c r="E108" s="37">
        <v>46129</v>
      </c>
      <c r="F1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Row],[data]])),((F107*G107)+SUMIFS(estoque[valor total],estoque[produto],preçodiario[[#Headers],[OVO BRANCO A]],estoque[data],preçodiario[[#This Row],[data]],estoque[fornecedor],"&lt;&gt;saída"))/(G107+(SUMIFS(estoque[quantidade],estoque[produto],preçodiario[[#Headers],[OVO BRANCO A]],estoque[fornecedor],"&lt;&gt;saída",estoque[data],preçodiario[[#This Row],[data]])))))</f>
        <v>16.600000000000001</v>
      </c>
      <c r="G108" s="22">
        <f>IF(preçodiario[[#This Row],[entrada A]]=0,G107-(SUMIFS(estoque[quantidade],estoque[fornecedor],"saída",estoque[produto],preçodiario[[#Headers],[OVO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Row],[data]]))+G107+preçodiario[[#This Row],[entrada A]])</f>
        <v>64</v>
      </c>
      <c r="H108" s="22">
        <f>SUMIFS(estoque[quantidade],estoque[fornecedor],"&lt;&gt;saída",estoque[produto],preçodiario[[#Headers],[OVO BRANCO A]],estoque[data],preçodiario[[#This Row],[data]])</f>
        <v>0</v>
      </c>
      <c r="I108" s="20">
        <f>SUMIFS(estoque[valor total],estoque[fornecedor],"&lt;&gt;saída",estoque[produto],preçodiario[[#Headers],[OVO BRANCO A]],estoque[data],preçodiario[[#This Row],[data]])</f>
        <v>0</v>
      </c>
      <c r="J108" s="20">
        <f>IFERROR(preçodiario[[#This Row],[estoque A]]*preçodiario[[#This Row],[OVO BRANCO A]],0)</f>
        <v>1062.4000000000001</v>
      </c>
      <c r="K1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Row],[data]])),((K107*L107)+SUMIFS(estoque[valor total],estoque[produto],preçodiario[[#Headers],[OVO BRANCO B]],estoque[data],preçodiario[[#This Row],[data]],estoque[fornecedor],"&lt;&gt;saída"))/(L107+(SUMIFS(estoque[quantidade],estoque[produto],preçodiario[[#Headers],[OVO BRANCO B]],estoque[fornecedor],"&lt;&gt;saída",estoque[data],preçodiario[[#This Row],[data]])))))</f>
        <v>16.17848958950654</v>
      </c>
      <c r="L108" s="22">
        <f>IF(preçodiario[[#This Row],[entrada B]]=0,L107-(SUMIFS(estoque[quantidade],estoque[fornecedor],"saída",estoque[produto],preçodiario[[#Headers],[OVO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Row],[data]]))+L107+preçodiario[[#This Row],[entrada B]])</f>
        <v>104</v>
      </c>
      <c r="M108" s="22">
        <f>SUMIFS(estoque[quantidade],estoque[fornecedor],"&lt;&gt;saída",estoque[produto],preçodiario[[#Headers],[OVO BRANCO B]],estoque[data],preçodiario[[#This Row],[data]])</f>
        <v>0</v>
      </c>
      <c r="N108" s="20">
        <f>SUMIFS(estoque[valor total],estoque[fornecedor],"&lt;&gt;saída",estoque[produto],preçodiario[[#Headers],[OVO BRANCO B]],estoque[data],preçodiario[[#This Row],[data]])</f>
        <v>0</v>
      </c>
      <c r="O108" s="20">
        <f>IFERROR(preçodiario[[#This Row],[OVO BRANCO B]]*preçodiario[[#This Row],[estoque B]],0)</f>
        <v>1682.5629173086802</v>
      </c>
      <c r="P10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Row],[data]])),((P107*Q107)+SUMIFS(estoque[valor total],estoque[produto],preçodiario[[#Headers],[OVO BRANCO C]],estoque[data],preçodiario[[#This Row],[data]],estoque[fornecedor],"&lt;&gt;saída"))/(Q107+(SUMIFS(estoque[quantidade],estoque[produto],preçodiario[[#Headers],[OVO BRANCO C]],estoque[fornecedor],"&lt;&gt;saída",estoque[data],preçodiario[[#This Row],[data]])))))</f>
        <v/>
      </c>
      <c r="Q108" s="22">
        <f>IF(preçodiario[[#This Row],[entrada C]]=0,Q107-(SUMIFS(estoque[quantidade],estoque[fornecedor],"saída",estoque[produto],preçodiario[[#Headers],[OVO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Row],[data]]))+Q107+preçodiario[[#This Row],[entrada C]])</f>
        <v>0</v>
      </c>
      <c r="R108" s="22">
        <f>SUMIFS(estoque[quantidade],estoque[fornecedor],"&lt;&gt;saída",estoque[produto],preçodiario[[#Headers],[OVO BRANCO C]],estoque[data],preçodiario[[#This Row],[data]])</f>
        <v>0</v>
      </c>
      <c r="S108" s="20">
        <f>SUMIFS(estoque[valor total],estoque[fornecedor],"&lt;&gt;saída",estoque[produto],preçodiario[[#Headers],[OVO BRANCO C]],estoque[data],preçodiario[[#This Row],[data]])</f>
        <v>0</v>
      </c>
      <c r="T108" s="20">
        <f>IFERROR(preçodiario[[#This Row],[OVO BRANCO C]]*preçodiario[[#This Row],[estoque C]],0)</f>
        <v>0</v>
      </c>
      <c r="U1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Row],[data]])),((U107*V107)+SUMIFS(estoque[valor total],estoque[produto],preçodiario[[#Headers],[OVO BRANCO EXTRA]],estoque[data],preçodiario[[#This Row],[data]],estoque[fornecedor],"&lt;&gt;saída"))/(V107+(SUMIFS(estoque[quantidade],estoque[produto],preçodiario[[#Headers],[OVO BRANCO EXTRA]],estoque[fornecedor],"&lt;&gt;saída",estoque[data],preçodiario[[#This Row],[data]])))))</f>
        <v>15.833333333333334</v>
      </c>
      <c r="V108" s="22">
        <f>IF(preçodiario[[#This Row],[entrada E]]=0,V107-(SUMIFS(estoque[quantidade],estoque[fornecedor],"saída",estoque[produto],preçodiario[[#Headers],[OVO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Row],[data]]))+V107+preçodiario[[#This Row],[entrada E]])</f>
        <v>4</v>
      </c>
      <c r="W108" s="22">
        <f>SUMIFS(estoque[quantidade],estoque[fornecedor],"&lt;&gt;saída",estoque[produto],preçodiario[[#Headers],[OVO BRANCO EXTRA]],estoque[data],preçodiario[[#This Row],[data]])</f>
        <v>0</v>
      </c>
      <c r="X108" s="20">
        <f>SUMIFS(estoque[valor total],estoque[fornecedor],"&lt;&gt;saída",estoque[produto],preçodiario[[#Headers],[OVO BRANCO EXTRA]],estoque[data],preçodiario[[#This Row],[data]])</f>
        <v>0</v>
      </c>
      <c r="Y108" s="20">
        <f>IFERROR(preçodiario[[#This Row],[estoque E]]*preçodiario[[#This Row],[OVO BRANCO EXTRA]],0)</f>
        <v>63.333333333333336</v>
      </c>
      <c r="Z108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Row],[data]])),((Z107*AA107)+SUMIFS(estoque[valor total],estoque[produto],preçodiario[[#Headers],[OVO BRANCO JUMBO]],estoque[data],preçodiario[[#This Row],[data]],estoque[fornecedor],"&lt;&gt;saída"))/(AA107+(SUMIFS(estoque[quantidade],estoque[produto],preçodiario[[#Headers],[OVO BRANCO JUMBO]],estoque[fornecedor],"&lt;&gt;saída",estoque[data],preçodiario[[#This Row],[data]])))))</f>
        <v/>
      </c>
      <c r="AA108" s="22">
        <f>IF(preçodiario[[#This Row],[entrada J]]=0,AA107-(SUMIFS(estoque[quantidade],estoque[fornecedor],"saída",estoque[produto],preçodiario[[#Headers],[OVO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Row],[data]]))+AA107+preçodiario[[#This Row],[entrada J]])</f>
        <v>0</v>
      </c>
      <c r="AB108" s="22">
        <f>SUMIFS(estoque[quantidade],estoque[fornecedor],"&lt;&gt;saída",estoque[produto],preçodiario[[#Headers],[OVO BRANCO JUMBO]],estoque[data],preçodiario[[#This Row],[data]])</f>
        <v>0</v>
      </c>
      <c r="AC108" s="20">
        <f>SUMIFS(estoque[valor total],estoque[fornecedor],"&lt;&gt;saída",estoque[produto],preçodiario[[#Headers],[OVO BRANCO JUMBO]],estoque[data],preçodiario[[#This Row],[data]])</f>
        <v>0</v>
      </c>
      <c r="AD108" s="20">
        <f>IFERROR(preçodiario[[#This Row],[OVO BRANCO JUMBO]]*preçodiario[[#This Row],[estoque J]],0)</f>
        <v>0</v>
      </c>
      <c r="AE1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Row],[data]])),((AE107*AF107)+SUMIFS(estoque[valor total],estoque[produto],preçodiario[[#Headers],[OVO VERMELHO A]],estoque[data],preçodiario[[#This Row],[data]],estoque[fornecedor],"&lt;&gt;saída"))/(AF107+(SUMIFS(estoque[quantidade],estoque[produto],preçodiario[[#Headers],[OVO VERMELHO A]],estoque[fornecedor],"&lt;&gt;saída",estoque[data],preçodiario[[#This Row],[data]])))))</f>
        <v/>
      </c>
      <c r="AF108" s="22">
        <f>IF(preçodiario[[#This Row],[entrada AV]]=0,AF107-(SUMIFS(estoque[quantidade],estoque[fornecedor],"saída",estoque[produto],preçodiario[[#Headers],[OVO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Row],[data]]))+AF107+preçodiario[[#This Row],[entrada AV]])</f>
        <v>0</v>
      </c>
      <c r="AG108" s="22">
        <f>SUMIFS(estoque[quantidade],estoque[fornecedor],"&lt;&gt;saída",estoque[produto],preçodiario[[#Headers],[OVO VERMELHO A]],estoque[data],preçodiario[[#This Row],[data]])</f>
        <v>0</v>
      </c>
      <c r="AH108" s="20">
        <f>SUMIFS(estoque[valor total],estoque[fornecedor],"&lt;&gt;saída",estoque[produto],preçodiario[[#Headers],[OVO VERMELHO A]],estoque[data],preçodiario[[#This Row],[data]])</f>
        <v>0</v>
      </c>
      <c r="AI108" s="20">
        <f>IFERROR(preçodiario[[#This Row],[OVO VERMELHO A]]*preçodiario[[#This Row],[estoque AV]],0)</f>
        <v>0</v>
      </c>
      <c r="AJ1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Row],[data]])),((AJ107*AK107)+SUMIFS(estoque[valor total],estoque[produto],preçodiario[[#Headers],[OVO VERMELHO B]],estoque[data],preçodiario[[#This Row],[data]],estoque[fornecedor],"&lt;&gt;saída"))/(AK107+(SUMIFS(estoque[quantidade],estoque[produto],preçodiario[[#Headers],[OVO VERMELHO B]],estoque[fornecedor],"&lt;&gt;saída",estoque[data],preçodiario[[#This Row],[data]])))))</f>
        <v/>
      </c>
      <c r="AK108" s="22">
        <f>IF(preçodiario[[#This Row],[entrada BV]]=0,AK107-(SUMIFS(estoque[quantidade],estoque[fornecedor],"saída",estoque[produto],preçodiario[[#Headers],[OVO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Row],[data]]))+AK107+preçodiario[[#This Row],[entrada BV]])</f>
        <v>0</v>
      </c>
      <c r="AL108" s="22">
        <f>SUMIFS(estoque[quantidade],estoque[fornecedor],"&lt;&gt;saída",estoque[produto],preçodiario[[#Headers],[OVO VERMELHO B]],estoque[data],preçodiario[[#This Row],[data]])</f>
        <v>0</v>
      </c>
      <c r="AM108" s="20">
        <f>SUMIFS(estoque[valor total],estoque[fornecedor],"&lt;&gt;saída",estoque[produto],preçodiario[[#Headers],[OVO VERMELHO B]],estoque[data],preçodiario[[#This Row],[data]])</f>
        <v>0</v>
      </c>
      <c r="AN108" s="20">
        <f>IFERROR(preçodiario[[#This Row],[OVO VERMELHO B]]*preçodiario[[#This Row],[estoque BV]],0)</f>
        <v>0</v>
      </c>
      <c r="AO1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Row],[data]])),((AO107*AP107)+SUMIFS(estoque[valor total],estoque[produto],preçodiario[[#Headers],[OVO VERMELHO C]],estoque[data],preçodiario[[#This Row],[data]],estoque[fornecedor],"&lt;&gt;saída"))/(AP107+(SUMIFS(estoque[quantidade],estoque[produto],preçodiario[[#Headers],[OVO VERMELHO C]],estoque[fornecedor],"&lt;&gt;saída",estoque[data],preçodiario[[#This Row],[data]])))))</f>
        <v/>
      </c>
      <c r="AP108" s="22">
        <f>IF(preçodiario[[#This Row],[entrada CV]]=0,AP107-(SUMIFS(estoque[quantidade],estoque[fornecedor],"saída",estoque[produto],preçodiario[[#Headers],[OVO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Row],[data]]))+AP107+preçodiario[[#This Row],[entrada CV]])</f>
        <v>0</v>
      </c>
      <c r="AQ108" s="22">
        <f>SUMIFS(estoque[quantidade],estoque[fornecedor],"&lt;&gt;saída",estoque[produto],preçodiario[[#Headers],[OVO VERMELHO C]],estoque[data],preçodiario[[#This Row],[data]])</f>
        <v>0</v>
      </c>
      <c r="AR108" s="20">
        <f>SUMIFS(estoque[valor total],estoque[fornecedor],"&lt;&gt;saída",estoque[produto],preçodiario[[#Headers],[OVO VERMELHO C]],estoque[data],preçodiario[[#This Row],[data]])</f>
        <v>0</v>
      </c>
      <c r="AS108" s="20">
        <f>IFERROR(preçodiario[[#This Row],[OVO VERMELHO C]]*preçodiario[[#This Row],[estoque CV]],0)</f>
        <v>0</v>
      </c>
      <c r="AT1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Row],[data]])),((AT107*AU107)+SUMIFS(estoque[valor total],estoque[produto],preçodiario[[#Headers],[OVO VERMELHO EXTRA]],estoque[data],preçodiario[[#This Row],[data]],estoque[fornecedor],"&lt;&gt;saída"))/(AU107+(SUMIFS(estoque[quantidade],estoque[produto],preçodiario[[#Headers],[OVO VERMELHO EXTRA]],estoque[fornecedor],"&lt;&gt;saída",estoque[data],preçodiario[[#This Row],[data]])))))</f>
        <v/>
      </c>
      <c r="AU108" s="22">
        <f>IF(preçodiario[[#This Row],[entrada EV]]=0,AU107-(SUMIFS(estoque[quantidade],estoque[fornecedor],"saída",estoque[produto],preçodiario[[#Headers],[OVO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Row],[data]]))+AU107+preçodiario[[#This Row],[entrada EV]])</f>
        <v>0</v>
      </c>
      <c r="AV108" s="22">
        <f>SUMIFS(estoque[quantidade],estoque[fornecedor],"&lt;&gt;saída",estoque[produto],preçodiario[[#Headers],[OVO VERMELHO EXTRA]],estoque[data],preçodiario[[#This Row],[data]])</f>
        <v>0</v>
      </c>
      <c r="AW108" s="20">
        <f>SUMIFS(estoque[valor total],estoque[fornecedor],"&lt;&gt;saída",estoque[produto],preçodiario[[#Headers],[OVO VERMELHO EXTRA]],estoque[data],preçodiario[[#This Row],[data]])</f>
        <v>0</v>
      </c>
      <c r="AX108" s="20">
        <f>IFERROR(preçodiario[[#This Row],[OVO VERMELHO EXTRA]]*preçodiario[[#This Row],[estoque EV]],0)</f>
        <v>0</v>
      </c>
      <c r="AY1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Row],[data]])),((AY107*AZ107)+SUMIFS(estoque[valor total],estoque[produto],preçodiario[[#Headers],[OVO VERMELHO JUMBO]],estoque[data],preçodiario[[#This Row],[data]],estoque[fornecedor],"&lt;&gt;saída"))/(AZ107+(SUMIFS(estoque[quantidade],estoque[produto],preçodiario[[#Headers],[OVO VERMELHO JUMBO]],estoque[fornecedor],"&lt;&gt;saída",estoque[data],preçodiario[[#This Row],[data]])))))</f>
        <v/>
      </c>
      <c r="AZ108" s="22">
        <f>IF(preçodiario[[#This Row],[entrada JV]]=0,AZ107-(SUMIFS(estoque[quantidade],estoque[fornecedor],"saída",estoque[produto],preçodiario[[#Headers],[OVO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Row],[data]]))+AZ107+preçodiario[[#This Row],[entrada JV]])</f>
        <v>0</v>
      </c>
      <c r="BA108" s="22">
        <f>SUMIFS(estoque[quantidade],estoque[fornecedor],"&lt;&gt;saída",estoque[produto],preçodiario[[#Headers],[OVO VERMELHO JUMBO]],estoque[data],preçodiario[[#This Row],[data]])</f>
        <v>0</v>
      </c>
      <c r="BB108" s="20">
        <f>SUMIFS(estoque[valor total],estoque[fornecedor],"&lt;&gt;saída",estoque[produto],preçodiario[[#Headers],[OVO VERMELHO JUMBO]],estoque[data],preçodiario[[#This Row],[data]])</f>
        <v>0</v>
      </c>
      <c r="BC108" s="20">
        <f>IFERROR(preçodiario[[#This Row],[OVO VERMELHO JUMBO]]*preçodiario[[#This Row],[estoque JV]],0)</f>
        <v>0</v>
      </c>
      <c r="BD108" t="str">
        <f>TEXT(vendaAno[[#This Row],[data]],"mmm")</f>
        <v>abr</v>
      </c>
      <c r="BE108" t="str">
        <f>TEXT(vendaAno[[#This Row],[data]],"ddd")</f>
        <v>sex</v>
      </c>
      <c r="BF108" s="82">
        <f>WEEKNUM(vendaAno[[#This Row],[data]],13)</f>
        <v>16</v>
      </c>
      <c r="BG108" s="27">
        <f>preçodiario[[#This Row],[data]]</f>
        <v>46129</v>
      </c>
      <c r="BH1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8" s="8">
        <f>IF(SUMIFS(estoque[valor total],estoque[fornecedor],"saída",estoque[data],vendaAno[[#This Row],[data]])=0,"",SUMIFS(estoque[valor total],estoque[fornecedor],"saída",estoque[data],vendaAno[[#This Row],[data]]))</f>
        <v>493</v>
      </c>
      <c r="BJ10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Row],[data]]))/12+BJ107,"")</f>
        <v>14.333333333333318</v>
      </c>
      <c r="BK108" s="79">
        <f ca="1">IF(TODAY()&gt;=vendaAno[[#This Row],[data]],IF(SUMIFS(estoque[quantidade],estoque[fornecedor],"saída",estoque[data],vendaAno[[#This Row],[data]])/12=0,AVERAGE(BK105:BK107),SUMIFS(estoque[quantidade],estoque[fornecedor],"saída",estoque[data],vendaAno[[#This Row],[data]])/12),"")</f>
        <v>2</v>
      </c>
      <c r="BL108" s="8">
        <f ca="1">IF(vendaAno[[#This Row],[data]]&lt;=TODAY(),IF(SUMIFS(estoque[lucro],estoque[fornecedor],"saída",estoque[data],vendaAno[[#This Row],[data]])=0,AVERAGE(BL105:BL107),SUMIFS(estoque[lucro],estoque[fornecedor],"saída",estoque[data],vendaAno[[#This Row],[data]])),"")</f>
        <v>106.82</v>
      </c>
      <c r="BM108" s="10">
        <f ca="1">IFERROR(vendaAno[[#This Row],[lucro]]/vendaAno[[#This Row],[valor de venda]],"")</f>
        <v>0.21667342799188641</v>
      </c>
      <c r="BN10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2808.2962506420135</v>
      </c>
      <c r="BO108" s="8">
        <f ca="1">IF(TODAY()&gt;=vendaAno[[#This Row],[data]],IF(vendaAno[[#This Row],[N°]]=BF107,vendaAno[[#This Row],[lucro]]-173.33+BO107,vendaAno[[#This Row],[lucro]]-150),"")</f>
        <v>16.429999999999978</v>
      </c>
      <c r="BP108" s="81">
        <f ca="1">IF(TODAY()&gt;=vendaAno[[#This Row],[data]],SUM(BK102:BK108)*12,"")</f>
        <v>235.00000000000003</v>
      </c>
      <c r="BQ108" s="7">
        <f ca="1">IFERROR(vendaAno[[#This Row],[lucro]]/(vendaAno[[#This Row],[venda]]*12),"")</f>
        <v>4.4508333333333328</v>
      </c>
    </row>
    <row r="109" spans="1:69" x14ac:dyDescent="0.25">
      <c r="A1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09" s="18" t="str">
        <f>TEXT(preçodiario[[#This Row],[data]],"MMM")</f>
        <v>abr</v>
      </c>
      <c r="C109" s="18" t="str">
        <f>TEXT(preçodiario[[#This Row],[data]],"ddd")</f>
        <v>sáb</v>
      </c>
      <c r="D109" s="96">
        <f>WEEKNUM(preçodiario[[#This Row],[data]],13)</f>
        <v>16</v>
      </c>
      <c r="E109" s="37">
        <v>46130</v>
      </c>
      <c r="F1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Row],[data]])),((F108*G108)+SUMIFS(estoque[valor total],estoque[produto],preçodiario[[#Headers],[OVO BRANCO A]],estoque[data],preçodiario[[#This Row],[data]],estoque[fornecedor],"&lt;&gt;saída"))/(G108+(SUMIFS(estoque[quantidade],estoque[produto],preçodiario[[#Headers],[OVO BRANCO A]],estoque[fornecedor],"&lt;&gt;saída",estoque[data],preçodiario[[#This Row],[data]])))))</f>
        <v>16.600000000000001</v>
      </c>
      <c r="G109" s="22">
        <f>IF(preçodiario[[#This Row],[entrada A]]=0,G108-(SUMIFS(estoque[quantidade],estoque[fornecedor],"saída",estoque[produto],preçodiario[[#Headers],[OVO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Row],[data]]))+G108+preçodiario[[#This Row],[entrada A]])</f>
        <v>64</v>
      </c>
      <c r="H109" s="22">
        <f>SUMIFS(estoque[quantidade],estoque[fornecedor],"&lt;&gt;saída",estoque[produto],preçodiario[[#Headers],[OVO BRANCO A]],estoque[data],preçodiario[[#This Row],[data]])</f>
        <v>0</v>
      </c>
      <c r="I109" s="20">
        <f>SUMIFS(estoque[valor total],estoque[fornecedor],"&lt;&gt;saída",estoque[produto],preçodiario[[#Headers],[OVO BRANCO A]],estoque[data],preçodiario[[#This Row],[data]])</f>
        <v>0</v>
      </c>
      <c r="J109" s="20">
        <f>IFERROR(preçodiario[[#This Row],[estoque A]]*preçodiario[[#This Row],[OVO BRANCO A]],0)</f>
        <v>1062.4000000000001</v>
      </c>
      <c r="K1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Row],[data]])),((K108*L108)+SUMIFS(estoque[valor total],estoque[produto],preçodiario[[#Headers],[OVO BRANCO B]],estoque[data],preçodiario[[#This Row],[data]],estoque[fornecedor],"&lt;&gt;saída"))/(L108+(SUMIFS(estoque[quantidade],estoque[produto],preçodiario[[#Headers],[OVO BRANCO B]],estoque[fornecedor],"&lt;&gt;saída",estoque[data],preçodiario[[#This Row],[data]])))))</f>
        <v>16.17848958950654</v>
      </c>
      <c r="L109" s="22">
        <f>IF(preçodiario[[#This Row],[entrada B]]=0,L108-(SUMIFS(estoque[quantidade],estoque[fornecedor],"saída",estoque[produto],preçodiario[[#Headers],[OVO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Row],[data]]))+L108+preçodiario[[#This Row],[entrada B]])</f>
        <v>102</v>
      </c>
      <c r="M109" s="22">
        <f>SUMIFS(estoque[quantidade],estoque[fornecedor],"&lt;&gt;saída",estoque[produto],preçodiario[[#Headers],[OVO BRANCO B]],estoque[data],preçodiario[[#This Row],[data]])</f>
        <v>0</v>
      </c>
      <c r="N109" s="20">
        <f>SUMIFS(estoque[valor total],estoque[fornecedor],"&lt;&gt;saída",estoque[produto],preçodiario[[#Headers],[OVO BRANCO B]],estoque[data],preçodiario[[#This Row],[data]])</f>
        <v>0</v>
      </c>
      <c r="O109" s="20">
        <f>IFERROR(preçodiario[[#This Row],[OVO BRANCO B]]*preçodiario[[#This Row],[estoque B]],0)</f>
        <v>1650.2059381296672</v>
      </c>
      <c r="P10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Row],[data]])),((P108*Q108)+SUMIFS(estoque[valor total],estoque[produto],preçodiario[[#Headers],[OVO BRANCO C]],estoque[data],preçodiario[[#This Row],[data]],estoque[fornecedor],"&lt;&gt;saída"))/(Q108+(SUMIFS(estoque[quantidade],estoque[produto],preçodiario[[#Headers],[OVO BRANCO C]],estoque[fornecedor],"&lt;&gt;saída",estoque[data],preçodiario[[#This Row],[data]])))))</f>
        <v/>
      </c>
      <c r="Q109" s="22">
        <f>IF(preçodiario[[#This Row],[entrada C]]=0,Q108-(SUMIFS(estoque[quantidade],estoque[fornecedor],"saída",estoque[produto],preçodiario[[#Headers],[OVO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Row],[data]]))+Q108+preçodiario[[#This Row],[entrada C]])</f>
        <v>0</v>
      </c>
      <c r="R109" s="22">
        <f>SUMIFS(estoque[quantidade],estoque[fornecedor],"&lt;&gt;saída",estoque[produto],preçodiario[[#Headers],[OVO BRANCO C]],estoque[data],preçodiario[[#This Row],[data]])</f>
        <v>0</v>
      </c>
      <c r="S109" s="20">
        <f>SUMIFS(estoque[valor total],estoque[fornecedor],"&lt;&gt;saída",estoque[produto],preçodiario[[#Headers],[OVO BRANCO C]],estoque[data],preçodiario[[#This Row],[data]])</f>
        <v>0</v>
      </c>
      <c r="T109" s="20">
        <f>IFERROR(preçodiario[[#This Row],[OVO BRANCO C]]*preçodiario[[#This Row],[estoque C]],0)</f>
        <v>0</v>
      </c>
      <c r="U1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Row],[data]])),((U108*V108)+SUMIFS(estoque[valor total],estoque[produto],preçodiario[[#Headers],[OVO BRANCO EXTRA]],estoque[data],preçodiario[[#This Row],[data]],estoque[fornecedor],"&lt;&gt;saída"))/(V108+(SUMIFS(estoque[quantidade],estoque[produto],preçodiario[[#Headers],[OVO BRANCO EXTRA]],estoque[fornecedor],"&lt;&gt;saída",estoque[data],preçodiario[[#This Row],[data]])))))</f>
        <v>15.833333333333334</v>
      </c>
      <c r="V109" s="22">
        <f>IF(preçodiario[[#This Row],[entrada E]]=0,V108-(SUMIFS(estoque[quantidade],estoque[fornecedor],"saída",estoque[produto],preçodiario[[#Headers],[OVO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Row],[data]]))+V108+preçodiario[[#This Row],[entrada E]])</f>
        <v>3</v>
      </c>
      <c r="W109" s="22">
        <f>SUMIFS(estoque[quantidade],estoque[fornecedor],"&lt;&gt;saída",estoque[produto],preçodiario[[#Headers],[OVO BRANCO EXTRA]],estoque[data],preçodiario[[#This Row],[data]])</f>
        <v>0</v>
      </c>
      <c r="X109" s="20">
        <f>SUMIFS(estoque[valor total],estoque[fornecedor],"&lt;&gt;saída",estoque[produto],preçodiario[[#Headers],[OVO BRANCO EXTRA]],estoque[data],preçodiario[[#This Row],[data]])</f>
        <v>0</v>
      </c>
      <c r="Y109" s="20">
        <f>IFERROR(preçodiario[[#This Row],[estoque E]]*preçodiario[[#This Row],[OVO BRANCO EXTRA]],0)</f>
        <v>47.5</v>
      </c>
      <c r="Z10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Row],[data]])),((Z108*AA108)+SUMIFS(estoque[valor total],estoque[produto],preçodiario[[#Headers],[OVO BRANCO JUMBO]],estoque[data],preçodiario[[#This Row],[data]],estoque[fornecedor],"&lt;&gt;saída"))/(AA108+(SUMIFS(estoque[quantidade],estoque[produto],preçodiario[[#Headers],[OVO BRANCO JUMBO]],estoque[fornecedor],"&lt;&gt;saída",estoque[data],preçodiario[[#This Row],[data]])))))</f>
        <v/>
      </c>
      <c r="AA109" s="22">
        <f>IF(preçodiario[[#This Row],[entrada J]]=0,AA108-(SUMIFS(estoque[quantidade],estoque[fornecedor],"saída",estoque[produto],preçodiario[[#Headers],[OVO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Row],[data]]))+AA108+preçodiario[[#This Row],[entrada J]])</f>
        <v>0</v>
      </c>
      <c r="AB109" s="22">
        <f>SUMIFS(estoque[quantidade],estoque[fornecedor],"&lt;&gt;saída",estoque[produto],preçodiario[[#Headers],[OVO BRANCO JUMBO]],estoque[data],preçodiario[[#This Row],[data]])</f>
        <v>0</v>
      </c>
      <c r="AC109" s="20">
        <f>SUMIFS(estoque[valor total],estoque[fornecedor],"&lt;&gt;saída",estoque[produto],preçodiario[[#Headers],[OVO BRANCO JUMBO]],estoque[data],preçodiario[[#This Row],[data]])</f>
        <v>0</v>
      </c>
      <c r="AD109" s="20">
        <f>IFERROR(preçodiario[[#This Row],[OVO BRANCO JUMBO]]*preçodiario[[#This Row],[estoque J]],0)</f>
        <v>0</v>
      </c>
      <c r="AE1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Row],[data]])),((AE108*AF108)+SUMIFS(estoque[valor total],estoque[produto],preçodiario[[#Headers],[OVO VERMELHO A]],estoque[data],preçodiario[[#This Row],[data]],estoque[fornecedor],"&lt;&gt;saída"))/(AF108+(SUMIFS(estoque[quantidade],estoque[produto],preçodiario[[#Headers],[OVO VERMELHO A]],estoque[fornecedor],"&lt;&gt;saída",estoque[data],preçodiario[[#This Row],[data]])))))</f>
        <v/>
      </c>
      <c r="AF109" s="22">
        <f>IF(preçodiario[[#This Row],[entrada AV]]=0,AF108-(SUMIFS(estoque[quantidade],estoque[fornecedor],"saída",estoque[produto],preçodiario[[#Headers],[OVO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Row],[data]]))+AF108+preçodiario[[#This Row],[entrada AV]])</f>
        <v>0</v>
      </c>
      <c r="AG109" s="22">
        <f>SUMIFS(estoque[quantidade],estoque[fornecedor],"&lt;&gt;saída",estoque[produto],preçodiario[[#Headers],[OVO VERMELHO A]],estoque[data],preçodiario[[#This Row],[data]])</f>
        <v>0</v>
      </c>
      <c r="AH109" s="20">
        <f>SUMIFS(estoque[valor total],estoque[fornecedor],"&lt;&gt;saída",estoque[produto],preçodiario[[#Headers],[OVO VERMELHO A]],estoque[data],preçodiario[[#This Row],[data]])</f>
        <v>0</v>
      </c>
      <c r="AI109" s="20">
        <f>IFERROR(preçodiario[[#This Row],[OVO VERMELHO A]]*preçodiario[[#This Row],[estoque AV]],0)</f>
        <v>0</v>
      </c>
      <c r="AJ1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Row],[data]])),((AJ108*AK108)+SUMIFS(estoque[valor total],estoque[produto],preçodiario[[#Headers],[OVO VERMELHO B]],estoque[data],preçodiario[[#This Row],[data]],estoque[fornecedor],"&lt;&gt;saída"))/(AK108+(SUMIFS(estoque[quantidade],estoque[produto],preçodiario[[#Headers],[OVO VERMELHO B]],estoque[fornecedor],"&lt;&gt;saída",estoque[data],preçodiario[[#This Row],[data]])))))</f>
        <v/>
      </c>
      <c r="AK109" s="22">
        <f>IF(preçodiario[[#This Row],[entrada BV]]=0,AK108-(SUMIFS(estoque[quantidade],estoque[fornecedor],"saída",estoque[produto],preçodiario[[#Headers],[OVO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Row],[data]]))+AK108+preçodiario[[#This Row],[entrada BV]])</f>
        <v>0</v>
      </c>
      <c r="AL109" s="22">
        <f>SUMIFS(estoque[quantidade],estoque[fornecedor],"&lt;&gt;saída",estoque[produto],preçodiario[[#Headers],[OVO VERMELHO B]],estoque[data],preçodiario[[#This Row],[data]])</f>
        <v>0</v>
      </c>
      <c r="AM109" s="20">
        <f>SUMIFS(estoque[valor total],estoque[fornecedor],"&lt;&gt;saída",estoque[produto],preçodiario[[#Headers],[OVO VERMELHO B]],estoque[data],preçodiario[[#This Row],[data]])</f>
        <v>0</v>
      </c>
      <c r="AN109" s="20">
        <f>IFERROR(preçodiario[[#This Row],[OVO VERMELHO B]]*preçodiario[[#This Row],[estoque BV]],0)</f>
        <v>0</v>
      </c>
      <c r="AO1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Row],[data]])),((AO108*AP108)+SUMIFS(estoque[valor total],estoque[produto],preçodiario[[#Headers],[OVO VERMELHO C]],estoque[data],preçodiario[[#This Row],[data]],estoque[fornecedor],"&lt;&gt;saída"))/(AP108+(SUMIFS(estoque[quantidade],estoque[produto],preçodiario[[#Headers],[OVO VERMELHO C]],estoque[fornecedor],"&lt;&gt;saída",estoque[data],preçodiario[[#This Row],[data]])))))</f>
        <v/>
      </c>
      <c r="AP109" s="22">
        <f>IF(preçodiario[[#This Row],[entrada CV]]=0,AP108-(SUMIFS(estoque[quantidade],estoque[fornecedor],"saída",estoque[produto],preçodiario[[#Headers],[OVO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Row],[data]]))+AP108+preçodiario[[#This Row],[entrada CV]])</f>
        <v>0</v>
      </c>
      <c r="AQ109" s="22">
        <f>SUMIFS(estoque[quantidade],estoque[fornecedor],"&lt;&gt;saída",estoque[produto],preçodiario[[#Headers],[OVO VERMELHO C]],estoque[data],preçodiario[[#This Row],[data]])</f>
        <v>0</v>
      </c>
      <c r="AR109" s="20">
        <f>SUMIFS(estoque[valor total],estoque[fornecedor],"&lt;&gt;saída",estoque[produto],preçodiario[[#Headers],[OVO VERMELHO C]],estoque[data],preçodiario[[#This Row],[data]])</f>
        <v>0</v>
      </c>
      <c r="AS109" s="20">
        <f>IFERROR(preçodiario[[#This Row],[OVO VERMELHO C]]*preçodiario[[#This Row],[estoque CV]],0)</f>
        <v>0</v>
      </c>
      <c r="AT1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Row],[data]])),((AT108*AU108)+SUMIFS(estoque[valor total],estoque[produto],preçodiario[[#Headers],[OVO VERMELHO EXTRA]],estoque[data],preçodiario[[#This Row],[data]],estoque[fornecedor],"&lt;&gt;saída"))/(AU108+(SUMIFS(estoque[quantidade],estoque[produto],preçodiario[[#Headers],[OVO VERMELHO EXTRA]],estoque[fornecedor],"&lt;&gt;saída",estoque[data],preçodiario[[#This Row],[data]])))))</f>
        <v/>
      </c>
      <c r="AU109" s="22">
        <f>IF(preçodiario[[#This Row],[entrada EV]]=0,AU108-(SUMIFS(estoque[quantidade],estoque[fornecedor],"saída",estoque[produto],preçodiario[[#Headers],[OVO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Row],[data]]))+AU108+preçodiario[[#This Row],[entrada EV]])</f>
        <v>0</v>
      </c>
      <c r="AV109" s="22">
        <f>SUMIFS(estoque[quantidade],estoque[fornecedor],"&lt;&gt;saída",estoque[produto],preçodiario[[#Headers],[OVO VERMELHO EXTRA]],estoque[data],preçodiario[[#This Row],[data]])</f>
        <v>0</v>
      </c>
      <c r="AW109" s="20">
        <f>SUMIFS(estoque[valor total],estoque[fornecedor],"&lt;&gt;saída",estoque[produto],preçodiario[[#Headers],[OVO VERMELHO EXTRA]],estoque[data],preçodiario[[#This Row],[data]])</f>
        <v>0</v>
      </c>
      <c r="AX109" s="20">
        <f>IFERROR(preçodiario[[#This Row],[OVO VERMELHO EXTRA]]*preçodiario[[#This Row],[estoque EV]],0)</f>
        <v>0</v>
      </c>
      <c r="AY1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Row],[data]])),((AY108*AZ108)+SUMIFS(estoque[valor total],estoque[produto],preçodiario[[#Headers],[OVO VERMELHO JUMBO]],estoque[data],preçodiario[[#This Row],[data]],estoque[fornecedor],"&lt;&gt;saída"))/(AZ108+(SUMIFS(estoque[quantidade],estoque[produto],preçodiario[[#Headers],[OVO VERMELHO JUMBO]],estoque[fornecedor],"&lt;&gt;saída",estoque[data],preçodiario[[#This Row],[data]])))))</f>
        <v/>
      </c>
      <c r="AZ109" s="22">
        <f>IF(preçodiario[[#This Row],[entrada JV]]=0,AZ108-(SUMIFS(estoque[quantidade],estoque[fornecedor],"saída",estoque[produto],preçodiario[[#Headers],[OVO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Row],[data]]))+AZ108+preçodiario[[#This Row],[entrada JV]])</f>
        <v>0</v>
      </c>
      <c r="BA109" s="22">
        <f>SUMIFS(estoque[quantidade],estoque[fornecedor],"&lt;&gt;saída",estoque[produto],preçodiario[[#Headers],[OVO VERMELHO JUMBO]],estoque[data],preçodiario[[#This Row],[data]])</f>
        <v>0</v>
      </c>
      <c r="BB109" s="20">
        <f>SUMIFS(estoque[valor total],estoque[fornecedor],"&lt;&gt;saída",estoque[produto],preçodiario[[#Headers],[OVO VERMELHO JUMBO]],estoque[data],preçodiario[[#This Row],[data]])</f>
        <v>0</v>
      </c>
      <c r="BC109" s="20">
        <f>IFERROR(preçodiario[[#This Row],[OVO VERMELHO JUMBO]]*preçodiario[[#This Row],[estoque JV]],0)</f>
        <v>0</v>
      </c>
      <c r="BD109" t="str">
        <f>TEXT(vendaAno[[#This Row],[data]],"mmm")</f>
        <v>abr</v>
      </c>
      <c r="BE109" t="str">
        <f>TEXT(vendaAno[[#This Row],[data]],"ddd")</f>
        <v>sáb</v>
      </c>
      <c r="BF109" s="82">
        <f>WEEKNUM(vendaAno[[#This Row],[data]],13)</f>
        <v>16</v>
      </c>
      <c r="BG109" s="27">
        <f>preçodiario[[#This Row],[data]]</f>
        <v>46130</v>
      </c>
      <c r="BH1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09" s="8">
        <f>IF(SUMIFS(estoque[valor total],estoque[fornecedor],"saída",estoque[data],vendaAno[[#This Row],[data]])=0,"",SUMIFS(estoque[valor total],estoque[fornecedor],"saída",estoque[data],vendaAno[[#This Row],[data]]))</f>
        <v>62</v>
      </c>
      <c r="BJ10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Row],[data]]))/12+BJ108,"")</f>
        <v>14.083333333333318</v>
      </c>
      <c r="BK109" s="79">
        <f ca="1">IF(TODAY()&gt;=vendaAno[[#This Row],[data]],IF(SUMIFS(estoque[quantidade],estoque[fornecedor],"saída",estoque[data],vendaAno[[#This Row],[data]])/12=0,AVERAGE(BK106:BK108),SUMIFS(estoque[quantidade],estoque[fornecedor],"saída",estoque[data],vendaAno[[#This Row],[data]])/12),"")</f>
        <v>0.25</v>
      </c>
      <c r="BL109" s="8">
        <f ca="1">IF(vendaAno[[#This Row],[data]]&lt;=TODAY(),IF(SUMIFS(estoque[lucro],estoque[fornecedor],"saída",estoque[data],vendaAno[[#This Row],[data]])=0,AVERAGE(BL106:BL108),SUMIFS(estoque[lucro],estoque[fornecedor],"saída",estoque[data],vendaAno[[#This Row],[data]])),"")</f>
        <v>13.809999999999999</v>
      </c>
      <c r="BM109" s="10">
        <f ca="1">IFERROR(vendaAno[[#This Row],[lucro]]/vendaAno[[#This Row],[valor de venda]],"")</f>
        <v>0.22274193548387095</v>
      </c>
      <c r="BN10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2760.1059381296673</v>
      </c>
      <c r="BO109" s="8">
        <f ca="1">IF(TODAY()&gt;=vendaAno[[#This Row],[data]],IF(vendaAno[[#This Row],[N°]]=BF108,vendaAno[[#This Row],[lucro]]-173.33+BO108,vendaAno[[#This Row],[lucro]]-150),"")</f>
        <v>-143.09000000000003</v>
      </c>
      <c r="BP109" s="81">
        <f ca="1">IF(TODAY()&gt;=vendaAno[[#This Row],[data]],SUM(BK103:BK109)*12,"")</f>
        <v>221</v>
      </c>
      <c r="BQ109" s="7">
        <f ca="1">IFERROR(vendaAno[[#This Row],[lucro]]/(vendaAno[[#This Row],[venda]]*12),"")</f>
        <v>4.6033333333333326</v>
      </c>
    </row>
    <row r="110" spans="1:69" x14ac:dyDescent="0.25">
      <c r="A1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10" s="18" t="str">
        <f>TEXT(preçodiario[[#This Row],[data]],"MMM")</f>
        <v>abr</v>
      </c>
      <c r="C110" s="18" t="str">
        <f>TEXT(preçodiario[[#This Row],[data]],"ddd")</f>
        <v>dom</v>
      </c>
      <c r="D110" s="96">
        <f>WEEKNUM(preçodiario[[#This Row],[data]],13)</f>
        <v>16</v>
      </c>
      <c r="E110" s="37">
        <v>46131</v>
      </c>
      <c r="F1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Row],[data]])),((F109*G109)+SUMIFS(estoque[valor total],estoque[produto],preçodiario[[#Headers],[OVO BRANCO A]],estoque[data],preçodiario[[#This Row],[data]],estoque[fornecedor],"&lt;&gt;saída"))/(G109+(SUMIFS(estoque[quantidade],estoque[produto],preçodiario[[#Headers],[OVO BRANCO A]],estoque[fornecedor],"&lt;&gt;saída",estoque[data],preçodiario[[#This Row],[data]])))))</f>
        <v>16.600000000000001</v>
      </c>
      <c r="G110" s="22">
        <f>IF(preçodiario[[#This Row],[entrada A]]=0,G109-(SUMIFS(estoque[quantidade],estoque[fornecedor],"saída",estoque[produto],preçodiario[[#Headers],[OVO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Row],[data]]))+G109+preçodiario[[#This Row],[entrada A]])</f>
        <v>55</v>
      </c>
      <c r="H110" s="22">
        <f>SUMIFS(estoque[quantidade],estoque[fornecedor],"&lt;&gt;saída",estoque[produto],preçodiario[[#Headers],[OVO BRANCO A]],estoque[data],preçodiario[[#This Row],[data]])</f>
        <v>0</v>
      </c>
      <c r="I110" s="20">
        <f>SUMIFS(estoque[valor total],estoque[fornecedor],"&lt;&gt;saída",estoque[produto],preçodiario[[#Headers],[OVO BRANCO A]],estoque[data],preçodiario[[#This Row],[data]])</f>
        <v>0</v>
      </c>
      <c r="J110" s="20">
        <f>IFERROR(preçodiario[[#This Row],[estoque A]]*preçodiario[[#This Row],[OVO BRANCO A]],0)</f>
        <v>913.00000000000011</v>
      </c>
      <c r="K1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Row],[data]])),((K109*L109)+SUMIFS(estoque[valor total],estoque[produto],preçodiario[[#Headers],[OVO BRANCO B]],estoque[data],preçodiario[[#This Row],[data]],estoque[fornecedor],"&lt;&gt;saída"))/(L109+(SUMIFS(estoque[quantidade],estoque[produto],preçodiario[[#Headers],[OVO BRANCO B]],estoque[fornecedor],"&lt;&gt;saída",estoque[data],preçodiario[[#This Row],[data]])))))</f>
        <v>16.17848958950654</v>
      </c>
      <c r="L110" s="22">
        <f>IF(preçodiario[[#This Row],[entrada B]]=0,L109-(SUMIFS(estoque[quantidade],estoque[fornecedor],"saída",estoque[produto],preçodiario[[#Headers],[OVO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Row],[data]]))+L109+preçodiario[[#This Row],[entrada B]])</f>
        <v>90</v>
      </c>
      <c r="M110" s="22">
        <f>SUMIFS(estoque[quantidade],estoque[fornecedor],"&lt;&gt;saída",estoque[produto],preçodiario[[#Headers],[OVO BRANCO B]],estoque[data],preçodiario[[#This Row],[data]])</f>
        <v>0</v>
      </c>
      <c r="N110" s="20">
        <f>SUMIFS(estoque[valor total],estoque[fornecedor],"&lt;&gt;saída",estoque[produto],preçodiario[[#Headers],[OVO BRANCO B]],estoque[data],preçodiario[[#This Row],[data]])</f>
        <v>0</v>
      </c>
      <c r="O110" s="20">
        <f>IFERROR(preçodiario[[#This Row],[OVO BRANCO B]]*preçodiario[[#This Row],[estoque B]],0)</f>
        <v>1456.0640630555886</v>
      </c>
      <c r="P11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Row],[data]])),((P109*Q109)+SUMIFS(estoque[valor total],estoque[produto],preçodiario[[#Headers],[OVO BRANCO C]],estoque[data],preçodiario[[#This Row],[data]],estoque[fornecedor],"&lt;&gt;saída"))/(Q109+(SUMIFS(estoque[quantidade],estoque[produto],preçodiario[[#Headers],[OVO BRANCO C]],estoque[fornecedor],"&lt;&gt;saída",estoque[data],preçodiario[[#This Row],[data]])))))</f>
        <v/>
      </c>
      <c r="Q110" s="22">
        <f>IF(preçodiario[[#This Row],[entrada C]]=0,Q109-(SUMIFS(estoque[quantidade],estoque[fornecedor],"saída",estoque[produto],preçodiario[[#Headers],[OVO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Row],[data]]))+Q109+preçodiario[[#This Row],[entrada C]])</f>
        <v>0</v>
      </c>
      <c r="R110" s="22">
        <f>SUMIFS(estoque[quantidade],estoque[fornecedor],"&lt;&gt;saída",estoque[produto],preçodiario[[#Headers],[OVO BRANCO C]],estoque[data],preçodiario[[#This Row],[data]])</f>
        <v>0</v>
      </c>
      <c r="S110" s="20">
        <f>SUMIFS(estoque[valor total],estoque[fornecedor],"&lt;&gt;saída",estoque[produto],preçodiario[[#Headers],[OVO BRANCO C]],estoque[data],preçodiario[[#This Row],[data]])</f>
        <v>0</v>
      </c>
      <c r="T110" s="20">
        <f>IFERROR(preçodiario[[#This Row],[OVO BRANCO C]]*preçodiario[[#This Row],[estoque C]],0)</f>
        <v>0</v>
      </c>
      <c r="U110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Row],[data]])),((U109*V109)+SUMIFS(estoque[valor total],estoque[produto],preçodiario[[#Headers],[OVO BRANCO EXTRA]],estoque[data],preçodiario[[#This Row],[data]],estoque[fornecedor],"&lt;&gt;saída"))/(V109+(SUMIFS(estoque[quantidade],estoque[produto],preçodiario[[#Headers],[OVO BRANCO EXTRA]],estoque[fornecedor],"&lt;&gt;saída",estoque[data],preçodiario[[#This Row],[data]])))))</f>
        <v/>
      </c>
      <c r="V110" s="22">
        <f>IF(preçodiario[[#This Row],[entrada E]]=0,V109-(SUMIFS(estoque[quantidade],estoque[fornecedor],"saída",estoque[produto],preçodiario[[#Headers],[OVO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Row],[data]]))+V109+preçodiario[[#This Row],[entrada E]])</f>
        <v>0</v>
      </c>
      <c r="W110" s="22">
        <f>SUMIFS(estoque[quantidade],estoque[fornecedor],"&lt;&gt;saída",estoque[produto],preçodiario[[#Headers],[OVO BRANCO EXTRA]],estoque[data],preçodiario[[#This Row],[data]])</f>
        <v>0</v>
      </c>
      <c r="X110" s="20">
        <f>SUMIFS(estoque[valor total],estoque[fornecedor],"&lt;&gt;saída",estoque[produto],preçodiario[[#Headers],[OVO BRANCO EXTRA]],estoque[data],preçodiario[[#This Row],[data]])</f>
        <v>0</v>
      </c>
      <c r="Y110" s="20">
        <f>IFERROR(preçodiario[[#This Row],[estoque E]]*preçodiario[[#This Row],[OVO BRANCO EXTRA]],0)</f>
        <v>0</v>
      </c>
      <c r="Z11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Row],[data]])),((Z109*AA109)+SUMIFS(estoque[valor total],estoque[produto],preçodiario[[#Headers],[OVO BRANCO JUMBO]],estoque[data],preçodiario[[#This Row],[data]],estoque[fornecedor],"&lt;&gt;saída"))/(AA109+(SUMIFS(estoque[quantidade],estoque[produto],preçodiario[[#Headers],[OVO BRANCO JUMBO]],estoque[fornecedor],"&lt;&gt;saída",estoque[data],preçodiario[[#This Row],[data]])))))</f>
        <v/>
      </c>
      <c r="AA110" s="22">
        <f>IF(preçodiario[[#This Row],[entrada J]]=0,AA109-(SUMIFS(estoque[quantidade],estoque[fornecedor],"saída",estoque[produto],preçodiario[[#Headers],[OVO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Row],[data]]))+AA109+preçodiario[[#This Row],[entrada J]])</f>
        <v>0</v>
      </c>
      <c r="AB110" s="22">
        <f>SUMIFS(estoque[quantidade],estoque[fornecedor],"&lt;&gt;saída",estoque[produto],preçodiario[[#Headers],[OVO BRANCO JUMBO]],estoque[data],preçodiario[[#This Row],[data]])</f>
        <v>0</v>
      </c>
      <c r="AC110" s="20">
        <f>SUMIFS(estoque[valor total],estoque[fornecedor],"&lt;&gt;saída",estoque[produto],preçodiario[[#Headers],[OVO BRANCO JUMBO]],estoque[data],preçodiario[[#This Row],[data]])</f>
        <v>0</v>
      </c>
      <c r="AD110" s="20">
        <f>IFERROR(preçodiario[[#This Row],[OVO BRANCO JUMBO]]*preçodiario[[#This Row],[estoque J]],0)</f>
        <v>0</v>
      </c>
      <c r="AE1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Row],[data]])),((AE109*AF109)+SUMIFS(estoque[valor total],estoque[produto],preçodiario[[#Headers],[OVO VERMELHO A]],estoque[data],preçodiario[[#This Row],[data]],estoque[fornecedor],"&lt;&gt;saída"))/(AF109+(SUMIFS(estoque[quantidade],estoque[produto],preçodiario[[#Headers],[OVO VERMELHO A]],estoque[fornecedor],"&lt;&gt;saída",estoque[data],preçodiario[[#This Row],[data]])))))</f>
        <v/>
      </c>
      <c r="AF110" s="22">
        <f>IF(preçodiario[[#This Row],[entrada AV]]=0,AF109-(SUMIFS(estoque[quantidade],estoque[fornecedor],"saída",estoque[produto],preçodiario[[#Headers],[OVO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Row],[data]]))+AF109+preçodiario[[#This Row],[entrada AV]])</f>
        <v>0</v>
      </c>
      <c r="AG110" s="22">
        <f>SUMIFS(estoque[quantidade],estoque[fornecedor],"&lt;&gt;saída",estoque[produto],preçodiario[[#Headers],[OVO VERMELHO A]],estoque[data],preçodiario[[#This Row],[data]])</f>
        <v>0</v>
      </c>
      <c r="AH110" s="20">
        <f>SUMIFS(estoque[valor total],estoque[fornecedor],"&lt;&gt;saída",estoque[produto],preçodiario[[#Headers],[OVO VERMELHO A]],estoque[data],preçodiario[[#This Row],[data]])</f>
        <v>0</v>
      </c>
      <c r="AI110" s="20">
        <f>IFERROR(preçodiario[[#This Row],[OVO VERMELHO A]]*preçodiario[[#This Row],[estoque AV]],0)</f>
        <v>0</v>
      </c>
      <c r="AJ1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Row],[data]])),((AJ109*AK109)+SUMIFS(estoque[valor total],estoque[produto],preçodiario[[#Headers],[OVO VERMELHO B]],estoque[data],preçodiario[[#This Row],[data]],estoque[fornecedor],"&lt;&gt;saída"))/(AK109+(SUMIFS(estoque[quantidade],estoque[produto],preçodiario[[#Headers],[OVO VERMELHO B]],estoque[fornecedor],"&lt;&gt;saída",estoque[data],preçodiario[[#This Row],[data]])))))</f>
        <v/>
      </c>
      <c r="AK110" s="22">
        <f>IF(preçodiario[[#This Row],[entrada BV]]=0,AK109-(SUMIFS(estoque[quantidade],estoque[fornecedor],"saída",estoque[produto],preçodiario[[#Headers],[OVO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Row],[data]]))+AK109+preçodiario[[#This Row],[entrada BV]])</f>
        <v>0</v>
      </c>
      <c r="AL110" s="22">
        <f>SUMIFS(estoque[quantidade],estoque[fornecedor],"&lt;&gt;saída",estoque[produto],preçodiario[[#Headers],[OVO VERMELHO B]],estoque[data],preçodiario[[#This Row],[data]])</f>
        <v>0</v>
      </c>
      <c r="AM110" s="20">
        <f>SUMIFS(estoque[valor total],estoque[fornecedor],"&lt;&gt;saída",estoque[produto],preçodiario[[#Headers],[OVO VERMELHO B]],estoque[data],preçodiario[[#This Row],[data]])</f>
        <v>0</v>
      </c>
      <c r="AN110" s="20">
        <f>IFERROR(preçodiario[[#This Row],[OVO VERMELHO B]]*preçodiario[[#This Row],[estoque BV]],0)</f>
        <v>0</v>
      </c>
      <c r="AO1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Row],[data]])),((AO109*AP109)+SUMIFS(estoque[valor total],estoque[produto],preçodiario[[#Headers],[OVO VERMELHO C]],estoque[data],preçodiario[[#This Row],[data]],estoque[fornecedor],"&lt;&gt;saída"))/(AP109+(SUMIFS(estoque[quantidade],estoque[produto],preçodiario[[#Headers],[OVO VERMELHO C]],estoque[fornecedor],"&lt;&gt;saída",estoque[data],preçodiario[[#This Row],[data]])))))</f>
        <v/>
      </c>
      <c r="AP110" s="22">
        <f>IF(preçodiario[[#This Row],[entrada CV]]=0,AP109-(SUMIFS(estoque[quantidade],estoque[fornecedor],"saída",estoque[produto],preçodiario[[#Headers],[OVO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Row],[data]]))+AP109+preçodiario[[#This Row],[entrada CV]])</f>
        <v>0</v>
      </c>
      <c r="AQ110" s="22">
        <f>SUMIFS(estoque[quantidade],estoque[fornecedor],"&lt;&gt;saída",estoque[produto],preçodiario[[#Headers],[OVO VERMELHO C]],estoque[data],preçodiario[[#This Row],[data]])</f>
        <v>0</v>
      </c>
      <c r="AR110" s="20">
        <f>SUMIFS(estoque[valor total],estoque[fornecedor],"&lt;&gt;saída",estoque[produto],preçodiario[[#Headers],[OVO VERMELHO C]],estoque[data],preçodiario[[#This Row],[data]])</f>
        <v>0</v>
      </c>
      <c r="AS110" s="20">
        <f>IFERROR(preçodiario[[#This Row],[OVO VERMELHO C]]*preçodiario[[#This Row],[estoque CV]],0)</f>
        <v>0</v>
      </c>
      <c r="AT1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Row],[data]])),((AT109*AU109)+SUMIFS(estoque[valor total],estoque[produto],preçodiario[[#Headers],[OVO VERMELHO EXTRA]],estoque[data],preçodiario[[#This Row],[data]],estoque[fornecedor],"&lt;&gt;saída"))/(AU109+(SUMIFS(estoque[quantidade],estoque[produto],preçodiario[[#Headers],[OVO VERMELHO EXTRA]],estoque[fornecedor],"&lt;&gt;saída",estoque[data],preçodiario[[#This Row],[data]])))))</f>
        <v/>
      </c>
      <c r="AU110" s="22">
        <f>IF(preçodiario[[#This Row],[entrada EV]]=0,AU109-(SUMIFS(estoque[quantidade],estoque[fornecedor],"saída",estoque[produto],preçodiario[[#Headers],[OVO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Row],[data]]))+AU109+preçodiario[[#This Row],[entrada EV]])</f>
        <v>0</v>
      </c>
      <c r="AV110" s="22">
        <f>SUMIFS(estoque[quantidade],estoque[fornecedor],"&lt;&gt;saída",estoque[produto],preçodiario[[#Headers],[OVO VERMELHO EXTRA]],estoque[data],preçodiario[[#This Row],[data]])</f>
        <v>0</v>
      </c>
      <c r="AW110" s="20">
        <f>SUMIFS(estoque[valor total],estoque[fornecedor],"&lt;&gt;saída",estoque[produto],preçodiario[[#Headers],[OVO VERMELHO EXTRA]],estoque[data],preçodiario[[#This Row],[data]])</f>
        <v>0</v>
      </c>
      <c r="AX110" s="20">
        <f>IFERROR(preçodiario[[#This Row],[OVO VERMELHO EXTRA]]*preçodiario[[#This Row],[estoque EV]],0)</f>
        <v>0</v>
      </c>
      <c r="AY1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Row],[data]])),((AY109*AZ109)+SUMIFS(estoque[valor total],estoque[produto],preçodiario[[#Headers],[OVO VERMELHO JUMBO]],estoque[data],preçodiario[[#This Row],[data]],estoque[fornecedor],"&lt;&gt;saída"))/(AZ109+(SUMIFS(estoque[quantidade],estoque[produto],preçodiario[[#Headers],[OVO VERMELHO JUMBO]],estoque[fornecedor],"&lt;&gt;saída",estoque[data],preçodiario[[#This Row],[data]])))))</f>
        <v/>
      </c>
      <c r="AZ110" s="22">
        <f>IF(preçodiario[[#This Row],[entrada JV]]=0,AZ109-(SUMIFS(estoque[quantidade],estoque[fornecedor],"saída",estoque[produto],preçodiario[[#Headers],[OVO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Row],[data]]))+AZ109+preçodiario[[#This Row],[entrada JV]])</f>
        <v>0</v>
      </c>
      <c r="BA110" s="22">
        <f>SUMIFS(estoque[quantidade],estoque[fornecedor],"&lt;&gt;saída",estoque[produto],preçodiario[[#Headers],[OVO VERMELHO JUMBO]],estoque[data],preçodiario[[#This Row],[data]])</f>
        <v>0</v>
      </c>
      <c r="BB110" s="20">
        <f>SUMIFS(estoque[valor total],estoque[fornecedor],"&lt;&gt;saída",estoque[produto],preçodiario[[#Headers],[OVO VERMELHO JUMBO]],estoque[data],preçodiario[[#This Row],[data]])</f>
        <v>0</v>
      </c>
      <c r="BC110" s="20">
        <f>IFERROR(preçodiario[[#This Row],[OVO VERMELHO JUMBO]]*preçodiario[[#This Row],[estoque JV]],0)</f>
        <v>0</v>
      </c>
      <c r="BD110" t="str">
        <f>TEXT(vendaAno[[#This Row],[data]],"mmm")</f>
        <v>abr</v>
      </c>
      <c r="BE110" t="str">
        <f>TEXT(vendaAno[[#This Row],[data]],"ddd")</f>
        <v>dom</v>
      </c>
      <c r="BF110" s="82">
        <f>WEEKNUM(vendaAno[[#This Row],[data]],13)</f>
        <v>16</v>
      </c>
      <c r="BG110" s="27">
        <f>preçodiario[[#This Row],[data]]</f>
        <v>46131</v>
      </c>
      <c r="BH1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0" s="8">
        <f>IF(SUMIFS(estoque[valor total],estoque[fornecedor],"saída",estoque[data],vendaAno[[#This Row],[data]])=0,"",SUMIFS(estoque[valor total],estoque[fornecedor],"saída",estoque[data],vendaAno[[#This Row],[data]]))</f>
        <v>484.5</v>
      </c>
      <c r="BJ1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Row],[data]]))/12+BJ109,"")</f>
        <v>12.083333333333318</v>
      </c>
      <c r="BK110" s="79">
        <f ca="1">IF(TODAY()&gt;=vendaAno[[#This Row],[data]],IF(SUMIFS(estoque[quantidade],estoque[fornecedor],"saída",estoque[data],vendaAno[[#This Row],[data]])/12=0,AVERAGE(BK107:BK109),SUMIFS(estoque[quantidade],estoque[fornecedor],"saída",estoque[data],vendaAno[[#This Row],[data]])/12),"")</f>
        <v>2</v>
      </c>
      <c r="BL110" s="8">
        <f ca="1">IF(vendaAno[[#This Row],[data]]&lt;=TODAY(),IF(SUMIFS(estoque[lucro],estoque[fornecedor],"saída",estoque[data],vendaAno[[#This Row],[data]])=0,AVERAGE(BL107:BL109),SUMIFS(estoque[lucro],estoque[fornecedor],"saída",estoque[data],vendaAno[[#This Row],[data]])),"")</f>
        <v>93.460000000000008</v>
      </c>
      <c r="BM110" s="10">
        <f ca="1">IFERROR(vendaAno[[#This Row],[lucro]]/vendaAno[[#This Row],[valor de venda]],"")</f>
        <v>0.19289989680082562</v>
      </c>
      <c r="BN1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2369.0640630555886</v>
      </c>
      <c r="BO110" s="8">
        <f ca="1">IF(TODAY()&gt;=vendaAno[[#This Row],[data]],IF(vendaAno[[#This Row],[N°]]=BF109,vendaAno[[#This Row],[lucro]]-173.33+BO109,vendaAno[[#This Row],[lucro]]-150),"")</f>
        <v>-222.96000000000004</v>
      </c>
      <c r="BP110" s="81">
        <f ca="1">IF(TODAY()&gt;=vendaAno[[#This Row],[data]],SUM(BK104:BK110)*12,"")</f>
        <v>210</v>
      </c>
      <c r="BQ110" s="7">
        <f ca="1">IFERROR(vendaAno[[#This Row],[lucro]]/(vendaAno[[#This Row],[venda]]*12),"")</f>
        <v>3.894166666666667</v>
      </c>
    </row>
    <row r="111" spans="1:69" x14ac:dyDescent="0.25">
      <c r="A1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16.600000000000001</v>
      </c>
      <c r="B111" s="18" t="str">
        <f>TEXT(preçodiario[[#This Row],[data]],"MMM")</f>
        <v>abr</v>
      </c>
      <c r="C111" s="18" t="str">
        <f>TEXT(preçodiario[[#This Row],[data]],"ddd")</f>
        <v>seg</v>
      </c>
      <c r="D111" s="96">
        <f>WEEKNUM(preçodiario[[#This Row],[data]],13)</f>
        <v>16</v>
      </c>
      <c r="E111" s="37">
        <v>46132</v>
      </c>
      <c r="F1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Row],[data]])),((F110*G110)+SUMIFS(estoque[valor total],estoque[produto],preçodiario[[#Headers],[OVO BRANCO A]],estoque[data],preçodiario[[#This Row],[data]],estoque[fornecedor],"&lt;&gt;saída"))/(G110+(SUMIFS(estoque[quantidade],estoque[produto],preçodiario[[#Headers],[OVO BRANCO A]],estoque[fornecedor],"&lt;&gt;saída",estoque[data],preçodiario[[#This Row],[data]])))))</f>
        <v>16.600000000000001</v>
      </c>
      <c r="G111" s="22">
        <f>IF(preçodiario[[#This Row],[entrada A]]=0,G110-(SUMIFS(estoque[quantidade],estoque[fornecedor],"saída",estoque[produto],preçodiario[[#Headers],[OVO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Row],[data]]))+G110+preçodiario[[#This Row],[entrada A]])</f>
        <v>24</v>
      </c>
      <c r="H111" s="22">
        <f>SUMIFS(estoque[quantidade],estoque[fornecedor],"&lt;&gt;saída",estoque[produto],preçodiario[[#Headers],[OVO BRANCO A]],estoque[data],preçodiario[[#This Row],[data]])</f>
        <v>0</v>
      </c>
      <c r="I111" s="20">
        <f>SUMIFS(estoque[valor total],estoque[fornecedor],"&lt;&gt;saída",estoque[produto],preçodiario[[#Headers],[OVO BRANCO A]],estoque[data],preçodiario[[#This Row],[data]])</f>
        <v>0</v>
      </c>
      <c r="J111" s="20">
        <f>IFERROR(preçodiario[[#This Row],[estoque A]]*preçodiario[[#This Row],[OVO BRANCO A]],0)</f>
        <v>398.40000000000003</v>
      </c>
      <c r="K1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Row],[data]])),((K110*L110)+SUMIFS(estoque[valor total],estoque[produto],preçodiario[[#Headers],[OVO BRANCO B]],estoque[data],preçodiario[[#This Row],[data]],estoque[fornecedor],"&lt;&gt;saída"))/(L110+(SUMIFS(estoque[quantidade],estoque[produto],preçodiario[[#Headers],[OVO BRANCO B]],estoque[fornecedor],"&lt;&gt;saída",estoque[data],preçodiario[[#This Row],[data]])))))</f>
        <v>16.17848958950654</v>
      </c>
      <c r="L111" s="22">
        <f>IF(preçodiario[[#This Row],[entrada B]]=0,L110-(SUMIFS(estoque[quantidade],estoque[fornecedor],"saída",estoque[produto],preçodiario[[#Headers],[OVO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Row],[data]]))+L110+preçodiario[[#This Row],[entrada B]])</f>
        <v>73</v>
      </c>
      <c r="M111" s="22">
        <f>SUMIFS(estoque[quantidade],estoque[fornecedor],"&lt;&gt;saída",estoque[produto],preçodiario[[#Headers],[OVO BRANCO B]],estoque[data],preçodiario[[#This Row],[data]])</f>
        <v>0</v>
      </c>
      <c r="N111" s="20">
        <f>SUMIFS(estoque[valor total],estoque[fornecedor],"&lt;&gt;saída",estoque[produto],preçodiario[[#Headers],[OVO BRANCO B]],estoque[data],preçodiario[[#This Row],[data]])</f>
        <v>0</v>
      </c>
      <c r="O111" s="20">
        <f>IFERROR(preçodiario[[#This Row],[OVO BRANCO B]]*preçodiario[[#This Row],[estoque B]],0)</f>
        <v>1181.0297400339775</v>
      </c>
      <c r="P11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Row],[data]])),((P110*Q110)+SUMIFS(estoque[valor total],estoque[produto],preçodiario[[#Headers],[OVO BRANCO C]],estoque[data],preçodiario[[#This Row],[data]],estoque[fornecedor],"&lt;&gt;saída"))/(Q110+(SUMIFS(estoque[quantidade],estoque[produto],preçodiario[[#Headers],[OVO BRANCO C]],estoque[fornecedor],"&lt;&gt;saída",estoque[data],preçodiario[[#This Row],[data]])))))</f>
        <v/>
      </c>
      <c r="Q111" s="22">
        <f>IF(preçodiario[[#This Row],[entrada C]]=0,Q110-(SUMIFS(estoque[quantidade],estoque[fornecedor],"saída",estoque[produto],preçodiario[[#Headers],[OVO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Row],[data]]))+Q110+preçodiario[[#This Row],[entrada C]])</f>
        <v>0</v>
      </c>
      <c r="R111" s="22">
        <f>SUMIFS(estoque[quantidade],estoque[fornecedor],"&lt;&gt;saída",estoque[produto],preçodiario[[#Headers],[OVO BRANCO C]],estoque[data],preçodiario[[#This Row],[data]])</f>
        <v>0</v>
      </c>
      <c r="S111" s="20">
        <f>SUMIFS(estoque[valor total],estoque[fornecedor],"&lt;&gt;saída",estoque[produto],preçodiario[[#Headers],[OVO BRANCO C]],estoque[data],preçodiario[[#This Row],[data]])</f>
        <v>0</v>
      </c>
      <c r="T111" s="20">
        <f>IFERROR(preçodiario[[#This Row],[OVO BRANCO C]]*preçodiario[[#This Row],[estoque C]],0)</f>
        <v>0</v>
      </c>
      <c r="U111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Row],[data]])),((U110*V110)+SUMIFS(estoque[valor total],estoque[produto],preçodiario[[#Headers],[OVO BRANCO EXTRA]],estoque[data],preçodiario[[#This Row],[data]],estoque[fornecedor],"&lt;&gt;saída"))/(V110+(SUMIFS(estoque[quantidade],estoque[produto],preçodiario[[#Headers],[OVO BRANCO EXTRA]],estoque[fornecedor],"&lt;&gt;saída",estoque[data],preçodiario[[#This Row],[data]])))))</f>
        <v/>
      </c>
      <c r="V111" s="22">
        <f>IF(preçodiario[[#This Row],[entrada E]]=0,V110-(SUMIFS(estoque[quantidade],estoque[fornecedor],"saída",estoque[produto],preçodiario[[#Headers],[OVO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Row],[data]]))+V110+preçodiario[[#This Row],[entrada E]])</f>
        <v>0</v>
      </c>
      <c r="W111" s="22">
        <f>SUMIFS(estoque[quantidade],estoque[fornecedor],"&lt;&gt;saída",estoque[produto],preçodiario[[#Headers],[OVO BRANCO EXTRA]],estoque[data],preçodiario[[#This Row],[data]])</f>
        <v>0</v>
      </c>
      <c r="X111" s="20">
        <f>SUMIFS(estoque[valor total],estoque[fornecedor],"&lt;&gt;saída",estoque[produto],preçodiario[[#Headers],[OVO BRANCO EXTRA]],estoque[data],preçodiario[[#This Row],[data]])</f>
        <v>0</v>
      </c>
      <c r="Y111" s="20">
        <f>IFERROR(preçodiario[[#This Row],[estoque E]]*preçodiario[[#This Row],[OVO BRANCO EXTRA]],0)</f>
        <v>0</v>
      </c>
      <c r="Z11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Row],[data]])),((Z110*AA110)+SUMIFS(estoque[valor total],estoque[produto],preçodiario[[#Headers],[OVO BRANCO JUMBO]],estoque[data],preçodiario[[#This Row],[data]],estoque[fornecedor],"&lt;&gt;saída"))/(AA110+(SUMIFS(estoque[quantidade],estoque[produto],preçodiario[[#Headers],[OVO BRANCO JUMBO]],estoque[fornecedor],"&lt;&gt;saída",estoque[data],preçodiario[[#This Row],[data]])))))</f>
        <v/>
      </c>
      <c r="AA111" s="22">
        <f>IF(preçodiario[[#This Row],[entrada J]]=0,AA110-(SUMIFS(estoque[quantidade],estoque[fornecedor],"saída",estoque[produto],preçodiario[[#Headers],[OVO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Row],[data]]))+AA110+preçodiario[[#This Row],[entrada J]])</f>
        <v>0</v>
      </c>
      <c r="AB111" s="22">
        <f>SUMIFS(estoque[quantidade],estoque[fornecedor],"&lt;&gt;saída",estoque[produto],preçodiario[[#Headers],[OVO BRANCO JUMBO]],estoque[data],preçodiario[[#This Row],[data]])</f>
        <v>0</v>
      </c>
      <c r="AC111" s="20">
        <f>SUMIFS(estoque[valor total],estoque[fornecedor],"&lt;&gt;saída",estoque[produto],preçodiario[[#Headers],[OVO BRANCO JUMBO]],estoque[data],preçodiario[[#This Row],[data]])</f>
        <v>0</v>
      </c>
      <c r="AD111" s="20">
        <f>IFERROR(preçodiario[[#This Row],[OVO BRANCO JUMBO]]*preçodiario[[#This Row],[estoque J]],0)</f>
        <v>0</v>
      </c>
      <c r="AE1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Row],[data]])),((AE110*AF110)+SUMIFS(estoque[valor total],estoque[produto],preçodiario[[#Headers],[OVO VERMELHO A]],estoque[data],preçodiario[[#This Row],[data]],estoque[fornecedor],"&lt;&gt;saída"))/(AF110+(SUMIFS(estoque[quantidade],estoque[produto],preçodiario[[#Headers],[OVO VERMELHO A]],estoque[fornecedor],"&lt;&gt;saída",estoque[data],preçodiario[[#This Row],[data]])))))</f>
        <v/>
      </c>
      <c r="AF111" s="22">
        <f>IF(preçodiario[[#This Row],[entrada AV]]=0,AF110-(SUMIFS(estoque[quantidade],estoque[fornecedor],"saída",estoque[produto],preçodiario[[#Headers],[OVO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Row],[data]]))+AF110+preçodiario[[#This Row],[entrada AV]])</f>
        <v>0</v>
      </c>
      <c r="AG111" s="22">
        <f>SUMIFS(estoque[quantidade],estoque[fornecedor],"&lt;&gt;saída",estoque[produto],preçodiario[[#Headers],[OVO VERMELHO A]],estoque[data],preçodiario[[#This Row],[data]])</f>
        <v>0</v>
      </c>
      <c r="AH111" s="20">
        <f>SUMIFS(estoque[valor total],estoque[fornecedor],"&lt;&gt;saída",estoque[produto],preçodiario[[#Headers],[OVO VERMELHO A]],estoque[data],preçodiario[[#This Row],[data]])</f>
        <v>0</v>
      </c>
      <c r="AI111" s="20">
        <f>IFERROR(preçodiario[[#This Row],[OVO VERMELHO A]]*preçodiario[[#This Row],[estoque AV]],0)</f>
        <v>0</v>
      </c>
      <c r="AJ1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Row],[data]])),((AJ110*AK110)+SUMIFS(estoque[valor total],estoque[produto],preçodiario[[#Headers],[OVO VERMELHO B]],estoque[data],preçodiario[[#This Row],[data]],estoque[fornecedor],"&lt;&gt;saída"))/(AK110+(SUMIFS(estoque[quantidade],estoque[produto],preçodiario[[#Headers],[OVO VERMELHO B]],estoque[fornecedor],"&lt;&gt;saída",estoque[data],preçodiario[[#This Row],[data]])))))</f>
        <v/>
      </c>
      <c r="AK111" s="22">
        <f>IF(preçodiario[[#This Row],[entrada BV]]=0,AK110-(SUMIFS(estoque[quantidade],estoque[fornecedor],"saída",estoque[produto],preçodiario[[#Headers],[OVO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Row],[data]]))+AK110+preçodiario[[#This Row],[entrada BV]])</f>
        <v>0</v>
      </c>
      <c r="AL111" s="22">
        <f>SUMIFS(estoque[quantidade],estoque[fornecedor],"&lt;&gt;saída",estoque[produto],preçodiario[[#Headers],[OVO VERMELHO B]],estoque[data],preçodiario[[#This Row],[data]])</f>
        <v>0</v>
      </c>
      <c r="AM111" s="20">
        <f>SUMIFS(estoque[valor total],estoque[fornecedor],"&lt;&gt;saída",estoque[produto],preçodiario[[#Headers],[OVO VERMELHO B]],estoque[data],preçodiario[[#This Row],[data]])</f>
        <v>0</v>
      </c>
      <c r="AN111" s="20">
        <f>IFERROR(preçodiario[[#This Row],[OVO VERMELHO B]]*preçodiario[[#This Row],[estoque BV]],0)</f>
        <v>0</v>
      </c>
      <c r="AO1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Row],[data]])),((AO110*AP110)+SUMIFS(estoque[valor total],estoque[produto],preçodiario[[#Headers],[OVO VERMELHO C]],estoque[data],preçodiario[[#This Row],[data]],estoque[fornecedor],"&lt;&gt;saída"))/(AP110+(SUMIFS(estoque[quantidade],estoque[produto],preçodiario[[#Headers],[OVO VERMELHO C]],estoque[fornecedor],"&lt;&gt;saída",estoque[data],preçodiario[[#This Row],[data]])))))</f>
        <v/>
      </c>
      <c r="AP111" s="22">
        <f>IF(preçodiario[[#This Row],[entrada CV]]=0,AP110-(SUMIFS(estoque[quantidade],estoque[fornecedor],"saída",estoque[produto],preçodiario[[#Headers],[OVO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Row],[data]]))+AP110+preçodiario[[#This Row],[entrada CV]])</f>
        <v>0</v>
      </c>
      <c r="AQ111" s="22">
        <f>SUMIFS(estoque[quantidade],estoque[fornecedor],"&lt;&gt;saída",estoque[produto],preçodiario[[#Headers],[OVO VERMELHO C]],estoque[data],preçodiario[[#This Row],[data]])</f>
        <v>0</v>
      </c>
      <c r="AR111" s="20">
        <f>SUMIFS(estoque[valor total],estoque[fornecedor],"&lt;&gt;saída",estoque[produto],preçodiario[[#Headers],[OVO VERMELHO C]],estoque[data],preçodiario[[#This Row],[data]])</f>
        <v>0</v>
      </c>
      <c r="AS111" s="20">
        <f>IFERROR(preçodiario[[#This Row],[OVO VERMELHO C]]*preçodiario[[#This Row],[estoque CV]],0)</f>
        <v>0</v>
      </c>
      <c r="AT1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Row],[data]])),((AT110*AU110)+SUMIFS(estoque[valor total],estoque[produto],preçodiario[[#Headers],[OVO VERMELHO EXTRA]],estoque[data],preçodiario[[#This Row],[data]],estoque[fornecedor],"&lt;&gt;saída"))/(AU110+(SUMIFS(estoque[quantidade],estoque[produto],preçodiario[[#Headers],[OVO VERMELHO EXTRA]],estoque[fornecedor],"&lt;&gt;saída",estoque[data],preçodiario[[#This Row],[data]])))))</f>
        <v/>
      </c>
      <c r="AU111" s="22">
        <f>IF(preçodiario[[#This Row],[entrada EV]]=0,AU110-(SUMIFS(estoque[quantidade],estoque[fornecedor],"saída",estoque[produto],preçodiario[[#Headers],[OVO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Row],[data]]))+AU110+preçodiario[[#This Row],[entrada EV]])</f>
        <v>0</v>
      </c>
      <c r="AV111" s="22">
        <f>SUMIFS(estoque[quantidade],estoque[fornecedor],"&lt;&gt;saída",estoque[produto],preçodiario[[#Headers],[OVO VERMELHO EXTRA]],estoque[data],preçodiario[[#This Row],[data]])</f>
        <v>0</v>
      </c>
      <c r="AW111" s="20">
        <f>SUMIFS(estoque[valor total],estoque[fornecedor],"&lt;&gt;saída",estoque[produto],preçodiario[[#Headers],[OVO VERMELHO EXTRA]],estoque[data],preçodiario[[#This Row],[data]])</f>
        <v>0</v>
      </c>
      <c r="AX111" s="20">
        <f>IFERROR(preçodiario[[#This Row],[OVO VERMELHO EXTRA]]*preçodiario[[#This Row],[estoque EV]],0)</f>
        <v>0</v>
      </c>
      <c r="AY1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Row],[data]])),((AY110*AZ110)+SUMIFS(estoque[valor total],estoque[produto],preçodiario[[#Headers],[OVO VERMELHO JUMBO]],estoque[data],preçodiario[[#This Row],[data]],estoque[fornecedor],"&lt;&gt;saída"))/(AZ110+(SUMIFS(estoque[quantidade],estoque[produto],preçodiario[[#Headers],[OVO VERMELHO JUMBO]],estoque[fornecedor],"&lt;&gt;saída",estoque[data],preçodiario[[#This Row],[data]])))))</f>
        <v/>
      </c>
      <c r="AZ111" s="22">
        <f>IF(preçodiario[[#This Row],[entrada JV]]=0,AZ110-(SUMIFS(estoque[quantidade],estoque[fornecedor],"saída",estoque[produto],preçodiario[[#Headers],[OVO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Row],[data]]))+AZ110+preçodiario[[#This Row],[entrada JV]])</f>
        <v>0</v>
      </c>
      <c r="BA111" s="22">
        <f>SUMIFS(estoque[quantidade],estoque[fornecedor],"&lt;&gt;saída",estoque[produto],preçodiario[[#Headers],[OVO VERMELHO JUMBO]],estoque[data],preçodiario[[#This Row],[data]])</f>
        <v>0</v>
      </c>
      <c r="BB111" s="20">
        <f>SUMIFS(estoque[valor total],estoque[fornecedor],"&lt;&gt;saída",estoque[produto],preçodiario[[#Headers],[OVO VERMELHO JUMBO]],estoque[data],preçodiario[[#This Row],[data]])</f>
        <v>0</v>
      </c>
      <c r="BC111" s="20">
        <f>IFERROR(preçodiario[[#This Row],[OVO VERMELHO JUMBO]]*preçodiario[[#This Row],[estoque JV]],0)</f>
        <v>0</v>
      </c>
      <c r="BD111" t="str">
        <f>TEXT(vendaAno[[#This Row],[data]],"mmm")</f>
        <v>abr</v>
      </c>
      <c r="BE111" t="str">
        <f>TEXT(vendaAno[[#This Row],[data]],"ddd")</f>
        <v>seg</v>
      </c>
      <c r="BF111" s="82">
        <f>WEEKNUM(vendaAno[[#This Row],[data]],13)</f>
        <v>16</v>
      </c>
      <c r="BG111" s="27">
        <f>preçodiario[[#This Row],[data]]</f>
        <v>46132</v>
      </c>
      <c r="BH1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1" s="8">
        <f>IF(SUMIFS(estoque[valor total],estoque[fornecedor],"saída",estoque[data],vendaAno[[#This Row],[data]])=0,"",SUMIFS(estoque[valor total],estoque[fornecedor],"saída",estoque[data],vendaAno[[#This Row],[data]]))</f>
        <v>956.5</v>
      </c>
      <c r="BJ11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Row],[data]]))/12+BJ110,"")</f>
        <v>8.0833333333333179</v>
      </c>
      <c r="BK111" s="79">
        <f ca="1">IF(TODAY()&gt;=vendaAno[[#This Row],[data]],IF(SUMIFS(estoque[quantidade],estoque[fornecedor],"saída",estoque[data],vendaAno[[#This Row],[data]])/12=0,AVERAGE(BK108:BK110),SUMIFS(estoque[quantidade],estoque[fornecedor],"saída",estoque[data],vendaAno[[#This Row],[data]])/12),"")</f>
        <v>4</v>
      </c>
      <c r="BL111" s="8">
        <f ca="1">IF(vendaAno[[#This Row],[data]]&lt;=TODAY(),IF(SUMIFS(estoque[lucro],estoque[fornecedor],"saída",estoque[data],vendaAno[[#This Row],[data]])=0,AVERAGE(BL108:BL110),SUMIFS(estoque[lucro],estoque[fornecedor],"saída",estoque[data],vendaAno[[#This Row],[data]])),"")</f>
        <v>166.87</v>
      </c>
      <c r="BM111" s="10">
        <f ca="1">IFERROR(vendaAno[[#This Row],[lucro]]/vendaAno[[#This Row],[valor de venda]],"")</f>
        <v>0.17445896497647675</v>
      </c>
      <c r="BN11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1579.4297400339776</v>
      </c>
      <c r="BO111" s="8">
        <f ca="1">IF(TODAY()&gt;=vendaAno[[#This Row],[data]],IF(vendaAno[[#This Row],[N°]]=BF110,vendaAno[[#This Row],[lucro]]-173.33+BO110,vendaAno[[#This Row],[lucro]]-150),"")</f>
        <v>-229.42000000000004</v>
      </c>
      <c r="BP111" s="81">
        <f ca="1">IF(TODAY()&gt;=vendaAno[[#This Row],[data]],SUM(BK105:BK111)*12,"")</f>
        <v>208.00000000000003</v>
      </c>
      <c r="BQ111" s="7">
        <f ca="1">IFERROR(vendaAno[[#This Row],[lucro]]/(vendaAno[[#This Row],[venda]]*12),"")</f>
        <v>3.4764583333333334</v>
      </c>
    </row>
    <row r="112" spans="1:69" x14ac:dyDescent="0.25">
      <c r="A1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2" s="18" t="str">
        <f>TEXT(preçodiario[[#This Row],[data]],"MMM")</f>
        <v>abr</v>
      </c>
      <c r="C112" s="18" t="str">
        <f>TEXT(preçodiario[[#This Row],[data]],"ddd")</f>
        <v>ter</v>
      </c>
      <c r="D112" s="96">
        <f>WEEKNUM(preçodiario[[#This Row],[data]],13)</f>
        <v>16</v>
      </c>
      <c r="E112" s="37">
        <v>46133</v>
      </c>
      <c r="F1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Row],[data]])),((F111*G111)+SUMIFS(estoque[valor total],estoque[produto],preçodiario[[#Headers],[OVO BRANCO A]],estoque[data],preçodiario[[#This Row],[data]],estoque[fornecedor],"&lt;&gt;saída"))/(G111+(SUMIFS(estoque[quantidade],estoque[produto],preçodiario[[#Headers],[OVO BRANCO A]],estoque[fornecedor],"&lt;&gt;saída",estoque[data],preçodiario[[#This Row],[data]])))))</f>
        <v>16.655555555555555</v>
      </c>
      <c r="G112" s="22">
        <f>IF(preçodiario[[#This Row],[entrada A]]=0,G111-(SUMIFS(estoque[quantidade],estoque[fornecedor],"saída",estoque[produto],preçodiario[[#Headers],[OVO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Row],[data]]))+G111+preçodiario[[#This Row],[entrada A]])</f>
        <v>135</v>
      </c>
      <c r="H112" s="22">
        <f>SUMIFS(estoque[quantidade],estoque[fornecedor],"&lt;&gt;saída",estoque[produto],preçodiario[[#Headers],[OVO BRANCO A]],estoque[data],preçodiario[[#This Row],[data]])</f>
        <v>120</v>
      </c>
      <c r="I112" s="20">
        <f>SUMIFS(estoque[valor total],estoque[fornecedor],"&lt;&gt;saída",estoque[produto],preçodiario[[#Headers],[OVO BRANCO A]],estoque[data],preçodiario[[#This Row],[data]])</f>
        <v>2000</v>
      </c>
      <c r="J112" s="20">
        <f>IFERROR(preçodiario[[#This Row],[estoque A]]*preçodiario[[#This Row],[OVO BRANCO A]],0)</f>
        <v>2248.5</v>
      </c>
      <c r="K1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Row],[data]])),((K111*L111)+SUMIFS(estoque[valor total],estoque[produto],preçodiario[[#Headers],[OVO BRANCO B]],estoque[data],preçodiario[[#This Row],[data]],estoque[fornecedor],"&lt;&gt;saída"))/(L111+(SUMIFS(estoque[quantidade],estoque[produto],preçodiario[[#Headers],[OVO BRANCO B]],estoque[fornecedor],"&lt;&gt;saída",estoque[data],preçodiario[[#This Row],[data]])))))</f>
        <v>16.202107706733738</v>
      </c>
      <c r="L112" s="22">
        <f>IF(preçodiario[[#This Row],[entrada B]]=0,L111-(SUMIFS(estoque[quantidade],estoque[fornecedor],"saída",estoque[produto],preçodiario[[#Headers],[OVO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Row],[data]]))+L111+preçodiario[[#This Row],[entrada B]])</f>
        <v>96</v>
      </c>
      <c r="M112" s="22">
        <f>SUMIFS(estoque[quantidade],estoque[fornecedor],"&lt;&gt;saída",estoque[produto],preçodiario[[#Headers],[OVO BRANCO B]],estoque[data],preçodiario[[#This Row],[data]])</f>
        <v>36</v>
      </c>
      <c r="N112" s="20">
        <f>SUMIFS(estoque[valor total],estoque[fornecedor],"&lt;&gt;saída",estoque[produto],preçodiario[[#Headers],[OVO BRANCO B]],estoque[data],preçodiario[[#This Row],[data]])</f>
        <v>585</v>
      </c>
      <c r="O112" s="20">
        <f>IFERROR(preçodiario[[#This Row],[OVO BRANCO B]]*preçodiario[[#This Row],[estoque B]],0)</f>
        <v>1555.4023398464387</v>
      </c>
      <c r="P11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Row],[data]])),((P111*Q111)+SUMIFS(estoque[valor total],estoque[produto],preçodiario[[#Headers],[OVO BRANCO C]],estoque[data],preçodiario[[#This Row],[data]],estoque[fornecedor],"&lt;&gt;saída"))/(Q111+(SUMIFS(estoque[quantidade],estoque[produto],preçodiario[[#Headers],[OVO BRANCO C]],estoque[fornecedor],"&lt;&gt;saída",estoque[data],preçodiario[[#This Row],[data]])))))</f>
        <v/>
      </c>
      <c r="Q112" s="22">
        <f>IF(preçodiario[[#This Row],[entrada C]]=0,Q111-(SUMIFS(estoque[quantidade],estoque[fornecedor],"saída",estoque[produto],preçodiario[[#Headers],[OVO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Row],[data]]))+Q111+preçodiario[[#This Row],[entrada C]])</f>
        <v>0</v>
      </c>
      <c r="R112" s="22">
        <f>SUMIFS(estoque[quantidade],estoque[fornecedor],"&lt;&gt;saída",estoque[produto],preçodiario[[#Headers],[OVO BRANCO C]],estoque[data],preçodiario[[#This Row],[data]])</f>
        <v>0</v>
      </c>
      <c r="S112" s="20">
        <f>SUMIFS(estoque[valor total],estoque[fornecedor],"&lt;&gt;saída",estoque[produto],preçodiario[[#Headers],[OVO BRANCO C]],estoque[data],preçodiario[[#This Row],[data]])</f>
        <v>0</v>
      </c>
      <c r="T112" s="20">
        <f>IFERROR(preçodiario[[#This Row],[OVO BRANCO C]]*preçodiario[[#This Row],[estoque C]],0)</f>
        <v>0</v>
      </c>
      <c r="U1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Row],[data]])),((U111*V111)+SUMIFS(estoque[valor total],estoque[produto],preçodiario[[#Headers],[OVO BRANCO EXTRA]],estoque[data],preçodiario[[#This Row],[data]],estoque[fornecedor],"&lt;&gt;saída"))/(V111+(SUMIFS(estoque[quantidade],estoque[produto],preçodiario[[#Headers],[OVO BRANCO EXTRA]],estoque[fornecedor],"&lt;&gt;saída",estoque[data],preçodiario[[#This Row],[data]])))))</f>
        <v>17.083333333333332</v>
      </c>
      <c r="V112" s="22">
        <f>IF(preçodiario[[#This Row],[entrada E]]=0,V111-(SUMIFS(estoque[quantidade],estoque[fornecedor],"saída",estoque[produto],preçodiario[[#Headers],[OVO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Row],[data]]))+V111+preçodiario[[#This Row],[entrada E]])</f>
        <v>100</v>
      </c>
      <c r="W112" s="22">
        <f>SUMIFS(estoque[quantidade],estoque[fornecedor],"&lt;&gt;saída",estoque[produto],preçodiario[[#Headers],[OVO BRANCO EXTRA]],estoque[data],preçodiario[[#This Row],[data]])</f>
        <v>120</v>
      </c>
      <c r="X112" s="20">
        <f>SUMIFS(estoque[valor total],estoque[fornecedor],"&lt;&gt;saída",estoque[produto],preçodiario[[#Headers],[OVO BRANCO EXTRA]],estoque[data],preçodiario[[#This Row],[data]])</f>
        <v>2050</v>
      </c>
      <c r="Y112" s="20">
        <f>IFERROR(preçodiario[[#This Row],[estoque E]]*preçodiario[[#This Row],[OVO BRANCO EXTRA]],0)</f>
        <v>1708.3333333333333</v>
      </c>
      <c r="Z1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Row],[data]])),((Z111*AA111)+SUMIFS(estoque[valor total],estoque[produto],preçodiario[[#Headers],[OVO BRANCO JUMBO]],estoque[data],preçodiario[[#This Row],[data]],estoque[fornecedor],"&lt;&gt;saída"))/(AA111+(SUMIFS(estoque[quantidade],estoque[produto],preçodiario[[#Headers],[OVO BRANCO JUMBO]],estoque[fornecedor],"&lt;&gt;saída",estoque[data],preçodiario[[#This Row],[data]])))))</f>
        <v>17.5</v>
      </c>
      <c r="AA112" s="22">
        <f>IF(preçodiario[[#This Row],[entrada J]]=0,AA111-(SUMIFS(estoque[quantidade],estoque[fornecedor],"saída",estoque[produto],preçodiario[[#Headers],[OVO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Row],[data]]))+AA111+preçodiario[[#This Row],[entrada J]])</f>
        <v>115</v>
      </c>
      <c r="AB112" s="22">
        <f>SUMIFS(estoque[quantidade],estoque[fornecedor],"&lt;&gt;saída",estoque[produto],preçodiario[[#Headers],[OVO BRANCO JUMBO]],estoque[data],preçodiario[[#This Row],[data]])</f>
        <v>120</v>
      </c>
      <c r="AC112" s="20">
        <f>SUMIFS(estoque[valor total],estoque[fornecedor],"&lt;&gt;saída",estoque[produto],preçodiario[[#Headers],[OVO BRANCO JUMBO]],estoque[data],preçodiario[[#This Row],[data]])</f>
        <v>2100</v>
      </c>
      <c r="AD112" s="20">
        <f>IFERROR(preçodiario[[#This Row],[OVO BRANCO JUMBO]]*preçodiario[[#This Row],[estoque J]],0)</f>
        <v>2012.5</v>
      </c>
      <c r="AE1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Row],[data]])),((AE111*AF111)+SUMIFS(estoque[valor total],estoque[produto],preçodiario[[#Headers],[OVO VERMELHO A]],estoque[data],preçodiario[[#This Row],[data]],estoque[fornecedor],"&lt;&gt;saída"))/(AF111+(SUMIFS(estoque[quantidade],estoque[produto],preçodiario[[#Headers],[OVO VERMELHO A]],estoque[fornecedor],"&lt;&gt;saída",estoque[data],preçodiario[[#This Row],[data]])))))</f>
        <v/>
      </c>
      <c r="AF112" s="22">
        <f>IF(preçodiario[[#This Row],[entrada AV]]=0,AF111-(SUMIFS(estoque[quantidade],estoque[fornecedor],"saída",estoque[produto],preçodiario[[#Headers],[OVO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Row],[data]]))+AF111+preçodiario[[#This Row],[entrada AV]])</f>
        <v>0</v>
      </c>
      <c r="AG112" s="22">
        <f>SUMIFS(estoque[quantidade],estoque[fornecedor],"&lt;&gt;saída",estoque[produto],preçodiario[[#Headers],[OVO VERMELHO A]],estoque[data],preçodiario[[#This Row],[data]])</f>
        <v>0</v>
      </c>
      <c r="AH112" s="20">
        <f>SUMIFS(estoque[valor total],estoque[fornecedor],"&lt;&gt;saída",estoque[produto],preçodiario[[#Headers],[OVO VERMELHO A]],estoque[data],preçodiario[[#This Row],[data]])</f>
        <v>0</v>
      </c>
      <c r="AI112" s="20">
        <f>IFERROR(preçodiario[[#This Row],[OVO VERMELHO A]]*preçodiario[[#This Row],[estoque AV]],0)</f>
        <v>0</v>
      </c>
      <c r="AJ1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Row],[data]])),((AJ111*AK111)+SUMIFS(estoque[valor total],estoque[produto],preçodiario[[#Headers],[OVO VERMELHO B]],estoque[data],preçodiario[[#This Row],[data]],estoque[fornecedor],"&lt;&gt;saída"))/(AK111+(SUMIFS(estoque[quantidade],estoque[produto],preçodiario[[#Headers],[OVO VERMELHO B]],estoque[fornecedor],"&lt;&gt;saída",estoque[data],preçodiario[[#This Row],[data]])))))</f>
        <v/>
      </c>
      <c r="AK112" s="22">
        <f>IF(preçodiario[[#This Row],[entrada BV]]=0,AK111-(SUMIFS(estoque[quantidade],estoque[fornecedor],"saída",estoque[produto],preçodiario[[#Headers],[OVO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Row],[data]]))+AK111+preçodiario[[#This Row],[entrada BV]])</f>
        <v>0</v>
      </c>
      <c r="AL112" s="22">
        <f>SUMIFS(estoque[quantidade],estoque[fornecedor],"&lt;&gt;saída",estoque[produto],preçodiario[[#Headers],[OVO VERMELHO B]],estoque[data],preçodiario[[#This Row],[data]])</f>
        <v>0</v>
      </c>
      <c r="AM112" s="20">
        <f>SUMIFS(estoque[valor total],estoque[fornecedor],"&lt;&gt;saída",estoque[produto],preçodiario[[#Headers],[OVO VERMELHO B]],estoque[data],preçodiario[[#This Row],[data]])</f>
        <v>0</v>
      </c>
      <c r="AN112" s="20">
        <f>IFERROR(preçodiario[[#This Row],[OVO VERMELHO B]]*preçodiario[[#This Row],[estoque BV]],0)</f>
        <v>0</v>
      </c>
      <c r="AO1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Row],[data]])),((AO111*AP111)+SUMIFS(estoque[valor total],estoque[produto],preçodiario[[#Headers],[OVO VERMELHO C]],estoque[data],preçodiario[[#This Row],[data]],estoque[fornecedor],"&lt;&gt;saída"))/(AP111+(SUMIFS(estoque[quantidade],estoque[produto],preçodiario[[#Headers],[OVO VERMELHO C]],estoque[fornecedor],"&lt;&gt;saída",estoque[data],preçodiario[[#This Row],[data]])))))</f>
        <v/>
      </c>
      <c r="AP112" s="22">
        <f>IF(preçodiario[[#This Row],[entrada CV]]=0,AP111-(SUMIFS(estoque[quantidade],estoque[fornecedor],"saída",estoque[produto],preçodiario[[#Headers],[OVO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Row],[data]]))+AP111+preçodiario[[#This Row],[entrada CV]])</f>
        <v>0</v>
      </c>
      <c r="AQ112" s="22">
        <f>SUMIFS(estoque[quantidade],estoque[fornecedor],"&lt;&gt;saída",estoque[produto],preçodiario[[#Headers],[OVO VERMELHO C]],estoque[data],preçodiario[[#This Row],[data]])</f>
        <v>0</v>
      </c>
      <c r="AR112" s="20">
        <f>SUMIFS(estoque[valor total],estoque[fornecedor],"&lt;&gt;saída",estoque[produto],preçodiario[[#Headers],[OVO VERMELHO C]],estoque[data],preçodiario[[#This Row],[data]])</f>
        <v>0</v>
      </c>
      <c r="AS112" s="20">
        <f>IFERROR(preçodiario[[#This Row],[OVO VERMELHO C]]*preçodiario[[#This Row],[estoque CV]],0)</f>
        <v>0</v>
      </c>
      <c r="AT1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Row],[data]])),((AT111*AU111)+SUMIFS(estoque[valor total],estoque[produto],preçodiario[[#Headers],[OVO VERMELHO EXTRA]],estoque[data],preçodiario[[#This Row],[data]],estoque[fornecedor],"&lt;&gt;saída"))/(AU111+(SUMIFS(estoque[quantidade],estoque[produto],preçodiario[[#Headers],[OVO VERMELHO EXTRA]],estoque[fornecedor],"&lt;&gt;saída",estoque[data],preçodiario[[#This Row],[data]])))))</f>
        <v/>
      </c>
      <c r="AU112" s="22">
        <f>IF(preçodiario[[#This Row],[entrada EV]]=0,AU111-(SUMIFS(estoque[quantidade],estoque[fornecedor],"saída",estoque[produto],preçodiario[[#Headers],[OVO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Row],[data]]))+AU111+preçodiario[[#This Row],[entrada EV]])</f>
        <v>0</v>
      </c>
      <c r="AV112" s="22">
        <f>SUMIFS(estoque[quantidade],estoque[fornecedor],"&lt;&gt;saída",estoque[produto],preçodiario[[#Headers],[OVO VERMELHO EXTRA]],estoque[data],preçodiario[[#This Row],[data]])</f>
        <v>0</v>
      </c>
      <c r="AW112" s="20">
        <f>SUMIFS(estoque[valor total],estoque[fornecedor],"&lt;&gt;saída",estoque[produto],preçodiario[[#Headers],[OVO VERMELHO EXTRA]],estoque[data],preçodiario[[#This Row],[data]])</f>
        <v>0</v>
      </c>
      <c r="AX112" s="20">
        <f>IFERROR(preçodiario[[#This Row],[OVO VERMELHO EXTRA]]*preçodiario[[#This Row],[estoque EV]],0)</f>
        <v>0</v>
      </c>
      <c r="AY1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Row],[data]])),((AY111*AZ111)+SUMIFS(estoque[valor total],estoque[produto],preçodiario[[#Headers],[OVO VERMELHO JUMBO]],estoque[data],preçodiario[[#This Row],[data]],estoque[fornecedor],"&lt;&gt;saída"))/(AZ111+(SUMIFS(estoque[quantidade],estoque[produto],preçodiario[[#Headers],[OVO VERMELHO JUMBO]],estoque[fornecedor],"&lt;&gt;saída",estoque[data],preçodiario[[#This Row],[data]])))))</f>
        <v/>
      </c>
      <c r="AZ112" s="22">
        <f>IF(preçodiario[[#This Row],[entrada JV]]=0,AZ111-(SUMIFS(estoque[quantidade],estoque[fornecedor],"saída",estoque[produto],preçodiario[[#Headers],[OVO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Row],[data]]))+AZ111+preçodiario[[#This Row],[entrada JV]])</f>
        <v>0</v>
      </c>
      <c r="BA112" s="22">
        <f>SUMIFS(estoque[quantidade],estoque[fornecedor],"&lt;&gt;saída",estoque[produto],preçodiario[[#Headers],[OVO VERMELHO JUMBO]],estoque[data],preçodiario[[#This Row],[data]])</f>
        <v>0</v>
      </c>
      <c r="BB112" s="20">
        <f>SUMIFS(estoque[valor total],estoque[fornecedor],"&lt;&gt;saída",estoque[produto],preçodiario[[#Headers],[OVO VERMELHO JUMBO]],estoque[data],preçodiario[[#This Row],[data]])</f>
        <v>0</v>
      </c>
      <c r="BC112" s="20">
        <f>IFERROR(preçodiario[[#This Row],[OVO VERMELHO JUMBO]]*preçodiario[[#This Row],[estoque JV]],0)</f>
        <v>0</v>
      </c>
      <c r="BD112" t="str">
        <f>TEXT(vendaAno[[#This Row],[data]],"mmm")</f>
        <v>abr</v>
      </c>
      <c r="BE112" t="str">
        <f>TEXT(vendaAno[[#This Row],[data]],"ddd")</f>
        <v>ter</v>
      </c>
      <c r="BF112" s="82">
        <f>WEEKNUM(vendaAno[[#This Row],[data]],13)</f>
        <v>16</v>
      </c>
      <c r="BG112" s="27">
        <f>preçodiario[[#This Row],[data]]</f>
        <v>46133</v>
      </c>
      <c r="BH112" s="8">
        <f>IF(SUMIFS(estoque[valor total],estoque[fornecedor],"&lt;&gt;saída",estoque[data],vendaAno[[#This Row],[data]])=0,"",SUMIFS(estoque[valor total],estoque[fornecedor],"&lt;&gt;saída",estoque[data],vendaAno[[#This Row],[data]]))</f>
        <v>6735</v>
      </c>
      <c r="BI112" s="8">
        <f>IF(SUMIFS(estoque[valor total],estoque[fornecedor],"saída",estoque[data],vendaAno[[#This Row],[data]])=0,"",SUMIFS(estoque[valor total],estoque[fornecedor],"saída",estoque[data],vendaAno[[#This Row],[data]]))</f>
        <v>986.5</v>
      </c>
      <c r="BJ11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Row],[data]]))/12+BJ111,"")</f>
        <v>37.16666666666665</v>
      </c>
      <c r="BK112" s="79">
        <f ca="1">IF(TODAY()&gt;=vendaAno[[#This Row],[data]],IF(SUMIFS(estoque[quantidade],estoque[fornecedor],"saída",estoque[data],vendaAno[[#This Row],[data]])/12=0,AVERAGE(BK109:BK111),SUMIFS(estoque[quantidade],estoque[fornecedor],"saída",estoque[data],vendaAno[[#This Row],[data]])/12),"")</f>
        <v>3.9166666666666665</v>
      </c>
      <c r="BL112" s="8">
        <f ca="1">IF(vendaAno[[#This Row],[data]]&lt;=TODAY(),IF(SUMIFS(estoque[lucro],estoque[fornecedor],"saída",estoque[data],vendaAno[[#This Row],[data]])=0,AVERAGE(BL109:BL111),SUMIFS(estoque[lucro],estoque[fornecedor],"saída",estoque[data],vendaAno[[#This Row],[data]])),"")</f>
        <v>196.79999999999998</v>
      </c>
      <c r="BM112" s="10">
        <f ca="1">IFERROR(vendaAno[[#This Row],[lucro]]/vendaAno[[#This Row],[valor de venda]],"")</f>
        <v>0.19949315762797767</v>
      </c>
      <c r="BN11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7524.7356731797718</v>
      </c>
      <c r="BO112" s="8">
        <f ca="1">IF(TODAY()&gt;=vendaAno[[#This Row],[data]],IF(vendaAno[[#This Row],[N°]]=BF111,vendaAno[[#This Row],[lucro]]-173.33+BO111,vendaAno[[#This Row],[lucro]]-150),"")</f>
        <v>-205.95000000000007</v>
      </c>
      <c r="BP112" s="81">
        <f ca="1">IF(TODAY()&gt;=vendaAno[[#This Row],[data]],SUM(BK106:BK112)*12,"")</f>
        <v>227</v>
      </c>
      <c r="BQ112" s="7">
        <f ca="1">IFERROR(vendaAno[[#This Row],[lucro]]/(vendaAno[[#This Row],[venda]]*12),"")</f>
        <v>4.1872340425531913</v>
      </c>
    </row>
    <row r="113" spans="1:69" x14ac:dyDescent="0.25">
      <c r="A1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3" s="18" t="str">
        <f>TEXT(preçodiario[[#This Row],[data]],"MMM")</f>
        <v>abr</v>
      </c>
      <c r="C113" s="18" t="str">
        <f>TEXT(preçodiario[[#This Row],[data]],"ddd")</f>
        <v>qua</v>
      </c>
      <c r="D113" s="96">
        <f>WEEKNUM(preçodiario[[#This Row],[data]],13)</f>
        <v>17</v>
      </c>
      <c r="E113" s="37">
        <v>46134</v>
      </c>
      <c r="F1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Row],[data]])),((F112*G112)+SUMIFS(estoque[valor total],estoque[produto],preçodiario[[#Headers],[OVO BRANCO A]],estoque[data],preçodiario[[#This Row],[data]],estoque[fornecedor],"&lt;&gt;saída"))/(G112+(SUMIFS(estoque[quantidade],estoque[produto],preçodiario[[#Headers],[OVO BRANCO A]],estoque[fornecedor],"&lt;&gt;saída",estoque[data],preçodiario[[#This Row],[data]])))))</f>
        <v>16.655555555555555</v>
      </c>
      <c r="G113" s="22">
        <f>IF(preçodiario[[#This Row],[entrada A]]=0,G112-(SUMIFS(estoque[quantidade],estoque[fornecedor],"saída",estoque[produto],preçodiario[[#Headers],[OVO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Row],[data]]))+G112+preçodiario[[#This Row],[entrada A]])</f>
        <v>120</v>
      </c>
      <c r="H113" s="22">
        <f>SUMIFS(estoque[quantidade],estoque[fornecedor],"&lt;&gt;saída",estoque[produto],preçodiario[[#Headers],[OVO BRANCO A]],estoque[data],preçodiario[[#This Row],[data]])</f>
        <v>0</v>
      </c>
      <c r="I113" s="20">
        <f>SUMIFS(estoque[valor total],estoque[fornecedor],"&lt;&gt;saída",estoque[produto],preçodiario[[#Headers],[OVO BRANCO A]],estoque[data],preçodiario[[#This Row],[data]])</f>
        <v>0</v>
      </c>
      <c r="J113" s="20">
        <f>IFERROR(preçodiario[[#This Row],[estoque A]]*preçodiario[[#This Row],[OVO BRANCO A]],0)</f>
        <v>1998.6666666666665</v>
      </c>
      <c r="K1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Row],[data]])),((K112*L112)+SUMIFS(estoque[valor total],estoque[produto],preçodiario[[#Headers],[OVO BRANCO B]],estoque[data],preçodiario[[#This Row],[data]],estoque[fornecedor],"&lt;&gt;saída"))/(L112+(SUMIFS(estoque[quantidade],estoque[produto],preçodiario[[#Headers],[OVO BRANCO B]],estoque[fornecedor],"&lt;&gt;saída",estoque[data],preçodiario[[#This Row],[data]])))))</f>
        <v>16.202107706733738</v>
      </c>
      <c r="L113" s="22">
        <f>IF(preçodiario[[#This Row],[entrada B]]=0,L112-(SUMIFS(estoque[quantidade],estoque[fornecedor],"saída",estoque[produto],preçodiario[[#Headers],[OVO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Row],[data]]))+L112+preçodiario[[#This Row],[entrada B]])</f>
        <v>86</v>
      </c>
      <c r="M113" s="22">
        <f>SUMIFS(estoque[quantidade],estoque[fornecedor],"&lt;&gt;saída",estoque[produto],preçodiario[[#Headers],[OVO BRANCO B]],estoque[data],preçodiario[[#This Row],[data]])</f>
        <v>0</v>
      </c>
      <c r="N113" s="20">
        <f>SUMIFS(estoque[valor total],estoque[fornecedor],"&lt;&gt;saída",estoque[produto],preçodiario[[#Headers],[OVO BRANCO B]],estoque[data],preçodiario[[#This Row],[data]])</f>
        <v>0</v>
      </c>
      <c r="O113" s="20">
        <f>IFERROR(preçodiario[[#This Row],[OVO BRANCO B]]*preçodiario[[#This Row],[estoque B]],0)</f>
        <v>1393.3812627791015</v>
      </c>
      <c r="P11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Row],[data]])),((P112*Q112)+SUMIFS(estoque[valor total],estoque[produto],preçodiario[[#Headers],[OVO BRANCO C]],estoque[data],preçodiario[[#This Row],[data]],estoque[fornecedor],"&lt;&gt;saída"))/(Q112+(SUMIFS(estoque[quantidade],estoque[produto],preçodiario[[#Headers],[OVO BRANCO C]],estoque[fornecedor],"&lt;&gt;saída",estoque[data],preçodiario[[#This Row],[data]])))))</f>
        <v/>
      </c>
      <c r="Q113" s="22">
        <f>IF(preçodiario[[#This Row],[entrada C]]=0,Q112-(SUMIFS(estoque[quantidade],estoque[fornecedor],"saída",estoque[produto],preçodiario[[#Headers],[OVO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Row],[data]]))+Q112+preçodiario[[#This Row],[entrada C]])</f>
        <v>0</v>
      </c>
      <c r="R113" s="22">
        <f>SUMIFS(estoque[quantidade],estoque[fornecedor],"&lt;&gt;saída",estoque[produto],preçodiario[[#Headers],[OVO BRANCO C]],estoque[data],preçodiario[[#This Row],[data]])</f>
        <v>0</v>
      </c>
      <c r="S113" s="20">
        <f>SUMIFS(estoque[valor total],estoque[fornecedor],"&lt;&gt;saída",estoque[produto],preçodiario[[#Headers],[OVO BRANCO C]],estoque[data],preçodiario[[#This Row],[data]])</f>
        <v>0</v>
      </c>
      <c r="T113" s="20">
        <f>IFERROR(preçodiario[[#This Row],[OVO BRANCO C]]*preçodiario[[#This Row],[estoque C]],0)</f>
        <v>0</v>
      </c>
      <c r="U1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Row],[data]])),((U112*V112)+SUMIFS(estoque[valor total],estoque[produto],preçodiario[[#Headers],[OVO BRANCO EXTRA]],estoque[data],preçodiario[[#This Row],[data]],estoque[fornecedor],"&lt;&gt;saída"))/(V112+(SUMIFS(estoque[quantidade],estoque[produto],preçodiario[[#Headers],[OVO BRANCO EXTRA]],estoque[fornecedor],"&lt;&gt;saída",estoque[data],preçodiario[[#This Row],[data]])))))</f>
        <v>17.083333333333332</v>
      </c>
      <c r="V113" s="22">
        <f>IF(preçodiario[[#This Row],[entrada E]]=0,V112-(SUMIFS(estoque[quantidade],estoque[fornecedor],"saída",estoque[produto],preçodiario[[#Headers],[OVO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Row],[data]]))+V112+preçodiario[[#This Row],[entrada E]])</f>
        <v>85</v>
      </c>
      <c r="W113" s="22">
        <f>SUMIFS(estoque[quantidade],estoque[fornecedor],"&lt;&gt;saída",estoque[produto],preçodiario[[#Headers],[OVO BRANCO EXTRA]],estoque[data],preçodiario[[#This Row],[data]])</f>
        <v>0</v>
      </c>
      <c r="X113" s="20">
        <f>SUMIFS(estoque[valor total],estoque[fornecedor],"&lt;&gt;saída",estoque[produto],preçodiario[[#Headers],[OVO BRANCO EXTRA]],estoque[data],preçodiario[[#This Row],[data]])</f>
        <v>0</v>
      </c>
      <c r="Y113" s="20">
        <f>IFERROR(preçodiario[[#This Row],[estoque E]]*preçodiario[[#This Row],[OVO BRANCO EXTRA]],0)</f>
        <v>1452.0833333333333</v>
      </c>
      <c r="Z1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Row],[data]])),((Z112*AA112)+SUMIFS(estoque[valor total],estoque[produto],preçodiario[[#Headers],[OVO BRANCO JUMBO]],estoque[data],preçodiario[[#This Row],[data]],estoque[fornecedor],"&lt;&gt;saída"))/(AA112+(SUMIFS(estoque[quantidade],estoque[produto],preçodiario[[#Headers],[OVO BRANCO JUMBO]],estoque[fornecedor],"&lt;&gt;saída",estoque[data],preçodiario[[#This Row],[data]])))))</f>
        <v>17.5</v>
      </c>
      <c r="AA113" s="22">
        <f>IF(preçodiario[[#This Row],[entrada J]]=0,AA112-(SUMIFS(estoque[quantidade],estoque[fornecedor],"saída",estoque[produto],preçodiario[[#Headers],[OVO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Row],[data]]))+AA112+preçodiario[[#This Row],[entrada J]])</f>
        <v>103</v>
      </c>
      <c r="AB113" s="22">
        <f>SUMIFS(estoque[quantidade],estoque[fornecedor],"&lt;&gt;saída",estoque[produto],preçodiario[[#Headers],[OVO BRANCO JUMBO]],estoque[data],preçodiario[[#This Row],[data]])</f>
        <v>0</v>
      </c>
      <c r="AC113" s="20">
        <f>SUMIFS(estoque[valor total],estoque[fornecedor],"&lt;&gt;saída",estoque[produto],preçodiario[[#Headers],[OVO BRANCO JUMBO]],estoque[data],preçodiario[[#This Row],[data]])</f>
        <v>0</v>
      </c>
      <c r="AD113" s="20">
        <f>IFERROR(preçodiario[[#This Row],[OVO BRANCO JUMBO]]*preçodiario[[#This Row],[estoque J]],0)</f>
        <v>1802.5</v>
      </c>
      <c r="AE1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Row],[data]])),((AE112*AF112)+SUMIFS(estoque[valor total],estoque[produto],preçodiario[[#Headers],[OVO VERMELHO A]],estoque[data],preçodiario[[#This Row],[data]],estoque[fornecedor],"&lt;&gt;saída"))/(AF112+(SUMIFS(estoque[quantidade],estoque[produto],preçodiario[[#Headers],[OVO VERMELHO A]],estoque[fornecedor],"&lt;&gt;saída",estoque[data],preçodiario[[#This Row],[data]])))))</f>
        <v/>
      </c>
      <c r="AF113" s="22">
        <f>IF(preçodiario[[#This Row],[entrada AV]]=0,AF112-(SUMIFS(estoque[quantidade],estoque[fornecedor],"saída",estoque[produto],preçodiario[[#Headers],[OVO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Row],[data]]))+AF112+preçodiario[[#This Row],[entrada AV]])</f>
        <v>0</v>
      </c>
      <c r="AG113" s="22">
        <f>SUMIFS(estoque[quantidade],estoque[fornecedor],"&lt;&gt;saída",estoque[produto],preçodiario[[#Headers],[OVO VERMELHO A]],estoque[data],preçodiario[[#This Row],[data]])</f>
        <v>0</v>
      </c>
      <c r="AH113" s="20">
        <f>SUMIFS(estoque[valor total],estoque[fornecedor],"&lt;&gt;saída",estoque[produto],preçodiario[[#Headers],[OVO VERMELHO A]],estoque[data],preçodiario[[#This Row],[data]])</f>
        <v>0</v>
      </c>
      <c r="AI113" s="20">
        <f>IFERROR(preçodiario[[#This Row],[OVO VERMELHO A]]*preçodiario[[#This Row],[estoque AV]],0)</f>
        <v>0</v>
      </c>
      <c r="AJ1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Row],[data]])),((AJ112*AK112)+SUMIFS(estoque[valor total],estoque[produto],preçodiario[[#Headers],[OVO VERMELHO B]],estoque[data],preçodiario[[#This Row],[data]],estoque[fornecedor],"&lt;&gt;saída"))/(AK112+(SUMIFS(estoque[quantidade],estoque[produto],preçodiario[[#Headers],[OVO VERMELHO B]],estoque[fornecedor],"&lt;&gt;saída",estoque[data],preçodiario[[#This Row],[data]])))))</f>
        <v/>
      </c>
      <c r="AK113" s="22">
        <f>IF(preçodiario[[#This Row],[entrada BV]]=0,AK112-(SUMIFS(estoque[quantidade],estoque[fornecedor],"saída",estoque[produto],preçodiario[[#Headers],[OVO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Row],[data]]))+AK112+preçodiario[[#This Row],[entrada BV]])</f>
        <v>0</v>
      </c>
      <c r="AL113" s="22">
        <f>SUMIFS(estoque[quantidade],estoque[fornecedor],"&lt;&gt;saída",estoque[produto],preçodiario[[#Headers],[OVO VERMELHO B]],estoque[data],preçodiario[[#This Row],[data]])</f>
        <v>0</v>
      </c>
      <c r="AM113" s="20">
        <f>SUMIFS(estoque[valor total],estoque[fornecedor],"&lt;&gt;saída",estoque[produto],preçodiario[[#Headers],[OVO VERMELHO B]],estoque[data],preçodiario[[#This Row],[data]])</f>
        <v>0</v>
      </c>
      <c r="AN113" s="20">
        <f>IFERROR(preçodiario[[#This Row],[OVO VERMELHO B]]*preçodiario[[#This Row],[estoque BV]],0)</f>
        <v>0</v>
      </c>
      <c r="AO1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Row],[data]])),((AO112*AP112)+SUMIFS(estoque[valor total],estoque[produto],preçodiario[[#Headers],[OVO VERMELHO C]],estoque[data],preçodiario[[#This Row],[data]],estoque[fornecedor],"&lt;&gt;saída"))/(AP112+(SUMIFS(estoque[quantidade],estoque[produto],preçodiario[[#Headers],[OVO VERMELHO C]],estoque[fornecedor],"&lt;&gt;saída",estoque[data],preçodiario[[#This Row],[data]])))))</f>
        <v/>
      </c>
      <c r="AP113" s="22">
        <f>IF(preçodiario[[#This Row],[entrada CV]]=0,AP112-(SUMIFS(estoque[quantidade],estoque[fornecedor],"saída",estoque[produto],preçodiario[[#Headers],[OVO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Row],[data]]))+AP112+preçodiario[[#This Row],[entrada CV]])</f>
        <v>0</v>
      </c>
      <c r="AQ113" s="22">
        <f>SUMIFS(estoque[quantidade],estoque[fornecedor],"&lt;&gt;saída",estoque[produto],preçodiario[[#Headers],[OVO VERMELHO C]],estoque[data],preçodiario[[#This Row],[data]])</f>
        <v>0</v>
      </c>
      <c r="AR113" s="20">
        <f>SUMIFS(estoque[valor total],estoque[fornecedor],"&lt;&gt;saída",estoque[produto],preçodiario[[#Headers],[OVO VERMELHO C]],estoque[data],preçodiario[[#This Row],[data]])</f>
        <v>0</v>
      </c>
      <c r="AS113" s="20">
        <f>IFERROR(preçodiario[[#This Row],[OVO VERMELHO C]]*preçodiario[[#This Row],[estoque CV]],0)</f>
        <v>0</v>
      </c>
      <c r="AT1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Row],[data]])),((AT112*AU112)+SUMIFS(estoque[valor total],estoque[produto],preçodiario[[#Headers],[OVO VERMELHO EXTRA]],estoque[data],preçodiario[[#This Row],[data]],estoque[fornecedor],"&lt;&gt;saída"))/(AU112+(SUMIFS(estoque[quantidade],estoque[produto],preçodiario[[#Headers],[OVO VERMELHO EXTRA]],estoque[fornecedor],"&lt;&gt;saída",estoque[data],preçodiario[[#This Row],[data]])))))</f>
        <v/>
      </c>
      <c r="AU113" s="22">
        <f>IF(preçodiario[[#This Row],[entrada EV]]=0,AU112-(SUMIFS(estoque[quantidade],estoque[fornecedor],"saída",estoque[produto],preçodiario[[#Headers],[OVO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Row],[data]]))+AU112+preçodiario[[#This Row],[entrada EV]])</f>
        <v>0</v>
      </c>
      <c r="AV113" s="22">
        <f>SUMIFS(estoque[quantidade],estoque[fornecedor],"&lt;&gt;saída",estoque[produto],preçodiario[[#Headers],[OVO VERMELHO EXTRA]],estoque[data],preçodiario[[#This Row],[data]])</f>
        <v>0</v>
      </c>
      <c r="AW113" s="20">
        <f>SUMIFS(estoque[valor total],estoque[fornecedor],"&lt;&gt;saída",estoque[produto],preçodiario[[#Headers],[OVO VERMELHO EXTRA]],estoque[data],preçodiario[[#This Row],[data]])</f>
        <v>0</v>
      </c>
      <c r="AX113" s="20">
        <f>IFERROR(preçodiario[[#This Row],[OVO VERMELHO EXTRA]]*preçodiario[[#This Row],[estoque EV]],0)</f>
        <v>0</v>
      </c>
      <c r="AY1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Row],[data]])),((AY112*AZ112)+SUMIFS(estoque[valor total],estoque[produto],preçodiario[[#Headers],[OVO VERMELHO JUMBO]],estoque[data],preçodiario[[#This Row],[data]],estoque[fornecedor],"&lt;&gt;saída"))/(AZ112+(SUMIFS(estoque[quantidade],estoque[produto],preçodiario[[#Headers],[OVO VERMELHO JUMBO]],estoque[fornecedor],"&lt;&gt;saída",estoque[data],preçodiario[[#This Row],[data]])))))</f>
        <v/>
      </c>
      <c r="AZ113" s="22">
        <f>IF(preçodiario[[#This Row],[entrada JV]]=0,AZ112-(SUMIFS(estoque[quantidade],estoque[fornecedor],"saída",estoque[produto],preçodiario[[#Headers],[OVO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Row],[data]]))+AZ112+preçodiario[[#This Row],[entrada JV]])</f>
        <v>0</v>
      </c>
      <c r="BA113" s="22">
        <f>SUMIFS(estoque[quantidade],estoque[fornecedor],"&lt;&gt;saída",estoque[produto],preçodiario[[#Headers],[OVO VERMELHO JUMBO]],estoque[data],preçodiario[[#This Row],[data]])</f>
        <v>0</v>
      </c>
      <c r="BB113" s="20">
        <f>SUMIFS(estoque[valor total],estoque[fornecedor],"&lt;&gt;saída",estoque[produto],preçodiario[[#Headers],[OVO VERMELHO JUMBO]],estoque[data],preçodiario[[#This Row],[data]])</f>
        <v>0</v>
      </c>
      <c r="BC113" s="20">
        <f>IFERROR(preçodiario[[#This Row],[OVO VERMELHO JUMBO]]*preçodiario[[#This Row],[estoque JV]],0)</f>
        <v>0</v>
      </c>
      <c r="BD113" t="str">
        <f>TEXT(vendaAno[[#This Row],[data]],"mmm")</f>
        <v>abr</v>
      </c>
      <c r="BE113" t="str">
        <f>TEXT(vendaAno[[#This Row],[data]],"ddd")</f>
        <v>qua</v>
      </c>
      <c r="BF113" s="82">
        <f>WEEKNUM(vendaAno[[#This Row],[data]],13)</f>
        <v>17</v>
      </c>
      <c r="BG113" s="27">
        <f>preçodiario[[#This Row],[data]]</f>
        <v>46134</v>
      </c>
      <c r="BH1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3" s="8">
        <f>IF(SUMIFS(estoque[valor total],estoque[fornecedor],"saída",estoque[data],vendaAno[[#This Row],[data]])=0,"",SUMIFS(estoque[valor total],estoque[fornecedor],"saída",estoque[data],vendaAno[[#This Row],[data]]))</f>
        <v>1112.25</v>
      </c>
      <c r="BJ11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Row],[data]]))/12+BJ112,"")</f>
        <v>32.833333333333314</v>
      </c>
      <c r="BK113" s="79">
        <f ca="1">IF(TODAY()&gt;=vendaAno[[#This Row],[data]],IF(SUMIFS(estoque[quantidade],estoque[fornecedor],"saída",estoque[data],vendaAno[[#This Row],[data]])/12=0,AVERAGE(BK110:BK112),SUMIFS(estoque[quantidade],estoque[fornecedor],"saída",estoque[data],vendaAno[[#This Row],[data]])/12),"")</f>
        <v>4.333333333333333</v>
      </c>
      <c r="BL113" s="8">
        <f ca="1">IF(vendaAno[[#This Row],[data]]&lt;=TODAY(),IF(SUMIFS(estoque[lucro],estoque[fornecedor],"saída",estoque[data],vendaAno[[#This Row],[data]])=0,AVERAGE(BL110:BL112),SUMIFS(estoque[lucro],estoque[fornecedor],"saída",estoque[data],vendaAno[[#This Row],[data]])),"")</f>
        <v>234.14999999999998</v>
      </c>
      <c r="BM113" s="10">
        <f ca="1">IFERROR(vendaAno[[#This Row],[lucro]]/vendaAno[[#This Row],[valor de venda]],"")</f>
        <v>0.21051921780175317</v>
      </c>
      <c r="BN11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6646.6312627791012</v>
      </c>
      <c r="BO113" s="8">
        <f ca="1">IF(TODAY()&gt;=vendaAno[[#This Row],[data]],IF(vendaAno[[#This Row],[N°]]=BF112,vendaAno[[#This Row],[lucro]]-173.33+BO112,vendaAno[[#This Row],[lucro]]-150),"")</f>
        <v>84.149999999999977</v>
      </c>
      <c r="BP113" s="81">
        <f ca="1">IF(TODAY()&gt;=vendaAno[[#This Row],[data]],SUM(BK107:BK113)*12,"")</f>
        <v>235.99999999999997</v>
      </c>
      <c r="BQ113" s="7">
        <f ca="1">IFERROR(vendaAno[[#This Row],[lucro]]/(vendaAno[[#This Row],[venda]]*12),"")</f>
        <v>4.5028846153846152</v>
      </c>
    </row>
    <row r="114" spans="1:69" x14ac:dyDescent="0.25">
      <c r="A1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4" s="18" t="str">
        <f>TEXT(preçodiario[[#This Row],[data]],"MMM")</f>
        <v>abr</v>
      </c>
      <c r="C114" s="18" t="str">
        <f>TEXT(preçodiario[[#This Row],[data]],"ddd")</f>
        <v>qui</v>
      </c>
      <c r="D114" s="96">
        <f>WEEKNUM(preçodiario[[#This Row],[data]],13)</f>
        <v>17</v>
      </c>
      <c r="E114" s="37">
        <v>46135</v>
      </c>
      <c r="F1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Row],[data]])),((F113*G113)+SUMIFS(estoque[valor total],estoque[produto],preçodiario[[#Headers],[OVO BRANCO A]],estoque[data],preçodiario[[#This Row],[data]],estoque[fornecedor],"&lt;&gt;saída"))/(G113+(SUMIFS(estoque[quantidade],estoque[produto],preçodiario[[#Headers],[OVO BRANCO A]],estoque[fornecedor],"&lt;&gt;saída",estoque[data],preçodiario[[#This Row],[data]])))))</f>
        <v>16.655555555555555</v>
      </c>
      <c r="G114" s="22">
        <f>IF(preçodiario[[#This Row],[entrada A]]=0,G113-(SUMIFS(estoque[quantidade],estoque[fornecedor],"saída",estoque[produto],preçodiario[[#Headers],[OVO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Row],[data]]))+G113+preçodiario[[#This Row],[entrada A]])</f>
        <v>97</v>
      </c>
      <c r="H114" s="22">
        <f>SUMIFS(estoque[quantidade],estoque[fornecedor],"&lt;&gt;saída",estoque[produto],preçodiario[[#Headers],[OVO BRANCO A]],estoque[data],preçodiario[[#This Row],[data]])</f>
        <v>0</v>
      </c>
      <c r="I114" s="20">
        <f>SUMIFS(estoque[valor total],estoque[fornecedor],"&lt;&gt;saída",estoque[produto],preçodiario[[#Headers],[OVO BRANCO A]],estoque[data],preçodiario[[#This Row],[data]])</f>
        <v>0</v>
      </c>
      <c r="J114" s="20">
        <f>IFERROR(preçodiario[[#This Row],[estoque A]]*preçodiario[[#This Row],[OVO BRANCO A]],0)</f>
        <v>1615.5888888888887</v>
      </c>
      <c r="K1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Row],[data]])),((K113*L113)+SUMIFS(estoque[valor total],estoque[produto],preçodiario[[#Headers],[OVO BRANCO B]],estoque[data],preçodiario[[#This Row],[data]],estoque[fornecedor],"&lt;&gt;saída"))/(L113+(SUMIFS(estoque[quantidade],estoque[produto],preçodiario[[#Headers],[OVO BRANCO B]],estoque[fornecedor],"&lt;&gt;saída",estoque[data],preçodiario[[#This Row],[data]])))))</f>
        <v>16.202107706733738</v>
      </c>
      <c r="L114" s="22">
        <f>IF(preçodiario[[#This Row],[entrada B]]=0,L113-(SUMIFS(estoque[quantidade],estoque[fornecedor],"saída",estoque[produto],preçodiario[[#Headers],[OVO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Row],[data]]))+L113+preçodiario[[#This Row],[entrada B]])</f>
        <v>84</v>
      </c>
      <c r="M114" s="22">
        <f>SUMIFS(estoque[quantidade],estoque[fornecedor],"&lt;&gt;saída",estoque[produto],preçodiario[[#Headers],[OVO BRANCO B]],estoque[data],preçodiario[[#This Row],[data]])</f>
        <v>0</v>
      </c>
      <c r="N114" s="20">
        <f>SUMIFS(estoque[valor total],estoque[fornecedor],"&lt;&gt;saída",estoque[produto],preçodiario[[#Headers],[OVO BRANCO B]],estoque[data],preçodiario[[#This Row],[data]])</f>
        <v>0</v>
      </c>
      <c r="O114" s="20">
        <f>IFERROR(preçodiario[[#This Row],[OVO BRANCO B]]*preçodiario[[#This Row],[estoque B]],0)</f>
        <v>1360.977047365634</v>
      </c>
      <c r="P11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Row],[data]])),((P113*Q113)+SUMIFS(estoque[valor total],estoque[produto],preçodiario[[#Headers],[OVO BRANCO C]],estoque[data],preçodiario[[#This Row],[data]],estoque[fornecedor],"&lt;&gt;saída"))/(Q113+(SUMIFS(estoque[quantidade],estoque[produto],preçodiario[[#Headers],[OVO BRANCO C]],estoque[fornecedor],"&lt;&gt;saída",estoque[data],preçodiario[[#This Row],[data]])))))</f>
        <v/>
      </c>
      <c r="Q114" s="22">
        <f>IF(preçodiario[[#This Row],[entrada C]]=0,Q113-(SUMIFS(estoque[quantidade],estoque[fornecedor],"saída",estoque[produto],preçodiario[[#Headers],[OVO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Row],[data]]))+Q113+preçodiario[[#This Row],[entrada C]])</f>
        <v>0</v>
      </c>
      <c r="R114" s="22">
        <f>SUMIFS(estoque[quantidade],estoque[fornecedor],"&lt;&gt;saída",estoque[produto],preçodiario[[#Headers],[OVO BRANCO C]],estoque[data],preçodiario[[#This Row],[data]])</f>
        <v>0</v>
      </c>
      <c r="S114" s="20">
        <f>SUMIFS(estoque[valor total],estoque[fornecedor],"&lt;&gt;saída",estoque[produto],preçodiario[[#Headers],[OVO BRANCO C]],estoque[data],preçodiario[[#This Row],[data]])</f>
        <v>0</v>
      </c>
      <c r="T114" s="20">
        <f>IFERROR(preçodiario[[#This Row],[OVO BRANCO C]]*preçodiario[[#This Row],[estoque C]],0)</f>
        <v>0</v>
      </c>
      <c r="U1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Row],[data]])),((U113*V113)+SUMIFS(estoque[valor total],estoque[produto],preçodiario[[#Headers],[OVO BRANCO EXTRA]],estoque[data],preçodiario[[#This Row],[data]],estoque[fornecedor],"&lt;&gt;saída"))/(V113+(SUMIFS(estoque[quantidade],estoque[produto],preçodiario[[#Headers],[OVO BRANCO EXTRA]],estoque[fornecedor],"&lt;&gt;saída",estoque[data],preçodiario[[#This Row],[data]])))))</f>
        <v>17.083333333333332</v>
      </c>
      <c r="V114" s="22">
        <f>IF(preçodiario[[#This Row],[entrada E]]=0,V113-(SUMIFS(estoque[quantidade],estoque[fornecedor],"saída",estoque[produto],preçodiario[[#Headers],[OVO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Row],[data]]))+V113+preçodiario[[#This Row],[entrada E]])</f>
        <v>76</v>
      </c>
      <c r="W114" s="22">
        <f>SUMIFS(estoque[quantidade],estoque[fornecedor],"&lt;&gt;saída",estoque[produto],preçodiario[[#Headers],[OVO BRANCO EXTRA]],estoque[data],preçodiario[[#This Row],[data]])</f>
        <v>0</v>
      </c>
      <c r="X114" s="20">
        <f>SUMIFS(estoque[valor total],estoque[fornecedor],"&lt;&gt;saída",estoque[produto],preçodiario[[#Headers],[OVO BRANCO EXTRA]],estoque[data],preçodiario[[#This Row],[data]])</f>
        <v>0</v>
      </c>
      <c r="Y114" s="20">
        <f>IFERROR(preçodiario[[#This Row],[estoque E]]*preçodiario[[#This Row],[OVO BRANCO EXTRA]],0)</f>
        <v>1298.3333333333333</v>
      </c>
      <c r="Z1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Row],[data]])),((Z113*AA113)+SUMIFS(estoque[valor total],estoque[produto],preçodiario[[#Headers],[OVO BRANCO JUMBO]],estoque[data],preçodiario[[#This Row],[data]],estoque[fornecedor],"&lt;&gt;saída"))/(AA113+(SUMIFS(estoque[quantidade],estoque[produto],preçodiario[[#Headers],[OVO BRANCO JUMBO]],estoque[fornecedor],"&lt;&gt;saída",estoque[data],preçodiario[[#This Row],[data]])))))</f>
        <v>17.5</v>
      </c>
      <c r="AA114" s="22">
        <f>IF(preçodiario[[#This Row],[entrada J]]=0,AA113-(SUMIFS(estoque[quantidade],estoque[fornecedor],"saída",estoque[produto],preçodiario[[#Headers],[OVO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Row],[data]]))+AA113+preçodiario[[#This Row],[entrada J]])</f>
        <v>98</v>
      </c>
      <c r="AB114" s="22">
        <f>SUMIFS(estoque[quantidade],estoque[fornecedor],"&lt;&gt;saída",estoque[produto],preçodiario[[#Headers],[OVO BRANCO JUMBO]],estoque[data],preçodiario[[#This Row],[data]])</f>
        <v>0</v>
      </c>
      <c r="AC114" s="20">
        <f>SUMIFS(estoque[valor total],estoque[fornecedor],"&lt;&gt;saída",estoque[produto],preçodiario[[#Headers],[OVO BRANCO JUMBO]],estoque[data],preçodiario[[#This Row],[data]])</f>
        <v>0</v>
      </c>
      <c r="AD114" s="20">
        <f>IFERROR(preçodiario[[#This Row],[OVO BRANCO JUMBO]]*preçodiario[[#This Row],[estoque J]],0)</f>
        <v>1715</v>
      </c>
      <c r="AE1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Row],[data]])),((AE113*AF113)+SUMIFS(estoque[valor total],estoque[produto],preçodiario[[#Headers],[OVO VERMELHO A]],estoque[data],preçodiario[[#This Row],[data]],estoque[fornecedor],"&lt;&gt;saída"))/(AF113+(SUMIFS(estoque[quantidade],estoque[produto],preçodiario[[#Headers],[OVO VERMELHO A]],estoque[fornecedor],"&lt;&gt;saída",estoque[data],preçodiario[[#This Row],[data]])))))</f>
        <v/>
      </c>
      <c r="AF114" s="22">
        <f>IF(preçodiario[[#This Row],[entrada AV]]=0,AF113-(SUMIFS(estoque[quantidade],estoque[fornecedor],"saída",estoque[produto],preçodiario[[#Headers],[OVO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Row],[data]]))+AF113+preçodiario[[#This Row],[entrada AV]])</f>
        <v>0</v>
      </c>
      <c r="AG114" s="22">
        <f>SUMIFS(estoque[quantidade],estoque[fornecedor],"&lt;&gt;saída",estoque[produto],preçodiario[[#Headers],[OVO VERMELHO A]],estoque[data],preçodiario[[#This Row],[data]])</f>
        <v>0</v>
      </c>
      <c r="AH114" s="20">
        <f>SUMIFS(estoque[valor total],estoque[fornecedor],"&lt;&gt;saída",estoque[produto],preçodiario[[#Headers],[OVO VERMELHO A]],estoque[data],preçodiario[[#This Row],[data]])</f>
        <v>0</v>
      </c>
      <c r="AI114" s="20">
        <f>IFERROR(preçodiario[[#This Row],[OVO VERMELHO A]]*preçodiario[[#This Row],[estoque AV]],0)</f>
        <v>0</v>
      </c>
      <c r="AJ1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Row],[data]])),((AJ113*AK113)+SUMIFS(estoque[valor total],estoque[produto],preçodiario[[#Headers],[OVO VERMELHO B]],estoque[data],preçodiario[[#This Row],[data]],estoque[fornecedor],"&lt;&gt;saída"))/(AK113+(SUMIFS(estoque[quantidade],estoque[produto],preçodiario[[#Headers],[OVO VERMELHO B]],estoque[fornecedor],"&lt;&gt;saída",estoque[data],preçodiario[[#This Row],[data]])))))</f>
        <v/>
      </c>
      <c r="AK114" s="22">
        <f>IF(preçodiario[[#This Row],[entrada BV]]=0,AK113-(SUMIFS(estoque[quantidade],estoque[fornecedor],"saída",estoque[produto],preçodiario[[#Headers],[OVO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Row],[data]]))+AK113+preçodiario[[#This Row],[entrada BV]])</f>
        <v>0</v>
      </c>
      <c r="AL114" s="22">
        <f>SUMIFS(estoque[quantidade],estoque[fornecedor],"&lt;&gt;saída",estoque[produto],preçodiario[[#Headers],[OVO VERMELHO B]],estoque[data],preçodiario[[#This Row],[data]])</f>
        <v>0</v>
      </c>
      <c r="AM114" s="20">
        <f>SUMIFS(estoque[valor total],estoque[fornecedor],"&lt;&gt;saída",estoque[produto],preçodiario[[#Headers],[OVO VERMELHO B]],estoque[data],preçodiario[[#This Row],[data]])</f>
        <v>0</v>
      </c>
      <c r="AN114" s="20">
        <f>IFERROR(preçodiario[[#This Row],[OVO VERMELHO B]]*preçodiario[[#This Row],[estoque BV]],0)</f>
        <v>0</v>
      </c>
      <c r="AO1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Row],[data]])),((AO113*AP113)+SUMIFS(estoque[valor total],estoque[produto],preçodiario[[#Headers],[OVO VERMELHO C]],estoque[data],preçodiario[[#This Row],[data]],estoque[fornecedor],"&lt;&gt;saída"))/(AP113+(SUMIFS(estoque[quantidade],estoque[produto],preçodiario[[#Headers],[OVO VERMELHO C]],estoque[fornecedor],"&lt;&gt;saída",estoque[data],preçodiario[[#This Row],[data]])))))</f>
        <v/>
      </c>
      <c r="AP114" s="22">
        <f>IF(preçodiario[[#This Row],[entrada CV]]=0,AP113-(SUMIFS(estoque[quantidade],estoque[fornecedor],"saída",estoque[produto],preçodiario[[#Headers],[OVO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Row],[data]]))+AP113+preçodiario[[#This Row],[entrada CV]])</f>
        <v>0</v>
      </c>
      <c r="AQ114" s="22">
        <f>SUMIFS(estoque[quantidade],estoque[fornecedor],"&lt;&gt;saída",estoque[produto],preçodiario[[#Headers],[OVO VERMELHO C]],estoque[data],preçodiario[[#This Row],[data]])</f>
        <v>0</v>
      </c>
      <c r="AR114" s="20">
        <f>SUMIFS(estoque[valor total],estoque[fornecedor],"&lt;&gt;saída",estoque[produto],preçodiario[[#Headers],[OVO VERMELHO C]],estoque[data],preçodiario[[#This Row],[data]])</f>
        <v>0</v>
      </c>
      <c r="AS114" s="20">
        <f>IFERROR(preçodiario[[#This Row],[OVO VERMELHO C]]*preçodiario[[#This Row],[estoque CV]],0)</f>
        <v>0</v>
      </c>
      <c r="AT1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Row],[data]])),((AT113*AU113)+SUMIFS(estoque[valor total],estoque[produto],preçodiario[[#Headers],[OVO VERMELHO EXTRA]],estoque[data],preçodiario[[#This Row],[data]],estoque[fornecedor],"&lt;&gt;saída"))/(AU113+(SUMIFS(estoque[quantidade],estoque[produto],preçodiario[[#Headers],[OVO VERMELHO EXTRA]],estoque[fornecedor],"&lt;&gt;saída",estoque[data],preçodiario[[#This Row],[data]])))))</f>
        <v/>
      </c>
      <c r="AU114" s="22">
        <f>IF(preçodiario[[#This Row],[entrada EV]]=0,AU113-(SUMIFS(estoque[quantidade],estoque[fornecedor],"saída",estoque[produto],preçodiario[[#Headers],[OVO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Row],[data]]))+AU113+preçodiario[[#This Row],[entrada EV]])</f>
        <v>0</v>
      </c>
      <c r="AV114" s="22">
        <f>SUMIFS(estoque[quantidade],estoque[fornecedor],"&lt;&gt;saída",estoque[produto],preçodiario[[#Headers],[OVO VERMELHO EXTRA]],estoque[data],preçodiario[[#This Row],[data]])</f>
        <v>0</v>
      </c>
      <c r="AW114" s="20">
        <f>SUMIFS(estoque[valor total],estoque[fornecedor],"&lt;&gt;saída",estoque[produto],preçodiario[[#Headers],[OVO VERMELHO EXTRA]],estoque[data],preçodiario[[#This Row],[data]])</f>
        <v>0</v>
      </c>
      <c r="AX114" s="20">
        <f>IFERROR(preçodiario[[#This Row],[OVO VERMELHO EXTRA]]*preçodiario[[#This Row],[estoque EV]],0)</f>
        <v>0</v>
      </c>
      <c r="AY1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Row],[data]])),((AY113*AZ113)+SUMIFS(estoque[valor total],estoque[produto],preçodiario[[#Headers],[OVO VERMELHO JUMBO]],estoque[data],preçodiario[[#This Row],[data]],estoque[fornecedor],"&lt;&gt;saída"))/(AZ113+(SUMIFS(estoque[quantidade],estoque[produto],preçodiario[[#Headers],[OVO VERMELHO JUMBO]],estoque[fornecedor],"&lt;&gt;saída",estoque[data],preçodiario[[#This Row],[data]])))))</f>
        <v/>
      </c>
      <c r="AZ114" s="22">
        <f>IF(preçodiario[[#This Row],[entrada JV]]=0,AZ113-(SUMIFS(estoque[quantidade],estoque[fornecedor],"saída",estoque[produto],preçodiario[[#Headers],[OVO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Row],[data]]))+AZ113+preçodiario[[#This Row],[entrada JV]])</f>
        <v>0</v>
      </c>
      <c r="BA114" s="22">
        <f>SUMIFS(estoque[quantidade],estoque[fornecedor],"&lt;&gt;saída",estoque[produto],preçodiario[[#Headers],[OVO VERMELHO JUMBO]],estoque[data],preçodiario[[#This Row],[data]])</f>
        <v>0</v>
      </c>
      <c r="BB114" s="20">
        <f>SUMIFS(estoque[valor total],estoque[fornecedor],"&lt;&gt;saída",estoque[produto],preçodiario[[#Headers],[OVO VERMELHO JUMBO]],estoque[data],preçodiario[[#This Row],[data]])</f>
        <v>0</v>
      </c>
      <c r="BC114" s="20">
        <f>IFERROR(preçodiario[[#This Row],[OVO VERMELHO JUMBO]]*preçodiario[[#This Row],[estoque JV]],0)</f>
        <v>0</v>
      </c>
      <c r="BD114" t="str">
        <f>TEXT(vendaAno[[#This Row],[data]],"mmm")</f>
        <v>abr</v>
      </c>
      <c r="BE114" t="str">
        <f>TEXT(vendaAno[[#This Row],[data]],"ddd")</f>
        <v>qui</v>
      </c>
      <c r="BF114" s="82">
        <f>WEEKNUM(vendaAno[[#This Row],[data]],13)</f>
        <v>17</v>
      </c>
      <c r="BG114" s="27">
        <f>preçodiario[[#This Row],[data]]</f>
        <v>46135</v>
      </c>
      <c r="BH1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4" s="8">
        <f>IF(SUMIFS(estoque[valor total],estoque[fornecedor],"saída",estoque[data],vendaAno[[#This Row],[data]])=0,"",SUMIFS(estoque[valor total],estoque[fornecedor],"saída",estoque[data],vendaAno[[#This Row],[data]]))</f>
        <v>805</v>
      </c>
      <c r="BJ11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Row],[data]]))/12+BJ113,"")</f>
        <v>29.583333333333314</v>
      </c>
      <c r="BK114" s="79">
        <f ca="1">IF(TODAY()&gt;=vendaAno[[#This Row],[data]],IF(SUMIFS(estoque[quantidade],estoque[fornecedor],"saída",estoque[data],vendaAno[[#This Row],[data]])/12=0,AVERAGE(BK111:BK113),SUMIFS(estoque[quantidade],estoque[fornecedor],"saída",estoque[data],vendaAno[[#This Row],[data]])/12),"")</f>
        <v>3.25</v>
      </c>
      <c r="BL114" s="8">
        <f ca="1">IF(vendaAno[[#This Row],[data]]&lt;=TODAY(),IF(SUMIFS(estoque[lucro],estoque[fornecedor],"saída",estoque[data],vendaAno[[#This Row],[data]])=0,AVERAGE(BL111:BL113),SUMIFS(estoque[lucro],estoque[fornecedor],"saída",estoque[data],vendaAno[[#This Row],[data]])),"")</f>
        <v>148.26999999999998</v>
      </c>
      <c r="BM114" s="10">
        <f ca="1">IFERROR(vendaAno[[#This Row],[lucro]]/vendaAno[[#This Row],[valor de venda]],"")</f>
        <v>0.1841863354037267</v>
      </c>
      <c r="BN11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5989.899269587856</v>
      </c>
      <c r="BO114" s="8">
        <f ca="1">IF(TODAY()&gt;=vendaAno[[#This Row],[data]],IF(vendaAno[[#This Row],[N°]]=BF113,vendaAno[[#This Row],[lucro]]-173.33+BO113,vendaAno[[#This Row],[lucro]]-150),"")</f>
        <v>59.089999999999947</v>
      </c>
      <c r="BP114" s="81">
        <f ca="1">IF(TODAY()&gt;=vendaAno[[#This Row],[data]],SUM(BK108:BK114)*12,"")</f>
        <v>237</v>
      </c>
      <c r="BQ114" s="7">
        <f ca="1">IFERROR(vendaAno[[#This Row],[lucro]]/(vendaAno[[#This Row],[venda]]*12),"")</f>
        <v>3.8017948717948715</v>
      </c>
    </row>
    <row r="115" spans="1:69" x14ac:dyDescent="0.25">
      <c r="A1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5" s="18" t="str">
        <f>TEXT(preçodiario[[#This Row],[data]],"MMM")</f>
        <v>abr</v>
      </c>
      <c r="C115" s="18" t="str">
        <f>TEXT(preçodiario[[#This Row],[data]],"ddd")</f>
        <v>sex</v>
      </c>
      <c r="D115" s="96">
        <f>WEEKNUM(preçodiario[[#This Row],[data]],13)</f>
        <v>17</v>
      </c>
      <c r="E115" s="37">
        <v>46136</v>
      </c>
      <c r="F1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Row],[data]])),((F114*G114)+SUMIFS(estoque[valor total],estoque[produto],preçodiario[[#Headers],[OVO BRANCO A]],estoque[data],preçodiario[[#This Row],[data]],estoque[fornecedor],"&lt;&gt;saída"))/(G114+(SUMIFS(estoque[quantidade],estoque[produto],preçodiario[[#Headers],[OVO BRANCO A]],estoque[fornecedor],"&lt;&gt;saída",estoque[data],preçodiario[[#This Row],[data]])))))</f>
        <v>16.655555555555555</v>
      </c>
      <c r="G115" s="22">
        <f>IF(preçodiario[[#This Row],[entrada A]]=0,G114-(SUMIFS(estoque[quantidade],estoque[fornecedor],"saída",estoque[produto],preçodiario[[#Headers],[OVO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Row],[data]]))+G114+preçodiario[[#This Row],[entrada A]])</f>
        <v>97</v>
      </c>
      <c r="H115" s="22">
        <f>SUMIFS(estoque[quantidade],estoque[fornecedor],"&lt;&gt;saída",estoque[produto],preçodiario[[#Headers],[OVO BRANCO A]],estoque[data],preçodiario[[#This Row],[data]])</f>
        <v>0</v>
      </c>
      <c r="I115" s="20">
        <f>SUMIFS(estoque[valor total],estoque[fornecedor],"&lt;&gt;saída",estoque[produto],preçodiario[[#Headers],[OVO BRANCO A]],estoque[data],preçodiario[[#This Row],[data]])</f>
        <v>0</v>
      </c>
      <c r="J115" s="20">
        <f>IFERROR(preçodiario[[#This Row],[estoque A]]*preçodiario[[#This Row],[OVO BRANCO A]],0)</f>
        <v>1615.5888888888887</v>
      </c>
      <c r="K1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Row],[data]])),((K114*L114)+SUMIFS(estoque[valor total],estoque[produto],preçodiario[[#Headers],[OVO BRANCO B]],estoque[data],preçodiario[[#This Row],[data]],estoque[fornecedor],"&lt;&gt;saída"))/(L114+(SUMIFS(estoque[quantidade],estoque[produto],preçodiario[[#Headers],[OVO BRANCO B]],estoque[fornecedor],"&lt;&gt;saída",estoque[data],preçodiario[[#This Row],[data]])))))</f>
        <v>16.202107706733738</v>
      </c>
      <c r="L115" s="22">
        <f>IF(preçodiario[[#This Row],[entrada B]]=0,L114-(SUMIFS(estoque[quantidade],estoque[fornecedor],"saída",estoque[produto],preçodiario[[#Headers],[OVO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Row],[data]]))+L114+preçodiario[[#This Row],[entrada B]])</f>
        <v>79</v>
      </c>
      <c r="M115" s="22">
        <f>SUMIFS(estoque[quantidade],estoque[fornecedor],"&lt;&gt;saída",estoque[produto],preçodiario[[#Headers],[OVO BRANCO B]],estoque[data],preçodiario[[#This Row],[data]])</f>
        <v>0</v>
      </c>
      <c r="N115" s="20">
        <f>SUMIFS(estoque[valor total],estoque[fornecedor],"&lt;&gt;saída",estoque[produto],preçodiario[[#Headers],[OVO BRANCO B]],estoque[data],preçodiario[[#This Row],[data]])</f>
        <v>0</v>
      </c>
      <c r="O115" s="20">
        <f>IFERROR(preçodiario[[#This Row],[OVO BRANCO B]]*preçodiario[[#This Row],[estoque B]],0)</f>
        <v>1279.9665088319653</v>
      </c>
      <c r="P11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Row],[data]])),((P114*Q114)+SUMIFS(estoque[valor total],estoque[produto],preçodiario[[#Headers],[OVO BRANCO C]],estoque[data],preçodiario[[#This Row],[data]],estoque[fornecedor],"&lt;&gt;saída"))/(Q114+(SUMIFS(estoque[quantidade],estoque[produto],preçodiario[[#Headers],[OVO BRANCO C]],estoque[fornecedor],"&lt;&gt;saída",estoque[data],preçodiario[[#This Row],[data]])))))</f>
        <v/>
      </c>
      <c r="Q115" s="22">
        <f>IF(preçodiario[[#This Row],[entrada C]]=0,Q114-(SUMIFS(estoque[quantidade],estoque[fornecedor],"saída",estoque[produto],preçodiario[[#Headers],[OVO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Row],[data]]))+Q114+preçodiario[[#This Row],[entrada C]])</f>
        <v>0</v>
      </c>
      <c r="R115" s="22">
        <f>SUMIFS(estoque[quantidade],estoque[fornecedor],"&lt;&gt;saída",estoque[produto],preçodiario[[#Headers],[OVO BRANCO C]],estoque[data],preçodiario[[#This Row],[data]])</f>
        <v>0</v>
      </c>
      <c r="S115" s="20">
        <f>SUMIFS(estoque[valor total],estoque[fornecedor],"&lt;&gt;saída",estoque[produto],preçodiario[[#Headers],[OVO BRANCO C]],estoque[data],preçodiario[[#This Row],[data]])</f>
        <v>0</v>
      </c>
      <c r="T115" s="20">
        <f>IFERROR(preçodiario[[#This Row],[OVO BRANCO C]]*preçodiario[[#This Row],[estoque C]],0)</f>
        <v>0</v>
      </c>
      <c r="U1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Row],[data]])),((U114*V114)+SUMIFS(estoque[valor total],estoque[produto],preçodiario[[#Headers],[OVO BRANCO EXTRA]],estoque[data],preçodiario[[#This Row],[data]],estoque[fornecedor],"&lt;&gt;saída"))/(V114+(SUMIFS(estoque[quantidade],estoque[produto],preçodiario[[#Headers],[OVO BRANCO EXTRA]],estoque[fornecedor],"&lt;&gt;saída",estoque[data],preçodiario[[#This Row],[data]])))))</f>
        <v>17.083333333333332</v>
      </c>
      <c r="V115" s="22">
        <f>IF(preçodiario[[#This Row],[entrada E]]=0,V114-(SUMIFS(estoque[quantidade],estoque[fornecedor],"saída",estoque[produto],preçodiario[[#Headers],[OVO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Row],[data]]))+V114+preçodiario[[#This Row],[entrada E]])</f>
        <v>68</v>
      </c>
      <c r="W115" s="22">
        <f>SUMIFS(estoque[quantidade],estoque[fornecedor],"&lt;&gt;saída",estoque[produto],preçodiario[[#Headers],[OVO BRANCO EXTRA]],estoque[data],preçodiario[[#This Row],[data]])</f>
        <v>0</v>
      </c>
      <c r="X115" s="20">
        <f>SUMIFS(estoque[valor total],estoque[fornecedor],"&lt;&gt;saída",estoque[produto],preçodiario[[#Headers],[OVO BRANCO EXTRA]],estoque[data],preçodiario[[#This Row],[data]])</f>
        <v>0</v>
      </c>
      <c r="Y115" s="20">
        <f>IFERROR(preçodiario[[#This Row],[estoque E]]*preçodiario[[#This Row],[OVO BRANCO EXTRA]],0)</f>
        <v>1161.6666666666665</v>
      </c>
      <c r="Z1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Row],[data]])),((Z114*AA114)+SUMIFS(estoque[valor total],estoque[produto],preçodiario[[#Headers],[OVO BRANCO JUMBO]],estoque[data],preçodiario[[#This Row],[data]],estoque[fornecedor],"&lt;&gt;saída"))/(AA114+(SUMIFS(estoque[quantidade],estoque[produto],preçodiario[[#Headers],[OVO BRANCO JUMBO]],estoque[fornecedor],"&lt;&gt;saída",estoque[data],preçodiario[[#This Row],[data]])))))</f>
        <v>17.5</v>
      </c>
      <c r="AA115" s="22">
        <f>IF(preçodiario[[#This Row],[entrada J]]=0,AA114-(SUMIFS(estoque[quantidade],estoque[fornecedor],"saída",estoque[produto],preçodiario[[#Headers],[OVO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Row],[data]]))+AA114+preçodiario[[#This Row],[entrada J]])</f>
        <v>93</v>
      </c>
      <c r="AB115" s="22">
        <f>SUMIFS(estoque[quantidade],estoque[fornecedor],"&lt;&gt;saída",estoque[produto],preçodiario[[#Headers],[OVO BRANCO JUMBO]],estoque[data],preçodiario[[#This Row],[data]])</f>
        <v>0</v>
      </c>
      <c r="AC115" s="20">
        <f>SUMIFS(estoque[valor total],estoque[fornecedor],"&lt;&gt;saída",estoque[produto],preçodiario[[#Headers],[OVO BRANCO JUMBO]],estoque[data],preçodiario[[#This Row],[data]])</f>
        <v>0</v>
      </c>
      <c r="AD115" s="20">
        <f>IFERROR(preçodiario[[#This Row],[OVO BRANCO JUMBO]]*preçodiario[[#This Row],[estoque J]],0)</f>
        <v>1627.5</v>
      </c>
      <c r="AE1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Row],[data]])),((AE114*AF114)+SUMIFS(estoque[valor total],estoque[produto],preçodiario[[#Headers],[OVO VERMELHO A]],estoque[data],preçodiario[[#This Row],[data]],estoque[fornecedor],"&lt;&gt;saída"))/(AF114+(SUMIFS(estoque[quantidade],estoque[produto],preçodiario[[#Headers],[OVO VERMELHO A]],estoque[fornecedor],"&lt;&gt;saída",estoque[data],preçodiario[[#This Row],[data]])))))</f>
        <v/>
      </c>
      <c r="AF115" s="22">
        <f>IF(preçodiario[[#This Row],[entrada AV]]=0,AF114-(SUMIFS(estoque[quantidade],estoque[fornecedor],"saída",estoque[produto],preçodiario[[#Headers],[OVO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Row],[data]]))+AF114+preçodiario[[#This Row],[entrada AV]])</f>
        <v>0</v>
      </c>
      <c r="AG115" s="22">
        <f>SUMIFS(estoque[quantidade],estoque[fornecedor],"&lt;&gt;saída",estoque[produto],preçodiario[[#Headers],[OVO VERMELHO A]],estoque[data],preçodiario[[#This Row],[data]])</f>
        <v>0</v>
      </c>
      <c r="AH115" s="20">
        <f>SUMIFS(estoque[valor total],estoque[fornecedor],"&lt;&gt;saída",estoque[produto],preçodiario[[#Headers],[OVO VERMELHO A]],estoque[data],preçodiario[[#This Row],[data]])</f>
        <v>0</v>
      </c>
      <c r="AI115" s="20">
        <f>IFERROR(preçodiario[[#This Row],[OVO VERMELHO A]]*preçodiario[[#This Row],[estoque AV]],0)</f>
        <v>0</v>
      </c>
      <c r="AJ1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Row],[data]])),((AJ114*AK114)+SUMIFS(estoque[valor total],estoque[produto],preçodiario[[#Headers],[OVO VERMELHO B]],estoque[data],preçodiario[[#This Row],[data]],estoque[fornecedor],"&lt;&gt;saída"))/(AK114+(SUMIFS(estoque[quantidade],estoque[produto],preçodiario[[#Headers],[OVO VERMELHO B]],estoque[fornecedor],"&lt;&gt;saída",estoque[data],preçodiario[[#This Row],[data]])))))</f>
        <v/>
      </c>
      <c r="AK115" s="22">
        <f>IF(preçodiario[[#This Row],[entrada BV]]=0,AK114-(SUMIFS(estoque[quantidade],estoque[fornecedor],"saída",estoque[produto],preçodiario[[#Headers],[OVO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Row],[data]]))+AK114+preçodiario[[#This Row],[entrada BV]])</f>
        <v>0</v>
      </c>
      <c r="AL115" s="22">
        <f>SUMIFS(estoque[quantidade],estoque[fornecedor],"&lt;&gt;saída",estoque[produto],preçodiario[[#Headers],[OVO VERMELHO B]],estoque[data],preçodiario[[#This Row],[data]])</f>
        <v>0</v>
      </c>
      <c r="AM115" s="20">
        <f>SUMIFS(estoque[valor total],estoque[fornecedor],"&lt;&gt;saída",estoque[produto],preçodiario[[#Headers],[OVO VERMELHO B]],estoque[data],preçodiario[[#This Row],[data]])</f>
        <v>0</v>
      </c>
      <c r="AN115" s="20">
        <f>IFERROR(preçodiario[[#This Row],[OVO VERMELHO B]]*preçodiario[[#This Row],[estoque BV]],0)</f>
        <v>0</v>
      </c>
      <c r="AO1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Row],[data]])),((AO114*AP114)+SUMIFS(estoque[valor total],estoque[produto],preçodiario[[#Headers],[OVO VERMELHO C]],estoque[data],preçodiario[[#This Row],[data]],estoque[fornecedor],"&lt;&gt;saída"))/(AP114+(SUMIFS(estoque[quantidade],estoque[produto],preçodiario[[#Headers],[OVO VERMELHO C]],estoque[fornecedor],"&lt;&gt;saída",estoque[data],preçodiario[[#This Row],[data]])))))</f>
        <v/>
      </c>
      <c r="AP115" s="22">
        <f>IF(preçodiario[[#This Row],[entrada CV]]=0,AP114-(SUMIFS(estoque[quantidade],estoque[fornecedor],"saída",estoque[produto],preçodiario[[#Headers],[OVO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Row],[data]]))+AP114+preçodiario[[#This Row],[entrada CV]])</f>
        <v>0</v>
      </c>
      <c r="AQ115" s="22">
        <f>SUMIFS(estoque[quantidade],estoque[fornecedor],"&lt;&gt;saída",estoque[produto],preçodiario[[#Headers],[OVO VERMELHO C]],estoque[data],preçodiario[[#This Row],[data]])</f>
        <v>0</v>
      </c>
      <c r="AR115" s="20">
        <f>SUMIFS(estoque[valor total],estoque[fornecedor],"&lt;&gt;saída",estoque[produto],preçodiario[[#Headers],[OVO VERMELHO C]],estoque[data],preçodiario[[#This Row],[data]])</f>
        <v>0</v>
      </c>
      <c r="AS115" s="20">
        <f>IFERROR(preçodiario[[#This Row],[OVO VERMELHO C]]*preçodiario[[#This Row],[estoque CV]],0)</f>
        <v>0</v>
      </c>
      <c r="AT1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Row],[data]])),((AT114*AU114)+SUMIFS(estoque[valor total],estoque[produto],preçodiario[[#Headers],[OVO VERMELHO EXTRA]],estoque[data],preçodiario[[#This Row],[data]],estoque[fornecedor],"&lt;&gt;saída"))/(AU114+(SUMIFS(estoque[quantidade],estoque[produto],preçodiario[[#Headers],[OVO VERMELHO EXTRA]],estoque[fornecedor],"&lt;&gt;saída",estoque[data],preçodiario[[#This Row],[data]])))))</f>
        <v/>
      </c>
      <c r="AU115" s="22">
        <f>IF(preçodiario[[#This Row],[entrada EV]]=0,AU114-(SUMIFS(estoque[quantidade],estoque[fornecedor],"saída",estoque[produto],preçodiario[[#Headers],[OVO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Row],[data]]))+AU114+preçodiario[[#This Row],[entrada EV]])</f>
        <v>0</v>
      </c>
      <c r="AV115" s="22">
        <f>SUMIFS(estoque[quantidade],estoque[fornecedor],"&lt;&gt;saída",estoque[produto],preçodiario[[#Headers],[OVO VERMELHO EXTRA]],estoque[data],preçodiario[[#This Row],[data]])</f>
        <v>0</v>
      </c>
      <c r="AW115" s="20">
        <f>SUMIFS(estoque[valor total],estoque[fornecedor],"&lt;&gt;saída",estoque[produto],preçodiario[[#Headers],[OVO VERMELHO EXTRA]],estoque[data],preçodiario[[#This Row],[data]])</f>
        <v>0</v>
      </c>
      <c r="AX115" s="20">
        <f>IFERROR(preçodiario[[#This Row],[OVO VERMELHO EXTRA]]*preçodiario[[#This Row],[estoque EV]],0)</f>
        <v>0</v>
      </c>
      <c r="AY1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Row],[data]])),((AY114*AZ114)+SUMIFS(estoque[valor total],estoque[produto],preçodiario[[#Headers],[OVO VERMELHO JUMBO]],estoque[data],preçodiario[[#This Row],[data]],estoque[fornecedor],"&lt;&gt;saída"))/(AZ114+(SUMIFS(estoque[quantidade],estoque[produto],preçodiario[[#Headers],[OVO VERMELHO JUMBO]],estoque[fornecedor],"&lt;&gt;saída",estoque[data],preçodiario[[#This Row],[data]])))))</f>
        <v/>
      </c>
      <c r="AZ115" s="22">
        <f>IF(preçodiario[[#This Row],[entrada JV]]=0,AZ114-(SUMIFS(estoque[quantidade],estoque[fornecedor],"saída",estoque[produto],preçodiario[[#Headers],[OVO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Row],[data]]))+AZ114+preçodiario[[#This Row],[entrada JV]])</f>
        <v>0</v>
      </c>
      <c r="BA115" s="22">
        <f>SUMIFS(estoque[quantidade],estoque[fornecedor],"&lt;&gt;saída",estoque[produto],preçodiario[[#Headers],[OVO VERMELHO JUMBO]],estoque[data],preçodiario[[#This Row],[data]])</f>
        <v>0</v>
      </c>
      <c r="BB115" s="20">
        <f>SUMIFS(estoque[valor total],estoque[fornecedor],"&lt;&gt;saída",estoque[produto],preçodiario[[#Headers],[OVO VERMELHO JUMBO]],estoque[data],preçodiario[[#This Row],[data]])</f>
        <v>0</v>
      </c>
      <c r="BC115" s="20">
        <f>IFERROR(preçodiario[[#This Row],[OVO VERMELHO JUMBO]]*preçodiario[[#This Row],[estoque JV]],0)</f>
        <v>0</v>
      </c>
      <c r="BD115" t="str">
        <f>TEXT(vendaAno[[#This Row],[data]],"mmm")</f>
        <v>abr</v>
      </c>
      <c r="BE115" t="str">
        <f>TEXT(vendaAno[[#This Row],[data]],"ddd")</f>
        <v>sex</v>
      </c>
      <c r="BF115" s="82">
        <f>WEEKNUM(vendaAno[[#This Row],[data]],13)</f>
        <v>17</v>
      </c>
      <c r="BG115" s="27">
        <f>preçodiario[[#This Row],[data]]</f>
        <v>46136</v>
      </c>
      <c r="BH1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5" s="8">
        <f>IF(SUMIFS(estoque[valor total],estoque[fornecedor],"saída",estoque[data],vendaAno[[#This Row],[data]])=0,"",SUMIFS(estoque[valor total],estoque[fornecedor],"saída",estoque[data],vendaAno[[#This Row],[data]]))</f>
        <v>384</v>
      </c>
      <c r="BJ11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Row],[data]]))/12+BJ114,"")</f>
        <v>28.083333333333314</v>
      </c>
      <c r="BK115" s="79">
        <f ca="1">IF(TODAY()&gt;=vendaAno[[#This Row],[data]],IF(SUMIFS(estoque[quantidade],estoque[fornecedor],"saída",estoque[data],vendaAno[[#This Row],[data]])/12=0,AVERAGE(BK112:BK114),SUMIFS(estoque[quantidade],estoque[fornecedor],"saída",estoque[data],vendaAno[[#This Row],[data]])/12),"")</f>
        <v>1.5</v>
      </c>
      <c r="BL115" s="8">
        <f ca="1">IF(vendaAno[[#This Row],[data]]&lt;=TODAY(),IF(SUMIFS(estoque[lucro],estoque[fornecedor],"saída",estoque[data],vendaAno[[#This Row],[data]])=0,AVERAGE(BL112:BL114),SUMIFS(estoque[lucro],estoque[fornecedor],"saída",estoque[data],vendaAno[[#This Row],[data]])),"")</f>
        <v>78.819999999999993</v>
      </c>
      <c r="BM115" s="10">
        <f ca="1">IFERROR(vendaAno[[#This Row],[lucro]]/vendaAno[[#This Row],[valor de venda]],"")</f>
        <v>0.20526041666666664</v>
      </c>
      <c r="BN11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5684.7220643875207</v>
      </c>
      <c r="BO115" s="8">
        <f ca="1">IF(TODAY()&gt;=vendaAno[[#This Row],[data]],IF(vendaAno[[#This Row],[N°]]=BF114,vendaAno[[#This Row],[lucro]]-173.33+BO114,vendaAno[[#This Row],[lucro]]-150),"")</f>
        <v>-35.420000000000073</v>
      </c>
      <c r="BP115" s="81">
        <f ca="1">IF(TODAY()&gt;=vendaAno[[#This Row],[data]],SUM(BK109:BK115)*12,"")</f>
        <v>231</v>
      </c>
      <c r="BQ115" s="7">
        <f ca="1">IFERROR(vendaAno[[#This Row],[lucro]]/(vendaAno[[#This Row],[venda]]*12),"")</f>
        <v>4.3788888888888886</v>
      </c>
    </row>
    <row r="116" spans="1:69" x14ac:dyDescent="0.25">
      <c r="A1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6" s="18" t="str">
        <f>TEXT(preçodiario[[#This Row],[data]],"MMM")</f>
        <v>abr</v>
      </c>
      <c r="C116" s="18" t="str">
        <f>TEXT(preçodiario[[#This Row],[data]],"ddd")</f>
        <v>sáb</v>
      </c>
      <c r="D116" s="96">
        <f>WEEKNUM(preçodiario[[#This Row],[data]],13)</f>
        <v>17</v>
      </c>
      <c r="E116" s="37">
        <v>46137</v>
      </c>
      <c r="F1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Row],[data]])),((F115*G115)+SUMIFS(estoque[valor total],estoque[produto],preçodiario[[#Headers],[OVO BRANCO A]],estoque[data],preçodiario[[#This Row],[data]],estoque[fornecedor],"&lt;&gt;saída"))/(G115+(SUMIFS(estoque[quantidade],estoque[produto],preçodiario[[#Headers],[OVO BRANCO A]],estoque[fornecedor],"&lt;&gt;saída",estoque[data],preçodiario[[#This Row],[data]])))))</f>
        <v>16.655555555555555</v>
      </c>
      <c r="G116" s="22">
        <f>IF(preçodiario[[#This Row],[entrada A]]=0,G115-(SUMIFS(estoque[quantidade],estoque[fornecedor],"saída",estoque[produto],preçodiario[[#Headers],[OVO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Row],[data]]))+G115+preçodiario[[#This Row],[entrada A]])</f>
        <v>96</v>
      </c>
      <c r="H116" s="22">
        <f>SUMIFS(estoque[quantidade],estoque[fornecedor],"&lt;&gt;saída",estoque[produto],preçodiario[[#Headers],[OVO BRANCO A]],estoque[data],preçodiario[[#This Row],[data]])</f>
        <v>0</v>
      </c>
      <c r="I116" s="20">
        <f>SUMIFS(estoque[valor total],estoque[fornecedor],"&lt;&gt;saída",estoque[produto],preçodiario[[#Headers],[OVO BRANCO A]],estoque[data],preçodiario[[#This Row],[data]])</f>
        <v>0</v>
      </c>
      <c r="J116" s="20">
        <f>IFERROR(preçodiario[[#This Row],[estoque A]]*preçodiario[[#This Row],[OVO BRANCO A]],0)</f>
        <v>1598.9333333333334</v>
      </c>
      <c r="K1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Row],[data]])),((K115*L115)+SUMIFS(estoque[valor total],estoque[produto],preçodiario[[#Headers],[OVO BRANCO B]],estoque[data],preçodiario[[#This Row],[data]],estoque[fornecedor],"&lt;&gt;saída"))/(L115+(SUMIFS(estoque[quantidade],estoque[produto],preçodiario[[#Headers],[OVO BRANCO B]],estoque[fornecedor],"&lt;&gt;saída",estoque[data],preçodiario[[#This Row],[data]])))))</f>
        <v>16.202107706733738</v>
      </c>
      <c r="L116" s="22">
        <f>IF(preçodiario[[#This Row],[entrada B]]=0,L115-(SUMIFS(estoque[quantidade],estoque[fornecedor],"saída",estoque[produto],preçodiario[[#Headers],[OVO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Row],[data]]))+L115+preçodiario[[#This Row],[entrada B]])</f>
        <v>65</v>
      </c>
      <c r="M116" s="22">
        <f>SUMIFS(estoque[quantidade],estoque[fornecedor],"&lt;&gt;saída",estoque[produto],preçodiario[[#Headers],[OVO BRANCO B]],estoque[data],preçodiario[[#This Row],[data]])</f>
        <v>0</v>
      </c>
      <c r="N116" s="20">
        <f>SUMIFS(estoque[valor total],estoque[fornecedor],"&lt;&gt;saída",estoque[produto],preçodiario[[#Headers],[OVO BRANCO B]],estoque[data],preçodiario[[#This Row],[data]])</f>
        <v>0</v>
      </c>
      <c r="O116" s="20">
        <f>IFERROR(preçodiario[[#This Row],[OVO BRANCO B]]*preçodiario[[#This Row],[estoque B]],0)</f>
        <v>1053.1370009376931</v>
      </c>
      <c r="P11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Row],[data]])),((P115*Q115)+SUMIFS(estoque[valor total],estoque[produto],preçodiario[[#Headers],[OVO BRANCO C]],estoque[data],preçodiario[[#This Row],[data]],estoque[fornecedor],"&lt;&gt;saída"))/(Q115+(SUMIFS(estoque[quantidade],estoque[produto],preçodiario[[#Headers],[OVO BRANCO C]],estoque[fornecedor],"&lt;&gt;saída",estoque[data],preçodiario[[#This Row],[data]])))))</f>
        <v/>
      </c>
      <c r="Q116" s="22">
        <f>IF(preçodiario[[#This Row],[entrada C]]=0,Q115-(SUMIFS(estoque[quantidade],estoque[fornecedor],"saída",estoque[produto],preçodiario[[#Headers],[OVO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Row],[data]]))+Q115+preçodiario[[#This Row],[entrada C]])</f>
        <v>0</v>
      </c>
      <c r="R116" s="22">
        <f>SUMIFS(estoque[quantidade],estoque[fornecedor],"&lt;&gt;saída",estoque[produto],preçodiario[[#Headers],[OVO BRANCO C]],estoque[data],preçodiario[[#This Row],[data]])</f>
        <v>0</v>
      </c>
      <c r="S116" s="20">
        <f>SUMIFS(estoque[valor total],estoque[fornecedor],"&lt;&gt;saída",estoque[produto],preçodiario[[#Headers],[OVO BRANCO C]],estoque[data],preçodiario[[#This Row],[data]])</f>
        <v>0</v>
      </c>
      <c r="T116" s="20">
        <f>IFERROR(preçodiario[[#This Row],[OVO BRANCO C]]*preçodiario[[#This Row],[estoque C]],0)</f>
        <v>0</v>
      </c>
      <c r="U1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Row],[data]])),((U115*V115)+SUMIFS(estoque[valor total],estoque[produto],preçodiario[[#Headers],[OVO BRANCO EXTRA]],estoque[data],preçodiario[[#This Row],[data]],estoque[fornecedor],"&lt;&gt;saída"))/(V115+(SUMIFS(estoque[quantidade],estoque[produto],preçodiario[[#Headers],[OVO BRANCO EXTRA]],estoque[fornecedor],"&lt;&gt;saída",estoque[data],preçodiario[[#This Row],[data]])))))</f>
        <v>17.083333333333332</v>
      </c>
      <c r="V116" s="22">
        <f>IF(preçodiario[[#This Row],[entrada E]]=0,V115-(SUMIFS(estoque[quantidade],estoque[fornecedor],"saída",estoque[produto],preçodiario[[#Headers],[OVO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Row],[data]]))+V115+preçodiario[[#This Row],[entrada E]])</f>
        <v>65</v>
      </c>
      <c r="W116" s="22">
        <f>SUMIFS(estoque[quantidade],estoque[fornecedor],"&lt;&gt;saída",estoque[produto],preçodiario[[#Headers],[OVO BRANCO EXTRA]],estoque[data],preçodiario[[#This Row],[data]])</f>
        <v>0</v>
      </c>
      <c r="X116" s="20">
        <f>SUMIFS(estoque[valor total],estoque[fornecedor],"&lt;&gt;saída",estoque[produto],preçodiario[[#Headers],[OVO BRANCO EXTRA]],estoque[data],preçodiario[[#This Row],[data]])</f>
        <v>0</v>
      </c>
      <c r="Y116" s="20">
        <f>IFERROR(preçodiario[[#This Row],[estoque E]]*preçodiario[[#This Row],[OVO BRANCO EXTRA]],0)</f>
        <v>1110.4166666666665</v>
      </c>
      <c r="Z1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Row],[data]])),((Z115*AA115)+SUMIFS(estoque[valor total],estoque[produto],preçodiario[[#Headers],[OVO BRANCO JUMBO]],estoque[data],preçodiario[[#This Row],[data]],estoque[fornecedor],"&lt;&gt;saída"))/(AA115+(SUMIFS(estoque[quantidade],estoque[produto],preçodiario[[#Headers],[OVO BRANCO JUMBO]],estoque[fornecedor],"&lt;&gt;saída",estoque[data],preçodiario[[#This Row],[data]])))))</f>
        <v>17.5</v>
      </c>
      <c r="AA116" s="22">
        <f>IF(preçodiario[[#This Row],[entrada J]]=0,AA115-(SUMIFS(estoque[quantidade],estoque[fornecedor],"saída",estoque[produto],preçodiario[[#Headers],[OVO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Row],[data]]))+AA115+preçodiario[[#This Row],[entrada J]])</f>
        <v>92</v>
      </c>
      <c r="AB116" s="22">
        <f>SUMIFS(estoque[quantidade],estoque[fornecedor],"&lt;&gt;saída",estoque[produto],preçodiario[[#Headers],[OVO BRANCO JUMBO]],estoque[data],preçodiario[[#This Row],[data]])</f>
        <v>0</v>
      </c>
      <c r="AC116" s="20">
        <f>SUMIFS(estoque[valor total],estoque[fornecedor],"&lt;&gt;saída",estoque[produto],preçodiario[[#Headers],[OVO BRANCO JUMBO]],estoque[data],preçodiario[[#This Row],[data]])</f>
        <v>0</v>
      </c>
      <c r="AD116" s="20">
        <f>IFERROR(preçodiario[[#This Row],[OVO BRANCO JUMBO]]*preçodiario[[#This Row],[estoque J]],0)</f>
        <v>1610</v>
      </c>
      <c r="AE1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Row],[data]])),((AE115*AF115)+SUMIFS(estoque[valor total],estoque[produto],preçodiario[[#Headers],[OVO VERMELHO A]],estoque[data],preçodiario[[#This Row],[data]],estoque[fornecedor],"&lt;&gt;saída"))/(AF115+(SUMIFS(estoque[quantidade],estoque[produto],preçodiario[[#Headers],[OVO VERMELHO A]],estoque[fornecedor],"&lt;&gt;saída",estoque[data],preçodiario[[#This Row],[data]])))))</f>
        <v/>
      </c>
      <c r="AF116" s="22">
        <f>IF(preçodiario[[#This Row],[entrada AV]]=0,AF115-(SUMIFS(estoque[quantidade],estoque[fornecedor],"saída",estoque[produto],preçodiario[[#Headers],[OVO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Row],[data]]))+AF115+preçodiario[[#This Row],[entrada AV]])</f>
        <v>0</v>
      </c>
      <c r="AG116" s="22">
        <f>SUMIFS(estoque[quantidade],estoque[fornecedor],"&lt;&gt;saída",estoque[produto],preçodiario[[#Headers],[OVO VERMELHO A]],estoque[data],preçodiario[[#This Row],[data]])</f>
        <v>0</v>
      </c>
      <c r="AH116" s="20">
        <f>SUMIFS(estoque[valor total],estoque[fornecedor],"&lt;&gt;saída",estoque[produto],preçodiario[[#Headers],[OVO VERMELHO A]],estoque[data],preçodiario[[#This Row],[data]])</f>
        <v>0</v>
      </c>
      <c r="AI116" s="20">
        <f>IFERROR(preçodiario[[#This Row],[OVO VERMELHO A]]*preçodiario[[#This Row],[estoque AV]],0)</f>
        <v>0</v>
      </c>
      <c r="AJ1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Row],[data]])),((AJ115*AK115)+SUMIFS(estoque[valor total],estoque[produto],preçodiario[[#Headers],[OVO VERMELHO B]],estoque[data],preçodiario[[#This Row],[data]],estoque[fornecedor],"&lt;&gt;saída"))/(AK115+(SUMIFS(estoque[quantidade],estoque[produto],preçodiario[[#Headers],[OVO VERMELHO B]],estoque[fornecedor],"&lt;&gt;saída",estoque[data],preçodiario[[#This Row],[data]])))))</f>
        <v/>
      </c>
      <c r="AK116" s="22">
        <f>IF(preçodiario[[#This Row],[entrada BV]]=0,AK115-(SUMIFS(estoque[quantidade],estoque[fornecedor],"saída",estoque[produto],preçodiario[[#Headers],[OVO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Row],[data]]))+AK115+preçodiario[[#This Row],[entrada BV]])</f>
        <v>0</v>
      </c>
      <c r="AL116" s="22">
        <f>SUMIFS(estoque[quantidade],estoque[fornecedor],"&lt;&gt;saída",estoque[produto],preçodiario[[#Headers],[OVO VERMELHO B]],estoque[data],preçodiario[[#This Row],[data]])</f>
        <v>0</v>
      </c>
      <c r="AM116" s="20">
        <f>SUMIFS(estoque[valor total],estoque[fornecedor],"&lt;&gt;saída",estoque[produto],preçodiario[[#Headers],[OVO VERMELHO B]],estoque[data],preçodiario[[#This Row],[data]])</f>
        <v>0</v>
      </c>
      <c r="AN116" s="20">
        <f>IFERROR(preçodiario[[#This Row],[OVO VERMELHO B]]*preçodiario[[#This Row],[estoque BV]],0)</f>
        <v>0</v>
      </c>
      <c r="AO1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Row],[data]])),((AO115*AP115)+SUMIFS(estoque[valor total],estoque[produto],preçodiario[[#Headers],[OVO VERMELHO C]],estoque[data],preçodiario[[#This Row],[data]],estoque[fornecedor],"&lt;&gt;saída"))/(AP115+(SUMIFS(estoque[quantidade],estoque[produto],preçodiario[[#Headers],[OVO VERMELHO C]],estoque[fornecedor],"&lt;&gt;saída",estoque[data],preçodiario[[#This Row],[data]])))))</f>
        <v/>
      </c>
      <c r="AP116" s="22">
        <f>IF(preçodiario[[#This Row],[entrada CV]]=0,AP115-(SUMIFS(estoque[quantidade],estoque[fornecedor],"saída",estoque[produto],preçodiario[[#Headers],[OVO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Row],[data]]))+AP115+preçodiario[[#This Row],[entrada CV]])</f>
        <v>0</v>
      </c>
      <c r="AQ116" s="22">
        <f>SUMIFS(estoque[quantidade],estoque[fornecedor],"&lt;&gt;saída",estoque[produto],preçodiario[[#Headers],[OVO VERMELHO C]],estoque[data],preçodiario[[#This Row],[data]])</f>
        <v>0</v>
      </c>
      <c r="AR116" s="20">
        <f>SUMIFS(estoque[valor total],estoque[fornecedor],"&lt;&gt;saída",estoque[produto],preçodiario[[#Headers],[OVO VERMELHO C]],estoque[data],preçodiario[[#This Row],[data]])</f>
        <v>0</v>
      </c>
      <c r="AS116" s="20">
        <f>IFERROR(preçodiario[[#This Row],[OVO VERMELHO C]]*preçodiario[[#This Row],[estoque CV]],0)</f>
        <v>0</v>
      </c>
      <c r="AT1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Row],[data]])),((AT115*AU115)+SUMIFS(estoque[valor total],estoque[produto],preçodiario[[#Headers],[OVO VERMELHO EXTRA]],estoque[data],preçodiario[[#This Row],[data]],estoque[fornecedor],"&lt;&gt;saída"))/(AU115+(SUMIFS(estoque[quantidade],estoque[produto],preçodiario[[#Headers],[OVO VERMELHO EXTRA]],estoque[fornecedor],"&lt;&gt;saída",estoque[data],preçodiario[[#This Row],[data]])))))</f>
        <v/>
      </c>
      <c r="AU116" s="22">
        <f>IF(preçodiario[[#This Row],[entrada EV]]=0,AU115-(SUMIFS(estoque[quantidade],estoque[fornecedor],"saída",estoque[produto],preçodiario[[#Headers],[OVO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Row],[data]]))+AU115+preçodiario[[#This Row],[entrada EV]])</f>
        <v>0</v>
      </c>
      <c r="AV116" s="22">
        <f>SUMIFS(estoque[quantidade],estoque[fornecedor],"&lt;&gt;saída",estoque[produto],preçodiario[[#Headers],[OVO VERMELHO EXTRA]],estoque[data],preçodiario[[#This Row],[data]])</f>
        <v>0</v>
      </c>
      <c r="AW116" s="20">
        <f>SUMIFS(estoque[valor total],estoque[fornecedor],"&lt;&gt;saída",estoque[produto],preçodiario[[#Headers],[OVO VERMELHO EXTRA]],estoque[data],preçodiario[[#This Row],[data]])</f>
        <v>0</v>
      </c>
      <c r="AX116" s="20">
        <f>IFERROR(preçodiario[[#This Row],[OVO VERMELHO EXTRA]]*preçodiario[[#This Row],[estoque EV]],0)</f>
        <v>0</v>
      </c>
      <c r="AY1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Row],[data]])),((AY115*AZ115)+SUMIFS(estoque[valor total],estoque[produto],preçodiario[[#Headers],[OVO VERMELHO JUMBO]],estoque[data],preçodiario[[#This Row],[data]],estoque[fornecedor],"&lt;&gt;saída"))/(AZ115+(SUMIFS(estoque[quantidade],estoque[produto],preçodiario[[#Headers],[OVO VERMELHO JUMBO]],estoque[fornecedor],"&lt;&gt;saída",estoque[data],preçodiario[[#This Row],[data]])))))</f>
        <v/>
      </c>
      <c r="AZ116" s="22">
        <f>IF(preçodiario[[#This Row],[entrada JV]]=0,AZ115-(SUMIFS(estoque[quantidade],estoque[fornecedor],"saída",estoque[produto],preçodiario[[#Headers],[OVO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Row],[data]]))+AZ115+preçodiario[[#This Row],[entrada JV]])</f>
        <v>0</v>
      </c>
      <c r="BA116" s="22">
        <f>SUMIFS(estoque[quantidade],estoque[fornecedor],"&lt;&gt;saída",estoque[produto],preçodiario[[#Headers],[OVO VERMELHO JUMBO]],estoque[data],preçodiario[[#This Row],[data]])</f>
        <v>0</v>
      </c>
      <c r="BB116" s="20">
        <f>SUMIFS(estoque[valor total],estoque[fornecedor],"&lt;&gt;saída",estoque[produto],preçodiario[[#Headers],[OVO VERMELHO JUMBO]],estoque[data],preçodiario[[#This Row],[data]])</f>
        <v>0</v>
      </c>
      <c r="BC116" s="20">
        <f>IFERROR(preçodiario[[#This Row],[OVO VERMELHO JUMBO]]*preçodiario[[#This Row],[estoque JV]],0)</f>
        <v>0</v>
      </c>
      <c r="BD116" t="str">
        <f>TEXT(vendaAno[[#This Row],[data]],"mmm")</f>
        <v>abr</v>
      </c>
      <c r="BE116" t="str">
        <f>TEXT(vendaAno[[#This Row],[data]],"ddd")</f>
        <v>sáb</v>
      </c>
      <c r="BF116" s="82">
        <f>WEEKNUM(vendaAno[[#This Row],[data]],13)</f>
        <v>17</v>
      </c>
      <c r="BG116" s="27">
        <f>preçodiario[[#This Row],[data]]</f>
        <v>46137</v>
      </c>
      <c r="BH1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6" s="8">
        <f>IF(SUMIFS(estoque[valor total],estoque[fornecedor],"saída",estoque[data],vendaAno[[#This Row],[data]])=0,"",SUMIFS(estoque[valor total],estoque[fornecedor],"saída",estoque[data],vendaAno[[#This Row],[data]]))</f>
        <v>380.5</v>
      </c>
      <c r="BJ11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Row],[data]]))/12+BJ115,"")</f>
        <v>26.499999999999982</v>
      </c>
      <c r="BK116" s="79">
        <f ca="1">IF(TODAY()&gt;=vendaAno[[#This Row],[data]],IF(SUMIFS(estoque[quantidade],estoque[fornecedor],"saída",estoque[data],vendaAno[[#This Row],[data]])/12=0,AVERAGE(BK113:BK115),SUMIFS(estoque[quantidade],estoque[fornecedor],"saída",estoque[data],vendaAno[[#This Row],[data]])/12),"")</f>
        <v>1.5833333333333333</v>
      </c>
      <c r="BL116" s="8">
        <f ca="1">IF(vendaAno[[#This Row],[data]]&lt;=TODAY(),IF(SUMIFS(estoque[lucro],estoque[fornecedor],"saída",estoque[data],vendaAno[[#This Row],[data]])=0,AVERAGE(BL113:BL115),SUMIFS(estoque[lucro],estoque[fornecedor],"saída",estoque[data],vendaAno[[#This Row],[data]])),"")</f>
        <v>68.260000000000005</v>
      </c>
      <c r="BM116" s="10">
        <f ca="1">IFERROR(vendaAno[[#This Row],[lucro]]/vendaAno[[#This Row],[valor de venda]],"")</f>
        <v>0.17939553219448096</v>
      </c>
      <c r="BN11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5372.4870009376928</v>
      </c>
      <c r="BO116" s="8">
        <f ca="1">IF(TODAY()&gt;=vendaAno[[#This Row],[data]],IF(vendaAno[[#This Row],[N°]]=BF115,vendaAno[[#This Row],[lucro]]-173.33+BO115,vendaAno[[#This Row],[lucro]]-150),"")</f>
        <v>-140.49000000000007</v>
      </c>
      <c r="BP116" s="81">
        <f ca="1">IF(TODAY()&gt;=vendaAno[[#This Row],[data]],SUM(BK110:BK116)*12,"")</f>
        <v>247</v>
      </c>
      <c r="BQ116" s="7">
        <f ca="1">IFERROR(vendaAno[[#This Row],[lucro]]/(vendaAno[[#This Row],[venda]]*12),"")</f>
        <v>3.5926315789473686</v>
      </c>
    </row>
    <row r="117" spans="1:69" x14ac:dyDescent="0.25">
      <c r="A1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7" s="18" t="str">
        <f>TEXT(preçodiario[[#This Row],[data]],"MMM")</f>
        <v>abr</v>
      </c>
      <c r="C117" s="18" t="str">
        <f>TEXT(preçodiario[[#This Row],[data]],"ddd")</f>
        <v>dom</v>
      </c>
      <c r="D117" s="96">
        <f>WEEKNUM(preçodiario[[#This Row],[data]],13)</f>
        <v>17</v>
      </c>
      <c r="E117" s="37">
        <v>46138</v>
      </c>
      <c r="F1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Row],[data]])),((F116*G116)+SUMIFS(estoque[valor total],estoque[produto],preçodiario[[#Headers],[OVO BRANCO A]],estoque[data],preçodiario[[#This Row],[data]],estoque[fornecedor],"&lt;&gt;saída"))/(G116+(SUMIFS(estoque[quantidade],estoque[produto],preçodiario[[#Headers],[OVO BRANCO A]],estoque[fornecedor],"&lt;&gt;saída",estoque[data],preçodiario[[#This Row],[data]])))))</f>
        <v>16.655555555555555</v>
      </c>
      <c r="G117" s="22">
        <f>IF(preçodiario[[#This Row],[entrada A]]=0,G116-(SUMIFS(estoque[quantidade],estoque[fornecedor],"saída",estoque[produto],preçodiario[[#Headers],[OVO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Row],[data]]))+G116+preçodiario[[#This Row],[entrada A]])</f>
        <v>83</v>
      </c>
      <c r="H117" s="22">
        <f>SUMIFS(estoque[quantidade],estoque[fornecedor],"&lt;&gt;saída",estoque[produto],preçodiario[[#Headers],[OVO BRANCO A]],estoque[data],preçodiario[[#This Row],[data]])</f>
        <v>0</v>
      </c>
      <c r="I117" s="20">
        <f>SUMIFS(estoque[valor total],estoque[fornecedor],"&lt;&gt;saída",estoque[produto],preçodiario[[#Headers],[OVO BRANCO A]],estoque[data],preçodiario[[#This Row],[data]])</f>
        <v>0</v>
      </c>
      <c r="J117" s="20">
        <f>IFERROR(preçodiario[[#This Row],[estoque A]]*preçodiario[[#This Row],[OVO BRANCO A]],0)</f>
        <v>1382.411111111111</v>
      </c>
      <c r="K1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Row],[data]])),((K116*L116)+SUMIFS(estoque[valor total],estoque[produto],preçodiario[[#Headers],[OVO BRANCO B]],estoque[data],preçodiario[[#This Row],[data]],estoque[fornecedor],"&lt;&gt;saída"))/(L116+(SUMIFS(estoque[quantidade],estoque[produto],preçodiario[[#Headers],[OVO BRANCO B]],estoque[fornecedor],"&lt;&gt;saída",estoque[data],preçodiario[[#This Row],[data]])))))</f>
        <v>16.202107706733738</v>
      </c>
      <c r="L117" s="22">
        <f>IF(preçodiario[[#This Row],[entrada B]]=0,L116-(SUMIFS(estoque[quantidade],estoque[fornecedor],"saída",estoque[produto],preçodiario[[#Headers],[OVO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Row],[data]]))+L116+preçodiario[[#This Row],[entrada B]])</f>
        <v>51</v>
      </c>
      <c r="M117" s="22">
        <f>SUMIFS(estoque[quantidade],estoque[fornecedor],"&lt;&gt;saída",estoque[produto],preçodiario[[#Headers],[OVO BRANCO B]],estoque[data],preçodiario[[#This Row],[data]])</f>
        <v>0</v>
      </c>
      <c r="N117" s="20">
        <f>SUMIFS(estoque[valor total],estoque[fornecedor],"&lt;&gt;saída",estoque[produto],preçodiario[[#Headers],[OVO BRANCO B]],estoque[data],preçodiario[[#This Row],[data]])</f>
        <v>0</v>
      </c>
      <c r="O117" s="20">
        <f>IFERROR(preçodiario[[#This Row],[OVO BRANCO B]]*preçodiario[[#This Row],[estoque B]],0)</f>
        <v>826.30749304342066</v>
      </c>
      <c r="P11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Row],[data]])),((P116*Q116)+SUMIFS(estoque[valor total],estoque[produto],preçodiario[[#Headers],[OVO BRANCO C]],estoque[data],preçodiario[[#This Row],[data]],estoque[fornecedor],"&lt;&gt;saída"))/(Q116+(SUMIFS(estoque[quantidade],estoque[produto],preçodiario[[#Headers],[OVO BRANCO C]],estoque[fornecedor],"&lt;&gt;saída",estoque[data],preçodiario[[#This Row],[data]])))))</f>
        <v/>
      </c>
      <c r="Q117" s="22">
        <f>IF(preçodiario[[#This Row],[entrada C]]=0,Q116-(SUMIFS(estoque[quantidade],estoque[fornecedor],"saída",estoque[produto],preçodiario[[#Headers],[OVO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Row],[data]]))+Q116+preçodiario[[#This Row],[entrada C]])</f>
        <v>0</v>
      </c>
      <c r="R117" s="22">
        <f>SUMIFS(estoque[quantidade],estoque[fornecedor],"&lt;&gt;saída",estoque[produto],preçodiario[[#Headers],[OVO BRANCO C]],estoque[data],preçodiario[[#This Row],[data]])</f>
        <v>0</v>
      </c>
      <c r="S117" s="20">
        <f>SUMIFS(estoque[valor total],estoque[fornecedor],"&lt;&gt;saída",estoque[produto],preçodiario[[#Headers],[OVO BRANCO C]],estoque[data],preçodiario[[#This Row],[data]])</f>
        <v>0</v>
      </c>
      <c r="T117" s="20">
        <f>IFERROR(preçodiario[[#This Row],[OVO BRANCO C]]*preçodiario[[#This Row],[estoque C]],0)</f>
        <v>0</v>
      </c>
      <c r="U1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Row],[data]])),((U116*V116)+SUMIFS(estoque[valor total],estoque[produto],preçodiario[[#Headers],[OVO BRANCO EXTRA]],estoque[data],preçodiario[[#This Row],[data]],estoque[fornecedor],"&lt;&gt;saída"))/(V116+(SUMIFS(estoque[quantidade],estoque[produto],preçodiario[[#Headers],[OVO BRANCO EXTRA]],estoque[fornecedor],"&lt;&gt;saída",estoque[data],preçodiario[[#This Row],[data]])))))</f>
        <v>17.083333333333332</v>
      </c>
      <c r="V117" s="22">
        <f>IF(preçodiario[[#This Row],[entrada E]]=0,V116-(SUMIFS(estoque[quantidade],estoque[fornecedor],"saída",estoque[produto],preçodiario[[#Headers],[OVO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Row],[data]]))+V116+preçodiario[[#This Row],[entrada E]])</f>
        <v>59</v>
      </c>
      <c r="W117" s="22">
        <f>SUMIFS(estoque[quantidade],estoque[fornecedor],"&lt;&gt;saída",estoque[produto],preçodiario[[#Headers],[OVO BRANCO EXTRA]],estoque[data],preçodiario[[#This Row],[data]])</f>
        <v>0</v>
      </c>
      <c r="X117" s="20">
        <f>SUMIFS(estoque[valor total],estoque[fornecedor],"&lt;&gt;saída",estoque[produto],preçodiario[[#Headers],[OVO BRANCO EXTRA]],estoque[data],preçodiario[[#This Row],[data]])</f>
        <v>0</v>
      </c>
      <c r="Y117" s="20">
        <f>IFERROR(preçodiario[[#This Row],[estoque E]]*preçodiario[[#This Row],[OVO BRANCO EXTRA]],0)</f>
        <v>1007.9166666666666</v>
      </c>
      <c r="Z1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Row],[data]])),((Z116*AA116)+SUMIFS(estoque[valor total],estoque[produto],preçodiario[[#Headers],[OVO BRANCO JUMBO]],estoque[data],preçodiario[[#This Row],[data]],estoque[fornecedor],"&lt;&gt;saída"))/(AA116+(SUMIFS(estoque[quantidade],estoque[produto],preçodiario[[#Headers],[OVO BRANCO JUMBO]],estoque[fornecedor],"&lt;&gt;saída",estoque[data],preçodiario[[#This Row],[data]])))))</f>
        <v>17.5</v>
      </c>
      <c r="AA117" s="22">
        <f>IF(preçodiario[[#This Row],[entrada J]]=0,AA116-(SUMIFS(estoque[quantidade],estoque[fornecedor],"saída",estoque[produto],preçodiario[[#Headers],[OVO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Row],[data]]))+AA116+preçodiario[[#This Row],[entrada J]])</f>
        <v>84</v>
      </c>
      <c r="AB117" s="22">
        <f>SUMIFS(estoque[quantidade],estoque[fornecedor],"&lt;&gt;saída",estoque[produto],preçodiario[[#Headers],[OVO BRANCO JUMBO]],estoque[data],preçodiario[[#This Row],[data]])</f>
        <v>0</v>
      </c>
      <c r="AC117" s="20">
        <f>SUMIFS(estoque[valor total],estoque[fornecedor],"&lt;&gt;saída",estoque[produto],preçodiario[[#Headers],[OVO BRANCO JUMBO]],estoque[data],preçodiario[[#This Row],[data]])</f>
        <v>0</v>
      </c>
      <c r="AD117" s="20">
        <f>IFERROR(preçodiario[[#This Row],[OVO BRANCO JUMBO]]*preçodiario[[#This Row],[estoque J]],0)</f>
        <v>1470</v>
      </c>
      <c r="AE1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Row],[data]])),((AE116*AF116)+SUMIFS(estoque[valor total],estoque[produto],preçodiario[[#Headers],[OVO VERMELHO A]],estoque[data],preçodiario[[#This Row],[data]],estoque[fornecedor],"&lt;&gt;saída"))/(AF116+(SUMIFS(estoque[quantidade],estoque[produto],preçodiario[[#Headers],[OVO VERMELHO A]],estoque[fornecedor],"&lt;&gt;saída",estoque[data],preçodiario[[#This Row],[data]])))))</f>
        <v/>
      </c>
      <c r="AF117" s="22">
        <f>IF(preçodiario[[#This Row],[entrada AV]]=0,AF116-(SUMIFS(estoque[quantidade],estoque[fornecedor],"saída",estoque[produto],preçodiario[[#Headers],[OVO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Row],[data]]))+AF116+preçodiario[[#This Row],[entrada AV]])</f>
        <v>0</v>
      </c>
      <c r="AG117" s="22">
        <f>SUMIFS(estoque[quantidade],estoque[fornecedor],"&lt;&gt;saída",estoque[produto],preçodiario[[#Headers],[OVO VERMELHO A]],estoque[data],preçodiario[[#This Row],[data]])</f>
        <v>0</v>
      </c>
      <c r="AH117" s="20">
        <f>SUMIFS(estoque[valor total],estoque[fornecedor],"&lt;&gt;saída",estoque[produto],preçodiario[[#Headers],[OVO VERMELHO A]],estoque[data],preçodiario[[#This Row],[data]])</f>
        <v>0</v>
      </c>
      <c r="AI117" s="20">
        <f>IFERROR(preçodiario[[#This Row],[OVO VERMELHO A]]*preçodiario[[#This Row],[estoque AV]],0)</f>
        <v>0</v>
      </c>
      <c r="AJ1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Row],[data]])),((AJ116*AK116)+SUMIFS(estoque[valor total],estoque[produto],preçodiario[[#Headers],[OVO VERMELHO B]],estoque[data],preçodiario[[#This Row],[data]],estoque[fornecedor],"&lt;&gt;saída"))/(AK116+(SUMIFS(estoque[quantidade],estoque[produto],preçodiario[[#Headers],[OVO VERMELHO B]],estoque[fornecedor],"&lt;&gt;saída",estoque[data],preçodiario[[#This Row],[data]])))))</f>
        <v/>
      </c>
      <c r="AK117" s="22">
        <f>IF(preçodiario[[#This Row],[entrada BV]]=0,AK116-(SUMIFS(estoque[quantidade],estoque[fornecedor],"saída",estoque[produto],preçodiario[[#Headers],[OVO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Row],[data]]))+AK116+preçodiario[[#This Row],[entrada BV]])</f>
        <v>0</v>
      </c>
      <c r="AL117" s="22">
        <f>SUMIFS(estoque[quantidade],estoque[fornecedor],"&lt;&gt;saída",estoque[produto],preçodiario[[#Headers],[OVO VERMELHO B]],estoque[data],preçodiario[[#This Row],[data]])</f>
        <v>0</v>
      </c>
      <c r="AM117" s="20">
        <f>SUMIFS(estoque[valor total],estoque[fornecedor],"&lt;&gt;saída",estoque[produto],preçodiario[[#Headers],[OVO VERMELHO B]],estoque[data],preçodiario[[#This Row],[data]])</f>
        <v>0</v>
      </c>
      <c r="AN117" s="20">
        <f>IFERROR(preçodiario[[#This Row],[OVO VERMELHO B]]*preçodiario[[#This Row],[estoque BV]],0)</f>
        <v>0</v>
      </c>
      <c r="AO1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Row],[data]])),((AO116*AP116)+SUMIFS(estoque[valor total],estoque[produto],preçodiario[[#Headers],[OVO VERMELHO C]],estoque[data],preçodiario[[#This Row],[data]],estoque[fornecedor],"&lt;&gt;saída"))/(AP116+(SUMIFS(estoque[quantidade],estoque[produto],preçodiario[[#Headers],[OVO VERMELHO C]],estoque[fornecedor],"&lt;&gt;saída",estoque[data],preçodiario[[#This Row],[data]])))))</f>
        <v/>
      </c>
      <c r="AP117" s="22">
        <f>IF(preçodiario[[#This Row],[entrada CV]]=0,AP116-(SUMIFS(estoque[quantidade],estoque[fornecedor],"saída",estoque[produto],preçodiario[[#Headers],[OVO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Row],[data]]))+AP116+preçodiario[[#This Row],[entrada CV]])</f>
        <v>0</v>
      </c>
      <c r="AQ117" s="22">
        <f>SUMIFS(estoque[quantidade],estoque[fornecedor],"&lt;&gt;saída",estoque[produto],preçodiario[[#Headers],[OVO VERMELHO C]],estoque[data],preçodiario[[#This Row],[data]])</f>
        <v>0</v>
      </c>
      <c r="AR117" s="20">
        <f>SUMIFS(estoque[valor total],estoque[fornecedor],"&lt;&gt;saída",estoque[produto],preçodiario[[#Headers],[OVO VERMELHO C]],estoque[data],preçodiario[[#This Row],[data]])</f>
        <v>0</v>
      </c>
      <c r="AS117" s="20">
        <f>IFERROR(preçodiario[[#This Row],[OVO VERMELHO C]]*preçodiario[[#This Row],[estoque CV]],0)</f>
        <v>0</v>
      </c>
      <c r="AT1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Row],[data]])),((AT116*AU116)+SUMIFS(estoque[valor total],estoque[produto],preçodiario[[#Headers],[OVO VERMELHO EXTRA]],estoque[data],preçodiario[[#This Row],[data]],estoque[fornecedor],"&lt;&gt;saída"))/(AU116+(SUMIFS(estoque[quantidade],estoque[produto],preçodiario[[#Headers],[OVO VERMELHO EXTRA]],estoque[fornecedor],"&lt;&gt;saída",estoque[data],preçodiario[[#This Row],[data]])))))</f>
        <v/>
      </c>
      <c r="AU117" s="22">
        <f>IF(preçodiario[[#This Row],[entrada EV]]=0,AU116-(SUMIFS(estoque[quantidade],estoque[fornecedor],"saída",estoque[produto],preçodiario[[#Headers],[OVO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Row],[data]]))+AU116+preçodiario[[#This Row],[entrada EV]])</f>
        <v>0</v>
      </c>
      <c r="AV117" s="22">
        <f>SUMIFS(estoque[quantidade],estoque[fornecedor],"&lt;&gt;saída",estoque[produto],preçodiario[[#Headers],[OVO VERMELHO EXTRA]],estoque[data],preçodiario[[#This Row],[data]])</f>
        <v>0</v>
      </c>
      <c r="AW117" s="20">
        <f>SUMIFS(estoque[valor total],estoque[fornecedor],"&lt;&gt;saída",estoque[produto],preçodiario[[#Headers],[OVO VERMELHO EXTRA]],estoque[data],preçodiario[[#This Row],[data]])</f>
        <v>0</v>
      </c>
      <c r="AX117" s="20">
        <f>IFERROR(preçodiario[[#This Row],[OVO VERMELHO EXTRA]]*preçodiario[[#This Row],[estoque EV]],0)</f>
        <v>0</v>
      </c>
      <c r="AY1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Row],[data]])),((AY116*AZ116)+SUMIFS(estoque[valor total],estoque[produto],preçodiario[[#Headers],[OVO VERMELHO JUMBO]],estoque[data],preçodiario[[#This Row],[data]],estoque[fornecedor],"&lt;&gt;saída"))/(AZ116+(SUMIFS(estoque[quantidade],estoque[produto],preçodiario[[#Headers],[OVO VERMELHO JUMBO]],estoque[fornecedor],"&lt;&gt;saída",estoque[data],preçodiario[[#This Row],[data]])))))</f>
        <v/>
      </c>
      <c r="AZ117" s="22">
        <f>IF(preçodiario[[#This Row],[entrada JV]]=0,AZ116-(SUMIFS(estoque[quantidade],estoque[fornecedor],"saída",estoque[produto],preçodiario[[#Headers],[OVO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Row],[data]]))+AZ116+preçodiario[[#This Row],[entrada JV]])</f>
        <v>0</v>
      </c>
      <c r="BA117" s="22">
        <f>SUMIFS(estoque[quantidade],estoque[fornecedor],"&lt;&gt;saída",estoque[produto],preçodiario[[#Headers],[OVO VERMELHO JUMBO]],estoque[data],preçodiario[[#This Row],[data]])</f>
        <v>0</v>
      </c>
      <c r="BB117" s="20">
        <f>SUMIFS(estoque[valor total],estoque[fornecedor],"&lt;&gt;saída",estoque[produto],preçodiario[[#Headers],[OVO VERMELHO JUMBO]],estoque[data],preçodiario[[#This Row],[data]])</f>
        <v>0</v>
      </c>
      <c r="BC117" s="20">
        <f>IFERROR(preçodiario[[#This Row],[OVO VERMELHO JUMBO]]*preçodiario[[#This Row],[estoque JV]],0)</f>
        <v>0</v>
      </c>
      <c r="BD117" t="str">
        <f>TEXT(vendaAno[[#This Row],[data]],"mmm")</f>
        <v>abr</v>
      </c>
      <c r="BE117" t="str">
        <f>TEXT(vendaAno[[#This Row],[data]],"ddd")</f>
        <v>dom</v>
      </c>
      <c r="BF117" s="82">
        <f>WEEKNUM(vendaAno[[#This Row],[data]],13)</f>
        <v>17</v>
      </c>
      <c r="BG117" s="27">
        <f>preçodiario[[#This Row],[data]]</f>
        <v>46138</v>
      </c>
      <c r="BH1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7" s="8">
        <f>IF(SUMIFS(estoque[valor total],estoque[fornecedor],"saída",estoque[data],vendaAno[[#This Row],[data]])=0,"",SUMIFS(estoque[valor total],estoque[fornecedor],"saída",estoque[data],vendaAno[[#This Row],[data]]))</f>
        <v>844</v>
      </c>
      <c r="BJ11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Row],[data]]))/12+BJ116,"")</f>
        <v>23.083333333333314</v>
      </c>
      <c r="BK117" s="79">
        <f ca="1">IF(TODAY()&gt;=vendaAno[[#This Row],[data]],IF(SUMIFS(estoque[quantidade],estoque[fornecedor],"saída",estoque[data],vendaAno[[#This Row],[data]])/12=0,AVERAGE(BK114:BK116),SUMIFS(estoque[quantidade],estoque[fornecedor],"saída",estoque[data],vendaAno[[#This Row],[data]])/12),"")</f>
        <v>3.4166666666666665</v>
      </c>
      <c r="BL117" s="8">
        <f ca="1">IF(vendaAno[[#This Row],[data]]&lt;=TODAY(),IF(SUMIFS(estoque[lucro],estoque[fornecedor],"saída",estoque[data],vendaAno[[#This Row],[data]])=0,AVERAGE(BL114:BL116),SUMIFS(estoque[lucro],estoque[fornecedor],"saída",estoque[data],vendaAno[[#This Row],[data]])),"")</f>
        <v>158.15</v>
      </c>
      <c r="BM117" s="10">
        <f ca="1">IFERROR(vendaAno[[#This Row],[lucro]]/vendaAno[[#This Row],[valor de venda]],"")</f>
        <v>0.18738151658767774</v>
      </c>
      <c r="BN11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4686.635270821198</v>
      </c>
      <c r="BO117" s="8">
        <f ca="1">IF(TODAY()&gt;=vendaAno[[#This Row],[data]],IF(vendaAno[[#This Row],[N°]]=BF116,vendaAno[[#This Row],[lucro]]-173.33+BO116,vendaAno[[#This Row],[lucro]]-150),"")</f>
        <v>-155.67000000000007</v>
      </c>
      <c r="BP117" s="81">
        <f ca="1">IF(TODAY()&gt;=vendaAno[[#This Row],[data]],SUM(BK111:BK117)*12,"")</f>
        <v>264</v>
      </c>
      <c r="BQ117" s="7">
        <f ca="1">IFERROR(vendaAno[[#This Row],[lucro]]/(vendaAno[[#This Row],[venda]]*12),"")</f>
        <v>3.8573170731707318</v>
      </c>
    </row>
    <row r="118" spans="1:69" x14ac:dyDescent="0.25">
      <c r="A1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8" s="18" t="str">
        <f>TEXT(preçodiario[[#This Row],[data]],"MMM")</f>
        <v>abr</v>
      </c>
      <c r="C118" s="18" t="str">
        <f>TEXT(preçodiario[[#This Row],[data]],"ddd")</f>
        <v>seg</v>
      </c>
      <c r="D118" s="96">
        <f>WEEKNUM(preçodiario[[#This Row],[data]],13)</f>
        <v>17</v>
      </c>
      <c r="E118" s="37">
        <v>46139</v>
      </c>
      <c r="F1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Row],[data]])),((F117*G117)+SUMIFS(estoque[valor total],estoque[produto],preçodiario[[#Headers],[OVO BRANCO A]],estoque[data],preçodiario[[#This Row],[data]],estoque[fornecedor],"&lt;&gt;saída"))/(G117+(SUMIFS(estoque[quantidade],estoque[produto],preçodiario[[#Headers],[OVO BRANCO A]],estoque[fornecedor],"&lt;&gt;saída",estoque[data],preçodiario[[#This Row],[data]])))))</f>
        <v>16.655555555555555</v>
      </c>
      <c r="G118" s="22">
        <f>IF(preçodiario[[#This Row],[entrada A]]=0,G117-(SUMIFS(estoque[quantidade],estoque[fornecedor],"saída",estoque[produto],preçodiario[[#Headers],[OVO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Row],[data]]))+G117+preçodiario[[#This Row],[entrada A]])</f>
        <v>80</v>
      </c>
      <c r="H118" s="22">
        <f>SUMIFS(estoque[quantidade],estoque[fornecedor],"&lt;&gt;saída",estoque[produto],preçodiario[[#Headers],[OVO BRANCO A]],estoque[data],preçodiario[[#This Row],[data]])</f>
        <v>0</v>
      </c>
      <c r="I118" s="20">
        <f>SUMIFS(estoque[valor total],estoque[fornecedor],"&lt;&gt;saída",estoque[produto],preçodiario[[#Headers],[OVO BRANCO A]],estoque[data],preçodiario[[#This Row],[data]])</f>
        <v>0</v>
      </c>
      <c r="J118" s="20">
        <f>IFERROR(preçodiario[[#This Row],[estoque A]]*preçodiario[[#This Row],[OVO BRANCO A]],0)</f>
        <v>1332.4444444444443</v>
      </c>
      <c r="K1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Row],[data]])),((K117*L117)+SUMIFS(estoque[valor total],estoque[produto],preçodiario[[#Headers],[OVO BRANCO B]],estoque[data],preçodiario[[#This Row],[data]],estoque[fornecedor],"&lt;&gt;saída"))/(L117+(SUMIFS(estoque[quantidade],estoque[produto],preçodiario[[#Headers],[OVO BRANCO B]],estoque[fornecedor],"&lt;&gt;saída",estoque[data],preçodiario[[#This Row],[data]])))))</f>
        <v>16.202107706733738</v>
      </c>
      <c r="L118" s="22">
        <f>IF(preçodiario[[#This Row],[entrada B]]=0,L117-(SUMIFS(estoque[quantidade],estoque[fornecedor],"saída",estoque[produto],preçodiario[[#Headers],[OVO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Row],[data]]))+L117+preçodiario[[#This Row],[entrada B]])</f>
        <v>45</v>
      </c>
      <c r="M118" s="22">
        <f>SUMIFS(estoque[quantidade],estoque[fornecedor],"&lt;&gt;saída",estoque[produto],preçodiario[[#Headers],[OVO BRANCO B]],estoque[data],preçodiario[[#This Row],[data]])</f>
        <v>0</v>
      </c>
      <c r="N118" s="20">
        <f>SUMIFS(estoque[valor total],estoque[fornecedor],"&lt;&gt;saída",estoque[produto],preçodiario[[#Headers],[OVO BRANCO B]],estoque[data],preçodiario[[#This Row],[data]])</f>
        <v>0</v>
      </c>
      <c r="O118" s="20">
        <f>IFERROR(preçodiario[[#This Row],[OVO BRANCO B]]*preçodiario[[#This Row],[estoque B]],0)</f>
        <v>729.09484680301819</v>
      </c>
      <c r="P11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Row],[data]])),((P117*Q117)+SUMIFS(estoque[valor total],estoque[produto],preçodiario[[#Headers],[OVO BRANCO C]],estoque[data],preçodiario[[#This Row],[data]],estoque[fornecedor],"&lt;&gt;saída"))/(Q117+(SUMIFS(estoque[quantidade],estoque[produto],preçodiario[[#Headers],[OVO BRANCO C]],estoque[fornecedor],"&lt;&gt;saída",estoque[data],preçodiario[[#This Row],[data]])))))</f>
        <v/>
      </c>
      <c r="Q118" s="22">
        <f>IF(preçodiario[[#This Row],[entrada C]]=0,Q117-(SUMIFS(estoque[quantidade],estoque[fornecedor],"saída",estoque[produto],preçodiario[[#Headers],[OVO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Row],[data]]))+Q117+preçodiario[[#This Row],[entrada C]])</f>
        <v>0</v>
      </c>
      <c r="R118" s="22">
        <f>SUMIFS(estoque[quantidade],estoque[fornecedor],"&lt;&gt;saída",estoque[produto],preçodiario[[#Headers],[OVO BRANCO C]],estoque[data],preçodiario[[#This Row],[data]])</f>
        <v>0</v>
      </c>
      <c r="S118" s="20">
        <f>SUMIFS(estoque[valor total],estoque[fornecedor],"&lt;&gt;saída",estoque[produto],preçodiario[[#Headers],[OVO BRANCO C]],estoque[data],preçodiario[[#This Row],[data]])</f>
        <v>0</v>
      </c>
      <c r="T118" s="20">
        <f>IFERROR(preçodiario[[#This Row],[OVO BRANCO C]]*preçodiario[[#This Row],[estoque C]],0)</f>
        <v>0</v>
      </c>
      <c r="U1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Row],[data]])),((U117*V117)+SUMIFS(estoque[valor total],estoque[produto],preçodiario[[#Headers],[OVO BRANCO EXTRA]],estoque[data],preçodiario[[#This Row],[data]],estoque[fornecedor],"&lt;&gt;saída"))/(V117+(SUMIFS(estoque[quantidade],estoque[produto],preçodiario[[#Headers],[OVO BRANCO EXTRA]],estoque[fornecedor],"&lt;&gt;saída",estoque[data],preçodiario[[#This Row],[data]])))))</f>
        <v>17.083333333333332</v>
      </c>
      <c r="V118" s="22">
        <f>IF(preçodiario[[#This Row],[entrada E]]=0,V117-(SUMIFS(estoque[quantidade],estoque[fornecedor],"saída",estoque[produto],preçodiario[[#Headers],[OVO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Row],[data]]))+V117+preçodiario[[#This Row],[entrada E]])</f>
        <v>54</v>
      </c>
      <c r="W118" s="22">
        <f>SUMIFS(estoque[quantidade],estoque[fornecedor],"&lt;&gt;saída",estoque[produto],preçodiario[[#Headers],[OVO BRANCO EXTRA]],estoque[data],preçodiario[[#This Row],[data]])</f>
        <v>0</v>
      </c>
      <c r="X118" s="20">
        <f>SUMIFS(estoque[valor total],estoque[fornecedor],"&lt;&gt;saída",estoque[produto],preçodiario[[#Headers],[OVO BRANCO EXTRA]],estoque[data],preçodiario[[#This Row],[data]])</f>
        <v>0</v>
      </c>
      <c r="Y118" s="20">
        <f>IFERROR(preçodiario[[#This Row],[estoque E]]*preçodiario[[#This Row],[OVO BRANCO EXTRA]],0)</f>
        <v>922.49999999999989</v>
      </c>
      <c r="Z1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Row],[data]])),((Z117*AA117)+SUMIFS(estoque[valor total],estoque[produto],preçodiario[[#Headers],[OVO BRANCO JUMBO]],estoque[data],preçodiario[[#This Row],[data]],estoque[fornecedor],"&lt;&gt;saída"))/(AA117+(SUMIFS(estoque[quantidade],estoque[produto],preçodiario[[#Headers],[OVO BRANCO JUMBO]],estoque[fornecedor],"&lt;&gt;saída",estoque[data],preçodiario[[#This Row],[data]])))))</f>
        <v>17.5</v>
      </c>
      <c r="AA118" s="22">
        <f>IF(preçodiario[[#This Row],[entrada J]]=0,AA117-(SUMIFS(estoque[quantidade],estoque[fornecedor],"saída",estoque[produto],preçodiario[[#Headers],[OVO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Row],[data]]))+AA117+preçodiario[[#This Row],[entrada J]])</f>
        <v>82</v>
      </c>
      <c r="AB118" s="22">
        <f>SUMIFS(estoque[quantidade],estoque[fornecedor],"&lt;&gt;saída",estoque[produto],preçodiario[[#Headers],[OVO BRANCO JUMBO]],estoque[data],preçodiario[[#This Row],[data]])</f>
        <v>0</v>
      </c>
      <c r="AC118" s="20">
        <f>SUMIFS(estoque[valor total],estoque[fornecedor],"&lt;&gt;saída",estoque[produto],preçodiario[[#Headers],[OVO BRANCO JUMBO]],estoque[data],preçodiario[[#This Row],[data]])</f>
        <v>0</v>
      </c>
      <c r="AD118" s="20">
        <f>IFERROR(preçodiario[[#This Row],[OVO BRANCO JUMBO]]*preçodiario[[#This Row],[estoque J]],0)</f>
        <v>1435</v>
      </c>
      <c r="AE1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Row],[data]])),((AE117*AF117)+SUMIFS(estoque[valor total],estoque[produto],preçodiario[[#Headers],[OVO VERMELHO A]],estoque[data],preçodiario[[#This Row],[data]],estoque[fornecedor],"&lt;&gt;saída"))/(AF117+(SUMIFS(estoque[quantidade],estoque[produto],preçodiario[[#Headers],[OVO VERMELHO A]],estoque[fornecedor],"&lt;&gt;saída",estoque[data],preçodiario[[#This Row],[data]])))))</f>
        <v/>
      </c>
      <c r="AF118" s="22">
        <f>IF(preçodiario[[#This Row],[entrada AV]]=0,AF117-(SUMIFS(estoque[quantidade],estoque[fornecedor],"saída",estoque[produto],preçodiario[[#Headers],[OVO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Row],[data]]))+AF117+preçodiario[[#This Row],[entrada AV]])</f>
        <v>0</v>
      </c>
      <c r="AG118" s="22">
        <f>SUMIFS(estoque[quantidade],estoque[fornecedor],"&lt;&gt;saída",estoque[produto],preçodiario[[#Headers],[OVO VERMELHO A]],estoque[data],preçodiario[[#This Row],[data]])</f>
        <v>0</v>
      </c>
      <c r="AH118" s="20">
        <f>SUMIFS(estoque[valor total],estoque[fornecedor],"&lt;&gt;saída",estoque[produto],preçodiario[[#Headers],[OVO VERMELHO A]],estoque[data],preçodiario[[#This Row],[data]])</f>
        <v>0</v>
      </c>
      <c r="AI118" s="20">
        <f>IFERROR(preçodiario[[#This Row],[OVO VERMELHO A]]*preçodiario[[#This Row],[estoque AV]],0)</f>
        <v>0</v>
      </c>
      <c r="AJ1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Row],[data]])),((AJ117*AK117)+SUMIFS(estoque[valor total],estoque[produto],preçodiario[[#Headers],[OVO VERMELHO B]],estoque[data],preçodiario[[#This Row],[data]],estoque[fornecedor],"&lt;&gt;saída"))/(AK117+(SUMIFS(estoque[quantidade],estoque[produto],preçodiario[[#Headers],[OVO VERMELHO B]],estoque[fornecedor],"&lt;&gt;saída",estoque[data],preçodiario[[#This Row],[data]])))))</f>
        <v/>
      </c>
      <c r="AK118" s="22">
        <f>IF(preçodiario[[#This Row],[entrada BV]]=0,AK117-(SUMIFS(estoque[quantidade],estoque[fornecedor],"saída",estoque[produto],preçodiario[[#Headers],[OVO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Row],[data]]))+AK117+preçodiario[[#This Row],[entrada BV]])</f>
        <v>0</v>
      </c>
      <c r="AL118" s="22">
        <f>SUMIFS(estoque[quantidade],estoque[fornecedor],"&lt;&gt;saída",estoque[produto],preçodiario[[#Headers],[OVO VERMELHO B]],estoque[data],preçodiario[[#This Row],[data]])</f>
        <v>0</v>
      </c>
      <c r="AM118" s="20">
        <f>SUMIFS(estoque[valor total],estoque[fornecedor],"&lt;&gt;saída",estoque[produto],preçodiario[[#Headers],[OVO VERMELHO B]],estoque[data],preçodiario[[#This Row],[data]])</f>
        <v>0</v>
      </c>
      <c r="AN118" s="20">
        <f>IFERROR(preçodiario[[#This Row],[OVO VERMELHO B]]*preçodiario[[#This Row],[estoque BV]],0)</f>
        <v>0</v>
      </c>
      <c r="AO1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Row],[data]])),((AO117*AP117)+SUMIFS(estoque[valor total],estoque[produto],preçodiario[[#Headers],[OVO VERMELHO C]],estoque[data],preçodiario[[#This Row],[data]],estoque[fornecedor],"&lt;&gt;saída"))/(AP117+(SUMIFS(estoque[quantidade],estoque[produto],preçodiario[[#Headers],[OVO VERMELHO C]],estoque[fornecedor],"&lt;&gt;saída",estoque[data],preçodiario[[#This Row],[data]])))))</f>
        <v/>
      </c>
      <c r="AP118" s="22">
        <f>IF(preçodiario[[#This Row],[entrada CV]]=0,AP117-(SUMIFS(estoque[quantidade],estoque[fornecedor],"saída",estoque[produto],preçodiario[[#Headers],[OVO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Row],[data]]))+AP117+preçodiario[[#This Row],[entrada CV]])</f>
        <v>0</v>
      </c>
      <c r="AQ118" s="22">
        <f>SUMIFS(estoque[quantidade],estoque[fornecedor],"&lt;&gt;saída",estoque[produto],preçodiario[[#Headers],[OVO VERMELHO C]],estoque[data],preçodiario[[#This Row],[data]])</f>
        <v>0</v>
      </c>
      <c r="AR118" s="20">
        <f>SUMIFS(estoque[valor total],estoque[fornecedor],"&lt;&gt;saída",estoque[produto],preçodiario[[#Headers],[OVO VERMELHO C]],estoque[data],preçodiario[[#This Row],[data]])</f>
        <v>0</v>
      </c>
      <c r="AS118" s="20">
        <f>IFERROR(preçodiario[[#This Row],[OVO VERMELHO C]]*preçodiario[[#This Row],[estoque CV]],0)</f>
        <v>0</v>
      </c>
      <c r="AT1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Row],[data]])),((AT117*AU117)+SUMIFS(estoque[valor total],estoque[produto],preçodiario[[#Headers],[OVO VERMELHO EXTRA]],estoque[data],preçodiario[[#This Row],[data]],estoque[fornecedor],"&lt;&gt;saída"))/(AU117+(SUMIFS(estoque[quantidade],estoque[produto],preçodiario[[#Headers],[OVO VERMELHO EXTRA]],estoque[fornecedor],"&lt;&gt;saída",estoque[data],preçodiario[[#This Row],[data]])))))</f>
        <v/>
      </c>
      <c r="AU118" s="22">
        <f>IF(preçodiario[[#This Row],[entrada EV]]=0,AU117-(SUMIFS(estoque[quantidade],estoque[fornecedor],"saída",estoque[produto],preçodiario[[#Headers],[OVO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Row],[data]]))+AU117+preçodiario[[#This Row],[entrada EV]])</f>
        <v>0</v>
      </c>
      <c r="AV118" s="22">
        <f>SUMIFS(estoque[quantidade],estoque[fornecedor],"&lt;&gt;saída",estoque[produto],preçodiario[[#Headers],[OVO VERMELHO EXTRA]],estoque[data],preçodiario[[#This Row],[data]])</f>
        <v>0</v>
      </c>
      <c r="AW118" s="20">
        <f>SUMIFS(estoque[valor total],estoque[fornecedor],"&lt;&gt;saída",estoque[produto],preçodiario[[#Headers],[OVO VERMELHO EXTRA]],estoque[data],preçodiario[[#This Row],[data]])</f>
        <v>0</v>
      </c>
      <c r="AX118" s="20">
        <f>IFERROR(preçodiario[[#This Row],[OVO VERMELHO EXTRA]]*preçodiario[[#This Row],[estoque EV]],0)</f>
        <v>0</v>
      </c>
      <c r="AY1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Row],[data]])),((AY117*AZ117)+SUMIFS(estoque[valor total],estoque[produto],preçodiario[[#Headers],[OVO VERMELHO JUMBO]],estoque[data],preçodiario[[#This Row],[data]],estoque[fornecedor],"&lt;&gt;saída"))/(AZ117+(SUMIFS(estoque[quantidade],estoque[produto],preçodiario[[#Headers],[OVO VERMELHO JUMBO]],estoque[fornecedor],"&lt;&gt;saída",estoque[data],preçodiario[[#This Row],[data]])))))</f>
        <v/>
      </c>
      <c r="AZ118" s="22">
        <f>IF(preçodiario[[#This Row],[entrada JV]]=0,AZ117-(SUMIFS(estoque[quantidade],estoque[fornecedor],"saída",estoque[produto],preçodiario[[#Headers],[OVO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Row],[data]]))+AZ117+preçodiario[[#This Row],[entrada JV]])</f>
        <v>0</v>
      </c>
      <c r="BA118" s="22">
        <f>SUMIFS(estoque[quantidade],estoque[fornecedor],"&lt;&gt;saída",estoque[produto],preçodiario[[#Headers],[OVO VERMELHO JUMBO]],estoque[data],preçodiario[[#This Row],[data]])</f>
        <v>0</v>
      </c>
      <c r="BB118" s="20">
        <f>SUMIFS(estoque[valor total],estoque[fornecedor],"&lt;&gt;saída",estoque[produto],preçodiario[[#Headers],[OVO VERMELHO JUMBO]],estoque[data],preçodiario[[#This Row],[data]])</f>
        <v>0</v>
      </c>
      <c r="BC118" s="20">
        <f>IFERROR(preçodiario[[#This Row],[OVO VERMELHO JUMBO]]*preçodiario[[#This Row],[estoque JV]],0)</f>
        <v>0</v>
      </c>
      <c r="BD118" t="str">
        <f>TEXT(vendaAno[[#This Row],[data]],"mmm")</f>
        <v>abr</v>
      </c>
      <c r="BE118" t="str">
        <f>TEXT(vendaAno[[#This Row],[data]],"ddd")</f>
        <v>seg</v>
      </c>
      <c r="BF118" s="82">
        <f>WEEKNUM(vendaAno[[#This Row],[data]],13)</f>
        <v>17</v>
      </c>
      <c r="BG118" s="27">
        <f>preçodiario[[#This Row],[data]]</f>
        <v>46139</v>
      </c>
      <c r="BH1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8" s="8">
        <f>IF(SUMIFS(estoque[valor total],estoque[fornecedor],"saída",estoque[data],vendaAno[[#This Row],[data]])=0,"",SUMIFS(estoque[valor total],estoque[fornecedor],"saída",estoque[data],vendaAno[[#This Row],[data]]))</f>
        <v>341</v>
      </c>
      <c r="BJ11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Row],[data]]))/12+BJ117,"")</f>
        <v>21.749999999999982</v>
      </c>
      <c r="BK118" s="79">
        <f ca="1">IF(TODAY()&gt;=vendaAno[[#This Row],[data]],IF(SUMIFS(estoque[quantidade],estoque[fornecedor],"saída",estoque[data],vendaAno[[#This Row],[data]])/12=0,AVERAGE(BK115:BK117),SUMIFS(estoque[quantidade],estoque[fornecedor],"saída",estoque[data],vendaAno[[#This Row],[data]])/12),"")</f>
        <v>1.3333333333333333</v>
      </c>
      <c r="BL118" s="8">
        <f ca="1">IF(vendaAno[[#This Row],[data]]&lt;=TODAY(),IF(SUMIFS(estoque[lucro],estoque[fornecedor],"saída",estoque[data],vendaAno[[#This Row],[data]])=0,AVERAGE(BL115:BL117),SUMIFS(estoque[lucro],estoque[fornecedor],"saída",estoque[data],vendaAno[[#This Row],[data]])),"")</f>
        <v>73.399999999999991</v>
      </c>
      <c r="BM118" s="10">
        <f ca="1">IFERROR(vendaAno[[#This Row],[lucro]]/vendaAno[[#This Row],[valor de venda]],"")</f>
        <v>0.21524926686217005</v>
      </c>
      <c r="BN11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4419.0392912474626</v>
      </c>
      <c r="BO118" s="8">
        <f ca="1">IF(TODAY()&gt;=vendaAno[[#This Row],[data]],IF(vendaAno[[#This Row],[N°]]=BF117,vendaAno[[#This Row],[lucro]]-173.33+BO117,vendaAno[[#This Row],[lucro]]-150),"")</f>
        <v>-255.60000000000008</v>
      </c>
      <c r="BP118" s="81">
        <f ca="1">IF(TODAY()&gt;=vendaAno[[#This Row],[data]],SUM(BK112:BK118)*12,"")</f>
        <v>232</v>
      </c>
      <c r="BQ118" s="7">
        <f ca="1">IFERROR(vendaAno[[#This Row],[lucro]]/(vendaAno[[#This Row],[venda]]*12),"")</f>
        <v>4.5874999999999995</v>
      </c>
    </row>
    <row r="119" spans="1:69" x14ac:dyDescent="0.25">
      <c r="A1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19" s="18" t="str">
        <f>TEXT(preçodiario[[#This Row],[data]],"MMM")</f>
        <v>abr</v>
      </c>
      <c r="C119" s="18" t="str">
        <f>TEXT(preçodiario[[#This Row],[data]],"ddd")</f>
        <v>ter</v>
      </c>
      <c r="D119" s="96">
        <f>WEEKNUM(preçodiario[[#This Row],[data]],13)</f>
        <v>17</v>
      </c>
      <c r="E119" s="37">
        <v>46140</v>
      </c>
      <c r="F1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Row],[data]])),((F118*G118)+SUMIFS(estoque[valor total],estoque[produto],preçodiario[[#Headers],[OVO BRANCO A]],estoque[data],preçodiario[[#This Row],[data]],estoque[fornecedor],"&lt;&gt;saída"))/(G118+(SUMIFS(estoque[quantidade],estoque[produto],preçodiario[[#Headers],[OVO BRANCO A]],estoque[fornecedor],"&lt;&gt;saída",estoque[data],preçodiario[[#This Row],[data]])))))</f>
        <v>16.655555555555555</v>
      </c>
      <c r="G119" s="22">
        <f>IF(preçodiario[[#This Row],[entrada A]]=0,G118-(SUMIFS(estoque[quantidade],estoque[fornecedor],"saída",estoque[produto],preçodiario[[#Headers],[OVO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Row],[data]]))+G118+preçodiario[[#This Row],[entrada A]])</f>
        <v>79</v>
      </c>
      <c r="H119" s="22">
        <f>SUMIFS(estoque[quantidade],estoque[fornecedor],"&lt;&gt;saída",estoque[produto],preçodiario[[#Headers],[OVO BRANCO A]],estoque[data],preçodiario[[#This Row],[data]])</f>
        <v>0</v>
      </c>
      <c r="I119" s="20">
        <f>SUMIFS(estoque[valor total],estoque[fornecedor],"&lt;&gt;saída",estoque[produto],preçodiario[[#Headers],[OVO BRANCO A]],estoque[data],preçodiario[[#This Row],[data]])</f>
        <v>0</v>
      </c>
      <c r="J119" s="20">
        <f>IFERROR(preçodiario[[#This Row],[estoque A]]*preçodiario[[#This Row],[OVO BRANCO A]],0)</f>
        <v>1315.7888888888888</v>
      </c>
      <c r="K1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Row],[data]])),((K118*L118)+SUMIFS(estoque[valor total],estoque[produto],preçodiario[[#Headers],[OVO BRANCO B]],estoque[data],preçodiario[[#This Row],[data]],estoque[fornecedor],"&lt;&gt;saída"))/(L118+(SUMIFS(estoque[quantidade],estoque[produto],preçodiario[[#Headers],[OVO BRANCO B]],estoque[fornecedor],"&lt;&gt;saída",estoque[data],preçodiario[[#This Row],[data]])))))</f>
        <v>16.202107706733738</v>
      </c>
      <c r="L119" s="22">
        <f>IF(preçodiario[[#This Row],[entrada B]]=0,L118-(SUMIFS(estoque[quantidade],estoque[fornecedor],"saída",estoque[produto],preçodiario[[#Headers],[OVO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Row],[data]]))+L118+preçodiario[[#This Row],[entrada B]])</f>
        <v>30</v>
      </c>
      <c r="M119" s="22">
        <f>SUMIFS(estoque[quantidade],estoque[fornecedor],"&lt;&gt;saída",estoque[produto],preçodiario[[#Headers],[OVO BRANCO B]],estoque[data],preçodiario[[#This Row],[data]])</f>
        <v>0</v>
      </c>
      <c r="N119" s="20">
        <f>SUMIFS(estoque[valor total],estoque[fornecedor],"&lt;&gt;saída",estoque[produto],preçodiario[[#Headers],[OVO BRANCO B]],estoque[data],preçodiario[[#This Row],[data]])</f>
        <v>0</v>
      </c>
      <c r="O119" s="20">
        <f>IFERROR(preçodiario[[#This Row],[OVO BRANCO B]]*preçodiario[[#This Row],[estoque B]],0)</f>
        <v>486.06323120201216</v>
      </c>
      <c r="P11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Row],[data]])),((P118*Q118)+SUMIFS(estoque[valor total],estoque[produto],preçodiario[[#Headers],[OVO BRANCO C]],estoque[data],preçodiario[[#This Row],[data]],estoque[fornecedor],"&lt;&gt;saída"))/(Q118+(SUMIFS(estoque[quantidade],estoque[produto],preçodiario[[#Headers],[OVO BRANCO C]],estoque[fornecedor],"&lt;&gt;saída",estoque[data],preçodiario[[#This Row],[data]])))))</f>
        <v/>
      </c>
      <c r="Q119" s="22">
        <f>IF(preçodiario[[#This Row],[entrada C]]=0,Q118-(SUMIFS(estoque[quantidade],estoque[fornecedor],"saída",estoque[produto],preçodiario[[#Headers],[OVO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Row],[data]]))+Q118+preçodiario[[#This Row],[entrada C]])</f>
        <v>0</v>
      </c>
      <c r="R119" s="22">
        <f>SUMIFS(estoque[quantidade],estoque[fornecedor],"&lt;&gt;saída",estoque[produto],preçodiario[[#Headers],[OVO BRANCO C]],estoque[data],preçodiario[[#This Row],[data]])</f>
        <v>0</v>
      </c>
      <c r="S119" s="20">
        <f>SUMIFS(estoque[valor total],estoque[fornecedor],"&lt;&gt;saída",estoque[produto],preçodiario[[#Headers],[OVO BRANCO C]],estoque[data],preçodiario[[#This Row],[data]])</f>
        <v>0</v>
      </c>
      <c r="T119" s="20">
        <f>IFERROR(preçodiario[[#This Row],[OVO BRANCO C]]*preçodiario[[#This Row],[estoque C]],0)</f>
        <v>0</v>
      </c>
      <c r="U1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Row],[data]])),((U118*V118)+SUMIFS(estoque[valor total],estoque[produto],preçodiario[[#Headers],[OVO BRANCO EXTRA]],estoque[data],preçodiario[[#This Row],[data]],estoque[fornecedor],"&lt;&gt;saída"))/(V118+(SUMIFS(estoque[quantidade],estoque[produto],preçodiario[[#Headers],[OVO BRANCO EXTRA]],estoque[fornecedor],"&lt;&gt;saída",estoque[data],preçodiario[[#This Row],[data]])))))</f>
        <v>17.083333333333332</v>
      </c>
      <c r="V119" s="22">
        <f>IF(preçodiario[[#This Row],[entrada E]]=0,V118-(SUMIFS(estoque[quantidade],estoque[fornecedor],"saída",estoque[produto],preçodiario[[#Headers],[OVO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Row],[data]]))+V118+preçodiario[[#This Row],[entrada E]])</f>
        <v>43</v>
      </c>
      <c r="W119" s="22">
        <f>SUMIFS(estoque[quantidade],estoque[fornecedor],"&lt;&gt;saída",estoque[produto],preçodiario[[#Headers],[OVO BRANCO EXTRA]],estoque[data],preçodiario[[#This Row],[data]])</f>
        <v>0</v>
      </c>
      <c r="X119" s="20">
        <f>SUMIFS(estoque[valor total],estoque[fornecedor],"&lt;&gt;saída",estoque[produto],preçodiario[[#Headers],[OVO BRANCO EXTRA]],estoque[data],preçodiario[[#This Row],[data]])</f>
        <v>0</v>
      </c>
      <c r="Y119" s="20">
        <f>IFERROR(preçodiario[[#This Row],[estoque E]]*preçodiario[[#This Row],[OVO BRANCO EXTRA]],0)</f>
        <v>734.58333333333326</v>
      </c>
      <c r="Z1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Row],[data]])),((Z118*AA118)+SUMIFS(estoque[valor total],estoque[produto],preçodiario[[#Headers],[OVO BRANCO JUMBO]],estoque[data],preçodiario[[#This Row],[data]],estoque[fornecedor],"&lt;&gt;saída"))/(AA118+(SUMIFS(estoque[quantidade],estoque[produto],preçodiario[[#Headers],[OVO BRANCO JUMBO]],estoque[fornecedor],"&lt;&gt;saída",estoque[data],preçodiario[[#This Row],[data]])))))</f>
        <v>17.5</v>
      </c>
      <c r="AA119" s="22">
        <f>IF(preçodiario[[#This Row],[entrada J]]=0,AA118-(SUMIFS(estoque[quantidade],estoque[fornecedor],"saída",estoque[produto],preçodiario[[#Headers],[OVO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Row],[data]]))+AA118+preçodiario[[#This Row],[entrada J]])</f>
        <v>74</v>
      </c>
      <c r="AB119" s="22">
        <f>SUMIFS(estoque[quantidade],estoque[fornecedor],"&lt;&gt;saída",estoque[produto],preçodiario[[#Headers],[OVO BRANCO JUMBO]],estoque[data],preçodiario[[#This Row],[data]])</f>
        <v>0</v>
      </c>
      <c r="AC119" s="20">
        <f>SUMIFS(estoque[valor total],estoque[fornecedor],"&lt;&gt;saída",estoque[produto],preçodiario[[#Headers],[OVO BRANCO JUMBO]],estoque[data],preçodiario[[#This Row],[data]])</f>
        <v>0</v>
      </c>
      <c r="AD119" s="20">
        <f>IFERROR(preçodiario[[#This Row],[OVO BRANCO JUMBO]]*preçodiario[[#This Row],[estoque J]],0)</f>
        <v>1295</v>
      </c>
      <c r="AE1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Row],[data]])),((AE118*AF118)+SUMIFS(estoque[valor total],estoque[produto],preçodiario[[#Headers],[OVO VERMELHO A]],estoque[data],preçodiario[[#This Row],[data]],estoque[fornecedor],"&lt;&gt;saída"))/(AF118+(SUMIFS(estoque[quantidade],estoque[produto],preçodiario[[#Headers],[OVO VERMELHO A]],estoque[fornecedor],"&lt;&gt;saída",estoque[data],preçodiario[[#This Row],[data]])))))</f>
        <v/>
      </c>
      <c r="AF119" s="22">
        <f>IF(preçodiario[[#This Row],[entrada AV]]=0,AF118-(SUMIFS(estoque[quantidade],estoque[fornecedor],"saída",estoque[produto],preçodiario[[#Headers],[OVO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Row],[data]]))+AF118+preçodiario[[#This Row],[entrada AV]])</f>
        <v>0</v>
      </c>
      <c r="AG119" s="22">
        <f>SUMIFS(estoque[quantidade],estoque[fornecedor],"&lt;&gt;saída",estoque[produto],preçodiario[[#Headers],[OVO VERMELHO A]],estoque[data],preçodiario[[#This Row],[data]])</f>
        <v>0</v>
      </c>
      <c r="AH119" s="20">
        <f>SUMIFS(estoque[valor total],estoque[fornecedor],"&lt;&gt;saída",estoque[produto],preçodiario[[#Headers],[OVO VERMELHO A]],estoque[data],preçodiario[[#This Row],[data]])</f>
        <v>0</v>
      </c>
      <c r="AI119" s="20">
        <f>IFERROR(preçodiario[[#This Row],[OVO VERMELHO A]]*preçodiario[[#This Row],[estoque AV]],0)</f>
        <v>0</v>
      </c>
      <c r="AJ1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Row],[data]])),((AJ118*AK118)+SUMIFS(estoque[valor total],estoque[produto],preçodiario[[#Headers],[OVO VERMELHO B]],estoque[data],preçodiario[[#This Row],[data]],estoque[fornecedor],"&lt;&gt;saída"))/(AK118+(SUMIFS(estoque[quantidade],estoque[produto],preçodiario[[#Headers],[OVO VERMELHO B]],estoque[fornecedor],"&lt;&gt;saída",estoque[data],preçodiario[[#This Row],[data]])))))</f>
        <v/>
      </c>
      <c r="AK119" s="22">
        <f>IF(preçodiario[[#This Row],[entrada BV]]=0,AK118-(SUMIFS(estoque[quantidade],estoque[fornecedor],"saída",estoque[produto],preçodiario[[#Headers],[OVO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Row],[data]]))+AK118+preçodiario[[#This Row],[entrada BV]])</f>
        <v>0</v>
      </c>
      <c r="AL119" s="22">
        <f>SUMIFS(estoque[quantidade],estoque[fornecedor],"&lt;&gt;saída",estoque[produto],preçodiario[[#Headers],[OVO VERMELHO B]],estoque[data],preçodiario[[#This Row],[data]])</f>
        <v>0</v>
      </c>
      <c r="AM119" s="20">
        <f>SUMIFS(estoque[valor total],estoque[fornecedor],"&lt;&gt;saída",estoque[produto],preçodiario[[#Headers],[OVO VERMELHO B]],estoque[data],preçodiario[[#This Row],[data]])</f>
        <v>0</v>
      </c>
      <c r="AN119" s="20">
        <f>IFERROR(preçodiario[[#This Row],[OVO VERMELHO B]]*preçodiario[[#This Row],[estoque BV]],0)</f>
        <v>0</v>
      </c>
      <c r="AO1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Row],[data]])),((AO118*AP118)+SUMIFS(estoque[valor total],estoque[produto],preçodiario[[#Headers],[OVO VERMELHO C]],estoque[data],preçodiario[[#This Row],[data]],estoque[fornecedor],"&lt;&gt;saída"))/(AP118+(SUMIFS(estoque[quantidade],estoque[produto],preçodiario[[#Headers],[OVO VERMELHO C]],estoque[fornecedor],"&lt;&gt;saída",estoque[data],preçodiario[[#This Row],[data]])))))</f>
        <v/>
      </c>
      <c r="AP119" s="22">
        <f>IF(preçodiario[[#This Row],[entrada CV]]=0,AP118-(SUMIFS(estoque[quantidade],estoque[fornecedor],"saída",estoque[produto],preçodiario[[#Headers],[OVO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Row],[data]]))+AP118+preçodiario[[#This Row],[entrada CV]])</f>
        <v>0</v>
      </c>
      <c r="AQ119" s="22">
        <f>SUMIFS(estoque[quantidade],estoque[fornecedor],"&lt;&gt;saída",estoque[produto],preçodiario[[#Headers],[OVO VERMELHO C]],estoque[data],preçodiario[[#This Row],[data]])</f>
        <v>0</v>
      </c>
      <c r="AR119" s="20">
        <f>SUMIFS(estoque[valor total],estoque[fornecedor],"&lt;&gt;saída",estoque[produto],preçodiario[[#Headers],[OVO VERMELHO C]],estoque[data],preçodiario[[#This Row],[data]])</f>
        <v>0</v>
      </c>
      <c r="AS119" s="20">
        <f>IFERROR(preçodiario[[#This Row],[OVO VERMELHO C]]*preçodiario[[#This Row],[estoque CV]],0)</f>
        <v>0</v>
      </c>
      <c r="AT1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Row],[data]])),((AT118*AU118)+SUMIFS(estoque[valor total],estoque[produto],preçodiario[[#Headers],[OVO VERMELHO EXTRA]],estoque[data],preçodiario[[#This Row],[data]],estoque[fornecedor],"&lt;&gt;saída"))/(AU118+(SUMIFS(estoque[quantidade],estoque[produto],preçodiario[[#Headers],[OVO VERMELHO EXTRA]],estoque[fornecedor],"&lt;&gt;saída",estoque[data],preçodiario[[#This Row],[data]])))))</f>
        <v/>
      </c>
      <c r="AU119" s="22">
        <f>IF(preçodiario[[#This Row],[entrada EV]]=0,AU118-(SUMIFS(estoque[quantidade],estoque[fornecedor],"saída",estoque[produto],preçodiario[[#Headers],[OVO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Row],[data]]))+AU118+preçodiario[[#This Row],[entrada EV]])</f>
        <v>0</v>
      </c>
      <c r="AV119" s="22">
        <f>SUMIFS(estoque[quantidade],estoque[fornecedor],"&lt;&gt;saída",estoque[produto],preçodiario[[#Headers],[OVO VERMELHO EXTRA]],estoque[data],preçodiario[[#This Row],[data]])</f>
        <v>0</v>
      </c>
      <c r="AW119" s="20">
        <f>SUMIFS(estoque[valor total],estoque[fornecedor],"&lt;&gt;saída",estoque[produto],preçodiario[[#Headers],[OVO VERMELHO EXTRA]],estoque[data],preçodiario[[#This Row],[data]])</f>
        <v>0</v>
      </c>
      <c r="AX119" s="20">
        <f>IFERROR(preçodiario[[#This Row],[OVO VERMELHO EXTRA]]*preçodiario[[#This Row],[estoque EV]],0)</f>
        <v>0</v>
      </c>
      <c r="AY1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Row],[data]])),((AY118*AZ118)+SUMIFS(estoque[valor total],estoque[produto],preçodiario[[#Headers],[OVO VERMELHO JUMBO]],estoque[data],preçodiario[[#This Row],[data]],estoque[fornecedor],"&lt;&gt;saída"))/(AZ118+(SUMIFS(estoque[quantidade],estoque[produto],preçodiario[[#Headers],[OVO VERMELHO JUMBO]],estoque[fornecedor],"&lt;&gt;saída",estoque[data],preçodiario[[#This Row],[data]])))))</f>
        <v/>
      </c>
      <c r="AZ119" s="22">
        <f>IF(preçodiario[[#This Row],[entrada JV]]=0,AZ118-(SUMIFS(estoque[quantidade],estoque[fornecedor],"saída",estoque[produto],preçodiario[[#Headers],[OVO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Row],[data]]))+AZ118+preçodiario[[#This Row],[entrada JV]])</f>
        <v>0</v>
      </c>
      <c r="BA119" s="22">
        <f>SUMIFS(estoque[quantidade],estoque[fornecedor],"&lt;&gt;saída",estoque[produto],preçodiario[[#Headers],[OVO VERMELHO JUMBO]],estoque[data],preçodiario[[#This Row],[data]])</f>
        <v>0</v>
      </c>
      <c r="BB119" s="20">
        <f>SUMIFS(estoque[valor total],estoque[fornecedor],"&lt;&gt;saída",estoque[produto],preçodiario[[#Headers],[OVO VERMELHO JUMBO]],estoque[data],preçodiario[[#This Row],[data]])</f>
        <v>0</v>
      </c>
      <c r="BC119" s="20">
        <f>IFERROR(preçodiario[[#This Row],[OVO VERMELHO JUMBO]]*preçodiario[[#This Row],[estoque JV]],0)</f>
        <v>0</v>
      </c>
      <c r="BD119" t="str">
        <f>TEXT(vendaAno[[#This Row],[data]],"mmm")</f>
        <v>abr</v>
      </c>
      <c r="BE119" t="str">
        <f>TEXT(vendaAno[[#This Row],[data]],"ddd")</f>
        <v>ter</v>
      </c>
      <c r="BF119" s="82">
        <f>WEEKNUM(vendaAno[[#This Row],[data]],13)</f>
        <v>17</v>
      </c>
      <c r="BG119" s="27">
        <f>preçodiario[[#This Row],[data]]</f>
        <v>46140</v>
      </c>
      <c r="BH1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19" s="8">
        <f>IF(SUMIFS(estoque[valor total],estoque[fornecedor],"saída",estoque[data],vendaAno[[#This Row],[data]])=0,"",SUMIFS(estoque[valor total],estoque[fornecedor],"saída",estoque[data],vendaAno[[#This Row],[data]]))</f>
        <v>744.5</v>
      </c>
      <c r="BJ11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Row],[data]]))/12+BJ118,"")</f>
        <v>18.833333333333314</v>
      </c>
      <c r="BK119" s="79">
        <f ca="1">IF(TODAY()&gt;=vendaAno[[#This Row],[data]],IF(SUMIFS(estoque[quantidade],estoque[fornecedor],"saída",estoque[data],vendaAno[[#This Row],[data]])/12=0,AVERAGE(BK116:BK118),SUMIFS(estoque[quantidade],estoque[fornecedor],"saída",estoque[data],vendaAno[[#This Row],[data]])/12),"")</f>
        <v>2.9166666666666665</v>
      </c>
      <c r="BL119" s="8">
        <f ca="1">IF(vendaAno[[#This Row],[data]]&lt;=TODAY(),IF(SUMIFS(estoque[lucro],estoque[fornecedor],"saída",estoque[data],vendaAno[[#This Row],[data]])=0,AVERAGE(BL116:BL118),SUMIFS(estoque[lucro],estoque[fornecedor],"saída",estoque[data],vendaAno[[#This Row],[data]])),"")</f>
        <v>156.89000000000001</v>
      </c>
      <c r="BM119" s="10">
        <f ca="1">IFERROR(vendaAno[[#This Row],[lucro]]/vendaAno[[#This Row],[valor de venda]],"")</f>
        <v>0.21073203492276699</v>
      </c>
      <c r="BN11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3831.4354534242343</v>
      </c>
      <c r="BO119" s="8">
        <f ca="1">IF(TODAY()&gt;=vendaAno[[#This Row],[data]],IF(vendaAno[[#This Row],[N°]]=BF118,vendaAno[[#This Row],[lucro]]-173.33+BO118,vendaAno[[#This Row],[lucro]]-150),"")</f>
        <v>-272.04000000000008</v>
      </c>
      <c r="BP119" s="81">
        <f ca="1">IF(TODAY()&gt;=vendaAno[[#This Row],[data]],SUM(BK113:BK119)*12,"")</f>
        <v>220</v>
      </c>
      <c r="BQ119" s="7">
        <f ca="1">IFERROR(vendaAno[[#This Row],[lucro]]/(vendaAno[[#This Row],[venda]]*12),"")</f>
        <v>4.4825714285714291</v>
      </c>
    </row>
    <row r="120" spans="1:69" x14ac:dyDescent="0.25">
      <c r="A1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0" s="18" t="str">
        <f>TEXT(preçodiario[[#This Row],[data]],"MMM")</f>
        <v>abr</v>
      </c>
      <c r="C120" s="18" t="str">
        <f>TEXT(preçodiario[[#This Row],[data]],"ddd")</f>
        <v>qua</v>
      </c>
      <c r="D120" s="96">
        <f>WEEKNUM(preçodiario[[#This Row],[data]],13)</f>
        <v>18</v>
      </c>
      <c r="E120" s="37">
        <v>46141</v>
      </c>
      <c r="F1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Row],[data]])),((F119*G119)+SUMIFS(estoque[valor total],estoque[produto],preçodiario[[#Headers],[OVO BRANCO A]],estoque[data],preçodiario[[#This Row],[data]],estoque[fornecedor],"&lt;&gt;saída"))/(G119+(SUMIFS(estoque[quantidade],estoque[produto],preçodiario[[#Headers],[OVO BRANCO A]],estoque[fornecedor],"&lt;&gt;saída",estoque[data],preçodiario[[#This Row],[data]])))))</f>
        <v>16.655555555555555</v>
      </c>
      <c r="G120" s="22">
        <f>IF(preçodiario[[#This Row],[entrada A]]=0,G119-(SUMIFS(estoque[quantidade],estoque[fornecedor],"saída",estoque[produto],preçodiario[[#Headers],[OVO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Row],[data]]))+G119+preçodiario[[#This Row],[entrada A]])</f>
        <v>75</v>
      </c>
      <c r="H120" s="22">
        <f>SUMIFS(estoque[quantidade],estoque[fornecedor],"&lt;&gt;saída",estoque[produto],preçodiario[[#Headers],[OVO BRANCO A]],estoque[data],preçodiario[[#This Row],[data]])</f>
        <v>0</v>
      </c>
      <c r="I120" s="20">
        <f>SUMIFS(estoque[valor total],estoque[fornecedor],"&lt;&gt;saída",estoque[produto],preçodiario[[#Headers],[OVO BRANCO A]],estoque[data],preçodiario[[#This Row],[data]])</f>
        <v>0</v>
      </c>
      <c r="J120" s="20">
        <f>IFERROR(preçodiario[[#This Row],[estoque A]]*preçodiario[[#This Row],[OVO BRANCO A]],0)</f>
        <v>1249.1666666666665</v>
      </c>
      <c r="K1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Row],[data]])),((K119*L119)+SUMIFS(estoque[valor total],estoque[produto],preçodiario[[#Headers],[OVO BRANCO B]],estoque[data],preçodiario[[#This Row],[data]],estoque[fornecedor],"&lt;&gt;saída"))/(L119+(SUMIFS(estoque[quantidade],estoque[produto],preçodiario[[#Headers],[OVO BRANCO B]],estoque[fornecedor],"&lt;&gt;saída",estoque[data],preçodiario[[#This Row],[data]])))))</f>
        <v>16.202107706733738</v>
      </c>
      <c r="L120" s="22">
        <f>IF(preçodiario[[#This Row],[entrada B]]=0,L119-(SUMIFS(estoque[quantidade],estoque[fornecedor],"saída",estoque[produto],preçodiario[[#Headers],[OVO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Row],[data]]))+L119+preçodiario[[#This Row],[entrada B]])</f>
        <v>17</v>
      </c>
      <c r="M120" s="22">
        <f>SUMIFS(estoque[quantidade],estoque[fornecedor],"&lt;&gt;saída",estoque[produto],preçodiario[[#Headers],[OVO BRANCO B]],estoque[data],preçodiario[[#This Row],[data]])</f>
        <v>0</v>
      </c>
      <c r="N120" s="20">
        <f>SUMIFS(estoque[valor total],estoque[fornecedor],"&lt;&gt;saída",estoque[produto],preçodiario[[#Headers],[OVO BRANCO B]],estoque[data],preçodiario[[#This Row],[data]])</f>
        <v>0</v>
      </c>
      <c r="O120" s="20">
        <f>IFERROR(preçodiario[[#This Row],[OVO BRANCO B]]*preçodiario[[#This Row],[estoque B]],0)</f>
        <v>275.43583101447354</v>
      </c>
      <c r="P12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Row],[data]])),((P119*Q119)+SUMIFS(estoque[valor total],estoque[produto],preçodiario[[#Headers],[OVO BRANCO C]],estoque[data],preçodiario[[#This Row],[data]],estoque[fornecedor],"&lt;&gt;saída"))/(Q119+(SUMIFS(estoque[quantidade],estoque[produto],preçodiario[[#Headers],[OVO BRANCO C]],estoque[fornecedor],"&lt;&gt;saída",estoque[data],preçodiario[[#This Row],[data]])))))</f>
        <v/>
      </c>
      <c r="Q120" s="22">
        <f>IF(preçodiario[[#This Row],[entrada C]]=0,Q119-(SUMIFS(estoque[quantidade],estoque[fornecedor],"saída",estoque[produto],preçodiario[[#Headers],[OVO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Row],[data]]))+Q119+preçodiario[[#This Row],[entrada C]])</f>
        <v>0</v>
      </c>
      <c r="R120" s="22">
        <f>SUMIFS(estoque[quantidade],estoque[fornecedor],"&lt;&gt;saída",estoque[produto],preçodiario[[#Headers],[OVO BRANCO C]],estoque[data],preçodiario[[#This Row],[data]])</f>
        <v>0</v>
      </c>
      <c r="S120" s="20">
        <f>SUMIFS(estoque[valor total],estoque[fornecedor],"&lt;&gt;saída",estoque[produto],preçodiario[[#Headers],[OVO BRANCO C]],estoque[data],preçodiario[[#This Row],[data]])</f>
        <v>0</v>
      </c>
      <c r="T120" s="20">
        <f>IFERROR(preçodiario[[#This Row],[OVO BRANCO C]]*preçodiario[[#This Row],[estoque C]],0)</f>
        <v>0</v>
      </c>
      <c r="U1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Row],[data]])),((U119*V119)+SUMIFS(estoque[valor total],estoque[produto],preçodiario[[#Headers],[OVO BRANCO EXTRA]],estoque[data],preçodiario[[#This Row],[data]],estoque[fornecedor],"&lt;&gt;saída"))/(V119+(SUMIFS(estoque[quantidade],estoque[produto],preçodiario[[#Headers],[OVO BRANCO EXTRA]],estoque[fornecedor],"&lt;&gt;saída",estoque[data],preçodiario[[#This Row],[data]])))))</f>
        <v>17.083333333333332</v>
      </c>
      <c r="V120" s="22">
        <f>IF(preçodiario[[#This Row],[entrada E]]=0,V119-(SUMIFS(estoque[quantidade],estoque[fornecedor],"saída",estoque[produto],preçodiario[[#Headers],[OVO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Row],[data]]))+V119+preçodiario[[#This Row],[entrada E]])</f>
        <v>37</v>
      </c>
      <c r="W120" s="22">
        <f>SUMIFS(estoque[quantidade],estoque[fornecedor],"&lt;&gt;saída",estoque[produto],preçodiario[[#Headers],[OVO BRANCO EXTRA]],estoque[data],preçodiario[[#This Row],[data]])</f>
        <v>0</v>
      </c>
      <c r="X120" s="20">
        <f>SUMIFS(estoque[valor total],estoque[fornecedor],"&lt;&gt;saída",estoque[produto],preçodiario[[#Headers],[OVO BRANCO EXTRA]],estoque[data],preçodiario[[#This Row],[data]])</f>
        <v>0</v>
      </c>
      <c r="Y120" s="20">
        <f>IFERROR(preçodiario[[#This Row],[estoque E]]*preçodiario[[#This Row],[OVO BRANCO EXTRA]],0)</f>
        <v>632.08333333333326</v>
      </c>
      <c r="Z1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Row],[data]])),((Z119*AA119)+SUMIFS(estoque[valor total],estoque[produto],preçodiario[[#Headers],[OVO BRANCO JUMBO]],estoque[data],preçodiario[[#This Row],[data]],estoque[fornecedor],"&lt;&gt;saída"))/(AA119+(SUMIFS(estoque[quantidade],estoque[produto],preçodiario[[#Headers],[OVO BRANCO JUMBO]],estoque[fornecedor],"&lt;&gt;saída",estoque[data],preçodiario[[#This Row],[data]])))))</f>
        <v>17.5</v>
      </c>
      <c r="AA120" s="22">
        <f>IF(preçodiario[[#This Row],[entrada J]]=0,AA119-(SUMIFS(estoque[quantidade],estoque[fornecedor],"saída",estoque[produto],preçodiario[[#Headers],[OVO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Row],[data]]))+AA119+preçodiario[[#This Row],[entrada J]])</f>
        <v>70</v>
      </c>
      <c r="AB120" s="22">
        <f>SUMIFS(estoque[quantidade],estoque[fornecedor],"&lt;&gt;saída",estoque[produto],preçodiario[[#Headers],[OVO BRANCO JUMBO]],estoque[data],preçodiario[[#This Row],[data]])</f>
        <v>0</v>
      </c>
      <c r="AC120" s="20">
        <f>SUMIFS(estoque[valor total],estoque[fornecedor],"&lt;&gt;saída",estoque[produto],preçodiario[[#Headers],[OVO BRANCO JUMBO]],estoque[data],preçodiario[[#This Row],[data]])</f>
        <v>0</v>
      </c>
      <c r="AD120" s="20">
        <f>IFERROR(preçodiario[[#This Row],[OVO BRANCO JUMBO]]*preçodiario[[#This Row],[estoque J]],0)</f>
        <v>1225</v>
      </c>
      <c r="AE1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Row],[data]])),((AE119*AF119)+SUMIFS(estoque[valor total],estoque[produto],preçodiario[[#Headers],[OVO VERMELHO A]],estoque[data],preçodiario[[#This Row],[data]],estoque[fornecedor],"&lt;&gt;saída"))/(AF119+(SUMIFS(estoque[quantidade],estoque[produto],preçodiario[[#Headers],[OVO VERMELHO A]],estoque[fornecedor],"&lt;&gt;saída",estoque[data],preçodiario[[#This Row],[data]])))))</f>
        <v/>
      </c>
      <c r="AF120" s="22">
        <f>IF(preçodiario[[#This Row],[entrada AV]]=0,AF119-(SUMIFS(estoque[quantidade],estoque[fornecedor],"saída",estoque[produto],preçodiario[[#Headers],[OVO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Row],[data]]))+AF119+preçodiario[[#This Row],[entrada AV]])</f>
        <v>0</v>
      </c>
      <c r="AG120" s="22">
        <f>SUMIFS(estoque[quantidade],estoque[fornecedor],"&lt;&gt;saída",estoque[produto],preçodiario[[#Headers],[OVO VERMELHO A]],estoque[data],preçodiario[[#This Row],[data]])</f>
        <v>0</v>
      </c>
      <c r="AH120" s="20">
        <f>SUMIFS(estoque[valor total],estoque[fornecedor],"&lt;&gt;saída",estoque[produto],preçodiario[[#Headers],[OVO VERMELHO A]],estoque[data],preçodiario[[#This Row],[data]])</f>
        <v>0</v>
      </c>
      <c r="AI120" s="20">
        <f>IFERROR(preçodiario[[#This Row],[OVO VERMELHO A]]*preçodiario[[#This Row],[estoque AV]],0)</f>
        <v>0</v>
      </c>
      <c r="AJ1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Row],[data]])),((AJ119*AK119)+SUMIFS(estoque[valor total],estoque[produto],preçodiario[[#Headers],[OVO VERMELHO B]],estoque[data],preçodiario[[#This Row],[data]],estoque[fornecedor],"&lt;&gt;saída"))/(AK119+(SUMIFS(estoque[quantidade],estoque[produto],preçodiario[[#Headers],[OVO VERMELHO B]],estoque[fornecedor],"&lt;&gt;saída",estoque[data],preçodiario[[#This Row],[data]])))))</f>
        <v/>
      </c>
      <c r="AK120" s="22">
        <f>IF(preçodiario[[#This Row],[entrada BV]]=0,AK119-(SUMIFS(estoque[quantidade],estoque[fornecedor],"saída",estoque[produto],preçodiario[[#Headers],[OVO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Row],[data]]))+AK119+preçodiario[[#This Row],[entrada BV]])</f>
        <v>0</v>
      </c>
      <c r="AL120" s="22">
        <f>SUMIFS(estoque[quantidade],estoque[fornecedor],"&lt;&gt;saída",estoque[produto],preçodiario[[#Headers],[OVO VERMELHO B]],estoque[data],preçodiario[[#This Row],[data]])</f>
        <v>0</v>
      </c>
      <c r="AM120" s="20">
        <f>SUMIFS(estoque[valor total],estoque[fornecedor],"&lt;&gt;saída",estoque[produto],preçodiario[[#Headers],[OVO VERMELHO B]],estoque[data],preçodiario[[#This Row],[data]])</f>
        <v>0</v>
      </c>
      <c r="AN120" s="20">
        <f>IFERROR(preçodiario[[#This Row],[OVO VERMELHO B]]*preçodiario[[#This Row],[estoque BV]],0)</f>
        <v>0</v>
      </c>
      <c r="AO1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Row],[data]])),((AO119*AP119)+SUMIFS(estoque[valor total],estoque[produto],preçodiario[[#Headers],[OVO VERMELHO C]],estoque[data],preçodiario[[#This Row],[data]],estoque[fornecedor],"&lt;&gt;saída"))/(AP119+(SUMIFS(estoque[quantidade],estoque[produto],preçodiario[[#Headers],[OVO VERMELHO C]],estoque[fornecedor],"&lt;&gt;saída",estoque[data],preçodiario[[#This Row],[data]])))))</f>
        <v/>
      </c>
      <c r="AP120" s="22">
        <f>IF(preçodiario[[#This Row],[entrada CV]]=0,AP119-(SUMIFS(estoque[quantidade],estoque[fornecedor],"saída",estoque[produto],preçodiario[[#Headers],[OVO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Row],[data]]))+AP119+preçodiario[[#This Row],[entrada CV]])</f>
        <v>0</v>
      </c>
      <c r="AQ120" s="22">
        <f>SUMIFS(estoque[quantidade],estoque[fornecedor],"&lt;&gt;saída",estoque[produto],preçodiario[[#Headers],[OVO VERMELHO C]],estoque[data],preçodiario[[#This Row],[data]])</f>
        <v>0</v>
      </c>
      <c r="AR120" s="20">
        <f>SUMIFS(estoque[valor total],estoque[fornecedor],"&lt;&gt;saída",estoque[produto],preçodiario[[#Headers],[OVO VERMELHO C]],estoque[data],preçodiario[[#This Row],[data]])</f>
        <v>0</v>
      </c>
      <c r="AS120" s="20">
        <f>IFERROR(preçodiario[[#This Row],[OVO VERMELHO C]]*preçodiario[[#This Row],[estoque CV]],0)</f>
        <v>0</v>
      </c>
      <c r="AT1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Row],[data]])),((AT119*AU119)+SUMIFS(estoque[valor total],estoque[produto],preçodiario[[#Headers],[OVO VERMELHO EXTRA]],estoque[data],preçodiario[[#This Row],[data]],estoque[fornecedor],"&lt;&gt;saída"))/(AU119+(SUMIFS(estoque[quantidade],estoque[produto],preçodiario[[#Headers],[OVO VERMELHO EXTRA]],estoque[fornecedor],"&lt;&gt;saída",estoque[data],preçodiario[[#This Row],[data]])))))</f>
        <v/>
      </c>
      <c r="AU120" s="22">
        <f>IF(preçodiario[[#This Row],[entrada EV]]=0,AU119-(SUMIFS(estoque[quantidade],estoque[fornecedor],"saída",estoque[produto],preçodiario[[#Headers],[OVO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Row],[data]]))+AU119+preçodiario[[#This Row],[entrada EV]])</f>
        <v>0</v>
      </c>
      <c r="AV120" s="22">
        <f>SUMIFS(estoque[quantidade],estoque[fornecedor],"&lt;&gt;saída",estoque[produto],preçodiario[[#Headers],[OVO VERMELHO EXTRA]],estoque[data],preçodiario[[#This Row],[data]])</f>
        <v>0</v>
      </c>
      <c r="AW120" s="20">
        <f>SUMIFS(estoque[valor total],estoque[fornecedor],"&lt;&gt;saída",estoque[produto],preçodiario[[#Headers],[OVO VERMELHO EXTRA]],estoque[data],preçodiario[[#This Row],[data]])</f>
        <v>0</v>
      </c>
      <c r="AX120" s="20">
        <f>IFERROR(preçodiario[[#This Row],[OVO VERMELHO EXTRA]]*preçodiario[[#This Row],[estoque EV]],0)</f>
        <v>0</v>
      </c>
      <c r="AY1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Row],[data]])),((AY119*AZ119)+SUMIFS(estoque[valor total],estoque[produto],preçodiario[[#Headers],[OVO VERMELHO JUMBO]],estoque[data],preçodiario[[#This Row],[data]],estoque[fornecedor],"&lt;&gt;saída"))/(AZ119+(SUMIFS(estoque[quantidade],estoque[produto],preçodiario[[#Headers],[OVO VERMELHO JUMBO]],estoque[fornecedor],"&lt;&gt;saída",estoque[data],preçodiario[[#This Row],[data]])))))</f>
        <v/>
      </c>
      <c r="AZ120" s="22">
        <f>IF(preçodiario[[#This Row],[entrada JV]]=0,AZ119-(SUMIFS(estoque[quantidade],estoque[fornecedor],"saída",estoque[produto],preçodiario[[#Headers],[OVO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Row],[data]]))+AZ119+preçodiario[[#This Row],[entrada JV]])</f>
        <v>0</v>
      </c>
      <c r="BA120" s="22">
        <f>SUMIFS(estoque[quantidade],estoque[fornecedor],"&lt;&gt;saída",estoque[produto],preçodiario[[#Headers],[OVO VERMELHO JUMBO]],estoque[data],preçodiario[[#This Row],[data]])</f>
        <v>0</v>
      </c>
      <c r="BB120" s="20">
        <f>SUMIFS(estoque[valor total],estoque[fornecedor],"&lt;&gt;saída",estoque[produto],preçodiario[[#Headers],[OVO VERMELHO JUMBO]],estoque[data],preçodiario[[#This Row],[data]])</f>
        <v>0</v>
      </c>
      <c r="BC120" s="20">
        <f>IFERROR(preçodiario[[#This Row],[OVO VERMELHO JUMBO]]*preçodiario[[#This Row],[estoque JV]],0)</f>
        <v>0</v>
      </c>
      <c r="BD120" t="str">
        <f>TEXT(vendaAno[[#This Row],[data]],"mmm")</f>
        <v>abr</v>
      </c>
      <c r="BE120" t="str">
        <f>TEXT(vendaAno[[#This Row],[data]],"ddd")</f>
        <v>qua</v>
      </c>
      <c r="BF120" s="82">
        <f>WEEKNUM(vendaAno[[#This Row],[data]],13)</f>
        <v>18</v>
      </c>
      <c r="BG120" s="27">
        <f>preçodiario[[#This Row],[data]]</f>
        <v>46141</v>
      </c>
      <c r="BH1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0" s="8">
        <f>IF(SUMIFS(estoque[valor total],estoque[fornecedor],"saída",estoque[data],vendaAno[[#This Row],[data]])=0,"",SUMIFS(estoque[valor total],estoque[fornecedor],"saída",estoque[data],vendaAno[[#This Row],[data]]))</f>
        <v>572</v>
      </c>
      <c r="BJ12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Row],[data]]))/12+BJ119,"")</f>
        <v>16.583333333333314</v>
      </c>
      <c r="BK120" s="79">
        <f ca="1">IF(TODAY()&gt;=vendaAno[[#This Row],[data]],IF(SUMIFS(estoque[quantidade],estoque[fornecedor],"saída",estoque[data],vendaAno[[#This Row],[data]])/12=0,AVERAGE(BK117:BK119),SUMIFS(estoque[quantidade],estoque[fornecedor],"saída",estoque[data],vendaAno[[#This Row],[data]])/12),"")</f>
        <v>2.25</v>
      </c>
      <c r="BL120" s="8">
        <f ca="1">IF(vendaAno[[#This Row],[data]]&lt;=TODAY(),IF(SUMIFS(estoque[lucro],estoque[fornecedor],"saída",estoque[data],vendaAno[[#This Row],[data]])=0,AVERAGE(BL117:BL119),SUMIFS(estoque[lucro],estoque[fornecedor],"saída",estoque[data],vendaAno[[#This Row],[data]])),"")</f>
        <v>122.25</v>
      </c>
      <c r="BM120" s="10">
        <f ca="1">IFERROR(vendaAno[[#This Row],[lucro]]/vendaAno[[#This Row],[valor de venda]],"")</f>
        <v>0.21372377622377622</v>
      </c>
      <c r="BN12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3381.6858310144735</v>
      </c>
      <c r="BO120" s="8">
        <f ca="1">IF(TODAY()&gt;=vendaAno[[#This Row],[data]],IF(vendaAno[[#This Row],[N°]]=BF119,vendaAno[[#This Row],[lucro]]-173.33+BO119,vendaAno[[#This Row],[lucro]]-150),"")</f>
        <v>-27.75</v>
      </c>
      <c r="BP120" s="81">
        <f ca="1">IF(TODAY()&gt;=vendaAno[[#This Row],[data]],SUM(BK114:BK120)*12,"")</f>
        <v>195</v>
      </c>
      <c r="BQ120" s="7">
        <f ca="1">IFERROR(vendaAno[[#This Row],[lucro]]/(vendaAno[[#This Row],[venda]]*12),"")</f>
        <v>4.5277777777777777</v>
      </c>
    </row>
    <row r="121" spans="1:69" x14ac:dyDescent="0.25">
      <c r="A1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1" s="18" t="str">
        <f>TEXT(preçodiario[[#This Row],[data]],"MMM")</f>
        <v>abr</v>
      </c>
      <c r="C121" s="18" t="str">
        <f>TEXT(preçodiario[[#This Row],[data]],"ddd")</f>
        <v>qui</v>
      </c>
      <c r="D121" s="96">
        <f>WEEKNUM(preçodiario[[#This Row],[data]],13)</f>
        <v>18</v>
      </c>
      <c r="E121" s="37">
        <v>46142</v>
      </c>
      <c r="F1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Row],[data]])),((F120*G120)+SUMIFS(estoque[valor total],estoque[produto],preçodiario[[#Headers],[OVO BRANCO A]],estoque[data],preçodiario[[#This Row],[data]],estoque[fornecedor],"&lt;&gt;saída"))/(G120+(SUMIFS(estoque[quantidade],estoque[produto],preçodiario[[#Headers],[OVO BRANCO A]],estoque[fornecedor],"&lt;&gt;saída",estoque[data],preçodiario[[#This Row],[data]])))))</f>
        <v>16.655555555555555</v>
      </c>
      <c r="G121" s="22">
        <f>IF(preçodiario[[#This Row],[entrada A]]=0,G120-(SUMIFS(estoque[quantidade],estoque[fornecedor],"saída",estoque[produto],preçodiario[[#Headers],[OVO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Row],[data]]))+G120+preçodiario[[#This Row],[entrada A]])</f>
        <v>73</v>
      </c>
      <c r="H121" s="22">
        <f>SUMIFS(estoque[quantidade],estoque[fornecedor],"&lt;&gt;saída",estoque[produto],preçodiario[[#Headers],[OVO BRANCO A]],estoque[data],preçodiario[[#This Row],[data]])</f>
        <v>0</v>
      </c>
      <c r="I121" s="20">
        <f>SUMIFS(estoque[valor total],estoque[fornecedor],"&lt;&gt;saída",estoque[produto],preçodiario[[#Headers],[OVO BRANCO A]],estoque[data],preçodiario[[#This Row],[data]])</f>
        <v>0</v>
      </c>
      <c r="J121" s="20">
        <f>IFERROR(preçodiario[[#This Row],[estoque A]]*preçodiario[[#This Row],[OVO BRANCO A]],0)</f>
        <v>1215.8555555555556</v>
      </c>
      <c r="K1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Row],[data]])),((K120*L120)+SUMIFS(estoque[valor total],estoque[produto],preçodiario[[#Headers],[OVO BRANCO B]],estoque[data],preçodiario[[#This Row],[data]],estoque[fornecedor],"&lt;&gt;saída"))/(L120+(SUMIFS(estoque[quantidade],estoque[produto],preçodiario[[#Headers],[OVO BRANCO B]],estoque[fornecedor],"&lt;&gt;saída",estoque[data],preçodiario[[#This Row],[data]])))))</f>
        <v>16.202107706733738</v>
      </c>
      <c r="L121" s="22">
        <f>IF(preçodiario[[#This Row],[entrada B]]=0,L120-(SUMIFS(estoque[quantidade],estoque[fornecedor],"saída",estoque[produto],preçodiario[[#Headers],[OVO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Row],[data]]))+L120+preçodiario[[#This Row],[entrada B]])</f>
        <v>13</v>
      </c>
      <c r="M121" s="22">
        <f>SUMIFS(estoque[quantidade],estoque[fornecedor],"&lt;&gt;saída",estoque[produto],preçodiario[[#Headers],[OVO BRANCO B]],estoque[data],preçodiario[[#This Row],[data]])</f>
        <v>0</v>
      </c>
      <c r="N121" s="20">
        <f>SUMIFS(estoque[valor total],estoque[fornecedor],"&lt;&gt;saída",estoque[produto],preçodiario[[#Headers],[OVO BRANCO B]],estoque[data],preçodiario[[#This Row],[data]])</f>
        <v>0</v>
      </c>
      <c r="O121" s="20">
        <f>IFERROR(preçodiario[[#This Row],[OVO BRANCO B]]*preçodiario[[#This Row],[estoque B]],0)</f>
        <v>210.6274001875386</v>
      </c>
      <c r="P12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Row],[data]])),((P120*Q120)+SUMIFS(estoque[valor total],estoque[produto],preçodiario[[#Headers],[OVO BRANCO C]],estoque[data],preçodiario[[#This Row],[data]],estoque[fornecedor],"&lt;&gt;saída"))/(Q120+(SUMIFS(estoque[quantidade],estoque[produto],preçodiario[[#Headers],[OVO BRANCO C]],estoque[fornecedor],"&lt;&gt;saída",estoque[data],preçodiario[[#This Row],[data]])))))</f>
        <v/>
      </c>
      <c r="Q121" s="22">
        <f>IF(preçodiario[[#This Row],[entrada C]]=0,Q120-(SUMIFS(estoque[quantidade],estoque[fornecedor],"saída",estoque[produto],preçodiario[[#Headers],[OVO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Row],[data]]))+Q120+preçodiario[[#This Row],[entrada C]])</f>
        <v>0</v>
      </c>
      <c r="R121" s="22">
        <f>SUMIFS(estoque[quantidade],estoque[fornecedor],"&lt;&gt;saída",estoque[produto],preçodiario[[#Headers],[OVO BRANCO C]],estoque[data],preçodiario[[#This Row],[data]])</f>
        <v>0</v>
      </c>
      <c r="S121" s="20">
        <f>SUMIFS(estoque[valor total],estoque[fornecedor],"&lt;&gt;saída",estoque[produto],preçodiario[[#Headers],[OVO BRANCO C]],estoque[data],preçodiario[[#This Row],[data]])</f>
        <v>0</v>
      </c>
      <c r="T121" s="20">
        <f>IFERROR(preçodiario[[#This Row],[OVO BRANCO C]]*preçodiario[[#This Row],[estoque C]],0)</f>
        <v>0</v>
      </c>
      <c r="U1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Row],[data]])),((U120*V120)+SUMIFS(estoque[valor total],estoque[produto],preçodiario[[#Headers],[OVO BRANCO EXTRA]],estoque[data],preçodiario[[#This Row],[data]],estoque[fornecedor],"&lt;&gt;saída"))/(V120+(SUMIFS(estoque[quantidade],estoque[produto],preçodiario[[#Headers],[OVO BRANCO EXTRA]],estoque[fornecedor],"&lt;&gt;saída",estoque[data],preçodiario[[#This Row],[data]])))))</f>
        <v>17.083333333333332</v>
      </c>
      <c r="V121" s="22">
        <f>IF(preçodiario[[#This Row],[entrada E]]=0,V120-(SUMIFS(estoque[quantidade],estoque[fornecedor],"saída",estoque[produto],preçodiario[[#Headers],[OVO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Row],[data]]))+V120+preçodiario[[#This Row],[entrada E]])</f>
        <v>26</v>
      </c>
      <c r="W121" s="22">
        <f>SUMIFS(estoque[quantidade],estoque[fornecedor],"&lt;&gt;saída",estoque[produto],preçodiario[[#Headers],[OVO BRANCO EXTRA]],estoque[data],preçodiario[[#This Row],[data]])</f>
        <v>0</v>
      </c>
      <c r="X121" s="20">
        <f>SUMIFS(estoque[valor total],estoque[fornecedor],"&lt;&gt;saída",estoque[produto],preçodiario[[#Headers],[OVO BRANCO EXTRA]],estoque[data],preçodiario[[#This Row],[data]])</f>
        <v>0</v>
      </c>
      <c r="Y121" s="20">
        <f>IFERROR(preçodiario[[#This Row],[estoque E]]*preçodiario[[#This Row],[OVO BRANCO EXTRA]],0)</f>
        <v>444.16666666666663</v>
      </c>
      <c r="Z1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Row],[data]])),((Z120*AA120)+SUMIFS(estoque[valor total],estoque[produto],preçodiario[[#Headers],[OVO BRANCO JUMBO]],estoque[data],preçodiario[[#This Row],[data]],estoque[fornecedor],"&lt;&gt;saída"))/(AA120+(SUMIFS(estoque[quantidade],estoque[produto],preçodiario[[#Headers],[OVO BRANCO JUMBO]],estoque[fornecedor],"&lt;&gt;saída",estoque[data],preçodiario[[#This Row],[data]])))))</f>
        <v>17.5</v>
      </c>
      <c r="AA121" s="22">
        <f>IF(preçodiario[[#This Row],[entrada J]]=0,AA120-(SUMIFS(estoque[quantidade],estoque[fornecedor],"saída",estoque[produto],preçodiario[[#Headers],[OVO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Row],[data]]))+AA120+preçodiario[[#This Row],[entrada J]])</f>
        <v>63</v>
      </c>
      <c r="AB121" s="22">
        <f>SUMIFS(estoque[quantidade],estoque[fornecedor],"&lt;&gt;saída",estoque[produto],preçodiario[[#Headers],[OVO BRANCO JUMBO]],estoque[data],preçodiario[[#This Row],[data]])</f>
        <v>0</v>
      </c>
      <c r="AC121" s="20">
        <f>SUMIFS(estoque[valor total],estoque[fornecedor],"&lt;&gt;saída",estoque[produto],preçodiario[[#Headers],[OVO BRANCO JUMBO]],estoque[data],preçodiario[[#This Row],[data]])</f>
        <v>0</v>
      </c>
      <c r="AD121" s="20">
        <f>IFERROR(preçodiario[[#This Row],[OVO BRANCO JUMBO]]*preçodiario[[#This Row],[estoque J]],0)</f>
        <v>1102.5</v>
      </c>
      <c r="AE1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Row],[data]])),((AE120*AF120)+SUMIFS(estoque[valor total],estoque[produto],preçodiario[[#Headers],[OVO VERMELHO A]],estoque[data],preçodiario[[#This Row],[data]],estoque[fornecedor],"&lt;&gt;saída"))/(AF120+(SUMIFS(estoque[quantidade],estoque[produto],preçodiario[[#Headers],[OVO VERMELHO A]],estoque[fornecedor],"&lt;&gt;saída",estoque[data],preçodiario[[#This Row],[data]])))))</f>
        <v/>
      </c>
      <c r="AF121" s="22">
        <f>IF(preçodiario[[#This Row],[entrada AV]]=0,AF120-(SUMIFS(estoque[quantidade],estoque[fornecedor],"saída",estoque[produto],preçodiario[[#Headers],[OVO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Row],[data]]))+AF120+preçodiario[[#This Row],[entrada AV]])</f>
        <v>0</v>
      </c>
      <c r="AG121" s="22">
        <f>SUMIFS(estoque[quantidade],estoque[fornecedor],"&lt;&gt;saída",estoque[produto],preçodiario[[#Headers],[OVO VERMELHO A]],estoque[data],preçodiario[[#This Row],[data]])</f>
        <v>0</v>
      </c>
      <c r="AH121" s="20">
        <f>SUMIFS(estoque[valor total],estoque[fornecedor],"&lt;&gt;saída",estoque[produto],preçodiario[[#Headers],[OVO VERMELHO A]],estoque[data],preçodiario[[#This Row],[data]])</f>
        <v>0</v>
      </c>
      <c r="AI121" s="20">
        <f>IFERROR(preçodiario[[#This Row],[OVO VERMELHO A]]*preçodiario[[#This Row],[estoque AV]],0)</f>
        <v>0</v>
      </c>
      <c r="AJ1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Row],[data]])),((AJ120*AK120)+SUMIFS(estoque[valor total],estoque[produto],preçodiario[[#Headers],[OVO VERMELHO B]],estoque[data],preçodiario[[#This Row],[data]],estoque[fornecedor],"&lt;&gt;saída"))/(AK120+(SUMIFS(estoque[quantidade],estoque[produto],preçodiario[[#Headers],[OVO VERMELHO B]],estoque[fornecedor],"&lt;&gt;saída",estoque[data],preçodiario[[#This Row],[data]])))))</f>
        <v/>
      </c>
      <c r="AK121" s="22">
        <f>IF(preçodiario[[#This Row],[entrada BV]]=0,AK120-(SUMIFS(estoque[quantidade],estoque[fornecedor],"saída",estoque[produto],preçodiario[[#Headers],[OVO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Row],[data]]))+AK120+preçodiario[[#This Row],[entrada BV]])</f>
        <v>0</v>
      </c>
      <c r="AL121" s="22">
        <f>SUMIFS(estoque[quantidade],estoque[fornecedor],"&lt;&gt;saída",estoque[produto],preçodiario[[#Headers],[OVO VERMELHO B]],estoque[data],preçodiario[[#This Row],[data]])</f>
        <v>0</v>
      </c>
      <c r="AM121" s="20">
        <f>SUMIFS(estoque[valor total],estoque[fornecedor],"&lt;&gt;saída",estoque[produto],preçodiario[[#Headers],[OVO VERMELHO B]],estoque[data],preçodiario[[#This Row],[data]])</f>
        <v>0</v>
      </c>
      <c r="AN121" s="20">
        <f>IFERROR(preçodiario[[#This Row],[OVO VERMELHO B]]*preçodiario[[#This Row],[estoque BV]],0)</f>
        <v>0</v>
      </c>
      <c r="AO1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Row],[data]])),((AO120*AP120)+SUMIFS(estoque[valor total],estoque[produto],preçodiario[[#Headers],[OVO VERMELHO C]],estoque[data],preçodiario[[#This Row],[data]],estoque[fornecedor],"&lt;&gt;saída"))/(AP120+(SUMIFS(estoque[quantidade],estoque[produto],preçodiario[[#Headers],[OVO VERMELHO C]],estoque[fornecedor],"&lt;&gt;saída",estoque[data],preçodiario[[#This Row],[data]])))))</f>
        <v/>
      </c>
      <c r="AP121" s="22">
        <f>IF(preçodiario[[#This Row],[entrada CV]]=0,AP120-(SUMIFS(estoque[quantidade],estoque[fornecedor],"saída",estoque[produto],preçodiario[[#Headers],[OVO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Row],[data]]))+AP120+preçodiario[[#This Row],[entrada CV]])</f>
        <v>0</v>
      </c>
      <c r="AQ121" s="22">
        <f>SUMIFS(estoque[quantidade],estoque[fornecedor],"&lt;&gt;saída",estoque[produto],preçodiario[[#Headers],[OVO VERMELHO C]],estoque[data],preçodiario[[#This Row],[data]])</f>
        <v>0</v>
      </c>
      <c r="AR121" s="20">
        <f>SUMIFS(estoque[valor total],estoque[fornecedor],"&lt;&gt;saída",estoque[produto],preçodiario[[#Headers],[OVO VERMELHO C]],estoque[data],preçodiario[[#This Row],[data]])</f>
        <v>0</v>
      </c>
      <c r="AS121" s="20">
        <f>IFERROR(preçodiario[[#This Row],[OVO VERMELHO C]]*preçodiario[[#This Row],[estoque CV]],0)</f>
        <v>0</v>
      </c>
      <c r="AT1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Row],[data]])),((AT120*AU120)+SUMIFS(estoque[valor total],estoque[produto],preçodiario[[#Headers],[OVO VERMELHO EXTRA]],estoque[data],preçodiario[[#This Row],[data]],estoque[fornecedor],"&lt;&gt;saída"))/(AU120+(SUMIFS(estoque[quantidade],estoque[produto],preçodiario[[#Headers],[OVO VERMELHO EXTRA]],estoque[fornecedor],"&lt;&gt;saída",estoque[data],preçodiario[[#This Row],[data]])))))</f>
        <v/>
      </c>
      <c r="AU121" s="22">
        <f>IF(preçodiario[[#This Row],[entrada EV]]=0,AU120-(SUMIFS(estoque[quantidade],estoque[fornecedor],"saída",estoque[produto],preçodiario[[#Headers],[OVO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Row],[data]]))+AU120+preçodiario[[#This Row],[entrada EV]])</f>
        <v>0</v>
      </c>
      <c r="AV121" s="22">
        <f>SUMIFS(estoque[quantidade],estoque[fornecedor],"&lt;&gt;saída",estoque[produto],preçodiario[[#Headers],[OVO VERMELHO EXTRA]],estoque[data],preçodiario[[#This Row],[data]])</f>
        <v>0</v>
      </c>
      <c r="AW121" s="20">
        <f>SUMIFS(estoque[valor total],estoque[fornecedor],"&lt;&gt;saída",estoque[produto],preçodiario[[#Headers],[OVO VERMELHO EXTRA]],estoque[data],preçodiario[[#This Row],[data]])</f>
        <v>0</v>
      </c>
      <c r="AX121" s="20">
        <f>IFERROR(preçodiario[[#This Row],[OVO VERMELHO EXTRA]]*preçodiario[[#This Row],[estoque EV]],0)</f>
        <v>0</v>
      </c>
      <c r="AY1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Row],[data]])),((AY120*AZ120)+SUMIFS(estoque[valor total],estoque[produto],preçodiario[[#Headers],[OVO VERMELHO JUMBO]],estoque[data],preçodiario[[#This Row],[data]],estoque[fornecedor],"&lt;&gt;saída"))/(AZ120+(SUMIFS(estoque[quantidade],estoque[produto],preçodiario[[#Headers],[OVO VERMELHO JUMBO]],estoque[fornecedor],"&lt;&gt;saída",estoque[data],preçodiario[[#This Row],[data]])))))</f>
        <v/>
      </c>
      <c r="AZ121" s="22">
        <f>IF(preçodiario[[#This Row],[entrada JV]]=0,AZ120-(SUMIFS(estoque[quantidade],estoque[fornecedor],"saída",estoque[produto],preçodiario[[#Headers],[OVO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Row],[data]]))+AZ120+preçodiario[[#This Row],[entrada JV]])</f>
        <v>0</v>
      </c>
      <c r="BA121" s="22">
        <f>SUMIFS(estoque[quantidade],estoque[fornecedor],"&lt;&gt;saída",estoque[produto],preçodiario[[#Headers],[OVO VERMELHO JUMBO]],estoque[data],preçodiario[[#This Row],[data]])</f>
        <v>0</v>
      </c>
      <c r="BB121" s="20">
        <f>SUMIFS(estoque[valor total],estoque[fornecedor],"&lt;&gt;saída",estoque[produto],preçodiario[[#Headers],[OVO VERMELHO JUMBO]],estoque[data],preçodiario[[#This Row],[data]])</f>
        <v>0</v>
      </c>
      <c r="BC121" s="20">
        <f>IFERROR(preçodiario[[#This Row],[OVO VERMELHO JUMBO]]*preçodiario[[#This Row],[estoque JV]],0)</f>
        <v>0</v>
      </c>
      <c r="BD121" t="str">
        <f>TEXT(vendaAno[[#This Row],[data]],"mmm")</f>
        <v>abr</v>
      </c>
      <c r="BE121" t="str">
        <f>TEXT(vendaAno[[#This Row],[data]],"ddd")</f>
        <v>qui</v>
      </c>
      <c r="BF121" s="82">
        <f>WEEKNUM(vendaAno[[#This Row],[data]],13)</f>
        <v>18</v>
      </c>
      <c r="BG121" s="27">
        <f>preçodiario[[#This Row],[data]]</f>
        <v>46142</v>
      </c>
      <c r="BH1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1" s="8">
        <f>IF(SUMIFS(estoque[valor total],estoque[fornecedor],"saída",estoque[data],vendaAno[[#This Row],[data]])=0,"",SUMIFS(estoque[valor total],estoque[fornecedor],"saída",estoque[data],vendaAno[[#This Row],[data]]))</f>
        <v>532</v>
      </c>
      <c r="BJ12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Row],[data]]))/12+BJ120,"")</f>
        <v>14.583333333333314</v>
      </c>
      <c r="BK121" s="79">
        <f ca="1">IF(TODAY()&gt;=vendaAno[[#This Row],[data]],IF(SUMIFS(estoque[quantidade],estoque[fornecedor],"saída",estoque[data],vendaAno[[#This Row],[data]])/12=0,AVERAGE(BK118:BK120),SUMIFS(estoque[quantidade],estoque[fornecedor],"saída",estoque[data],vendaAno[[#This Row],[data]])/12),"")</f>
        <v>2</v>
      </c>
      <c r="BL121" s="8">
        <f ca="1">IF(vendaAno[[#This Row],[data]]&lt;=TODAY(),IF(SUMIFS(estoque[lucro],estoque[fornecedor],"saída",estoque[data],vendaAno[[#This Row],[data]])=0,AVERAGE(BL118:BL120),SUMIFS(estoque[lucro],estoque[fornecedor],"saída",estoque[data],vendaAno[[#This Row],[data]])),"")</f>
        <v>123.46</v>
      </c>
      <c r="BM121" s="10">
        <f ca="1">IFERROR(vendaAno[[#This Row],[lucro]]/vendaAno[[#This Row],[valor de venda]],"")</f>
        <v>0.23206766917293231</v>
      </c>
      <c r="BN12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2973.1496224097609</v>
      </c>
      <c r="BO121" s="8">
        <f ca="1">IF(TODAY()&gt;=vendaAno[[#This Row],[data]],IF(vendaAno[[#This Row],[N°]]=BF120,vendaAno[[#This Row],[lucro]]-173.33+BO120,vendaAno[[#This Row],[lucro]]-150),"")</f>
        <v>-77.620000000000019</v>
      </c>
      <c r="BP121" s="81">
        <f ca="1">IF(TODAY()&gt;=vendaAno[[#This Row],[data]],SUM(BK115:BK121)*12,"")</f>
        <v>180</v>
      </c>
      <c r="BQ121" s="7">
        <f ca="1">IFERROR(vendaAno[[#This Row],[lucro]]/(vendaAno[[#This Row],[venda]]*12),"")</f>
        <v>5.1441666666666661</v>
      </c>
    </row>
    <row r="122" spans="1:69" x14ac:dyDescent="0.25">
      <c r="A1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16.655555555555555</v>
      </c>
      <c r="B122" s="18" t="str">
        <f>TEXT(preçodiario[[#This Row],[data]],"MMM")</f>
        <v>mai</v>
      </c>
      <c r="C122" s="18" t="str">
        <f>TEXT(preçodiario[[#This Row],[data]],"ddd")</f>
        <v>sex</v>
      </c>
      <c r="D122" s="96">
        <f>WEEKNUM(preçodiario[[#This Row],[data]],13)</f>
        <v>18</v>
      </c>
      <c r="E122" s="37">
        <v>46143</v>
      </c>
      <c r="F1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Row],[data]])),((F121*G121)+SUMIFS(estoque[valor total],estoque[produto],preçodiario[[#Headers],[OVO BRANCO A]],estoque[data],preçodiario[[#This Row],[data]],estoque[fornecedor],"&lt;&gt;saída"))/(G121+(SUMIFS(estoque[quantidade],estoque[produto],preçodiario[[#Headers],[OVO BRANCO A]],estoque[fornecedor],"&lt;&gt;saída",estoque[data],preçodiario[[#This Row],[data]])))))</f>
        <v>16.655555555555555</v>
      </c>
      <c r="G122" s="22">
        <f>IF(preçodiario[[#This Row],[entrada A]]=0,G121-(SUMIFS(estoque[quantidade],estoque[fornecedor],"saída",estoque[produto],preçodiario[[#Headers],[OVO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Row],[data]]))+G121+preçodiario[[#This Row],[entrada A]])</f>
        <v>66</v>
      </c>
      <c r="H122" s="22">
        <f>SUMIFS(estoque[quantidade],estoque[fornecedor],"&lt;&gt;saída",estoque[produto],preçodiario[[#Headers],[OVO BRANCO A]],estoque[data],preçodiario[[#This Row],[data]])</f>
        <v>0</v>
      </c>
      <c r="I122" s="20">
        <f>SUMIFS(estoque[valor total],estoque[fornecedor],"&lt;&gt;saída",estoque[produto],preçodiario[[#Headers],[OVO BRANCO A]],estoque[data],preçodiario[[#This Row],[data]])</f>
        <v>0</v>
      </c>
      <c r="J122" s="20">
        <f>IFERROR(preçodiario[[#This Row],[estoque A]]*preçodiario[[#This Row],[OVO BRANCO A]],0)</f>
        <v>1099.2666666666667</v>
      </c>
      <c r="K1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Row],[data]])),((K121*L121)+SUMIFS(estoque[valor total],estoque[produto],preçodiario[[#Headers],[OVO BRANCO B]],estoque[data],preçodiario[[#This Row],[data]],estoque[fornecedor],"&lt;&gt;saída"))/(L121+(SUMIFS(estoque[quantidade],estoque[produto],preçodiario[[#Headers],[OVO BRANCO B]],estoque[fornecedor],"&lt;&gt;saída",estoque[data],preçodiario[[#This Row],[data]])))))</f>
        <v>16.202107706733738</v>
      </c>
      <c r="L122" s="22">
        <f>IF(preçodiario[[#This Row],[entrada B]]=0,L121-(SUMIFS(estoque[quantidade],estoque[fornecedor],"saída",estoque[produto],preçodiario[[#Headers],[OVO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Row],[data]]))+L121+preçodiario[[#This Row],[entrada B]])</f>
        <v>12</v>
      </c>
      <c r="M122" s="22">
        <f>SUMIFS(estoque[quantidade],estoque[fornecedor],"&lt;&gt;saída",estoque[produto],preçodiario[[#Headers],[OVO BRANCO B]],estoque[data],preçodiario[[#This Row],[data]])</f>
        <v>0</v>
      </c>
      <c r="N122" s="20">
        <f>SUMIFS(estoque[valor total],estoque[fornecedor],"&lt;&gt;saída",estoque[produto],preçodiario[[#Headers],[OVO BRANCO B]],estoque[data],preçodiario[[#This Row],[data]])</f>
        <v>0</v>
      </c>
      <c r="O122" s="20">
        <f>IFERROR(preçodiario[[#This Row],[OVO BRANCO B]]*preçodiario[[#This Row],[estoque B]],0)</f>
        <v>194.42529248080484</v>
      </c>
      <c r="P12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Row],[data]])),((P121*Q121)+SUMIFS(estoque[valor total],estoque[produto],preçodiario[[#Headers],[OVO BRANCO C]],estoque[data],preçodiario[[#This Row],[data]],estoque[fornecedor],"&lt;&gt;saída"))/(Q121+(SUMIFS(estoque[quantidade],estoque[produto],preçodiario[[#Headers],[OVO BRANCO C]],estoque[fornecedor],"&lt;&gt;saída",estoque[data],preçodiario[[#This Row],[data]])))))</f>
        <v/>
      </c>
      <c r="Q122" s="22">
        <f>IF(preçodiario[[#This Row],[entrada C]]=0,Q121-(SUMIFS(estoque[quantidade],estoque[fornecedor],"saída",estoque[produto],preçodiario[[#Headers],[OVO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Row],[data]]))+Q121+preçodiario[[#This Row],[entrada C]])</f>
        <v>0</v>
      </c>
      <c r="R122" s="22">
        <f>SUMIFS(estoque[quantidade],estoque[fornecedor],"&lt;&gt;saída",estoque[produto],preçodiario[[#Headers],[OVO BRANCO C]],estoque[data],preçodiario[[#This Row],[data]])</f>
        <v>0</v>
      </c>
      <c r="S122" s="20">
        <f>SUMIFS(estoque[valor total],estoque[fornecedor],"&lt;&gt;saída",estoque[produto],preçodiario[[#Headers],[OVO BRANCO C]],estoque[data],preçodiario[[#This Row],[data]])</f>
        <v>0</v>
      </c>
      <c r="T122" s="20">
        <f>IFERROR(preçodiario[[#This Row],[OVO BRANCO C]]*preçodiario[[#This Row],[estoque C]],0)</f>
        <v>0</v>
      </c>
      <c r="U1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Row],[data]])),((U121*V121)+SUMIFS(estoque[valor total],estoque[produto],preçodiario[[#Headers],[OVO BRANCO EXTRA]],estoque[data],preçodiario[[#This Row],[data]],estoque[fornecedor],"&lt;&gt;saída"))/(V121+(SUMIFS(estoque[quantidade],estoque[produto],preçodiario[[#Headers],[OVO BRANCO EXTRA]],estoque[fornecedor],"&lt;&gt;saída",estoque[data],preçodiario[[#This Row],[data]])))))</f>
        <v>17.083333333333332</v>
      </c>
      <c r="V122" s="22">
        <f>IF(preçodiario[[#This Row],[entrada E]]=0,V121-(SUMIFS(estoque[quantidade],estoque[fornecedor],"saída",estoque[produto],preçodiario[[#Headers],[OVO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Row],[data]]))+V121+preçodiario[[#This Row],[entrada E]])</f>
        <v>19</v>
      </c>
      <c r="W122" s="22">
        <f>SUMIFS(estoque[quantidade],estoque[fornecedor],"&lt;&gt;saída",estoque[produto],preçodiario[[#Headers],[OVO BRANCO EXTRA]],estoque[data],preçodiario[[#This Row],[data]])</f>
        <v>0</v>
      </c>
      <c r="X122" s="20">
        <f>SUMIFS(estoque[valor total],estoque[fornecedor],"&lt;&gt;saída",estoque[produto],preçodiario[[#Headers],[OVO BRANCO EXTRA]],estoque[data],preçodiario[[#This Row],[data]])</f>
        <v>0</v>
      </c>
      <c r="Y122" s="20">
        <f>IFERROR(preçodiario[[#This Row],[estoque E]]*preçodiario[[#This Row],[OVO BRANCO EXTRA]],0)</f>
        <v>324.58333333333331</v>
      </c>
      <c r="Z1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Row],[data]])),((Z121*AA121)+SUMIFS(estoque[valor total],estoque[produto],preçodiario[[#Headers],[OVO BRANCO JUMBO]],estoque[data],preçodiario[[#This Row],[data]],estoque[fornecedor],"&lt;&gt;saída"))/(AA121+(SUMIFS(estoque[quantidade],estoque[produto],preçodiario[[#Headers],[OVO BRANCO JUMBO]],estoque[fornecedor],"&lt;&gt;saída",estoque[data],preçodiario[[#This Row],[data]])))))</f>
        <v>17.5</v>
      </c>
      <c r="AA122" s="22">
        <f>IF(preçodiario[[#This Row],[entrada J]]=0,AA121-(SUMIFS(estoque[quantidade],estoque[fornecedor],"saída",estoque[produto],preçodiario[[#Headers],[OVO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Row],[data]]))+AA121+preçodiario[[#This Row],[entrada J]])</f>
        <v>63</v>
      </c>
      <c r="AB122" s="22">
        <f>SUMIFS(estoque[quantidade],estoque[fornecedor],"&lt;&gt;saída",estoque[produto],preçodiario[[#Headers],[OVO BRANCO JUMBO]],estoque[data],preçodiario[[#This Row],[data]])</f>
        <v>0</v>
      </c>
      <c r="AC122" s="20">
        <f>SUMIFS(estoque[valor total],estoque[fornecedor],"&lt;&gt;saída",estoque[produto],preçodiario[[#Headers],[OVO BRANCO JUMBO]],estoque[data],preçodiario[[#This Row],[data]])</f>
        <v>0</v>
      </c>
      <c r="AD122" s="20">
        <f>IFERROR(preçodiario[[#This Row],[OVO BRANCO JUMBO]]*preçodiario[[#This Row],[estoque J]],0)</f>
        <v>1102.5</v>
      </c>
      <c r="AE1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Row],[data]])),((AE121*AF121)+SUMIFS(estoque[valor total],estoque[produto],preçodiario[[#Headers],[OVO VERMELHO A]],estoque[data],preçodiario[[#This Row],[data]],estoque[fornecedor],"&lt;&gt;saída"))/(AF121+(SUMIFS(estoque[quantidade],estoque[produto],preçodiario[[#Headers],[OVO VERMELHO A]],estoque[fornecedor],"&lt;&gt;saída",estoque[data],preçodiario[[#This Row],[data]])))))</f>
        <v/>
      </c>
      <c r="AF122" s="22">
        <f>IF(preçodiario[[#This Row],[entrada AV]]=0,AF121-(SUMIFS(estoque[quantidade],estoque[fornecedor],"saída",estoque[produto],preçodiario[[#Headers],[OVO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Row],[data]]))+AF121+preçodiario[[#This Row],[entrada AV]])</f>
        <v>0</v>
      </c>
      <c r="AG122" s="22">
        <f>SUMIFS(estoque[quantidade],estoque[fornecedor],"&lt;&gt;saída",estoque[produto],preçodiario[[#Headers],[OVO VERMELHO A]],estoque[data],preçodiario[[#This Row],[data]])</f>
        <v>0</v>
      </c>
      <c r="AH122" s="20">
        <f>SUMIFS(estoque[valor total],estoque[fornecedor],"&lt;&gt;saída",estoque[produto],preçodiario[[#Headers],[OVO VERMELHO A]],estoque[data],preçodiario[[#This Row],[data]])</f>
        <v>0</v>
      </c>
      <c r="AI122" s="20">
        <f>IFERROR(preçodiario[[#This Row],[OVO VERMELHO A]]*preçodiario[[#This Row],[estoque AV]],0)</f>
        <v>0</v>
      </c>
      <c r="AJ1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Row],[data]])),((AJ121*AK121)+SUMIFS(estoque[valor total],estoque[produto],preçodiario[[#Headers],[OVO VERMELHO B]],estoque[data],preçodiario[[#This Row],[data]],estoque[fornecedor],"&lt;&gt;saída"))/(AK121+(SUMIFS(estoque[quantidade],estoque[produto],preçodiario[[#Headers],[OVO VERMELHO B]],estoque[fornecedor],"&lt;&gt;saída",estoque[data],preçodiario[[#This Row],[data]])))))</f>
        <v/>
      </c>
      <c r="AK122" s="22">
        <f>IF(preçodiario[[#This Row],[entrada BV]]=0,AK121-(SUMIFS(estoque[quantidade],estoque[fornecedor],"saída",estoque[produto],preçodiario[[#Headers],[OVO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Row],[data]]))+AK121+preçodiario[[#This Row],[entrada BV]])</f>
        <v>0</v>
      </c>
      <c r="AL122" s="22">
        <f>SUMIFS(estoque[quantidade],estoque[fornecedor],"&lt;&gt;saída",estoque[produto],preçodiario[[#Headers],[OVO VERMELHO B]],estoque[data],preçodiario[[#This Row],[data]])</f>
        <v>0</v>
      </c>
      <c r="AM122" s="20">
        <f>SUMIFS(estoque[valor total],estoque[fornecedor],"&lt;&gt;saída",estoque[produto],preçodiario[[#Headers],[OVO VERMELHO B]],estoque[data],preçodiario[[#This Row],[data]])</f>
        <v>0</v>
      </c>
      <c r="AN122" s="20">
        <f>IFERROR(preçodiario[[#This Row],[OVO VERMELHO B]]*preçodiario[[#This Row],[estoque BV]],0)</f>
        <v>0</v>
      </c>
      <c r="AO1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Row],[data]])),((AO121*AP121)+SUMIFS(estoque[valor total],estoque[produto],preçodiario[[#Headers],[OVO VERMELHO C]],estoque[data],preçodiario[[#This Row],[data]],estoque[fornecedor],"&lt;&gt;saída"))/(AP121+(SUMIFS(estoque[quantidade],estoque[produto],preçodiario[[#Headers],[OVO VERMELHO C]],estoque[fornecedor],"&lt;&gt;saída",estoque[data],preçodiario[[#This Row],[data]])))))</f>
        <v/>
      </c>
      <c r="AP122" s="22">
        <f>IF(preçodiario[[#This Row],[entrada CV]]=0,AP121-(SUMIFS(estoque[quantidade],estoque[fornecedor],"saída",estoque[produto],preçodiario[[#Headers],[OVO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Row],[data]]))+AP121+preçodiario[[#This Row],[entrada CV]])</f>
        <v>0</v>
      </c>
      <c r="AQ122" s="22">
        <f>SUMIFS(estoque[quantidade],estoque[fornecedor],"&lt;&gt;saída",estoque[produto],preçodiario[[#Headers],[OVO VERMELHO C]],estoque[data],preçodiario[[#This Row],[data]])</f>
        <v>0</v>
      </c>
      <c r="AR122" s="20">
        <f>SUMIFS(estoque[valor total],estoque[fornecedor],"&lt;&gt;saída",estoque[produto],preçodiario[[#Headers],[OVO VERMELHO C]],estoque[data],preçodiario[[#This Row],[data]])</f>
        <v>0</v>
      </c>
      <c r="AS122" s="20">
        <f>IFERROR(preçodiario[[#This Row],[OVO VERMELHO C]]*preçodiario[[#This Row],[estoque CV]],0)</f>
        <v>0</v>
      </c>
      <c r="AT1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Row],[data]])),((AT121*AU121)+SUMIFS(estoque[valor total],estoque[produto],preçodiario[[#Headers],[OVO VERMELHO EXTRA]],estoque[data],preçodiario[[#This Row],[data]],estoque[fornecedor],"&lt;&gt;saída"))/(AU121+(SUMIFS(estoque[quantidade],estoque[produto],preçodiario[[#Headers],[OVO VERMELHO EXTRA]],estoque[fornecedor],"&lt;&gt;saída",estoque[data],preçodiario[[#This Row],[data]])))))</f>
        <v/>
      </c>
      <c r="AU122" s="22">
        <f>IF(preçodiario[[#This Row],[entrada EV]]=0,AU121-(SUMIFS(estoque[quantidade],estoque[fornecedor],"saída",estoque[produto],preçodiario[[#Headers],[OVO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Row],[data]]))+AU121+preçodiario[[#This Row],[entrada EV]])</f>
        <v>0</v>
      </c>
      <c r="AV122" s="22">
        <f>SUMIFS(estoque[quantidade],estoque[fornecedor],"&lt;&gt;saída",estoque[produto],preçodiario[[#Headers],[OVO VERMELHO EXTRA]],estoque[data],preçodiario[[#This Row],[data]])</f>
        <v>0</v>
      </c>
      <c r="AW122" s="20">
        <f>SUMIFS(estoque[valor total],estoque[fornecedor],"&lt;&gt;saída",estoque[produto],preçodiario[[#Headers],[OVO VERMELHO EXTRA]],estoque[data],preçodiario[[#This Row],[data]])</f>
        <v>0</v>
      </c>
      <c r="AX122" s="20">
        <f>IFERROR(preçodiario[[#This Row],[OVO VERMELHO EXTRA]]*preçodiario[[#This Row],[estoque EV]],0)</f>
        <v>0</v>
      </c>
      <c r="AY1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Row],[data]])),((AY121*AZ121)+SUMIFS(estoque[valor total],estoque[produto],preçodiario[[#Headers],[OVO VERMELHO JUMBO]],estoque[data],preçodiario[[#This Row],[data]],estoque[fornecedor],"&lt;&gt;saída"))/(AZ121+(SUMIFS(estoque[quantidade],estoque[produto],preçodiario[[#Headers],[OVO VERMELHO JUMBO]],estoque[fornecedor],"&lt;&gt;saída",estoque[data],preçodiario[[#This Row],[data]])))))</f>
        <v/>
      </c>
      <c r="AZ122" s="22">
        <f>IF(preçodiario[[#This Row],[entrada JV]]=0,AZ121-(SUMIFS(estoque[quantidade],estoque[fornecedor],"saída",estoque[produto],preçodiario[[#Headers],[OVO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Row],[data]]))+AZ121+preçodiario[[#This Row],[entrada JV]])</f>
        <v>0</v>
      </c>
      <c r="BA122" s="22">
        <f>SUMIFS(estoque[quantidade],estoque[fornecedor],"&lt;&gt;saída",estoque[produto],preçodiario[[#Headers],[OVO VERMELHO JUMBO]],estoque[data],preçodiario[[#This Row],[data]])</f>
        <v>0</v>
      </c>
      <c r="BB122" s="20">
        <f>SUMIFS(estoque[valor total],estoque[fornecedor],"&lt;&gt;saída",estoque[produto],preçodiario[[#Headers],[OVO VERMELHO JUMBO]],estoque[data],preçodiario[[#This Row],[data]])</f>
        <v>0</v>
      </c>
      <c r="BC122" s="20">
        <f>IFERROR(preçodiario[[#This Row],[OVO VERMELHO JUMBO]]*preçodiario[[#This Row],[estoque JV]],0)</f>
        <v>0</v>
      </c>
      <c r="BD122" t="str">
        <f>TEXT(vendaAno[[#This Row],[data]],"mmm")</f>
        <v>mai</v>
      </c>
      <c r="BE122" t="str">
        <f>TEXT(vendaAno[[#This Row],[data]],"ddd")</f>
        <v>sex</v>
      </c>
      <c r="BF122" s="82">
        <f>WEEKNUM(vendaAno[[#This Row],[data]],13)</f>
        <v>18</v>
      </c>
      <c r="BG122" s="27">
        <f>preçodiario[[#This Row],[data]]</f>
        <v>46143</v>
      </c>
      <c r="BH1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2" s="8">
        <f>IF(SUMIFS(estoque[valor total],estoque[fornecedor],"saída",estoque[data],vendaAno[[#This Row],[data]])=0,"",SUMIFS(estoque[valor total],estoque[fornecedor],"saída",estoque[data],vendaAno[[#This Row],[data]]))</f>
        <v>321</v>
      </c>
      <c r="BJ12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Row],[data]]))/12+BJ121,"")</f>
        <v>13.333333333333314</v>
      </c>
      <c r="BK122" s="79">
        <f ca="1">IF(TODAY()&gt;=vendaAno[[#This Row],[data]],IF(SUMIFS(estoque[quantidade],estoque[fornecedor],"saída",estoque[data],vendaAno[[#This Row],[data]])/12=0,AVERAGE(BK119:BK121),SUMIFS(estoque[quantidade],estoque[fornecedor],"saída",estoque[data],vendaAno[[#This Row],[data]])/12),"")</f>
        <v>1.25</v>
      </c>
      <c r="BL122" s="8">
        <f ca="1">IF(vendaAno[[#This Row],[data]]&lt;=TODAY(),IF(SUMIFS(estoque[lucro],estoque[fornecedor],"saída",estoque[data],vendaAno[[#This Row],[data]])=0,AVERAGE(BL119:BL121),SUMIFS(estoque[lucro],estoque[fornecedor],"saída",estoque[data],vendaAno[[#This Row],[data]])),"")</f>
        <v>68.63</v>
      </c>
      <c r="BM122" s="10">
        <f ca="1">IFERROR(vendaAno[[#This Row],[lucro]]/vendaAno[[#This Row],[valor de venda]],"")</f>
        <v>0.21380062305295949</v>
      </c>
      <c r="BN12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2720.7752924808046</v>
      </c>
      <c r="BO122" s="8">
        <f ca="1">IF(TODAY()&gt;=vendaAno[[#This Row],[data]],IF(vendaAno[[#This Row],[N°]]=BF121,vendaAno[[#This Row],[lucro]]-173.33+BO121,vendaAno[[#This Row],[lucro]]-150),"")</f>
        <v>-182.32000000000005</v>
      </c>
      <c r="BP122" s="81">
        <f ca="1">IF(TODAY()&gt;=vendaAno[[#This Row],[data]],SUM(BK116:BK122)*12,"")</f>
        <v>177</v>
      </c>
      <c r="BQ122" s="7">
        <f ca="1">IFERROR(vendaAno[[#This Row],[lucro]]/(vendaAno[[#This Row],[venda]]*12),"")</f>
        <v>4.575333333333333</v>
      </c>
    </row>
    <row r="123" spans="1:69" x14ac:dyDescent="0.25">
      <c r="A1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3" s="18" t="str">
        <f>TEXT(preçodiario[[#This Row],[data]],"MMM")</f>
        <v>mai</v>
      </c>
      <c r="C123" s="18" t="str">
        <f>TEXT(preçodiario[[#This Row],[data]],"ddd")</f>
        <v>sáb</v>
      </c>
      <c r="D123" s="96">
        <f>WEEKNUM(preçodiario[[#This Row],[data]],13)</f>
        <v>18</v>
      </c>
      <c r="E123" s="37">
        <v>46144</v>
      </c>
      <c r="F1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Row],[data]])),((F122*G122)+SUMIFS(estoque[valor total],estoque[produto],preçodiario[[#Headers],[OVO BRANCO A]],estoque[data],preçodiario[[#This Row],[data]],estoque[fornecedor],"&lt;&gt;saída"))/(G122+(SUMIFS(estoque[quantidade],estoque[produto],preçodiario[[#Headers],[OVO BRANCO A]],estoque[fornecedor],"&lt;&gt;saída",estoque[data],preçodiario[[#This Row],[data]])))))</f>
        <v>16.660846560846558</v>
      </c>
      <c r="G123" s="22">
        <f>IF(preçodiario[[#This Row],[entrada A]]=0,G122-(SUMIFS(estoque[quantidade],estoque[fornecedor],"saída",estoque[produto],preçodiario[[#Headers],[OVO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Row],[data]]))+G122+preçodiario[[#This Row],[entrada A]])</f>
        <v>115</v>
      </c>
      <c r="H123" s="22">
        <f>SUMIFS(estoque[quantidade],estoque[fornecedor],"&lt;&gt;saída",estoque[produto],preçodiario[[#Headers],[OVO BRANCO A]],estoque[data],preçodiario[[#This Row],[data]])</f>
        <v>60</v>
      </c>
      <c r="I123" s="20">
        <f>SUMIFS(estoque[valor total],estoque[fornecedor],"&lt;&gt;saída",estoque[produto],preçodiario[[#Headers],[OVO BRANCO A]],estoque[data],preçodiario[[#This Row],[data]])</f>
        <v>1000</v>
      </c>
      <c r="J123" s="20">
        <f>IFERROR(preçodiario[[#This Row],[estoque A]]*preçodiario[[#This Row],[OVO BRANCO A]],0)</f>
        <v>1915.9973544973541</v>
      </c>
      <c r="K1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Row],[data]])),((K122*L122)+SUMIFS(estoque[valor total],estoque[produto],preçodiario[[#Headers],[OVO BRANCO B]],estoque[data],preçodiario[[#This Row],[data]],estoque[fornecedor],"&lt;&gt;saída"))/(L122+(SUMIFS(estoque[quantidade],estoque[produto],preçodiario[[#Headers],[OVO BRANCO B]],estoque[fornecedor],"&lt;&gt;saída",estoque[data],preçodiario[[#This Row],[data]])))))</f>
        <v>16.244678634081524</v>
      </c>
      <c r="L123" s="22">
        <f>IF(preçodiario[[#This Row],[entrada B]]=0,L122-(SUMIFS(estoque[quantidade],estoque[fornecedor],"saída",estoque[produto],preçodiario[[#Headers],[OVO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Row],[data]]))+L122+preçodiario[[#This Row],[entrada B]])</f>
        <v>95</v>
      </c>
      <c r="M123" s="22">
        <f>SUMIFS(estoque[quantidade],estoque[fornecedor],"&lt;&gt;saída",estoque[produto],preçodiario[[#Headers],[OVO BRANCO B]],estoque[data],preçodiario[[#This Row],[data]])</f>
        <v>96</v>
      </c>
      <c r="N123" s="20">
        <f>SUMIFS(estoque[valor total],estoque[fornecedor],"&lt;&gt;saída",estoque[produto],preçodiario[[#Headers],[OVO BRANCO B]],estoque[data],preçodiario[[#This Row],[data]])</f>
        <v>1560</v>
      </c>
      <c r="O123" s="20">
        <f>IFERROR(preçodiario[[#This Row],[OVO BRANCO B]]*preçodiario[[#This Row],[estoque B]],0)</f>
        <v>1543.2444702377447</v>
      </c>
      <c r="P12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Row],[data]])),((P122*Q122)+SUMIFS(estoque[valor total],estoque[produto],preçodiario[[#Headers],[OVO BRANCO C]],estoque[data],preçodiario[[#This Row],[data]],estoque[fornecedor],"&lt;&gt;saída"))/(Q122+(SUMIFS(estoque[quantidade],estoque[produto],preçodiario[[#Headers],[OVO BRANCO C]],estoque[fornecedor],"&lt;&gt;saída",estoque[data],preçodiario[[#This Row],[data]])))))</f>
        <v/>
      </c>
      <c r="Q123" s="22">
        <f>IF(preçodiario[[#This Row],[entrada C]]=0,Q122-(SUMIFS(estoque[quantidade],estoque[fornecedor],"saída",estoque[produto],preçodiario[[#Headers],[OVO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Row],[data]]))+Q122+preçodiario[[#This Row],[entrada C]])</f>
        <v>0</v>
      </c>
      <c r="R123" s="22">
        <f>SUMIFS(estoque[quantidade],estoque[fornecedor],"&lt;&gt;saída",estoque[produto],preçodiario[[#Headers],[OVO BRANCO C]],estoque[data],preçodiario[[#This Row],[data]])</f>
        <v>0</v>
      </c>
      <c r="S123" s="20">
        <f>SUMIFS(estoque[valor total],estoque[fornecedor],"&lt;&gt;saída",estoque[produto],preçodiario[[#Headers],[OVO BRANCO C]],estoque[data],preçodiario[[#This Row],[data]])</f>
        <v>0</v>
      </c>
      <c r="T123" s="20">
        <f>IFERROR(preçodiario[[#This Row],[OVO BRANCO C]]*preçodiario[[#This Row],[estoque C]],0)</f>
        <v>0</v>
      </c>
      <c r="U1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Row],[data]])),((U122*V122)+SUMIFS(estoque[valor total],estoque[produto],preçodiario[[#Headers],[OVO BRANCO EXTRA]],estoque[data],preçodiario[[#This Row],[data]],estoque[fornecedor],"&lt;&gt;saída"))/(V122+(SUMIFS(estoque[quantidade],estoque[produto],preçodiario[[#Headers],[OVO BRANCO EXTRA]],estoque[fornecedor],"&lt;&gt;saída",estoque[data],preçodiario[[#This Row],[data]])))))</f>
        <v>17.083333333333336</v>
      </c>
      <c r="V123" s="22">
        <f>IF(preçodiario[[#This Row],[entrada E]]=0,V122-(SUMIFS(estoque[quantidade],estoque[fornecedor],"saída",estoque[produto],preçodiario[[#Headers],[OVO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Row],[data]]))+V122+preçodiario[[#This Row],[entrada E]])</f>
        <v>131</v>
      </c>
      <c r="W123" s="22">
        <f>SUMIFS(estoque[quantidade],estoque[fornecedor],"&lt;&gt;saída",estoque[produto],preçodiario[[#Headers],[OVO BRANCO EXTRA]],estoque[data],preçodiario[[#This Row],[data]])</f>
        <v>120</v>
      </c>
      <c r="X123" s="20">
        <f>SUMIFS(estoque[valor total],estoque[fornecedor],"&lt;&gt;saída",estoque[produto],preçodiario[[#Headers],[OVO BRANCO EXTRA]],estoque[data],preçodiario[[#This Row],[data]])</f>
        <v>2050</v>
      </c>
      <c r="Y123" s="20">
        <f>IFERROR(preçodiario[[#This Row],[estoque E]]*preçodiario[[#This Row],[OVO BRANCO EXTRA]],0)</f>
        <v>2237.916666666667</v>
      </c>
      <c r="Z1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Row],[data]])),((Z122*AA122)+SUMIFS(estoque[valor total],estoque[produto],preçodiario[[#Headers],[OVO BRANCO JUMBO]],estoque[data],preçodiario[[#This Row],[data]],estoque[fornecedor],"&lt;&gt;saída"))/(AA122+(SUMIFS(estoque[quantidade],estoque[produto],preçodiario[[#Headers],[OVO BRANCO JUMBO]],estoque[fornecedor],"&lt;&gt;saída",estoque[data],preçodiario[[#This Row],[data]])))))</f>
        <v>17.5</v>
      </c>
      <c r="AA123" s="22">
        <f>IF(preçodiario[[#This Row],[entrada J]]=0,AA122-(SUMIFS(estoque[quantidade],estoque[fornecedor],"saída",estoque[produto],preçodiario[[#Headers],[OVO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Row],[data]]))+AA122+preçodiario[[#This Row],[entrada J]])</f>
        <v>111</v>
      </c>
      <c r="AB123" s="22">
        <f>SUMIFS(estoque[quantidade],estoque[fornecedor],"&lt;&gt;saída",estoque[produto],preçodiario[[#Headers],[OVO BRANCO JUMBO]],estoque[data],preçodiario[[#This Row],[data]])</f>
        <v>48</v>
      </c>
      <c r="AC123" s="20">
        <f>SUMIFS(estoque[valor total],estoque[fornecedor],"&lt;&gt;saída",estoque[produto],preçodiario[[#Headers],[OVO BRANCO JUMBO]],estoque[data],preçodiario[[#This Row],[data]])</f>
        <v>840</v>
      </c>
      <c r="AD123" s="20">
        <f>IFERROR(preçodiario[[#This Row],[OVO BRANCO JUMBO]]*preçodiario[[#This Row],[estoque J]],0)</f>
        <v>1942.5</v>
      </c>
      <c r="AE1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Row],[data]])),((AE122*AF122)+SUMIFS(estoque[valor total],estoque[produto],preçodiario[[#Headers],[OVO VERMELHO A]],estoque[data],preçodiario[[#This Row],[data]],estoque[fornecedor],"&lt;&gt;saída"))/(AF122+(SUMIFS(estoque[quantidade],estoque[produto],preçodiario[[#Headers],[OVO VERMELHO A]],estoque[fornecedor],"&lt;&gt;saída",estoque[data],preçodiario[[#This Row],[data]])))))</f>
        <v/>
      </c>
      <c r="AF123" s="22">
        <f>IF(preçodiario[[#This Row],[entrada AV]]=0,AF122-(SUMIFS(estoque[quantidade],estoque[fornecedor],"saída",estoque[produto],preçodiario[[#Headers],[OVO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Row],[data]]))+AF122+preçodiario[[#This Row],[entrada AV]])</f>
        <v>0</v>
      </c>
      <c r="AG123" s="22">
        <f>SUMIFS(estoque[quantidade],estoque[fornecedor],"&lt;&gt;saída",estoque[produto],preçodiario[[#Headers],[OVO VERMELHO A]],estoque[data],preçodiario[[#This Row],[data]])</f>
        <v>0</v>
      </c>
      <c r="AH123" s="20">
        <f>SUMIFS(estoque[valor total],estoque[fornecedor],"&lt;&gt;saída",estoque[produto],preçodiario[[#Headers],[OVO VERMELHO A]],estoque[data],preçodiario[[#This Row],[data]])</f>
        <v>0</v>
      </c>
      <c r="AI123" s="20">
        <f>IFERROR(preçodiario[[#This Row],[OVO VERMELHO A]]*preçodiario[[#This Row],[estoque AV]],0)</f>
        <v>0</v>
      </c>
      <c r="AJ1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Row],[data]])),((AJ122*AK122)+SUMIFS(estoque[valor total],estoque[produto],preçodiario[[#Headers],[OVO VERMELHO B]],estoque[data],preçodiario[[#This Row],[data]],estoque[fornecedor],"&lt;&gt;saída"))/(AK122+(SUMIFS(estoque[quantidade],estoque[produto],preçodiario[[#Headers],[OVO VERMELHO B]],estoque[fornecedor],"&lt;&gt;saída",estoque[data],preçodiario[[#This Row],[data]])))))</f>
        <v/>
      </c>
      <c r="AK123" s="22">
        <f>IF(preçodiario[[#This Row],[entrada BV]]=0,AK122-(SUMIFS(estoque[quantidade],estoque[fornecedor],"saída",estoque[produto],preçodiario[[#Headers],[OVO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Row],[data]]))+AK122+preçodiario[[#This Row],[entrada BV]])</f>
        <v>0</v>
      </c>
      <c r="AL123" s="22">
        <f>SUMIFS(estoque[quantidade],estoque[fornecedor],"&lt;&gt;saída",estoque[produto],preçodiario[[#Headers],[OVO VERMELHO B]],estoque[data],preçodiario[[#This Row],[data]])</f>
        <v>0</v>
      </c>
      <c r="AM123" s="20">
        <f>SUMIFS(estoque[valor total],estoque[fornecedor],"&lt;&gt;saída",estoque[produto],preçodiario[[#Headers],[OVO VERMELHO B]],estoque[data],preçodiario[[#This Row],[data]])</f>
        <v>0</v>
      </c>
      <c r="AN123" s="20">
        <f>IFERROR(preçodiario[[#This Row],[OVO VERMELHO B]]*preçodiario[[#This Row],[estoque BV]],0)</f>
        <v>0</v>
      </c>
      <c r="AO1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Row],[data]])),((AO122*AP122)+SUMIFS(estoque[valor total],estoque[produto],preçodiario[[#Headers],[OVO VERMELHO C]],estoque[data],preçodiario[[#This Row],[data]],estoque[fornecedor],"&lt;&gt;saída"))/(AP122+(SUMIFS(estoque[quantidade],estoque[produto],preçodiario[[#Headers],[OVO VERMELHO C]],estoque[fornecedor],"&lt;&gt;saída",estoque[data],preçodiario[[#This Row],[data]])))))</f>
        <v/>
      </c>
      <c r="AP123" s="22">
        <f>IF(preçodiario[[#This Row],[entrada CV]]=0,AP122-(SUMIFS(estoque[quantidade],estoque[fornecedor],"saída",estoque[produto],preçodiario[[#Headers],[OVO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Row],[data]]))+AP122+preçodiario[[#This Row],[entrada CV]])</f>
        <v>0</v>
      </c>
      <c r="AQ123" s="22">
        <f>SUMIFS(estoque[quantidade],estoque[fornecedor],"&lt;&gt;saída",estoque[produto],preçodiario[[#Headers],[OVO VERMELHO C]],estoque[data],preçodiario[[#This Row],[data]])</f>
        <v>0</v>
      </c>
      <c r="AR123" s="20">
        <f>SUMIFS(estoque[valor total],estoque[fornecedor],"&lt;&gt;saída",estoque[produto],preçodiario[[#Headers],[OVO VERMELHO C]],estoque[data],preçodiario[[#This Row],[data]])</f>
        <v>0</v>
      </c>
      <c r="AS123" s="20">
        <f>IFERROR(preçodiario[[#This Row],[OVO VERMELHO C]]*preçodiario[[#This Row],[estoque CV]],0)</f>
        <v>0</v>
      </c>
      <c r="AT1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Row],[data]])),((AT122*AU122)+SUMIFS(estoque[valor total],estoque[produto],preçodiario[[#Headers],[OVO VERMELHO EXTRA]],estoque[data],preçodiario[[#This Row],[data]],estoque[fornecedor],"&lt;&gt;saída"))/(AU122+(SUMIFS(estoque[quantidade],estoque[produto],preçodiario[[#Headers],[OVO VERMELHO EXTRA]],estoque[fornecedor],"&lt;&gt;saída",estoque[data],preçodiario[[#This Row],[data]])))))</f>
        <v/>
      </c>
      <c r="AU123" s="22">
        <f>IF(preçodiario[[#This Row],[entrada EV]]=0,AU122-(SUMIFS(estoque[quantidade],estoque[fornecedor],"saída",estoque[produto],preçodiario[[#Headers],[OVO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Row],[data]]))+AU122+preçodiario[[#This Row],[entrada EV]])</f>
        <v>0</v>
      </c>
      <c r="AV123" s="22">
        <f>SUMIFS(estoque[quantidade],estoque[fornecedor],"&lt;&gt;saída",estoque[produto],preçodiario[[#Headers],[OVO VERMELHO EXTRA]],estoque[data],preçodiario[[#This Row],[data]])</f>
        <v>0</v>
      </c>
      <c r="AW123" s="20">
        <f>SUMIFS(estoque[valor total],estoque[fornecedor],"&lt;&gt;saída",estoque[produto],preçodiario[[#Headers],[OVO VERMELHO EXTRA]],estoque[data],preçodiario[[#This Row],[data]])</f>
        <v>0</v>
      </c>
      <c r="AX123" s="20">
        <f>IFERROR(preçodiario[[#This Row],[OVO VERMELHO EXTRA]]*preçodiario[[#This Row],[estoque EV]],0)</f>
        <v>0</v>
      </c>
      <c r="AY1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Row],[data]])),((AY122*AZ122)+SUMIFS(estoque[valor total],estoque[produto],preçodiario[[#Headers],[OVO VERMELHO JUMBO]],estoque[data],preçodiario[[#This Row],[data]],estoque[fornecedor],"&lt;&gt;saída"))/(AZ122+(SUMIFS(estoque[quantidade],estoque[produto],preçodiario[[#Headers],[OVO VERMELHO JUMBO]],estoque[fornecedor],"&lt;&gt;saída",estoque[data],preçodiario[[#This Row],[data]])))))</f>
        <v/>
      </c>
      <c r="AZ123" s="22">
        <f>IF(preçodiario[[#This Row],[entrada JV]]=0,AZ122-(SUMIFS(estoque[quantidade],estoque[fornecedor],"saída",estoque[produto],preçodiario[[#Headers],[OVO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Row],[data]]))+AZ122+preçodiario[[#This Row],[entrada JV]])</f>
        <v>0</v>
      </c>
      <c r="BA123" s="22">
        <f>SUMIFS(estoque[quantidade],estoque[fornecedor],"&lt;&gt;saída",estoque[produto],preçodiario[[#Headers],[OVO VERMELHO JUMBO]],estoque[data],preçodiario[[#This Row],[data]])</f>
        <v>0</v>
      </c>
      <c r="BB123" s="20">
        <f>SUMIFS(estoque[valor total],estoque[fornecedor],"&lt;&gt;saída",estoque[produto],preçodiario[[#Headers],[OVO VERMELHO JUMBO]],estoque[data],preçodiario[[#This Row],[data]])</f>
        <v>0</v>
      </c>
      <c r="BC123" s="20">
        <f>IFERROR(preçodiario[[#This Row],[OVO VERMELHO JUMBO]]*preçodiario[[#This Row],[estoque JV]],0)</f>
        <v>0</v>
      </c>
      <c r="BD123" t="str">
        <f>TEXT(vendaAno[[#This Row],[data]],"mmm")</f>
        <v>mai</v>
      </c>
      <c r="BE123" t="str">
        <f>TEXT(vendaAno[[#This Row],[data]],"ddd")</f>
        <v>sáb</v>
      </c>
      <c r="BF123" s="82">
        <f>WEEKNUM(vendaAno[[#This Row],[data]],13)</f>
        <v>18</v>
      </c>
      <c r="BG123" s="27">
        <f>preçodiario[[#This Row],[data]]</f>
        <v>46144</v>
      </c>
      <c r="BH123" s="8">
        <f>IF(SUMIFS(estoque[valor total],estoque[fornecedor],"&lt;&gt;saída",estoque[data],vendaAno[[#This Row],[data]])=0,"",SUMIFS(estoque[valor total],estoque[fornecedor],"&lt;&gt;saída",estoque[data],vendaAno[[#This Row],[data]]))</f>
        <v>5450</v>
      </c>
      <c r="BI123" s="8">
        <f>IF(SUMIFS(estoque[valor total],estoque[fornecedor],"saída",estoque[data],vendaAno[[#This Row],[data]])=0,"",SUMIFS(estoque[valor total],estoque[fornecedor],"saída",estoque[data],vendaAno[[#This Row],[data]]))</f>
        <v>622</v>
      </c>
      <c r="BJ12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Row],[data]]))/12+BJ122,"")</f>
        <v>37.666666666666643</v>
      </c>
      <c r="BK123" s="79">
        <f ca="1">IF(TODAY()&gt;=vendaAno[[#This Row],[data]],IF(SUMIFS(estoque[quantidade],estoque[fornecedor],"saída",estoque[data],vendaAno[[#This Row],[data]])/12=0,AVERAGE(BK120:BK122),SUMIFS(estoque[quantidade],estoque[fornecedor],"saída",estoque[data],vendaAno[[#This Row],[data]])/12),"")</f>
        <v>2.6666666666666665</v>
      </c>
      <c r="BL123" s="8">
        <f ca="1">IF(vendaAno[[#This Row],[data]]&lt;=TODAY(),IF(SUMIFS(estoque[lucro],estoque[fornecedor],"saída",estoque[data],vendaAno[[#This Row],[data]])=0,AVERAGE(BL120:BL122),SUMIFS(estoque[lucro],estoque[fornecedor],"saída",estoque[data],vendaAno[[#This Row],[data]])),"")</f>
        <v>90.88000000000001</v>
      </c>
      <c r="BM123" s="10">
        <f ca="1">IFERROR(vendaAno[[#This Row],[lucro]]/vendaAno[[#This Row],[valor de venda]],"")</f>
        <v>0.14610932475884245</v>
      </c>
      <c r="BN12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7639.6584914017658</v>
      </c>
      <c r="BO123" s="8">
        <f ca="1">IF(TODAY()&gt;=vendaAno[[#This Row],[data]],IF(vendaAno[[#This Row],[N°]]=BF122,vendaAno[[#This Row],[lucro]]-173.33+BO122,vendaAno[[#This Row],[lucro]]-150),"")</f>
        <v>-264.77000000000004</v>
      </c>
      <c r="BP123" s="81">
        <f ca="1">IF(TODAY()&gt;=vendaAno[[#This Row],[data]],SUM(BK117:BK123)*12,"")</f>
        <v>190</v>
      </c>
      <c r="BQ123" s="7">
        <f ca="1">IFERROR(vendaAno[[#This Row],[lucro]]/(vendaAno[[#This Row],[venda]]*12),"")</f>
        <v>2.8400000000000003</v>
      </c>
    </row>
    <row r="124" spans="1:69" x14ac:dyDescent="0.25">
      <c r="A1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4" s="18" t="str">
        <f>TEXT(preçodiario[[#This Row],[data]],"MMM")</f>
        <v>mai</v>
      </c>
      <c r="C124" s="18" t="str">
        <f>TEXT(preçodiario[[#This Row],[data]],"ddd")</f>
        <v>dom</v>
      </c>
      <c r="D124" s="96">
        <f>WEEKNUM(preçodiario[[#This Row],[data]],13)</f>
        <v>18</v>
      </c>
      <c r="E124" s="37">
        <v>46145</v>
      </c>
      <c r="F1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Row],[data]])),((F123*G123)+SUMIFS(estoque[valor total],estoque[produto],preçodiario[[#Headers],[OVO BRANCO A]],estoque[data],preçodiario[[#This Row],[data]],estoque[fornecedor],"&lt;&gt;saída"))/(G123+(SUMIFS(estoque[quantidade],estoque[produto],preçodiario[[#Headers],[OVO BRANCO A]],estoque[fornecedor],"&lt;&gt;saída",estoque[data],preçodiario[[#This Row],[data]])))))</f>
        <v>16.660846560846558</v>
      </c>
      <c r="G124" s="22">
        <f>IF(preçodiario[[#This Row],[entrada A]]=0,G123-(SUMIFS(estoque[quantidade],estoque[fornecedor],"saída",estoque[produto],preçodiario[[#Headers],[OVO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Row],[data]]))+G123+preçodiario[[#This Row],[entrada A]])</f>
        <v>113</v>
      </c>
      <c r="H124" s="22">
        <f>SUMIFS(estoque[quantidade],estoque[fornecedor],"&lt;&gt;saída",estoque[produto],preçodiario[[#Headers],[OVO BRANCO A]],estoque[data],preçodiario[[#This Row],[data]])</f>
        <v>0</v>
      </c>
      <c r="I124" s="20">
        <f>SUMIFS(estoque[valor total],estoque[fornecedor],"&lt;&gt;saída",estoque[produto],preçodiario[[#Headers],[OVO BRANCO A]],estoque[data],preçodiario[[#This Row],[data]])</f>
        <v>0</v>
      </c>
      <c r="J124" s="20">
        <f>IFERROR(preçodiario[[#This Row],[estoque A]]*preçodiario[[#This Row],[OVO BRANCO A]],0)</f>
        <v>1882.6756613756611</v>
      </c>
      <c r="K1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Row],[data]])),((K123*L123)+SUMIFS(estoque[valor total],estoque[produto],preçodiario[[#Headers],[OVO BRANCO B]],estoque[data],preçodiario[[#This Row],[data]],estoque[fornecedor],"&lt;&gt;saída"))/(L123+(SUMIFS(estoque[quantidade],estoque[produto],preçodiario[[#Headers],[OVO BRANCO B]],estoque[fornecedor],"&lt;&gt;saída",estoque[data],preçodiario[[#This Row],[data]])))))</f>
        <v>16.244678634081524</v>
      </c>
      <c r="L124" s="22">
        <f>IF(preçodiario[[#This Row],[entrada B]]=0,L123-(SUMIFS(estoque[quantidade],estoque[fornecedor],"saída",estoque[produto],preçodiario[[#Headers],[OVO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Row],[data]]))+L123+preçodiario[[#This Row],[entrada B]])</f>
        <v>95</v>
      </c>
      <c r="M124" s="22">
        <f>SUMIFS(estoque[quantidade],estoque[fornecedor],"&lt;&gt;saída",estoque[produto],preçodiario[[#Headers],[OVO BRANCO B]],estoque[data],preçodiario[[#This Row],[data]])</f>
        <v>0</v>
      </c>
      <c r="N124" s="20">
        <f>SUMIFS(estoque[valor total],estoque[fornecedor],"&lt;&gt;saída",estoque[produto],preçodiario[[#Headers],[OVO BRANCO B]],estoque[data],preçodiario[[#This Row],[data]])</f>
        <v>0</v>
      </c>
      <c r="O124" s="20">
        <f>IFERROR(preçodiario[[#This Row],[OVO BRANCO B]]*preçodiario[[#This Row],[estoque B]],0)</f>
        <v>1543.2444702377447</v>
      </c>
      <c r="P12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Row],[data]])),((P123*Q123)+SUMIFS(estoque[valor total],estoque[produto],preçodiario[[#Headers],[OVO BRANCO C]],estoque[data],preçodiario[[#This Row],[data]],estoque[fornecedor],"&lt;&gt;saída"))/(Q123+(SUMIFS(estoque[quantidade],estoque[produto],preçodiario[[#Headers],[OVO BRANCO C]],estoque[fornecedor],"&lt;&gt;saída",estoque[data],preçodiario[[#This Row],[data]])))))</f>
        <v/>
      </c>
      <c r="Q124" s="22">
        <f>IF(preçodiario[[#This Row],[entrada C]]=0,Q123-(SUMIFS(estoque[quantidade],estoque[fornecedor],"saída",estoque[produto],preçodiario[[#Headers],[OVO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Row],[data]]))+Q123+preçodiario[[#This Row],[entrada C]])</f>
        <v>0</v>
      </c>
      <c r="R124" s="22">
        <f>SUMIFS(estoque[quantidade],estoque[fornecedor],"&lt;&gt;saída",estoque[produto],preçodiario[[#Headers],[OVO BRANCO C]],estoque[data],preçodiario[[#This Row],[data]])</f>
        <v>0</v>
      </c>
      <c r="S124" s="20">
        <f>SUMIFS(estoque[valor total],estoque[fornecedor],"&lt;&gt;saída",estoque[produto],preçodiario[[#Headers],[OVO BRANCO C]],estoque[data],preçodiario[[#This Row],[data]])</f>
        <v>0</v>
      </c>
      <c r="T124" s="20">
        <f>IFERROR(preçodiario[[#This Row],[OVO BRANCO C]]*preçodiario[[#This Row],[estoque C]],0)</f>
        <v>0</v>
      </c>
      <c r="U1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Row],[data]])),((U123*V123)+SUMIFS(estoque[valor total],estoque[produto],preçodiario[[#Headers],[OVO BRANCO EXTRA]],estoque[data],preçodiario[[#This Row],[data]],estoque[fornecedor],"&lt;&gt;saída"))/(V123+(SUMIFS(estoque[quantidade],estoque[produto],preçodiario[[#Headers],[OVO BRANCO EXTRA]],estoque[fornecedor],"&lt;&gt;saída",estoque[data],preçodiario[[#This Row],[data]])))))</f>
        <v>17.083333333333336</v>
      </c>
      <c r="V124" s="22">
        <f>IF(preçodiario[[#This Row],[entrada E]]=0,V123-(SUMIFS(estoque[quantidade],estoque[fornecedor],"saída",estoque[produto],preçodiario[[#Headers],[OVO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Row],[data]]))+V123+preçodiario[[#This Row],[entrada E]])</f>
        <v>128</v>
      </c>
      <c r="W124" s="22">
        <f>SUMIFS(estoque[quantidade],estoque[fornecedor],"&lt;&gt;saída",estoque[produto],preçodiario[[#Headers],[OVO BRANCO EXTRA]],estoque[data],preçodiario[[#This Row],[data]])</f>
        <v>0</v>
      </c>
      <c r="X124" s="20">
        <f>SUMIFS(estoque[valor total],estoque[fornecedor],"&lt;&gt;saída",estoque[produto],preçodiario[[#Headers],[OVO BRANCO EXTRA]],estoque[data],preçodiario[[#This Row],[data]])</f>
        <v>0</v>
      </c>
      <c r="Y124" s="20">
        <f>IFERROR(preçodiario[[#This Row],[estoque E]]*preçodiario[[#This Row],[OVO BRANCO EXTRA]],0)</f>
        <v>2186.666666666667</v>
      </c>
      <c r="Z1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Row],[data]])),((Z123*AA123)+SUMIFS(estoque[valor total],estoque[produto],preçodiario[[#Headers],[OVO BRANCO JUMBO]],estoque[data],preçodiario[[#This Row],[data]],estoque[fornecedor],"&lt;&gt;saída"))/(AA123+(SUMIFS(estoque[quantidade],estoque[produto],preçodiario[[#Headers],[OVO BRANCO JUMBO]],estoque[fornecedor],"&lt;&gt;saída",estoque[data],preçodiario[[#This Row],[data]])))))</f>
        <v>17.5</v>
      </c>
      <c r="AA124" s="22">
        <f>IF(preçodiario[[#This Row],[entrada J]]=0,AA123-(SUMIFS(estoque[quantidade],estoque[fornecedor],"saída",estoque[produto],preçodiario[[#Headers],[OVO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Row],[data]]))+AA123+preçodiario[[#This Row],[entrada J]])</f>
        <v>108</v>
      </c>
      <c r="AB124" s="22">
        <f>SUMIFS(estoque[quantidade],estoque[fornecedor],"&lt;&gt;saída",estoque[produto],preçodiario[[#Headers],[OVO BRANCO JUMBO]],estoque[data],preçodiario[[#This Row],[data]])</f>
        <v>0</v>
      </c>
      <c r="AC124" s="20">
        <f>SUMIFS(estoque[valor total],estoque[fornecedor],"&lt;&gt;saída",estoque[produto],preçodiario[[#Headers],[OVO BRANCO JUMBO]],estoque[data],preçodiario[[#This Row],[data]])</f>
        <v>0</v>
      </c>
      <c r="AD124" s="20">
        <f>IFERROR(preçodiario[[#This Row],[OVO BRANCO JUMBO]]*preçodiario[[#This Row],[estoque J]],0)</f>
        <v>1890</v>
      </c>
      <c r="AE1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Row],[data]])),((AE123*AF123)+SUMIFS(estoque[valor total],estoque[produto],preçodiario[[#Headers],[OVO VERMELHO A]],estoque[data],preçodiario[[#This Row],[data]],estoque[fornecedor],"&lt;&gt;saída"))/(AF123+(SUMIFS(estoque[quantidade],estoque[produto],preçodiario[[#Headers],[OVO VERMELHO A]],estoque[fornecedor],"&lt;&gt;saída",estoque[data],preçodiario[[#This Row],[data]])))))</f>
        <v/>
      </c>
      <c r="AF124" s="22">
        <f>IF(preçodiario[[#This Row],[entrada AV]]=0,AF123-(SUMIFS(estoque[quantidade],estoque[fornecedor],"saída",estoque[produto],preçodiario[[#Headers],[OVO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Row],[data]]))+AF123+preçodiario[[#This Row],[entrada AV]])</f>
        <v>0</v>
      </c>
      <c r="AG124" s="22">
        <f>SUMIFS(estoque[quantidade],estoque[fornecedor],"&lt;&gt;saída",estoque[produto],preçodiario[[#Headers],[OVO VERMELHO A]],estoque[data],preçodiario[[#This Row],[data]])</f>
        <v>0</v>
      </c>
      <c r="AH124" s="20">
        <f>SUMIFS(estoque[valor total],estoque[fornecedor],"&lt;&gt;saída",estoque[produto],preçodiario[[#Headers],[OVO VERMELHO A]],estoque[data],preçodiario[[#This Row],[data]])</f>
        <v>0</v>
      </c>
      <c r="AI124" s="20">
        <f>IFERROR(preçodiario[[#This Row],[OVO VERMELHO A]]*preçodiario[[#This Row],[estoque AV]],0)</f>
        <v>0</v>
      </c>
      <c r="AJ1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Row],[data]])),((AJ123*AK123)+SUMIFS(estoque[valor total],estoque[produto],preçodiario[[#Headers],[OVO VERMELHO B]],estoque[data],preçodiario[[#This Row],[data]],estoque[fornecedor],"&lt;&gt;saída"))/(AK123+(SUMIFS(estoque[quantidade],estoque[produto],preçodiario[[#Headers],[OVO VERMELHO B]],estoque[fornecedor],"&lt;&gt;saída",estoque[data],preçodiario[[#This Row],[data]])))))</f>
        <v/>
      </c>
      <c r="AK124" s="22">
        <f>IF(preçodiario[[#This Row],[entrada BV]]=0,AK123-(SUMIFS(estoque[quantidade],estoque[fornecedor],"saída",estoque[produto],preçodiario[[#Headers],[OVO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Row],[data]]))+AK123+preçodiario[[#This Row],[entrada BV]])</f>
        <v>0</v>
      </c>
      <c r="AL124" s="22">
        <f>SUMIFS(estoque[quantidade],estoque[fornecedor],"&lt;&gt;saída",estoque[produto],preçodiario[[#Headers],[OVO VERMELHO B]],estoque[data],preçodiario[[#This Row],[data]])</f>
        <v>0</v>
      </c>
      <c r="AM124" s="20">
        <f>SUMIFS(estoque[valor total],estoque[fornecedor],"&lt;&gt;saída",estoque[produto],preçodiario[[#Headers],[OVO VERMELHO B]],estoque[data],preçodiario[[#This Row],[data]])</f>
        <v>0</v>
      </c>
      <c r="AN124" s="20">
        <f>IFERROR(preçodiario[[#This Row],[OVO VERMELHO B]]*preçodiario[[#This Row],[estoque BV]],0)</f>
        <v>0</v>
      </c>
      <c r="AO1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Row],[data]])),((AO123*AP123)+SUMIFS(estoque[valor total],estoque[produto],preçodiario[[#Headers],[OVO VERMELHO C]],estoque[data],preçodiario[[#This Row],[data]],estoque[fornecedor],"&lt;&gt;saída"))/(AP123+(SUMIFS(estoque[quantidade],estoque[produto],preçodiario[[#Headers],[OVO VERMELHO C]],estoque[fornecedor],"&lt;&gt;saída",estoque[data],preçodiario[[#This Row],[data]])))))</f>
        <v/>
      </c>
      <c r="AP124" s="22">
        <f>IF(preçodiario[[#This Row],[entrada CV]]=0,AP123-(SUMIFS(estoque[quantidade],estoque[fornecedor],"saída",estoque[produto],preçodiario[[#Headers],[OVO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Row],[data]]))+AP123+preçodiario[[#This Row],[entrada CV]])</f>
        <v>0</v>
      </c>
      <c r="AQ124" s="22">
        <f>SUMIFS(estoque[quantidade],estoque[fornecedor],"&lt;&gt;saída",estoque[produto],preçodiario[[#Headers],[OVO VERMELHO C]],estoque[data],preçodiario[[#This Row],[data]])</f>
        <v>0</v>
      </c>
      <c r="AR124" s="20">
        <f>SUMIFS(estoque[valor total],estoque[fornecedor],"&lt;&gt;saída",estoque[produto],preçodiario[[#Headers],[OVO VERMELHO C]],estoque[data],preçodiario[[#This Row],[data]])</f>
        <v>0</v>
      </c>
      <c r="AS124" s="20">
        <f>IFERROR(preçodiario[[#This Row],[OVO VERMELHO C]]*preçodiario[[#This Row],[estoque CV]],0)</f>
        <v>0</v>
      </c>
      <c r="AT1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Row],[data]])),((AT123*AU123)+SUMIFS(estoque[valor total],estoque[produto],preçodiario[[#Headers],[OVO VERMELHO EXTRA]],estoque[data],preçodiario[[#This Row],[data]],estoque[fornecedor],"&lt;&gt;saída"))/(AU123+(SUMIFS(estoque[quantidade],estoque[produto],preçodiario[[#Headers],[OVO VERMELHO EXTRA]],estoque[fornecedor],"&lt;&gt;saída",estoque[data],preçodiario[[#This Row],[data]])))))</f>
        <v/>
      </c>
      <c r="AU124" s="22">
        <f>IF(preçodiario[[#This Row],[entrada EV]]=0,AU123-(SUMIFS(estoque[quantidade],estoque[fornecedor],"saída",estoque[produto],preçodiario[[#Headers],[OVO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Row],[data]]))+AU123+preçodiario[[#This Row],[entrada EV]])</f>
        <v>0</v>
      </c>
      <c r="AV124" s="22">
        <f>SUMIFS(estoque[quantidade],estoque[fornecedor],"&lt;&gt;saída",estoque[produto],preçodiario[[#Headers],[OVO VERMELHO EXTRA]],estoque[data],preçodiario[[#This Row],[data]])</f>
        <v>0</v>
      </c>
      <c r="AW124" s="20">
        <f>SUMIFS(estoque[valor total],estoque[fornecedor],"&lt;&gt;saída",estoque[produto],preçodiario[[#Headers],[OVO VERMELHO EXTRA]],estoque[data],preçodiario[[#This Row],[data]])</f>
        <v>0</v>
      </c>
      <c r="AX124" s="20">
        <f>IFERROR(preçodiario[[#This Row],[OVO VERMELHO EXTRA]]*preçodiario[[#This Row],[estoque EV]],0)</f>
        <v>0</v>
      </c>
      <c r="AY1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Row],[data]])),((AY123*AZ123)+SUMIFS(estoque[valor total],estoque[produto],preçodiario[[#Headers],[OVO VERMELHO JUMBO]],estoque[data],preçodiario[[#This Row],[data]],estoque[fornecedor],"&lt;&gt;saída"))/(AZ123+(SUMIFS(estoque[quantidade],estoque[produto],preçodiario[[#Headers],[OVO VERMELHO JUMBO]],estoque[fornecedor],"&lt;&gt;saída",estoque[data],preçodiario[[#This Row],[data]])))))</f>
        <v/>
      </c>
      <c r="AZ124" s="22">
        <f>IF(preçodiario[[#This Row],[entrada JV]]=0,AZ123-(SUMIFS(estoque[quantidade],estoque[fornecedor],"saída",estoque[produto],preçodiario[[#Headers],[OVO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Row],[data]]))+AZ123+preçodiario[[#This Row],[entrada JV]])</f>
        <v>0</v>
      </c>
      <c r="BA124" s="22">
        <f>SUMIFS(estoque[quantidade],estoque[fornecedor],"&lt;&gt;saída",estoque[produto],preçodiario[[#Headers],[OVO VERMELHO JUMBO]],estoque[data],preçodiario[[#This Row],[data]])</f>
        <v>0</v>
      </c>
      <c r="BB124" s="20">
        <f>SUMIFS(estoque[valor total],estoque[fornecedor],"&lt;&gt;saída",estoque[produto],preçodiario[[#Headers],[OVO VERMELHO JUMBO]],estoque[data],preçodiario[[#This Row],[data]])</f>
        <v>0</v>
      </c>
      <c r="BC124" s="20">
        <f>IFERROR(preçodiario[[#This Row],[OVO VERMELHO JUMBO]]*preçodiario[[#This Row],[estoque JV]],0)</f>
        <v>0</v>
      </c>
      <c r="BD124" t="str">
        <f>TEXT(vendaAno[[#This Row],[data]],"mmm")</f>
        <v>mai</v>
      </c>
      <c r="BE124" t="str">
        <f>TEXT(vendaAno[[#This Row],[data]],"ddd")</f>
        <v>dom</v>
      </c>
      <c r="BF124" s="82">
        <f>WEEKNUM(vendaAno[[#This Row],[data]],13)</f>
        <v>18</v>
      </c>
      <c r="BG124" s="27">
        <f>preçodiario[[#This Row],[data]]</f>
        <v>46145</v>
      </c>
      <c r="BH1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4" s="8">
        <f>IF(SUMIFS(estoque[valor total],estoque[fornecedor],"saída",estoque[data],vendaAno[[#This Row],[data]])=0,"",SUMIFS(estoque[valor total],estoque[fornecedor],"saída",estoque[data],vendaAno[[#This Row],[data]]))</f>
        <v>180</v>
      </c>
      <c r="BJ12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Row],[data]]))/12+BJ123,"")</f>
        <v>36.999999999999979</v>
      </c>
      <c r="BK124" s="79">
        <f ca="1">IF(TODAY()&gt;=vendaAno[[#This Row],[data]],IF(SUMIFS(estoque[quantidade],estoque[fornecedor],"saída",estoque[data],vendaAno[[#This Row],[data]])/12=0,AVERAGE(BK121:BK123),SUMIFS(estoque[quantidade],estoque[fornecedor],"saída",estoque[data],vendaAno[[#This Row],[data]])/12),"")</f>
        <v>0.66666666666666663</v>
      </c>
      <c r="BL124" s="8">
        <f ca="1">IF(vendaAno[[#This Row],[data]]&lt;=TODAY(),IF(SUMIFS(estoque[lucro],estoque[fornecedor],"saída",estoque[data],vendaAno[[#This Row],[data]])=0,AVERAGE(BL121:BL123),SUMIFS(estoque[lucro],estoque[fornecedor],"saída",estoque[data],vendaAno[[#This Row],[data]])),"")</f>
        <v>42.93</v>
      </c>
      <c r="BM124" s="10">
        <f ca="1">IFERROR(vendaAno[[#This Row],[lucro]]/vendaAno[[#This Row],[valor de venda]],"")</f>
        <v>0.23849999999999999</v>
      </c>
      <c r="BN12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7502.5867982800719</v>
      </c>
      <c r="BO124" s="8">
        <f ca="1">IF(TODAY()&gt;=vendaAno[[#This Row],[data]],IF(vendaAno[[#This Row],[N°]]=BF123,vendaAno[[#This Row],[lucro]]-173.33+BO123,vendaAno[[#This Row],[lucro]]-150),"")</f>
        <v>-395.17000000000007</v>
      </c>
      <c r="BP124" s="81">
        <f ca="1">IF(TODAY()&gt;=vendaAno[[#This Row],[data]],SUM(BK118:BK124)*12,"")</f>
        <v>157</v>
      </c>
      <c r="BQ124" s="7">
        <f ca="1">IFERROR(vendaAno[[#This Row],[lucro]]/(vendaAno[[#This Row],[venda]]*12),"")</f>
        <v>5.36625</v>
      </c>
    </row>
    <row r="125" spans="1:69" x14ac:dyDescent="0.25">
      <c r="A1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5" s="18" t="str">
        <f>TEXT(preçodiario[[#This Row],[data]],"MMM")</f>
        <v>mai</v>
      </c>
      <c r="C125" s="18" t="str">
        <f>TEXT(preçodiario[[#This Row],[data]],"ddd")</f>
        <v>seg</v>
      </c>
      <c r="D125" s="96">
        <f>WEEKNUM(preçodiario[[#This Row],[data]],13)</f>
        <v>18</v>
      </c>
      <c r="E125" s="37">
        <v>46146</v>
      </c>
      <c r="F1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Row],[data]])),((F124*G124)+SUMIFS(estoque[valor total],estoque[produto],preçodiario[[#Headers],[OVO BRANCO A]],estoque[data],preçodiario[[#This Row],[data]],estoque[fornecedor],"&lt;&gt;saída"))/(G124+(SUMIFS(estoque[quantidade],estoque[produto],preçodiario[[#Headers],[OVO BRANCO A]],estoque[fornecedor],"&lt;&gt;saída",estoque[data],preçodiario[[#This Row],[data]])))))</f>
        <v>16.660846560846558</v>
      </c>
      <c r="G125" s="22">
        <f>IF(preçodiario[[#This Row],[entrada A]]=0,G124-(SUMIFS(estoque[quantidade],estoque[fornecedor],"saída",estoque[produto],preçodiario[[#Headers],[OVO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Row],[data]]))+G124+preçodiario[[#This Row],[entrada A]])</f>
        <v>107</v>
      </c>
      <c r="H125" s="22">
        <f>SUMIFS(estoque[quantidade],estoque[fornecedor],"&lt;&gt;saída",estoque[produto],preçodiario[[#Headers],[OVO BRANCO A]],estoque[data],preçodiario[[#This Row],[data]])</f>
        <v>0</v>
      </c>
      <c r="I125" s="20">
        <f>SUMIFS(estoque[valor total],estoque[fornecedor],"&lt;&gt;saída",estoque[produto],preçodiario[[#Headers],[OVO BRANCO A]],estoque[data],preçodiario[[#This Row],[data]])</f>
        <v>0</v>
      </c>
      <c r="J125" s="20">
        <f>IFERROR(preçodiario[[#This Row],[estoque A]]*preçodiario[[#This Row],[OVO BRANCO A]],0)</f>
        <v>1782.7105820105817</v>
      </c>
      <c r="K1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Row],[data]])),((K124*L124)+SUMIFS(estoque[valor total],estoque[produto],preçodiario[[#Headers],[OVO BRANCO B]],estoque[data],preçodiario[[#This Row],[data]],estoque[fornecedor],"&lt;&gt;saída"))/(L124+(SUMIFS(estoque[quantidade],estoque[produto],preçodiario[[#Headers],[OVO BRANCO B]],estoque[fornecedor],"&lt;&gt;saída",estoque[data],preçodiario[[#This Row],[data]])))))</f>
        <v>16.244678634081524</v>
      </c>
      <c r="L125" s="22">
        <f>IF(preçodiario[[#This Row],[entrada B]]=0,L124-(SUMIFS(estoque[quantidade],estoque[fornecedor],"saída",estoque[produto],preçodiario[[#Headers],[OVO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Row],[data]]))+L124+preçodiario[[#This Row],[entrada B]])</f>
        <v>79</v>
      </c>
      <c r="M125" s="22">
        <f>SUMIFS(estoque[quantidade],estoque[fornecedor],"&lt;&gt;saída",estoque[produto],preçodiario[[#Headers],[OVO BRANCO B]],estoque[data],preçodiario[[#This Row],[data]])</f>
        <v>0</v>
      </c>
      <c r="N125" s="20">
        <f>SUMIFS(estoque[valor total],estoque[fornecedor],"&lt;&gt;saída",estoque[produto],preçodiario[[#Headers],[OVO BRANCO B]],estoque[data],preçodiario[[#This Row],[data]])</f>
        <v>0</v>
      </c>
      <c r="O125" s="20">
        <f>IFERROR(preçodiario[[#This Row],[OVO BRANCO B]]*preçodiario[[#This Row],[estoque B]],0)</f>
        <v>1283.3296120924404</v>
      </c>
      <c r="P12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Row],[data]])),((P124*Q124)+SUMIFS(estoque[valor total],estoque[produto],preçodiario[[#Headers],[OVO BRANCO C]],estoque[data],preçodiario[[#This Row],[data]],estoque[fornecedor],"&lt;&gt;saída"))/(Q124+(SUMIFS(estoque[quantidade],estoque[produto],preçodiario[[#Headers],[OVO BRANCO C]],estoque[fornecedor],"&lt;&gt;saída",estoque[data],preçodiario[[#This Row],[data]])))))</f>
        <v/>
      </c>
      <c r="Q125" s="22">
        <f>IF(preçodiario[[#This Row],[entrada C]]=0,Q124-(SUMIFS(estoque[quantidade],estoque[fornecedor],"saída",estoque[produto],preçodiario[[#Headers],[OVO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Row],[data]]))+Q124+preçodiario[[#This Row],[entrada C]])</f>
        <v>0</v>
      </c>
      <c r="R125" s="22">
        <f>SUMIFS(estoque[quantidade],estoque[fornecedor],"&lt;&gt;saída",estoque[produto],preçodiario[[#Headers],[OVO BRANCO C]],estoque[data],preçodiario[[#This Row],[data]])</f>
        <v>0</v>
      </c>
      <c r="S125" s="20">
        <f>SUMIFS(estoque[valor total],estoque[fornecedor],"&lt;&gt;saída",estoque[produto],preçodiario[[#Headers],[OVO BRANCO C]],estoque[data],preçodiario[[#This Row],[data]])</f>
        <v>0</v>
      </c>
      <c r="T125" s="20">
        <f>IFERROR(preçodiario[[#This Row],[OVO BRANCO C]]*preçodiario[[#This Row],[estoque C]],0)</f>
        <v>0</v>
      </c>
      <c r="U1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Row],[data]])),((U124*V124)+SUMIFS(estoque[valor total],estoque[produto],preçodiario[[#Headers],[OVO BRANCO EXTRA]],estoque[data],preçodiario[[#This Row],[data]],estoque[fornecedor],"&lt;&gt;saída"))/(V124+(SUMIFS(estoque[quantidade],estoque[produto],preçodiario[[#Headers],[OVO BRANCO EXTRA]],estoque[fornecedor],"&lt;&gt;saída",estoque[data],preçodiario[[#This Row],[data]])))))</f>
        <v>17.083333333333336</v>
      </c>
      <c r="V125" s="22">
        <f>IF(preçodiario[[#This Row],[entrada E]]=0,V124-(SUMIFS(estoque[quantidade],estoque[fornecedor],"saída",estoque[produto],preçodiario[[#Headers],[OVO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Row],[data]]))+V124+preçodiario[[#This Row],[entrada E]])</f>
        <v>119</v>
      </c>
      <c r="W125" s="22">
        <f>SUMIFS(estoque[quantidade],estoque[fornecedor],"&lt;&gt;saída",estoque[produto],preçodiario[[#Headers],[OVO BRANCO EXTRA]],estoque[data],preçodiario[[#This Row],[data]])</f>
        <v>0</v>
      </c>
      <c r="X125" s="20">
        <f>SUMIFS(estoque[valor total],estoque[fornecedor],"&lt;&gt;saída",estoque[produto],preçodiario[[#Headers],[OVO BRANCO EXTRA]],estoque[data],preçodiario[[#This Row],[data]])</f>
        <v>0</v>
      </c>
      <c r="Y125" s="20">
        <f>IFERROR(preçodiario[[#This Row],[estoque E]]*preçodiario[[#This Row],[OVO BRANCO EXTRA]],0)</f>
        <v>2032.916666666667</v>
      </c>
      <c r="Z1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Row],[data]])),((Z124*AA124)+SUMIFS(estoque[valor total],estoque[produto],preçodiario[[#Headers],[OVO BRANCO JUMBO]],estoque[data],preçodiario[[#This Row],[data]],estoque[fornecedor],"&lt;&gt;saída"))/(AA124+(SUMIFS(estoque[quantidade],estoque[produto],preçodiario[[#Headers],[OVO BRANCO JUMBO]],estoque[fornecedor],"&lt;&gt;saída",estoque[data],preçodiario[[#This Row],[data]])))))</f>
        <v>17.5</v>
      </c>
      <c r="AA125" s="22">
        <f>IF(preçodiario[[#This Row],[entrada J]]=0,AA124-(SUMIFS(estoque[quantidade],estoque[fornecedor],"saída",estoque[produto],preçodiario[[#Headers],[OVO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Row],[data]]))+AA124+preçodiario[[#This Row],[entrada J]])</f>
        <v>99</v>
      </c>
      <c r="AB125" s="22">
        <f>SUMIFS(estoque[quantidade],estoque[fornecedor],"&lt;&gt;saída",estoque[produto],preçodiario[[#Headers],[OVO BRANCO JUMBO]],estoque[data],preçodiario[[#This Row],[data]])</f>
        <v>0</v>
      </c>
      <c r="AC125" s="20">
        <f>SUMIFS(estoque[valor total],estoque[fornecedor],"&lt;&gt;saída",estoque[produto],preçodiario[[#Headers],[OVO BRANCO JUMBO]],estoque[data],preçodiario[[#This Row],[data]])</f>
        <v>0</v>
      </c>
      <c r="AD125" s="20">
        <f>IFERROR(preçodiario[[#This Row],[OVO BRANCO JUMBO]]*preçodiario[[#This Row],[estoque J]],0)</f>
        <v>1732.5</v>
      </c>
      <c r="AE1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Row],[data]])),((AE124*AF124)+SUMIFS(estoque[valor total],estoque[produto],preçodiario[[#Headers],[OVO VERMELHO A]],estoque[data],preçodiario[[#This Row],[data]],estoque[fornecedor],"&lt;&gt;saída"))/(AF124+(SUMIFS(estoque[quantidade],estoque[produto],preçodiario[[#Headers],[OVO VERMELHO A]],estoque[fornecedor],"&lt;&gt;saída",estoque[data],preçodiario[[#This Row],[data]])))))</f>
        <v/>
      </c>
      <c r="AF125" s="22">
        <f>IF(preçodiario[[#This Row],[entrada AV]]=0,AF124-(SUMIFS(estoque[quantidade],estoque[fornecedor],"saída",estoque[produto],preçodiario[[#Headers],[OVO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Row],[data]]))+AF124+preçodiario[[#This Row],[entrada AV]])</f>
        <v>0</v>
      </c>
      <c r="AG125" s="22">
        <f>SUMIFS(estoque[quantidade],estoque[fornecedor],"&lt;&gt;saída",estoque[produto],preçodiario[[#Headers],[OVO VERMELHO A]],estoque[data],preçodiario[[#This Row],[data]])</f>
        <v>0</v>
      </c>
      <c r="AH125" s="20">
        <f>SUMIFS(estoque[valor total],estoque[fornecedor],"&lt;&gt;saída",estoque[produto],preçodiario[[#Headers],[OVO VERMELHO A]],estoque[data],preçodiario[[#This Row],[data]])</f>
        <v>0</v>
      </c>
      <c r="AI125" s="20">
        <f>IFERROR(preçodiario[[#This Row],[OVO VERMELHO A]]*preçodiario[[#This Row],[estoque AV]],0)</f>
        <v>0</v>
      </c>
      <c r="AJ1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Row],[data]])),((AJ124*AK124)+SUMIFS(estoque[valor total],estoque[produto],preçodiario[[#Headers],[OVO VERMELHO B]],estoque[data],preçodiario[[#This Row],[data]],estoque[fornecedor],"&lt;&gt;saída"))/(AK124+(SUMIFS(estoque[quantidade],estoque[produto],preçodiario[[#Headers],[OVO VERMELHO B]],estoque[fornecedor],"&lt;&gt;saída",estoque[data],preçodiario[[#This Row],[data]])))))</f>
        <v/>
      </c>
      <c r="AK125" s="22">
        <f>IF(preçodiario[[#This Row],[entrada BV]]=0,AK124-(SUMIFS(estoque[quantidade],estoque[fornecedor],"saída",estoque[produto],preçodiario[[#Headers],[OVO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Row],[data]]))+AK124+preçodiario[[#This Row],[entrada BV]])</f>
        <v>0</v>
      </c>
      <c r="AL125" s="22">
        <f>SUMIFS(estoque[quantidade],estoque[fornecedor],"&lt;&gt;saída",estoque[produto],preçodiario[[#Headers],[OVO VERMELHO B]],estoque[data],preçodiario[[#This Row],[data]])</f>
        <v>0</v>
      </c>
      <c r="AM125" s="20">
        <f>SUMIFS(estoque[valor total],estoque[fornecedor],"&lt;&gt;saída",estoque[produto],preçodiario[[#Headers],[OVO VERMELHO B]],estoque[data],preçodiario[[#This Row],[data]])</f>
        <v>0</v>
      </c>
      <c r="AN125" s="20">
        <f>IFERROR(preçodiario[[#This Row],[OVO VERMELHO B]]*preçodiario[[#This Row],[estoque BV]],0)</f>
        <v>0</v>
      </c>
      <c r="AO1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Row],[data]])),((AO124*AP124)+SUMIFS(estoque[valor total],estoque[produto],preçodiario[[#Headers],[OVO VERMELHO C]],estoque[data],preçodiario[[#This Row],[data]],estoque[fornecedor],"&lt;&gt;saída"))/(AP124+(SUMIFS(estoque[quantidade],estoque[produto],preçodiario[[#Headers],[OVO VERMELHO C]],estoque[fornecedor],"&lt;&gt;saída",estoque[data],preçodiario[[#This Row],[data]])))))</f>
        <v/>
      </c>
      <c r="AP125" s="22">
        <f>IF(preçodiario[[#This Row],[entrada CV]]=0,AP124-(SUMIFS(estoque[quantidade],estoque[fornecedor],"saída",estoque[produto],preçodiario[[#Headers],[OVO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Row],[data]]))+AP124+preçodiario[[#This Row],[entrada CV]])</f>
        <v>0</v>
      </c>
      <c r="AQ125" s="22">
        <f>SUMIFS(estoque[quantidade],estoque[fornecedor],"&lt;&gt;saída",estoque[produto],preçodiario[[#Headers],[OVO VERMELHO C]],estoque[data],preçodiario[[#This Row],[data]])</f>
        <v>0</v>
      </c>
      <c r="AR125" s="20">
        <f>SUMIFS(estoque[valor total],estoque[fornecedor],"&lt;&gt;saída",estoque[produto],preçodiario[[#Headers],[OVO VERMELHO C]],estoque[data],preçodiario[[#This Row],[data]])</f>
        <v>0</v>
      </c>
      <c r="AS125" s="20">
        <f>IFERROR(preçodiario[[#This Row],[OVO VERMELHO C]]*preçodiario[[#This Row],[estoque CV]],0)</f>
        <v>0</v>
      </c>
      <c r="AT1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Row],[data]])),((AT124*AU124)+SUMIFS(estoque[valor total],estoque[produto],preçodiario[[#Headers],[OVO VERMELHO EXTRA]],estoque[data],preçodiario[[#This Row],[data]],estoque[fornecedor],"&lt;&gt;saída"))/(AU124+(SUMIFS(estoque[quantidade],estoque[produto],preçodiario[[#Headers],[OVO VERMELHO EXTRA]],estoque[fornecedor],"&lt;&gt;saída",estoque[data],preçodiario[[#This Row],[data]])))))</f>
        <v/>
      </c>
      <c r="AU125" s="22">
        <f>IF(preçodiario[[#This Row],[entrada EV]]=0,AU124-(SUMIFS(estoque[quantidade],estoque[fornecedor],"saída",estoque[produto],preçodiario[[#Headers],[OVO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Row],[data]]))+AU124+preçodiario[[#This Row],[entrada EV]])</f>
        <v>0</v>
      </c>
      <c r="AV125" s="22">
        <f>SUMIFS(estoque[quantidade],estoque[fornecedor],"&lt;&gt;saída",estoque[produto],preçodiario[[#Headers],[OVO VERMELHO EXTRA]],estoque[data],preçodiario[[#This Row],[data]])</f>
        <v>0</v>
      </c>
      <c r="AW125" s="20">
        <f>SUMIFS(estoque[valor total],estoque[fornecedor],"&lt;&gt;saída",estoque[produto],preçodiario[[#Headers],[OVO VERMELHO EXTRA]],estoque[data],preçodiario[[#This Row],[data]])</f>
        <v>0</v>
      </c>
      <c r="AX125" s="20">
        <f>IFERROR(preçodiario[[#This Row],[OVO VERMELHO EXTRA]]*preçodiario[[#This Row],[estoque EV]],0)</f>
        <v>0</v>
      </c>
      <c r="AY1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Row],[data]])),((AY124*AZ124)+SUMIFS(estoque[valor total],estoque[produto],preçodiario[[#Headers],[OVO VERMELHO JUMBO]],estoque[data],preçodiario[[#This Row],[data]],estoque[fornecedor],"&lt;&gt;saída"))/(AZ124+(SUMIFS(estoque[quantidade],estoque[produto],preçodiario[[#Headers],[OVO VERMELHO JUMBO]],estoque[fornecedor],"&lt;&gt;saída",estoque[data],preçodiario[[#This Row],[data]])))))</f>
        <v/>
      </c>
      <c r="AZ125" s="22">
        <f>IF(preçodiario[[#This Row],[entrada JV]]=0,AZ124-(SUMIFS(estoque[quantidade],estoque[fornecedor],"saída",estoque[produto],preçodiario[[#Headers],[OVO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Row],[data]]))+AZ124+preçodiario[[#This Row],[entrada JV]])</f>
        <v>0</v>
      </c>
      <c r="BA125" s="22">
        <f>SUMIFS(estoque[quantidade],estoque[fornecedor],"&lt;&gt;saída",estoque[produto],preçodiario[[#Headers],[OVO VERMELHO JUMBO]],estoque[data],preçodiario[[#This Row],[data]])</f>
        <v>0</v>
      </c>
      <c r="BB125" s="20">
        <f>SUMIFS(estoque[valor total],estoque[fornecedor],"&lt;&gt;saída",estoque[produto],preçodiario[[#Headers],[OVO VERMELHO JUMBO]],estoque[data],preçodiario[[#This Row],[data]])</f>
        <v>0</v>
      </c>
      <c r="BC125" s="20">
        <f>IFERROR(preçodiario[[#This Row],[OVO VERMELHO JUMBO]]*preçodiario[[#This Row],[estoque JV]],0)</f>
        <v>0</v>
      </c>
      <c r="BD125" t="str">
        <f>TEXT(vendaAno[[#This Row],[data]],"mmm")</f>
        <v>mai</v>
      </c>
      <c r="BE125" t="str">
        <f>TEXT(vendaAno[[#This Row],[data]],"ddd")</f>
        <v>seg</v>
      </c>
      <c r="BF125" s="82">
        <f>WEEKNUM(vendaAno[[#This Row],[data]],13)</f>
        <v>18</v>
      </c>
      <c r="BG125" s="27">
        <f>preçodiario[[#This Row],[data]]</f>
        <v>46146</v>
      </c>
      <c r="BH1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5" s="8">
        <f>IF(SUMIFS(estoque[valor total],estoque[fornecedor],"saída",estoque[data],vendaAno[[#This Row],[data]])=0,"",SUMIFS(estoque[valor total],estoque[fornecedor],"saída",estoque[data],vendaAno[[#This Row],[data]]))</f>
        <v>843.5</v>
      </c>
      <c r="BJ12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Row],[data]]))/12+BJ124,"")</f>
        <v>33.666666666666643</v>
      </c>
      <c r="BK125" s="79">
        <f ca="1">IF(TODAY()&gt;=vendaAno[[#This Row],[data]],IF(SUMIFS(estoque[quantidade],estoque[fornecedor],"saída",estoque[data],vendaAno[[#This Row],[data]])/12=0,AVERAGE(BK122:BK124),SUMIFS(estoque[quantidade],estoque[fornecedor],"saída",estoque[data],vendaAno[[#This Row],[data]])/12),"")</f>
        <v>3.3333333333333335</v>
      </c>
      <c r="BL125" s="8">
        <f ca="1">IF(vendaAno[[#This Row],[data]]&lt;=TODAY(),IF(SUMIFS(estoque[lucro],estoque[fornecedor],"saída",estoque[data],vendaAno[[#This Row],[data]])=0,AVERAGE(BL122:BL124),SUMIFS(estoque[lucro],estoque[fornecedor],"saída",estoque[data],vendaAno[[#This Row],[data]])),"")</f>
        <v>172.37</v>
      </c>
      <c r="BM125" s="10">
        <f ca="1">IFERROR(vendaAno[[#This Row],[lucro]]/vendaAno[[#This Row],[valor de venda]],"")</f>
        <v>0.20435091879075282</v>
      </c>
      <c r="BN12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6831.4568607696892</v>
      </c>
      <c r="BO125" s="8">
        <f ca="1">IF(TODAY()&gt;=vendaAno[[#This Row],[data]],IF(vendaAno[[#This Row],[N°]]=BF124,vendaAno[[#This Row],[lucro]]-173.33+BO124,vendaAno[[#This Row],[lucro]]-150),"")</f>
        <v>-396.13000000000011</v>
      </c>
      <c r="BP125" s="81">
        <f ca="1">IF(TODAY()&gt;=vendaAno[[#This Row],[data]],SUM(BK119:BK125)*12,"")</f>
        <v>181</v>
      </c>
      <c r="BQ125" s="7">
        <f ca="1">IFERROR(vendaAno[[#This Row],[lucro]]/(vendaAno[[#This Row],[venda]]*12),"")</f>
        <v>4.3092500000000005</v>
      </c>
    </row>
    <row r="126" spans="1:69" x14ac:dyDescent="0.25">
      <c r="A1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6" s="18" t="str">
        <f>TEXT(preçodiario[[#This Row],[data]],"MMM")</f>
        <v>mai</v>
      </c>
      <c r="C126" s="18" t="str">
        <f>TEXT(preçodiario[[#This Row],[data]],"ddd")</f>
        <v>ter</v>
      </c>
      <c r="D126" s="96">
        <f>WEEKNUM(preçodiario[[#This Row],[data]],13)</f>
        <v>18</v>
      </c>
      <c r="E126" s="37">
        <v>46147</v>
      </c>
      <c r="F1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Row],[data]])),((F125*G125)+SUMIFS(estoque[valor total],estoque[produto],preçodiario[[#Headers],[OVO BRANCO A]],estoque[data],preçodiario[[#This Row],[data]],estoque[fornecedor],"&lt;&gt;saída"))/(G125+(SUMIFS(estoque[quantidade],estoque[produto],preçodiario[[#Headers],[OVO BRANCO A]],estoque[fornecedor],"&lt;&gt;saída",estoque[data],preçodiario[[#This Row],[data]])))))</f>
        <v>16.660846560846558</v>
      </c>
      <c r="G126" s="22">
        <f>IF(preçodiario[[#This Row],[entrada A]]=0,G125-(SUMIFS(estoque[quantidade],estoque[fornecedor],"saída",estoque[produto],preçodiario[[#Headers],[OVO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Row],[data]]))+G125+preçodiario[[#This Row],[entrada A]])</f>
        <v>102</v>
      </c>
      <c r="H126" s="22">
        <f>SUMIFS(estoque[quantidade],estoque[fornecedor],"&lt;&gt;saída",estoque[produto],preçodiario[[#Headers],[OVO BRANCO A]],estoque[data],preçodiario[[#This Row],[data]])</f>
        <v>0</v>
      </c>
      <c r="I126" s="20">
        <f>SUMIFS(estoque[valor total],estoque[fornecedor],"&lt;&gt;saída",estoque[produto],preçodiario[[#Headers],[OVO BRANCO A]],estoque[data],preçodiario[[#This Row],[data]])</f>
        <v>0</v>
      </c>
      <c r="J126" s="20">
        <f>IFERROR(preçodiario[[#This Row],[estoque A]]*preçodiario[[#This Row],[OVO BRANCO A]],0)</f>
        <v>1699.406349206349</v>
      </c>
      <c r="K1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Row],[data]])),((K125*L125)+SUMIFS(estoque[valor total],estoque[produto],preçodiario[[#Headers],[OVO BRANCO B]],estoque[data],preçodiario[[#This Row],[data]],estoque[fornecedor],"&lt;&gt;saída"))/(L125+(SUMIFS(estoque[quantidade],estoque[produto],preçodiario[[#Headers],[OVO BRANCO B]],estoque[fornecedor],"&lt;&gt;saída",estoque[data],preçodiario[[#This Row],[data]])))))</f>
        <v>16.244678634081524</v>
      </c>
      <c r="L126" s="22">
        <f>IF(preçodiario[[#This Row],[entrada B]]=0,L125-(SUMIFS(estoque[quantidade],estoque[fornecedor],"saída",estoque[produto],preçodiario[[#Headers],[OVO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Row],[data]]))+L125+preçodiario[[#This Row],[entrada B]])</f>
        <v>70</v>
      </c>
      <c r="M126" s="22">
        <f>SUMIFS(estoque[quantidade],estoque[fornecedor],"&lt;&gt;saída",estoque[produto],preçodiario[[#Headers],[OVO BRANCO B]],estoque[data],preçodiario[[#This Row],[data]])</f>
        <v>0</v>
      </c>
      <c r="N126" s="20">
        <f>SUMIFS(estoque[valor total],estoque[fornecedor],"&lt;&gt;saída",estoque[produto],preçodiario[[#Headers],[OVO BRANCO B]],estoque[data],preçodiario[[#This Row],[data]])</f>
        <v>0</v>
      </c>
      <c r="O126" s="20">
        <f>IFERROR(preçodiario[[#This Row],[OVO BRANCO B]]*preçodiario[[#This Row],[estoque B]],0)</f>
        <v>1137.1275043857067</v>
      </c>
      <c r="P12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Row],[data]])),((P125*Q125)+SUMIFS(estoque[valor total],estoque[produto],preçodiario[[#Headers],[OVO BRANCO C]],estoque[data],preçodiario[[#This Row],[data]],estoque[fornecedor],"&lt;&gt;saída"))/(Q125+(SUMIFS(estoque[quantidade],estoque[produto],preçodiario[[#Headers],[OVO BRANCO C]],estoque[fornecedor],"&lt;&gt;saída",estoque[data],preçodiario[[#This Row],[data]])))))</f>
        <v/>
      </c>
      <c r="Q126" s="22">
        <f>IF(preçodiario[[#This Row],[entrada C]]=0,Q125-(SUMIFS(estoque[quantidade],estoque[fornecedor],"saída",estoque[produto],preçodiario[[#Headers],[OVO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Row],[data]]))+Q125+preçodiario[[#This Row],[entrada C]])</f>
        <v>0</v>
      </c>
      <c r="R126" s="22">
        <f>SUMIFS(estoque[quantidade],estoque[fornecedor],"&lt;&gt;saída",estoque[produto],preçodiario[[#Headers],[OVO BRANCO C]],estoque[data],preçodiario[[#This Row],[data]])</f>
        <v>0</v>
      </c>
      <c r="S126" s="20">
        <f>SUMIFS(estoque[valor total],estoque[fornecedor],"&lt;&gt;saída",estoque[produto],preçodiario[[#Headers],[OVO BRANCO C]],estoque[data],preçodiario[[#This Row],[data]])</f>
        <v>0</v>
      </c>
      <c r="T126" s="20">
        <f>IFERROR(preçodiario[[#This Row],[OVO BRANCO C]]*preçodiario[[#This Row],[estoque C]],0)</f>
        <v>0</v>
      </c>
      <c r="U1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Row],[data]])),((U125*V125)+SUMIFS(estoque[valor total],estoque[produto],preçodiario[[#Headers],[OVO BRANCO EXTRA]],estoque[data],preçodiario[[#This Row],[data]],estoque[fornecedor],"&lt;&gt;saída"))/(V125+(SUMIFS(estoque[quantidade],estoque[produto],preçodiario[[#Headers],[OVO BRANCO EXTRA]],estoque[fornecedor],"&lt;&gt;saída",estoque[data],preçodiario[[#This Row],[data]])))))</f>
        <v>17.083333333333336</v>
      </c>
      <c r="V126" s="22">
        <f>IF(preçodiario[[#This Row],[entrada E]]=0,V125-(SUMIFS(estoque[quantidade],estoque[fornecedor],"saída",estoque[produto],preçodiario[[#Headers],[OVO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Row],[data]]))+V125+preçodiario[[#This Row],[entrada E]])</f>
        <v>109</v>
      </c>
      <c r="W126" s="22">
        <f>SUMIFS(estoque[quantidade],estoque[fornecedor],"&lt;&gt;saída",estoque[produto],preçodiario[[#Headers],[OVO BRANCO EXTRA]],estoque[data],preçodiario[[#This Row],[data]])</f>
        <v>0</v>
      </c>
      <c r="X126" s="20">
        <f>SUMIFS(estoque[valor total],estoque[fornecedor],"&lt;&gt;saída",estoque[produto],preçodiario[[#Headers],[OVO BRANCO EXTRA]],estoque[data],preçodiario[[#This Row],[data]])</f>
        <v>0</v>
      </c>
      <c r="Y126" s="20">
        <f>IFERROR(preçodiario[[#This Row],[estoque E]]*preçodiario[[#This Row],[OVO BRANCO EXTRA]],0)</f>
        <v>1862.0833333333335</v>
      </c>
      <c r="Z1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Row],[data]])),((Z125*AA125)+SUMIFS(estoque[valor total],estoque[produto],preçodiario[[#Headers],[OVO BRANCO JUMBO]],estoque[data],preçodiario[[#This Row],[data]],estoque[fornecedor],"&lt;&gt;saída"))/(AA125+(SUMIFS(estoque[quantidade],estoque[produto],preçodiario[[#Headers],[OVO BRANCO JUMBO]],estoque[fornecedor],"&lt;&gt;saída",estoque[data],preçodiario[[#This Row],[data]])))))</f>
        <v>17.5</v>
      </c>
      <c r="AA126" s="22">
        <f>IF(preçodiario[[#This Row],[entrada J]]=0,AA125-(SUMIFS(estoque[quantidade],estoque[fornecedor],"saída",estoque[produto],preçodiario[[#Headers],[OVO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Row],[data]]))+AA125+preçodiario[[#This Row],[entrada J]])</f>
        <v>92</v>
      </c>
      <c r="AB126" s="22">
        <f>SUMIFS(estoque[quantidade],estoque[fornecedor],"&lt;&gt;saída",estoque[produto],preçodiario[[#Headers],[OVO BRANCO JUMBO]],estoque[data],preçodiario[[#This Row],[data]])</f>
        <v>0</v>
      </c>
      <c r="AC126" s="20">
        <f>SUMIFS(estoque[valor total],estoque[fornecedor],"&lt;&gt;saída",estoque[produto],preçodiario[[#Headers],[OVO BRANCO JUMBO]],estoque[data],preçodiario[[#This Row],[data]])</f>
        <v>0</v>
      </c>
      <c r="AD126" s="20">
        <f>IFERROR(preçodiario[[#This Row],[OVO BRANCO JUMBO]]*preçodiario[[#This Row],[estoque J]],0)</f>
        <v>1610</v>
      </c>
      <c r="AE1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Row],[data]])),((AE125*AF125)+SUMIFS(estoque[valor total],estoque[produto],preçodiario[[#Headers],[OVO VERMELHO A]],estoque[data],preçodiario[[#This Row],[data]],estoque[fornecedor],"&lt;&gt;saída"))/(AF125+(SUMIFS(estoque[quantidade],estoque[produto],preçodiario[[#Headers],[OVO VERMELHO A]],estoque[fornecedor],"&lt;&gt;saída",estoque[data],preçodiario[[#This Row],[data]])))))</f>
        <v/>
      </c>
      <c r="AF126" s="22">
        <f>IF(preçodiario[[#This Row],[entrada AV]]=0,AF125-(SUMIFS(estoque[quantidade],estoque[fornecedor],"saída",estoque[produto],preçodiario[[#Headers],[OVO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Row],[data]]))+AF125+preçodiario[[#This Row],[entrada AV]])</f>
        <v>0</v>
      </c>
      <c r="AG126" s="22">
        <f>SUMIFS(estoque[quantidade],estoque[fornecedor],"&lt;&gt;saída",estoque[produto],preçodiario[[#Headers],[OVO VERMELHO A]],estoque[data],preçodiario[[#This Row],[data]])</f>
        <v>0</v>
      </c>
      <c r="AH126" s="20">
        <f>SUMIFS(estoque[valor total],estoque[fornecedor],"&lt;&gt;saída",estoque[produto],preçodiario[[#Headers],[OVO VERMELHO A]],estoque[data],preçodiario[[#This Row],[data]])</f>
        <v>0</v>
      </c>
      <c r="AI126" s="20">
        <f>IFERROR(preçodiario[[#This Row],[OVO VERMELHO A]]*preçodiario[[#This Row],[estoque AV]],0)</f>
        <v>0</v>
      </c>
      <c r="AJ1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Row],[data]])),((AJ125*AK125)+SUMIFS(estoque[valor total],estoque[produto],preçodiario[[#Headers],[OVO VERMELHO B]],estoque[data],preçodiario[[#This Row],[data]],estoque[fornecedor],"&lt;&gt;saída"))/(AK125+(SUMIFS(estoque[quantidade],estoque[produto],preçodiario[[#Headers],[OVO VERMELHO B]],estoque[fornecedor],"&lt;&gt;saída",estoque[data],preçodiario[[#This Row],[data]])))))</f>
        <v/>
      </c>
      <c r="AK126" s="22">
        <f>IF(preçodiario[[#This Row],[entrada BV]]=0,AK125-(SUMIFS(estoque[quantidade],estoque[fornecedor],"saída",estoque[produto],preçodiario[[#Headers],[OVO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Row],[data]]))+AK125+preçodiario[[#This Row],[entrada BV]])</f>
        <v>0</v>
      </c>
      <c r="AL126" s="22">
        <f>SUMIFS(estoque[quantidade],estoque[fornecedor],"&lt;&gt;saída",estoque[produto],preçodiario[[#Headers],[OVO VERMELHO B]],estoque[data],preçodiario[[#This Row],[data]])</f>
        <v>0</v>
      </c>
      <c r="AM126" s="20">
        <f>SUMIFS(estoque[valor total],estoque[fornecedor],"&lt;&gt;saída",estoque[produto],preçodiario[[#Headers],[OVO VERMELHO B]],estoque[data],preçodiario[[#This Row],[data]])</f>
        <v>0</v>
      </c>
      <c r="AN126" s="20">
        <f>IFERROR(preçodiario[[#This Row],[OVO VERMELHO B]]*preçodiario[[#This Row],[estoque BV]],0)</f>
        <v>0</v>
      </c>
      <c r="AO1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Row],[data]])),((AO125*AP125)+SUMIFS(estoque[valor total],estoque[produto],preçodiario[[#Headers],[OVO VERMELHO C]],estoque[data],preçodiario[[#This Row],[data]],estoque[fornecedor],"&lt;&gt;saída"))/(AP125+(SUMIFS(estoque[quantidade],estoque[produto],preçodiario[[#Headers],[OVO VERMELHO C]],estoque[fornecedor],"&lt;&gt;saída",estoque[data],preçodiario[[#This Row],[data]])))))</f>
        <v/>
      </c>
      <c r="AP126" s="22">
        <f>IF(preçodiario[[#This Row],[entrada CV]]=0,AP125-(SUMIFS(estoque[quantidade],estoque[fornecedor],"saída",estoque[produto],preçodiario[[#Headers],[OVO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Row],[data]]))+AP125+preçodiario[[#This Row],[entrada CV]])</f>
        <v>0</v>
      </c>
      <c r="AQ126" s="22">
        <f>SUMIFS(estoque[quantidade],estoque[fornecedor],"&lt;&gt;saída",estoque[produto],preçodiario[[#Headers],[OVO VERMELHO C]],estoque[data],preçodiario[[#This Row],[data]])</f>
        <v>0</v>
      </c>
      <c r="AR126" s="20">
        <f>SUMIFS(estoque[valor total],estoque[fornecedor],"&lt;&gt;saída",estoque[produto],preçodiario[[#Headers],[OVO VERMELHO C]],estoque[data],preçodiario[[#This Row],[data]])</f>
        <v>0</v>
      </c>
      <c r="AS126" s="20">
        <f>IFERROR(preçodiario[[#This Row],[OVO VERMELHO C]]*preçodiario[[#This Row],[estoque CV]],0)</f>
        <v>0</v>
      </c>
      <c r="AT1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Row],[data]])),((AT125*AU125)+SUMIFS(estoque[valor total],estoque[produto],preçodiario[[#Headers],[OVO VERMELHO EXTRA]],estoque[data],preçodiario[[#This Row],[data]],estoque[fornecedor],"&lt;&gt;saída"))/(AU125+(SUMIFS(estoque[quantidade],estoque[produto],preçodiario[[#Headers],[OVO VERMELHO EXTRA]],estoque[fornecedor],"&lt;&gt;saída",estoque[data],preçodiario[[#This Row],[data]])))))</f>
        <v/>
      </c>
      <c r="AU126" s="22">
        <f>IF(preçodiario[[#This Row],[entrada EV]]=0,AU125-(SUMIFS(estoque[quantidade],estoque[fornecedor],"saída",estoque[produto],preçodiario[[#Headers],[OVO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Row],[data]]))+AU125+preçodiario[[#This Row],[entrada EV]])</f>
        <v>0</v>
      </c>
      <c r="AV126" s="22">
        <f>SUMIFS(estoque[quantidade],estoque[fornecedor],"&lt;&gt;saída",estoque[produto],preçodiario[[#Headers],[OVO VERMELHO EXTRA]],estoque[data],preçodiario[[#This Row],[data]])</f>
        <v>0</v>
      </c>
      <c r="AW126" s="20">
        <f>SUMIFS(estoque[valor total],estoque[fornecedor],"&lt;&gt;saída",estoque[produto],preçodiario[[#Headers],[OVO VERMELHO EXTRA]],estoque[data],preçodiario[[#This Row],[data]])</f>
        <v>0</v>
      </c>
      <c r="AX126" s="20">
        <f>IFERROR(preçodiario[[#This Row],[OVO VERMELHO EXTRA]]*preçodiario[[#This Row],[estoque EV]],0)</f>
        <v>0</v>
      </c>
      <c r="AY1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Row],[data]])),((AY125*AZ125)+SUMIFS(estoque[valor total],estoque[produto],preçodiario[[#Headers],[OVO VERMELHO JUMBO]],estoque[data],preçodiario[[#This Row],[data]],estoque[fornecedor],"&lt;&gt;saída"))/(AZ125+(SUMIFS(estoque[quantidade],estoque[produto],preçodiario[[#Headers],[OVO VERMELHO JUMBO]],estoque[fornecedor],"&lt;&gt;saída",estoque[data],preçodiario[[#This Row],[data]])))))</f>
        <v/>
      </c>
      <c r="AZ126" s="22">
        <f>IF(preçodiario[[#This Row],[entrada JV]]=0,AZ125-(SUMIFS(estoque[quantidade],estoque[fornecedor],"saída",estoque[produto],preçodiario[[#Headers],[OVO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Row],[data]]))+AZ125+preçodiario[[#This Row],[entrada JV]])</f>
        <v>0</v>
      </c>
      <c r="BA126" s="22">
        <f>SUMIFS(estoque[quantidade],estoque[fornecedor],"&lt;&gt;saída",estoque[produto],preçodiario[[#Headers],[OVO VERMELHO JUMBO]],estoque[data],preçodiario[[#This Row],[data]])</f>
        <v>0</v>
      </c>
      <c r="BB126" s="20">
        <f>SUMIFS(estoque[valor total],estoque[fornecedor],"&lt;&gt;saída",estoque[produto],preçodiario[[#Headers],[OVO VERMELHO JUMBO]],estoque[data],preçodiario[[#This Row],[data]])</f>
        <v>0</v>
      </c>
      <c r="BC126" s="20">
        <f>IFERROR(preçodiario[[#This Row],[OVO VERMELHO JUMBO]]*preçodiario[[#This Row],[estoque JV]],0)</f>
        <v>0</v>
      </c>
      <c r="BD126" t="str">
        <f>TEXT(vendaAno[[#This Row],[data]],"mmm")</f>
        <v>mai</v>
      </c>
      <c r="BE126" t="str">
        <f>TEXT(vendaAno[[#This Row],[data]],"ddd")</f>
        <v>ter</v>
      </c>
      <c r="BF126" s="82">
        <f>WEEKNUM(vendaAno[[#This Row],[data]],13)</f>
        <v>18</v>
      </c>
      <c r="BG126" s="27">
        <f>preçodiario[[#This Row],[data]]</f>
        <v>46147</v>
      </c>
      <c r="BH1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6" s="8">
        <f>IF(SUMIFS(estoque[valor total],estoque[fornecedor],"saída",estoque[data],vendaAno[[#This Row],[data]])=0,"",SUMIFS(estoque[valor total],estoque[fornecedor],"saída",estoque[data],vendaAno[[#This Row],[data]]))</f>
        <v>638.5</v>
      </c>
      <c r="BJ12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Row],[data]]))/12+BJ125,"")</f>
        <v>31.083333333333311</v>
      </c>
      <c r="BK126" s="79">
        <f ca="1">IF(TODAY()&gt;=vendaAno[[#This Row],[data]],IF(SUMIFS(estoque[quantidade],estoque[fornecedor],"saída",estoque[data],vendaAno[[#This Row],[data]])/12=0,AVERAGE(BK123:BK125),SUMIFS(estoque[quantidade],estoque[fornecedor],"saída",estoque[data],vendaAno[[#This Row],[data]])/12),"")</f>
        <v>2.5833333333333335</v>
      </c>
      <c r="BL126" s="8">
        <f ca="1">IF(vendaAno[[#This Row],[data]]&lt;=TODAY(),IF(SUMIFS(estoque[lucro],estoque[fornecedor],"saída",estoque[data],vendaAno[[#This Row],[data]])=0,AVERAGE(BL123:BL125),SUMIFS(estoque[lucro],estoque[fornecedor],"saída",estoque[data],vendaAno[[#This Row],[data]])),"")</f>
        <v>115.67</v>
      </c>
      <c r="BM126" s="10">
        <f ca="1">IFERROR(vendaAno[[#This Row],[lucro]]/vendaAno[[#This Row],[valor de venda]],"")</f>
        <v>0.18115896632732967</v>
      </c>
      <c r="BN12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6308.6171869253885</v>
      </c>
      <c r="BO126" s="8">
        <f ca="1">IF(TODAY()&gt;=vendaAno[[#This Row],[data]],IF(vendaAno[[#This Row],[N°]]=BF125,vendaAno[[#This Row],[lucro]]-173.33+BO125,vendaAno[[#This Row],[lucro]]-150),"")</f>
        <v>-453.79000000000013</v>
      </c>
      <c r="BP126" s="81">
        <f ca="1">IF(TODAY()&gt;=vendaAno[[#This Row],[data]],SUM(BK120:BK126)*12,"")</f>
        <v>177</v>
      </c>
      <c r="BQ126" s="7">
        <f ca="1">IFERROR(vendaAno[[#This Row],[lucro]]/(vendaAno[[#This Row],[venda]]*12),"")</f>
        <v>3.7312903225806453</v>
      </c>
    </row>
    <row r="127" spans="1:69" x14ac:dyDescent="0.25">
      <c r="A1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7" s="18" t="str">
        <f>TEXT(preçodiario[[#This Row],[data]],"MMM")</f>
        <v>mai</v>
      </c>
      <c r="C127" s="18" t="str">
        <f>TEXT(preçodiario[[#This Row],[data]],"ddd")</f>
        <v>qua</v>
      </c>
      <c r="D127" s="96">
        <f>WEEKNUM(preçodiario[[#This Row],[data]],13)</f>
        <v>19</v>
      </c>
      <c r="E127" s="37">
        <v>46148</v>
      </c>
      <c r="F1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Row],[data]])),((F126*G126)+SUMIFS(estoque[valor total],estoque[produto],preçodiario[[#Headers],[OVO BRANCO A]],estoque[data],preçodiario[[#This Row],[data]],estoque[fornecedor],"&lt;&gt;saída"))/(G126+(SUMIFS(estoque[quantidade],estoque[produto],preçodiario[[#Headers],[OVO BRANCO A]],estoque[fornecedor],"&lt;&gt;saída",estoque[data],preçodiario[[#This Row],[data]])))))</f>
        <v>16.660846560846558</v>
      </c>
      <c r="G127" s="22">
        <f>IF(preçodiario[[#This Row],[entrada A]]=0,G126-(SUMIFS(estoque[quantidade],estoque[fornecedor],"saída",estoque[produto],preçodiario[[#Headers],[OVO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Row],[data]]))+G126+preçodiario[[#This Row],[entrada A]])</f>
        <v>86</v>
      </c>
      <c r="H127" s="22">
        <f>SUMIFS(estoque[quantidade],estoque[fornecedor],"&lt;&gt;saída",estoque[produto],preçodiario[[#Headers],[OVO BRANCO A]],estoque[data],preçodiario[[#This Row],[data]])</f>
        <v>0</v>
      </c>
      <c r="I127" s="20">
        <f>SUMIFS(estoque[valor total],estoque[fornecedor],"&lt;&gt;saída",estoque[produto],preçodiario[[#Headers],[OVO BRANCO A]],estoque[data],preçodiario[[#This Row],[data]])</f>
        <v>0</v>
      </c>
      <c r="J127" s="20">
        <f>IFERROR(preçodiario[[#This Row],[estoque A]]*preçodiario[[#This Row],[OVO BRANCO A]],0)</f>
        <v>1432.8328042328039</v>
      </c>
      <c r="K1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Row],[data]])),((K126*L126)+SUMIFS(estoque[valor total],estoque[produto],preçodiario[[#Headers],[OVO BRANCO B]],estoque[data],preçodiario[[#This Row],[data]],estoque[fornecedor],"&lt;&gt;saída"))/(L126+(SUMIFS(estoque[quantidade],estoque[produto],preçodiario[[#Headers],[OVO BRANCO B]],estoque[fornecedor],"&lt;&gt;saída",estoque[data],preçodiario[[#This Row],[data]])))))</f>
        <v>16.244678634081524</v>
      </c>
      <c r="L127" s="22">
        <f>IF(preçodiario[[#This Row],[entrada B]]=0,L126-(SUMIFS(estoque[quantidade],estoque[fornecedor],"saída",estoque[produto],preçodiario[[#Headers],[OVO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Row],[data]]))+L126+preçodiario[[#This Row],[entrada B]])</f>
        <v>57</v>
      </c>
      <c r="M127" s="22">
        <f>SUMIFS(estoque[quantidade],estoque[fornecedor],"&lt;&gt;saída",estoque[produto],preçodiario[[#Headers],[OVO BRANCO B]],estoque[data],preçodiario[[#This Row],[data]])</f>
        <v>0</v>
      </c>
      <c r="N127" s="20">
        <f>SUMIFS(estoque[valor total],estoque[fornecedor],"&lt;&gt;saída",estoque[produto],preçodiario[[#Headers],[OVO BRANCO B]],estoque[data],preçodiario[[#This Row],[data]])</f>
        <v>0</v>
      </c>
      <c r="O127" s="20">
        <f>IFERROR(preçodiario[[#This Row],[OVO BRANCO B]]*preçodiario[[#This Row],[estoque B]],0)</f>
        <v>925.94668214264686</v>
      </c>
      <c r="P12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Row],[data]])),((P126*Q126)+SUMIFS(estoque[valor total],estoque[produto],preçodiario[[#Headers],[OVO BRANCO C]],estoque[data],preçodiario[[#This Row],[data]],estoque[fornecedor],"&lt;&gt;saída"))/(Q126+(SUMIFS(estoque[quantidade],estoque[produto],preçodiario[[#Headers],[OVO BRANCO C]],estoque[fornecedor],"&lt;&gt;saída",estoque[data],preçodiario[[#This Row],[data]])))))</f>
        <v/>
      </c>
      <c r="Q127" s="22">
        <f>IF(preçodiario[[#This Row],[entrada C]]=0,Q126-(SUMIFS(estoque[quantidade],estoque[fornecedor],"saída",estoque[produto],preçodiario[[#Headers],[OVO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Row],[data]]))+Q126+preçodiario[[#This Row],[entrada C]])</f>
        <v>0</v>
      </c>
      <c r="R127" s="22">
        <f>SUMIFS(estoque[quantidade],estoque[fornecedor],"&lt;&gt;saída",estoque[produto],preçodiario[[#Headers],[OVO BRANCO C]],estoque[data],preçodiario[[#This Row],[data]])</f>
        <v>0</v>
      </c>
      <c r="S127" s="20">
        <f>SUMIFS(estoque[valor total],estoque[fornecedor],"&lt;&gt;saída",estoque[produto],preçodiario[[#Headers],[OVO BRANCO C]],estoque[data],preçodiario[[#This Row],[data]])</f>
        <v>0</v>
      </c>
      <c r="T127" s="20">
        <f>IFERROR(preçodiario[[#This Row],[OVO BRANCO C]]*preçodiario[[#This Row],[estoque C]],0)</f>
        <v>0</v>
      </c>
      <c r="U1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Row],[data]])),((U126*V126)+SUMIFS(estoque[valor total],estoque[produto],preçodiario[[#Headers],[OVO BRANCO EXTRA]],estoque[data],preçodiario[[#This Row],[data]],estoque[fornecedor],"&lt;&gt;saída"))/(V126+(SUMIFS(estoque[quantidade],estoque[produto],preçodiario[[#Headers],[OVO BRANCO EXTRA]],estoque[fornecedor],"&lt;&gt;saída",estoque[data],preçodiario[[#This Row],[data]])))))</f>
        <v>17.083333333333336</v>
      </c>
      <c r="V127" s="22">
        <f>IF(preçodiario[[#This Row],[entrada E]]=0,V126-(SUMIFS(estoque[quantidade],estoque[fornecedor],"saída",estoque[produto],preçodiario[[#Headers],[OVO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Row],[data]]))+V126+preçodiario[[#This Row],[entrada E]])</f>
        <v>92</v>
      </c>
      <c r="W127" s="22">
        <f>SUMIFS(estoque[quantidade],estoque[fornecedor],"&lt;&gt;saída",estoque[produto],preçodiario[[#Headers],[OVO BRANCO EXTRA]],estoque[data],preçodiario[[#This Row],[data]])</f>
        <v>0</v>
      </c>
      <c r="X127" s="20">
        <f>SUMIFS(estoque[valor total],estoque[fornecedor],"&lt;&gt;saída",estoque[produto],preçodiario[[#Headers],[OVO BRANCO EXTRA]],estoque[data],preçodiario[[#This Row],[data]])</f>
        <v>0</v>
      </c>
      <c r="Y127" s="20">
        <f>IFERROR(preçodiario[[#This Row],[estoque E]]*preçodiario[[#This Row],[OVO BRANCO EXTRA]],0)</f>
        <v>1571.666666666667</v>
      </c>
      <c r="Z1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Row],[data]])),((Z126*AA126)+SUMIFS(estoque[valor total],estoque[produto],preçodiario[[#Headers],[OVO BRANCO JUMBO]],estoque[data],preçodiario[[#This Row],[data]],estoque[fornecedor],"&lt;&gt;saída"))/(AA126+(SUMIFS(estoque[quantidade],estoque[produto],preçodiario[[#Headers],[OVO BRANCO JUMBO]],estoque[fornecedor],"&lt;&gt;saída",estoque[data],preçodiario[[#This Row],[data]])))))</f>
        <v>17.5</v>
      </c>
      <c r="AA127" s="22">
        <f>IF(preçodiario[[#This Row],[entrada J]]=0,AA126-(SUMIFS(estoque[quantidade],estoque[fornecedor],"saída",estoque[produto],preçodiario[[#Headers],[OVO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Row],[data]]))+AA126+preçodiario[[#This Row],[entrada J]])</f>
        <v>87</v>
      </c>
      <c r="AB127" s="22">
        <f>SUMIFS(estoque[quantidade],estoque[fornecedor],"&lt;&gt;saída",estoque[produto],preçodiario[[#Headers],[OVO BRANCO JUMBO]],estoque[data],preçodiario[[#This Row],[data]])</f>
        <v>0</v>
      </c>
      <c r="AC127" s="20">
        <f>SUMIFS(estoque[valor total],estoque[fornecedor],"&lt;&gt;saída",estoque[produto],preçodiario[[#Headers],[OVO BRANCO JUMBO]],estoque[data],preçodiario[[#This Row],[data]])</f>
        <v>0</v>
      </c>
      <c r="AD127" s="20">
        <f>IFERROR(preçodiario[[#This Row],[OVO BRANCO JUMBO]]*preçodiario[[#This Row],[estoque J]],0)</f>
        <v>1522.5</v>
      </c>
      <c r="AE1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Row],[data]])),((AE126*AF126)+SUMIFS(estoque[valor total],estoque[produto],preçodiario[[#Headers],[OVO VERMELHO A]],estoque[data],preçodiario[[#This Row],[data]],estoque[fornecedor],"&lt;&gt;saída"))/(AF126+(SUMIFS(estoque[quantidade],estoque[produto],preçodiario[[#Headers],[OVO VERMELHO A]],estoque[fornecedor],"&lt;&gt;saída",estoque[data],preçodiario[[#This Row],[data]])))))</f>
        <v/>
      </c>
      <c r="AF127" s="22">
        <f>IF(preçodiario[[#This Row],[entrada AV]]=0,AF126-(SUMIFS(estoque[quantidade],estoque[fornecedor],"saída",estoque[produto],preçodiario[[#Headers],[OVO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Row],[data]]))+AF126+preçodiario[[#This Row],[entrada AV]])</f>
        <v>0</v>
      </c>
      <c r="AG127" s="22">
        <f>SUMIFS(estoque[quantidade],estoque[fornecedor],"&lt;&gt;saída",estoque[produto],preçodiario[[#Headers],[OVO VERMELHO A]],estoque[data],preçodiario[[#This Row],[data]])</f>
        <v>0</v>
      </c>
      <c r="AH127" s="20">
        <f>SUMIFS(estoque[valor total],estoque[fornecedor],"&lt;&gt;saída",estoque[produto],preçodiario[[#Headers],[OVO VERMELHO A]],estoque[data],preçodiario[[#This Row],[data]])</f>
        <v>0</v>
      </c>
      <c r="AI127" s="20">
        <f>IFERROR(preçodiario[[#This Row],[OVO VERMELHO A]]*preçodiario[[#This Row],[estoque AV]],0)</f>
        <v>0</v>
      </c>
      <c r="AJ1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Row],[data]])),((AJ126*AK126)+SUMIFS(estoque[valor total],estoque[produto],preçodiario[[#Headers],[OVO VERMELHO B]],estoque[data],preçodiario[[#This Row],[data]],estoque[fornecedor],"&lt;&gt;saída"))/(AK126+(SUMIFS(estoque[quantidade],estoque[produto],preçodiario[[#Headers],[OVO VERMELHO B]],estoque[fornecedor],"&lt;&gt;saída",estoque[data],preçodiario[[#This Row],[data]])))))</f>
        <v/>
      </c>
      <c r="AK127" s="22">
        <f>IF(preçodiario[[#This Row],[entrada BV]]=0,AK126-(SUMIFS(estoque[quantidade],estoque[fornecedor],"saída",estoque[produto],preçodiario[[#Headers],[OVO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Row],[data]]))+AK126+preçodiario[[#This Row],[entrada BV]])</f>
        <v>0</v>
      </c>
      <c r="AL127" s="22">
        <f>SUMIFS(estoque[quantidade],estoque[fornecedor],"&lt;&gt;saída",estoque[produto],preçodiario[[#Headers],[OVO VERMELHO B]],estoque[data],preçodiario[[#This Row],[data]])</f>
        <v>0</v>
      </c>
      <c r="AM127" s="20">
        <f>SUMIFS(estoque[valor total],estoque[fornecedor],"&lt;&gt;saída",estoque[produto],preçodiario[[#Headers],[OVO VERMELHO B]],estoque[data],preçodiario[[#This Row],[data]])</f>
        <v>0</v>
      </c>
      <c r="AN127" s="20">
        <f>IFERROR(preçodiario[[#This Row],[OVO VERMELHO B]]*preçodiario[[#This Row],[estoque BV]],0)</f>
        <v>0</v>
      </c>
      <c r="AO1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Row],[data]])),((AO126*AP126)+SUMIFS(estoque[valor total],estoque[produto],preçodiario[[#Headers],[OVO VERMELHO C]],estoque[data],preçodiario[[#This Row],[data]],estoque[fornecedor],"&lt;&gt;saída"))/(AP126+(SUMIFS(estoque[quantidade],estoque[produto],preçodiario[[#Headers],[OVO VERMELHO C]],estoque[fornecedor],"&lt;&gt;saída",estoque[data],preçodiario[[#This Row],[data]])))))</f>
        <v/>
      </c>
      <c r="AP127" s="22">
        <f>IF(preçodiario[[#This Row],[entrada CV]]=0,AP126-(SUMIFS(estoque[quantidade],estoque[fornecedor],"saída",estoque[produto],preçodiario[[#Headers],[OVO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Row],[data]]))+AP126+preçodiario[[#This Row],[entrada CV]])</f>
        <v>0</v>
      </c>
      <c r="AQ127" s="22">
        <f>SUMIFS(estoque[quantidade],estoque[fornecedor],"&lt;&gt;saída",estoque[produto],preçodiario[[#Headers],[OVO VERMELHO C]],estoque[data],preçodiario[[#This Row],[data]])</f>
        <v>0</v>
      </c>
      <c r="AR127" s="20">
        <f>SUMIFS(estoque[valor total],estoque[fornecedor],"&lt;&gt;saída",estoque[produto],preçodiario[[#Headers],[OVO VERMELHO C]],estoque[data],preçodiario[[#This Row],[data]])</f>
        <v>0</v>
      </c>
      <c r="AS127" s="20">
        <f>IFERROR(preçodiario[[#This Row],[OVO VERMELHO C]]*preçodiario[[#This Row],[estoque CV]],0)</f>
        <v>0</v>
      </c>
      <c r="AT1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Row],[data]])),((AT126*AU126)+SUMIFS(estoque[valor total],estoque[produto],preçodiario[[#Headers],[OVO VERMELHO EXTRA]],estoque[data],preçodiario[[#This Row],[data]],estoque[fornecedor],"&lt;&gt;saída"))/(AU126+(SUMIFS(estoque[quantidade],estoque[produto],preçodiario[[#Headers],[OVO VERMELHO EXTRA]],estoque[fornecedor],"&lt;&gt;saída",estoque[data],preçodiario[[#This Row],[data]])))))</f>
        <v/>
      </c>
      <c r="AU127" s="22">
        <f>IF(preçodiario[[#This Row],[entrada EV]]=0,AU126-(SUMIFS(estoque[quantidade],estoque[fornecedor],"saída",estoque[produto],preçodiario[[#Headers],[OVO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Row],[data]]))+AU126+preçodiario[[#This Row],[entrada EV]])</f>
        <v>0</v>
      </c>
      <c r="AV127" s="22">
        <f>SUMIFS(estoque[quantidade],estoque[fornecedor],"&lt;&gt;saída",estoque[produto],preçodiario[[#Headers],[OVO VERMELHO EXTRA]],estoque[data],preçodiario[[#This Row],[data]])</f>
        <v>0</v>
      </c>
      <c r="AW127" s="20">
        <f>SUMIFS(estoque[valor total],estoque[fornecedor],"&lt;&gt;saída",estoque[produto],preçodiario[[#Headers],[OVO VERMELHO EXTRA]],estoque[data],preçodiario[[#This Row],[data]])</f>
        <v>0</v>
      </c>
      <c r="AX127" s="20">
        <f>IFERROR(preçodiario[[#This Row],[OVO VERMELHO EXTRA]]*preçodiario[[#This Row],[estoque EV]],0)</f>
        <v>0</v>
      </c>
      <c r="AY1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Row],[data]])),((AY126*AZ126)+SUMIFS(estoque[valor total],estoque[produto],preçodiario[[#Headers],[OVO VERMELHO JUMBO]],estoque[data],preçodiario[[#This Row],[data]],estoque[fornecedor],"&lt;&gt;saída"))/(AZ126+(SUMIFS(estoque[quantidade],estoque[produto],preçodiario[[#Headers],[OVO VERMELHO JUMBO]],estoque[fornecedor],"&lt;&gt;saída",estoque[data],preçodiario[[#This Row],[data]])))))</f>
        <v/>
      </c>
      <c r="AZ127" s="22">
        <f>IF(preçodiario[[#This Row],[entrada JV]]=0,AZ126-(SUMIFS(estoque[quantidade],estoque[fornecedor],"saída",estoque[produto],preçodiario[[#Headers],[OVO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Row],[data]]))+AZ126+preçodiario[[#This Row],[entrada JV]])</f>
        <v>0</v>
      </c>
      <c r="BA127" s="22">
        <f>SUMIFS(estoque[quantidade],estoque[fornecedor],"&lt;&gt;saída",estoque[produto],preçodiario[[#Headers],[OVO VERMELHO JUMBO]],estoque[data],preçodiario[[#This Row],[data]])</f>
        <v>0</v>
      </c>
      <c r="BB127" s="20">
        <f>SUMIFS(estoque[valor total],estoque[fornecedor],"&lt;&gt;saída",estoque[produto],preçodiario[[#Headers],[OVO VERMELHO JUMBO]],estoque[data],preçodiario[[#This Row],[data]])</f>
        <v>0</v>
      </c>
      <c r="BC127" s="20">
        <f>IFERROR(preçodiario[[#This Row],[OVO VERMELHO JUMBO]]*preçodiario[[#This Row],[estoque JV]],0)</f>
        <v>0</v>
      </c>
      <c r="BD127" t="str">
        <f>TEXT(vendaAno[[#This Row],[data]],"mmm")</f>
        <v>mai</v>
      </c>
      <c r="BE127" t="str">
        <f>TEXT(vendaAno[[#This Row],[data]],"ddd")</f>
        <v>qua</v>
      </c>
      <c r="BF127" s="82">
        <f>WEEKNUM(vendaAno[[#This Row],[data]],13)</f>
        <v>19</v>
      </c>
      <c r="BG127" s="27">
        <f>preçodiario[[#This Row],[data]]</f>
        <v>46148</v>
      </c>
      <c r="BH1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7" s="8">
        <f>IF(SUMIFS(estoque[valor total],estoque[fornecedor],"saída",estoque[data],vendaAno[[#This Row],[data]])=0,"",SUMIFS(estoque[valor total],estoque[fornecedor],"saída",estoque[data],vendaAno[[#This Row],[data]]))</f>
        <v>1078</v>
      </c>
      <c r="BJ12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Row],[data]]))/12+BJ126,"")</f>
        <v>26.833333333333311</v>
      </c>
      <c r="BK127" s="79">
        <f ca="1">IF(TODAY()&gt;=vendaAno[[#This Row],[data]],IF(SUMIFS(estoque[quantidade],estoque[fornecedor],"saída",estoque[data],vendaAno[[#This Row],[data]])/12=0,AVERAGE(BK124:BK126),SUMIFS(estoque[quantidade],estoque[fornecedor],"saída",estoque[data],vendaAno[[#This Row],[data]])/12),"")</f>
        <v>4.25</v>
      </c>
      <c r="BL127" s="8">
        <f ca="1">IF(vendaAno[[#This Row],[data]]&lt;=TODAY(),IF(SUMIFS(estoque[lucro],estoque[fornecedor],"saída",estoque[data],vendaAno[[#This Row],[data]])=0,AVERAGE(BL124:BL126),SUMIFS(estoque[lucro],estoque[fornecedor],"saída",estoque[data],vendaAno[[#This Row],[data]])),"")</f>
        <v>222.33</v>
      </c>
      <c r="BM127" s="10">
        <f ca="1">IFERROR(vendaAno[[#This Row],[lucro]]/vendaAno[[#This Row],[valor de venda]],"")</f>
        <v>0.20624304267161411</v>
      </c>
      <c r="BN12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5452.9461530421177</v>
      </c>
      <c r="BO127" s="8">
        <f ca="1">IF(TODAY()&gt;=vendaAno[[#This Row],[data]],IF(vendaAno[[#This Row],[N°]]=BF126,vendaAno[[#This Row],[lucro]]-173.33+BO126,vendaAno[[#This Row],[lucro]]-150),"")</f>
        <v>72.330000000000013</v>
      </c>
      <c r="BP127" s="81">
        <f ca="1">IF(TODAY()&gt;=vendaAno[[#This Row],[data]],SUM(BK121:BK127)*12,"")</f>
        <v>201</v>
      </c>
      <c r="BQ127" s="7">
        <f ca="1">IFERROR(vendaAno[[#This Row],[lucro]]/(vendaAno[[#This Row],[venda]]*12),"")</f>
        <v>4.3594117647058823</v>
      </c>
    </row>
    <row r="128" spans="1:69" x14ac:dyDescent="0.25">
      <c r="A1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8" s="18" t="str">
        <f>TEXT(preçodiario[[#This Row],[data]],"MMM")</f>
        <v>mai</v>
      </c>
      <c r="C128" s="18" t="str">
        <f>TEXT(preçodiario[[#This Row],[data]],"ddd")</f>
        <v>qui</v>
      </c>
      <c r="D128" s="96">
        <f>WEEKNUM(preçodiario[[#This Row],[data]],13)</f>
        <v>19</v>
      </c>
      <c r="E128" s="37">
        <v>46149</v>
      </c>
      <c r="F1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Row],[data]])),((F127*G127)+SUMIFS(estoque[valor total],estoque[produto],preçodiario[[#Headers],[OVO BRANCO A]],estoque[data],preçodiario[[#This Row],[data]],estoque[fornecedor],"&lt;&gt;saída"))/(G127+(SUMIFS(estoque[quantidade],estoque[produto],preçodiario[[#Headers],[OVO BRANCO A]],estoque[fornecedor],"&lt;&gt;saída",estoque[data],preçodiario[[#This Row],[data]])))))</f>
        <v>16.660846560846558</v>
      </c>
      <c r="G128" s="22">
        <f>IF(preçodiario[[#This Row],[entrada A]]=0,G127-(SUMIFS(estoque[quantidade],estoque[fornecedor],"saída",estoque[produto],preçodiario[[#Headers],[OVO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Row],[data]]))+G127+preçodiario[[#This Row],[entrada A]])</f>
        <v>84</v>
      </c>
      <c r="H128" s="22">
        <f>SUMIFS(estoque[quantidade],estoque[fornecedor],"&lt;&gt;saída",estoque[produto],preçodiario[[#Headers],[OVO BRANCO A]],estoque[data],preçodiario[[#This Row],[data]])</f>
        <v>0</v>
      </c>
      <c r="I128" s="20">
        <f>SUMIFS(estoque[valor total],estoque[fornecedor],"&lt;&gt;saída",estoque[produto],preçodiario[[#Headers],[OVO BRANCO A]],estoque[data],preçodiario[[#This Row],[data]])</f>
        <v>0</v>
      </c>
      <c r="J128" s="20">
        <f>IFERROR(preçodiario[[#This Row],[estoque A]]*preçodiario[[#This Row],[OVO BRANCO A]],0)</f>
        <v>1399.5111111111109</v>
      </c>
      <c r="K1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Row],[data]])),((K127*L127)+SUMIFS(estoque[valor total],estoque[produto],preçodiario[[#Headers],[OVO BRANCO B]],estoque[data],preçodiario[[#This Row],[data]],estoque[fornecedor],"&lt;&gt;saída"))/(L127+(SUMIFS(estoque[quantidade],estoque[produto],preçodiario[[#Headers],[OVO BRANCO B]],estoque[fornecedor],"&lt;&gt;saída",estoque[data],preçodiario[[#This Row],[data]])))))</f>
        <v>16.244678634081524</v>
      </c>
      <c r="L128" s="22">
        <f>IF(preçodiario[[#This Row],[entrada B]]=0,L127-(SUMIFS(estoque[quantidade],estoque[fornecedor],"saída",estoque[produto],preçodiario[[#Headers],[OVO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Row],[data]]))+L127+preçodiario[[#This Row],[entrada B]])</f>
        <v>46</v>
      </c>
      <c r="M128" s="22">
        <f>SUMIFS(estoque[quantidade],estoque[fornecedor],"&lt;&gt;saída",estoque[produto],preçodiario[[#Headers],[OVO BRANCO B]],estoque[data],preçodiario[[#This Row],[data]])</f>
        <v>0</v>
      </c>
      <c r="N128" s="20">
        <f>SUMIFS(estoque[valor total],estoque[fornecedor],"&lt;&gt;saída",estoque[produto],preçodiario[[#Headers],[OVO BRANCO B]],estoque[data],preçodiario[[#This Row],[data]])</f>
        <v>0</v>
      </c>
      <c r="O128" s="20">
        <f>IFERROR(preçodiario[[#This Row],[OVO BRANCO B]]*preçodiario[[#This Row],[estoque B]],0)</f>
        <v>747.25521716775006</v>
      </c>
      <c r="P12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Row],[data]])),((P127*Q127)+SUMIFS(estoque[valor total],estoque[produto],preçodiario[[#Headers],[OVO BRANCO C]],estoque[data],preçodiario[[#This Row],[data]],estoque[fornecedor],"&lt;&gt;saída"))/(Q127+(SUMIFS(estoque[quantidade],estoque[produto],preçodiario[[#Headers],[OVO BRANCO C]],estoque[fornecedor],"&lt;&gt;saída",estoque[data],preçodiario[[#This Row],[data]])))))</f>
        <v/>
      </c>
      <c r="Q128" s="22">
        <f>IF(preçodiario[[#This Row],[entrada C]]=0,Q127-(SUMIFS(estoque[quantidade],estoque[fornecedor],"saída",estoque[produto],preçodiario[[#Headers],[OVO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Row],[data]]))+Q127+preçodiario[[#This Row],[entrada C]])</f>
        <v>0</v>
      </c>
      <c r="R128" s="22">
        <f>SUMIFS(estoque[quantidade],estoque[fornecedor],"&lt;&gt;saída",estoque[produto],preçodiario[[#Headers],[OVO BRANCO C]],estoque[data],preçodiario[[#This Row],[data]])</f>
        <v>0</v>
      </c>
      <c r="S128" s="20">
        <f>SUMIFS(estoque[valor total],estoque[fornecedor],"&lt;&gt;saída",estoque[produto],preçodiario[[#Headers],[OVO BRANCO C]],estoque[data],preçodiario[[#This Row],[data]])</f>
        <v>0</v>
      </c>
      <c r="T128" s="20">
        <f>IFERROR(preçodiario[[#This Row],[OVO BRANCO C]]*preçodiario[[#This Row],[estoque C]],0)</f>
        <v>0</v>
      </c>
      <c r="U1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Row],[data]])),((U127*V127)+SUMIFS(estoque[valor total],estoque[produto],preçodiario[[#Headers],[OVO BRANCO EXTRA]],estoque[data],preçodiario[[#This Row],[data]],estoque[fornecedor],"&lt;&gt;saída"))/(V127+(SUMIFS(estoque[quantidade],estoque[produto],preçodiario[[#Headers],[OVO BRANCO EXTRA]],estoque[fornecedor],"&lt;&gt;saída",estoque[data],preçodiario[[#This Row],[data]])))))</f>
        <v>17.083333333333336</v>
      </c>
      <c r="V128" s="22">
        <f>IF(preçodiario[[#This Row],[entrada E]]=0,V127-(SUMIFS(estoque[quantidade],estoque[fornecedor],"saída",estoque[produto],preçodiario[[#Headers],[OVO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Row],[data]]))+V127+preçodiario[[#This Row],[entrada E]])</f>
        <v>80</v>
      </c>
      <c r="W128" s="22">
        <f>SUMIFS(estoque[quantidade],estoque[fornecedor],"&lt;&gt;saída",estoque[produto],preçodiario[[#Headers],[OVO BRANCO EXTRA]],estoque[data],preçodiario[[#This Row],[data]])</f>
        <v>0</v>
      </c>
      <c r="X128" s="20">
        <f>SUMIFS(estoque[valor total],estoque[fornecedor],"&lt;&gt;saída",estoque[produto],preçodiario[[#Headers],[OVO BRANCO EXTRA]],estoque[data],preçodiario[[#This Row],[data]])</f>
        <v>0</v>
      </c>
      <c r="Y128" s="20">
        <f>IFERROR(preçodiario[[#This Row],[estoque E]]*preçodiario[[#This Row],[OVO BRANCO EXTRA]],0)</f>
        <v>1366.666666666667</v>
      </c>
      <c r="Z1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Row],[data]])),((Z127*AA127)+SUMIFS(estoque[valor total],estoque[produto],preçodiario[[#Headers],[OVO BRANCO JUMBO]],estoque[data],preçodiario[[#This Row],[data]],estoque[fornecedor],"&lt;&gt;saída"))/(AA127+(SUMIFS(estoque[quantidade],estoque[produto],preçodiario[[#Headers],[OVO BRANCO JUMBO]],estoque[fornecedor],"&lt;&gt;saída",estoque[data],preçodiario[[#This Row],[data]])))))</f>
        <v>17.5</v>
      </c>
      <c r="AA128" s="22">
        <f>IF(preçodiario[[#This Row],[entrada J]]=0,AA127-(SUMIFS(estoque[quantidade],estoque[fornecedor],"saída",estoque[produto],preçodiario[[#Headers],[OVO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Row],[data]]))+AA127+preçodiario[[#This Row],[entrada J]])</f>
        <v>81</v>
      </c>
      <c r="AB128" s="22">
        <f>SUMIFS(estoque[quantidade],estoque[fornecedor],"&lt;&gt;saída",estoque[produto],preçodiario[[#Headers],[OVO BRANCO JUMBO]],estoque[data],preçodiario[[#This Row],[data]])</f>
        <v>0</v>
      </c>
      <c r="AC128" s="20">
        <f>SUMIFS(estoque[valor total],estoque[fornecedor],"&lt;&gt;saída",estoque[produto],preçodiario[[#Headers],[OVO BRANCO JUMBO]],estoque[data],preçodiario[[#This Row],[data]])</f>
        <v>0</v>
      </c>
      <c r="AD128" s="20">
        <f>IFERROR(preçodiario[[#This Row],[OVO BRANCO JUMBO]]*preçodiario[[#This Row],[estoque J]],0)</f>
        <v>1417.5</v>
      </c>
      <c r="AE1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Row],[data]])),((AE127*AF127)+SUMIFS(estoque[valor total],estoque[produto],preçodiario[[#Headers],[OVO VERMELHO A]],estoque[data],preçodiario[[#This Row],[data]],estoque[fornecedor],"&lt;&gt;saída"))/(AF127+(SUMIFS(estoque[quantidade],estoque[produto],preçodiario[[#Headers],[OVO VERMELHO A]],estoque[fornecedor],"&lt;&gt;saída",estoque[data],preçodiario[[#This Row],[data]])))))</f>
        <v/>
      </c>
      <c r="AF128" s="22">
        <f>IF(preçodiario[[#This Row],[entrada AV]]=0,AF127-(SUMIFS(estoque[quantidade],estoque[fornecedor],"saída",estoque[produto],preçodiario[[#Headers],[OVO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Row],[data]]))+AF127+preçodiario[[#This Row],[entrada AV]])</f>
        <v>0</v>
      </c>
      <c r="AG128" s="22">
        <f>SUMIFS(estoque[quantidade],estoque[fornecedor],"&lt;&gt;saída",estoque[produto],preçodiario[[#Headers],[OVO VERMELHO A]],estoque[data],preçodiario[[#This Row],[data]])</f>
        <v>0</v>
      </c>
      <c r="AH128" s="20">
        <f>SUMIFS(estoque[valor total],estoque[fornecedor],"&lt;&gt;saída",estoque[produto],preçodiario[[#Headers],[OVO VERMELHO A]],estoque[data],preçodiario[[#This Row],[data]])</f>
        <v>0</v>
      </c>
      <c r="AI128" s="20">
        <f>IFERROR(preçodiario[[#This Row],[OVO VERMELHO A]]*preçodiario[[#This Row],[estoque AV]],0)</f>
        <v>0</v>
      </c>
      <c r="AJ1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Row],[data]])),((AJ127*AK127)+SUMIFS(estoque[valor total],estoque[produto],preçodiario[[#Headers],[OVO VERMELHO B]],estoque[data],preçodiario[[#This Row],[data]],estoque[fornecedor],"&lt;&gt;saída"))/(AK127+(SUMIFS(estoque[quantidade],estoque[produto],preçodiario[[#Headers],[OVO VERMELHO B]],estoque[fornecedor],"&lt;&gt;saída",estoque[data],preçodiario[[#This Row],[data]])))))</f>
        <v/>
      </c>
      <c r="AK128" s="22">
        <f>IF(preçodiario[[#This Row],[entrada BV]]=0,AK127-(SUMIFS(estoque[quantidade],estoque[fornecedor],"saída",estoque[produto],preçodiario[[#Headers],[OVO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Row],[data]]))+AK127+preçodiario[[#This Row],[entrada BV]])</f>
        <v>0</v>
      </c>
      <c r="AL128" s="22">
        <f>SUMIFS(estoque[quantidade],estoque[fornecedor],"&lt;&gt;saída",estoque[produto],preçodiario[[#Headers],[OVO VERMELHO B]],estoque[data],preçodiario[[#This Row],[data]])</f>
        <v>0</v>
      </c>
      <c r="AM128" s="20">
        <f>SUMIFS(estoque[valor total],estoque[fornecedor],"&lt;&gt;saída",estoque[produto],preçodiario[[#Headers],[OVO VERMELHO B]],estoque[data],preçodiario[[#This Row],[data]])</f>
        <v>0</v>
      </c>
      <c r="AN128" s="20">
        <f>IFERROR(preçodiario[[#This Row],[OVO VERMELHO B]]*preçodiario[[#This Row],[estoque BV]],0)</f>
        <v>0</v>
      </c>
      <c r="AO1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Row],[data]])),((AO127*AP127)+SUMIFS(estoque[valor total],estoque[produto],preçodiario[[#Headers],[OVO VERMELHO C]],estoque[data],preçodiario[[#This Row],[data]],estoque[fornecedor],"&lt;&gt;saída"))/(AP127+(SUMIFS(estoque[quantidade],estoque[produto],preçodiario[[#Headers],[OVO VERMELHO C]],estoque[fornecedor],"&lt;&gt;saída",estoque[data],preçodiario[[#This Row],[data]])))))</f>
        <v/>
      </c>
      <c r="AP128" s="22">
        <f>IF(preçodiario[[#This Row],[entrada CV]]=0,AP127-(SUMIFS(estoque[quantidade],estoque[fornecedor],"saída",estoque[produto],preçodiario[[#Headers],[OVO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Row],[data]]))+AP127+preçodiario[[#This Row],[entrada CV]])</f>
        <v>0</v>
      </c>
      <c r="AQ128" s="22">
        <f>SUMIFS(estoque[quantidade],estoque[fornecedor],"&lt;&gt;saída",estoque[produto],preçodiario[[#Headers],[OVO VERMELHO C]],estoque[data],preçodiario[[#This Row],[data]])</f>
        <v>0</v>
      </c>
      <c r="AR128" s="20">
        <f>SUMIFS(estoque[valor total],estoque[fornecedor],"&lt;&gt;saída",estoque[produto],preçodiario[[#Headers],[OVO VERMELHO C]],estoque[data],preçodiario[[#This Row],[data]])</f>
        <v>0</v>
      </c>
      <c r="AS128" s="20">
        <f>IFERROR(preçodiario[[#This Row],[OVO VERMELHO C]]*preçodiario[[#This Row],[estoque CV]],0)</f>
        <v>0</v>
      </c>
      <c r="AT1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Row],[data]])),((AT127*AU127)+SUMIFS(estoque[valor total],estoque[produto],preçodiario[[#Headers],[OVO VERMELHO EXTRA]],estoque[data],preçodiario[[#This Row],[data]],estoque[fornecedor],"&lt;&gt;saída"))/(AU127+(SUMIFS(estoque[quantidade],estoque[produto],preçodiario[[#Headers],[OVO VERMELHO EXTRA]],estoque[fornecedor],"&lt;&gt;saída",estoque[data],preçodiario[[#This Row],[data]])))))</f>
        <v/>
      </c>
      <c r="AU128" s="22">
        <f>IF(preçodiario[[#This Row],[entrada EV]]=0,AU127-(SUMIFS(estoque[quantidade],estoque[fornecedor],"saída",estoque[produto],preçodiario[[#Headers],[OVO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Row],[data]]))+AU127+preçodiario[[#This Row],[entrada EV]])</f>
        <v>0</v>
      </c>
      <c r="AV128" s="22">
        <f>SUMIFS(estoque[quantidade],estoque[fornecedor],"&lt;&gt;saída",estoque[produto],preçodiario[[#Headers],[OVO VERMELHO EXTRA]],estoque[data],preçodiario[[#This Row],[data]])</f>
        <v>0</v>
      </c>
      <c r="AW128" s="20">
        <f>SUMIFS(estoque[valor total],estoque[fornecedor],"&lt;&gt;saída",estoque[produto],preçodiario[[#Headers],[OVO VERMELHO EXTRA]],estoque[data],preçodiario[[#This Row],[data]])</f>
        <v>0</v>
      </c>
      <c r="AX128" s="20">
        <f>IFERROR(preçodiario[[#This Row],[OVO VERMELHO EXTRA]]*preçodiario[[#This Row],[estoque EV]],0)</f>
        <v>0</v>
      </c>
      <c r="AY1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Row],[data]])),((AY127*AZ127)+SUMIFS(estoque[valor total],estoque[produto],preçodiario[[#Headers],[OVO VERMELHO JUMBO]],estoque[data],preçodiario[[#This Row],[data]],estoque[fornecedor],"&lt;&gt;saída"))/(AZ127+(SUMIFS(estoque[quantidade],estoque[produto],preçodiario[[#Headers],[OVO VERMELHO JUMBO]],estoque[fornecedor],"&lt;&gt;saída",estoque[data],preçodiario[[#This Row],[data]])))))</f>
        <v/>
      </c>
      <c r="AZ128" s="22">
        <f>IF(preçodiario[[#This Row],[entrada JV]]=0,AZ127-(SUMIFS(estoque[quantidade],estoque[fornecedor],"saída",estoque[produto],preçodiario[[#Headers],[OVO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Row],[data]]))+AZ127+preçodiario[[#This Row],[entrada JV]])</f>
        <v>0</v>
      </c>
      <c r="BA128" s="22">
        <f>SUMIFS(estoque[quantidade],estoque[fornecedor],"&lt;&gt;saída",estoque[produto],preçodiario[[#Headers],[OVO VERMELHO JUMBO]],estoque[data],preçodiario[[#This Row],[data]])</f>
        <v>0</v>
      </c>
      <c r="BB128" s="20">
        <f>SUMIFS(estoque[valor total],estoque[fornecedor],"&lt;&gt;saída",estoque[produto],preçodiario[[#Headers],[OVO VERMELHO JUMBO]],estoque[data],preçodiario[[#This Row],[data]])</f>
        <v>0</v>
      </c>
      <c r="BC128" s="20">
        <f>IFERROR(preçodiario[[#This Row],[OVO VERMELHO JUMBO]]*preçodiario[[#This Row],[estoque JV]],0)</f>
        <v>0</v>
      </c>
      <c r="BD128" t="str">
        <f>TEXT(vendaAno[[#This Row],[data]],"mmm")</f>
        <v>mai</v>
      </c>
      <c r="BE128" t="str">
        <f>TEXT(vendaAno[[#This Row],[data]],"ddd")</f>
        <v>qui</v>
      </c>
      <c r="BF128" s="82">
        <f>WEEKNUM(vendaAno[[#This Row],[data]],13)</f>
        <v>19</v>
      </c>
      <c r="BG128" s="27">
        <f>preçodiario[[#This Row],[data]]</f>
        <v>46149</v>
      </c>
      <c r="BH1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8" s="8">
        <f>IF(SUMIFS(estoque[valor total],estoque[fornecedor],"saída",estoque[data],vendaAno[[#This Row],[data]])=0,"",SUMIFS(estoque[valor total],estoque[fornecedor],"saída",estoque[data],vendaAno[[#This Row],[data]]))</f>
        <v>670</v>
      </c>
      <c r="BJ12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Row],[data]]))/12+BJ127,"")</f>
        <v>24.249999999999979</v>
      </c>
      <c r="BK128" s="79">
        <f ca="1">IF(TODAY()&gt;=vendaAno[[#This Row],[data]],IF(SUMIFS(estoque[quantidade],estoque[fornecedor],"saída",estoque[data],vendaAno[[#This Row],[data]])/12=0,AVERAGE(BK125:BK127),SUMIFS(estoque[quantidade],estoque[fornecedor],"saída",estoque[data],vendaAno[[#This Row],[data]])/12),"")</f>
        <v>2.5833333333333335</v>
      </c>
      <c r="BL128" s="8">
        <f ca="1">IF(vendaAno[[#This Row],[data]]&lt;=TODAY(),IF(SUMIFS(estoque[lucro],estoque[fornecedor],"saída",estoque[data],vendaAno[[#This Row],[data]])=0,AVERAGE(BL125:BL127),SUMIFS(estoque[lucro],estoque[fornecedor],"saída",estoque[data],vendaAno[[#This Row],[data]])),"")</f>
        <v>147.99</v>
      </c>
      <c r="BM128" s="10">
        <f ca="1">IFERROR(vendaAno[[#This Row],[lucro]]/vendaAno[[#This Row],[valor de venda]],"")</f>
        <v>0.22088059701492538</v>
      </c>
      <c r="BN12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4930.9329949455278</v>
      </c>
      <c r="BO128" s="8">
        <f ca="1">IF(TODAY()&gt;=vendaAno[[#This Row],[data]],IF(vendaAno[[#This Row],[N°]]=BF127,vendaAno[[#This Row],[lucro]]-173.33+BO127,vendaAno[[#This Row],[lucro]]-150),"")</f>
        <v>46.990000000000009</v>
      </c>
      <c r="BP128" s="81">
        <f ca="1">IF(TODAY()&gt;=vendaAno[[#This Row],[data]],SUM(BK122:BK128)*12,"")</f>
        <v>208</v>
      </c>
      <c r="BQ128" s="7">
        <f ca="1">IFERROR(vendaAno[[#This Row],[lucro]]/(vendaAno[[#This Row],[venda]]*12),"")</f>
        <v>4.773870967741936</v>
      </c>
    </row>
    <row r="129" spans="1:69" x14ac:dyDescent="0.25">
      <c r="A1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29" s="18" t="str">
        <f>TEXT(preçodiario[[#This Row],[data]],"MMM")</f>
        <v>mai</v>
      </c>
      <c r="C129" s="18" t="str">
        <f>TEXT(preçodiario[[#This Row],[data]],"ddd")</f>
        <v>sex</v>
      </c>
      <c r="D129" s="96">
        <f>WEEKNUM(preçodiario[[#This Row],[data]],13)</f>
        <v>19</v>
      </c>
      <c r="E129" s="37">
        <v>46150</v>
      </c>
      <c r="F1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Row],[data]])),((F128*G128)+SUMIFS(estoque[valor total],estoque[produto],preçodiario[[#Headers],[OVO BRANCO A]],estoque[data],preçodiario[[#This Row],[data]],estoque[fornecedor],"&lt;&gt;saída"))/(G128+(SUMIFS(estoque[quantidade],estoque[produto],preçodiario[[#Headers],[OVO BRANCO A]],estoque[fornecedor],"&lt;&gt;saída",estoque[data],preçodiario[[#This Row],[data]])))))</f>
        <v>16.660846560846558</v>
      </c>
      <c r="G129" s="22">
        <f>IF(preçodiario[[#This Row],[entrada A]]=0,G128-(SUMIFS(estoque[quantidade],estoque[fornecedor],"saída",estoque[produto],preçodiario[[#Headers],[OVO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Row],[data]]))+G128+preçodiario[[#This Row],[entrada A]])</f>
        <v>83</v>
      </c>
      <c r="H129" s="22">
        <f>SUMIFS(estoque[quantidade],estoque[fornecedor],"&lt;&gt;saída",estoque[produto],preçodiario[[#Headers],[OVO BRANCO A]],estoque[data],preçodiario[[#This Row],[data]])</f>
        <v>0</v>
      </c>
      <c r="I129" s="20">
        <f>SUMIFS(estoque[valor total],estoque[fornecedor],"&lt;&gt;saída",estoque[produto],preçodiario[[#Headers],[OVO BRANCO A]],estoque[data],preçodiario[[#This Row],[data]])</f>
        <v>0</v>
      </c>
      <c r="J129" s="20">
        <f>IFERROR(preçodiario[[#This Row],[estoque A]]*preçodiario[[#This Row],[OVO BRANCO A]],0)</f>
        <v>1382.8502645502642</v>
      </c>
      <c r="K1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Row],[data]])),((K128*L128)+SUMIFS(estoque[valor total],estoque[produto],preçodiario[[#Headers],[OVO BRANCO B]],estoque[data],preçodiario[[#This Row],[data]],estoque[fornecedor],"&lt;&gt;saída"))/(L128+(SUMIFS(estoque[quantidade],estoque[produto],preçodiario[[#Headers],[OVO BRANCO B]],estoque[fornecedor],"&lt;&gt;saída",estoque[data],preçodiario[[#This Row],[data]])))))</f>
        <v>16.244678634081524</v>
      </c>
      <c r="L129" s="22">
        <f>IF(preçodiario[[#This Row],[entrada B]]=0,L128-(SUMIFS(estoque[quantidade],estoque[fornecedor],"saída",estoque[produto],preçodiario[[#Headers],[OVO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Row],[data]]))+L128+preçodiario[[#This Row],[entrada B]])</f>
        <v>30</v>
      </c>
      <c r="M129" s="22">
        <f>SUMIFS(estoque[quantidade],estoque[fornecedor],"&lt;&gt;saída",estoque[produto],preçodiario[[#Headers],[OVO BRANCO B]],estoque[data],preçodiario[[#This Row],[data]])</f>
        <v>0</v>
      </c>
      <c r="N129" s="20">
        <f>SUMIFS(estoque[valor total],estoque[fornecedor],"&lt;&gt;saída",estoque[produto],preçodiario[[#Headers],[OVO BRANCO B]],estoque[data],preçodiario[[#This Row],[data]])</f>
        <v>0</v>
      </c>
      <c r="O129" s="20">
        <f>IFERROR(preçodiario[[#This Row],[OVO BRANCO B]]*preçodiario[[#This Row],[estoque B]],0)</f>
        <v>487.34035902244568</v>
      </c>
      <c r="P12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Row],[data]])),((P128*Q128)+SUMIFS(estoque[valor total],estoque[produto],preçodiario[[#Headers],[OVO BRANCO C]],estoque[data],preçodiario[[#This Row],[data]],estoque[fornecedor],"&lt;&gt;saída"))/(Q128+(SUMIFS(estoque[quantidade],estoque[produto],preçodiario[[#Headers],[OVO BRANCO C]],estoque[fornecedor],"&lt;&gt;saída",estoque[data],preçodiario[[#This Row],[data]])))))</f>
        <v/>
      </c>
      <c r="Q129" s="22">
        <f>IF(preçodiario[[#This Row],[entrada C]]=0,Q128-(SUMIFS(estoque[quantidade],estoque[fornecedor],"saída",estoque[produto],preçodiario[[#Headers],[OVO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Row],[data]]))+Q128+preçodiario[[#This Row],[entrada C]])</f>
        <v>0</v>
      </c>
      <c r="R129" s="22">
        <f>SUMIFS(estoque[quantidade],estoque[fornecedor],"&lt;&gt;saída",estoque[produto],preçodiario[[#Headers],[OVO BRANCO C]],estoque[data],preçodiario[[#This Row],[data]])</f>
        <v>0</v>
      </c>
      <c r="S129" s="20">
        <f>SUMIFS(estoque[valor total],estoque[fornecedor],"&lt;&gt;saída",estoque[produto],preçodiario[[#Headers],[OVO BRANCO C]],estoque[data],preçodiario[[#This Row],[data]])</f>
        <v>0</v>
      </c>
      <c r="T129" s="20">
        <f>IFERROR(preçodiario[[#This Row],[OVO BRANCO C]]*preçodiario[[#This Row],[estoque C]],0)</f>
        <v>0</v>
      </c>
      <c r="U1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Row],[data]])),((U128*V128)+SUMIFS(estoque[valor total],estoque[produto],preçodiario[[#Headers],[OVO BRANCO EXTRA]],estoque[data],preçodiario[[#This Row],[data]],estoque[fornecedor],"&lt;&gt;saída"))/(V128+(SUMIFS(estoque[quantidade],estoque[produto],preçodiario[[#Headers],[OVO BRANCO EXTRA]],estoque[fornecedor],"&lt;&gt;saída",estoque[data],preçodiario[[#This Row],[data]])))))</f>
        <v>17.083333333333336</v>
      </c>
      <c r="V129" s="22">
        <f>IF(preçodiario[[#This Row],[entrada E]]=0,V128-(SUMIFS(estoque[quantidade],estoque[fornecedor],"saída",estoque[produto],preçodiario[[#Headers],[OVO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Row],[data]]))+V128+preçodiario[[#This Row],[entrada E]])</f>
        <v>75</v>
      </c>
      <c r="W129" s="22">
        <f>SUMIFS(estoque[quantidade],estoque[fornecedor],"&lt;&gt;saída",estoque[produto],preçodiario[[#Headers],[OVO BRANCO EXTRA]],estoque[data],preçodiario[[#This Row],[data]])</f>
        <v>0</v>
      </c>
      <c r="X129" s="20">
        <f>SUMIFS(estoque[valor total],estoque[fornecedor],"&lt;&gt;saída",estoque[produto],preçodiario[[#Headers],[OVO BRANCO EXTRA]],estoque[data],preçodiario[[#This Row],[data]])</f>
        <v>0</v>
      </c>
      <c r="Y129" s="20">
        <f>IFERROR(preçodiario[[#This Row],[estoque E]]*preçodiario[[#This Row],[OVO BRANCO EXTRA]],0)</f>
        <v>1281.2500000000002</v>
      </c>
      <c r="Z1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Row],[data]])),((Z128*AA128)+SUMIFS(estoque[valor total],estoque[produto],preçodiario[[#Headers],[OVO BRANCO JUMBO]],estoque[data],preçodiario[[#This Row],[data]],estoque[fornecedor],"&lt;&gt;saída"))/(AA128+(SUMIFS(estoque[quantidade],estoque[produto],preçodiario[[#Headers],[OVO BRANCO JUMBO]],estoque[fornecedor],"&lt;&gt;saída",estoque[data],preçodiario[[#This Row],[data]])))))</f>
        <v>17.5</v>
      </c>
      <c r="AA129" s="22">
        <f>IF(preçodiario[[#This Row],[entrada J]]=0,AA128-(SUMIFS(estoque[quantidade],estoque[fornecedor],"saída",estoque[produto],preçodiario[[#Headers],[OVO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Row],[data]]))+AA128+preçodiario[[#This Row],[entrada J]])</f>
        <v>77</v>
      </c>
      <c r="AB129" s="22">
        <f>SUMIFS(estoque[quantidade],estoque[fornecedor],"&lt;&gt;saída",estoque[produto],preçodiario[[#Headers],[OVO BRANCO JUMBO]],estoque[data],preçodiario[[#This Row],[data]])</f>
        <v>0</v>
      </c>
      <c r="AC129" s="20">
        <f>SUMIFS(estoque[valor total],estoque[fornecedor],"&lt;&gt;saída",estoque[produto],preçodiario[[#Headers],[OVO BRANCO JUMBO]],estoque[data],preçodiario[[#This Row],[data]])</f>
        <v>0</v>
      </c>
      <c r="AD129" s="20">
        <f>IFERROR(preçodiario[[#This Row],[OVO BRANCO JUMBO]]*preçodiario[[#This Row],[estoque J]],0)</f>
        <v>1347.5</v>
      </c>
      <c r="AE1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Row],[data]])),((AE128*AF128)+SUMIFS(estoque[valor total],estoque[produto],preçodiario[[#Headers],[OVO VERMELHO A]],estoque[data],preçodiario[[#This Row],[data]],estoque[fornecedor],"&lt;&gt;saída"))/(AF128+(SUMIFS(estoque[quantidade],estoque[produto],preçodiario[[#Headers],[OVO VERMELHO A]],estoque[fornecedor],"&lt;&gt;saída",estoque[data],preçodiario[[#This Row],[data]])))))</f>
        <v/>
      </c>
      <c r="AF129" s="22">
        <f>IF(preçodiario[[#This Row],[entrada AV]]=0,AF128-(SUMIFS(estoque[quantidade],estoque[fornecedor],"saída",estoque[produto],preçodiario[[#Headers],[OVO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Row],[data]]))+AF128+preçodiario[[#This Row],[entrada AV]])</f>
        <v>0</v>
      </c>
      <c r="AG129" s="22">
        <f>SUMIFS(estoque[quantidade],estoque[fornecedor],"&lt;&gt;saída",estoque[produto],preçodiario[[#Headers],[OVO VERMELHO A]],estoque[data],preçodiario[[#This Row],[data]])</f>
        <v>0</v>
      </c>
      <c r="AH129" s="20">
        <f>SUMIFS(estoque[valor total],estoque[fornecedor],"&lt;&gt;saída",estoque[produto],preçodiario[[#Headers],[OVO VERMELHO A]],estoque[data],preçodiario[[#This Row],[data]])</f>
        <v>0</v>
      </c>
      <c r="AI129" s="20">
        <f>IFERROR(preçodiario[[#This Row],[OVO VERMELHO A]]*preçodiario[[#This Row],[estoque AV]],0)</f>
        <v>0</v>
      </c>
      <c r="AJ1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Row],[data]])),((AJ128*AK128)+SUMIFS(estoque[valor total],estoque[produto],preçodiario[[#Headers],[OVO VERMELHO B]],estoque[data],preçodiario[[#This Row],[data]],estoque[fornecedor],"&lt;&gt;saída"))/(AK128+(SUMIFS(estoque[quantidade],estoque[produto],preçodiario[[#Headers],[OVO VERMELHO B]],estoque[fornecedor],"&lt;&gt;saída",estoque[data],preçodiario[[#This Row],[data]])))))</f>
        <v/>
      </c>
      <c r="AK129" s="22">
        <f>IF(preçodiario[[#This Row],[entrada BV]]=0,AK128-(SUMIFS(estoque[quantidade],estoque[fornecedor],"saída",estoque[produto],preçodiario[[#Headers],[OVO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Row],[data]]))+AK128+preçodiario[[#This Row],[entrada BV]])</f>
        <v>0</v>
      </c>
      <c r="AL129" s="22">
        <f>SUMIFS(estoque[quantidade],estoque[fornecedor],"&lt;&gt;saída",estoque[produto],preçodiario[[#Headers],[OVO VERMELHO B]],estoque[data],preçodiario[[#This Row],[data]])</f>
        <v>0</v>
      </c>
      <c r="AM129" s="20">
        <f>SUMIFS(estoque[valor total],estoque[fornecedor],"&lt;&gt;saída",estoque[produto],preçodiario[[#Headers],[OVO VERMELHO B]],estoque[data],preçodiario[[#This Row],[data]])</f>
        <v>0</v>
      </c>
      <c r="AN129" s="20">
        <f>IFERROR(preçodiario[[#This Row],[OVO VERMELHO B]]*preçodiario[[#This Row],[estoque BV]],0)</f>
        <v>0</v>
      </c>
      <c r="AO1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Row],[data]])),((AO128*AP128)+SUMIFS(estoque[valor total],estoque[produto],preçodiario[[#Headers],[OVO VERMELHO C]],estoque[data],preçodiario[[#This Row],[data]],estoque[fornecedor],"&lt;&gt;saída"))/(AP128+(SUMIFS(estoque[quantidade],estoque[produto],preçodiario[[#Headers],[OVO VERMELHO C]],estoque[fornecedor],"&lt;&gt;saída",estoque[data],preçodiario[[#This Row],[data]])))))</f>
        <v/>
      </c>
      <c r="AP129" s="22">
        <f>IF(preçodiario[[#This Row],[entrada CV]]=0,AP128-(SUMIFS(estoque[quantidade],estoque[fornecedor],"saída",estoque[produto],preçodiario[[#Headers],[OVO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Row],[data]]))+AP128+preçodiario[[#This Row],[entrada CV]])</f>
        <v>0</v>
      </c>
      <c r="AQ129" s="22">
        <f>SUMIFS(estoque[quantidade],estoque[fornecedor],"&lt;&gt;saída",estoque[produto],preçodiario[[#Headers],[OVO VERMELHO C]],estoque[data],preçodiario[[#This Row],[data]])</f>
        <v>0</v>
      </c>
      <c r="AR129" s="20">
        <f>SUMIFS(estoque[valor total],estoque[fornecedor],"&lt;&gt;saída",estoque[produto],preçodiario[[#Headers],[OVO VERMELHO C]],estoque[data],preçodiario[[#This Row],[data]])</f>
        <v>0</v>
      </c>
      <c r="AS129" s="20">
        <f>IFERROR(preçodiario[[#This Row],[OVO VERMELHO C]]*preçodiario[[#This Row],[estoque CV]],0)</f>
        <v>0</v>
      </c>
      <c r="AT1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Row],[data]])),((AT128*AU128)+SUMIFS(estoque[valor total],estoque[produto],preçodiario[[#Headers],[OVO VERMELHO EXTRA]],estoque[data],preçodiario[[#This Row],[data]],estoque[fornecedor],"&lt;&gt;saída"))/(AU128+(SUMIFS(estoque[quantidade],estoque[produto],preçodiario[[#Headers],[OVO VERMELHO EXTRA]],estoque[fornecedor],"&lt;&gt;saída",estoque[data],preçodiario[[#This Row],[data]])))))</f>
        <v/>
      </c>
      <c r="AU129" s="22">
        <f>IF(preçodiario[[#This Row],[entrada EV]]=0,AU128-(SUMIFS(estoque[quantidade],estoque[fornecedor],"saída",estoque[produto],preçodiario[[#Headers],[OVO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Row],[data]]))+AU128+preçodiario[[#This Row],[entrada EV]])</f>
        <v>0</v>
      </c>
      <c r="AV129" s="22">
        <f>SUMIFS(estoque[quantidade],estoque[fornecedor],"&lt;&gt;saída",estoque[produto],preçodiario[[#Headers],[OVO VERMELHO EXTRA]],estoque[data],preçodiario[[#This Row],[data]])</f>
        <v>0</v>
      </c>
      <c r="AW129" s="20">
        <f>SUMIFS(estoque[valor total],estoque[fornecedor],"&lt;&gt;saída",estoque[produto],preçodiario[[#Headers],[OVO VERMELHO EXTRA]],estoque[data],preçodiario[[#This Row],[data]])</f>
        <v>0</v>
      </c>
      <c r="AX129" s="20">
        <f>IFERROR(preçodiario[[#This Row],[OVO VERMELHO EXTRA]]*preçodiario[[#This Row],[estoque EV]],0)</f>
        <v>0</v>
      </c>
      <c r="AY1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Row],[data]])),((AY128*AZ128)+SUMIFS(estoque[valor total],estoque[produto],preçodiario[[#Headers],[OVO VERMELHO JUMBO]],estoque[data],preçodiario[[#This Row],[data]],estoque[fornecedor],"&lt;&gt;saída"))/(AZ128+(SUMIFS(estoque[quantidade],estoque[produto],preçodiario[[#Headers],[OVO VERMELHO JUMBO]],estoque[fornecedor],"&lt;&gt;saída",estoque[data],preçodiario[[#This Row],[data]])))))</f>
        <v/>
      </c>
      <c r="AZ129" s="22">
        <f>IF(preçodiario[[#This Row],[entrada JV]]=0,AZ128-(SUMIFS(estoque[quantidade],estoque[fornecedor],"saída",estoque[produto],preçodiario[[#Headers],[OVO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Row],[data]]))+AZ128+preçodiario[[#This Row],[entrada JV]])</f>
        <v>0</v>
      </c>
      <c r="BA129" s="22">
        <f>SUMIFS(estoque[quantidade],estoque[fornecedor],"&lt;&gt;saída",estoque[produto],preçodiario[[#Headers],[OVO VERMELHO JUMBO]],estoque[data],preçodiario[[#This Row],[data]])</f>
        <v>0</v>
      </c>
      <c r="BB129" s="20">
        <f>SUMIFS(estoque[valor total],estoque[fornecedor],"&lt;&gt;saída",estoque[produto],preçodiario[[#Headers],[OVO VERMELHO JUMBO]],estoque[data],preçodiario[[#This Row],[data]])</f>
        <v>0</v>
      </c>
      <c r="BC129" s="20">
        <f>IFERROR(preçodiario[[#This Row],[OVO VERMELHO JUMBO]]*preçodiario[[#This Row],[estoque JV]],0)</f>
        <v>0</v>
      </c>
      <c r="BD129" t="str">
        <f>TEXT(vendaAno[[#This Row],[data]],"mmm")</f>
        <v>mai</v>
      </c>
      <c r="BE129" t="str">
        <f>TEXT(vendaAno[[#This Row],[data]],"ddd")</f>
        <v>sex</v>
      </c>
      <c r="BF129" s="82">
        <f>WEEKNUM(vendaAno[[#This Row],[data]],13)</f>
        <v>19</v>
      </c>
      <c r="BG129" s="27">
        <f>preçodiario[[#This Row],[data]]</f>
        <v>46150</v>
      </c>
      <c r="BH1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29" s="8">
        <f>IF(SUMIFS(estoque[valor total],estoque[fornecedor],"saída",estoque[data],vendaAno[[#This Row],[data]])=0,"",SUMIFS(estoque[valor total],estoque[fornecedor],"saída",estoque[data],vendaAno[[#This Row],[data]]))</f>
        <v>536.5</v>
      </c>
      <c r="BJ12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Row],[data]]))/12+BJ128,"")</f>
        <v>22.083333333333311</v>
      </c>
      <c r="BK129" s="79">
        <f ca="1">IF(TODAY()&gt;=vendaAno[[#This Row],[data]],IF(SUMIFS(estoque[quantidade],estoque[fornecedor],"saída",estoque[data],vendaAno[[#This Row],[data]])/12=0,AVERAGE(BK126:BK128),SUMIFS(estoque[quantidade],estoque[fornecedor],"saída",estoque[data],vendaAno[[#This Row],[data]])/12),"")</f>
        <v>2.1666666666666665</v>
      </c>
      <c r="BL129" s="8">
        <f ca="1">IF(vendaAno[[#This Row],[data]]&lt;=TODAY(),IF(SUMIFS(estoque[lucro],estoque[fornecedor],"saída",estoque[data],vendaAno[[#This Row],[data]])=0,AVERAGE(BL126:BL128),SUMIFS(estoque[lucro],estoque[fornecedor],"saída",estoque[data],vendaAno[[#This Row],[data]])),"")</f>
        <v>104.51</v>
      </c>
      <c r="BM129" s="10">
        <f ca="1">IFERROR(vendaAno[[#This Row],[lucro]]/vendaAno[[#This Row],[valor de venda]],"")</f>
        <v>0.19479962721342034</v>
      </c>
      <c r="BN12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4498.9406235727101</v>
      </c>
      <c r="BO129" s="8">
        <f ca="1">IF(TODAY()&gt;=vendaAno[[#This Row],[data]],IF(vendaAno[[#This Row],[N°]]=BF128,vendaAno[[#This Row],[lucro]]-173.33+BO128,vendaAno[[#This Row],[lucro]]-150),"")</f>
        <v>-21.83</v>
      </c>
      <c r="BP129" s="81">
        <f ca="1">IF(TODAY()&gt;=vendaAno[[#This Row],[data]],SUM(BK123:BK129)*12,"")</f>
        <v>219</v>
      </c>
      <c r="BQ129" s="7">
        <f ca="1">IFERROR(vendaAno[[#This Row],[lucro]]/(vendaAno[[#This Row],[venda]]*12),"")</f>
        <v>4.0196153846153848</v>
      </c>
    </row>
    <row r="130" spans="1:69" x14ac:dyDescent="0.25">
      <c r="A1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0" s="18" t="str">
        <f>TEXT(preçodiario[[#This Row],[data]],"MMM")</f>
        <v>mai</v>
      </c>
      <c r="C130" s="18" t="str">
        <f>TEXT(preçodiario[[#This Row],[data]],"ddd")</f>
        <v>sáb</v>
      </c>
      <c r="D130" s="96">
        <f>WEEKNUM(preçodiario[[#This Row],[data]],13)</f>
        <v>19</v>
      </c>
      <c r="E130" s="37">
        <v>46151</v>
      </c>
      <c r="F1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Row],[data]])),((F129*G129)+SUMIFS(estoque[valor total],estoque[produto],preçodiario[[#Headers],[OVO BRANCO A]],estoque[data],preçodiario[[#This Row],[data]],estoque[fornecedor],"&lt;&gt;saída"))/(G129+(SUMIFS(estoque[quantidade],estoque[produto],preçodiario[[#Headers],[OVO BRANCO A]],estoque[fornecedor],"&lt;&gt;saída",estoque[data],preçodiario[[#This Row],[data]])))))</f>
        <v>16.660846560846558</v>
      </c>
      <c r="G130" s="22">
        <f>IF(preçodiario[[#This Row],[entrada A]]=0,G129-(SUMIFS(estoque[quantidade],estoque[fornecedor],"saída",estoque[produto],preçodiario[[#Headers],[OVO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Row],[data]]))+G129+preçodiario[[#This Row],[entrada A]])</f>
        <v>81</v>
      </c>
      <c r="H130" s="22">
        <f>SUMIFS(estoque[quantidade],estoque[fornecedor],"&lt;&gt;saída",estoque[produto],preçodiario[[#Headers],[OVO BRANCO A]],estoque[data],preçodiario[[#This Row],[data]])</f>
        <v>0</v>
      </c>
      <c r="I130" s="20">
        <f>SUMIFS(estoque[valor total],estoque[fornecedor],"&lt;&gt;saída",estoque[produto],preçodiario[[#Headers],[OVO BRANCO A]],estoque[data],preçodiario[[#This Row],[data]])</f>
        <v>0</v>
      </c>
      <c r="J130" s="20">
        <f>IFERROR(preçodiario[[#This Row],[estoque A]]*preçodiario[[#This Row],[OVO BRANCO A]],0)</f>
        <v>1349.5285714285712</v>
      </c>
      <c r="K1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Row],[data]])),((K129*L129)+SUMIFS(estoque[valor total],estoque[produto],preçodiario[[#Headers],[OVO BRANCO B]],estoque[data],preçodiario[[#This Row],[data]],estoque[fornecedor],"&lt;&gt;saída"))/(L129+(SUMIFS(estoque[quantidade],estoque[produto],preçodiario[[#Headers],[OVO BRANCO B]],estoque[fornecedor],"&lt;&gt;saída",estoque[data],preçodiario[[#This Row],[data]])))))</f>
        <v>16.244678634081524</v>
      </c>
      <c r="L130" s="22">
        <f>IF(preçodiario[[#This Row],[entrada B]]=0,L129-(SUMIFS(estoque[quantidade],estoque[fornecedor],"saída",estoque[produto],preçodiario[[#Headers],[OVO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Row],[data]]))+L129+preçodiario[[#This Row],[entrada B]])</f>
        <v>29</v>
      </c>
      <c r="M130" s="22">
        <f>SUMIFS(estoque[quantidade],estoque[fornecedor],"&lt;&gt;saída",estoque[produto],preçodiario[[#Headers],[OVO BRANCO B]],estoque[data],preçodiario[[#This Row],[data]])</f>
        <v>0</v>
      </c>
      <c r="N130" s="20">
        <f>SUMIFS(estoque[valor total],estoque[fornecedor],"&lt;&gt;saída",estoque[produto],preçodiario[[#Headers],[OVO BRANCO B]],estoque[data],preçodiario[[#This Row],[data]])</f>
        <v>0</v>
      </c>
      <c r="O130" s="20">
        <f>IFERROR(preçodiario[[#This Row],[OVO BRANCO B]]*preçodiario[[#This Row],[estoque B]],0)</f>
        <v>471.0956803883642</v>
      </c>
      <c r="P13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Row],[data]])),((P129*Q129)+SUMIFS(estoque[valor total],estoque[produto],preçodiario[[#Headers],[OVO BRANCO C]],estoque[data],preçodiario[[#This Row],[data]],estoque[fornecedor],"&lt;&gt;saída"))/(Q129+(SUMIFS(estoque[quantidade],estoque[produto],preçodiario[[#Headers],[OVO BRANCO C]],estoque[fornecedor],"&lt;&gt;saída",estoque[data],preçodiario[[#This Row],[data]])))))</f>
        <v/>
      </c>
      <c r="Q130" s="22">
        <f>IF(preçodiario[[#This Row],[entrada C]]=0,Q129-(SUMIFS(estoque[quantidade],estoque[fornecedor],"saída",estoque[produto],preçodiario[[#Headers],[OVO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Row],[data]]))+Q129+preçodiario[[#This Row],[entrada C]])</f>
        <v>0</v>
      </c>
      <c r="R130" s="22">
        <f>SUMIFS(estoque[quantidade],estoque[fornecedor],"&lt;&gt;saída",estoque[produto],preçodiario[[#Headers],[OVO BRANCO C]],estoque[data],preçodiario[[#This Row],[data]])</f>
        <v>0</v>
      </c>
      <c r="S130" s="20">
        <f>SUMIFS(estoque[valor total],estoque[fornecedor],"&lt;&gt;saída",estoque[produto],preçodiario[[#Headers],[OVO BRANCO C]],estoque[data],preçodiario[[#This Row],[data]])</f>
        <v>0</v>
      </c>
      <c r="T130" s="20">
        <f>IFERROR(preçodiario[[#This Row],[OVO BRANCO C]]*preçodiario[[#This Row],[estoque C]],0)</f>
        <v>0</v>
      </c>
      <c r="U1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Row],[data]])),((U129*V129)+SUMIFS(estoque[valor total],estoque[produto],preçodiario[[#Headers],[OVO BRANCO EXTRA]],estoque[data],preçodiario[[#This Row],[data]],estoque[fornecedor],"&lt;&gt;saída"))/(V129+(SUMIFS(estoque[quantidade],estoque[produto],preçodiario[[#Headers],[OVO BRANCO EXTRA]],estoque[fornecedor],"&lt;&gt;saída",estoque[data],preçodiario[[#This Row],[data]])))))</f>
        <v>17.083333333333336</v>
      </c>
      <c r="V130" s="22">
        <f>IF(preçodiario[[#This Row],[entrada E]]=0,V129-(SUMIFS(estoque[quantidade],estoque[fornecedor],"saída",estoque[produto],preçodiario[[#Headers],[OVO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Row],[data]]))+V129+preçodiario[[#This Row],[entrada E]])</f>
        <v>75</v>
      </c>
      <c r="W130" s="22">
        <f>SUMIFS(estoque[quantidade],estoque[fornecedor],"&lt;&gt;saída",estoque[produto],preçodiario[[#Headers],[OVO BRANCO EXTRA]],estoque[data],preçodiario[[#This Row],[data]])</f>
        <v>0</v>
      </c>
      <c r="X130" s="20">
        <f>SUMIFS(estoque[valor total],estoque[fornecedor],"&lt;&gt;saída",estoque[produto],preçodiario[[#Headers],[OVO BRANCO EXTRA]],estoque[data],preçodiario[[#This Row],[data]])</f>
        <v>0</v>
      </c>
      <c r="Y130" s="20">
        <f>IFERROR(preçodiario[[#This Row],[estoque E]]*preçodiario[[#This Row],[OVO BRANCO EXTRA]],0)</f>
        <v>1281.2500000000002</v>
      </c>
      <c r="Z1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Row],[data]])),((Z129*AA129)+SUMIFS(estoque[valor total],estoque[produto],preçodiario[[#Headers],[OVO BRANCO JUMBO]],estoque[data],preçodiario[[#This Row],[data]],estoque[fornecedor],"&lt;&gt;saída"))/(AA129+(SUMIFS(estoque[quantidade],estoque[produto],preçodiario[[#Headers],[OVO BRANCO JUMBO]],estoque[fornecedor],"&lt;&gt;saída",estoque[data],preçodiario[[#This Row],[data]])))))</f>
        <v>17.5</v>
      </c>
      <c r="AA130" s="22">
        <f>IF(preçodiario[[#This Row],[entrada J]]=0,AA129-(SUMIFS(estoque[quantidade],estoque[fornecedor],"saída",estoque[produto],preçodiario[[#Headers],[OVO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Row],[data]]))+AA129+preçodiario[[#This Row],[entrada J]])</f>
        <v>77</v>
      </c>
      <c r="AB130" s="22">
        <f>SUMIFS(estoque[quantidade],estoque[fornecedor],"&lt;&gt;saída",estoque[produto],preçodiario[[#Headers],[OVO BRANCO JUMBO]],estoque[data],preçodiario[[#This Row],[data]])</f>
        <v>0</v>
      </c>
      <c r="AC130" s="20">
        <f>SUMIFS(estoque[valor total],estoque[fornecedor],"&lt;&gt;saída",estoque[produto],preçodiario[[#Headers],[OVO BRANCO JUMBO]],estoque[data],preçodiario[[#This Row],[data]])</f>
        <v>0</v>
      </c>
      <c r="AD130" s="20">
        <f>IFERROR(preçodiario[[#This Row],[OVO BRANCO JUMBO]]*preçodiario[[#This Row],[estoque J]],0)</f>
        <v>1347.5</v>
      </c>
      <c r="AE1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Row],[data]])),((AE129*AF129)+SUMIFS(estoque[valor total],estoque[produto],preçodiario[[#Headers],[OVO VERMELHO A]],estoque[data],preçodiario[[#This Row],[data]],estoque[fornecedor],"&lt;&gt;saída"))/(AF129+(SUMIFS(estoque[quantidade],estoque[produto],preçodiario[[#Headers],[OVO VERMELHO A]],estoque[fornecedor],"&lt;&gt;saída",estoque[data],preçodiario[[#This Row],[data]])))))</f>
        <v/>
      </c>
      <c r="AF130" s="22">
        <f>IF(preçodiario[[#This Row],[entrada AV]]=0,AF129-(SUMIFS(estoque[quantidade],estoque[fornecedor],"saída",estoque[produto],preçodiario[[#Headers],[OVO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Row],[data]]))+AF129+preçodiario[[#This Row],[entrada AV]])</f>
        <v>0</v>
      </c>
      <c r="AG130" s="22">
        <f>SUMIFS(estoque[quantidade],estoque[fornecedor],"&lt;&gt;saída",estoque[produto],preçodiario[[#Headers],[OVO VERMELHO A]],estoque[data],preçodiario[[#This Row],[data]])</f>
        <v>0</v>
      </c>
      <c r="AH130" s="20">
        <f>SUMIFS(estoque[valor total],estoque[fornecedor],"&lt;&gt;saída",estoque[produto],preçodiario[[#Headers],[OVO VERMELHO A]],estoque[data],preçodiario[[#This Row],[data]])</f>
        <v>0</v>
      </c>
      <c r="AI130" s="20">
        <f>IFERROR(preçodiario[[#This Row],[OVO VERMELHO A]]*preçodiario[[#This Row],[estoque AV]],0)</f>
        <v>0</v>
      </c>
      <c r="AJ1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Row],[data]])),((AJ129*AK129)+SUMIFS(estoque[valor total],estoque[produto],preçodiario[[#Headers],[OVO VERMELHO B]],estoque[data],preçodiario[[#This Row],[data]],estoque[fornecedor],"&lt;&gt;saída"))/(AK129+(SUMIFS(estoque[quantidade],estoque[produto],preçodiario[[#Headers],[OVO VERMELHO B]],estoque[fornecedor],"&lt;&gt;saída",estoque[data],preçodiario[[#This Row],[data]])))))</f>
        <v/>
      </c>
      <c r="AK130" s="22">
        <f>IF(preçodiario[[#This Row],[entrada BV]]=0,AK129-(SUMIFS(estoque[quantidade],estoque[fornecedor],"saída",estoque[produto],preçodiario[[#Headers],[OVO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Row],[data]]))+AK129+preçodiario[[#This Row],[entrada BV]])</f>
        <v>0</v>
      </c>
      <c r="AL130" s="22">
        <f>SUMIFS(estoque[quantidade],estoque[fornecedor],"&lt;&gt;saída",estoque[produto],preçodiario[[#Headers],[OVO VERMELHO B]],estoque[data],preçodiario[[#This Row],[data]])</f>
        <v>0</v>
      </c>
      <c r="AM130" s="20">
        <f>SUMIFS(estoque[valor total],estoque[fornecedor],"&lt;&gt;saída",estoque[produto],preçodiario[[#Headers],[OVO VERMELHO B]],estoque[data],preçodiario[[#This Row],[data]])</f>
        <v>0</v>
      </c>
      <c r="AN130" s="20">
        <f>IFERROR(preçodiario[[#This Row],[OVO VERMELHO B]]*preçodiario[[#This Row],[estoque BV]],0)</f>
        <v>0</v>
      </c>
      <c r="AO1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Row],[data]])),((AO129*AP129)+SUMIFS(estoque[valor total],estoque[produto],preçodiario[[#Headers],[OVO VERMELHO C]],estoque[data],preçodiario[[#This Row],[data]],estoque[fornecedor],"&lt;&gt;saída"))/(AP129+(SUMIFS(estoque[quantidade],estoque[produto],preçodiario[[#Headers],[OVO VERMELHO C]],estoque[fornecedor],"&lt;&gt;saída",estoque[data],preçodiario[[#This Row],[data]])))))</f>
        <v/>
      </c>
      <c r="AP130" s="22">
        <f>IF(preçodiario[[#This Row],[entrada CV]]=0,AP129-(SUMIFS(estoque[quantidade],estoque[fornecedor],"saída",estoque[produto],preçodiario[[#Headers],[OVO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Row],[data]]))+AP129+preçodiario[[#This Row],[entrada CV]])</f>
        <v>0</v>
      </c>
      <c r="AQ130" s="22">
        <f>SUMIFS(estoque[quantidade],estoque[fornecedor],"&lt;&gt;saída",estoque[produto],preçodiario[[#Headers],[OVO VERMELHO C]],estoque[data],preçodiario[[#This Row],[data]])</f>
        <v>0</v>
      </c>
      <c r="AR130" s="20">
        <f>SUMIFS(estoque[valor total],estoque[fornecedor],"&lt;&gt;saída",estoque[produto],preçodiario[[#Headers],[OVO VERMELHO C]],estoque[data],preçodiario[[#This Row],[data]])</f>
        <v>0</v>
      </c>
      <c r="AS130" s="20">
        <f>IFERROR(preçodiario[[#This Row],[OVO VERMELHO C]]*preçodiario[[#This Row],[estoque CV]],0)</f>
        <v>0</v>
      </c>
      <c r="AT1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Row],[data]])),((AT129*AU129)+SUMIFS(estoque[valor total],estoque[produto],preçodiario[[#Headers],[OVO VERMELHO EXTRA]],estoque[data],preçodiario[[#This Row],[data]],estoque[fornecedor],"&lt;&gt;saída"))/(AU129+(SUMIFS(estoque[quantidade],estoque[produto],preçodiario[[#Headers],[OVO VERMELHO EXTRA]],estoque[fornecedor],"&lt;&gt;saída",estoque[data],preçodiario[[#This Row],[data]])))))</f>
        <v/>
      </c>
      <c r="AU130" s="22">
        <f>IF(preçodiario[[#This Row],[entrada EV]]=0,AU129-(SUMIFS(estoque[quantidade],estoque[fornecedor],"saída",estoque[produto],preçodiario[[#Headers],[OVO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Row],[data]]))+AU129+preçodiario[[#This Row],[entrada EV]])</f>
        <v>0</v>
      </c>
      <c r="AV130" s="22">
        <f>SUMIFS(estoque[quantidade],estoque[fornecedor],"&lt;&gt;saída",estoque[produto],preçodiario[[#Headers],[OVO VERMELHO EXTRA]],estoque[data],preçodiario[[#This Row],[data]])</f>
        <v>0</v>
      </c>
      <c r="AW130" s="20">
        <f>SUMIFS(estoque[valor total],estoque[fornecedor],"&lt;&gt;saída",estoque[produto],preçodiario[[#Headers],[OVO VERMELHO EXTRA]],estoque[data],preçodiario[[#This Row],[data]])</f>
        <v>0</v>
      </c>
      <c r="AX130" s="20">
        <f>IFERROR(preçodiario[[#This Row],[OVO VERMELHO EXTRA]]*preçodiario[[#This Row],[estoque EV]],0)</f>
        <v>0</v>
      </c>
      <c r="AY1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Row],[data]])),((AY129*AZ129)+SUMIFS(estoque[valor total],estoque[produto],preçodiario[[#Headers],[OVO VERMELHO JUMBO]],estoque[data],preçodiario[[#This Row],[data]],estoque[fornecedor],"&lt;&gt;saída"))/(AZ129+(SUMIFS(estoque[quantidade],estoque[produto],preçodiario[[#Headers],[OVO VERMELHO JUMBO]],estoque[fornecedor],"&lt;&gt;saída",estoque[data],preçodiario[[#This Row],[data]])))))</f>
        <v/>
      </c>
      <c r="AZ130" s="22">
        <f>IF(preçodiario[[#This Row],[entrada JV]]=0,AZ129-(SUMIFS(estoque[quantidade],estoque[fornecedor],"saída",estoque[produto],preçodiario[[#Headers],[OVO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Row],[data]]))+AZ129+preçodiario[[#This Row],[entrada JV]])</f>
        <v>0</v>
      </c>
      <c r="BA130" s="22">
        <f>SUMIFS(estoque[quantidade],estoque[fornecedor],"&lt;&gt;saída",estoque[produto],preçodiario[[#Headers],[OVO VERMELHO JUMBO]],estoque[data],preçodiario[[#This Row],[data]])</f>
        <v>0</v>
      </c>
      <c r="BB130" s="20">
        <f>SUMIFS(estoque[valor total],estoque[fornecedor],"&lt;&gt;saída",estoque[produto],preçodiario[[#Headers],[OVO VERMELHO JUMBO]],estoque[data],preçodiario[[#This Row],[data]])</f>
        <v>0</v>
      </c>
      <c r="BC130" s="20">
        <f>IFERROR(preçodiario[[#This Row],[OVO VERMELHO JUMBO]]*preçodiario[[#This Row],[estoque JV]],0)</f>
        <v>0</v>
      </c>
      <c r="BD130" t="str">
        <f>TEXT(vendaAno[[#This Row],[data]],"mmm")</f>
        <v>mai</v>
      </c>
      <c r="BE130" t="str">
        <f>TEXT(vendaAno[[#This Row],[data]],"ddd")</f>
        <v>sáb</v>
      </c>
      <c r="BF130" s="82">
        <f>WEEKNUM(vendaAno[[#This Row],[data]],13)</f>
        <v>19</v>
      </c>
      <c r="BG130" s="27">
        <f>preçodiario[[#This Row],[data]]</f>
        <v>46151</v>
      </c>
      <c r="BH1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0" s="8">
        <f>IF(SUMIFS(estoque[valor total],estoque[fornecedor],"saída",estoque[data],vendaAno[[#This Row],[data]])=0,"",SUMIFS(estoque[valor total],estoque[fornecedor],"saída",estoque[data],vendaAno[[#This Row],[data]]))</f>
        <v>62</v>
      </c>
      <c r="BJ13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Row],[data]]))/12+BJ129,"")</f>
        <v>21.833333333333311</v>
      </c>
      <c r="BK130" s="79">
        <f ca="1">IF(TODAY()&gt;=vendaAno[[#This Row],[data]],IF(SUMIFS(estoque[quantidade],estoque[fornecedor],"saída",estoque[data],vendaAno[[#This Row],[data]])/12=0,AVERAGE(BK127:BK129),SUMIFS(estoque[quantidade],estoque[fornecedor],"saída",estoque[data],vendaAno[[#This Row],[data]])/12),"")</f>
        <v>0.25</v>
      </c>
      <c r="BL130" s="8">
        <f ca="1">IF(vendaAno[[#This Row],[data]]&lt;=TODAY(),IF(SUMIFS(estoque[lucro],estoque[fornecedor],"saída",estoque[data],vendaAno[[#This Row],[data]])=0,AVERAGE(BL127:BL129),SUMIFS(estoque[lucro],estoque[fornecedor],"saída",estoque[data],vendaAno[[#This Row],[data]])),"")</f>
        <v>12.44</v>
      </c>
      <c r="BM130" s="10">
        <f ca="1">IFERROR(vendaAno[[#This Row],[lucro]]/vendaAno[[#This Row],[valor de venda]],"")</f>
        <v>0.20064516129032256</v>
      </c>
      <c r="BN13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4449.3742518169356</v>
      </c>
      <c r="BO130" s="8">
        <f ca="1">IF(TODAY()&gt;=vendaAno[[#This Row],[data]],IF(vendaAno[[#This Row],[N°]]=BF129,vendaAno[[#This Row],[lucro]]-173.33+BO129,vendaAno[[#This Row],[lucro]]-150),"")</f>
        <v>-182.72000000000003</v>
      </c>
      <c r="BP130" s="81">
        <f ca="1">IF(TODAY()&gt;=vendaAno[[#This Row],[data]],SUM(BK124:BK130)*12,"")</f>
        <v>190</v>
      </c>
      <c r="BQ130" s="7">
        <f ca="1">IFERROR(vendaAno[[#This Row],[lucro]]/(vendaAno[[#This Row],[venda]]*12),"")</f>
        <v>4.1466666666666665</v>
      </c>
    </row>
    <row r="131" spans="1:69" x14ac:dyDescent="0.25">
      <c r="A1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1" s="18" t="str">
        <f>TEXT(preçodiario[[#This Row],[data]],"MMM")</f>
        <v>mai</v>
      </c>
      <c r="C131" s="18" t="str">
        <f>TEXT(preçodiario[[#This Row],[data]],"ddd")</f>
        <v>dom</v>
      </c>
      <c r="D131" s="96">
        <f>WEEKNUM(preçodiario[[#This Row],[data]],13)</f>
        <v>19</v>
      </c>
      <c r="E131" s="37">
        <v>46152</v>
      </c>
      <c r="F1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Row],[data]])),((F130*G130)+SUMIFS(estoque[valor total],estoque[produto],preçodiario[[#Headers],[OVO BRANCO A]],estoque[data],preçodiario[[#This Row],[data]],estoque[fornecedor],"&lt;&gt;saída"))/(G130+(SUMIFS(estoque[quantidade],estoque[produto],preçodiario[[#Headers],[OVO BRANCO A]],estoque[fornecedor],"&lt;&gt;saída",estoque[data],preçodiario[[#This Row],[data]])))))</f>
        <v>16.660846560846558</v>
      </c>
      <c r="G131" s="22">
        <f>IF(preçodiario[[#This Row],[entrada A]]=0,G130-(SUMIFS(estoque[quantidade],estoque[fornecedor],"saída",estoque[produto],preçodiario[[#Headers],[OVO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Row],[data]]))+G130+preçodiario[[#This Row],[entrada A]])</f>
        <v>80</v>
      </c>
      <c r="H131" s="22">
        <f>SUMIFS(estoque[quantidade],estoque[fornecedor],"&lt;&gt;saída",estoque[produto],preçodiario[[#Headers],[OVO BRANCO A]],estoque[data],preçodiario[[#This Row],[data]])</f>
        <v>0</v>
      </c>
      <c r="I131" s="20">
        <f>SUMIFS(estoque[valor total],estoque[fornecedor],"&lt;&gt;saída",estoque[produto],preçodiario[[#Headers],[OVO BRANCO A]],estoque[data],preçodiario[[#This Row],[data]])</f>
        <v>0</v>
      </c>
      <c r="J131" s="20">
        <f>IFERROR(preçodiario[[#This Row],[estoque A]]*preçodiario[[#This Row],[OVO BRANCO A]],0)</f>
        <v>1332.8677248677245</v>
      </c>
      <c r="K1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Row],[data]])),((K130*L130)+SUMIFS(estoque[valor total],estoque[produto],preçodiario[[#Headers],[OVO BRANCO B]],estoque[data],preçodiario[[#This Row],[data]],estoque[fornecedor],"&lt;&gt;saída"))/(L130+(SUMIFS(estoque[quantidade],estoque[produto],preçodiario[[#Headers],[OVO BRANCO B]],estoque[fornecedor],"&lt;&gt;saída",estoque[data],preçodiario[[#This Row],[data]])))))</f>
        <v>16.244678634081524</v>
      </c>
      <c r="L131" s="22">
        <f>IF(preçodiario[[#This Row],[entrada B]]=0,L130-(SUMIFS(estoque[quantidade],estoque[fornecedor],"saída",estoque[produto],preçodiario[[#Headers],[OVO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Row],[data]]))+L130+preçodiario[[#This Row],[entrada B]])</f>
        <v>26</v>
      </c>
      <c r="M131" s="22">
        <f>SUMIFS(estoque[quantidade],estoque[fornecedor],"&lt;&gt;saída",estoque[produto],preçodiario[[#Headers],[OVO BRANCO B]],estoque[data],preçodiario[[#This Row],[data]])</f>
        <v>0</v>
      </c>
      <c r="N131" s="20">
        <f>SUMIFS(estoque[valor total],estoque[fornecedor],"&lt;&gt;saída",estoque[produto],preçodiario[[#Headers],[OVO BRANCO B]],estoque[data],preçodiario[[#This Row],[data]])</f>
        <v>0</v>
      </c>
      <c r="O131" s="20">
        <f>IFERROR(preçodiario[[#This Row],[OVO BRANCO B]]*preçodiario[[#This Row],[estoque B]],0)</f>
        <v>422.36164448611964</v>
      </c>
      <c r="P13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Row],[data]])),((P130*Q130)+SUMIFS(estoque[valor total],estoque[produto],preçodiario[[#Headers],[OVO BRANCO C]],estoque[data],preçodiario[[#This Row],[data]],estoque[fornecedor],"&lt;&gt;saída"))/(Q130+(SUMIFS(estoque[quantidade],estoque[produto],preçodiario[[#Headers],[OVO BRANCO C]],estoque[fornecedor],"&lt;&gt;saída",estoque[data],preçodiario[[#This Row],[data]])))))</f>
        <v/>
      </c>
      <c r="Q131" s="22">
        <f>IF(preçodiario[[#This Row],[entrada C]]=0,Q130-(SUMIFS(estoque[quantidade],estoque[fornecedor],"saída",estoque[produto],preçodiario[[#Headers],[OVO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Row],[data]]))+Q130+preçodiario[[#This Row],[entrada C]])</f>
        <v>0</v>
      </c>
      <c r="R131" s="22">
        <f>SUMIFS(estoque[quantidade],estoque[fornecedor],"&lt;&gt;saída",estoque[produto],preçodiario[[#Headers],[OVO BRANCO C]],estoque[data],preçodiario[[#This Row],[data]])</f>
        <v>0</v>
      </c>
      <c r="S131" s="20">
        <f>SUMIFS(estoque[valor total],estoque[fornecedor],"&lt;&gt;saída",estoque[produto],preçodiario[[#Headers],[OVO BRANCO C]],estoque[data],preçodiario[[#This Row],[data]])</f>
        <v>0</v>
      </c>
      <c r="T131" s="20">
        <f>IFERROR(preçodiario[[#This Row],[OVO BRANCO C]]*preçodiario[[#This Row],[estoque C]],0)</f>
        <v>0</v>
      </c>
      <c r="U1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Row],[data]])),((U130*V130)+SUMIFS(estoque[valor total],estoque[produto],preçodiario[[#Headers],[OVO BRANCO EXTRA]],estoque[data],preçodiario[[#This Row],[data]],estoque[fornecedor],"&lt;&gt;saída"))/(V130+(SUMIFS(estoque[quantidade],estoque[produto],preçodiario[[#Headers],[OVO BRANCO EXTRA]],estoque[fornecedor],"&lt;&gt;saída",estoque[data],preçodiario[[#This Row],[data]])))))</f>
        <v>17.083333333333336</v>
      </c>
      <c r="V131" s="22">
        <f>IF(preçodiario[[#This Row],[entrada E]]=0,V130-(SUMIFS(estoque[quantidade],estoque[fornecedor],"saída",estoque[produto],preçodiario[[#Headers],[OVO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Row],[data]]))+V130+preçodiario[[#This Row],[entrada E]])</f>
        <v>70</v>
      </c>
      <c r="W131" s="22">
        <f>SUMIFS(estoque[quantidade],estoque[fornecedor],"&lt;&gt;saída",estoque[produto],preçodiario[[#Headers],[OVO BRANCO EXTRA]],estoque[data],preçodiario[[#This Row],[data]])</f>
        <v>0</v>
      </c>
      <c r="X131" s="20">
        <f>SUMIFS(estoque[valor total],estoque[fornecedor],"&lt;&gt;saída",estoque[produto],preçodiario[[#Headers],[OVO BRANCO EXTRA]],estoque[data],preçodiario[[#This Row],[data]])</f>
        <v>0</v>
      </c>
      <c r="Y131" s="20">
        <f>IFERROR(preçodiario[[#This Row],[estoque E]]*preçodiario[[#This Row],[OVO BRANCO EXTRA]],0)</f>
        <v>1195.8333333333335</v>
      </c>
      <c r="Z1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Row],[data]])),((Z130*AA130)+SUMIFS(estoque[valor total],estoque[produto],preçodiario[[#Headers],[OVO BRANCO JUMBO]],estoque[data],preçodiario[[#This Row],[data]],estoque[fornecedor],"&lt;&gt;saída"))/(AA130+(SUMIFS(estoque[quantidade],estoque[produto],preçodiario[[#Headers],[OVO BRANCO JUMBO]],estoque[fornecedor],"&lt;&gt;saída",estoque[data],preçodiario[[#This Row],[data]])))))</f>
        <v>17.5</v>
      </c>
      <c r="AA131" s="22">
        <f>IF(preçodiario[[#This Row],[entrada J]]=0,AA130-(SUMIFS(estoque[quantidade],estoque[fornecedor],"saída",estoque[produto],preçodiario[[#Headers],[OVO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Row],[data]]))+AA130+preçodiario[[#This Row],[entrada J]])</f>
        <v>73</v>
      </c>
      <c r="AB131" s="22">
        <f>SUMIFS(estoque[quantidade],estoque[fornecedor],"&lt;&gt;saída",estoque[produto],preçodiario[[#Headers],[OVO BRANCO JUMBO]],estoque[data],preçodiario[[#This Row],[data]])</f>
        <v>0</v>
      </c>
      <c r="AC131" s="20">
        <f>SUMIFS(estoque[valor total],estoque[fornecedor],"&lt;&gt;saída",estoque[produto],preçodiario[[#Headers],[OVO BRANCO JUMBO]],estoque[data],preçodiario[[#This Row],[data]])</f>
        <v>0</v>
      </c>
      <c r="AD131" s="20">
        <f>IFERROR(preçodiario[[#This Row],[OVO BRANCO JUMBO]]*preçodiario[[#This Row],[estoque J]],0)</f>
        <v>1277.5</v>
      </c>
      <c r="AE1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Row],[data]])),((AE130*AF130)+SUMIFS(estoque[valor total],estoque[produto],preçodiario[[#Headers],[OVO VERMELHO A]],estoque[data],preçodiario[[#This Row],[data]],estoque[fornecedor],"&lt;&gt;saída"))/(AF130+(SUMIFS(estoque[quantidade],estoque[produto],preçodiario[[#Headers],[OVO VERMELHO A]],estoque[fornecedor],"&lt;&gt;saída",estoque[data],preçodiario[[#This Row],[data]])))))</f>
        <v/>
      </c>
      <c r="AF131" s="22">
        <f>IF(preçodiario[[#This Row],[entrada AV]]=0,AF130-(SUMIFS(estoque[quantidade],estoque[fornecedor],"saída",estoque[produto],preçodiario[[#Headers],[OVO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Row],[data]]))+AF130+preçodiario[[#This Row],[entrada AV]])</f>
        <v>0</v>
      </c>
      <c r="AG131" s="22">
        <f>SUMIFS(estoque[quantidade],estoque[fornecedor],"&lt;&gt;saída",estoque[produto],preçodiario[[#Headers],[OVO VERMELHO A]],estoque[data],preçodiario[[#This Row],[data]])</f>
        <v>0</v>
      </c>
      <c r="AH131" s="20">
        <f>SUMIFS(estoque[valor total],estoque[fornecedor],"&lt;&gt;saída",estoque[produto],preçodiario[[#Headers],[OVO VERMELHO A]],estoque[data],preçodiario[[#This Row],[data]])</f>
        <v>0</v>
      </c>
      <c r="AI131" s="20">
        <f>IFERROR(preçodiario[[#This Row],[OVO VERMELHO A]]*preçodiario[[#This Row],[estoque AV]],0)</f>
        <v>0</v>
      </c>
      <c r="AJ1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Row],[data]])),((AJ130*AK130)+SUMIFS(estoque[valor total],estoque[produto],preçodiario[[#Headers],[OVO VERMELHO B]],estoque[data],preçodiario[[#This Row],[data]],estoque[fornecedor],"&lt;&gt;saída"))/(AK130+(SUMIFS(estoque[quantidade],estoque[produto],preçodiario[[#Headers],[OVO VERMELHO B]],estoque[fornecedor],"&lt;&gt;saída",estoque[data],preçodiario[[#This Row],[data]])))))</f>
        <v/>
      </c>
      <c r="AK131" s="22">
        <f>IF(preçodiario[[#This Row],[entrada BV]]=0,AK130-(SUMIFS(estoque[quantidade],estoque[fornecedor],"saída",estoque[produto],preçodiario[[#Headers],[OVO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Row],[data]]))+AK130+preçodiario[[#This Row],[entrada BV]])</f>
        <v>0</v>
      </c>
      <c r="AL131" s="22">
        <f>SUMIFS(estoque[quantidade],estoque[fornecedor],"&lt;&gt;saída",estoque[produto],preçodiario[[#Headers],[OVO VERMELHO B]],estoque[data],preçodiario[[#This Row],[data]])</f>
        <v>0</v>
      </c>
      <c r="AM131" s="20">
        <f>SUMIFS(estoque[valor total],estoque[fornecedor],"&lt;&gt;saída",estoque[produto],preçodiario[[#Headers],[OVO VERMELHO B]],estoque[data],preçodiario[[#This Row],[data]])</f>
        <v>0</v>
      </c>
      <c r="AN131" s="20">
        <f>IFERROR(preçodiario[[#This Row],[OVO VERMELHO B]]*preçodiario[[#This Row],[estoque BV]],0)</f>
        <v>0</v>
      </c>
      <c r="AO1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Row],[data]])),((AO130*AP130)+SUMIFS(estoque[valor total],estoque[produto],preçodiario[[#Headers],[OVO VERMELHO C]],estoque[data],preçodiario[[#This Row],[data]],estoque[fornecedor],"&lt;&gt;saída"))/(AP130+(SUMIFS(estoque[quantidade],estoque[produto],preçodiario[[#Headers],[OVO VERMELHO C]],estoque[fornecedor],"&lt;&gt;saída",estoque[data],preçodiario[[#This Row],[data]])))))</f>
        <v/>
      </c>
      <c r="AP131" s="22">
        <f>IF(preçodiario[[#This Row],[entrada CV]]=0,AP130-(SUMIFS(estoque[quantidade],estoque[fornecedor],"saída",estoque[produto],preçodiario[[#Headers],[OVO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Row],[data]]))+AP130+preçodiario[[#This Row],[entrada CV]])</f>
        <v>0</v>
      </c>
      <c r="AQ131" s="22">
        <f>SUMIFS(estoque[quantidade],estoque[fornecedor],"&lt;&gt;saída",estoque[produto],preçodiario[[#Headers],[OVO VERMELHO C]],estoque[data],preçodiario[[#This Row],[data]])</f>
        <v>0</v>
      </c>
      <c r="AR131" s="20">
        <f>SUMIFS(estoque[valor total],estoque[fornecedor],"&lt;&gt;saída",estoque[produto],preçodiario[[#Headers],[OVO VERMELHO C]],estoque[data],preçodiario[[#This Row],[data]])</f>
        <v>0</v>
      </c>
      <c r="AS131" s="20">
        <f>IFERROR(preçodiario[[#This Row],[OVO VERMELHO C]]*preçodiario[[#This Row],[estoque CV]],0)</f>
        <v>0</v>
      </c>
      <c r="AT1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Row],[data]])),((AT130*AU130)+SUMIFS(estoque[valor total],estoque[produto],preçodiario[[#Headers],[OVO VERMELHO EXTRA]],estoque[data],preçodiario[[#This Row],[data]],estoque[fornecedor],"&lt;&gt;saída"))/(AU130+(SUMIFS(estoque[quantidade],estoque[produto],preçodiario[[#Headers],[OVO VERMELHO EXTRA]],estoque[fornecedor],"&lt;&gt;saída",estoque[data],preçodiario[[#This Row],[data]])))))</f>
        <v/>
      </c>
      <c r="AU131" s="22">
        <f>IF(preçodiario[[#This Row],[entrada EV]]=0,AU130-(SUMIFS(estoque[quantidade],estoque[fornecedor],"saída",estoque[produto],preçodiario[[#Headers],[OVO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Row],[data]]))+AU130+preçodiario[[#This Row],[entrada EV]])</f>
        <v>0</v>
      </c>
      <c r="AV131" s="22">
        <f>SUMIFS(estoque[quantidade],estoque[fornecedor],"&lt;&gt;saída",estoque[produto],preçodiario[[#Headers],[OVO VERMELHO EXTRA]],estoque[data],preçodiario[[#This Row],[data]])</f>
        <v>0</v>
      </c>
      <c r="AW131" s="20">
        <f>SUMIFS(estoque[valor total],estoque[fornecedor],"&lt;&gt;saída",estoque[produto],preçodiario[[#Headers],[OVO VERMELHO EXTRA]],estoque[data],preçodiario[[#This Row],[data]])</f>
        <v>0</v>
      </c>
      <c r="AX131" s="20">
        <f>IFERROR(preçodiario[[#This Row],[OVO VERMELHO EXTRA]]*preçodiario[[#This Row],[estoque EV]],0)</f>
        <v>0</v>
      </c>
      <c r="AY1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Row],[data]])),((AY130*AZ130)+SUMIFS(estoque[valor total],estoque[produto],preçodiario[[#Headers],[OVO VERMELHO JUMBO]],estoque[data],preçodiario[[#This Row],[data]],estoque[fornecedor],"&lt;&gt;saída"))/(AZ130+(SUMIFS(estoque[quantidade],estoque[produto],preçodiario[[#Headers],[OVO VERMELHO JUMBO]],estoque[fornecedor],"&lt;&gt;saída",estoque[data],preçodiario[[#This Row],[data]])))))</f>
        <v/>
      </c>
      <c r="AZ131" s="22">
        <f>IF(preçodiario[[#This Row],[entrada JV]]=0,AZ130-(SUMIFS(estoque[quantidade],estoque[fornecedor],"saída",estoque[produto],preçodiario[[#Headers],[OVO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Row],[data]]))+AZ130+preçodiario[[#This Row],[entrada JV]])</f>
        <v>0</v>
      </c>
      <c r="BA131" s="22">
        <f>SUMIFS(estoque[quantidade],estoque[fornecedor],"&lt;&gt;saída",estoque[produto],preçodiario[[#Headers],[OVO VERMELHO JUMBO]],estoque[data],preçodiario[[#This Row],[data]])</f>
        <v>0</v>
      </c>
      <c r="BB131" s="20">
        <f>SUMIFS(estoque[valor total],estoque[fornecedor],"&lt;&gt;saída",estoque[produto],preçodiario[[#Headers],[OVO VERMELHO JUMBO]],estoque[data],preçodiario[[#This Row],[data]])</f>
        <v>0</v>
      </c>
      <c r="BC131" s="20">
        <f>IFERROR(preçodiario[[#This Row],[OVO VERMELHO JUMBO]]*preçodiario[[#This Row],[estoque JV]],0)</f>
        <v>0</v>
      </c>
      <c r="BD131" t="str">
        <f>TEXT(vendaAno[[#This Row],[data]],"mmm")</f>
        <v>mai</v>
      </c>
      <c r="BE131" t="str">
        <f>TEXT(vendaAno[[#This Row],[data]],"ddd")</f>
        <v>dom</v>
      </c>
      <c r="BF131" s="82">
        <f>WEEKNUM(vendaAno[[#This Row],[data]],13)</f>
        <v>19</v>
      </c>
      <c r="BG131" s="27">
        <f>preçodiario[[#This Row],[data]]</f>
        <v>46152</v>
      </c>
      <c r="BH1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1" s="8">
        <f>IF(SUMIFS(estoque[valor total],estoque[fornecedor],"saída",estoque[data],vendaAno[[#This Row],[data]])=0,"",SUMIFS(estoque[valor total],estoque[fornecedor],"saída",estoque[data],vendaAno[[#This Row],[data]]))</f>
        <v>287</v>
      </c>
      <c r="BJ13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Row],[data]]))/12+BJ130,"")</f>
        <v>20.749999999999979</v>
      </c>
      <c r="BK131" s="79">
        <f ca="1">IF(TODAY()&gt;=vendaAno[[#This Row],[data]],IF(SUMIFS(estoque[quantidade],estoque[fornecedor],"saída",estoque[data],vendaAno[[#This Row],[data]])/12=0,AVERAGE(BK128:BK130),SUMIFS(estoque[quantidade],estoque[fornecedor],"saída",estoque[data],vendaAno[[#This Row],[data]])/12),"")</f>
        <v>1.0833333333333333</v>
      </c>
      <c r="BL131" s="8">
        <f ca="1">IF(vendaAno[[#This Row],[data]]&lt;=TODAY(),IF(SUMIFS(estoque[lucro],estoque[fornecedor],"saída",estoque[data],vendaAno[[#This Row],[data]])=0,AVERAGE(BL128:BL130),SUMIFS(estoque[lucro],estoque[fornecedor],"saída",estoque[data],vendaAno[[#This Row],[data]])),"")</f>
        <v>66.19</v>
      </c>
      <c r="BM131" s="10">
        <f ca="1">IFERROR(vendaAno[[#This Row],[lucro]]/vendaAno[[#This Row],[valor de venda]],"")</f>
        <v>0.23062717770034843</v>
      </c>
      <c r="BN13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4228.5627026871771</v>
      </c>
      <c r="BO131" s="8">
        <f ca="1">IF(TODAY()&gt;=vendaAno[[#This Row],[data]],IF(vendaAno[[#This Row],[N°]]=BF130,vendaAno[[#This Row],[lucro]]-173.33+BO130,vendaAno[[#This Row],[lucro]]-150),"")</f>
        <v>-289.86</v>
      </c>
      <c r="BP131" s="81">
        <f ca="1">IF(TODAY()&gt;=vendaAno[[#This Row],[data]],SUM(BK125:BK131)*12,"")</f>
        <v>195</v>
      </c>
      <c r="BQ131" s="7">
        <f ca="1">IFERROR(vendaAno[[#This Row],[lucro]]/(vendaAno[[#This Row],[venda]]*12),"")</f>
        <v>5.0915384615384616</v>
      </c>
    </row>
    <row r="132" spans="1:69" x14ac:dyDescent="0.25">
      <c r="A1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2" s="18" t="str">
        <f>TEXT(preçodiario[[#This Row],[data]],"MMM")</f>
        <v>mai</v>
      </c>
      <c r="C132" s="18" t="str">
        <f>TEXT(preçodiario[[#This Row],[data]],"ddd")</f>
        <v>seg</v>
      </c>
      <c r="D132" s="96">
        <f>WEEKNUM(preçodiario[[#This Row],[data]],13)</f>
        <v>19</v>
      </c>
      <c r="E132" s="37">
        <v>46153</v>
      </c>
      <c r="F1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Row],[data]])),((F131*G131)+SUMIFS(estoque[valor total],estoque[produto],preçodiario[[#Headers],[OVO BRANCO A]],estoque[data],preçodiario[[#This Row],[data]],estoque[fornecedor],"&lt;&gt;saída"))/(G131+(SUMIFS(estoque[quantidade],estoque[produto],preçodiario[[#Headers],[OVO BRANCO A]],estoque[fornecedor],"&lt;&gt;saída",estoque[data],preçodiario[[#This Row],[data]])))))</f>
        <v>16.660846560846558</v>
      </c>
      <c r="G132" s="22">
        <f>IF(preçodiario[[#This Row],[entrada A]]=0,G131-(SUMIFS(estoque[quantidade],estoque[fornecedor],"saída",estoque[produto],preçodiario[[#Headers],[OVO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Row],[data]]))+G131+preçodiario[[#This Row],[entrada A]])</f>
        <v>77</v>
      </c>
      <c r="H132" s="22">
        <f>SUMIFS(estoque[quantidade],estoque[fornecedor],"&lt;&gt;saída",estoque[produto],preçodiario[[#Headers],[OVO BRANCO A]],estoque[data],preçodiario[[#This Row],[data]])</f>
        <v>0</v>
      </c>
      <c r="I132" s="20">
        <f>SUMIFS(estoque[valor total],estoque[fornecedor],"&lt;&gt;saída",estoque[produto],preçodiario[[#Headers],[OVO BRANCO A]],estoque[data],preçodiario[[#This Row],[data]])</f>
        <v>0</v>
      </c>
      <c r="J132" s="20">
        <f>IFERROR(preçodiario[[#This Row],[estoque A]]*preçodiario[[#This Row],[OVO BRANCO A]],0)</f>
        <v>1282.885185185185</v>
      </c>
      <c r="K1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Row],[data]])),((K131*L131)+SUMIFS(estoque[valor total],estoque[produto],preçodiario[[#Headers],[OVO BRANCO B]],estoque[data],preçodiario[[#This Row],[data]],estoque[fornecedor],"&lt;&gt;saída"))/(L131+(SUMIFS(estoque[quantidade],estoque[produto],preçodiario[[#Headers],[OVO BRANCO B]],estoque[fornecedor],"&lt;&gt;saída",estoque[data],preçodiario[[#This Row],[data]])))))</f>
        <v>16.244678634081524</v>
      </c>
      <c r="L132" s="22">
        <f>IF(preçodiario[[#This Row],[entrada B]]=0,L131-(SUMIFS(estoque[quantidade],estoque[fornecedor],"saída",estoque[produto],preçodiario[[#Headers],[OVO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Row],[data]]))+L131+preçodiario[[#This Row],[entrada B]])</f>
        <v>4</v>
      </c>
      <c r="M132" s="22">
        <f>SUMIFS(estoque[quantidade],estoque[fornecedor],"&lt;&gt;saída",estoque[produto],preçodiario[[#Headers],[OVO BRANCO B]],estoque[data],preçodiario[[#This Row],[data]])</f>
        <v>0</v>
      </c>
      <c r="N132" s="20">
        <f>SUMIFS(estoque[valor total],estoque[fornecedor],"&lt;&gt;saída",estoque[produto],preçodiario[[#Headers],[OVO BRANCO B]],estoque[data],preçodiario[[#This Row],[data]])</f>
        <v>0</v>
      </c>
      <c r="O132" s="20">
        <f>IFERROR(preçodiario[[#This Row],[OVO BRANCO B]]*preçodiario[[#This Row],[estoque B]],0)</f>
        <v>64.978714536326095</v>
      </c>
      <c r="P13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Row],[data]])),((P131*Q131)+SUMIFS(estoque[valor total],estoque[produto],preçodiario[[#Headers],[OVO BRANCO C]],estoque[data],preçodiario[[#This Row],[data]],estoque[fornecedor],"&lt;&gt;saída"))/(Q131+(SUMIFS(estoque[quantidade],estoque[produto],preçodiario[[#Headers],[OVO BRANCO C]],estoque[fornecedor],"&lt;&gt;saída",estoque[data],preçodiario[[#This Row],[data]])))))</f>
        <v/>
      </c>
      <c r="Q132" s="22">
        <f>IF(preçodiario[[#This Row],[entrada C]]=0,Q131-(SUMIFS(estoque[quantidade],estoque[fornecedor],"saída",estoque[produto],preçodiario[[#Headers],[OVO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Row],[data]]))+Q131+preçodiario[[#This Row],[entrada C]])</f>
        <v>0</v>
      </c>
      <c r="R132" s="22">
        <f>SUMIFS(estoque[quantidade],estoque[fornecedor],"&lt;&gt;saída",estoque[produto],preçodiario[[#Headers],[OVO BRANCO C]],estoque[data],preçodiario[[#This Row],[data]])</f>
        <v>0</v>
      </c>
      <c r="S132" s="20">
        <f>SUMIFS(estoque[valor total],estoque[fornecedor],"&lt;&gt;saída",estoque[produto],preçodiario[[#Headers],[OVO BRANCO C]],estoque[data],preçodiario[[#This Row],[data]])</f>
        <v>0</v>
      </c>
      <c r="T132" s="20">
        <f>IFERROR(preçodiario[[#This Row],[OVO BRANCO C]]*preçodiario[[#This Row],[estoque C]],0)</f>
        <v>0</v>
      </c>
      <c r="U1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Row],[data]])),((U131*V131)+SUMIFS(estoque[valor total],estoque[produto],preçodiario[[#Headers],[OVO BRANCO EXTRA]],estoque[data],preçodiario[[#This Row],[data]],estoque[fornecedor],"&lt;&gt;saída"))/(V131+(SUMIFS(estoque[quantidade],estoque[produto],preçodiario[[#Headers],[OVO BRANCO EXTRA]],estoque[fornecedor],"&lt;&gt;saída",estoque[data],preçodiario[[#This Row],[data]])))))</f>
        <v>17.083333333333336</v>
      </c>
      <c r="V132" s="22">
        <f>IF(preçodiario[[#This Row],[entrada E]]=0,V131-(SUMIFS(estoque[quantidade],estoque[fornecedor],"saída",estoque[produto],preçodiario[[#Headers],[OVO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Row],[data]]))+V131+preçodiario[[#This Row],[entrada E]])</f>
        <v>61</v>
      </c>
      <c r="W132" s="22">
        <f>SUMIFS(estoque[quantidade],estoque[fornecedor],"&lt;&gt;saída",estoque[produto],preçodiario[[#Headers],[OVO BRANCO EXTRA]],estoque[data],preçodiario[[#This Row],[data]])</f>
        <v>0</v>
      </c>
      <c r="X132" s="20">
        <f>SUMIFS(estoque[valor total],estoque[fornecedor],"&lt;&gt;saída",estoque[produto],preçodiario[[#Headers],[OVO BRANCO EXTRA]],estoque[data],preçodiario[[#This Row],[data]])</f>
        <v>0</v>
      </c>
      <c r="Y132" s="20">
        <f>IFERROR(preçodiario[[#This Row],[estoque E]]*preçodiario[[#This Row],[OVO BRANCO EXTRA]],0)</f>
        <v>1042.0833333333335</v>
      </c>
      <c r="Z1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Row],[data]])),((Z131*AA131)+SUMIFS(estoque[valor total],estoque[produto],preçodiario[[#Headers],[OVO BRANCO JUMBO]],estoque[data],preçodiario[[#This Row],[data]],estoque[fornecedor],"&lt;&gt;saída"))/(AA131+(SUMIFS(estoque[quantidade],estoque[produto],preçodiario[[#Headers],[OVO BRANCO JUMBO]],estoque[fornecedor],"&lt;&gt;saída",estoque[data],preçodiario[[#This Row],[data]])))))</f>
        <v>17.5</v>
      </c>
      <c r="AA132" s="22">
        <f>IF(preçodiario[[#This Row],[entrada J]]=0,AA131-(SUMIFS(estoque[quantidade],estoque[fornecedor],"saída",estoque[produto],preçodiario[[#Headers],[OVO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Row],[data]]))+AA131+preçodiario[[#This Row],[entrada J]])</f>
        <v>61</v>
      </c>
      <c r="AB132" s="22">
        <f>SUMIFS(estoque[quantidade],estoque[fornecedor],"&lt;&gt;saída",estoque[produto],preçodiario[[#Headers],[OVO BRANCO JUMBO]],estoque[data],preçodiario[[#This Row],[data]])</f>
        <v>0</v>
      </c>
      <c r="AC132" s="20">
        <f>SUMIFS(estoque[valor total],estoque[fornecedor],"&lt;&gt;saída",estoque[produto],preçodiario[[#Headers],[OVO BRANCO JUMBO]],estoque[data],preçodiario[[#This Row],[data]])</f>
        <v>0</v>
      </c>
      <c r="AD132" s="20">
        <f>IFERROR(preçodiario[[#This Row],[OVO BRANCO JUMBO]]*preçodiario[[#This Row],[estoque J]],0)</f>
        <v>1067.5</v>
      </c>
      <c r="AE1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Row],[data]])),((AE131*AF131)+SUMIFS(estoque[valor total],estoque[produto],preçodiario[[#Headers],[OVO VERMELHO A]],estoque[data],preçodiario[[#This Row],[data]],estoque[fornecedor],"&lt;&gt;saída"))/(AF131+(SUMIFS(estoque[quantidade],estoque[produto],preçodiario[[#Headers],[OVO VERMELHO A]],estoque[fornecedor],"&lt;&gt;saída",estoque[data],preçodiario[[#This Row],[data]])))))</f>
        <v/>
      </c>
      <c r="AF132" s="22">
        <f>IF(preçodiario[[#This Row],[entrada AV]]=0,AF131-(SUMIFS(estoque[quantidade],estoque[fornecedor],"saída",estoque[produto],preçodiario[[#Headers],[OVO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Row],[data]]))+AF131+preçodiario[[#This Row],[entrada AV]])</f>
        <v>0</v>
      </c>
      <c r="AG132" s="22">
        <f>SUMIFS(estoque[quantidade],estoque[fornecedor],"&lt;&gt;saída",estoque[produto],preçodiario[[#Headers],[OVO VERMELHO A]],estoque[data],preçodiario[[#This Row],[data]])</f>
        <v>0</v>
      </c>
      <c r="AH132" s="20">
        <f>SUMIFS(estoque[valor total],estoque[fornecedor],"&lt;&gt;saída",estoque[produto],preçodiario[[#Headers],[OVO VERMELHO A]],estoque[data],preçodiario[[#This Row],[data]])</f>
        <v>0</v>
      </c>
      <c r="AI132" s="20">
        <f>IFERROR(preçodiario[[#This Row],[OVO VERMELHO A]]*preçodiario[[#This Row],[estoque AV]],0)</f>
        <v>0</v>
      </c>
      <c r="AJ1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Row],[data]])),((AJ131*AK131)+SUMIFS(estoque[valor total],estoque[produto],preçodiario[[#Headers],[OVO VERMELHO B]],estoque[data],preçodiario[[#This Row],[data]],estoque[fornecedor],"&lt;&gt;saída"))/(AK131+(SUMIFS(estoque[quantidade],estoque[produto],preçodiario[[#Headers],[OVO VERMELHO B]],estoque[fornecedor],"&lt;&gt;saída",estoque[data],preçodiario[[#This Row],[data]])))))</f>
        <v/>
      </c>
      <c r="AK132" s="22">
        <f>IF(preçodiario[[#This Row],[entrada BV]]=0,AK131-(SUMIFS(estoque[quantidade],estoque[fornecedor],"saída",estoque[produto],preçodiario[[#Headers],[OVO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Row],[data]]))+AK131+preçodiario[[#This Row],[entrada BV]])</f>
        <v>0</v>
      </c>
      <c r="AL132" s="22">
        <f>SUMIFS(estoque[quantidade],estoque[fornecedor],"&lt;&gt;saída",estoque[produto],preçodiario[[#Headers],[OVO VERMELHO B]],estoque[data],preçodiario[[#This Row],[data]])</f>
        <v>0</v>
      </c>
      <c r="AM132" s="20">
        <f>SUMIFS(estoque[valor total],estoque[fornecedor],"&lt;&gt;saída",estoque[produto],preçodiario[[#Headers],[OVO VERMELHO B]],estoque[data],preçodiario[[#This Row],[data]])</f>
        <v>0</v>
      </c>
      <c r="AN132" s="20">
        <f>IFERROR(preçodiario[[#This Row],[OVO VERMELHO B]]*preçodiario[[#This Row],[estoque BV]],0)</f>
        <v>0</v>
      </c>
      <c r="AO1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Row],[data]])),((AO131*AP131)+SUMIFS(estoque[valor total],estoque[produto],preçodiario[[#Headers],[OVO VERMELHO C]],estoque[data],preçodiario[[#This Row],[data]],estoque[fornecedor],"&lt;&gt;saída"))/(AP131+(SUMIFS(estoque[quantidade],estoque[produto],preçodiario[[#Headers],[OVO VERMELHO C]],estoque[fornecedor],"&lt;&gt;saída",estoque[data],preçodiario[[#This Row],[data]])))))</f>
        <v/>
      </c>
      <c r="AP132" s="22">
        <f>IF(preçodiario[[#This Row],[entrada CV]]=0,AP131-(SUMIFS(estoque[quantidade],estoque[fornecedor],"saída",estoque[produto],preçodiario[[#Headers],[OVO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Row],[data]]))+AP131+preçodiario[[#This Row],[entrada CV]])</f>
        <v>0</v>
      </c>
      <c r="AQ132" s="22">
        <f>SUMIFS(estoque[quantidade],estoque[fornecedor],"&lt;&gt;saída",estoque[produto],preçodiario[[#Headers],[OVO VERMELHO C]],estoque[data],preçodiario[[#This Row],[data]])</f>
        <v>0</v>
      </c>
      <c r="AR132" s="20">
        <f>SUMIFS(estoque[valor total],estoque[fornecedor],"&lt;&gt;saída",estoque[produto],preçodiario[[#Headers],[OVO VERMELHO C]],estoque[data],preçodiario[[#This Row],[data]])</f>
        <v>0</v>
      </c>
      <c r="AS132" s="20">
        <f>IFERROR(preçodiario[[#This Row],[OVO VERMELHO C]]*preçodiario[[#This Row],[estoque CV]],0)</f>
        <v>0</v>
      </c>
      <c r="AT1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Row],[data]])),((AT131*AU131)+SUMIFS(estoque[valor total],estoque[produto],preçodiario[[#Headers],[OVO VERMELHO EXTRA]],estoque[data],preçodiario[[#This Row],[data]],estoque[fornecedor],"&lt;&gt;saída"))/(AU131+(SUMIFS(estoque[quantidade],estoque[produto],preçodiario[[#Headers],[OVO VERMELHO EXTRA]],estoque[fornecedor],"&lt;&gt;saída",estoque[data],preçodiario[[#This Row],[data]])))))</f>
        <v/>
      </c>
      <c r="AU132" s="22">
        <f>IF(preçodiario[[#This Row],[entrada EV]]=0,AU131-(SUMIFS(estoque[quantidade],estoque[fornecedor],"saída",estoque[produto],preçodiario[[#Headers],[OVO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Row],[data]]))+AU131+preçodiario[[#This Row],[entrada EV]])</f>
        <v>0</v>
      </c>
      <c r="AV132" s="22">
        <f>SUMIFS(estoque[quantidade],estoque[fornecedor],"&lt;&gt;saída",estoque[produto],preçodiario[[#Headers],[OVO VERMELHO EXTRA]],estoque[data],preçodiario[[#This Row],[data]])</f>
        <v>0</v>
      </c>
      <c r="AW132" s="20">
        <f>SUMIFS(estoque[valor total],estoque[fornecedor],"&lt;&gt;saída",estoque[produto],preçodiario[[#Headers],[OVO VERMELHO EXTRA]],estoque[data],preçodiario[[#This Row],[data]])</f>
        <v>0</v>
      </c>
      <c r="AX132" s="20">
        <f>IFERROR(preçodiario[[#This Row],[OVO VERMELHO EXTRA]]*preçodiario[[#This Row],[estoque EV]],0)</f>
        <v>0</v>
      </c>
      <c r="AY1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Row],[data]])),((AY131*AZ131)+SUMIFS(estoque[valor total],estoque[produto],preçodiario[[#Headers],[OVO VERMELHO JUMBO]],estoque[data],preçodiario[[#This Row],[data]],estoque[fornecedor],"&lt;&gt;saída"))/(AZ131+(SUMIFS(estoque[quantidade],estoque[produto],preçodiario[[#Headers],[OVO VERMELHO JUMBO]],estoque[fornecedor],"&lt;&gt;saída",estoque[data],preçodiario[[#This Row],[data]])))))</f>
        <v/>
      </c>
      <c r="AZ132" s="22">
        <f>IF(preçodiario[[#This Row],[entrada JV]]=0,AZ131-(SUMIFS(estoque[quantidade],estoque[fornecedor],"saída",estoque[produto],preçodiario[[#Headers],[OVO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Row],[data]]))+AZ131+preçodiario[[#This Row],[entrada JV]])</f>
        <v>0</v>
      </c>
      <c r="BA132" s="22">
        <f>SUMIFS(estoque[quantidade],estoque[fornecedor],"&lt;&gt;saída",estoque[produto],preçodiario[[#Headers],[OVO VERMELHO JUMBO]],estoque[data],preçodiario[[#This Row],[data]])</f>
        <v>0</v>
      </c>
      <c r="BB132" s="20">
        <f>SUMIFS(estoque[valor total],estoque[fornecedor],"&lt;&gt;saída",estoque[produto],preçodiario[[#Headers],[OVO VERMELHO JUMBO]],estoque[data],preçodiario[[#This Row],[data]])</f>
        <v>0</v>
      </c>
      <c r="BC132" s="20">
        <f>IFERROR(preçodiario[[#This Row],[OVO VERMELHO JUMBO]]*preçodiario[[#This Row],[estoque JV]],0)</f>
        <v>0</v>
      </c>
      <c r="BD132" t="str">
        <f>TEXT(vendaAno[[#This Row],[data]],"mmm")</f>
        <v>mai</v>
      </c>
      <c r="BE132" t="str">
        <f>TEXT(vendaAno[[#This Row],[data]],"ddd")</f>
        <v>seg</v>
      </c>
      <c r="BF132" s="82">
        <f>WEEKNUM(vendaAno[[#This Row],[data]],13)</f>
        <v>19</v>
      </c>
      <c r="BG132" s="27">
        <f>preçodiario[[#This Row],[data]]</f>
        <v>46153</v>
      </c>
      <c r="BH1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2" s="8">
        <f>IF(SUMIFS(estoque[valor total],estoque[fornecedor],"saída",estoque[data],vendaAno[[#This Row],[data]])=0,"",SUMIFS(estoque[valor total],estoque[fornecedor],"saída",estoque[data],vendaAno[[#This Row],[data]]))</f>
        <v>945.5</v>
      </c>
      <c r="BJ13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Row],[data]]))/12+BJ131,"")</f>
        <v>16.916666666666647</v>
      </c>
      <c r="BK132" s="79">
        <f ca="1">IF(TODAY()&gt;=vendaAno[[#This Row],[data]],IF(SUMIFS(estoque[quantidade],estoque[fornecedor],"saída",estoque[data],vendaAno[[#This Row],[data]])/12=0,AVERAGE(BK129:BK131),SUMIFS(estoque[quantidade],estoque[fornecedor],"saída",estoque[data],vendaAno[[#This Row],[data]])/12),"")</f>
        <v>3.8333333333333335</v>
      </c>
      <c r="BL132" s="8">
        <f ca="1">IF(vendaAno[[#This Row],[data]]&lt;=TODAY(),IF(SUMIFS(estoque[lucro],estoque[fornecedor],"saída",estoque[data],vendaAno[[#This Row],[data]])=0,AVERAGE(BL129:BL131),SUMIFS(estoque[lucro],estoque[fornecedor],"saída",estoque[data],vendaAno[[#This Row],[data]])),"")</f>
        <v>174.39000000000001</v>
      </c>
      <c r="BM132" s="10">
        <f ca="1">IFERROR(vendaAno[[#This Row],[lucro]]/vendaAno[[#This Row],[valor de venda]],"")</f>
        <v>0.18444209413008991</v>
      </c>
      <c r="BN13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3457.4472330548447</v>
      </c>
      <c r="BO132" s="8">
        <f ca="1">IF(TODAY()&gt;=vendaAno[[#This Row],[data]],IF(vendaAno[[#This Row],[N°]]=BF131,vendaAno[[#This Row],[lucro]]-173.33+BO131,vendaAno[[#This Row],[lucro]]-150),"")</f>
        <v>-288.8</v>
      </c>
      <c r="BP132" s="81">
        <f ca="1">IF(TODAY()&gt;=vendaAno[[#This Row],[data]],SUM(BK126:BK132)*12,"")</f>
        <v>201</v>
      </c>
      <c r="BQ132" s="7">
        <f ca="1">IFERROR(vendaAno[[#This Row],[lucro]]/(vendaAno[[#This Row],[venda]]*12),"")</f>
        <v>3.7910869565217395</v>
      </c>
    </row>
    <row r="133" spans="1:69" x14ac:dyDescent="0.25">
      <c r="A1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3" s="18" t="str">
        <f>TEXT(preçodiario[[#This Row],[data]],"MMM")</f>
        <v>mai</v>
      </c>
      <c r="C133" s="18" t="str">
        <f>TEXT(preçodiario[[#This Row],[data]],"ddd")</f>
        <v>ter</v>
      </c>
      <c r="D133" s="96">
        <f>WEEKNUM(preçodiario[[#This Row],[data]],13)</f>
        <v>19</v>
      </c>
      <c r="E133" s="37">
        <v>46154</v>
      </c>
      <c r="F1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Row],[data]])),((F132*G132)+SUMIFS(estoque[valor total],estoque[produto],preçodiario[[#Headers],[OVO BRANCO A]],estoque[data],preçodiario[[#This Row],[data]],estoque[fornecedor],"&lt;&gt;saída"))/(G132+(SUMIFS(estoque[quantidade],estoque[produto],preçodiario[[#Headers],[OVO BRANCO A]],estoque[fornecedor],"&lt;&gt;saída",estoque[data],preçodiario[[#This Row],[data]])))))</f>
        <v>16.660846560846558</v>
      </c>
      <c r="G133" s="22">
        <f>IF(preçodiario[[#This Row],[entrada A]]=0,G132-(SUMIFS(estoque[quantidade],estoque[fornecedor],"saída",estoque[produto],preçodiario[[#Headers],[OVO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Row],[data]]))+G132+preçodiario[[#This Row],[entrada A]])</f>
        <v>75</v>
      </c>
      <c r="H133" s="22">
        <f>SUMIFS(estoque[quantidade],estoque[fornecedor],"&lt;&gt;saída",estoque[produto],preçodiario[[#Headers],[OVO BRANCO A]],estoque[data],preçodiario[[#This Row],[data]])</f>
        <v>0</v>
      </c>
      <c r="I133" s="20">
        <f>SUMIFS(estoque[valor total],estoque[fornecedor],"&lt;&gt;saída",estoque[produto],preçodiario[[#Headers],[OVO BRANCO A]],estoque[data],preçodiario[[#This Row],[data]])</f>
        <v>0</v>
      </c>
      <c r="J133" s="20">
        <f>IFERROR(preçodiario[[#This Row],[estoque A]]*preçodiario[[#This Row],[OVO BRANCO A]],0)</f>
        <v>1249.5634920634918</v>
      </c>
      <c r="K133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Row],[data]])),((K132*L132)+SUMIFS(estoque[valor total],estoque[produto],preçodiario[[#Headers],[OVO BRANCO B]],estoque[data],preçodiario[[#This Row],[data]],estoque[fornecedor],"&lt;&gt;saída"))/(L132+(SUMIFS(estoque[quantidade],estoque[produto],preçodiario[[#Headers],[OVO BRANCO B]],estoque[fornecedor],"&lt;&gt;saída",estoque[data],preçodiario[[#This Row],[data]])))))</f>
        <v/>
      </c>
      <c r="L133" s="22">
        <f>IF(preçodiario[[#This Row],[entrada B]]=0,L132-(SUMIFS(estoque[quantidade],estoque[fornecedor],"saída",estoque[produto],preçodiario[[#Headers],[OVO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Row],[data]]))+L132+preçodiario[[#This Row],[entrada B]])</f>
        <v>0</v>
      </c>
      <c r="M133" s="22">
        <f>SUMIFS(estoque[quantidade],estoque[fornecedor],"&lt;&gt;saída",estoque[produto],preçodiario[[#Headers],[OVO BRANCO B]],estoque[data],preçodiario[[#This Row],[data]])</f>
        <v>0</v>
      </c>
      <c r="N133" s="20">
        <f>SUMIFS(estoque[valor total],estoque[fornecedor],"&lt;&gt;saída",estoque[produto],preçodiario[[#Headers],[OVO BRANCO B]],estoque[data],preçodiario[[#This Row],[data]])</f>
        <v>0</v>
      </c>
      <c r="O133" s="20">
        <f>IFERROR(preçodiario[[#This Row],[OVO BRANCO B]]*preçodiario[[#This Row],[estoque B]],0)</f>
        <v>0</v>
      </c>
      <c r="P13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Row],[data]])),((P132*Q132)+SUMIFS(estoque[valor total],estoque[produto],preçodiario[[#Headers],[OVO BRANCO C]],estoque[data],preçodiario[[#This Row],[data]],estoque[fornecedor],"&lt;&gt;saída"))/(Q132+(SUMIFS(estoque[quantidade],estoque[produto],preçodiario[[#Headers],[OVO BRANCO C]],estoque[fornecedor],"&lt;&gt;saída",estoque[data],preçodiario[[#This Row],[data]])))))</f>
        <v/>
      </c>
      <c r="Q133" s="22">
        <f>IF(preçodiario[[#This Row],[entrada C]]=0,Q132-(SUMIFS(estoque[quantidade],estoque[fornecedor],"saída",estoque[produto],preçodiario[[#Headers],[OVO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Row],[data]]))+Q132+preçodiario[[#This Row],[entrada C]])</f>
        <v>0</v>
      </c>
      <c r="R133" s="22">
        <f>SUMIFS(estoque[quantidade],estoque[fornecedor],"&lt;&gt;saída",estoque[produto],preçodiario[[#Headers],[OVO BRANCO C]],estoque[data],preçodiario[[#This Row],[data]])</f>
        <v>0</v>
      </c>
      <c r="S133" s="20">
        <f>SUMIFS(estoque[valor total],estoque[fornecedor],"&lt;&gt;saída",estoque[produto],preçodiario[[#Headers],[OVO BRANCO C]],estoque[data],preçodiario[[#This Row],[data]])</f>
        <v>0</v>
      </c>
      <c r="T133" s="20">
        <f>IFERROR(preçodiario[[#This Row],[OVO BRANCO C]]*preçodiario[[#This Row],[estoque C]],0)</f>
        <v>0</v>
      </c>
      <c r="U1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Row],[data]])),((U132*V132)+SUMIFS(estoque[valor total],estoque[produto],preçodiario[[#Headers],[OVO BRANCO EXTRA]],estoque[data],preçodiario[[#This Row],[data]],estoque[fornecedor],"&lt;&gt;saída"))/(V132+(SUMIFS(estoque[quantidade],estoque[produto],preçodiario[[#Headers],[OVO BRANCO EXTRA]],estoque[fornecedor],"&lt;&gt;saída",estoque[data],preçodiario[[#This Row],[data]])))))</f>
        <v>17.083333333333336</v>
      </c>
      <c r="V133" s="22">
        <f>IF(preçodiario[[#This Row],[entrada E]]=0,V132-(SUMIFS(estoque[quantidade],estoque[fornecedor],"saída",estoque[produto],preçodiario[[#Headers],[OVO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Row],[data]]))+V132+preçodiario[[#This Row],[entrada E]])</f>
        <v>51</v>
      </c>
      <c r="W133" s="22">
        <f>SUMIFS(estoque[quantidade],estoque[fornecedor],"&lt;&gt;saída",estoque[produto],preçodiario[[#Headers],[OVO BRANCO EXTRA]],estoque[data],preçodiario[[#This Row],[data]])</f>
        <v>0</v>
      </c>
      <c r="X133" s="20">
        <f>SUMIFS(estoque[valor total],estoque[fornecedor],"&lt;&gt;saída",estoque[produto],preçodiario[[#Headers],[OVO BRANCO EXTRA]],estoque[data],preçodiario[[#This Row],[data]])</f>
        <v>0</v>
      </c>
      <c r="Y133" s="20">
        <f>IFERROR(preçodiario[[#This Row],[estoque E]]*preçodiario[[#This Row],[OVO BRANCO EXTRA]],0)</f>
        <v>871.25000000000011</v>
      </c>
      <c r="Z1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Row],[data]])),((Z132*AA132)+SUMIFS(estoque[valor total],estoque[produto],preçodiario[[#Headers],[OVO BRANCO JUMBO]],estoque[data],preçodiario[[#This Row],[data]],estoque[fornecedor],"&lt;&gt;saída"))/(AA132+(SUMIFS(estoque[quantidade],estoque[produto],preçodiario[[#Headers],[OVO BRANCO JUMBO]],estoque[fornecedor],"&lt;&gt;saída",estoque[data],preçodiario[[#This Row],[data]])))))</f>
        <v>17.5</v>
      </c>
      <c r="AA133" s="22">
        <f>IF(preçodiario[[#This Row],[entrada J]]=0,AA132-(SUMIFS(estoque[quantidade],estoque[fornecedor],"saída",estoque[produto],preçodiario[[#Headers],[OVO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Row],[data]]))+AA132+preçodiario[[#This Row],[entrada J]])</f>
        <v>54</v>
      </c>
      <c r="AB133" s="22">
        <f>SUMIFS(estoque[quantidade],estoque[fornecedor],"&lt;&gt;saída",estoque[produto],preçodiario[[#Headers],[OVO BRANCO JUMBO]],estoque[data],preçodiario[[#This Row],[data]])</f>
        <v>0</v>
      </c>
      <c r="AC133" s="20">
        <f>SUMIFS(estoque[valor total],estoque[fornecedor],"&lt;&gt;saída",estoque[produto],preçodiario[[#Headers],[OVO BRANCO JUMBO]],estoque[data],preçodiario[[#This Row],[data]])</f>
        <v>0</v>
      </c>
      <c r="AD133" s="20">
        <f>IFERROR(preçodiario[[#This Row],[OVO BRANCO JUMBO]]*preçodiario[[#This Row],[estoque J]],0)</f>
        <v>945</v>
      </c>
      <c r="AE1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Row],[data]])),((AE132*AF132)+SUMIFS(estoque[valor total],estoque[produto],preçodiario[[#Headers],[OVO VERMELHO A]],estoque[data],preçodiario[[#This Row],[data]],estoque[fornecedor],"&lt;&gt;saída"))/(AF132+(SUMIFS(estoque[quantidade],estoque[produto],preçodiario[[#Headers],[OVO VERMELHO A]],estoque[fornecedor],"&lt;&gt;saída",estoque[data],preçodiario[[#This Row],[data]])))))</f>
        <v/>
      </c>
      <c r="AF133" s="22">
        <f>IF(preçodiario[[#This Row],[entrada AV]]=0,AF132-(SUMIFS(estoque[quantidade],estoque[fornecedor],"saída",estoque[produto],preçodiario[[#Headers],[OVO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Row],[data]]))+AF132+preçodiario[[#This Row],[entrada AV]])</f>
        <v>0</v>
      </c>
      <c r="AG133" s="22">
        <f>SUMIFS(estoque[quantidade],estoque[fornecedor],"&lt;&gt;saída",estoque[produto],preçodiario[[#Headers],[OVO VERMELHO A]],estoque[data],preçodiario[[#This Row],[data]])</f>
        <v>0</v>
      </c>
      <c r="AH133" s="20">
        <f>SUMIFS(estoque[valor total],estoque[fornecedor],"&lt;&gt;saída",estoque[produto],preçodiario[[#Headers],[OVO VERMELHO A]],estoque[data],preçodiario[[#This Row],[data]])</f>
        <v>0</v>
      </c>
      <c r="AI133" s="20">
        <f>IFERROR(preçodiario[[#This Row],[OVO VERMELHO A]]*preçodiario[[#This Row],[estoque AV]],0)</f>
        <v>0</v>
      </c>
      <c r="AJ1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Row],[data]])),((AJ132*AK132)+SUMIFS(estoque[valor total],estoque[produto],preçodiario[[#Headers],[OVO VERMELHO B]],estoque[data],preçodiario[[#This Row],[data]],estoque[fornecedor],"&lt;&gt;saída"))/(AK132+(SUMIFS(estoque[quantidade],estoque[produto],preçodiario[[#Headers],[OVO VERMELHO B]],estoque[fornecedor],"&lt;&gt;saída",estoque[data],preçodiario[[#This Row],[data]])))))</f>
        <v/>
      </c>
      <c r="AK133" s="22">
        <f>IF(preçodiario[[#This Row],[entrada BV]]=0,AK132-(SUMIFS(estoque[quantidade],estoque[fornecedor],"saída",estoque[produto],preçodiario[[#Headers],[OVO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Row],[data]]))+AK132+preçodiario[[#This Row],[entrada BV]])</f>
        <v>0</v>
      </c>
      <c r="AL133" s="22">
        <f>SUMIFS(estoque[quantidade],estoque[fornecedor],"&lt;&gt;saída",estoque[produto],preçodiario[[#Headers],[OVO VERMELHO B]],estoque[data],preçodiario[[#This Row],[data]])</f>
        <v>0</v>
      </c>
      <c r="AM133" s="20">
        <f>SUMIFS(estoque[valor total],estoque[fornecedor],"&lt;&gt;saída",estoque[produto],preçodiario[[#Headers],[OVO VERMELHO B]],estoque[data],preçodiario[[#This Row],[data]])</f>
        <v>0</v>
      </c>
      <c r="AN133" s="20">
        <f>IFERROR(preçodiario[[#This Row],[OVO VERMELHO B]]*preçodiario[[#This Row],[estoque BV]],0)</f>
        <v>0</v>
      </c>
      <c r="AO1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Row],[data]])),((AO132*AP132)+SUMIFS(estoque[valor total],estoque[produto],preçodiario[[#Headers],[OVO VERMELHO C]],estoque[data],preçodiario[[#This Row],[data]],estoque[fornecedor],"&lt;&gt;saída"))/(AP132+(SUMIFS(estoque[quantidade],estoque[produto],preçodiario[[#Headers],[OVO VERMELHO C]],estoque[fornecedor],"&lt;&gt;saída",estoque[data],preçodiario[[#This Row],[data]])))))</f>
        <v/>
      </c>
      <c r="AP133" s="22">
        <f>IF(preçodiario[[#This Row],[entrada CV]]=0,AP132-(SUMIFS(estoque[quantidade],estoque[fornecedor],"saída",estoque[produto],preçodiario[[#Headers],[OVO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Row],[data]]))+AP132+preçodiario[[#This Row],[entrada CV]])</f>
        <v>0</v>
      </c>
      <c r="AQ133" s="22">
        <f>SUMIFS(estoque[quantidade],estoque[fornecedor],"&lt;&gt;saída",estoque[produto],preçodiario[[#Headers],[OVO VERMELHO C]],estoque[data],preçodiario[[#This Row],[data]])</f>
        <v>0</v>
      </c>
      <c r="AR133" s="20">
        <f>SUMIFS(estoque[valor total],estoque[fornecedor],"&lt;&gt;saída",estoque[produto],preçodiario[[#Headers],[OVO VERMELHO C]],estoque[data],preçodiario[[#This Row],[data]])</f>
        <v>0</v>
      </c>
      <c r="AS133" s="20">
        <f>IFERROR(preçodiario[[#This Row],[OVO VERMELHO C]]*preçodiario[[#This Row],[estoque CV]],0)</f>
        <v>0</v>
      </c>
      <c r="AT1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Row],[data]])),((AT132*AU132)+SUMIFS(estoque[valor total],estoque[produto],preçodiario[[#Headers],[OVO VERMELHO EXTRA]],estoque[data],preçodiario[[#This Row],[data]],estoque[fornecedor],"&lt;&gt;saída"))/(AU132+(SUMIFS(estoque[quantidade],estoque[produto],preçodiario[[#Headers],[OVO VERMELHO EXTRA]],estoque[fornecedor],"&lt;&gt;saída",estoque[data],preçodiario[[#This Row],[data]])))))</f>
        <v/>
      </c>
      <c r="AU133" s="22">
        <f>IF(preçodiario[[#This Row],[entrada EV]]=0,AU132-(SUMIFS(estoque[quantidade],estoque[fornecedor],"saída",estoque[produto],preçodiario[[#Headers],[OVO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Row],[data]]))+AU132+preçodiario[[#This Row],[entrada EV]])</f>
        <v>0</v>
      </c>
      <c r="AV133" s="22">
        <f>SUMIFS(estoque[quantidade],estoque[fornecedor],"&lt;&gt;saída",estoque[produto],preçodiario[[#Headers],[OVO VERMELHO EXTRA]],estoque[data],preçodiario[[#This Row],[data]])</f>
        <v>0</v>
      </c>
      <c r="AW133" s="20">
        <f>SUMIFS(estoque[valor total],estoque[fornecedor],"&lt;&gt;saída",estoque[produto],preçodiario[[#Headers],[OVO VERMELHO EXTRA]],estoque[data],preçodiario[[#This Row],[data]])</f>
        <v>0</v>
      </c>
      <c r="AX133" s="20">
        <f>IFERROR(preçodiario[[#This Row],[OVO VERMELHO EXTRA]]*preçodiario[[#This Row],[estoque EV]],0)</f>
        <v>0</v>
      </c>
      <c r="AY1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Row],[data]])),((AY132*AZ132)+SUMIFS(estoque[valor total],estoque[produto],preçodiario[[#Headers],[OVO VERMELHO JUMBO]],estoque[data],preçodiario[[#This Row],[data]],estoque[fornecedor],"&lt;&gt;saída"))/(AZ132+(SUMIFS(estoque[quantidade],estoque[produto],preçodiario[[#Headers],[OVO VERMELHO JUMBO]],estoque[fornecedor],"&lt;&gt;saída",estoque[data],preçodiario[[#This Row],[data]])))))</f>
        <v/>
      </c>
      <c r="AZ133" s="22">
        <f>IF(preçodiario[[#This Row],[entrada JV]]=0,AZ132-(SUMIFS(estoque[quantidade],estoque[fornecedor],"saída",estoque[produto],preçodiario[[#Headers],[OVO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Row],[data]]))+AZ132+preçodiario[[#This Row],[entrada JV]])</f>
        <v>0</v>
      </c>
      <c r="BA133" s="22">
        <f>SUMIFS(estoque[quantidade],estoque[fornecedor],"&lt;&gt;saída",estoque[produto],preçodiario[[#Headers],[OVO VERMELHO JUMBO]],estoque[data],preçodiario[[#This Row],[data]])</f>
        <v>0</v>
      </c>
      <c r="BB133" s="20">
        <f>SUMIFS(estoque[valor total],estoque[fornecedor],"&lt;&gt;saída",estoque[produto],preçodiario[[#Headers],[OVO VERMELHO JUMBO]],estoque[data],preçodiario[[#This Row],[data]])</f>
        <v>0</v>
      </c>
      <c r="BC133" s="20">
        <f>IFERROR(preçodiario[[#This Row],[OVO VERMELHO JUMBO]]*preçodiario[[#This Row],[estoque JV]],0)</f>
        <v>0</v>
      </c>
      <c r="BD133" t="str">
        <f>TEXT(vendaAno[[#This Row],[data]],"mmm")</f>
        <v>mai</v>
      </c>
      <c r="BE133" t="str">
        <f>TEXT(vendaAno[[#This Row],[data]],"ddd")</f>
        <v>ter</v>
      </c>
      <c r="BF133" s="82">
        <f>WEEKNUM(vendaAno[[#This Row],[data]],13)</f>
        <v>19</v>
      </c>
      <c r="BG133" s="27">
        <f>preçodiario[[#This Row],[data]]</f>
        <v>46154</v>
      </c>
      <c r="BH1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3" s="8">
        <f>IF(SUMIFS(estoque[valor total],estoque[fornecedor],"saída",estoque[data],vendaAno[[#This Row],[data]])=0,"",SUMIFS(estoque[valor total],estoque[fornecedor],"saída",estoque[data],vendaAno[[#This Row],[data]]))</f>
        <v>510</v>
      </c>
      <c r="BJ13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Row],[data]]))/12+BJ132,"")</f>
        <v>14.99999999999998</v>
      </c>
      <c r="BK133" s="79">
        <f ca="1">IF(TODAY()&gt;=vendaAno[[#This Row],[data]],IF(SUMIFS(estoque[quantidade],estoque[fornecedor],"saída",estoque[data],vendaAno[[#This Row],[data]])/12=0,AVERAGE(BK130:BK132),SUMIFS(estoque[quantidade],estoque[fornecedor],"saída",estoque[data],vendaAno[[#This Row],[data]])/12),"")</f>
        <v>1.9166666666666667</v>
      </c>
      <c r="BL133" s="8">
        <f ca="1">IF(vendaAno[[#This Row],[data]]&lt;=TODAY(),IF(SUMIFS(estoque[lucro],estoque[fornecedor],"saída",estoque[data],vendaAno[[#This Row],[data]])=0,AVERAGE(BL130:BL132),SUMIFS(estoque[lucro],estoque[fornecedor],"saída",estoque[data],vendaAno[[#This Row],[data]])),"")</f>
        <v>118.37</v>
      </c>
      <c r="BM133" s="10">
        <f ca="1">IFERROR(vendaAno[[#This Row],[lucro]]/vendaAno[[#This Row],[valor de venda]],"")</f>
        <v>0.23209803921568628</v>
      </c>
      <c r="BN13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3065.813492063492</v>
      </c>
      <c r="BO133" s="8">
        <f ca="1">IF(TODAY()&gt;=vendaAno[[#This Row],[data]],IF(vendaAno[[#This Row],[N°]]=BF132,vendaAno[[#This Row],[lucro]]-173.33+BO132,vendaAno[[#This Row],[lucro]]-150),"")</f>
        <v>-343.76</v>
      </c>
      <c r="BP133" s="81">
        <f ca="1">IF(TODAY()&gt;=vendaAno[[#This Row],[data]],SUM(BK127:BK133)*12,"")</f>
        <v>193.00000000000003</v>
      </c>
      <c r="BQ133" s="7">
        <f ca="1">IFERROR(vendaAno[[#This Row],[lucro]]/(vendaAno[[#This Row],[venda]]*12),"")</f>
        <v>5.146521739130435</v>
      </c>
    </row>
    <row r="134" spans="1:69" x14ac:dyDescent="0.25">
      <c r="A1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16.660846560846558</v>
      </c>
      <c r="B134" s="18" t="str">
        <f>TEXT(preçodiario[[#This Row],[data]],"MMM")</f>
        <v>mai</v>
      </c>
      <c r="C134" s="18" t="str">
        <f>TEXT(preçodiario[[#This Row],[data]],"ddd")</f>
        <v>qua</v>
      </c>
      <c r="D134" s="96">
        <f>WEEKNUM(preçodiario[[#This Row],[data]],13)</f>
        <v>20</v>
      </c>
      <c r="E134" s="37">
        <v>46155</v>
      </c>
      <c r="F1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Row],[data]])),((F133*G133)+SUMIFS(estoque[valor total],estoque[produto],preçodiario[[#Headers],[OVO BRANCO A]],estoque[data],preçodiario[[#This Row],[data]],estoque[fornecedor],"&lt;&gt;saída"))/(G133+(SUMIFS(estoque[quantidade],estoque[produto],preçodiario[[#Headers],[OVO BRANCO A]],estoque[fornecedor],"&lt;&gt;saída",estoque[data],preçodiario[[#This Row],[data]])))))</f>
        <v>16.660846560846558</v>
      </c>
      <c r="G134" s="22">
        <f>IF(preçodiario[[#This Row],[entrada A]]=0,G133-(SUMIFS(estoque[quantidade],estoque[fornecedor],"saída",estoque[produto],preçodiario[[#Headers],[OVO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Row],[data]]))+G133+preçodiario[[#This Row],[entrada A]])</f>
        <v>59</v>
      </c>
      <c r="H134" s="22">
        <f>SUMIFS(estoque[quantidade],estoque[fornecedor],"&lt;&gt;saída",estoque[produto],preçodiario[[#Headers],[OVO BRANCO A]],estoque[data],preçodiario[[#This Row],[data]])</f>
        <v>0</v>
      </c>
      <c r="I134" s="20">
        <f>SUMIFS(estoque[valor total],estoque[fornecedor],"&lt;&gt;saída",estoque[produto],preçodiario[[#Headers],[OVO BRANCO A]],estoque[data],preçodiario[[#This Row],[data]])</f>
        <v>0</v>
      </c>
      <c r="J134" s="20">
        <f>IFERROR(preçodiario[[#This Row],[estoque A]]*preçodiario[[#This Row],[OVO BRANCO A]],0)</f>
        <v>982.9899470899469</v>
      </c>
      <c r="K134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Row],[data]])),((K133*L133)+SUMIFS(estoque[valor total],estoque[produto],preçodiario[[#Headers],[OVO BRANCO B]],estoque[data],preçodiario[[#This Row],[data]],estoque[fornecedor],"&lt;&gt;saída"))/(L133+(SUMIFS(estoque[quantidade],estoque[produto],preçodiario[[#Headers],[OVO BRANCO B]],estoque[fornecedor],"&lt;&gt;saída",estoque[data],preçodiario[[#This Row],[data]])))))</f>
        <v/>
      </c>
      <c r="L134" s="22">
        <f>IF(preçodiario[[#This Row],[entrada B]]=0,L133-(SUMIFS(estoque[quantidade],estoque[fornecedor],"saída",estoque[produto],preçodiario[[#Headers],[OVO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Row],[data]]))+L133+preçodiario[[#This Row],[entrada B]])</f>
        <v>0</v>
      </c>
      <c r="M134" s="22">
        <f>SUMIFS(estoque[quantidade],estoque[fornecedor],"&lt;&gt;saída",estoque[produto],preçodiario[[#Headers],[OVO BRANCO B]],estoque[data],preçodiario[[#This Row],[data]])</f>
        <v>0</v>
      </c>
      <c r="N134" s="20">
        <f>SUMIFS(estoque[valor total],estoque[fornecedor],"&lt;&gt;saída",estoque[produto],preçodiario[[#Headers],[OVO BRANCO B]],estoque[data],preçodiario[[#This Row],[data]])</f>
        <v>0</v>
      </c>
      <c r="O134" s="20">
        <f>IFERROR(preçodiario[[#This Row],[OVO BRANCO B]]*preçodiario[[#This Row],[estoque B]],0)</f>
        <v>0</v>
      </c>
      <c r="P13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Row],[data]])),((P133*Q133)+SUMIFS(estoque[valor total],estoque[produto],preçodiario[[#Headers],[OVO BRANCO C]],estoque[data],preçodiario[[#This Row],[data]],estoque[fornecedor],"&lt;&gt;saída"))/(Q133+(SUMIFS(estoque[quantidade],estoque[produto],preçodiario[[#Headers],[OVO BRANCO C]],estoque[fornecedor],"&lt;&gt;saída",estoque[data],preçodiario[[#This Row],[data]])))))</f>
        <v/>
      </c>
      <c r="Q134" s="22">
        <f>IF(preçodiario[[#This Row],[entrada C]]=0,Q133-(SUMIFS(estoque[quantidade],estoque[fornecedor],"saída",estoque[produto],preçodiario[[#Headers],[OVO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Row],[data]]))+Q133+preçodiario[[#This Row],[entrada C]])</f>
        <v>0</v>
      </c>
      <c r="R134" s="22">
        <f>SUMIFS(estoque[quantidade],estoque[fornecedor],"&lt;&gt;saída",estoque[produto],preçodiario[[#Headers],[OVO BRANCO C]],estoque[data],preçodiario[[#This Row],[data]])</f>
        <v>0</v>
      </c>
      <c r="S134" s="20">
        <f>SUMIFS(estoque[valor total],estoque[fornecedor],"&lt;&gt;saída",estoque[produto],preçodiario[[#Headers],[OVO BRANCO C]],estoque[data],preçodiario[[#This Row],[data]])</f>
        <v>0</v>
      </c>
      <c r="T134" s="20">
        <f>IFERROR(preçodiario[[#This Row],[OVO BRANCO C]]*preçodiario[[#This Row],[estoque C]],0)</f>
        <v>0</v>
      </c>
      <c r="U1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Row],[data]])),((U133*V133)+SUMIFS(estoque[valor total],estoque[produto],preçodiario[[#Headers],[OVO BRANCO EXTRA]],estoque[data],preçodiario[[#This Row],[data]],estoque[fornecedor],"&lt;&gt;saída"))/(V133+(SUMIFS(estoque[quantidade],estoque[produto],preçodiario[[#Headers],[OVO BRANCO EXTRA]],estoque[fornecedor],"&lt;&gt;saída",estoque[data],preçodiario[[#This Row],[data]])))))</f>
        <v>17.083333333333336</v>
      </c>
      <c r="V134" s="22">
        <f>IF(preçodiario[[#This Row],[entrada E]]=0,V133-(SUMIFS(estoque[quantidade],estoque[fornecedor],"saída",estoque[produto],preçodiario[[#Headers],[OVO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Row],[data]]))+V133+preçodiario[[#This Row],[entrada E]])</f>
        <v>42</v>
      </c>
      <c r="W134" s="22">
        <f>SUMIFS(estoque[quantidade],estoque[fornecedor],"&lt;&gt;saída",estoque[produto],preçodiario[[#Headers],[OVO BRANCO EXTRA]],estoque[data],preçodiario[[#This Row],[data]])</f>
        <v>0</v>
      </c>
      <c r="X134" s="20">
        <f>SUMIFS(estoque[valor total],estoque[fornecedor],"&lt;&gt;saída",estoque[produto],preçodiario[[#Headers],[OVO BRANCO EXTRA]],estoque[data],preçodiario[[#This Row],[data]])</f>
        <v>0</v>
      </c>
      <c r="Y134" s="20">
        <f>IFERROR(preçodiario[[#This Row],[estoque E]]*preçodiario[[#This Row],[OVO BRANCO EXTRA]],0)</f>
        <v>717.50000000000011</v>
      </c>
      <c r="Z1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Row],[data]])),((Z133*AA133)+SUMIFS(estoque[valor total],estoque[produto],preçodiario[[#Headers],[OVO BRANCO JUMBO]],estoque[data],preçodiario[[#This Row],[data]],estoque[fornecedor],"&lt;&gt;saída"))/(AA133+(SUMIFS(estoque[quantidade],estoque[produto],preçodiario[[#Headers],[OVO BRANCO JUMBO]],estoque[fornecedor],"&lt;&gt;saída",estoque[data],preçodiario[[#This Row],[data]])))))</f>
        <v>17.5</v>
      </c>
      <c r="AA134" s="22">
        <f>IF(preçodiario[[#This Row],[entrada J]]=0,AA133-(SUMIFS(estoque[quantidade],estoque[fornecedor],"saída",estoque[produto],preçodiario[[#Headers],[OVO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Row],[data]]))+AA133+preçodiario[[#This Row],[entrada J]])</f>
        <v>52</v>
      </c>
      <c r="AB134" s="22">
        <f>SUMIFS(estoque[quantidade],estoque[fornecedor],"&lt;&gt;saída",estoque[produto],preçodiario[[#Headers],[OVO BRANCO JUMBO]],estoque[data],preçodiario[[#This Row],[data]])</f>
        <v>0</v>
      </c>
      <c r="AC134" s="20">
        <f>SUMIFS(estoque[valor total],estoque[fornecedor],"&lt;&gt;saída",estoque[produto],preçodiario[[#Headers],[OVO BRANCO JUMBO]],estoque[data],preçodiario[[#This Row],[data]])</f>
        <v>0</v>
      </c>
      <c r="AD134" s="20">
        <f>IFERROR(preçodiario[[#This Row],[OVO BRANCO JUMBO]]*preçodiario[[#This Row],[estoque J]],0)</f>
        <v>910</v>
      </c>
      <c r="AE1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Row],[data]])),((AE133*AF133)+SUMIFS(estoque[valor total],estoque[produto],preçodiario[[#Headers],[OVO VERMELHO A]],estoque[data],preçodiario[[#This Row],[data]],estoque[fornecedor],"&lt;&gt;saída"))/(AF133+(SUMIFS(estoque[quantidade],estoque[produto],preçodiario[[#Headers],[OVO VERMELHO A]],estoque[fornecedor],"&lt;&gt;saída",estoque[data],preçodiario[[#This Row],[data]])))))</f>
        <v/>
      </c>
      <c r="AF134" s="22">
        <f>IF(preçodiario[[#This Row],[entrada AV]]=0,AF133-(SUMIFS(estoque[quantidade],estoque[fornecedor],"saída",estoque[produto],preçodiario[[#Headers],[OVO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Row],[data]]))+AF133+preçodiario[[#This Row],[entrada AV]])</f>
        <v>0</v>
      </c>
      <c r="AG134" s="22">
        <f>SUMIFS(estoque[quantidade],estoque[fornecedor],"&lt;&gt;saída",estoque[produto],preçodiario[[#Headers],[OVO VERMELHO A]],estoque[data],preçodiario[[#This Row],[data]])</f>
        <v>0</v>
      </c>
      <c r="AH134" s="20">
        <f>SUMIFS(estoque[valor total],estoque[fornecedor],"&lt;&gt;saída",estoque[produto],preçodiario[[#Headers],[OVO VERMELHO A]],estoque[data],preçodiario[[#This Row],[data]])</f>
        <v>0</v>
      </c>
      <c r="AI134" s="20">
        <f>IFERROR(preçodiario[[#This Row],[OVO VERMELHO A]]*preçodiario[[#This Row],[estoque AV]],0)</f>
        <v>0</v>
      </c>
      <c r="AJ1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Row],[data]])),((AJ133*AK133)+SUMIFS(estoque[valor total],estoque[produto],preçodiario[[#Headers],[OVO VERMELHO B]],estoque[data],preçodiario[[#This Row],[data]],estoque[fornecedor],"&lt;&gt;saída"))/(AK133+(SUMIFS(estoque[quantidade],estoque[produto],preçodiario[[#Headers],[OVO VERMELHO B]],estoque[fornecedor],"&lt;&gt;saída",estoque[data],preçodiario[[#This Row],[data]])))))</f>
        <v/>
      </c>
      <c r="AK134" s="22">
        <f>IF(preçodiario[[#This Row],[entrada BV]]=0,AK133-(SUMIFS(estoque[quantidade],estoque[fornecedor],"saída",estoque[produto],preçodiario[[#Headers],[OVO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Row],[data]]))+AK133+preçodiario[[#This Row],[entrada BV]])</f>
        <v>0</v>
      </c>
      <c r="AL134" s="22">
        <f>SUMIFS(estoque[quantidade],estoque[fornecedor],"&lt;&gt;saída",estoque[produto],preçodiario[[#Headers],[OVO VERMELHO B]],estoque[data],preçodiario[[#This Row],[data]])</f>
        <v>0</v>
      </c>
      <c r="AM134" s="20">
        <f>SUMIFS(estoque[valor total],estoque[fornecedor],"&lt;&gt;saída",estoque[produto],preçodiario[[#Headers],[OVO VERMELHO B]],estoque[data],preçodiario[[#This Row],[data]])</f>
        <v>0</v>
      </c>
      <c r="AN134" s="20">
        <f>IFERROR(preçodiario[[#This Row],[OVO VERMELHO B]]*preçodiario[[#This Row],[estoque BV]],0)</f>
        <v>0</v>
      </c>
      <c r="AO1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Row],[data]])),((AO133*AP133)+SUMIFS(estoque[valor total],estoque[produto],preçodiario[[#Headers],[OVO VERMELHO C]],estoque[data],preçodiario[[#This Row],[data]],estoque[fornecedor],"&lt;&gt;saída"))/(AP133+(SUMIFS(estoque[quantidade],estoque[produto],preçodiario[[#Headers],[OVO VERMELHO C]],estoque[fornecedor],"&lt;&gt;saída",estoque[data],preçodiario[[#This Row],[data]])))))</f>
        <v/>
      </c>
      <c r="AP134" s="22">
        <f>IF(preçodiario[[#This Row],[entrada CV]]=0,AP133-(SUMIFS(estoque[quantidade],estoque[fornecedor],"saída",estoque[produto],preçodiario[[#Headers],[OVO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Row],[data]]))+AP133+preçodiario[[#This Row],[entrada CV]])</f>
        <v>0</v>
      </c>
      <c r="AQ134" s="22">
        <f>SUMIFS(estoque[quantidade],estoque[fornecedor],"&lt;&gt;saída",estoque[produto],preçodiario[[#Headers],[OVO VERMELHO C]],estoque[data],preçodiario[[#This Row],[data]])</f>
        <v>0</v>
      </c>
      <c r="AR134" s="20">
        <f>SUMIFS(estoque[valor total],estoque[fornecedor],"&lt;&gt;saída",estoque[produto],preçodiario[[#Headers],[OVO VERMELHO C]],estoque[data],preçodiario[[#This Row],[data]])</f>
        <v>0</v>
      </c>
      <c r="AS134" s="20">
        <f>IFERROR(preçodiario[[#This Row],[OVO VERMELHO C]]*preçodiario[[#This Row],[estoque CV]],0)</f>
        <v>0</v>
      </c>
      <c r="AT1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Row],[data]])),((AT133*AU133)+SUMIFS(estoque[valor total],estoque[produto],preçodiario[[#Headers],[OVO VERMELHO EXTRA]],estoque[data],preçodiario[[#This Row],[data]],estoque[fornecedor],"&lt;&gt;saída"))/(AU133+(SUMIFS(estoque[quantidade],estoque[produto],preçodiario[[#Headers],[OVO VERMELHO EXTRA]],estoque[fornecedor],"&lt;&gt;saída",estoque[data],preçodiario[[#This Row],[data]])))))</f>
        <v/>
      </c>
      <c r="AU134" s="22">
        <f>IF(preçodiario[[#This Row],[entrada EV]]=0,AU133-(SUMIFS(estoque[quantidade],estoque[fornecedor],"saída",estoque[produto],preçodiario[[#Headers],[OVO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Row],[data]]))+AU133+preçodiario[[#This Row],[entrada EV]])</f>
        <v>0</v>
      </c>
      <c r="AV134" s="22">
        <f>SUMIFS(estoque[quantidade],estoque[fornecedor],"&lt;&gt;saída",estoque[produto],preçodiario[[#Headers],[OVO VERMELHO EXTRA]],estoque[data],preçodiario[[#This Row],[data]])</f>
        <v>0</v>
      </c>
      <c r="AW134" s="20">
        <f>SUMIFS(estoque[valor total],estoque[fornecedor],"&lt;&gt;saída",estoque[produto],preçodiario[[#Headers],[OVO VERMELHO EXTRA]],estoque[data],preçodiario[[#This Row],[data]])</f>
        <v>0</v>
      </c>
      <c r="AX134" s="20">
        <f>IFERROR(preçodiario[[#This Row],[OVO VERMELHO EXTRA]]*preçodiario[[#This Row],[estoque EV]],0)</f>
        <v>0</v>
      </c>
      <c r="AY1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Row],[data]])),((AY133*AZ133)+SUMIFS(estoque[valor total],estoque[produto],preçodiario[[#Headers],[OVO VERMELHO JUMBO]],estoque[data],preçodiario[[#This Row],[data]],estoque[fornecedor],"&lt;&gt;saída"))/(AZ133+(SUMIFS(estoque[quantidade],estoque[produto],preçodiario[[#Headers],[OVO VERMELHO JUMBO]],estoque[fornecedor],"&lt;&gt;saída",estoque[data],preçodiario[[#This Row],[data]])))))</f>
        <v/>
      </c>
      <c r="AZ134" s="22">
        <f>IF(preçodiario[[#This Row],[entrada JV]]=0,AZ133-(SUMIFS(estoque[quantidade],estoque[fornecedor],"saída",estoque[produto],preçodiario[[#Headers],[OVO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Row],[data]]))+AZ133+preçodiario[[#This Row],[entrada JV]])</f>
        <v>0</v>
      </c>
      <c r="BA134" s="22">
        <f>SUMIFS(estoque[quantidade],estoque[fornecedor],"&lt;&gt;saída",estoque[produto],preçodiario[[#Headers],[OVO VERMELHO JUMBO]],estoque[data],preçodiario[[#This Row],[data]])</f>
        <v>0</v>
      </c>
      <c r="BB134" s="20">
        <f>SUMIFS(estoque[valor total],estoque[fornecedor],"&lt;&gt;saída",estoque[produto],preçodiario[[#Headers],[OVO VERMELHO JUMBO]],estoque[data],preçodiario[[#This Row],[data]])</f>
        <v>0</v>
      </c>
      <c r="BC134" s="20">
        <f>IFERROR(preçodiario[[#This Row],[OVO VERMELHO JUMBO]]*preçodiario[[#This Row],[estoque JV]],0)</f>
        <v>0</v>
      </c>
      <c r="BD134" t="str">
        <f>TEXT(vendaAno[[#This Row],[data]],"mmm")</f>
        <v>mai</v>
      </c>
      <c r="BE134" t="str">
        <f>TEXT(vendaAno[[#This Row],[data]],"ddd")</f>
        <v>qua</v>
      </c>
      <c r="BF134" s="82">
        <f>WEEKNUM(vendaAno[[#This Row],[data]],13)</f>
        <v>20</v>
      </c>
      <c r="BG134" s="27">
        <f>preçodiario[[#This Row],[data]]</f>
        <v>46155</v>
      </c>
      <c r="BH1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4" s="8">
        <f>IF(SUMIFS(estoque[valor total],estoque[fornecedor],"saída",estoque[data],vendaAno[[#This Row],[data]])=0,"",SUMIFS(estoque[valor total],estoque[fornecedor],"saída",estoque[data],vendaAno[[#This Row],[data]]))</f>
        <v>561</v>
      </c>
      <c r="BJ13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Row],[data]]))/12+BJ133,"")</f>
        <v>12.74999999999998</v>
      </c>
      <c r="BK134" s="79">
        <f ca="1">IF(TODAY()&gt;=vendaAno[[#This Row],[data]],IF(SUMIFS(estoque[quantidade],estoque[fornecedor],"saída",estoque[data],vendaAno[[#This Row],[data]])/12=0,AVERAGE(BK131:BK133),SUMIFS(estoque[quantidade],estoque[fornecedor],"saída",estoque[data],vendaAno[[#This Row],[data]])/12),"")</f>
        <v>2.25</v>
      </c>
      <c r="BL134" s="8">
        <f ca="1">IF(vendaAno[[#This Row],[data]]&lt;=TODAY(),IF(SUMIFS(estoque[lucro],estoque[fornecedor],"saída",estoque[data],vendaAno[[#This Row],[data]])=0,AVERAGE(BL131:BL133),SUMIFS(estoque[lucro],estoque[fornecedor],"saída",estoque[data],vendaAno[[#This Row],[data]])),"")</f>
        <v>105.68</v>
      </c>
      <c r="BM134" s="10">
        <f ca="1">IFERROR(vendaAno[[#This Row],[lucro]]/vendaAno[[#This Row],[valor de venda]],"")</f>
        <v>0.18837789661319074</v>
      </c>
      <c r="BN13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2610.4899470899468</v>
      </c>
      <c r="BO134" s="8">
        <f ca="1">IF(TODAY()&gt;=vendaAno[[#This Row],[data]],IF(vendaAno[[#This Row],[N°]]=BF133,vendaAno[[#This Row],[lucro]]-173.33+BO133,vendaAno[[#This Row],[lucro]]-150),"")</f>
        <v>-44.319999999999993</v>
      </c>
      <c r="BP134" s="81">
        <f ca="1">IF(TODAY()&gt;=vendaAno[[#This Row],[data]],SUM(BK128:BK134)*12,"")</f>
        <v>169</v>
      </c>
      <c r="BQ134" s="7">
        <f ca="1">IFERROR(vendaAno[[#This Row],[lucro]]/(vendaAno[[#This Row],[venda]]*12),"")</f>
        <v>3.9140740740740743</v>
      </c>
    </row>
    <row r="135" spans="1:69" x14ac:dyDescent="0.25">
      <c r="A1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5" s="18" t="str">
        <f>TEXT(preçodiario[[#This Row],[data]],"MMM")</f>
        <v>mai</v>
      </c>
      <c r="C135" s="18" t="str">
        <f>TEXT(preçodiario[[#This Row],[data]],"ddd")</f>
        <v>qui</v>
      </c>
      <c r="D135" s="96">
        <f>WEEKNUM(preçodiario[[#This Row],[data]],13)</f>
        <v>20</v>
      </c>
      <c r="E135" s="37">
        <v>46156</v>
      </c>
      <c r="F1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Row],[data]])),((F134*G134)+SUMIFS(estoque[valor total],estoque[produto],preçodiario[[#Headers],[OVO BRANCO A]],estoque[data],preçodiario[[#This Row],[data]],estoque[fornecedor],"&lt;&gt;saída"))/(G134+(SUMIFS(estoque[quantidade],estoque[produto],preçodiario[[#Headers],[OVO BRANCO A]],estoque[fornecedor],"&lt;&gt;saída",estoque[data],preçodiario[[#This Row],[data]])))))</f>
        <v>16.033528967142409</v>
      </c>
      <c r="G135" s="22">
        <f>IF(preçodiario[[#This Row],[entrada A]]=0,G134-(SUMIFS(estoque[quantidade],estoque[fornecedor],"saída",estoque[produto],preçodiario[[#Headers],[OVO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Row],[data]]))+G134+preçodiario[[#This Row],[entrada A]])</f>
        <v>113</v>
      </c>
      <c r="H135" s="22">
        <f>SUMIFS(estoque[quantidade],estoque[fornecedor],"&lt;&gt;saída",estoque[produto],preçodiario[[#Headers],[OVO BRANCO A]],estoque[data],preçodiario[[#This Row],[data]])</f>
        <v>60</v>
      </c>
      <c r="I135" s="20">
        <f>SUMIFS(estoque[valor total],estoque[fornecedor],"&lt;&gt;saída",estoque[produto],preçodiario[[#Headers],[OVO BRANCO A]],estoque[data],preçodiario[[#This Row],[data]])</f>
        <v>925</v>
      </c>
      <c r="J135" s="20">
        <f>IFERROR(preçodiario[[#This Row],[estoque A]]*preçodiario[[#This Row],[OVO BRANCO A]],0)</f>
        <v>1811.7887732870922</v>
      </c>
      <c r="K1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Row],[data]])),((K134*L134)+SUMIFS(estoque[valor total],estoque[produto],preçodiario[[#Headers],[OVO BRANCO B]],estoque[data],preçodiario[[#This Row],[data]],estoque[fornecedor],"&lt;&gt;saída"))/(L134+(SUMIFS(estoque[quantidade],estoque[produto],preçodiario[[#Headers],[OVO BRANCO B]],estoque[fornecedor],"&lt;&gt;saída",estoque[data],preçodiario[[#This Row],[data]])))))</f>
        <v>15</v>
      </c>
      <c r="L135" s="22">
        <f>IF(preçodiario[[#This Row],[entrada B]]=0,L134-(SUMIFS(estoque[quantidade],estoque[fornecedor],"saída",estoque[produto],preçodiario[[#Headers],[OVO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Row],[data]]))+L134+preçodiario[[#This Row],[entrada B]])</f>
        <v>120</v>
      </c>
      <c r="M135" s="22">
        <f>SUMIFS(estoque[quantidade],estoque[fornecedor],"&lt;&gt;saída",estoque[produto],preçodiario[[#Headers],[OVO BRANCO B]],estoque[data],preçodiario[[#This Row],[data]])</f>
        <v>120</v>
      </c>
      <c r="N135" s="20">
        <f>SUMIFS(estoque[valor total],estoque[fornecedor],"&lt;&gt;saída",estoque[produto],preçodiario[[#Headers],[OVO BRANCO B]],estoque[data],preçodiario[[#This Row],[data]])</f>
        <v>1800</v>
      </c>
      <c r="O135" s="20">
        <f>IFERROR(preçodiario[[#This Row],[OVO BRANCO B]]*preçodiario[[#This Row],[estoque B]],0)</f>
        <v>1800</v>
      </c>
      <c r="P13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Row],[data]])),((P134*Q134)+SUMIFS(estoque[valor total],estoque[produto],preçodiario[[#Headers],[OVO BRANCO C]],estoque[data],preçodiario[[#This Row],[data]],estoque[fornecedor],"&lt;&gt;saída"))/(Q134+(SUMIFS(estoque[quantidade],estoque[produto],preçodiario[[#Headers],[OVO BRANCO C]],estoque[fornecedor],"&lt;&gt;saída",estoque[data],preçodiario[[#This Row],[data]])))))</f>
        <v/>
      </c>
      <c r="Q135" s="22">
        <f>IF(preçodiario[[#This Row],[entrada C]]=0,Q134-(SUMIFS(estoque[quantidade],estoque[fornecedor],"saída",estoque[produto],preçodiario[[#Headers],[OVO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Row],[data]]))+Q134+preçodiario[[#This Row],[entrada C]])</f>
        <v>0</v>
      </c>
      <c r="R135" s="22">
        <f>SUMIFS(estoque[quantidade],estoque[fornecedor],"&lt;&gt;saída",estoque[produto],preçodiario[[#Headers],[OVO BRANCO C]],estoque[data],preçodiario[[#This Row],[data]])</f>
        <v>0</v>
      </c>
      <c r="S135" s="20">
        <f>SUMIFS(estoque[valor total],estoque[fornecedor],"&lt;&gt;saída",estoque[produto],preçodiario[[#Headers],[OVO BRANCO C]],estoque[data],preçodiario[[#This Row],[data]])</f>
        <v>0</v>
      </c>
      <c r="T135" s="20">
        <f>IFERROR(preçodiario[[#This Row],[OVO BRANCO C]]*preçodiario[[#This Row],[estoque C]],0)</f>
        <v>0</v>
      </c>
      <c r="U1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Row],[data]])),((U134*V134)+SUMIFS(estoque[valor total],estoque[produto],preçodiario[[#Headers],[OVO BRANCO EXTRA]],estoque[data],preçodiario[[#This Row],[data]],estoque[fornecedor],"&lt;&gt;saída"))/(V134+(SUMIFS(estoque[quantidade],estoque[produto],preçodiario[[#Headers],[OVO BRANCO EXTRA]],estoque[fornecedor],"&lt;&gt;saída",estoque[data],preçodiario[[#This Row],[data]])))))</f>
        <v>16.466049382716051</v>
      </c>
      <c r="V135" s="22">
        <f>IF(preçodiario[[#This Row],[entrada E]]=0,V134-(SUMIFS(estoque[quantidade],estoque[fornecedor],"saída",estoque[produto],preçodiario[[#Headers],[OVO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Row],[data]]))+V134+preçodiario[[#This Row],[entrada E]])</f>
        <v>157</v>
      </c>
      <c r="W135" s="22">
        <f>SUMIFS(estoque[quantidade],estoque[fornecedor],"&lt;&gt;saída",estoque[produto],preçodiario[[#Headers],[OVO BRANCO EXTRA]],estoque[data],preçodiario[[#This Row],[data]])</f>
        <v>120</v>
      </c>
      <c r="X135" s="20">
        <f>SUMIFS(estoque[valor total],estoque[fornecedor],"&lt;&gt;saída",estoque[produto],preçodiario[[#Headers],[OVO BRANCO EXTRA]],estoque[data],preçodiario[[#This Row],[data]])</f>
        <v>1950</v>
      </c>
      <c r="Y135" s="20">
        <f>IFERROR(preçodiario[[#This Row],[estoque E]]*preçodiario[[#This Row],[OVO BRANCO EXTRA]],0)</f>
        <v>2585.1697530864199</v>
      </c>
      <c r="Z1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Row],[data]])),((Z134*AA134)+SUMIFS(estoque[valor total],estoque[produto],preçodiario[[#Headers],[OVO BRANCO JUMBO]],estoque[data],preçodiario[[#This Row],[data]],estoque[fornecedor],"&lt;&gt;saída"))/(AA134+(SUMIFS(estoque[quantidade],estoque[produto],preçodiario[[#Headers],[OVO BRANCO JUMBO]],estoque[fornecedor],"&lt;&gt;saída",estoque[data],preçodiario[[#This Row],[data]])))))</f>
        <v>17.276785714285715</v>
      </c>
      <c r="AA135" s="22">
        <f>IF(preçodiario[[#This Row],[entrada J]]=0,AA134-(SUMIFS(estoque[quantidade],estoque[fornecedor],"saída",estoque[produto],preçodiario[[#Headers],[OVO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Row],[data]]))+AA134+preçodiario[[#This Row],[entrada J]])</f>
        <v>102</v>
      </c>
      <c r="AB135" s="22">
        <f>SUMIFS(estoque[quantidade],estoque[fornecedor],"&lt;&gt;saída",estoque[produto],preçodiario[[#Headers],[OVO BRANCO JUMBO]],estoque[data],preçodiario[[#This Row],[data]])</f>
        <v>60</v>
      </c>
      <c r="AC135" s="20">
        <f>SUMIFS(estoque[valor total],estoque[fornecedor],"&lt;&gt;saída",estoque[produto],preçodiario[[#Headers],[OVO BRANCO JUMBO]],estoque[data],preçodiario[[#This Row],[data]])</f>
        <v>1025</v>
      </c>
      <c r="AD135" s="20">
        <f>IFERROR(preçodiario[[#This Row],[OVO BRANCO JUMBO]]*preçodiario[[#This Row],[estoque J]],0)</f>
        <v>1762.2321428571429</v>
      </c>
      <c r="AE1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Row],[data]])),((AE134*AF134)+SUMIFS(estoque[valor total],estoque[produto],preçodiario[[#Headers],[OVO VERMELHO A]],estoque[data],preçodiario[[#This Row],[data]],estoque[fornecedor],"&lt;&gt;saída"))/(AF134+(SUMIFS(estoque[quantidade],estoque[produto],preçodiario[[#Headers],[OVO VERMELHO A]],estoque[fornecedor],"&lt;&gt;saída",estoque[data],preçodiario[[#This Row],[data]])))))</f>
        <v/>
      </c>
      <c r="AF135" s="22">
        <f>IF(preçodiario[[#This Row],[entrada AV]]=0,AF134-(SUMIFS(estoque[quantidade],estoque[fornecedor],"saída",estoque[produto],preçodiario[[#Headers],[OVO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Row],[data]]))+AF134+preçodiario[[#This Row],[entrada AV]])</f>
        <v>0</v>
      </c>
      <c r="AG135" s="22">
        <f>SUMIFS(estoque[quantidade],estoque[fornecedor],"&lt;&gt;saída",estoque[produto],preçodiario[[#Headers],[OVO VERMELHO A]],estoque[data],preçodiario[[#This Row],[data]])</f>
        <v>0</v>
      </c>
      <c r="AH135" s="20">
        <f>SUMIFS(estoque[valor total],estoque[fornecedor],"&lt;&gt;saída",estoque[produto],preçodiario[[#Headers],[OVO VERMELHO A]],estoque[data],preçodiario[[#This Row],[data]])</f>
        <v>0</v>
      </c>
      <c r="AI135" s="20">
        <f>IFERROR(preçodiario[[#This Row],[OVO VERMELHO A]]*preçodiario[[#This Row],[estoque AV]],0)</f>
        <v>0</v>
      </c>
      <c r="AJ1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Row],[data]])),((AJ134*AK134)+SUMIFS(estoque[valor total],estoque[produto],preçodiario[[#Headers],[OVO VERMELHO B]],estoque[data],preçodiario[[#This Row],[data]],estoque[fornecedor],"&lt;&gt;saída"))/(AK134+(SUMIFS(estoque[quantidade],estoque[produto],preçodiario[[#Headers],[OVO VERMELHO B]],estoque[fornecedor],"&lt;&gt;saída",estoque[data],preçodiario[[#This Row],[data]])))))</f>
        <v/>
      </c>
      <c r="AK135" s="22">
        <f>IF(preçodiario[[#This Row],[entrada BV]]=0,AK134-(SUMIFS(estoque[quantidade],estoque[fornecedor],"saída",estoque[produto],preçodiario[[#Headers],[OVO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Row],[data]]))+AK134+preçodiario[[#This Row],[entrada BV]])</f>
        <v>0</v>
      </c>
      <c r="AL135" s="22">
        <f>SUMIFS(estoque[quantidade],estoque[fornecedor],"&lt;&gt;saída",estoque[produto],preçodiario[[#Headers],[OVO VERMELHO B]],estoque[data],preçodiario[[#This Row],[data]])</f>
        <v>0</v>
      </c>
      <c r="AM135" s="20">
        <f>SUMIFS(estoque[valor total],estoque[fornecedor],"&lt;&gt;saída",estoque[produto],preçodiario[[#Headers],[OVO VERMELHO B]],estoque[data],preçodiario[[#This Row],[data]])</f>
        <v>0</v>
      </c>
      <c r="AN135" s="20">
        <f>IFERROR(preçodiario[[#This Row],[OVO VERMELHO B]]*preçodiario[[#This Row],[estoque BV]],0)</f>
        <v>0</v>
      </c>
      <c r="AO1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Row],[data]])),((AO134*AP134)+SUMIFS(estoque[valor total],estoque[produto],preçodiario[[#Headers],[OVO VERMELHO C]],estoque[data],preçodiario[[#This Row],[data]],estoque[fornecedor],"&lt;&gt;saída"))/(AP134+(SUMIFS(estoque[quantidade],estoque[produto],preçodiario[[#Headers],[OVO VERMELHO C]],estoque[fornecedor],"&lt;&gt;saída",estoque[data],preçodiario[[#This Row],[data]])))))</f>
        <v/>
      </c>
      <c r="AP135" s="22">
        <f>IF(preçodiario[[#This Row],[entrada CV]]=0,AP134-(SUMIFS(estoque[quantidade],estoque[fornecedor],"saída",estoque[produto],preçodiario[[#Headers],[OVO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Row],[data]]))+AP134+preçodiario[[#This Row],[entrada CV]])</f>
        <v>0</v>
      </c>
      <c r="AQ135" s="22">
        <f>SUMIFS(estoque[quantidade],estoque[fornecedor],"&lt;&gt;saída",estoque[produto],preçodiario[[#Headers],[OVO VERMELHO C]],estoque[data],preçodiario[[#This Row],[data]])</f>
        <v>0</v>
      </c>
      <c r="AR135" s="20">
        <f>SUMIFS(estoque[valor total],estoque[fornecedor],"&lt;&gt;saída",estoque[produto],preçodiario[[#Headers],[OVO VERMELHO C]],estoque[data],preçodiario[[#This Row],[data]])</f>
        <v>0</v>
      </c>
      <c r="AS135" s="20">
        <f>IFERROR(preçodiario[[#This Row],[OVO VERMELHO C]]*preçodiario[[#This Row],[estoque CV]],0)</f>
        <v>0</v>
      </c>
      <c r="AT1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Row],[data]])),((AT134*AU134)+SUMIFS(estoque[valor total],estoque[produto],preçodiario[[#Headers],[OVO VERMELHO EXTRA]],estoque[data],preçodiario[[#This Row],[data]],estoque[fornecedor],"&lt;&gt;saída"))/(AU134+(SUMIFS(estoque[quantidade],estoque[produto],preçodiario[[#Headers],[OVO VERMELHO EXTRA]],estoque[fornecedor],"&lt;&gt;saída",estoque[data],preçodiario[[#This Row],[data]])))))</f>
        <v/>
      </c>
      <c r="AU135" s="22">
        <f>IF(preçodiario[[#This Row],[entrada EV]]=0,AU134-(SUMIFS(estoque[quantidade],estoque[fornecedor],"saída",estoque[produto],preçodiario[[#Headers],[OVO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Row],[data]]))+AU134+preçodiario[[#This Row],[entrada EV]])</f>
        <v>0</v>
      </c>
      <c r="AV135" s="22">
        <f>SUMIFS(estoque[quantidade],estoque[fornecedor],"&lt;&gt;saída",estoque[produto],preçodiario[[#Headers],[OVO VERMELHO EXTRA]],estoque[data],preçodiario[[#This Row],[data]])</f>
        <v>0</v>
      </c>
      <c r="AW135" s="20">
        <f>SUMIFS(estoque[valor total],estoque[fornecedor],"&lt;&gt;saída",estoque[produto],preçodiario[[#Headers],[OVO VERMELHO EXTRA]],estoque[data],preçodiario[[#This Row],[data]])</f>
        <v>0</v>
      </c>
      <c r="AX135" s="20">
        <f>IFERROR(preçodiario[[#This Row],[OVO VERMELHO EXTRA]]*preçodiario[[#This Row],[estoque EV]],0)</f>
        <v>0</v>
      </c>
      <c r="AY1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Row],[data]])),((AY134*AZ134)+SUMIFS(estoque[valor total],estoque[produto],preçodiario[[#Headers],[OVO VERMELHO JUMBO]],estoque[data],preçodiario[[#This Row],[data]],estoque[fornecedor],"&lt;&gt;saída"))/(AZ134+(SUMIFS(estoque[quantidade],estoque[produto],preçodiario[[#Headers],[OVO VERMELHO JUMBO]],estoque[fornecedor],"&lt;&gt;saída",estoque[data],preçodiario[[#This Row],[data]])))))</f>
        <v/>
      </c>
      <c r="AZ135" s="22">
        <f>IF(preçodiario[[#This Row],[entrada JV]]=0,AZ134-(SUMIFS(estoque[quantidade],estoque[fornecedor],"saída",estoque[produto],preçodiario[[#Headers],[OVO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Row],[data]]))+AZ134+preçodiario[[#This Row],[entrada JV]])</f>
        <v>0</v>
      </c>
      <c r="BA135" s="22">
        <f>SUMIFS(estoque[quantidade],estoque[fornecedor],"&lt;&gt;saída",estoque[produto],preçodiario[[#Headers],[OVO VERMELHO JUMBO]],estoque[data],preçodiario[[#This Row],[data]])</f>
        <v>0</v>
      </c>
      <c r="BB135" s="20">
        <f>SUMIFS(estoque[valor total],estoque[fornecedor],"&lt;&gt;saída",estoque[produto],preçodiario[[#Headers],[OVO VERMELHO JUMBO]],estoque[data],preçodiario[[#This Row],[data]])</f>
        <v>0</v>
      </c>
      <c r="BC135" s="20">
        <f>IFERROR(preçodiario[[#This Row],[OVO VERMELHO JUMBO]]*preçodiario[[#This Row],[estoque JV]],0)</f>
        <v>0</v>
      </c>
      <c r="BD135" t="str">
        <f>TEXT(vendaAno[[#This Row],[data]],"mmm")</f>
        <v>mai</v>
      </c>
      <c r="BE135" t="str">
        <f>TEXT(vendaAno[[#This Row],[data]],"ddd")</f>
        <v>qui</v>
      </c>
      <c r="BF135" s="82">
        <f>WEEKNUM(vendaAno[[#This Row],[data]],13)</f>
        <v>20</v>
      </c>
      <c r="BG135" s="27">
        <f>preçodiario[[#This Row],[data]]</f>
        <v>46156</v>
      </c>
      <c r="BH135" s="8">
        <f>IF(SUMIFS(estoque[valor total],estoque[fornecedor],"&lt;&gt;saída",estoque[data],vendaAno[[#This Row],[data]])=0,"",SUMIFS(estoque[valor total],estoque[fornecedor],"&lt;&gt;saída",estoque[data],vendaAno[[#This Row],[data]]))</f>
        <v>5700</v>
      </c>
      <c r="BI135" s="8">
        <f>IF(SUMIFS(estoque[valor total],estoque[fornecedor],"saída",estoque[data],vendaAno[[#This Row],[data]])=0,"",SUMIFS(estoque[valor total],estoque[fornecedor],"saída",estoque[data],vendaAno[[#This Row],[data]]))</f>
        <v>476</v>
      </c>
      <c r="BJ13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Row],[data]]))/12+BJ134,"")</f>
        <v>40.999999999999979</v>
      </c>
      <c r="BK135" s="79">
        <f ca="1">IF(TODAY()&gt;=vendaAno[[#This Row],[data]],IF(SUMIFS(estoque[quantidade],estoque[fornecedor],"saída",estoque[data],vendaAno[[#This Row],[data]])/12=0,AVERAGE(BK132:BK134),SUMIFS(estoque[quantidade],estoque[fornecedor],"saída",estoque[data],vendaAno[[#This Row],[data]])/12),"")</f>
        <v>1.75</v>
      </c>
      <c r="BL135" s="8">
        <f ca="1">IF(vendaAno[[#This Row],[data]]&lt;=TODAY(),IF(SUMIFS(estoque[lucro],estoque[fornecedor],"saída",estoque[data],vendaAno[[#This Row],[data]])=0,AVERAGE(BL132:BL134),SUMIFS(estoque[lucro],estoque[fornecedor],"saída",estoque[data],vendaAno[[#This Row],[data]])),"")</f>
        <v>124.7</v>
      </c>
      <c r="BM135" s="10">
        <f ca="1">IFERROR(vendaAno[[#This Row],[lucro]]/vendaAno[[#This Row],[valor de venda]],"")</f>
        <v>0.2619747899159664</v>
      </c>
      <c r="BN13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7959.1906692306547</v>
      </c>
      <c r="BO135" s="8">
        <f ca="1">IF(TODAY()&gt;=vendaAno[[#This Row],[data]],IF(vendaAno[[#This Row],[N°]]=BF134,vendaAno[[#This Row],[lucro]]-173.33+BO134,vendaAno[[#This Row],[lucro]]-150),"")</f>
        <v>-92.95</v>
      </c>
      <c r="BP135" s="81">
        <f ca="1">IF(TODAY()&gt;=vendaAno[[#This Row],[data]],SUM(BK129:BK135)*12,"")</f>
        <v>159</v>
      </c>
      <c r="BQ135" s="7">
        <f ca="1">IFERROR(vendaAno[[#This Row],[lucro]]/(vendaAno[[#This Row],[venda]]*12),"")</f>
        <v>5.9380952380952383</v>
      </c>
    </row>
    <row r="136" spans="1:69" x14ac:dyDescent="0.25">
      <c r="A1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6" s="18" t="str">
        <f>TEXT(preçodiario[[#This Row],[data]],"MMM")</f>
        <v>mai</v>
      </c>
      <c r="C136" s="18" t="str">
        <f>TEXT(preçodiario[[#This Row],[data]],"ddd")</f>
        <v>sex</v>
      </c>
      <c r="D136" s="96">
        <f>WEEKNUM(preçodiario[[#This Row],[data]],13)</f>
        <v>20</v>
      </c>
      <c r="E136" s="37">
        <v>46157</v>
      </c>
      <c r="F1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Row],[data]])),((F135*G135)+SUMIFS(estoque[valor total],estoque[produto],preçodiario[[#Headers],[OVO BRANCO A]],estoque[data],preçodiario[[#This Row],[data]],estoque[fornecedor],"&lt;&gt;saída"))/(G135+(SUMIFS(estoque[quantidade],estoque[produto],preçodiario[[#Headers],[OVO BRANCO A]],estoque[fornecedor],"&lt;&gt;saída",estoque[data],preçodiario[[#This Row],[data]])))))</f>
        <v>16.033528967142409</v>
      </c>
      <c r="G136" s="22">
        <f>IF(preçodiario[[#This Row],[entrada A]]=0,G135-(SUMIFS(estoque[quantidade],estoque[fornecedor],"saída",estoque[produto],preçodiario[[#Headers],[OVO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Row],[data]]))+G135+preçodiario[[#This Row],[entrada A]])</f>
        <v>97</v>
      </c>
      <c r="H136" s="22">
        <f>SUMIFS(estoque[quantidade],estoque[fornecedor],"&lt;&gt;saída",estoque[produto],preçodiario[[#Headers],[OVO BRANCO A]],estoque[data],preçodiario[[#This Row],[data]])</f>
        <v>0</v>
      </c>
      <c r="I136" s="20">
        <f>SUMIFS(estoque[valor total],estoque[fornecedor],"&lt;&gt;saída",estoque[produto],preçodiario[[#Headers],[OVO BRANCO A]],estoque[data],preçodiario[[#This Row],[data]])</f>
        <v>0</v>
      </c>
      <c r="J136" s="20">
        <f>IFERROR(preçodiario[[#This Row],[estoque A]]*preçodiario[[#This Row],[OVO BRANCO A]],0)</f>
        <v>1555.2523098128138</v>
      </c>
      <c r="K1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Row],[data]])),((K135*L135)+SUMIFS(estoque[valor total],estoque[produto],preçodiario[[#Headers],[OVO BRANCO B]],estoque[data],preçodiario[[#This Row],[data]],estoque[fornecedor],"&lt;&gt;saída"))/(L135+(SUMIFS(estoque[quantidade],estoque[produto],preçodiario[[#Headers],[OVO BRANCO B]],estoque[fornecedor],"&lt;&gt;saída",estoque[data],preçodiario[[#This Row],[data]])))))</f>
        <v>15</v>
      </c>
      <c r="L136" s="22">
        <f>IF(preçodiario[[#This Row],[entrada B]]=0,L135-(SUMIFS(estoque[quantidade],estoque[fornecedor],"saída",estoque[produto],preçodiario[[#Headers],[OVO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Row],[data]]))+L135+preçodiario[[#This Row],[entrada B]])</f>
        <v>112</v>
      </c>
      <c r="M136" s="22">
        <f>SUMIFS(estoque[quantidade],estoque[fornecedor],"&lt;&gt;saída",estoque[produto],preçodiario[[#Headers],[OVO BRANCO B]],estoque[data],preçodiario[[#This Row],[data]])</f>
        <v>0</v>
      </c>
      <c r="N136" s="20">
        <f>SUMIFS(estoque[valor total],estoque[fornecedor],"&lt;&gt;saída",estoque[produto],preçodiario[[#Headers],[OVO BRANCO B]],estoque[data],preçodiario[[#This Row],[data]])</f>
        <v>0</v>
      </c>
      <c r="O136" s="20">
        <f>IFERROR(preçodiario[[#This Row],[OVO BRANCO B]]*preçodiario[[#This Row],[estoque B]],0)</f>
        <v>1680</v>
      </c>
      <c r="P13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Row],[data]])),((P135*Q135)+SUMIFS(estoque[valor total],estoque[produto],preçodiario[[#Headers],[OVO BRANCO C]],estoque[data],preçodiario[[#This Row],[data]],estoque[fornecedor],"&lt;&gt;saída"))/(Q135+(SUMIFS(estoque[quantidade],estoque[produto],preçodiario[[#Headers],[OVO BRANCO C]],estoque[fornecedor],"&lt;&gt;saída",estoque[data],preçodiario[[#This Row],[data]])))))</f>
        <v/>
      </c>
      <c r="Q136" s="22">
        <f>IF(preçodiario[[#This Row],[entrada C]]=0,Q135-(SUMIFS(estoque[quantidade],estoque[fornecedor],"saída",estoque[produto],preçodiario[[#Headers],[OVO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Row],[data]]))+Q135+preçodiario[[#This Row],[entrada C]])</f>
        <v>0</v>
      </c>
      <c r="R136" s="22">
        <f>SUMIFS(estoque[quantidade],estoque[fornecedor],"&lt;&gt;saída",estoque[produto],preçodiario[[#Headers],[OVO BRANCO C]],estoque[data],preçodiario[[#This Row],[data]])</f>
        <v>0</v>
      </c>
      <c r="S136" s="20">
        <f>SUMIFS(estoque[valor total],estoque[fornecedor],"&lt;&gt;saída",estoque[produto],preçodiario[[#Headers],[OVO BRANCO C]],estoque[data],preçodiario[[#This Row],[data]])</f>
        <v>0</v>
      </c>
      <c r="T136" s="20">
        <f>IFERROR(preçodiario[[#This Row],[OVO BRANCO C]]*preçodiario[[#This Row],[estoque C]],0)</f>
        <v>0</v>
      </c>
      <c r="U1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Row],[data]])),((U135*V135)+SUMIFS(estoque[valor total],estoque[produto],preçodiario[[#Headers],[OVO BRANCO EXTRA]],estoque[data],preçodiario[[#This Row],[data]],estoque[fornecedor],"&lt;&gt;saída"))/(V135+(SUMIFS(estoque[quantidade],estoque[produto],preçodiario[[#Headers],[OVO BRANCO EXTRA]],estoque[fornecedor],"&lt;&gt;saída",estoque[data],preçodiario[[#This Row],[data]])))))</f>
        <v>16.466049382716051</v>
      </c>
      <c r="V136" s="22">
        <f>IF(preçodiario[[#This Row],[entrada E]]=0,V135-(SUMIFS(estoque[quantidade],estoque[fornecedor],"saída",estoque[produto],preçodiario[[#Headers],[OVO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Row],[data]]))+V135+preçodiario[[#This Row],[entrada E]])</f>
        <v>142</v>
      </c>
      <c r="W136" s="22">
        <f>SUMIFS(estoque[quantidade],estoque[fornecedor],"&lt;&gt;saída",estoque[produto],preçodiario[[#Headers],[OVO BRANCO EXTRA]],estoque[data],preçodiario[[#This Row],[data]])</f>
        <v>0</v>
      </c>
      <c r="X136" s="20">
        <f>SUMIFS(estoque[valor total],estoque[fornecedor],"&lt;&gt;saída",estoque[produto],preçodiario[[#Headers],[OVO BRANCO EXTRA]],estoque[data],preçodiario[[#This Row],[data]])</f>
        <v>0</v>
      </c>
      <c r="Y136" s="20">
        <f>IFERROR(preçodiario[[#This Row],[estoque E]]*preçodiario[[#This Row],[OVO BRANCO EXTRA]],0)</f>
        <v>2338.1790123456794</v>
      </c>
      <c r="Z1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Row],[data]])),((Z135*AA135)+SUMIFS(estoque[valor total],estoque[produto],preçodiario[[#Headers],[OVO BRANCO JUMBO]],estoque[data],preçodiario[[#This Row],[data]],estoque[fornecedor],"&lt;&gt;saída"))/(AA135+(SUMIFS(estoque[quantidade],estoque[produto],preçodiario[[#Headers],[OVO BRANCO JUMBO]],estoque[fornecedor],"&lt;&gt;saída",estoque[data],preçodiario[[#This Row],[data]])))))</f>
        <v>17.276785714285715</v>
      </c>
      <c r="AA136" s="22">
        <f>IF(preçodiario[[#This Row],[entrada J]]=0,AA135-(SUMIFS(estoque[quantidade],estoque[fornecedor],"saída",estoque[produto],preçodiario[[#Headers],[OVO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Row],[data]]))+AA135+preçodiario[[#This Row],[entrada J]])</f>
        <v>101</v>
      </c>
      <c r="AB136" s="22">
        <f>SUMIFS(estoque[quantidade],estoque[fornecedor],"&lt;&gt;saída",estoque[produto],preçodiario[[#Headers],[OVO BRANCO JUMBO]],estoque[data],preçodiario[[#This Row],[data]])</f>
        <v>0</v>
      </c>
      <c r="AC136" s="20">
        <f>SUMIFS(estoque[valor total],estoque[fornecedor],"&lt;&gt;saída",estoque[produto],preçodiario[[#Headers],[OVO BRANCO JUMBO]],estoque[data],preçodiario[[#This Row],[data]])</f>
        <v>0</v>
      </c>
      <c r="AD136" s="20">
        <f>IFERROR(preçodiario[[#This Row],[OVO BRANCO JUMBO]]*preçodiario[[#This Row],[estoque J]],0)</f>
        <v>1744.9553571428573</v>
      </c>
      <c r="AE1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Row],[data]])),((AE135*AF135)+SUMIFS(estoque[valor total],estoque[produto],preçodiario[[#Headers],[OVO VERMELHO A]],estoque[data],preçodiario[[#This Row],[data]],estoque[fornecedor],"&lt;&gt;saída"))/(AF135+(SUMIFS(estoque[quantidade],estoque[produto],preçodiario[[#Headers],[OVO VERMELHO A]],estoque[fornecedor],"&lt;&gt;saída",estoque[data],preçodiario[[#This Row],[data]])))))</f>
        <v/>
      </c>
      <c r="AF136" s="22">
        <f>IF(preçodiario[[#This Row],[entrada AV]]=0,AF135-(SUMIFS(estoque[quantidade],estoque[fornecedor],"saída",estoque[produto],preçodiario[[#Headers],[OVO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Row],[data]]))+AF135+preçodiario[[#This Row],[entrada AV]])</f>
        <v>0</v>
      </c>
      <c r="AG136" s="22">
        <f>SUMIFS(estoque[quantidade],estoque[fornecedor],"&lt;&gt;saída",estoque[produto],preçodiario[[#Headers],[OVO VERMELHO A]],estoque[data],preçodiario[[#This Row],[data]])</f>
        <v>0</v>
      </c>
      <c r="AH136" s="20">
        <f>SUMIFS(estoque[valor total],estoque[fornecedor],"&lt;&gt;saída",estoque[produto],preçodiario[[#Headers],[OVO VERMELHO A]],estoque[data],preçodiario[[#This Row],[data]])</f>
        <v>0</v>
      </c>
      <c r="AI136" s="20">
        <f>IFERROR(preçodiario[[#This Row],[OVO VERMELHO A]]*preçodiario[[#This Row],[estoque AV]],0)</f>
        <v>0</v>
      </c>
      <c r="AJ1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Row],[data]])),((AJ135*AK135)+SUMIFS(estoque[valor total],estoque[produto],preçodiario[[#Headers],[OVO VERMELHO B]],estoque[data],preçodiario[[#This Row],[data]],estoque[fornecedor],"&lt;&gt;saída"))/(AK135+(SUMIFS(estoque[quantidade],estoque[produto],preçodiario[[#Headers],[OVO VERMELHO B]],estoque[fornecedor],"&lt;&gt;saída",estoque[data],preçodiario[[#This Row],[data]])))))</f>
        <v/>
      </c>
      <c r="AK136" s="22">
        <f>IF(preçodiario[[#This Row],[entrada BV]]=0,AK135-(SUMIFS(estoque[quantidade],estoque[fornecedor],"saída",estoque[produto],preçodiario[[#Headers],[OVO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Row],[data]]))+AK135+preçodiario[[#This Row],[entrada BV]])</f>
        <v>0</v>
      </c>
      <c r="AL136" s="22">
        <f>SUMIFS(estoque[quantidade],estoque[fornecedor],"&lt;&gt;saída",estoque[produto],preçodiario[[#Headers],[OVO VERMELHO B]],estoque[data],preçodiario[[#This Row],[data]])</f>
        <v>0</v>
      </c>
      <c r="AM136" s="20">
        <f>SUMIFS(estoque[valor total],estoque[fornecedor],"&lt;&gt;saída",estoque[produto],preçodiario[[#Headers],[OVO VERMELHO B]],estoque[data],preçodiario[[#This Row],[data]])</f>
        <v>0</v>
      </c>
      <c r="AN136" s="20">
        <f>IFERROR(preçodiario[[#This Row],[OVO VERMELHO B]]*preçodiario[[#This Row],[estoque BV]],0)</f>
        <v>0</v>
      </c>
      <c r="AO1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Row],[data]])),((AO135*AP135)+SUMIFS(estoque[valor total],estoque[produto],preçodiario[[#Headers],[OVO VERMELHO C]],estoque[data],preçodiario[[#This Row],[data]],estoque[fornecedor],"&lt;&gt;saída"))/(AP135+(SUMIFS(estoque[quantidade],estoque[produto],preçodiario[[#Headers],[OVO VERMELHO C]],estoque[fornecedor],"&lt;&gt;saída",estoque[data],preçodiario[[#This Row],[data]])))))</f>
        <v/>
      </c>
      <c r="AP136" s="22">
        <f>IF(preçodiario[[#This Row],[entrada CV]]=0,AP135-(SUMIFS(estoque[quantidade],estoque[fornecedor],"saída",estoque[produto],preçodiario[[#Headers],[OVO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Row],[data]]))+AP135+preçodiario[[#This Row],[entrada CV]])</f>
        <v>0</v>
      </c>
      <c r="AQ136" s="22">
        <f>SUMIFS(estoque[quantidade],estoque[fornecedor],"&lt;&gt;saída",estoque[produto],preçodiario[[#Headers],[OVO VERMELHO C]],estoque[data],preçodiario[[#This Row],[data]])</f>
        <v>0</v>
      </c>
      <c r="AR136" s="20">
        <f>SUMIFS(estoque[valor total],estoque[fornecedor],"&lt;&gt;saída",estoque[produto],preçodiario[[#Headers],[OVO VERMELHO C]],estoque[data],preçodiario[[#This Row],[data]])</f>
        <v>0</v>
      </c>
      <c r="AS136" s="20">
        <f>IFERROR(preçodiario[[#This Row],[OVO VERMELHO C]]*preçodiario[[#This Row],[estoque CV]],0)</f>
        <v>0</v>
      </c>
      <c r="AT1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Row],[data]])),((AT135*AU135)+SUMIFS(estoque[valor total],estoque[produto],preçodiario[[#Headers],[OVO VERMELHO EXTRA]],estoque[data],preçodiario[[#This Row],[data]],estoque[fornecedor],"&lt;&gt;saída"))/(AU135+(SUMIFS(estoque[quantidade],estoque[produto],preçodiario[[#Headers],[OVO VERMELHO EXTRA]],estoque[fornecedor],"&lt;&gt;saída",estoque[data],preçodiario[[#This Row],[data]])))))</f>
        <v/>
      </c>
      <c r="AU136" s="22">
        <f>IF(preçodiario[[#This Row],[entrada EV]]=0,AU135-(SUMIFS(estoque[quantidade],estoque[fornecedor],"saída",estoque[produto],preçodiario[[#Headers],[OVO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Row],[data]]))+AU135+preçodiario[[#This Row],[entrada EV]])</f>
        <v>0</v>
      </c>
      <c r="AV136" s="22">
        <f>SUMIFS(estoque[quantidade],estoque[fornecedor],"&lt;&gt;saída",estoque[produto],preçodiario[[#Headers],[OVO VERMELHO EXTRA]],estoque[data],preçodiario[[#This Row],[data]])</f>
        <v>0</v>
      </c>
      <c r="AW136" s="20">
        <f>SUMIFS(estoque[valor total],estoque[fornecedor],"&lt;&gt;saída",estoque[produto],preçodiario[[#Headers],[OVO VERMELHO EXTRA]],estoque[data],preçodiario[[#This Row],[data]])</f>
        <v>0</v>
      </c>
      <c r="AX136" s="20">
        <f>IFERROR(preçodiario[[#This Row],[OVO VERMELHO EXTRA]]*preçodiario[[#This Row],[estoque EV]],0)</f>
        <v>0</v>
      </c>
      <c r="AY1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Row],[data]])),((AY135*AZ135)+SUMIFS(estoque[valor total],estoque[produto],preçodiario[[#Headers],[OVO VERMELHO JUMBO]],estoque[data],preçodiario[[#This Row],[data]],estoque[fornecedor],"&lt;&gt;saída"))/(AZ135+(SUMIFS(estoque[quantidade],estoque[produto],preçodiario[[#Headers],[OVO VERMELHO JUMBO]],estoque[fornecedor],"&lt;&gt;saída",estoque[data],preçodiario[[#This Row],[data]])))))</f>
        <v/>
      </c>
      <c r="AZ136" s="22">
        <f>IF(preçodiario[[#This Row],[entrada JV]]=0,AZ135-(SUMIFS(estoque[quantidade],estoque[fornecedor],"saída",estoque[produto],preçodiario[[#Headers],[OVO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Row],[data]]))+AZ135+preçodiario[[#This Row],[entrada JV]])</f>
        <v>0</v>
      </c>
      <c r="BA136" s="22">
        <f>SUMIFS(estoque[quantidade],estoque[fornecedor],"&lt;&gt;saída",estoque[produto],preçodiario[[#Headers],[OVO VERMELHO JUMBO]],estoque[data],preçodiario[[#This Row],[data]])</f>
        <v>0</v>
      </c>
      <c r="BB136" s="20">
        <f>SUMIFS(estoque[valor total],estoque[fornecedor],"&lt;&gt;saída",estoque[produto],preçodiario[[#Headers],[OVO VERMELHO JUMBO]],estoque[data],preçodiario[[#This Row],[data]])</f>
        <v>0</v>
      </c>
      <c r="BC136" s="20">
        <f>IFERROR(preçodiario[[#This Row],[OVO VERMELHO JUMBO]]*preçodiario[[#This Row],[estoque JV]],0)</f>
        <v>0</v>
      </c>
      <c r="BD136" t="str">
        <f>TEXT(vendaAno[[#This Row],[data]],"mmm")</f>
        <v>mai</v>
      </c>
      <c r="BE136" t="str">
        <f>TEXT(vendaAno[[#This Row],[data]],"ddd")</f>
        <v>sex</v>
      </c>
      <c r="BF136" s="82">
        <f>WEEKNUM(vendaAno[[#This Row],[data]],13)</f>
        <v>20</v>
      </c>
      <c r="BG136" s="27">
        <f>preçodiario[[#This Row],[data]]</f>
        <v>46157</v>
      </c>
      <c r="BH1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6" s="8">
        <f>IF(SUMIFS(estoque[valor total],estoque[fornecedor],"saída",estoque[data],vendaAno[[#This Row],[data]])=0,"",SUMIFS(estoque[valor total],estoque[fornecedor],"saída",estoque[data],vendaAno[[#This Row],[data]]))</f>
        <v>814</v>
      </c>
      <c r="BJ13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Row],[data]]))/12+BJ135,"")</f>
        <v>37.666666666666643</v>
      </c>
      <c r="BK136" s="79">
        <f ca="1">IF(TODAY()&gt;=vendaAno[[#This Row],[data]],IF(SUMIFS(estoque[quantidade],estoque[fornecedor],"saída",estoque[data],vendaAno[[#This Row],[data]])/12=0,AVERAGE(BK133:BK135),SUMIFS(estoque[quantidade],estoque[fornecedor],"saída",estoque[data],vendaAno[[#This Row],[data]])/12),"")</f>
        <v>3.3333333333333335</v>
      </c>
      <c r="BL136" s="8">
        <f ca="1">IF(vendaAno[[#This Row],[data]]&lt;=TODAY(),IF(SUMIFS(estoque[lucro],estoque[fornecedor],"saída",estoque[data],vendaAno[[#This Row],[data]])=0,AVERAGE(BL133:BL135),SUMIFS(estoque[lucro],estoque[fornecedor],"saída",estoque[data],vendaAno[[#This Row],[data]])),"")</f>
        <v>173.19</v>
      </c>
      <c r="BM136" s="10">
        <f ca="1">IFERROR(vendaAno[[#This Row],[lucro]]/vendaAno[[#This Row],[valor de venda]],"")</f>
        <v>0.21276412776412776</v>
      </c>
      <c r="BN13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7318.3866793013503</v>
      </c>
      <c r="BO136" s="8">
        <f ca="1">IF(TODAY()&gt;=vendaAno[[#This Row],[data]],IF(vendaAno[[#This Row],[N°]]=BF135,vendaAno[[#This Row],[lucro]]-173.33+BO135,vendaAno[[#This Row],[lucro]]-150),"")</f>
        <v>-93.090000000000018</v>
      </c>
      <c r="BP136" s="81">
        <f ca="1">IF(TODAY()&gt;=vendaAno[[#This Row],[data]],SUM(BK130:BK136)*12,"")</f>
        <v>173</v>
      </c>
      <c r="BQ136" s="7">
        <f ca="1">IFERROR(vendaAno[[#This Row],[lucro]]/(vendaAno[[#This Row],[venda]]*12),"")</f>
        <v>4.3297499999999998</v>
      </c>
    </row>
    <row r="137" spans="1:69" x14ac:dyDescent="0.25">
      <c r="A1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7" s="18" t="str">
        <f>TEXT(preçodiario[[#This Row],[data]],"MMM")</f>
        <v>mai</v>
      </c>
      <c r="C137" s="18" t="str">
        <f>TEXT(preçodiario[[#This Row],[data]],"ddd")</f>
        <v>sáb</v>
      </c>
      <c r="D137" s="96">
        <f>WEEKNUM(preçodiario[[#This Row],[data]],13)</f>
        <v>20</v>
      </c>
      <c r="E137" s="37">
        <v>46158</v>
      </c>
      <c r="F1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Row],[data]])),((F136*G136)+SUMIFS(estoque[valor total],estoque[produto],preçodiario[[#Headers],[OVO BRANCO A]],estoque[data],preçodiario[[#This Row],[data]],estoque[fornecedor],"&lt;&gt;saída"))/(G136+(SUMIFS(estoque[quantidade],estoque[produto],preçodiario[[#Headers],[OVO BRANCO A]],estoque[fornecedor],"&lt;&gt;saída",estoque[data],preçodiario[[#This Row],[data]])))))</f>
        <v>16.033528967142409</v>
      </c>
      <c r="G137" s="22">
        <f>IF(preçodiario[[#This Row],[entrada A]]=0,G136-(SUMIFS(estoque[quantidade],estoque[fornecedor],"saída",estoque[produto],preçodiario[[#Headers],[OVO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Row],[data]]))+G136+preçodiario[[#This Row],[entrada A]])</f>
        <v>96</v>
      </c>
      <c r="H137" s="22">
        <f>SUMIFS(estoque[quantidade],estoque[fornecedor],"&lt;&gt;saída",estoque[produto],preçodiario[[#Headers],[OVO BRANCO A]],estoque[data],preçodiario[[#This Row],[data]])</f>
        <v>0</v>
      </c>
      <c r="I137" s="20">
        <f>SUMIFS(estoque[valor total],estoque[fornecedor],"&lt;&gt;saída",estoque[produto],preçodiario[[#Headers],[OVO BRANCO A]],estoque[data],preçodiario[[#This Row],[data]])</f>
        <v>0</v>
      </c>
      <c r="J137" s="20">
        <f>IFERROR(preçodiario[[#This Row],[estoque A]]*preçodiario[[#This Row],[OVO BRANCO A]],0)</f>
        <v>1539.2187808456713</v>
      </c>
      <c r="K1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Row],[data]])),((K136*L136)+SUMIFS(estoque[valor total],estoque[produto],preçodiario[[#Headers],[OVO BRANCO B]],estoque[data],preçodiario[[#This Row],[data]],estoque[fornecedor],"&lt;&gt;saída"))/(L136+(SUMIFS(estoque[quantidade],estoque[produto],preçodiario[[#Headers],[OVO BRANCO B]],estoque[fornecedor],"&lt;&gt;saída",estoque[data],preçodiario[[#This Row],[data]])))))</f>
        <v>15</v>
      </c>
      <c r="L137" s="22">
        <f>IF(preçodiario[[#This Row],[entrada B]]=0,L136-(SUMIFS(estoque[quantidade],estoque[fornecedor],"saída",estoque[produto],preçodiario[[#Headers],[OVO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Row],[data]]))+L136+preçodiario[[#This Row],[entrada B]])</f>
        <v>99</v>
      </c>
      <c r="M137" s="22">
        <f>SUMIFS(estoque[quantidade],estoque[fornecedor],"&lt;&gt;saída",estoque[produto],preçodiario[[#Headers],[OVO BRANCO B]],estoque[data],preçodiario[[#This Row],[data]])</f>
        <v>0</v>
      </c>
      <c r="N137" s="20">
        <f>SUMIFS(estoque[valor total],estoque[fornecedor],"&lt;&gt;saída",estoque[produto],preçodiario[[#Headers],[OVO BRANCO B]],estoque[data],preçodiario[[#This Row],[data]])</f>
        <v>0</v>
      </c>
      <c r="O137" s="20">
        <f>IFERROR(preçodiario[[#This Row],[OVO BRANCO B]]*preçodiario[[#This Row],[estoque B]],0)</f>
        <v>1485</v>
      </c>
      <c r="P13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Row],[data]])),((P136*Q136)+SUMIFS(estoque[valor total],estoque[produto],preçodiario[[#Headers],[OVO BRANCO C]],estoque[data],preçodiario[[#This Row],[data]],estoque[fornecedor],"&lt;&gt;saída"))/(Q136+(SUMIFS(estoque[quantidade],estoque[produto],preçodiario[[#Headers],[OVO BRANCO C]],estoque[fornecedor],"&lt;&gt;saída",estoque[data],preçodiario[[#This Row],[data]])))))</f>
        <v/>
      </c>
      <c r="Q137" s="22">
        <f>IF(preçodiario[[#This Row],[entrada C]]=0,Q136-(SUMIFS(estoque[quantidade],estoque[fornecedor],"saída",estoque[produto],preçodiario[[#Headers],[OVO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Row],[data]]))+Q136+preçodiario[[#This Row],[entrada C]])</f>
        <v>0</v>
      </c>
      <c r="R137" s="22">
        <f>SUMIFS(estoque[quantidade],estoque[fornecedor],"&lt;&gt;saída",estoque[produto],preçodiario[[#Headers],[OVO BRANCO C]],estoque[data],preçodiario[[#This Row],[data]])</f>
        <v>0</v>
      </c>
      <c r="S137" s="20">
        <f>SUMIFS(estoque[valor total],estoque[fornecedor],"&lt;&gt;saída",estoque[produto],preçodiario[[#Headers],[OVO BRANCO C]],estoque[data],preçodiario[[#This Row],[data]])</f>
        <v>0</v>
      </c>
      <c r="T137" s="20">
        <f>IFERROR(preçodiario[[#This Row],[OVO BRANCO C]]*preçodiario[[#This Row],[estoque C]],0)</f>
        <v>0</v>
      </c>
      <c r="U1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Row],[data]])),((U136*V136)+SUMIFS(estoque[valor total],estoque[produto],preçodiario[[#Headers],[OVO BRANCO EXTRA]],estoque[data],preçodiario[[#This Row],[data]],estoque[fornecedor],"&lt;&gt;saída"))/(V136+(SUMIFS(estoque[quantidade],estoque[produto],preçodiario[[#Headers],[OVO BRANCO EXTRA]],estoque[fornecedor],"&lt;&gt;saída",estoque[data],preçodiario[[#This Row],[data]])))))</f>
        <v>16.466049382716051</v>
      </c>
      <c r="V137" s="22">
        <f>IF(preçodiario[[#This Row],[entrada E]]=0,V136-(SUMIFS(estoque[quantidade],estoque[fornecedor],"saída",estoque[produto],preçodiario[[#Headers],[OVO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Row],[data]]))+V136+preçodiario[[#This Row],[entrada E]])</f>
        <v>142</v>
      </c>
      <c r="W137" s="22">
        <f>SUMIFS(estoque[quantidade],estoque[fornecedor],"&lt;&gt;saída",estoque[produto],preçodiario[[#Headers],[OVO BRANCO EXTRA]],estoque[data],preçodiario[[#This Row],[data]])</f>
        <v>0</v>
      </c>
      <c r="X137" s="20">
        <f>SUMIFS(estoque[valor total],estoque[fornecedor],"&lt;&gt;saída",estoque[produto],preçodiario[[#Headers],[OVO BRANCO EXTRA]],estoque[data],preçodiario[[#This Row],[data]])</f>
        <v>0</v>
      </c>
      <c r="Y137" s="20">
        <f>IFERROR(preçodiario[[#This Row],[estoque E]]*preçodiario[[#This Row],[OVO BRANCO EXTRA]],0)</f>
        <v>2338.1790123456794</v>
      </c>
      <c r="Z1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Row],[data]])),((Z136*AA136)+SUMIFS(estoque[valor total],estoque[produto],preçodiario[[#Headers],[OVO BRANCO JUMBO]],estoque[data],preçodiario[[#This Row],[data]],estoque[fornecedor],"&lt;&gt;saída"))/(AA136+(SUMIFS(estoque[quantidade],estoque[produto],preçodiario[[#Headers],[OVO BRANCO JUMBO]],estoque[fornecedor],"&lt;&gt;saída",estoque[data],preçodiario[[#This Row],[data]])))))</f>
        <v>17.276785714285715</v>
      </c>
      <c r="AA137" s="22">
        <f>IF(preçodiario[[#This Row],[entrada J]]=0,AA136-(SUMIFS(estoque[quantidade],estoque[fornecedor],"saída",estoque[produto],preçodiario[[#Headers],[OVO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Row],[data]]))+AA136+preçodiario[[#This Row],[entrada J]])</f>
        <v>99</v>
      </c>
      <c r="AB137" s="22">
        <f>SUMIFS(estoque[quantidade],estoque[fornecedor],"&lt;&gt;saída",estoque[produto],preçodiario[[#Headers],[OVO BRANCO JUMBO]],estoque[data],preçodiario[[#This Row],[data]])</f>
        <v>0</v>
      </c>
      <c r="AC137" s="20">
        <f>SUMIFS(estoque[valor total],estoque[fornecedor],"&lt;&gt;saída",estoque[produto],preçodiario[[#Headers],[OVO BRANCO JUMBO]],estoque[data],preçodiario[[#This Row],[data]])</f>
        <v>0</v>
      </c>
      <c r="AD137" s="20">
        <f>IFERROR(preçodiario[[#This Row],[OVO BRANCO JUMBO]]*preçodiario[[#This Row],[estoque J]],0)</f>
        <v>1710.4017857142858</v>
      </c>
      <c r="AE1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Row],[data]])),((AE136*AF136)+SUMIFS(estoque[valor total],estoque[produto],preçodiario[[#Headers],[OVO VERMELHO A]],estoque[data],preçodiario[[#This Row],[data]],estoque[fornecedor],"&lt;&gt;saída"))/(AF136+(SUMIFS(estoque[quantidade],estoque[produto],preçodiario[[#Headers],[OVO VERMELHO A]],estoque[fornecedor],"&lt;&gt;saída",estoque[data],preçodiario[[#This Row],[data]])))))</f>
        <v/>
      </c>
      <c r="AF137" s="22">
        <f>IF(preçodiario[[#This Row],[entrada AV]]=0,AF136-(SUMIFS(estoque[quantidade],estoque[fornecedor],"saída",estoque[produto],preçodiario[[#Headers],[OVO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Row],[data]]))+AF136+preçodiario[[#This Row],[entrada AV]])</f>
        <v>0</v>
      </c>
      <c r="AG137" s="22">
        <f>SUMIFS(estoque[quantidade],estoque[fornecedor],"&lt;&gt;saída",estoque[produto],preçodiario[[#Headers],[OVO VERMELHO A]],estoque[data],preçodiario[[#This Row],[data]])</f>
        <v>0</v>
      </c>
      <c r="AH137" s="20">
        <f>SUMIFS(estoque[valor total],estoque[fornecedor],"&lt;&gt;saída",estoque[produto],preçodiario[[#Headers],[OVO VERMELHO A]],estoque[data],preçodiario[[#This Row],[data]])</f>
        <v>0</v>
      </c>
      <c r="AI137" s="20">
        <f>IFERROR(preçodiario[[#This Row],[OVO VERMELHO A]]*preçodiario[[#This Row],[estoque AV]],0)</f>
        <v>0</v>
      </c>
      <c r="AJ1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Row],[data]])),((AJ136*AK136)+SUMIFS(estoque[valor total],estoque[produto],preçodiario[[#Headers],[OVO VERMELHO B]],estoque[data],preçodiario[[#This Row],[data]],estoque[fornecedor],"&lt;&gt;saída"))/(AK136+(SUMIFS(estoque[quantidade],estoque[produto],preçodiario[[#Headers],[OVO VERMELHO B]],estoque[fornecedor],"&lt;&gt;saída",estoque[data],preçodiario[[#This Row],[data]])))))</f>
        <v/>
      </c>
      <c r="AK137" s="22">
        <f>IF(preçodiario[[#This Row],[entrada BV]]=0,AK136-(SUMIFS(estoque[quantidade],estoque[fornecedor],"saída",estoque[produto],preçodiario[[#Headers],[OVO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Row],[data]]))+AK136+preçodiario[[#This Row],[entrada BV]])</f>
        <v>0</v>
      </c>
      <c r="AL137" s="22">
        <f>SUMIFS(estoque[quantidade],estoque[fornecedor],"&lt;&gt;saída",estoque[produto],preçodiario[[#Headers],[OVO VERMELHO B]],estoque[data],preçodiario[[#This Row],[data]])</f>
        <v>0</v>
      </c>
      <c r="AM137" s="20">
        <f>SUMIFS(estoque[valor total],estoque[fornecedor],"&lt;&gt;saída",estoque[produto],preçodiario[[#Headers],[OVO VERMELHO B]],estoque[data],preçodiario[[#This Row],[data]])</f>
        <v>0</v>
      </c>
      <c r="AN137" s="20">
        <f>IFERROR(preçodiario[[#This Row],[OVO VERMELHO B]]*preçodiario[[#This Row],[estoque BV]],0)</f>
        <v>0</v>
      </c>
      <c r="AO1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Row],[data]])),((AO136*AP136)+SUMIFS(estoque[valor total],estoque[produto],preçodiario[[#Headers],[OVO VERMELHO C]],estoque[data],preçodiario[[#This Row],[data]],estoque[fornecedor],"&lt;&gt;saída"))/(AP136+(SUMIFS(estoque[quantidade],estoque[produto],preçodiario[[#Headers],[OVO VERMELHO C]],estoque[fornecedor],"&lt;&gt;saída",estoque[data],preçodiario[[#This Row],[data]])))))</f>
        <v/>
      </c>
      <c r="AP137" s="22">
        <f>IF(preçodiario[[#This Row],[entrada CV]]=0,AP136-(SUMIFS(estoque[quantidade],estoque[fornecedor],"saída",estoque[produto],preçodiario[[#Headers],[OVO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Row],[data]]))+AP136+preçodiario[[#This Row],[entrada CV]])</f>
        <v>0</v>
      </c>
      <c r="AQ137" s="22">
        <f>SUMIFS(estoque[quantidade],estoque[fornecedor],"&lt;&gt;saída",estoque[produto],preçodiario[[#Headers],[OVO VERMELHO C]],estoque[data],preçodiario[[#This Row],[data]])</f>
        <v>0</v>
      </c>
      <c r="AR137" s="20">
        <f>SUMIFS(estoque[valor total],estoque[fornecedor],"&lt;&gt;saída",estoque[produto],preçodiario[[#Headers],[OVO VERMELHO C]],estoque[data],preçodiario[[#This Row],[data]])</f>
        <v>0</v>
      </c>
      <c r="AS137" s="20">
        <f>IFERROR(preçodiario[[#This Row],[OVO VERMELHO C]]*preçodiario[[#This Row],[estoque CV]],0)</f>
        <v>0</v>
      </c>
      <c r="AT1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Row],[data]])),((AT136*AU136)+SUMIFS(estoque[valor total],estoque[produto],preçodiario[[#Headers],[OVO VERMELHO EXTRA]],estoque[data],preçodiario[[#This Row],[data]],estoque[fornecedor],"&lt;&gt;saída"))/(AU136+(SUMIFS(estoque[quantidade],estoque[produto],preçodiario[[#Headers],[OVO VERMELHO EXTRA]],estoque[fornecedor],"&lt;&gt;saída",estoque[data],preçodiario[[#This Row],[data]])))))</f>
        <v/>
      </c>
      <c r="AU137" s="22">
        <f>IF(preçodiario[[#This Row],[entrada EV]]=0,AU136-(SUMIFS(estoque[quantidade],estoque[fornecedor],"saída",estoque[produto],preçodiario[[#Headers],[OVO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Row],[data]]))+AU136+preçodiario[[#This Row],[entrada EV]])</f>
        <v>0</v>
      </c>
      <c r="AV137" s="22">
        <f>SUMIFS(estoque[quantidade],estoque[fornecedor],"&lt;&gt;saída",estoque[produto],preçodiario[[#Headers],[OVO VERMELHO EXTRA]],estoque[data],preçodiario[[#This Row],[data]])</f>
        <v>0</v>
      </c>
      <c r="AW137" s="20">
        <f>SUMIFS(estoque[valor total],estoque[fornecedor],"&lt;&gt;saída",estoque[produto],preçodiario[[#Headers],[OVO VERMELHO EXTRA]],estoque[data],preçodiario[[#This Row],[data]])</f>
        <v>0</v>
      </c>
      <c r="AX137" s="20">
        <f>IFERROR(preçodiario[[#This Row],[OVO VERMELHO EXTRA]]*preçodiario[[#This Row],[estoque EV]],0)</f>
        <v>0</v>
      </c>
      <c r="AY1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Row],[data]])),((AY136*AZ136)+SUMIFS(estoque[valor total],estoque[produto],preçodiario[[#Headers],[OVO VERMELHO JUMBO]],estoque[data],preçodiario[[#This Row],[data]],estoque[fornecedor],"&lt;&gt;saída"))/(AZ136+(SUMIFS(estoque[quantidade],estoque[produto],preçodiario[[#Headers],[OVO VERMELHO JUMBO]],estoque[fornecedor],"&lt;&gt;saída",estoque[data],preçodiario[[#This Row],[data]])))))</f>
        <v/>
      </c>
      <c r="AZ137" s="22">
        <f>IF(preçodiario[[#This Row],[entrada JV]]=0,AZ136-(SUMIFS(estoque[quantidade],estoque[fornecedor],"saída",estoque[produto],preçodiario[[#Headers],[OVO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Row],[data]]))+AZ136+preçodiario[[#This Row],[entrada JV]])</f>
        <v>0</v>
      </c>
      <c r="BA137" s="22">
        <f>SUMIFS(estoque[quantidade],estoque[fornecedor],"&lt;&gt;saída",estoque[produto],preçodiario[[#Headers],[OVO VERMELHO JUMBO]],estoque[data],preçodiario[[#This Row],[data]])</f>
        <v>0</v>
      </c>
      <c r="BB137" s="20">
        <f>SUMIFS(estoque[valor total],estoque[fornecedor],"&lt;&gt;saída",estoque[produto],preçodiario[[#Headers],[OVO VERMELHO JUMBO]],estoque[data],preçodiario[[#This Row],[data]])</f>
        <v>0</v>
      </c>
      <c r="BC137" s="20">
        <f>IFERROR(preçodiario[[#This Row],[OVO VERMELHO JUMBO]]*preçodiario[[#This Row],[estoque JV]],0)</f>
        <v>0</v>
      </c>
      <c r="BD137" t="str">
        <f>TEXT(vendaAno[[#This Row],[data]],"mmm")</f>
        <v>mai</v>
      </c>
      <c r="BE137" t="str">
        <f>TEXT(vendaAno[[#This Row],[data]],"ddd")</f>
        <v>sáb</v>
      </c>
      <c r="BF137" s="82">
        <f>WEEKNUM(vendaAno[[#This Row],[data]],13)</f>
        <v>20</v>
      </c>
      <c r="BG137" s="27">
        <f>preçodiario[[#This Row],[data]]</f>
        <v>46158</v>
      </c>
      <c r="BH1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7" s="8">
        <f>IF(SUMIFS(estoque[valor total],estoque[fornecedor],"saída",estoque[data],vendaAno[[#This Row],[data]])=0,"",SUMIFS(estoque[valor total],estoque[fornecedor],"saída",estoque[data],vendaAno[[#This Row],[data]]))</f>
        <v>306</v>
      </c>
      <c r="BJ13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Row],[data]]))/12+BJ136,"")</f>
        <v>36.333333333333307</v>
      </c>
      <c r="BK137" s="79">
        <f ca="1">IF(TODAY()&gt;=vendaAno[[#This Row],[data]],IF(SUMIFS(estoque[quantidade],estoque[fornecedor],"saída",estoque[data],vendaAno[[#This Row],[data]])/12=0,AVERAGE(BK134:BK136),SUMIFS(estoque[quantidade],estoque[fornecedor],"saída",estoque[data],vendaAno[[#This Row],[data]])/12),"")</f>
        <v>1.3333333333333333</v>
      </c>
      <c r="BL137" s="8">
        <f ca="1">IF(vendaAno[[#This Row],[data]]&lt;=TODAY(),IF(SUMIFS(estoque[lucro],estoque[fornecedor],"saída",estoque[data],vendaAno[[#This Row],[data]])=0,AVERAGE(BL134:BL136),SUMIFS(estoque[lucro],estoque[fornecedor],"saída",estoque[data],vendaAno[[#This Row],[data]])),"")</f>
        <v>60.42</v>
      </c>
      <c r="BM137" s="10">
        <f ca="1">IFERROR(vendaAno[[#This Row],[lucro]]/vendaAno[[#This Row],[valor de venda]],"")</f>
        <v>0.19745098039215686</v>
      </c>
      <c r="BN13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7072.7995789056367</v>
      </c>
      <c r="BO137" s="8">
        <f ca="1">IF(TODAY()&gt;=vendaAno[[#This Row],[data]],IF(vendaAno[[#This Row],[N°]]=BF136,vendaAno[[#This Row],[lucro]]-173.33+BO136,vendaAno[[#This Row],[lucro]]-150),"")</f>
        <v>-206.00000000000003</v>
      </c>
      <c r="BP137" s="81">
        <f ca="1">IF(TODAY()&gt;=vendaAno[[#This Row],[data]],SUM(BK131:BK137)*12,"")</f>
        <v>186.00000000000003</v>
      </c>
      <c r="BQ137" s="7">
        <f ca="1">IFERROR(vendaAno[[#This Row],[lucro]]/(vendaAno[[#This Row],[venda]]*12),"")</f>
        <v>3.7762500000000001</v>
      </c>
    </row>
    <row r="138" spans="1:69" x14ac:dyDescent="0.25">
      <c r="A1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8" s="18" t="str">
        <f>TEXT(preçodiario[[#This Row],[data]],"MMM")</f>
        <v>mai</v>
      </c>
      <c r="C138" s="18" t="str">
        <f>TEXT(preçodiario[[#This Row],[data]],"ddd")</f>
        <v>dom</v>
      </c>
      <c r="D138" s="96">
        <f>WEEKNUM(preçodiario[[#This Row],[data]],13)</f>
        <v>20</v>
      </c>
      <c r="E138" s="37">
        <v>46159</v>
      </c>
      <c r="F1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Row],[data]])),((F137*G137)+SUMIFS(estoque[valor total],estoque[produto],preçodiario[[#Headers],[OVO BRANCO A]],estoque[data],preçodiario[[#This Row],[data]],estoque[fornecedor],"&lt;&gt;saída"))/(G137+(SUMIFS(estoque[quantidade],estoque[produto],preçodiario[[#Headers],[OVO BRANCO A]],estoque[fornecedor],"&lt;&gt;saída",estoque[data],preçodiario[[#This Row],[data]])))))</f>
        <v>16.033528967142409</v>
      </c>
      <c r="G138" s="22">
        <f>IF(preçodiario[[#This Row],[entrada A]]=0,G137-(SUMIFS(estoque[quantidade],estoque[fornecedor],"saída",estoque[produto],preçodiario[[#Headers],[OVO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Row],[data]]))+G137+preçodiario[[#This Row],[entrada A]])</f>
        <v>87</v>
      </c>
      <c r="H138" s="22">
        <f>SUMIFS(estoque[quantidade],estoque[fornecedor],"&lt;&gt;saída",estoque[produto],preçodiario[[#Headers],[OVO BRANCO A]],estoque[data],preçodiario[[#This Row],[data]])</f>
        <v>0</v>
      </c>
      <c r="I138" s="20">
        <f>SUMIFS(estoque[valor total],estoque[fornecedor],"&lt;&gt;saída",estoque[produto],preçodiario[[#Headers],[OVO BRANCO A]],estoque[data],preçodiario[[#This Row],[data]])</f>
        <v>0</v>
      </c>
      <c r="J138" s="20">
        <f>IFERROR(preçodiario[[#This Row],[estoque A]]*preçodiario[[#This Row],[OVO BRANCO A]],0)</f>
        <v>1394.9170201413897</v>
      </c>
      <c r="K1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Row],[data]])),((K137*L137)+SUMIFS(estoque[valor total],estoque[produto],preçodiario[[#Headers],[OVO BRANCO B]],estoque[data],preçodiario[[#This Row],[data]],estoque[fornecedor],"&lt;&gt;saída"))/(L137+(SUMIFS(estoque[quantidade],estoque[produto],preçodiario[[#Headers],[OVO BRANCO B]],estoque[fornecedor],"&lt;&gt;saída",estoque[data],preçodiario[[#This Row],[data]])))))</f>
        <v>15</v>
      </c>
      <c r="L138" s="22">
        <f>IF(preçodiario[[#This Row],[entrada B]]=0,L137-(SUMIFS(estoque[quantidade],estoque[fornecedor],"saída",estoque[produto],preçodiario[[#Headers],[OVO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Row],[data]]))+L137+preçodiario[[#This Row],[entrada B]])</f>
        <v>97</v>
      </c>
      <c r="M138" s="22">
        <f>SUMIFS(estoque[quantidade],estoque[fornecedor],"&lt;&gt;saída",estoque[produto],preçodiario[[#Headers],[OVO BRANCO B]],estoque[data],preçodiario[[#This Row],[data]])</f>
        <v>0</v>
      </c>
      <c r="N138" s="20">
        <f>SUMIFS(estoque[valor total],estoque[fornecedor],"&lt;&gt;saída",estoque[produto],preçodiario[[#Headers],[OVO BRANCO B]],estoque[data],preçodiario[[#This Row],[data]])</f>
        <v>0</v>
      </c>
      <c r="O138" s="20">
        <f>IFERROR(preçodiario[[#This Row],[OVO BRANCO B]]*preçodiario[[#This Row],[estoque B]],0)</f>
        <v>1455</v>
      </c>
      <c r="P13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Row],[data]])),((P137*Q137)+SUMIFS(estoque[valor total],estoque[produto],preçodiario[[#Headers],[OVO BRANCO C]],estoque[data],preçodiario[[#This Row],[data]],estoque[fornecedor],"&lt;&gt;saída"))/(Q137+(SUMIFS(estoque[quantidade],estoque[produto],preçodiario[[#Headers],[OVO BRANCO C]],estoque[fornecedor],"&lt;&gt;saída",estoque[data],preçodiario[[#This Row],[data]])))))</f>
        <v/>
      </c>
      <c r="Q138" s="22">
        <f>IF(preçodiario[[#This Row],[entrada C]]=0,Q137-(SUMIFS(estoque[quantidade],estoque[fornecedor],"saída",estoque[produto],preçodiario[[#Headers],[OVO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Row],[data]]))+Q137+preçodiario[[#This Row],[entrada C]])</f>
        <v>0</v>
      </c>
      <c r="R138" s="22">
        <f>SUMIFS(estoque[quantidade],estoque[fornecedor],"&lt;&gt;saída",estoque[produto],preçodiario[[#Headers],[OVO BRANCO C]],estoque[data],preçodiario[[#This Row],[data]])</f>
        <v>0</v>
      </c>
      <c r="S138" s="20">
        <f>SUMIFS(estoque[valor total],estoque[fornecedor],"&lt;&gt;saída",estoque[produto],preçodiario[[#Headers],[OVO BRANCO C]],estoque[data],preçodiario[[#This Row],[data]])</f>
        <v>0</v>
      </c>
      <c r="T138" s="20">
        <f>IFERROR(preçodiario[[#This Row],[OVO BRANCO C]]*preçodiario[[#This Row],[estoque C]],0)</f>
        <v>0</v>
      </c>
      <c r="U1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Row],[data]])),((U137*V137)+SUMIFS(estoque[valor total],estoque[produto],preçodiario[[#Headers],[OVO BRANCO EXTRA]],estoque[data],preçodiario[[#This Row],[data]],estoque[fornecedor],"&lt;&gt;saída"))/(V137+(SUMIFS(estoque[quantidade],estoque[produto],preçodiario[[#Headers],[OVO BRANCO EXTRA]],estoque[fornecedor],"&lt;&gt;saída",estoque[data],preçodiario[[#This Row],[data]])))))</f>
        <v>16.466049382716051</v>
      </c>
      <c r="V138" s="22">
        <f>IF(preçodiario[[#This Row],[entrada E]]=0,V137-(SUMIFS(estoque[quantidade],estoque[fornecedor],"saída",estoque[produto],preçodiario[[#Headers],[OVO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Row],[data]]))+V137+preçodiario[[#This Row],[entrada E]])</f>
        <v>135</v>
      </c>
      <c r="W138" s="22">
        <f>SUMIFS(estoque[quantidade],estoque[fornecedor],"&lt;&gt;saída",estoque[produto],preçodiario[[#Headers],[OVO BRANCO EXTRA]],estoque[data],preçodiario[[#This Row],[data]])</f>
        <v>0</v>
      </c>
      <c r="X138" s="20">
        <f>SUMIFS(estoque[valor total],estoque[fornecedor],"&lt;&gt;saída",estoque[produto],preçodiario[[#Headers],[OVO BRANCO EXTRA]],estoque[data],preçodiario[[#This Row],[data]])</f>
        <v>0</v>
      </c>
      <c r="Y138" s="20">
        <f>IFERROR(preçodiario[[#This Row],[estoque E]]*preçodiario[[#This Row],[OVO BRANCO EXTRA]],0)</f>
        <v>2222.916666666667</v>
      </c>
      <c r="Z1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Row],[data]])),((Z137*AA137)+SUMIFS(estoque[valor total],estoque[produto],preçodiario[[#Headers],[OVO BRANCO JUMBO]],estoque[data],preçodiario[[#This Row],[data]],estoque[fornecedor],"&lt;&gt;saída"))/(AA137+(SUMIFS(estoque[quantidade],estoque[produto],preçodiario[[#Headers],[OVO BRANCO JUMBO]],estoque[fornecedor],"&lt;&gt;saída",estoque[data],preçodiario[[#This Row],[data]])))))</f>
        <v>17.276785714285715</v>
      </c>
      <c r="AA138" s="22">
        <f>IF(preçodiario[[#This Row],[entrada J]]=0,AA137-(SUMIFS(estoque[quantidade],estoque[fornecedor],"saída",estoque[produto],preçodiario[[#Headers],[OVO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Row],[data]]))+AA137+preçodiario[[#This Row],[entrada J]])</f>
        <v>91</v>
      </c>
      <c r="AB138" s="22">
        <f>SUMIFS(estoque[quantidade],estoque[fornecedor],"&lt;&gt;saída",estoque[produto],preçodiario[[#Headers],[OVO BRANCO JUMBO]],estoque[data],preçodiario[[#This Row],[data]])</f>
        <v>0</v>
      </c>
      <c r="AC138" s="20">
        <f>SUMIFS(estoque[valor total],estoque[fornecedor],"&lt;&gt;saída",estoque[produto],preçodiario[[#Headers],[OVO BRANCO JUMBO]],estoque[data],preçodiario[[#This Row],[data]])</f>
        <v>0</v>
      </c>
      <c r="AD138" s="20">
        <f>IFERROR(preçodiario[[#This Row],[OVO BRANCO JUMBO]]*preçodiario[[#This Row],[estoque J]],0)</f>
        <v>1572.1875</v>
      </c>
      <c r="AE1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Row],[data]])),((AE137*AF137)+SUMIFS(estoque[valor total],estoque[produto],preçodiario[[#Headers],[OVO VERMELHO A]],estoque[data],preçodiario[[#This Row],[data]],estoque[fornecedor],"&lt;&gt;saída"))/(AF137+(SUMIFS(estoque[quantidade],estoque[produto],preçodiario[[#Headers],[OVO VERMELHO A]],estoque[fornecedor],"&lt;&gt;saída",estoque[data],preçodiario[[#This Row],[data]])))))</f>
        <v/>
      </c>
      <c r="AF138" s="22">
        <f>IF(preçodiario[[#This Row],[entrada AV]]=0,AF137-(SUMIFS(estoque[quantidade],estoque[fornecedor],"saída",estoque[produto],preçodiario[[#Headers],[OVO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Row],[data]]))+AF137+preçodiario[[#This Row],[entrada AV]])</f>
        <v>0</v>
      </c>
      <c r="AG138" s="22">
        <f>SUMIFS(estoque[quantidade],estoque[fornecedor],"&lt;&gt;saída",estoque[produto],preçodiario[[#Headers],[OVO VERMELHO A]],estoque[data],preçodiario[[#This Row],[data]])</f>
        <v>0</v>
      </c>
      <c r="AH138" s="20">
        <f>SUMIFS(estoque[valor total],estoque[fornecedor],"&lt;&gt;saída",estoque[produto],preçodiario[[#Headers],[OVO VERMELHO A]],estoque[data],preçodiario[[#This Row],[data]])</f>
        <v>0</v>
      </c>
      <c r="AI138" s="20">
        <f>IFERROR(preçodiario[[#This Row],[OVO VERMELHO A]]*preçodiario[[#This Row],[estoque AV]],0)</f>
        <v>0</v>
      </c>
      <c r="AJ1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Row],[data]])),((AJ137*AK137)+SUMIFS(estoque[valor total],estoque[produto],preçodiario[[#Headers],[OVO VERMELHO B]],estoque[data],preçodiario[[#This Row],[data]],estoque[fornecedor],"&lt;&gt;saída"))/(AK137+(SUMIFS(estoque[quantidade],estoque[produto],preçodiario[[#Headers],[OVO VERMELHO B]],estoque[fornecedor],"&lt;&gt;saída",estoque[data],preçodiario[[#This Row],[data]])))))</f>
        <v/>
      </c>
      <c r="AK138" s="22">
        <f>IF(preçodiario[[#This Row],[entrada BV]]=0,AK137-(SUMIFS(estoque[quantidade],estoque[fornecedor],"saída",estoque[produto],preçodiario[[#Headers],[OVO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Row],[data]]))+AK137+preçodiario[[#This Row],[entrada BV]])</f>
        <v>0</v>
      </c>
      <c r="AL138" s="22">
        <f>SUMIFS(estoque[quantidade],estoque[fornecedor],"&lt;&gt;saída",estoque[produto],preçodiario[[#Headers],[OVO VERMELHO B]],estoque[data],preçodiario[[#This Row],[data]])</f>
        <v>0</v>
      </c>
      <c r="AM138" s="20">
        <f>SUMIFS(estoque[valor total],estoque[fornecedor],"&lt;&gt;saída",estoque[produto],preçodiario[[#Headers],[OVO VERMELHO B]],estoque[data],preçodiario[[#This Row],[data]])</f>
        <v>0</v>
      </c>
      <c r="AN138" s="20">
        <f>IFERROR(preçodiario[[#This Row],[OVO VERMELHO B]]*preçodiario[[#This Row],[estoque BV]],0)</f>
        <v>0</v>
      </c>
      <c r="AO1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Row],[data]])),((AO137*AP137)+SUMIFS(estoque[valor total],estoque[produto],preçodiario[[#Headers],[OVO VERMELHO C]],estoque[data],preçodiario[[#This Row],[data]],estoque[fornecedor],"&lt;&gt;saída"))/(AP137+(SUMIFS(estoque[quantidade],estoque[produto],preçodiario[[#Headers],[OVO VERMELHO C]],estoque[fornecedor],"&lt;&gt;saída",estoque[data],preçodiario[[#This Row],[data]])))))</f>
        <v/>
      </c>
      <c r="AP138" s="22">
        <f>IF(preçodiario[[#This Row],[entrada CV]]=0,AP137-(SUMIFS(estoque[quantidade],estoque[fornecedor],"saída",estoque[produto],preçodiario[[#Headers],[OVO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Row],[data]]))+AP137+preçodiario[[#This Row],[entrada CV]])</f>
        <v>0</v>
      </c>
      <c r="AQ138" s="22">
        <f>SUMIFS(estoque[quantidade],estoque[fornecedor],"&lt;&gt;saída",estoque[produto],preçodiario[[#Headers],[OVO VERMELHO C]],estoque[data],preçodiario[[#This Row],[data]])</f>
        <v>0</v>
      </c>
      <c r="AR138" s="20">
        <f>SUMIFS(estoque[valor total],estoque[fornecedor],"&lt;&gt;saída",estoque[produto],preçodiario[[#Headers],[OVO VERMELHO C]],estoque[data],preçodiario[[#This Row],[data]])</f>
        <v>0</v>
      </c>
      <c r="AS138" s="20">
        <f>IFERROR(preçodiario[[#This Row],[OVO VERMELHO C]]*preçodiario[[#This Row],[estoque CV]],0)</f>
        <v>0</v>
      </c>
      <c r="AT1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Row],[data]])),((AT137*AU137)+SUMIFS(estoque[valor total],estoque[produto],preçodiario[[#Headers],[OVO VERMELHO EXTRA]],estoque[data],preçodiario[[#This Row],[data]],estoque[fornecedor],"&lt;&gt;saída"))/(AU137+(SUMIFS(estoque[quantidade],estoque[produto],preçodiario[[#Headers],[OVO VERMELHO EXTRA]],estoque[fornecedor],"&lt;&gt;saída",estoque[data],preçodiario[[#This Row],[data]])))))</f>
        <v/>
      </c>
      <c r="AU138" s="22">
        <f>IF(preçodiario[[#This Row],[entrada EV]]=0,AU137-(SUMIFS(estoque[quantidade],estoque[fornecedor],"saída",estoque[produto],preçodiario[[#Headers],[OVO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Row],[data]]))+AU137+preçodiario[[#This Row],[entrada EV]])</f>
        <v>0</v>
      </c>
      <c r="AV138" s="22">
        <f>SUMIFS(estoque[quantidade],estoque[fornecedor],"&lt;&gt;saída",estoque[produto],preçodiario[[#Headers],[OVO VERMELHO EXTRA]],estoque[data],preçodiario[[#This Row],[data]])</f>
        <v>0</v>
      </c>
      <c r="AW138" s="20">
        <f>SUMIFS(estoque[valor total],estoque[fornecedor],"&lt;&gt;saída",estoque[produto],preçodiario[[#Headers],[OVO VERMELHO EXTRA]],estoque[data],preçodiario[[#This Row],[data]])</f>
        <v>0</v>
      </c>
      <c r="AX138" s="20">
        <f>IFERROR(preçodiario[[#This Row],[OVO VERMELHO EXTRA]]*preçodiario[[#This Row],[estoque EV]],0)</f>
        <v>0</v>
      </c>
      <c r="AY1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Row],[data]])),((AY137*AZ137)+SUMIFS(estoque[valor total],estoque[produto],preçodiario[[#Headers],[OVO VERMELHO JUMBO]],estoque[data],preçodiario[[#This Row],[data]],estoque[fornecedor],"&lt;&gt;saída"))/(AZ137+(SUMIFS(estoque[quantidade],estoque[produto],preçodiario[[#Headers],[OVO VERMELHO JUMBO]],estoque[fornecedor],"&lt;&gt;saída",estoque[data],preçodiario[[#This Row],[data]])))))</f>
        <v/>
      </c>
      <c r="AZ138" s="22">
        <f>IF(preçodiario[[#This Row],[entrada JV]]=0,AZ137-(SUMIFS(estoque[quantidade],estoque[fornecedor],"saída",estoque[produto],preçodiario[[#Headers],[OVO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Row],[data]]))+AZ137+preçodiario[[#This Row],[entrada JV]])</f>
        <v>0</v>
      </c>
      <c r="BA138" s="22">
        <f>SUMIFS(estoque[quantidade],estoque[fornecedor],"&lt;&gt;saída",estoque[produto],preçodiario[[#Headers],[OVO VERMELHO JUMBO]],estoque[data],preçodiario[[#This Row],[data]])</f>
        <v>0</v>
      </c>
      <c r="BB138" s="20">
        <f>SUMIFS(estoque[valor total],estoque[fornecedor],"&lt;&gt;saída",estoque[produto],preçodiario[[#Headers],[OVO VERMELHO JUMBO]],estoque[data],preçodiario[[#This Row],[data]])</f>
        <v>0</v>
      </c>
      <c r="BC138" s="20">
        <f>IFERROR(preçodiario[[#This Row],[OVO VERMELHO JUMBO]]*preçodiario[[#This Row],[estoque JV]],0)</f>
        <v>0</v>
      </c>
      <c r="BD138" t="str">
        <f>TEXT(vendaAno[[#This Row],[data]],"mmm")</f>
        <v>mai</v>
      </c>
      <c r="BE138" t="str">
        <f>TEXT(vendaAno[[#This Row],[data]],"ddd")</f>
        <v>dom</v>
      </c>
      <c r="BF138" s="82">
        <f>WEEKNUM(vendaAno[[#This Row],[data]],13)</f>
        <v>20</v>
      </c>
      <c r="BG138" s="27">
        <f>preçodiario[[#This Row],[data]]</f>
        <v>46159</v>
      </c>
      <c r="BH1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8" s="8">
        <f>IF(SUMIFS(estoque[valor total],estoque[fornecedor],"saída",estoque[data],vendaAno[[#This Row],[data]])=0,"",SUMIFS(estoque[valor total],estoque[fornecedor],"saída",estoque[data],vendaAno[[#This Row],[data]]))</f>
        <v>567</v>
      </c>
      <c r="BJ13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Row],[data]]))/12+BJ137,"")</f>
        <v>34.166666666666643</v>
      </c>
      <c r="BK138" s="79">
        <f ca="1">IF(TODAY()&gt;=vendaAno[[#This Row],[data]],IF(SUMIFS(estoque[quantidade],estoque[fornecedor],"saída",estoque[data],vendaAno[[#This Row],[data]])/12=0,AVERAGE(BK135:BK137),SUMIFS(estoque[quantidade],estoque[fornecedor],"saída",estoque[data],vendaAno[[#This Row],[data]])/12),"")</f>
        <v>2.1666666666666665</v>
      </c>
      <c r="BL138" s="8">
        <f ca="1">IF(vendaAno[[#This Row],[data]]&lt;=TODAY(),IF(SUMIFS(estoque[lucro],estoque[fornecedor],"saída",estoque[data],vendaAno[[#This Row],[data]])=0,AVERAGE(BL135:BL137),SUMIFS(estoque[lucro],estoque[fornecedor],"saída",estoque[data],vendaAno[[#This Row],[data]])),"")</f>
        <v>139.23000000000002</v>
      </c>
      <c r="BM138" s="10">
        <f ca="1">IFERROR(vendaAno[[#This Row],[lucro]]/vendaAno[[#This Row],[valor de venda]],"")</f>
        <v>0.24555555555555558</v>
      </c>
      <c r="BN13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6645.0211868080569</v>
      </c>
      <c r="BO138" s="8">
        <f ca="1">IF(TODAY()&gt;=vendaAno[[#This Row],[data]],IF(vendaAno[[#This Row],[N°]]=BF137,vendaAno[[#This Row],[lucro]]-173.33+BO137,vendaAno[[#This Row],[lucro]]-150),"")</f>
        <v>-240.10000000000002</v>
      </c>
      <c r="BP138" s="81">
        <f ca="1">IF(TODAY()&gt;=vendaAno[[#This Row],[data]],SUM(BK132:BK138)*12,"")</f>
        <v>199.00000000000003</v>
      </c>
      <c r="BQ138" s="7">
        <f ca="1">IFERROR(vendaAno[[#This Row],[lucro]]/(vendaAno[[#This Row],[venda]]*12),"")</f>
        <v>5.3550000000000004</v>
      </c>
    </row>
    <row r="139" spans="1:69" x14ac:dyDescent="0.25">
      <c r="A1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39" s="18" t="str">
        <f>TEXT(preçodiario[[#This Row],[data]],"MMM")</f>
        <v>mai</v>
      </c>
      <c r="C139" s="18" t="str">
        <f>TEXT(preçodiario[[#This Row],[data]],"ddd")</f>
        <v>seg</v>
      </c>
      <c r="D139" s="96">
        <f>WEEKNUM(preçodiario[[#This Row],[data]],13)</f>
        <v>20</v>
      </c>
      <c r="E139" s="37">
        <v>46160</v>
      </c>
      <c r="F1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Row],[data]])),((F138*G138)+SUMIFS(estoque[valor total],estoque[produto],preçodiario[[#Headers],[OVO BRANCO A]],estoque[data],preçodiario[[#This Row],[data]],estoque[fornecedor],"&lt;&gt;saída"))/(G138+(SUMIFS(estoque[quantidade],estoque[produto],preçodiario[[#Headers],[OVO BRANCO A]],estoque[fornecedor],"&lt;&gt;saída",estoque[data],preçodiario[[#This Row],[data]])))))</f>
        <v>16.033528967142409</v>
      </c>
      <c r="G139" s="22">
        <f>IF(preçodiario[[#This Row],[entrada A]]=0,G138-(SUMIFS(estoque[quantidade],estoque[fornecedor],"saída",estoque[produto],preçodiario[[#Headers],[OVO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Row],[data]]))+G138+preçodiario[[#This Row],[entrada A]])</f>
        <v>83</v>
      </c>
      <c r="H139" s="22">
        <f>SUMIFS(estoque[quantidade],estoque[fornecedor],"&lt;&gt;saída",estoque[produto],preçodiario[[#Headers],[OVO BRANCO A]],estoque[data],preçodiario[[#This Row],[data]])</f>
        <v>0</v>
      </c>
      <c r="I139" s="20">
        <f>SUMIFS(estoque[valor total],estoque[fornecedor],"&lt;&gt;saída",estoque[produto],preçodiario[[#Headers],[OVO BRANCO A]],estoque[data],preçodiario[[#This Row],[data]])</f>
        <v>0</v>
      </c>
      <c r="J139" s="20">
        <f>IFERROR(preçodiario[[#This Row],[estoque A]]*preçodiario[[#This Row],[OVO BRANCO A]],0)</f>
        <v>1330.7829042728199</v>
      </c>
      <c r="K1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Row],[data]])),((K138*L138)+SUMIFS(estoque[valor total],estoque[produto],preçodiario[[#Headers],[OVO BRANCO B]],estoque[data],preçodiario[[#This Row],[data]],estoque[fornecedor],"&lt;&gt;saída"))/(L138+(SUMIFS(estoque[quantidade],estoque[produto],preçodiario[[#Headers],[OVO BRANCO B]],estoque[fornecedor],"&lt;&gt;saída",estoque[data],preçodiario[[#This Row],[data]])))))</f>
        <v>15</v>
      </c>
      <c r="L139" s="22">
        <f>IF(preçodiario[[#This Row],[entrada B]]=0,L138-(SUMIFS(estoque[quantidade],estoque[fornecedor],"saída",estoque[produto],preçodiario[[#Headers],[OVO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Row],[data]]))+L138+preçodiario[[#This Row],[entrada B]])</f>
        <v>87</v>
      </c>
      <c r="M139" s="22">
        <f>SUMIFS(estoque[quantidade],estoque[fornecedor],"&lt;&gt;saída",estoque[produto],preçodiario[[#Headers],[OVO BRANCO B]],estoque[data],preçodiario[[#This Row],[data]])</f>
        <v>0</v>
      </c>
      <c r="N139" s="20">
        <f>SUMIFS(estoque[valor total],estoque[fornecedor],"&lt;&gt;saída",estoque[produto],preçodiario[[#Headers],[OVO BRANCO B]],estoque[data],preçodiario[[#This Row],[data]])</f>
        <v>0</v>
      </c>
      <c r="O139" s="20">
        <f>IFERROR(preçodiario[[#This Row],[OVO BRANCO B]]*preçodiario[[#This Row],[estoque B]],0)</f>
        <v>1305</v>
      </c>
      <c r="P13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Row],[data]])),((P138*Q138)+SUMIFS(estoque[valor total],estoque[produto],preçodiario[[#Headers],[OVO BRANCO C]],estoque[data],preçodiario[[#This Row],[data]],estoque[fornecedor],"&lt;&gt;saída"))/(Q138+(SUMIFS(estoque[quantidade],estoque[produto],preçodiario[[#Headers],[OVO BRANCO C]],estoque[fornecedor],"&lt;&gt;saída",estoque[data],preçodiario[[#This Row],[data]])))))</f>
        <v/>
      </c>
      <c r="Q139" s="22">
        <f>IF(preçodiario[[#This Row],[entrada C]]=0,Q138-(SUMIFS(estoque[quantidade],estoque[fornecedor],"saída",estoque[produto],preçodiario[[#Headers],[OVO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Row],[data]]))+Q138+preçodiario[[#This Row],[entrada C]])</f>
        <v>0</v>
      </c>
      <c r="R139" s="22">
        <f>SUMIFS(estoque[quantidade],estoque[fornecedor],"&lt;&gt;saída",estoque[produto],preçodiario[[#Headers],[OVO BRANCO C]],estoque[data],preçodiario[[#This Row],[data]])</f>
        <v>0</v>
      </c>
      <c r="S139" s="20">
        <f>SUMIFS(estoque[valor total],estoque[fornecedor],"&lt;&gt;saída",estoque[produto],preçodiario[[#Headers],[OVO BRANCO C]],estoque[data],preçodiario[[#This Row],[data]])</f>
        <v>0</v>
      </c>
      <c r="T139" s="20">
        <f>IFERROR(preçodiario[[#This Row],[OVO BRANCO C]]*preçodiario[[#This Row],[estoque C]],0)</f>
        <v>0</v>
      </c>
      <c r="U1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Row],[data]])),((U138*V138)+SUMIFS(estoque[valor total],estoque[produto],preçodiario[[#Headers],[OVO BRANCO EXTRA]],estoque[data],preçodiario[[#This Row],[data]],estoque[fornecedor],"&lt;&gt;saída"))/(V138+(SUMIFS(estoque[quantidade],estoque[produto],preçodiario[[#Headers],[OVO BRANCO EXTRA]],estoque[fornecedor],"&lt;&gt;saída",estoque[data],preçodiario[[#This Row],[data]])))))</f>
        <v>16.466049382716051</v>
      </c>
      <c r="V139" s="22">
        <f>IF(preçodiario[[#This Row],[entrada E]]=0,V138-(SUMIFS(estoque[quantidade],estoque[fornecedor],"saída",estoque[produto],preçodiario[[#Headers],[OVO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Row],[data]]))+V138+preçodiario[[#This Row],[entrada E]])</f>
        <v>128</v>
      </c>
      <c r="W139" s="22">
        <f>SUMIFS(estoque[quantidade],estoque[fornecedor],"&lt;&gt;saída",estoque[produto],preçodiario[[#Headers],[OVO BRANCO EXTRA]],estoque[data],preçodiario[[#This Row],[data]])</f>
        <v>0</v>
      </c>
      <c r="X139" s="20">
        <f>SUMIFS(estoque[valor total],estoque[fornecedor],"&lt;&gt;saída",estoque[produto],preçodiario[[#Headers],[OVO BRANCO EXTRA]],estoque[data],preçodiario[[#This Row],[data]])</f>
        <v>0</v>
      </c>
      <c r="Y139" s="20">
        <f>IFERROR(preçodiario[[#This Row],[estoque E]]*preçodiario[[#This Row],[OVO BRANCO EXTRA]],0)</f>
        <v>2107.6543209876545</v>
      </c>
      <c r="Z1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Row],[data]])),((Z138*AA138)+SUMIFS(estoque[valor total],estoque[produto],preçodiario[[#Headers],[OVO BRANCO JUMBO]],estoque[data],preçodiario[[#This Row],[data]],estoque[fornecedor],"&lt;&gt;saída"))/(AA138+(SUMIFS(estoque[quantidade],estoque[produto],preçodiario[[#Headers],[OVO BRANCO JUMBO]],estoque[fornecedor],"&lt;&gt;saída",estoque[data],preçodiario[[#This Row],[data]])))))</f>
        <v>17.276785714285715</v>
      </c>
      <c r="AA139" s="22">
        <f>IF(preçodiario[[#This Row],[entrada J]]=0,AA138-(SUMIFS(estoque[quantidade],estoque[fornecedor],"saída",estoque[produto],preçodiario[[#Headers],[OVO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Row],[data]]))+AA138+preçodiario[[#This Row],[entrada J]])</f>
        <v>83</v>
      </c>
      <c r="AB139" s="22">
        <f>SUMIFS(estoque[quantidade],estoque[fornecedor],"&lt;&gt;saída",estoque[produto],preçodiario[[#Headers],[OVO BRANCO JUMBO]],estoque[data],preçodiario[[#This Row],[data]])</f>
        <v>0</v>
      </c>
      <c r="AC139" s="20">
        <f>SUMIFS(estoque[valor total],estoque[fornecedor],"&lt;&gt;saída",estoque[produto],preçodiario[[#Headers],[OVO BRANCO JUMBO]],estoque[data],preçodiario[[#This Row],[data]])</f>
        <v>0</v>
      </c>
      <c r="AD139" s="20">
        <f>IFERROR(preçodiario[[#This Row],[OVO BRANCO JUMBO]]*preçodiario[[#This Row],[estoque J]],0)</f>
        <v>1433.9732142857144</v>
      </c>
      <c r="AE1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Row],[data]])),((AE138*AF138)+SUMIFS(estoque[valor total],estoque[produto],preçodiario[[#Headers],[OVO VERMELHO A]],estoque[data],preçodiario[[#This Row],[data]],estoque[fornecedor],"&lt;&gt;saída"))/(AF138+(SUMIFS(estoque[quantidade],estoque[produto],preçodiario[[#Headers],[OVO VERMELHO A]],estoque[fornecedor],"&lt;&gt;saída",estoque[data],preçodiario[[#This Row],[data]])))))</f>
        <v/>
      </c>
      <c r="AF139" s="22">
        <f>IF(preçodiario[[#This Row],[entrada AV]]=0,AF138-(SUMIFS(estoque[quantidade],estoque[fornecedor],"saída",estoque[produto],preçodiario[[#Headers],[OVO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Row],[data]]))+AF138+preçodiario[[#This Row],[entrada AV]])</f>
        <v>0</v>
      </c>
      <c r="AG139" s="22">
        <f>SUMIFS(estoque[quantidade],estoque[fornecedor],"&lt;&gt;saída",estoque[produto],preçodiario[[#Headers],[OVO VERMELHO A]],estoque[data],preçodiario[[#This Row],[data]])</f>
        <v>0</v>
      </c>
      <c r="AH139" s="20">
        <f>SUMIFS(estoque[valor total],estoque[fornecedor],"&lt;&gt;saída",estoque[produto],preçodiario[[#Headers],[OVO VERMELHO A]],estoque[data],preçodiario[[#This Row],[data]])</f>
        <v>0</v>
      </c>
      <c r="AI139" s="20">
        <f>IFERROR(preçodiario[[#This Row],[OVO VERMELHO A]]*preçodiario[[#This Row],[estoque AV]],0)</f>
        <v>0</v>
      </c>
      <c r="AJ1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Row],[data]])),((AJ138*AK138)+SUMIFS(estoque[valor total],estoque[produto],preçodiario[[#Headers],[OVO VERMELHO B]],estoque[data],preçodiario[[#This Row],[data]],estoque[fornecedor],"&lt;&gt;saída"))/(AK138+(SUMIFS(estoque[quantidade],estoque[produto],preçodiario[[#Headers],[OVO VERMELHO B]],estoque[fornecedor],"&lt;&gt;saída",estoque[data],preçodiario[[#This Row],[data]])))))</f>
        <v/>
      </c>
      <c r="AK139" s="22">
        <f>IF(preçodiario[[#This Row],[entrada BV]]=0,AK138-(SUMIFS(estoque[quantidade],estoque[fornecedor],"saída",estoque[produto],preçodiario[[#Headers],[OVO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Row],[data]]))+AK138+preçodiario[[#This Row],[entrada BV]])</f>
        <v>0</v>
      </c>
      <c r="AL139" s="22">
        <f>SUMIFS(estoque[quantidade],estoque[fornecedor],"&lt;&gt;saída",estoque[produto],preçodiario[[#Headers],[OVO VERMELHO B]],estoque[data],preçodiario[[#This Row],[data]])</f>
        <v>0</v>
      </c>
      <c r="AM139" s="20">
        <f>SUMIFS(estoque[valor total],estoque[fornecedor],"&lt;&gt;saída",estoque[produto],preçodiario[[#Headers],[OVO VERMELHO B]],estoque[data],preçodiario[[#This Row],[data]])</f>
        <v>0</v>
      </c>
      <c r="AN139" s="20">
        <f>IFERROR(preçodiario[[#This Row],[OVO VERMELHO B]]*preçodiario[[#This Row],[estoque BV]],0)</f>
        <v>0</v>
      </c>
      <c r="AO1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Row],[data]])),((AO138*AP138)+SUMIFS(estoque[valor total],estoque[produto],preçodiario[[#Headers],[OVO VERMELHO C]],estoque[data],preçodiario[[#This Row],[data]],estoque[fornecedor],"&lt;&gt;saída"))/(AP138+(SUMIFS(estoque[quantidade],estoque[produto],preçodiario[[#Headers],[OVO VERMELHO C]],estoque[fornecedor],"&lt;&gt;saída",estoque[data],preçodiario[[#This Row],[data]])))))</f>
        <v/>
      </c>
      <c r="AP139" s="22">
        <f>IF(preçodiario[[#This Row],[entrada CV]]=0,AP138-(SUMIFS(estoque[quantidade],estoque[fornecedor],"saída",estoque[produto],preçodiario[[#Headers],[OVO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Row],[data]]))+AP138+preçodiario[[#This Row],[entrada CV]])</f>
        <v>0</v>
      </c>
      <c r="AQ139" s="22">
        <f>SUMIFS(estoque[quantidade],estoque[fornecedor],"&lt;&gt;saída",estoque[produto],preçodiario[[#Headers],[OVO VERMELHO C]],estoque[data],preçodiario[[#This Row],[data]])</f>
        <v>0</v>
      </c>
      <c r="AR139" s="20">
        <f>SUMIFS(estoque[valor total],estoque[fornecedor],"&lt;&gt;saída",estoque[produto],preçodiario[[#Headers],[OVO VERMELHO C]],estoque[data],preçodiario[[#This Row],[data]])</f>
        <v>0</v>
      </c>
      <c r="AS139" s="20">
        <f>IFERROR(preçodiario[[#This Row],[OVO VERMELHO C]]*preçodiario[[#This Row],[estoque CV]],0)</f>
        <v>0</v>
      </c>
      <c r="AT1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Row],[data]])),((AT138*AU138)+SUMIFS(estoque[valor total],estoque[produto],preçodiario[[#Headers],[OVO VERMELHO EXTRA]],estoque[data],preçodiario[[#This Row],[data]],estoque[fornecedor],"&lt;&gt;saída"))/(AU138+(SUMIFS(estoque[quantidade],estoque[produto],preçodiario[[#Headers],[OVO VERMELHO EXTRA]],estoque[fornecedor],"&lt;&gt;saída",estoque[data],preçodiario[[#This Row],[data]])))))</f>
        <v/>
      </c>
      <c r="AU139" s="22">
        <f>IF(preçodiario[[#This Row],[entrada EV]]=0,AU138-(SUMIFS(estoque[quantidade],estoque[fornecedor],"saída",estoque[produto],preçodiario[[#Headers],[OVO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Row],[data]]))+AU138+preçodiario[[#This Row],[entrada EV]])</f>
        <v>0</v>
      </c>
      <c r="AV139" s="22">
        <f>SUMIFS(estoque[quantidade],estoque[fornecedor],"&lt;&gt;saída",estoque[produto],preçodiario[[#Headers],[OVO VERMELHO EXTRA]],estoque[data],preçodiario[[#This Row],[data]])</f>
        <v>0</v>
      </c>
      <c r="AW139" s="20">
        <f>SUMIFS(estoque[valor total],estoque[fornecedor],"&lt;&gt;saída",estoque[produto],preçodiario[[#Headers],[OVO VERMELHO EXTRA]],estoque[data],preçodiario[[#This Row],[data]])</f>
        <v>0</v>
      </c>
      <c r="AX139" s="20">
        <f>IFERROR(preçodiario[[#This Row],[OVO VERMELHO EXTRA]]*preçodiario[[#This Row],[estoque EV]],0)</f>
        <v>0</v>
      </c>
      <c r="AY1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Row],[data]])),((AY138*AZ138)+SUMIFS(estoque[valor total],estoque[produto],preçodiario[[#Headers],[OVO VERMELHO JUMBO]],estoque[data],preçodiario[[#This Row],[data]],estoque[fornecedor],"&lt;&gt;saída"))/(AZ138+(SUMIFS(estoque[quantidade],estoque[produto],preçodiario[[#Headers],[OVO VERMELHO JUMBO]],estoque[fornecedor],"&lt;&gt;saída",estoque[data],preçodiario[[#This Row],[data]])))))</f>
        <v/>
      </c>
      <c r="AZ139" s="22">
        <f>IF(preçodiario[[#This Row],[entrada JV]]=0,AZ138-(SUMIFS(estoque[quantidade],estoque[fornecedor],"saída",estoque[produto],preçodiario[[#Headers],[OVO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Row],[data]]))+AZ138+preçodiario[[#This Row],[entrada JV]])</f>
        <v>0</v>
      </c>
      <c r="BA139" s="22">
        <f>SUMIFS(estoque[quantidade],estoque[fornecedor],"&lt;&gt;saída",estoque[produto],preçodiario[[#Headers],[OVO VERMELHO JUMBO]],estoque[data],preçodiario[[#This Row],[data]])</f>
        <v>0</v>
      </c>
      <c r="BB139" s="20">
        <f>SUMIFS(estoque[valor total],estoque[fornecedor],"&lt;&gt;saída",estoque[produto],preçodiario[[#Headers],[OVO VERMELHO JUMBO]],estoque[data],preçodiario[[#This Row],[data]])</f>
        <v>0</v>
      </c>
      <c r="BC139" s="20">
        <f>IFERROR(preçodiario[[#This Row],[OVO VERMELHO JUMBO]]*preçodiario[[#This Row],[estoque JV]],0)</f>
        <v>0</v>
      </c>
      <c r="BD139" t="str">
        <f>TEXT(vendaAno[[#This Row],[data]],"mmm")</f>
        <v>mai</v>
      </c>
      <c r="BE139" t="str">
        <f>TEXT(vendaAno[[#This Row],[data]],"ddd")</f>
        <v>seg</v>
      </c>
      <c r="BF139" s="82">
        <f>WEEKNUM(vendaAno[[#This Row],[data]],13)</f>
        <v>20</v>
      </c>
      <c r="BG139" s="27">
        <f>preçodiario[[#This Row],[data]]</f>
        <v>46160</v>
      </c>
      <c r="BH1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39" s="8">
        <f>IF(SUMIFS(estoque[valor total],estoque[fornecedor],"saída",estoque[data],vendaAno[[#This Row],[data]])=0,"",SUMIFS(estoque[valor total],estoque[fornecedor],"saída",estoque[data],vendaAno[[#This Row],[data]]))</f>
        <v>611.5</v>
      </c>
      <c r="BJ13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Row],[data]]))/12+BJ138,"")</f>
        <v>31.749999999999975</v>
      </c>
      <c r="BK139" s="79">
        <f ca="1">IF(TODAY()&gt;=vendaAno[[#This Row],[data]],IF(SUMIFS(estoque[quantidade],estoque[fornecedor],"saída",estoque[data],vendaAno[[#This Row],[data]])/12=0,AVERAGE(BK136:BK138),SUMIFS(estoque[quantidade],estoque[fornecedor],"saída",estoque[data],vendaAno[[#This Row],[data]])/12),"")</f>
        <v>2.4166666666666665</v>
      </c>
      <c r="BL139" s="8">
        <f ca="1">IF(vendaAno[[#This Row],[data]]&lt;=TODAY(),IF(SUMIFS(estoque[lucro],estoque[fornecedor],"saída",estoque[data],vendaAno[[#This Row],[data]])=0,AVERAGE(BL136:BL138),SUMIFS(estoque[lucro],estoque[fornecedor],"saída",estoque[data],vendaAno[[#This Row],[data]])),"")</f>
        <v>143.9</v>
      </c>
      <c r="BM139" s="10">
        <f ca="1">IFERROR(vendaAno[[#This Row],[lucro]]/vendaAno[[#This Row],[valor de venda]],"")</f>
        <v>0.23532297628781684</v>
      </c>
      <c r="BN13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6177.4104395461891</v>
      </c>
      <c r="BO139" s="8">
        <f ca="1">IF(TODAY()&gt;=vendaAno[[#This Row],[data]],IF(vendaAno[[#This Row],[N°]]=BF138,vendaAno[[#This Row],[lucro]]-173.33+BO138,vendaAno[[#This Row],[lucro]]-150),"")</f>
        <v>-269.53000000000003</v>
      </c>
      <c r="BP139" s="81">
        <f ca="1">IF(TODAY()&gt;=vendaAno[[#This Row],[data]],SUM(BK133:BK139)*12,"")</f>
        <v>182</v>
      </c>
      <c r="BQ139" s="7">
        <f ca="1">IFERROR(vendaAno[[#This Row],[lucro]]/(vendaAno[[#This Row],[venda]]*12),"")</f>
        <v>4.9620689655172416</v>
      </c>
    </row>
    <row r="140" spans="1:69" x14ac:dyDescent="0.25">
      <c r="A1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0" s="18" t="str">
        <f>TEXT(preçodiario[[#This Row],[data]],"MMM")</f>
        <v>mai</v>
      </c>
      <c r="C140" s="18" t="str">
        <f>TEXT(preçodiario[[#This Row],[data]],"ddd")</f>
        <v>ter</v>
      </c>
      <c r="D140" s="96">
        <f>WEEKNUM(preçodiario[[#This Row],[data]],13)</f>
        <v>20</v>
      </c>
      <c r="E140" s="37">
        <v>46161</v>
      </c>
      <c r="F1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Row],[data]])),((F139*G139)+SUMIFS(estoque[valor total],estoque[produto],preçodiario[[#Headers],[OVO BRANCO A]],estoque[data],preçodiario[[#This Row],[data]],estoque[fornecedor],"&lt;&gt;saída"))/(G139+(SUMIFS(estoque[quantidade],estoque[produto],preçodiario[[#Headers],[OVO BRANCO A]],estoque[fornecedor],"&lt;&gt;saída",estoque[data],preçodiario[[#This Row],[data]])))))</f>
        <v>16.033528967142409</v>
      </c>
      <c r="G140" s="22">
        <f>IF(preçodiario[[#This Row],[entrada A]]=0,G139-(SUMIFS(estoque[quantidade],estoque[fornecedor],"saída",estoque[produto],preçodiario[[#Headers],[OVO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Row],[data]]))+G139+preçodiario[[#This Row],[entrada A]])</f>
        <v>67</v>
      </c>
      <c r="H140" s="22">
        <f>SUMIFS(estoque[quantidade],estoque[fornecedor],"&lt;&gt;saída",estoque[produto],preçodiario[[#Headers],[OVO BRANCO A]],estoque[data],preçodiario[[#This Row],[data]])</f>
        <v>0</v>
      </c>
      <c r="I140" s="20">
        <f>SUMIFS(estoque[valor total],estoque[fornecedor],"&lt;&gt;saída",estoque[produto],preçodiario[[#Headers],[OVO BRANCO A]],estoque[data],preçodiario[[#This Row],[data]])</f>
        <v>0</v>
      </c>
      <c r="J140" s="20">
        <f>IFERROR(preçodiario[[#This Row],[estoque A]]*preçodiario[[#This Row],[OVO BRANCO A]],0)</f>
        <v>1074.2464407985415</v>
      </c>
      <c r="K1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Row],[data]])),((K139*L139)+SUMIFS(estoque[valor total],estoque[produto],preçodiario[[#Headers],[OVO BRANCO B]],estoque[data],preçodiario[[#This Row],[data]],estoque[fornecedor],"&lt;&gt;saída"))/(L139+(SUMIFS(estoque[quantidade],estoque[produto],preçodiario[[#Headers],[OVO BRANCO B]],estoque[fornecedor],"&lt;&gt;saída",estoque[data],preçodiario[[#This Row],[data]])))))</f>
        <v>15</v>
      </c>
      <c r="L140" s="22">
        <f>IF(preçodiario[[#This Row],[entrada B]]=0,L139-(SUMIFS(estoque[quantidade],estoque[fornecedor],"saída",estoque[produto],preçodiario[[#Headers],[OVO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Row],[data]]))+L139+preçodiario[[#This Row],[entrada B]])</f>
        <v>68</v>
      </c>
      <c r="M140" s="22">
        <f>SUMIFS(estoque[quantidade],estoque[fornecedor],"&lt;&gt;saída",estoque[produto],preçodiario[[#Headers],[OVO BRANCO B]],estoque[data],preçodiario[[#This Row],[data]])</f>
        <v>0</v>
      </c>
      <c r="N140" s="20">
        <f>SUMIFS(estoque[valor total],estoque[fornecedor],"&lt;&gt;saída",estoque[produto],preçodiario[[#Headers],[OVO BRANCO B]],estoque[data],preçodiario[[#This Row],[data]])</f>
        <v>0</v>
      </c>
      <c r="O140" s="20">
        <f>IFERROR(preçodiario[[#This Row],[OVO BRANCO B]]*preçodiario[[#This Row],[estoque B]],0)</f>
        <v>1020</v>
      </c>
      <c r="P14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Row],[data]])),((P139*Q139)+SUMIFS(estoque[valor total],estoque[produto],preçodiario[[#Headers],[OVO BRANCO C]],estoque[data],preçodiario[[#This Row],[data]],estoque[fornecedor],"&lt;&gt;saída"))/(Q139+(SUMIFS(estoque[quantidade],estoque[produto],preçodiario[[#Headers],[OVO BRANCO C]],estoque[fornecedor],"&lt;&gt;saída",estoque[data],preçodiario[[#This Row],[data]])))))</f>
        <v/>
      </c>
      <c r="Q140" s="22">
        <f>IF(preçodiario[[#This Row],[entrada C]]=0,Q139-(SUMIFS(estoque[quantidade],estoque[fornecedor],"saída",estoque[produto],preçodiario[[#Headers],[OVO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Row],[data]]))+Q139+preçodiario[[#This Row],[entrada C]])</f>
        <v>0</v>
      </c>
      <c r="R140" s="22">
        <f>SUMIFS(estoque[quantidade],estoque[fornecedor],"&lt;&gt;saída",estoque[produto],preçodiario[[#Headers],[OVO BRANCO C]],estoque[data],preçodiario[[#This Row],[data]])</f>
        <v>0</v>
      </c>
      <c r="S140" s="20">
        <f>SUMIFS(estoque[valor total],estoque[fornecedor],"&lt;&gt;saída",estoque[produto],preçodiario[[#Headers],[OVO BRANCO C]],estoque[data],preçodiario[[#This Row],[data]])</f>
        <v>0</v>
      </c>
      <c r="T140" s="20">
        <f>IFERROR(preçodiario[[#This Row],[OVO BRANCO C]]*preçodiario[[#This Row],[estoque C]],0)</f>
        <v>0</v>
      </c>
      <c r="U1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Row],[data]])),((U139*V139)+SUMIFS(estoque[valor total],estoque[produto],preçodiario[[#Headers],[OVO BRANCO EXTRA]],estoque[data],preçodiario[[#This Row],[data]],estoque[fornecedor],"&lt;&gt;saída"))/(V139+(SUMIFS(estoque[quantidade],estoque[produto],preçodiario[[#Headers],[OVO BRANCO EXTRA]],estoque[fornecedor],"&lt;&gt;saída",estoque[data],preçodiario[[#This Row],[data]])))))</f>
        <v>16.466049382716051</v>
      </c>
      <c r="V140" s="22">
        <f>IF(preçodiario[[#This Row],[entrada E]]=0,V139-(SUMIFS(estoque[quantidade],estoque[fornecedor],"saída",estoque[produto],preçodiario[[#Headers],[OVO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Row],[data]]))+V139+preçodiario[[#This Row],[entrada E]])</f>
        <v>125</v>
      </c>
      <c r="W140" s="22">
        <f>SUMIFS(estoque[quantidade],estoque[fornecedor],"&lt;&gt;saída",estoque[produto],preçodiario[[#Headers],[OVO BRANCO EXTRA]],estoque[data],preçodiario[[#This Row],[data]])</f>
        <v>0</v>
      </c>
      <c r="X140" s="20">
        <f>SUMIFS(estoque[valor total],estoque[fornecedor],"&lt;&gt;saída",estoque[produto],preçodiario[[#Headers],[OVO BRANCO EXTRA]],estoque[data],preçodiario[[#This Row],[data]])</f>
        <v>0</v>
      </c>
      <c r="Y140" s="20">
        <f>IFERROR(preçodiario[[#This Row],[estoque E]]*preçodiario[[#This Row],[OVO BRANCO EXTRA]],0)</f>
        <v>2058.2561728395062</v>
      </c>
      <c r="Z1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Row],[data]])),((Z139*AA139)+SUMIFS(estoque[valor total],estoque[produto],preçodiario[[#Headers],[OVO BRANCO JUMBO]],estoque[data],preçodiario[[#This Row],[data]],estoque[fornecedor],"&lt;&gt;saída"))/(AA139+(SUMIFS(estoque[quantidade],estoque[produto],preçodiario[[#Headers],[OVO BRANCO JUMBO]],estoque[fornecedor],"&lt;&gt;saída",estoque[data],preçodiario[[#This Row],[data]])))))</f>
        <v>17.276785714285715</v>
      </c>
      <c r="AA140" s="22">
        <f>IF(preçodiario[[#This Row],[entrada J]]=0,AA139-(SUMIFS(estoque[quantidade],estoque[fornecedor],"saída",estoque[produto],preçodiario[[#Headers],[OVO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Row],[data]]))+AA139+preçodiario[[#This Row],[entrada J]])</f>
        <v>78</v>
      </c>
      <c r="AB140" s="22">
        <f>SUMIFS(estoque[quantidade],estoque[fornecedor],"&lt;&gt;saída",estoque[produto],preçodiario[[#Headers],[OVO BRANCO JUMBO]],estoque[data],preçodiario[[#This Row],[data]])</f>
        <v>0</v>
      </c>
      <c r="AC140" s="20">
        <f>SUMIFS(estoque[valor total],estoque[fornecedor],"&lt;&gt;saída",estoque[produto],preçodiario[[#Headers],[OVO BRANCO JUMBO]],estoque[data],preçodiario[[#This Row],[data]])</f>
        <v>0</v>
      </c>
      <c r="AD140" s="20">
        <f>IFERROR(preçodiario[[#This Row],[OVO BRANCO JUMBO]]*preçodiario[[#This Row],[estoque J]],0)</f>
        <v>1347.5892857142858</v>
      </c>
      <c r="AE1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Row],[data]])),((AE139*AF139)+SUMIFS(estoque[valor total],estoque[produto],preçodiario[[#Headers],[OVO VERMELHO A]],estoque[data],preçodiario[[#This Row],[data]],estoque[fornecedor],"&lt;&gt;saída"))/(AF139+(SUMIFS(estoque[quantidade],estoque[produto],preçodiario[[#Headers],[OVO VERMELHO A]],estoque[fornecedor],"&lt;&gt;saída",estoque[data],preçodiario[[#This Row],[data]])))))</f>
        <v/>
      </c>
      <c r="AF140" s="22">
        <f>IF(preçodiario[[#This Row],[entrada AV]]=0,AF139-(SUMIFS(estoque[quantidade],estoque[fornecedor],"saída",estoque[produto],preçodiario[[#Headers],[OVO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Row],[data]]))+AF139+preçodiario[[#This Row],[entrada AV]])</f>
        <v>0</v>
      </c>
      <c r="AG140" s="22">
        <f>SUMIFS(estoque[quantidade],estoque[fornecedor],"&lt;&gt;saída",estoque[produto],preçodiario[[#Headers],[OVO VERMELHO A]],estoque[data],preçodiario[[#This Row],[data]])</f>
        <v>0</v>
      </c>
      <c r="AH140" s="20">
        <f>SUMIFS(estoque[valor total],estoque[fornecedor],"&lt;&gt;saída",estoque[produto],preçodiario[[#Headers],[OVO VERMELHO A]],estoque[data],preçodiario[[#This Row],[data]])</f>
        <v>0</v>
      </c>
      <c r="AI140" s="20">
        <f>IFERROR(preçodiario[[#This Row],[OVO VERMELHO A]]*preçodiario[[#This Row],[estoque AV]],0)</f>
        <v>0</v>
      </c>
      <c r="AJ1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Row],[data]])),((AJ139*AK139)+SUMIFS(estoque[valor total],estoque[produto],preçodiario[[#Headers],[OVO VERMELHO B]],estoque[data],preçodiario[[#This Row],[data]],estoque[fornecedor],"&lt;&gt;saída"))/(AK139+(SUMIFS(estoque[quantidade],estoque[produto],preçodiario[[#Headers],[OVO VERMELHO B]],estoque[fornecedor],"&lt;&gt;saída",estoque[data],preçodiario[[#This Row],[data]])))))</f>
        <v/>
      </c>
      <c r="AK140" s="22">
        <f>IF(preçodiario[[#This Row],[entrada BV]]=0,AK139-(SUMIFS(estoque[quantidade],estoque[fornecedor],"saída",estoque[produto],preçodiario[[#Headers],[OVO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Row],[data]]))+AK139+preçodiario[[#This Row],[entrada BV]])</f>
        <v>0</v>
      </c>
      <c r="AL140" s="22">
        <f>SUMIFS(estoque[quantidade],estoque[fornecedor],"&lt;&gt;saída",estoque[produto],preçodiario[[#Headers],[OVO VERMELHO B]],estoque[data],preçodiario[[#This Row],[data]])</f>
        <v>0</v>
      </c>
      <c r="AM140" s="20">
        <f>SUMIFS(estoque[valor total],estoque[fornecedor],"&lt;&gt;saída",estoque[produto],preçodiario[[#Headers],[OVO VERMELHO B]],estoque[data],preçodiario[[#This Row],[data]])</f>
        <v>0</v>
      </c>
      <c r="AN140" s="20">
        <f>IFERROR(preçodiario[[#This Row],[OVO VERMELHO B]]*preçodiario[[#This Row],[estoque BV]],0)</f>
        <v>0</v>
      </c>
      <c r="AO1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Row],[data]])),((AO139*AP139)+SUMIFS(estoque[valor total],estoque[produto],preçodiario[[#Headers],[OVO VERMELHO C]],estoque[data],preçodiario[[#This Row],[data]],estoque[fornecedor],"&lt;&gt;saída"))/(AP139+(SUMIFS(estoque[quantidade],estoque[produto],preçodiario[[#Headers],[OVO VERMELHO C]],estoque[fornecedor],"&lt;&gt;saída",estoque[data],preçodiario[[#This Row],[data]])))))</f>
        <v/>
      </c>
      <c r="AP140" s="22">
        <f>IF(preçodiario[[#This Row],[entrada CV]]=0,AP139-(SUMIFS(estoque[quantidade],estoque[fornecedor],"saída",estoque[produto],preçodiario[[#Headers],[OVO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Row],[data]]))+AP139+preçodiario[[#This Row],[entrada CV]])</f>
        <v>0</v>
      </c>
      <c r="AQ140" s="22">
        <f>SUMIFS(estoque[quantidade],estoque[fornecedor],"&lt;&gt;saída",estoque[produto],preçodiario[[#Headers],[OVO VERMELHO C]],estoque[data],preçodiario[[#This Row],[data]])</f>
        <v>0</v>
      </c>
      <c r="AR140" s="20">
        <f>SUMIFS(estoque[valor total],estoque[fornecedor],"&lt;&gt;saída",estoque[produto],preçodiario[[#Headers],[OVO VERMELHO C]],estoque[data],preçodiario[[#This Row],[data]])</f>
        <v>0</v>
      </c>
      <c r="AS140" s="20">
        <f>IFERROR(preçodiario[[#This Row],[OVO VERMELHO C]]*preçodiario[[#This Row],[estoque CV]],0)</f>
        <v>0</v>
      </c>
      <c r="AT1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Row],[data]])),((AT139*AU139)+SUMIFS(estoque[valor total],estoque[produto],preçodiario[[#Headers],[OVO VERMELHO EXTRA]],estoque[data],preçodiario[[#This Row],[data]],estoque[fornecedor],"&lt;&gt;saída"))/(AU139+(SUMIFS(estoque[quantidade],estoque[produto],preçodiario[[#Headers],[OVO VERMELHO EXTRA]],estoque[fornecedor],"&lt;&gt;saída",estoque[data],preçodiario[[#This Row],[data]])))))</f>
        <v/>
      </c>
      <c r="AU140" s="22">
        <f>IF(preçodiario[[#This Row],[entrada EV]]=0,AU139-(SUMIFS(estoque[quantidade],estoque[fornecedor],"saída",estoque[produto],preçodiario[[#Headers],[OVO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Row],[data]]))+AU139+preçodiario[[#This Row],[entrada EV]])</f>
        <v>0</v>
      </c>
      <c r="AV140" s="22">
        <f>SUMIFS(estoque[quantidade],estoque[fornecedor],"&lt;&gt;saída",estoque[produto],preçodiario[[#Headers],[OVO VERMELHO EXTRA]],estoque[data],preçodiario[[#This Row],[data]])</f>
        <v>0</v>
      </c>
      <c r="AW140" s="20">
        <f>SUMIFS(estoque[valor total],estoque[fornecedor],"&lt;&gt;saída",estoque[produto],preçodiario[[#Headers],[OVO VERMELHO EXTRA]],estoque[data],preçodiario[[#This Row],[data]])</f>
        <v>0</v>
      </c>
      <c r="AX140" s="20">
        <f>IFERROR(preçodiario[[#This Row],[OVO VERMELHO EXTRA]]*preçodiario[[#This Row],[estoque EV]],0)</f>
        <v>0</v>
      </c>
      <c r="AY1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Row],[data]])),((AY139*AZ139)+SUMIFS(estoque[valor total],estoque[produto],preçodiario[[#Headers],[OVO VERMELHO JUMBO]],estoque[data],preçodiario[[#This Row],[data]],estoque[fornecedor],"&lt;&gt;saída"))/(AZ139+(SUMIFS(estoque[quantidade],estoque[produto],preçodiario[[#Headers],[OVO VERMELHO JUMBO]],estoque[fornecedor],"&lt;&gt;saída",estoque[data],preçodiario[[#This Row],[data]])))))</f>
        <v/>
      </c>
      <c r="AZ140" s="22">
        <f>IF(preçodiario[[#This Row],[entrada JV]]=0,AZ139-(SUMIFS(estoque[quantidade],estoque[fornecedor],"saída",estoque[produto],preçodiario[[#Headers],[OVO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Row],[data]]))+AZ139+preçodiario[[#This Row],[entrada JV]])</f>
        <v>0</v>
      </c>
      <c r="BA140" s="22">
        <f>SUMIFS(estoque[quantidade],estoque[fornecedor],"&lt;&gt;saída",estoque[produto],preçodiario[[#Headers],[OVO VERMELHO JUMBO]],estoque[data],preçodiario[[#This Row],[data]])</f>
        <v>0</v>
      </c>
      <c r="BB140" s="20">
        <f>SUMIFS(estoque[valor total],estoque[fornecedor],"&lt;&gt;saída",estoque[produto],preçodiario[[#Headers],[OVO VERMELHO JUMBO]],estoque[data],preçodiario[[#This Row],[data]])</f>
        <v>0</v>
      </c>
      <c r="BC140" s="20">
        <f>IFERROR(preçodiario[[#This Row],[OVO VERMELHO JUMBO]]*preçodiario[[#This Row],[estoque JV]],0)</f>
        <v>0</v>
      </c>
      <c r="BD140" t="str">
        <f>TEXT(vendaAno[[#This Row],[data]],"mmm")</f>
        <v>mai</v>
      </c>
      <c r="BE140" t="str">
        <f>TEXT(vendaAno[[#This Row],[data]],"ddd")</f>
        <v>ter</v>
      </c>
      <c r="BF140" s="82">
        <f>WEEKNUM(vendaAno[[#This Row],[data]],13)</f>
        <v>20</v>
      </c>
      <c r="BG140" s="27">
        <f>preçodiario[[#This Row],[data]]</f>
        <v>46161</v>
      </c>
      <c r="BH1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0" s="8">
        <f>IF(SUMIFS(estoque[valor total],estoque[fornecedor],"saída",estoque[data],vendaAno[[#This Row],[data]])=0,"",SUMIFS(estoque[valor total],estoque[fornecedor],"saída",estoque[data],vendaAno[[#This Row],[data]]))</f>
        <v>850.25</v>
      </c>
      <c r="BJ14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Row],[data]]))/12+BJ139,"")</f>
        <v>28.166666666666643</v>
      </c>
      <c r="BK140" s="79">
        <f ca="1">IF(TODAY()&gt;=vendaAno[[#This Row],[data]],IF(SUMIFS(estoque[quantidade],estoque[fornecedor],"saída",estoque[data],vendaAno[[#This Row],[data]])/12=0,AVERAGE(BK137:BK139),SUMIFS(estoque[quantidade],estoque[fornecedor],"saída",estoque[data],vendaAno[[#This Row],[data]])/12),"")</f>
        <v>3.5833333333333335</v>
      </c>
      <c r="BL140" s="8">
        <f ca="1">IF(vendaAno[[#This Row],[data]]&lt;=TODAY(),IF(SUMIFS(estoque[lucro],estoque[fornecedor],"saída",estoque[data],vendaAno[[#This Row],[data]])=0,AVERAGE(BL137:BL139),SUMIFS(estoque[lucro],estoque[fornecedor],"saída",estoque[data],vendaAno[[#This Row],[data]])),"")</f>
        <v>172.93</v>
      </c>
      <c r="BM140" s="10">
        <f ca="1">IFERROR(vendaAno[[#This Row],[lucro]]/vendaAno[[#This Row],[valor de venda]],"")</f>
        <v>0.20338723904733902</v>
      </c>
      <c r="BN14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5500.0918993523337</v>
      </c>
      <c r="BO140" s="8">
        <f ca="1">IF(TODAY()&gt;=vendaAno[[#This Row],[data]],IF(vendaAno[[#This Row],[N°]]=BF139,vendaAno[[#This Row],[lucro]]-173.33+BO139,vendaAno[[#This Row],[lucro]]-150),"")</f>
        <v>-269.93000000000006</v>
      </c>
      <c r="BP140" s="81">
        <f ca="1">IF(TODAY()&gt;=vendaAno[[#This Row],[data]],SUM(BK134:BK140)*12,"")</f>
        <v>202</v>
      </c>
      <c r="BQ140" s="7">
        <f ca="1">IFERROR(vendaAno[[#This Row],[lucro]]/(vendaAno[[#This Row],[venda]]*12),"")</f>
        <v>4.021627906976744</v>
      </c>
    </row>
    <row r="141" spans="1:69" x14ac:dyDescent="0.25">
      <c r="A1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1" s="18" t="str">
        <f>TEXT(preçodiario[[#This Row],[data]],"MMM")</f>
        <v>mai</v>
      </c>
      <c r="C141" s="18" t="str">
        <f>TEXT(preçodiario[[#This Row],[data]],"ddd")</f>
        <v>qua</v>
      </c>
      <c r="D141" s="96">
        <f>WEEKNUM(preçodiario[[#This Row],[data]],13)</f>
        <v>21</v>
      </c>
      <c r="E141" s="37">
        <v>46162</v>
      </c>
      <c r="F1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Row],[data]])),((F140*G140)+SUMIFS(estoque[valor total],estoque[produto],preçodiario[[#Headers],[OVO BRANCO A]],estoque[data],preçodiario[[#This Row],[data]],estoque[fornecedor],"&lt;&gt;saída"))/(G140+(SUMIFS(estoque[quantidade],estoque[produto],preçodiario[[#Headers],[OVO BRANCO A]],estoque[fornecedor],"&lt;&gt;saída",estoque[data],preçodiario[[#This Row],[data]])))))</f>
        <v>16.033528967142409</v>
      </c>
      <c r="G141" s="22">
        <f>IF(preçodiario[[#This Row],[entrada A]]=0,G140-(SUMIFS(estoque[quantidade],estoque[fornecedor],"saída",estoque[produto],preçodiario[[#Headers],[OVO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Row],[data]]))+G140+preçodiario[[#This Row],[entrada A]])</f>
        <v>64</v>
      </c>
      <c r="H141" s="22">
        <f>SUMIFS(estoque[quantidade],estoque[fornecedor],"&lt;&gt;saída",estoque[produto],preçodiario[[#Headers],[OVO BRANCO A]],estoque[data],preçodiario[[#This Row],[data]])</f>
        <v>0</v>
      </c>
      <c r="I141" s="20">
        <f>SUMIFS(estoque[valor total],estoque[fornecedor],"&lt;&gt;saída",estoque[produto],preçodiario[[#Headers],[OVO BRANCO A]],estoque[data],preçodiario[[#This Row],[data]])</f>
        <v>0</v>
      </c>
      <c r="J141" s="20">
        <f>IFERROR(preçodiario[[#This Row],[estoque A]]*preçodiario[[#This Row],[OVO BRANCO A]],0)</f>
        <v>1026.1458538971142</v>
      </c>
      <c r="K1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Row],[data]])),((K140*L140)+SUMIFS(estoque[valor total],estoque[produto],preçodiario[[#Headers],[OVO BRANCO B]],estoque[data],preçodiario[[#This Row],[data]],estoque[fornecedor],"&lt;&gt;saída"))/(L140+(SUMIFS(estoque[quantidade],estoque[produto],preçodiario[[#Headers],[OVO BRANCO B]],estoque[fornecedor],"&lt;&gt;saída",estoque[data],preçodiario[[#This Row],[data]])))))</f>
        <v>15</v>
      </c>
      <c r="L141" s="22">
        <f>IF(preçodiario[[#This Row],[entrada B]]=0,L140-(SUMIFS(estoque[quantidade],estoque[fornecedor],"saída",estoque[produto],preçodiario[[#Headers],[OVO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Row],[data]]))+L140+preçodiario[[#This Row],[entrada B]])</f>
        <v>58</v>
      </c>
      <c r="M141" s="22">
        <f>SUMIFS(estoque[quantidade],estoque[fornecedor],"&lt;&gt;saída",estoque[produto],preçodiario[[#Headers],[OVO BRANCO B]],estoque[data],preçodiario[[#This Row],[data]])</f>
        <v>0</v>
      </c>
      <c r="N141" s="20">
        <f>SUMIFS(estoque[valor total],estoque[fornecedor],"&lt;&gt;saída",estoque[produto],preçodiario[[#Headers],[OVO BRANCO B]],estoque[data],preçodiario[[#This Row],[data]])</f>
        <v>0</v>
      </c>
      <c r="O141" s="20">
        <f>IFERROR(preçodiario[[#This Row],[OVO BRANCO B]]*preçodiario[[#This Row],[estoque B]],0)</f>
        <v>870</v>
      </c>
      <c r="P14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Row],[data]])),((P140*Q140)+SUMIFS(estoque[valor total],estoque[produto],preçodiario[[#Headers],[OVO BRANCO C]],estoque[data],preçodiario[[#This Row],[data]],estoque[fornecedor],"&lt;&gt;saída"))/(Q140+(SUMIFS(estoque[quantidade],estoque[produto],preçodiario[[#Headers],[OVO BRANCO C]],estoque[fornecedor],"&lt;&gt;saída",estoque[data],preçodiario[[#This Row],[data]])))))</f>
        <v/>
      </c>
      <c r="Q141" s="22">
        <f>IF(preçodiario[[#This Row],[entrada C]]=0,Q140-(SUMIFS(estoque[quantidade],estoque[fornecedor],"saída",estoque[produto],preçodiario[[#Headers],[OVO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Row],[data]]))+Q140+preçodiario[[#This Row],[entrada C]])</f>
        <v>0</v>
      </c>
      <c r="R141" s="22">
        <f>SUMIFS(estoque[quantidade],estoque[fornecedor],"&lt;&gt;saída",estoque[produto],preçodiario[[#Headers],[OVO BRANCO C]],estoque[data],preçodiario[[#This Row],[data]])</f>
        <v>0</v>
      </c>
      <c r="S141" s="20">
        <f>SUMIFS(estoque[valor total],estoque[fornecedor],"&lt;&gt;saída",estoque[produto],preçodiario[[#Headers],[OVO BRANCO C]],estoque[data],preçodiario[[#This Row],[data]])</f>
        <v>0</v>
      </c>
      <c r="T141" s="20">
        <f>IFERROR(preçodiario[[#This Row],[OVO BRANCO C]]*preçodiario[[#This Row],[estoque C]],0)</f>
        <v>0</v>
      </c>
      <c r="U1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Row],[data]])),((U140*V140)+SUMIFS(estoque[valor total],estoque[produto],preçodiario[[#Headers],[OVO BRANCO EXTRA]],estoque[data],preçodiario[[#This Row],[data]],estoque[fornecedor],"&lt;&gt;saída"))/(V140+(SUMIFS(estoque[quantidade],estoque[produto],preçodiario[[#Headers],[OVO BRANCO EXTRA]],estoque[fornecedor],"&lt;&gt;saída",estoque[data],preçodiario[[#This Row],[data]])))))</f>
        <v>16.466049382716051</v>
      </c>
      <c r="V141" s="22">
        <f>IF(preçodiario[[#This Row],[entrada E]]=0,V140-(SUMIFS(estoque[quantidade],estoque[fornecedor],"saída",estoque[produto],preçodiario[[#Headers],[OVO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Row],[data]]))+V140+preçodiario[[#This Row],[entrada E]])</f>
        <v>115</v>
      </c>
      <c r="W141" s="22">
        <f>SUMIFS(estoque[quantidade],estoque[fornecedor],"&lt;&gt;saída",estoque[produto],preçodiario[[#Headers],[OVO BRANCO EXTRA]],estoque[data],preçodiario[[#This Row],[data]])</f>
        <v>0</v>
      </c>
      <c r="X141" s="20">
        <f>SUMIFS(estoque[valor total],estoque[fornecedor],"&lt;&gt;saída",estoque[produto],preçodiario[[#Headers],[OVO BRANCO EXTRA]],estoque[data],preçodiario[[#This Row],[data]])</f>
        <v>0</v>
      </c>
      <c r="Y141" s="20">
        <f>IFERROR(preçodiario[[#This Row],[estoque E]]*preçodiario[[#This Row],[OVO BRANCO EXTRA]],0)</f>
        <v>1893.595679012346</v>
      </c>
      <c r="Z1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Row],[data]])),((Z140*AA140)+SUMIFS(estoque[valor total],estoque[produto],preçodiario[[#Headers],[OVO BRANCO JUMBO]],estoque[data],preçodiario[[#This Row],[data]],estoque[fornecedor],"&lt;&gt;saída"))/(AA140+(SUMIFS(estoque[quantidade],estoque[produto],preçodiario[[#Headers],[OVO BRANCO JUMBO]],estoque[fornecedor],"&lt;&gt;saída",estoque[data],preçodiario[[#This Row],[data]])))))</f>
        <v>17.276785714285715</v>
      </c>
      <c r="AA141" s="22">
        <f>IF(preçodiario[[#This Row],[entrada J]]=0,AA140-(SUMIFS(estoque[quantidade],estoque[fornecedor],"saída",estoque[produto],preçodiario[[#Headers],[OVO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Row],[data]]))+AA140+preçodiario[[#This Row],[entrada J]])</f>
        <v>65</v>
      </c>
      <c r="AB141" s="22">
        <f>SUMIFS(estoque[quantidade],estoque[fornecedor],"&lt;&gt;saída",estoque[produto],preçodiario[[#Headers],[OVO BRANCO JUMBO]],estoque[data],preçodiario[[#This Row],[data]])</f>
        <v>0</v>
      </c>
      <c r="AC141" s="20">
        <f>SUMIFS(estoque[valor total],estoque[fornecedor],"&lt;&gt;saída",estoque[produto],preçodiario[[#Headers],[OVO BRANCO JUMBO]],estoque[data],preçodiario[[#This Row],[data]])</f>
        <v>0</v>
      </c>
      <c r="AD141" s="20">
        <f>IFERROR(preçodiario[[#This Row],[OVO BRANCO JUMBO]]*preçodiario[[#This Row],[estoque J]],0)</f>
        <v>1122.9910714285716</v>
      </c>
      <c r="AE1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Row],[data]])),((AE140*AF140)+SUMIFS(estoque[valor total],estoque[produto],preçodiario[[#Headers],[OVO VERMELHO A]],estoque[data],preçodiario[[#This Row],[data]],estoque[fornecedor],"&lt;&gt;saída"))/(AF140+(SUMIFS(estoque[quantidade],estoque[produto],preçodiario[[#Headers],[OVO VERMELHO A]],estoque[fornecedor],"&lt;&gt;saída",estoque[data],preçodiario[[#This Row],[data]])))))</f>
        <v/>
      </c>
      <c r="AF141" s="22">
        <f>IF(preçodiario[[#This Row],[entrada AV]]=0,AF140-(SUMIFS(estoque[quantidade],estoque[fornecedor],"saída",estoque[produto],preçodiario[[#Headers],[OVO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Row],[data]]))+AF140+preçodiario[[#This Row],[entrada AV]])</f>
        <v>0</v>
      </c>
      <c r="AG141" s="22">
        <f>SUMIFS(estoque[quantidade],estoque[fornecedor],"&lt;&gt;saída",estoque[produto],preçodiario[[#Headers],[OVO VERMELHO A]],estoque[data],preçodiario[[#This Row],[data]])</f>
        <v>0</v>
      </c>
      <c r="AH141" s="20">
        <f>SUMIFS(estoque[valor total],estoque[fornecedor],"&lt;&gt;saída",estoque[produto],preçodiario[[#Headers],[OVO VERMELHO A]],estoque[data],preçodiario[[#This Row],[data]])</f>
        <v>0</v>
      </c>
      <c r="AI141" s="20">
        <f>IFERROR(preçodiario[[#This Row],[OVO VERMELHO A]]*preçodiario[[#This Row],[estoque AV]],0)</f>
        <v>0</v>
      </c>
      <c r="AJ1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Row],[data]])),((AJ140*AK140)+SUMIFS(estoque[valor total],estoque[produto],preçodiario[[#Headers],[OVO VERMELHO B]],estoque[data],preçodiario[[#This Row],[data]],estoque[fornecedor],"&lt;&gt;saída"))/(AK140+(SUMIFS(estoque[quantidade],estoque[produto],preçodiario[[#Headers],[OVO VERMELHO B]],estoque[fornecedor],"&lt;&gt;saída",estoque[data],preçodiario[[#This Row],[data]])))))</f>
        <v/>
      </c>
      <c r="AK141" s="22">
        <f>IF(preçodiario[[#This Row],[entrada BV]]=0,AK140-(SUMIFS(estoque[quantidade],estoque[fornecedor],"saída",estoque[produto],preçodiario[[#Headers],[OVO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Row],[data]]))+AK140+preçodiario[[#This Row],[entrada BV]])</f>
        <v>0</v>
      </c>
      <c r="AL141" s="22">
        <f>SUMIFS(estoque[quantidade],estoque[fornecedor],"&lt;&gt;saída",estoque[produto],preçodiario[[#Headers],[OVO VERMELHO B]],estoque[data],preçodiario[[#This Row],[data]])</f>
        <v>0</v>
      </c>
      <c r="AM141" s="20">
        <f>SUMIFS(estoque[valor total],estoque[fornecedor],"&lt;&gt;saída",estoque[produto],preçodiario[[#Headers],[OVO VERMELHO B]],estoque[data],preçodiario[[#This Row],[data]])</f>
        <v>0</v>
      </c>
      <c r="AN141" s="20">
        <f>IFERROR(preçodiario[[#This Row],[OVO VERMELHO B]]*preçodiario[[#This Row],[estoque BV]],0)</f>
        <v>0</v>
      </c>
      <c r="AO1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Row],[data]])),((AO140*AP140)+SUMIFS(estoque[valor total],estoque[produto],preçodiario[[#Headers],[OVO VERMELHO C]],estoque[data],preçodiario[[#This Row],[data]],estoque[fornecedor],"&lt;&gt;saída"))/(AP140+(SUMIFS(estoque[quantidade],estoque[produto],preçodiario[[#Headers],[OVO VERMELHO C]],estoque[fornecedor],"&lt;&gt;saída",estoque[data],preçodiario[[#This Row],[data]])))))</f>
        <v/>
      </c>
      <c r="AP141" s="22">
        <f>IF(preçodiario[[#This Row],[entrada CV]]=0,AP140-(SUMIFS(estoque[quantidade],estoque[fornecedor],"saída",estoque[produto],preçodiario[[#Headers],[OVO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Row],[data]]))+AP140+preçodiario[[#This Row],[entrada CV]])</f>
        <v>0</v>
      </c>
      <c r="AQ141" s="22">
        <f>SUMIFS(estoque[quantidade],estoque[fornecedor],"&lt;&gt;saída",estoque[produto],preçodiario[[#Headers],[OVO VERMELHO C]],estoque[data],preçodiario[[#This Row],[data]])</f>
        <v>0</v>
      </c>
      <c r="AR141" s="20">
        <f>SUMIFS(estoque[valor total],estoque[fornecedor],"&lt;&gt;saída",estoque[produto],preçodiario[[#Headers],[OVO VERMELHO C]],estoque[data],preçodiario[[#This Row],[data]])</f>
        <v>0</v>
      </c>
      <c r="AS141" s="20">
        <f>IFERROR(preçodiario[[#This Row],[OVO VERMELHO C]]*preçodiario[[#This Row],[estoque CV]],0)</f>
        <v>0</v>
      </c>
      <c r="AT1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Row],[data]])),((AT140*AU140)+SUMIFS(estoque[valor total],estoque[produto],preçodiario[[#Headers],[OVO VERMELHO EXTRA]],estoque[data],preçodiario[[#This Row],[data]],estoque[fornecedor],"&lt;&gt;saída"))/(AU140+(SUMIFS(estoque[quantidade],estoque[produto],preçodiario[[#Headers],[OVO VERMELHO EXTRA]],estoque[fornecedor],"&lt;&gt;saída",estoque[data],preçodiario[[#This Row],[data]])))))</f>
        <v/>
      </c>
      <c r="AU141" s="22">
        <f>IF(preçodiario[[#This Row],[entrada EV]]=0,AU140-(SUMIFS(estoque[quantidade],estoque[fornecedor],"saída",estoque[produto],preçodiario[[#Headers],[OVO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Row],[data]]))+AU140+preçodiario[[#This Row],[entrada EV]])</f>
        <v>0</v>
      </c>
      <c r="AV141" s="22">
        <f>SUMIFS(estoque[quantidade],estoque[fornecedor],"&lt;&gt;saída",estoque[produto],preçodiario[[#Headers],[OVO VERMELHO EXTRA]],estoque[data],preçodiario[[#This Row],[data]])</f>
        <v>0</v>
      </c>
      <c r="AW141" s="20">
        <f>SUMIFS(estoque[valor total],estoque[fornecedor],"&lt;&gt;saída",estoque[produto],preçodiario[[#Headers],[OVO VERMELHO EXTRA]],estoque[data],preçodiario[[#This Row],[data]])</f>
        <v>0</v>
      </c>
      <c r="AX141" s="20">
        <f>IFERROR(preçodiario[[#This Row],[OVO VERMELHO EXTRA]]*preçodiario[[#This Row],[estoque EV]],0)</f>
        <v>0</v>
      </c>
      <c r="AY1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Row],[data]])),((AY140*AZ140)+SUMIFS(estoque[valor total],estoque[produto],preçodiario[[#Headers],[OVO VERMELHO JUMBO]],estoque[data],preçodiario[[#This Row],[data]],estoque[fornecedor],"&lt;&gt;saída"))/(AZ140+(SUMIFS(estoque[quantidade],estoque[produto],preçodiario[[#Headers],[OVO VERMELHO JUMBO]],estoque[fornecedor],"&lt;&gt;saída",estoque[data],preçodiario[[#This Row],[data]])))))</f>
        <v/>
      </c>
      <c r="AZ141" s="22">
        <f>IF(preçodiario[[#This Row],[entrada JV]]=0,AZ140-(SUMIFS(estoque[quantidade],estoque[fornecedor],"saída",estoque[produto],preçodiario[[#Headers],[OVO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Row],[data]]))+AZ140+preçodiario[[#This Row],[entrada JV]])</f>
        <v>0</v>
      </c>
      <c r="BA141" s="22">
        <f>SUMIFS(estoque[quantidade],estoque[fornecedor],"&lt;&gt;saída",estoque[produto],preçodiario[[#Headers],[OVO VERMELHO JUMBO]],estoque[data],preçodiario[[#This Row],[data]])</f>
        <v>0</v>
      </c>
      <c r="BB141" s="20">
        <f>SUMIFS(estoque[valor total],estoque[fornecedor],"&lt;&gt;saída",estoque[produto],preçodiario[[#Headers],[OVO VERMELHO JUMBO]],estoque[data],preçodiario[[#This Row],[data]])</f>
        <v>0</v>
      </c>
      <c r="BC141" s="20">
        <f>IFERROR(preçodiario[[#This Row],[OVO VERMELHO JUMBO]]*preçodiario[[#This Row],[estoque JV]],0)</f>
        <v>0</v>
      </c>
      <c r="BD141" t="str">
        <f>TEXT(vendaAno[[#This Row],[data]],"mmm")</f>
        <v>mai</v>
      </c>
      <c r="BE141" t="str">
        <f>TEXT(vendaAno[[#This Row],[data]],"ddd")</f>
        <v>qua</v>
      </c>
      <c r="BF141" s="82">
        <f>WEEKNUM(vendaAno[[#This Row],[data]],13)</f>
        <v>21</v>
      </c>
      <c r="BG141" s="27">
        <f>preçodiario[[#This Row],[data]]</f>
        <v>46162</v>
      </c>
      <c r="BH1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1" s="8">
        <f>IF(SUMIFS(estoque[valor total],estoque[fornecedor],"saída",estoque[data],vendaAno[[#This Row],[data]])=0,"",SUMIFS(estoque[valor total],estoque[fornecedor],"saída",estoque[data],vendaAno[[#This Row],[data]]))</f>
        <v>771.5</v>
      </c>
      <c r="BJ14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Row],[data]]))/12+BJ140,"")</f>
        <v>25.166666666666643</v>
      </c>
      <c r="BK141" s="79">
        <f ca="1">IF(TODAY()&gt;=vendaAno[[#This Row],[data]],IF(SUMIFS(estoque[quantidade],estoque[fornecedor],"saída",estoque[data],vendaAno[[#This Row],[data]])/12=0,AVERAGE(BK138:BK140),SUMIFS(estoque[quantidade],estoque[fornecedor],"saída",estoque[data],vendaAno[[#This Row],[data]])/12),"")</f>
        <v>3</v>
      </c>
      <c r="BL141" s="8">
        <f ca="1">IF(vendaAno[[#This Row],[data]]&lt;=TODAY(),IF(SUMIFS(estoque[lucro],estoque[fornecedor],"saída",estoque[data],vendaAno[[#This Row],[data]])=0,AVERAGE(BL138:BL140),SUMIFS(estoque[lucro],estoque[fornecedor],"saída",estoque[data],vendaAno[[#This Row],[data]])),"")</f>
        <v>184.14000000000001</v>
      </c>
      <c r="BM141" s="10">
        <f ca="1">IFERROR(vendaAno[[#This Row],[lucro]]/vendaAno[[#This Row],[valor de venda]],"")</f>
        <v>0.23867790019442647</v>
      </c>
      <c r="BN14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4912.7326043380317</v>
      </c>
      <c r="BO141" s="8">
        <f ca="1">IF(TODAY()&gt;=vendaAno[[#This Row],[data]],IF(vendaAno[[#This Row],[N°]]=BF140,vendaAno[[#This Row],[lucro]]-173.33+BO140,vendaAno[[#This Row],[lucro]]-150),"")</f>
        <v>34.140000000000015</v>
      </c>
      <c r="BP141" s="81">
        <f ca="1">IF(TODAY()&gt;=vendaAno[[#This Row],[data]],SUM(BK135:BK141)*12,"")</f>
        <v>211.00000000000003</v>
      </c>
      <c r="BQ141" s="7">
        <f ca="1">IFERROR(vendaAno[[#This Row],[lucro]]/(vendaAno[[#This Row],[venda]]*12),"")</f>
        <v>5.1150000000000002</v>
      </c>
    </row>
    <row r="142" spans="1:69" x14ac:dyDescent="0.25">
      <c r="A1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2" s="18" t="str">
        <f>TEXT(preçodiario[[#This Row],[data]],"MMM")</f>
        <v>mai</v>
      </c>
      <c r="C142" s="18" t="str">
        <f>TEXT(preçodiario[[#This Row],[data]],"ddd")</f>
        <v>qui</v>
      </c>
      <c r="D142" s="96">
        <f>WEEKNUM(preçodiario[[#This Row],[data]],13)</f>
        <v>21</v>
      </c>
      <c r="E142" s="37">
        <v>46163</v>
      </c>
      <c r="F1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Row],[data]])),((F141*G141)+SUMIFS(estoque[valor total],estoque[produto],preçodiario[[#Headers],[OVO BRANCO A]],estoque[data],preçodiario[[#This Row],[data]],estoque[fornecedor],"&lt;&gt;saída"))/(G141+(SUMIFS(estoque[quantidade],estoque[produto],preçodiario[[#Headers],[OVO BRANCO A]],estoque[fornecedor],"&lt;&gt;saída",estoque[data],preçodiario[[#This Row],[data]])))))</f>
        <v>16.033528967142409</v>
      </c>
      <c r="G142" s="22">
        <f>IF(preçodiario[[#This Row],[entrada A]]=0,G141-(SUMIFS(estoque[quantidade],estoque[fornecedor],"saída",estoque[produto],preçodiario[[#Headers],[OVO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Row],[data]]))+G141+preçodiario[[#This Row],[entrada A]])</f>
        <v>58</v>
      </c>
      <c r="H142" s="22">
        <f>SUMIFS(estoque[quantidade],estoque[fornecedor],"&lt;&gt;saída",estoque[produto],preçodiario[[#Headers],[OVO BRANCO A]],estoque[data],preçodiario[[#This Row],[data]])</f>
        <v>0</v>
      </c>
      <c r="I142" s="20">
        <f>SUMIFS(estoque[valor total],estoque[fornecedor],"&lt;&gt;saída",estoque[produto],preçodiario[[#Headers],[OVO BRANCO A]],estoque[data],preçodiario[[#This Row],[data]])</f>
        <v>0</v>
      </c>
      <c r="J142" s="20">
        <f>IFERROR(preçodiario[[#This Row],[estoque A]]*preçodiario[[#This Row],[OVO BRANCO A]],0)</f>
        <v>929.94468009425975</v>
      </c>
      <c r="K1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Row],[data]])),((K141*L141)+SUMIFS(estoque[valor total],estoque[produto],preçodiario[[#Headers],[OVO BRANCO B]],estoque[data],preçodiario[[#This Row],[data]],estoque[fornecedor],"&lt;&gt;saída"))/(L141+(SUMIFS(estoque[quantidade],estoque[produto],preçodiario[[#Headers],[OVO BRANCO B]],estoque[fornecedor],"&lt;&gt;saída",estoque[data],preçodiario[[#This Row],[data]])))))</f>
        <v>15</v>
      </c>
      <c r="L142" s="22">
        <f>IF(preçodiario[[#This Row],[entrada B]]=0,L141-(SUMIFS(estoque[quantidade],estoque[fornecedor],"saída",estoque[produto],preçodiario[[#Headers],[OVO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Row],[data]]))+L141+preçodiario[[#This Row],[entrada B]])</f>
        <v>45</v>
      </c>
      <c r="M142" s="22">
        <f>SUMIFS(estoque[quantidade],estoque[fornecedor],"&lt;&gt;saída",estoque[produto],preçodiario[[#Headers],[OVO BRANCO B]],estoque[data],preçodiario[[#This Row],[data]])</f>
        <v>0</v>
      </c>
      <c r="N142" s="20">
        <f>SUMIFS(estoque[valor total],estoque[fornecedor],"&lt;&gt;saída",estoque[produto],preçodiario[[#Headers],[OVO BRANCO B]],estoque[data],preçodiario[[#This Row],[data]])</f>
        <v>0</v>
      </c>
      <c r="O142" s="20">
        <f>IFERROR(preçodiario[[#This Row],[OVO BRANCO B]]*preçodiario[[#This Row],[estoque B]],0)</f>
        <v>675</v>
      </c>
      <c r="P14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Row],[data]])),((P141*Q141)+SUMIFS(estoque[valor total],estoque[produto],preçodiario[[#Headers],[OVO BRANCO C]],estoque[data],preçodiario[[#This Row],[data]],estoque[fornecedor],"&lt;&gt;saída"))/(Q141+(SUMIFS(estoque[quantidade],estoque[produto],preçodiario[[#Headers],[OVO BRANCO C]],estoque[fornecedor],"&lt;&gt;saída",estoque[data],preçodiario[[#This Row],[data]])))))</f>
        <v/>
      </c>
      <c r="Q142" s="22">
        <f>IF(preçodiario[[#This Row],[entrada C]]=0,Q141-(SUMIFS(estoque[quantidade],estoque[fornecedor],"saída",estoque[produto],preçodiario[[#Headers],[OVO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Row],[data]]))+Q141+preçodiario[[#This Row],[entrada C]])</f>
        <v>0</v>
      </c>
      <c r="R142" s="22">
        <f>SUMIFS(estoque[quantidade],estoque[fornecedor],"&lt;&gt;saída",estoque[produto],preçodiario[[#Headers],[OVO BRANCO C]],estoque[data],preçodiario[[#This Row],[data]])</f>
        <v>0</v>
      </c>
      <c r="S142" s="20">
        <f>SUMIFS(estoque[valor total],estoque[fornecedor],"&lt;&gt;saída",estoque[produto],preçodiario[[#Headers],[OVO BRANCO C]],estoque[data],preçodiario[[#This Row],[data]])</f>
        <v>0</v>
      </c>
      <c r="T142" s="20">
        <f>IFERROR(preçodiario[[#This Row],[OVO BRANCO C]]*preçodiario[[#This Row],[estoque C]],0)</f>
        <v>0</v>
      </c>
      <c r="U1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Row],[data]])),((U141*V141)+SUMIFS(estoque[valor total],estoque[produto],preçodiario[[#Headers],[OVO BRANCO EXTRA]],estoque[data],preçodiario[[#This Row],[data]],estoque[fornecedor],"&lt;&gt;saída"))/(V141+(SUMIFS(estoque[quantidade],estoque[produto],preçodiario[[#Headers],[OVO BRANCO EXTRA]],estoque[fornecedor],"&lt;&gt;saída",estoque[data],preçodiario[[#This Row],[data]])))))</f>
        <v>16.466049382716051</v>
      </c>
      <c r="V142" s="22">
        <f>IF(preçodiario[[#This Row],[entrada E]]=0,V141-(SUMIFS(estoque[quantidade],estoque[fornecedor],"saída",estoque[produto],preçodiario[[#Headers],[OVO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Row],[data]]))+V141+preçodiario[[#This Row],[entrada E]])</f>
        <v>110</v>
      </c>
      <c r="W142" s="22">
        <f>SUMIFS(estoque[quantidade],estoque[fornecedor],"&lt;&gt;saída",estoque[produto],preçodiario[[#Headers],[OVO BRANCO EXTRA]],estoque[data],preçodiario[[#This Row],[data]])</f>
        <v>0</v>
      </c>
      <c r="X142" s="20">
        <f>SUMIFS(estoque[valor total],estoque[fornecedor],"&lt;&gt;saída",estoque[produto],preçodiario[[#Headers],[OVO BRANCO EXTRA]],estoque[data],preçodiario[[#This Row],[data]])</f>
        <v>0</v>
      </c>
      <c r="Y142" s="20">
        <f>IFERROR(preçodiario[[#This Row],[estoque E]]*preçodiario[[#This Row],[OVO BRANCO EXTRA]],0)</f>
        <v>1811.2654320987656</v>
      </c>
      <c r="Z1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Row],[data]])),((Z141*AA141)+SUMIFS(estoque[valor total],estoque[produto],preçodiario[[#Headers],[OVO BRANCO JUMBO]],estoque[data],preçodiario[[#This Row],[data]],estoque[fornecedor],"&lt;&gt;saída"))/(AA141+(SUMIFS(estoque[quantidade],estoque[produto],preçodiario[[#Headers],[OVO BRANCO JUMBO]],estoque[fornecedor],"&lt;&gt;saída",estoque[data],preçodiario[[#This Row],[data]])))))</f>
        <v>17.276785714285715</v>
      </c>
      <c r="AA142" s="22">
        <f>IF(preçodiario[[#This Row],[entrada J]]=0,AA141-(SUMIFS(estoque[quantidade],estoque[fornecedor],"saída",estoque[produto],preçodiario[[#Headers],[OVO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Row],[data]]))+AA141+preçodiario[[#This Row],[entrada J]])</f>
        <v>57</v>
      </c>
      <c r="AB142" s="22">
        <f>SUMIFS(estoque[quantidade],estoque[fornecedor],"&lt;&gt;saída",estoque[produto],preçodiario[[#Headers],[OVO BRANCO JUMBO]],estoque[data],preçodiario[[#This Row],[data]])</f>
        <v>0</v>
      </c>
      <c r="AC142" s="20">
        <f>SUMIFS(estoque[valor total],estoque[fornecedor],"&lt;&gt;saída",estoque[produto],preçodiario[[#Headers],[OVO BRANCO JUMBO]],estoque[data],preçodiario[[#This Row],[data]])</f>
        <v>0</v>
      </c>
      <c r="AD142" s="20">
        <f>IFERROR(preçodiario[[#This Row],[OVO BRANCO JUMBO]]*preçodiario[[#This Row],[estoque J]],0)</f>
        <v>984.77678571428578</v>
      </c>
      <c r="AE1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Row],[data]])),((AE141*AF141)+SUMIFS(estoque[valor total],estoque[produto],preçodiario[[#Headers],[OVO VERMELHO A]],estoque[data],preçodiario[[#This Row],[data]],estoque[fornecedor],"&lt;&gt;saída"))/(AF141+(SUMIFS(estoque[quantidade],estoque[produto],preçodiario[[#Headers],[OVO VERMELHO A]],estoque[fornecedor],"&lt;&gt;saída",estoque[data],preçodiario[[#This Row],[data]])))))</f>
        <v/>
      </c>
      <c r="AF142" s="22">
        <f>IF(preçodiario[[#This Row],[entrada AV]]=0,AF141-(SUMIFS(estoque[quantidade],estoque[fornecedor],"saída",estoque[produto],preçodiario[[#Headers],[OVO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Row],[data]]))+AF141+preçodiario[[#This Row],[entrada AV]])</f>
        <v>0</v>
      </c>
      <c r="AG142" s="22">
        <f>SUMIFS(estoque[quantidade],estoque[fornecedor],"&lt;&gt;saída",estoque[produto],preçodiario[[#Headers],[OVO VERMELHO A]],estoque[data],preçodiario[[#This Row],[data]])</f>
        <v>0</v>
      </c>
      <c r="AH142" s="20">
        <f>SUMIFS(estoque[valor total],estoque[fornecedor],"&lt;&gt;saída",estoque[produto],preçodiario[[#Headers],[OVO VERMELHO A]],estoque[data],preçodiario[[#This Row],[data]])</f>
        <v>0</v>
      </c>
      <c r="AI142" s="20">
        <f>IFERROR(preçodiario[[#This Row],[OVO VERMELHO A]]*preçodiario[[#This Row],[estoque AV]],0)</f>
        <v>0</v>
      </c>
      <c r="AJ1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Row],[data]])),((AJ141*AK141)+SUMIFS(estoque[valor total],estoque[produto],preçodiario[[#Headers],[OVO VERMELHO B]],estoque[data],preçodiario[[#This Row],[data]],estoque[fornecedor],"&lt;&gt;saída"))/(AK141+(SUMIFS(estoque[quantidade],estoque[produto],preçodiario[[#Headers],[OVO VERMELHO B]],estoque[fornecedor],"&lt;&gt;saída",estoque[data],preçodiario[[#This Row],[data]])))))</f>
        <v/>
      </c>
      <c r="AK142" s="22">
        <f>IF(preçodiario[[#This Row],[entrada BV]]=0,AK141-(SUMIFS(estoque[quantidade],estoque[fornecedor],"saída",estoque[produto],preçodiario[[#Headers],[OVO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Row],[data]]))+AK141+preçodiario[[#This Row],[entrada BV]])</f>
        <v>0</v>
      </c>
      <c r="AL142" s="22">
        <f>SUMIFS(estoque[quantidade],estoque[fornecedor],"&lt;&gt;saída",estoque[produto],preçodiario[[#Headers],[OVO VERMELHO B]],estoque[data],preçodiario[[#This Row],[data]])</f>
        <v>0</v>
      </c>
      <c r="AM142" s="20">
        <f>SUMIFS(estoque[valor total],estoque[fornecedor],"&lt;&gt;saída",estoque[produto],preçodiario[[#Headers],[OVO VERMELHO B]],estoque[data],preçodiario[[#This Row],[data]])</f>
        <v>0</v>
      </c>
      <c r="AN142" s="20">
        <f>IFERROR(preçodiario[[#This Row],[OVO VERMELHO B]]*preçodiario[[#This Row],[estoque BV]],0)</f>
        <v>0</v>
      </c>
      <c r="AO1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Row],[data]])),((AO141*AP141)+SUMIFS(estoque[valor total],estoque[produto],preçodiario[[#Headers],[OVO VERMELHO C]],estoque[data],preçodiario[[#This Row],[data]],estoque[fornecedor],"&lt;&gt;saída"))/(AP141+(SUMIFS(estoque[quantidade],estoque[produto],preçodiario[[#Headers],[OVO VERMELHO C]],estoque[fornecedor],"&lt;&gt;saída",estoque[data],preçodiario[[#This Row],[data]])))))</f>
        <v/>
      </c>
      <c r="AP142" s="22">
        <f>IF(preçodiario[[#This Row],[entrada CV]]=0,AP141-(SUMIFS(estoque[quantidade],estoque[fornecedor],"saída",estoque[produto],preçodiario[[#Headers],[OVO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Row],[data]]))+AP141+preçodiario[[#This Row],[entrada CV]])</f>
        <v>0</v>
      </c>
      <c r="AQ142" s="22">
        <f>SUMIFS(estoque[quantidade],estoque[fornecedor],"&lt;&gt;saída",estoque[produto],preçodiario[[#Headers],[OVO VERMELHO C]],estoque[data],preçodiario[[#This Row],[data]])</f>
        <v>0</v>
      </c>
      <c r="AR142" s="20">
        <f>SUMIFS(estoque[valor total],estoque[fornecedor],"&lt;&gt;saída",estoque[produto],preçodiario[[#Headers],[OVO VERMELHO C]],estoque[data],preçodiario[[#This Row],[data]])</f>
        <v>0</v>
      </c>
      <c r="AS142" s="20">
        <f>IFERROR(preçodiario[[#This Row],[OVO VERMELHO C]]*preçodiario[[#This Row],[estoque CV]],0)</f>
        <v>0</v>
      </c>
      <c r="AT1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Row],[data]])),((AT141*AU141)+SUMIFS(estoque[valor total],estoque[produto],preçodiario[[#Headers],[OVO VERMELHO EXTRA]],estoque[data],preçodiario[[#This Row],[data]],estoque[fornecedor],"&lt;&gt;saída"))/(AU141+(SUMIFS(estoque[quantidade],estoque[produto],preçodiario[[#Headers],[OVO VERMELHO EXTRA]],estoque[fornecedor],"&lt;&gt;saída",estoque[data],preçodiario[[#This Row],[data]])))))</f>
        <v/>
      </c>
      <c r="AU142" s="22">
        <f>IF(preçodiario[[#This Row],[entrada EV]]=0,AU141-(SUMIFS(estoque[quantidade],estoque[fornecedor],"saída",estoque[produto],preçodiario[[#Headers],[OVO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Row],[data]]))+AU141+preçodiario[[#This Row],[entrada EV]])</f>
        <v>0</v>
      </c>
      <c r="AV142" s="22">
        <f>SUMIFS(estoque[quantidade],estoque[fornecedor],"&lt;&gt;saída",estoque[produto],preçodiario[[#Headers],[OVO VERMELHO EXTRA]],estoque[data],preçodiario[[#This Row],[data]])</f>
        <v>0</v>
      </c>
      <c r="AW142" s="20">
        <f>SUMIFS(estoque[valor total],estoque[fornecedor],"&lt;&gt;saída",estoque[produto],preçodiario[[#Headers],[OVO VERMELHO EXTRA]],estoque[data],preçodiario[[#This Row],[data]])</f>
        <v>0</v>
      </c>
      <c r="AX142" s="20">
        <f>IFERROR(preçodiario[[#This Row],[OVO VERMELHO EXTRA]]*preçodiario[[#This Row],[estoque EV]],0)</f>
        <v>0</v>
      </c>
      <c r="AY1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Row],[data]])),((AY141*AZ141)+SUMIFS(estoque[valor total],estoque[produto],preçodiario[[#Headers],[OVO VERMELHO JUMBO]],estoque[data],preçodiario[[#This Row],[data]],estoque[fornecedor],"&lt;&gt;saída"))/(AZ141+(SUMIFS(estoque[quantidade],estoque[produto],preçodiario[[#Headers],[OVO VERMELHO JUMBO]],estoque[fornecedor],"&lt;&gt;saída",estoque[data],preçodiario[[#This Row],[data]])))))</f>
        <v/>
      </c>
      <c r="AZ142" s="22">
        <f>IF(preçodiario[[#This Row],[entrada JV]]=0,AZ141-(SUMIFS(estoque[quantidade],estoque[fornecedor],"saída",estoque[produto],preçodiario[[#Headers],[OVO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Row],[data]]))+AZ141+preçodiario[[#This Row],[entrada JV]])</f>
        <v>0</v>
      </c>
      <c r="BA142" s="22">
        <f>SUMIFS(estoque[quantidade],estoque[fornecedor],"&lt;&gt;saída",estoque[produto],preçodiario[[#Headers],[OVO VERMELHO JUMBO]],estoque[data],preçodiario[[#This Row],[data]])</f>
        <v>0</v>
      </c>
      <c r="BB142" s="20">
        <f>SUMIFS(estoque[valor total],estoque[fornecedor],"&lt;&gt;saída",estoque[produto],preçodiario[[#Headers],[OVO VERMELHO JUMBO]],estoque[data],preçodiario[[#This Row],[data]])</f>
        <v>0</v>
      </c>
      <c r="BC142" s="20">
        <f>IFERROR(preçodiario[[#This Row],[OVO VERMELHO JUMBO]]*preçodiario[[#This Row],[estoque JV]],0)</f>
        <v>0</v>
      </c>
      <c r="BD142" t="str">
        <f>TEXT(vendaAno[[#This Row],[data]],"mmm")</f>
        <v>mai</v>
      </c>
      <c r="BE142" t="str">
        <f>TEXT(vendaAno[[#This Row],[data]],"ddd")</f>
        <v>qui</v>
      </c>
      <c r="BF142" s="82">
        <f>WEEKNUM(vendaAno[[#This Row],[data]],13)</f>
        <v>21</v>
      </c>
      <c r="BG142" s="27">
        <f>preçodiario[[#This Row],[data]]</f>
        <v>46163</v>
      </c>
      <c r="BH1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2" s="8">
        <f>IF(SUMIFS(estoque[valor total],estoque[fornecedor],"saída",estoque[data],vendaAno[[#This Row],[data]])=0,"",SUMIFS(estoque[valor total],estoque[fornecedor],"saída",estoque[data],vendaAno[[#This Row],[data]]))</f>
        <v>676</v>
      </c>
      <c r="BJ14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Row],[data]]))/12+BJ141,"")</f>
        <v>22.499999999999975</v>
      </c>
      <c r="BK142" s="79">
        <f ca="1">IF(TODAY()&gt;=vendaAno[[#This Row],[data]],IF(SUMIFS(estoque[quantidade],estoque[fornecedor],"saída",estoque[data],vendaAno[[#This Row],[data]])/12=0,AVERAGE(BK139:BK141),SUMIFS(estoque[quantidade],estoque[fornecedor],"saída",estoque[data],vendaAno[[#This Row],[data]])/12),"")</f>
        <v>2.6666666666666665</v>
      </c>
      <c r="BL142" s="8">
        <f ca="1">IF(vendaAno[[#This Row],[data]]&lt;=TODAY(),IF(SUMIFS(estoque[lucro],estoque[fornecedor],"saída",estoque[data],vendaAno[[#This Row],[data]])=0,AVERAGE(BL139:BL141),SUMIFS(estoque[lucro],estoque[fornecedor],"saída",estoque[data],vendaAno[[#This Row],[data]])),"")</f>
        <v>164.26000000000002</v>
      </c>
      <c r="BM142" s="10">
        <f ca="1">IFERROR(vendaAno[[#This Row],[lucro]]/vendaAno[[#This Row],[valor de venda]],"")</f>
        <v>0.24298816568047341</v>
      </c>
      <c r="BN14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4400.9868979073108</v>
      </c>
      <c r="BO142" s="8">
        <f ca="1">IF(TODAY()&gt;=vendaAno[[#This Row],[data]],IF(vendaAno[[#This Row],[N°]]=BF141,vendaAno[[#This Row],[lucro]]-173.33+BO141,vendaAno[[#This Row],[lucro]]-150),"")</f>
        <v>25.070000000000022</v>
      </c>
      <c r="BP142" s="81">
        <f ca="1">IF(TODAY()&gt;=vendaAno[[#This Row],[data]],SUM(BK136:BK142)*12,"")</f>
        <v>222</v>
      </c>
      <c r="BQ142" s="7">
        <f ca="1">IFERROR(vendaAno[[#This Row],[lucro]]/(vendaAno[[#This Row],[venda]]*12),"")</f>
        <v>5.1331250000000006</v>
      </c>
    </row>
    <row r="143" spans="1:69" x14ac:dyDescent="0.25">
      <c r="A1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3" s="18" t="str">
        <f>TEXT(preçodiario[[#This Row],[data]],"MMM")</f>
        <v>mai</v>
      </c>
      <c r="C143" s="18" t="str">
        <f>TEXT(preçodiario[[#This Row],[data]],"ddd")</f>
        <v>sex</v>
      </c>
      <c r="D143" s="96">
        <f>WEEKNUM(preçodiario[[#This Row],[data]],13)</f>
        <v>21</v>
      </c>
      <c r="E143" s="37">
        <v>46164</v>
      </c>
      <c r="F1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Row],[data]])),((F142*G142)+SUMIFS(estoque[valor total],estoque[produto],preçodiario[[#Headers],[OVO BRANCO A]],estoque[data],preçodiario[[#This Row],[data]],estoque[fornecedor],"&lt;&gt;saída"))/(G142+(SUMIFS(estoque[quantidade],estoque[produto],preçodiario[[#Headers],[OVO BRANCO A]],estoque[fornecedor],"&lt;&gt;saída",estoque[data],preçodiario[[#This Row],[data]])))))</f>
        <v>16.033528967142409</v>
      </c>
      <c r="G143" s="22">
        <f>IF(preçodiario[[#This Row],[entrada A]]=0,G142-(SUMIFS(estoque[quantidade],estoque[fornecedor],"saída",estoque[produto],preçodiario[[#Headers],[OVO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Row],[data]]))+G142+preçodiario[[#This Row],[entrada A]])</f>
        <v>56</v>
      </c>
      <c r="H143" s="22">
        <f>SUMIFS(estoque[quantidade],estoque[fornecedor],"&lt;&gt;saída",estoque[produto],preçodiario[[#Headers],[OVO BRANCO A]],estoque[data],preçodiario[[#This Row],[data]])</f>
        <v>0</v>
      </c>
      <c r="I143" s="20">
        <f>SUMIFS(estoque[valor total],estoque[fornecedor],"&lt;&gt;saída",estoque[produto],preçodiario[[#Headers],[OVO BRANCO A]],estoque[data],preçodiario[[#This Row],[data]])</f>
        <v>0</v>
      </c>
      <c r="J143" s="20">
        <f>IFERROR(preçodiario[[#This Row],[estoque A]]*preçodiario[[#This Row],[OVO BRANCO A]],0)</f>
        <v>897.87762215997486</v>
      </c>
      <c r="K1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Row],[data]])),((K142*L142)+SUMIFS(estoque[valor total],estoque[produto],preçodiario[[#Headers],[OVO BRANCO B]],estoque[data],preçodiario[[#This Row],[data]],estoque[fornecedor],"&lt;&gt;saída"))/(L142+(SUMIFS(estoque[quantidade],estoque[produto],preçodiario[[#Headers],[OVO BRANCO B]],estoque[fornecedor],"&lt;&gt;saída",estoque[data],preçodiario[[#This Row],[data]])))))</f>
        <v>15</v>
      </c>
      <c r="L143" s="22">
        <f>IF(preçodiario[[#This Row],[entrada B]]=0,L142-(SUMIFS(estoque[quantidade],estoque[fornecedor],"saída",estoque[produto],preçodiario[[#Headers],[OVO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Row],[data]]))+L142+preçodiario[[#This Row],[entrada B]])</f>
        <v>41</v>
      </c>
      <c r="M143" s="22">
        <f>SUMIFS(estoque[quantidade],estoque[fornecedor],"&lt;&gt;saída",estoque[produto],preçodiario[[#Headers],[OVO BRANCO B]],estoque[data],preçodiario[[#This Row],[data]])</f>
        <v>0</v>
      </c>
      <c r="N143" s="20">
        <f>SUMIFS(estoque[valor total],estoque[fornecedor],"&lt;&gt;saída",estoque[produto],preçodiario[[#Headers],[OVO BRANCO B]],estoque[data],preçodiario[[#This Row],[data]])</f>
        <v>0</v>
      </c>
      <c r="O143" s="20">
        <f>IFERROR(preçodiario[[#This Row],[OVO BRANCO B]]*preçodiario[[#This Row],[estoque B]],0)</f>
        <v>615</v>
      </c>
      <c r="P14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Row],[data]])),((P142*Q142)+SUMIFS(estoque[valor total],estoque[produto],preçodiario[[#Headers],[OVO BRANCO C]],estoque[data],preçodiario[[#This Row],[data]],estoque[fornecedor],"&lt;&gt;saída"))/(Q142+(SUMIFS(estoque[quantidade],estoque[produto],preçodiario[[#Headers],[OVO BRANCO C]],estoque[fornecedor],"&lt;&gt;saída",estoque[data],preçodiario[[#This Row],[data]])))))</f>
        <v/>
      </c>
      <c r="Q143" s="22">
        <f>IF(preçodiario[[#This Row],[entrada C]]=0,Q142-(SUMIFS(estoque[quantidade],estoque[fornecedor],"saída",estoque[produto],preçodiario[[#Headers],[OVO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Row],[data]]))+Q142+preçodiario[[#This Row],[entrada C]])</f>
        <v>0</v>
      </c>
      <c r="R143" s="22">
        <f>SUMIFS(estoque[quantidade],estoque[fornecedor],"&lt;&gt;saída",estoque[produto],preçodiario[[#Headers],[OVO BRANCO C]],estoque[data],preçodiario[[#This Row],[data]])</f>
        <v>0</v>
      </c>
      <c r="S143" s="20">
        <f>SUMIFS(estoque[valor total],estoque[fornecedor],"&lt;&gt;saída",estoque[produto],preçodiario[[#Headers],[OVO BRANCO C]],estoque[data],preçodiario[[#This Row],[data]])</f>
        <v>0</v>
      </c>
      <c r="T143" s="20">
        <f>IFERROR(preçodiario[[#This Row],[OVO BRANCO C]]*preçodiario[[#This Row],[estoque C]],0)</f>
        <v>0</v>
      </c>
      <c r="U1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Row],[data]])),((U142*V142)+SUMIFS(estoque[valor total],estoque[produto],preçodiario[[#Headers],[OVO BRANCO EXTRA]],estoque[data],preçodiario[[#This Row],[data]],estoque[fornecedor],"&lt;&gt;saída"))/(V142+(SUMIFS(estoque[quantidade],estoque[produto],preçodiario[[#Headers],[OVO BRANCO EXTRA]],estoque[fornecedor],"&lt;&gt;saída",estoque[data],preçodiario[[#This Row],[data]])))))</f>
        <v>16.466049382716051</v>
      </c>
      <c r="V143" s="22">
        <f>IF(preçodiario[[#This Row],[entrada E]]=0,V142-(SUMIFS(estoque[quantidade],estoque[fornecedor],"saída",estoque[produto],preçodiario[[#Headers],[OVO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Row],[data]]))+V142+preçodiario[[#This Row],[entrada E]])</f>
        <v>108</v>
      </c>
      <c r="W143" s="22">
        <f>SUMIFS(estoque[quantidade],estoque[fornecedor],"&lt;&gt;saída",estoque[produto],preçodiario[[#Headers],[OVO BRANCO EXTRA]],estoque[data],preçodiario[[#This Row],[data]])</f>
        <v>0</v>
      </c>
      <c r="X143" s="20">
        <f>SUMIFS(estoque[valor total],estoque[fornecedor],"&lt;&gt;saída",estoque[produto],preçodiario[[#Headers],[OVO BRANCO EXTRA]],estoque[data],preçodiario[[#This Row],[data]])</f>
        <v>0</v>
      </c>
      <c r="Y143" s="20">
        <f>IFERROR(preçodiario[[#This Row],[estoque E]]*preçodiario[[#This Row],[OVO BRANCO EXTRA]],0)</f>
        <v>1778.3333333333335</v>
      </c>
      <c r="Z1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Row],[data]])),((Z142*AA142)+SUMIFS(estoque[valor total],estoque[produto],preçodiario[[#Headers],[OVO BRANCO JUMBO]],estoque[data],preçodiario[[#This Row],[data]],estoque[fornecedor],"&lt;&gt;saída"))/(AA142+(SUMIFS(estoque[quantidade],estoque[produto],preçodiario[[#Headers],[OVO BRANCO JUMBO]],estoque[fornecedor],"&lt;&gt;saída",estoque[data],preçodiario[[#This Row],[data]])))))</f>
        <v>17.276785714285715</v>
      </c>
      <c r="AA143" s="22">
        <f>IF(preçodiario[[#This Row],[entrada J]]=0,AA142-(SUMIFS(estoque[quantidade],estoque[fornecedor],"saída",estoque[produto],preçodiario[[#Headers],[OVO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Row],[data]]))+AA142+preçodiario[[#This Row],[entrada J]])</f>
        <v>52</v>
      </c>
      <c r="AB143" s="22">
        <f>SUMIFS(estoque[quantidade],estoque[fornecedor],"&lt;&gt;saída",estoque[produto],preçodiario[[#Headers],[OVO BRANCO JUMBO]],estoque[data],preçodiario[[#This Row],[data]])</f>
        <v>0</v>
      </c>
      <c r="AC143" s="20">
        <f>SUMIFS(estoque[valor total],estoque[fornecedor],"&lt;&gt;saída",estoque[produto],preçodiario[[#Headers],[OVO BRANCO JUMBO]],estoque[data],preçodiario[[#This Row],[data]])</f>
        <v>0</v>
      </c>
      <c r="AD143" s="20">
        <f>IFERROR(preçodiario[[#This Row],[OVO BRANCO JUMBO]]*preçodiario[[#This Row],[estoque J]],0)</f>
        <v>898.39285714285722</v>
      </c>
      <c r="AE1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Row],[data]])),((AE142*AF142)+SUMIFS(estoque[valor total],estoque[produto],preçodiario[[#Headers],[OVO VERMELHO A]],estoque[data],preçodiario[[#This Row],[data]],estoque[fornecedor],"&lt;&gt;saída"))/(AF142+(SUMIFS(estoque[quantidade],estoque[produto],preçodiario[[#Headers],[OVO VERMELHO A]],estoque[fornecedor],"&lt;&gt;saída",estoque[data],preçodiario[[#This Row],[data]])))))</f>
        <v/>
      </c>
      <c r="AF143" s="22">
        <f>IF(preçodiario[[#This Row],[entrada AV]]=0,AF142-(SUMIFS(estoque[quantidade],estoque[fornecedor],"saída",estoque[produto],preçodiario[[#Headers],[OVO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Row],[data]]))+AF142+preçodiario[[#This Row],[entrada AV]])</f>
        <v>0</v>
      </c>
      <c r="AG143" s="22">
        <f>SUMIFS(estoque[quantidade],estoque[fornecedor],"&lt;&gt;saída",estoque[produto],preçodiario[[#Headers],[OVO VERMELHO A]],estoque[data],preçodiario[[#This Row],[data]])</f>
        <v>0</v>
      </c>
      <c r="AH143" s="20">
        <f>SUMIFS(estoque[valor total],estoque[fornecedor],"&lt;&gt;saída",estoque[produto],preçodiario[[#Headers],[OVO VERMELHO A]],estoque[data],preçodiario[[#This Row],[data]])</f>
        <v>0</v>
      </c>
      <c r="AI143" s="20">
        <f>IFERROR(preçodiario[[#This Row],[OVO VERMELHO A]]*preçodiario[[#This Row],[estoque AV]],0)</f>
        <v>0</v>
      </c>
      <c r="AJ1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Row],[data]])),((AJ142*AK142)+SUMIFS(estoque[valor total],estoque[produto],preçodiario[[#Headers],[OVO VERMELHO B]],estoque[data],preçodiario[[#This Row],[data]],estoque[fornecedor],"&lt;&gt;saída"))/(AK142+(SUMIFS(estoque[quantidade],estoque[produto],preçodiario[[#Headers],[OVO VERMELHO B]],estoque[fornecedor],"&lt;&gt;saída",estoque[data],preçodiario[[#This Row],[data]])))))</f>
        <v/>
      </c>
      <c r="AK143" s="22">
        <f>IF(preçodiario[[#This Row],[entrada BV]]=0,AK142-(SUMIFS(estoque[quantidade],estoque[fornecedor],"saída",estoque[produto],preçodiario[[#Headers],[OVO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Row],[data]]))+AK142+preçodiario[[#This Row],[entrada BV]])</f>
        <v>0</v>
      </c>
      <c r="AL143" s="22">
        <f>SUMIFS(estoque[quantidade],estoque[fornecedor],"&lt;&gt;saída",estoque[produto],preçodiario[[#Headers],[OVO VERMELHO B]],estoque[data],preçodiario[[#This Row],[data]])</f>
        <v>0</v>
      </c>
      <c r="AM143" s="20">
        <f>SUMIFS(estoque[valor total],estoque[fornecedor],"&lt;&gt;saída",estoque[produto],preçodiario[[#Headers],[OVO VERMELHO B]],estoque[data],preçodiario[[#This Row],[data]])</f>
        <v>0</v>
      </c>
      <c r="AN143" s="20">
        <f>IFERROR(preçodiario[[#This Row],[OVO VERMELHO B]]*preçodiario[[#This Row],[estoque BV]],0)</f>
        <v>0</v>
      </c>
      <c r="AO1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Row],[data]])),((AO142*AP142)+SUMIFS(estoque[valor total],estoque[produto],preçodiario[[#Headers],[OVO VERMELHO C]],estoque[data],preçodiario[[#This Row],[data]],estoque[fornecedor],"&lt;&gt;saída"))/(AP142+(SUMIFS(estoque[quantidade],estoque[produto],preçodiario[[#Headers],[OVO VERMELHO C]],estoque[fornecedor],"&lt;&gt;saída",estoque[data],preçodiario[[#This Row],[data]])))))</f>
        <v/>
      </c>
      <c r="AP143" s="22">
        <f>IF(preçodiario[[#This Row],[entrada CV]]=0,AP142-(SUMIFS(estoque[quantidade],estoque[fornecedor],"saída",estoque[produto],preçodiario[[#Headers],[OVO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Row],[data]]))+AP142+preçodiario[[#This Row],[entrada CV]])</f>
        <v>0</v>
      </c>
      <c r="AQ143" s="22">
        <f>SUMIFS(estoque[quantidade],estoque[fornecedor],"&lt;&gt;saída",estoque[produto],preçodiario[[#Headers],[OVO VERMELHO C]],estoque[data],preçodiario[[#This Row],[data]])</f>
        <v>0</v>
      </c>
      <c r="AR143" s="20">
        <f>SUMIFS(estoque[valor total],estoque[fornecedor],"&lt;&gt;saída",estoque[produto],preçodiario[[#Headers],[OVO VERMELHO C]],estoque[data],preçodiario[[#This Row],[data]])</f>
        <v>0</v>
      </c>
      <c r="AS143" s="20">
        <f>IFERROR(preçodiario[[#This Row],[OVO VERMELHO C]]*preçodiario[[#This Row],[estoque CV]],0)</f>
        <v>0</v>
      </c>
      <c r="AT1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Row],[data]])),((AT142*AU142)+SUMIFS(estoque[valor total],estoque[produto],preçodiario[[#Headers],[OVO VERMELHO EXTRA]],estoque[data],preçodiario[[#This Row],[data]],estoque[fornecedor],"&lt;&gt;saída"))/(AU142+(SUMIFS(estoque[quantidade],estoque[produto],preçodiario[[#Headers],[OVO VERMELHO EXTRA]],estoque[fornecedor],"&lt;&gt;saída",estoque[data],preçodiario[[#This Row],[data]])))))</f>
        <v/>
      </c>
      <c r="AU143" s="22">
        <f>IF(preçodiario[[#This Row],[entrada EV]]=0,AU142-(SUMIFS(estoque[quantidade],estoque[fornecedor],"saída",estoque[produto],preçodiario[[#Headers],[OVO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Row],[data]]))+AU142+preçodiario[[#This Row],[entrada EV]])</f>
        <v>0</v>
      </c>
      <c r="AV143" s="22">
        <f>SUMIFS(estoque[quantidade],estoque[fornecedor],"&lt;&gt;saída",estoque[produto],preçodiario[[#Headers],[OVO VERMELHO EXTRA]],estoque[data],preçodiario[[#This Row],[data]])</f>
        <v>0</v>
      </c>
      <c r="AW143" s="20">
        <f>SUMIFS(estoque[valor total],estoque[fornecedor],"&lt;&gt;saída",estoque[produto],preçodiario[[#Headers],[OVO VERMELHO EXTRA]],estoque[data],preçodiario[[#This Row],[data]])</f>
        <v>0</v>
      </c>
      <c r="AX143" s="20">
        <f>IFERROR(preçodiario[[#This Row],[OVO VERMELHO EXTRA]]*preçodiario[[#This Row],[estoque EV]],0)</f>
        <v>0</v>
      </c>
      <c r="AY1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Row],[data]])),((AY142*AZ142)+SUMIFS(estoque[valor total],estoque[produto],preçodiario[[#Headers],[OVO VERMELHO JUMBO]],estoque[data],preçodiario[[#This Row],[data]],estoque[fornecedor],"&lt;&gt;saída"))/(AZ142+(SUMIFS(estoque[quantidade],estoque[produto],preçodiario[[#Headers],[OVO VERMELHO JUMBO]],estoque[fornecedor],"&lt;&gt;saída",estoque[data],preçodiario[[#This Row],[data]])))))</f>
        <v/>
      </c>
      <c r="AZ143" s="22">
        <f>IF(preçodiario[[#This Row],[entrada JV]]=0,AZ142-(SUMIFS(estoque[quantidade],estoque[fornecedor],"saída",estoque[produto],preçodiario[[#Headers],[OVO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Row],[data]]))+AZ142+preçodiario[[#This Row],[entrada JV]])</f>
        <v>0</v>
      </c>
      <c r="BA143" s="22">
        <f>SUMIFS(estoque[quantidade],estoque[fornecedor],"&lt;&gt;saída",estoque[produto],preçodiario[[#Headers],[OVO VERMELHO JUMBO]],estoque[data],preçodiario[[#This Row],[data]])</f>
        <v>0</v>
      </c>
      <c r="BB143" s="20">
        <f>SUMIFS(estoque[valor total],estoque[fornecedor],"&lt;&gt;saída",estoque[produto],preçodiario[[#Headers],[OVO VERMELHO JUMBO]],estoque[data],preçodiario[[#This Row],[data]])</f>
        <v>0</v>
      </c>
      <c r="BC143" s="20">
        <f>IFERROR(preçodiario[[#This Row],[OVO VERMELHO JUMBO]]*preçodiario[[#This Row],[estoque JV]],0)</f>
        <v>0</v>
      </c>
      <c r="BD143" t="str">
        <f>TEXT(vendaAno[[#This Row],[data]],"mmm")</f>
        <v>mai</v>
      </c>
      <c r="BE143" t="str">
        <f>TEXT(vendaAno[[#This Row],[data]],"ddd")</f>
        <v>sex</v>
      </c>
      <c r="BF143" s="82">
        <f>WEEKNUM(vendaAno[[#This Row],[data]],13)</f>
        <v>21</v>
      </c>
      <c r="BG143" s="27">
        <f>preçodiario[[#This Row],[data]]</f>
        <v>46164</v>
      </c>
      <c r="BH1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3" s="8">
        <f>IF(SUMIFS(estoque[valor total],estoque[fornecedor],"saída",estoque[data],vendaAno[[#This Row],[data]])=0,"",SUMIFS(estoque[valor total],estoque[fornecedor],"saída",estoque[data],vendaAno[[#This Row],[data]]))</f>
        <v>281</v>
      </c>
      <c r="BJ14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Row],[data]]))/12+BJ142,"")</f>
        <v>21.416666666666643</v>
      </c>
      <c r="BK143" s="79">
        <f ca="1">IF(TODAY()&gt;=vendaAno[[#This Row],[data]],IF(SUMIFS(estoque[quantidade],estoque[fornecedor],"saída",estoque[data],vendaAno[[#This Row],[data]])/12=0,AVERAGE(BK140:BK142),SUMIFS(estoque[quantidade],estoque[fornecedor],"saída",estoque[data],vendaAno[[#This Row],[data]])/12),"")</f>
        <v>1.0833333333333333</v>
      </c>
      <c r="BL143" s="8">
        <f ca="1">IF(vendaAno[[#This Row],[data]]&lt;=TODAY(),IF(SUMIFS(estoque[lucro],estoque[fornecedor],"saída",estoque[data],vendaAno[[#This Row],[data]])=0,AVERAGE(BL140:BL142),SUMIFS(estoque[lucro],estoque[fornecedor],"saída",estoque[data],vendaAno[[#This Row],[data]])),"")</f>
        <v>69.62</v>
      </c>
      <c r="BM143" s="10">
        <f ca="1">IFERROR(vendaAno[[#This Row],[lucro]]/vendaAno[[#This Row],[valor de venda]],"")</f>
        <v>0.24775800711743773</v>
      </c>
      <c r="BN14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4189.6038126361655</v>
      </c>
      <c r="BO143" s="8">
        <f ca="1">IF(TODAY()&gt;=vendaAno[[#This Row],[data]],IF(vendaAno[[#This Row],[N°]]=BF142,vendaAno[[#This Row],[lucro]]-173.33+BO142,vendaAno[[#This Row],[lucro]]-150),"")</f>
        <v>-78.639999999999986</v>
      </c>
      <c r="BP143" s="81">
        <f ca="1">IF(TODAY()&gt;=vendaAno[[#This Row],[data]],SUM(BK137:BK143)*12,"")</f>
        <v>195</v>
      </c>
      <c r="BQ143" s="7">
        <f ca="1">IFERROR(vendaAno[[#This Row],[lucro]]/(vendaAno[[#This Row],[venda]]*12),"")</f>
        <v>5.3553846153846161</v>
      </c>
    </row>
    <row r="144" spans="1:69" x14ac:dyDescent="0.25">
      <c r="A1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4" s="18" t="str">
        <f>TEXT(preçodiario[[#This Row],[data]],"MMM")</f>
        <v>mai</v>
      </c>
      <c r="C144" s="18" t="str">
        <f>TEXT(preçodiario[[#This Row],[data]],"ddd")</f>
        <v>sáb</v>
      </c>
      <c r="D144" s="96">
        <f>WEEKNUM(preçodiario[[#This Row],[data]],13)</f>
        <v>21</v>
      </c>
      <c r="E144" s="37">
        <v>46165</v>
      </c>
      <c r="F1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Row],[data]])),((F143*G143)+SUMIFS(estoque[valor total],estoque[produto],preçodiario[[#Headers],[OVO BRANCO A]],estoque[data],preçodiario[[#This Row],[data]],estoque[fornecedor],"&lt;&gt;saída"))/(G143+(SUMIFS(estoque[quantidade],estoque[produto],preçodiario[[#Headers],[OVO BRANCO A]],estoque[fornecedor],"&lt;&gt;saída",estoque[data],preçodiario[[#This Row],[data]])))))</f>
        <v>16.033528967142409</v>
      </c>
      <c r="G144" s="22">
        <f>IF(preçodiario[[#This Row],[entrada A]]=0,G143-(SUMIFS(estoque[quantidade],estoque[fornecedor],"saída",estoque[produto],preçodiario[[#Headers],[OVO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Row],[data]]))+G143+preçodiario[[#This Row],[entrada A]])</f>
        <v>55</v>
      </c>
      <c r="H144" s="22">
        <f>SUMIFS(estoque[quantidade],estoque[fornecedor],"&lt;&gt;saída",estoque[produto],preçodiario[[#Headers],[OVO BRANCO A]],estoque[data],preçodiario[[#This Row],[data]])</f>
        <v>0</v>
      </c>
      <c r="I144" s="20">
        <f>SUMIFS(estoque[valor total],estoque[fornecedor],"&lt;&gt;saída",estoque[produto],preçodiario[[#Headers],[OVO BRANCO A]],estoque[data],preçodiario[[#This Row],[data]])</f>
        <v>0</v>
      </c>
      <c r="J144" s="20">
        <f>IFERROR(preçodiario[[#This Row],[estoque A]]*preçodiario[[#This Row],[OVO BRANCO A]],0)</f>
        <v>881.84409319283247</v>
      </c>
      <c r="K1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Row],[data]])),((K143*L143)+SUMIFS(estoque[valor total],estoque[produto],preçodiario[[#Headers],[OVO BRANCO B]],estoque[data],preçodiario[[#This Row],[data]],estoque[fornecedor],"&lt;&gt;saída"))/(L143+(SUMIFS(estoque[quantidade],estoque[produto],preçodiario[[#Headers],[OVO BRANCO B]],estoque[fornecedor],"&lt;&gt;saída",estoque[data],preçodiario[[#This Row],[data]])))))</f>
        <v>15</v>
      </c>
      <c r="L144" s="22">
        <f>IF(preçodiario[[#This Row],[entrada B]]=0,L143-(SUMIFS(estoque[quantidade],estoque[fornecedor],"saída",estoque[produto],preçodiario[[#Headers],[OVO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Row],[data]]))+L143+preçodiario[[#This Row],[entrada B]])</f>
        <v>35</v>
      </c>
      <c r="M144" s="22">
        <f>SUMIFS(estoque[quantidade],estoque[fornecedor],"&lt;&gt;saída",estoque[produto],preçodiario[[#Headers],[OVO BRANCO B]],estoque[data],preçodiario[[#This Row],[data]])</f>
        <v>0</v>
      </c>
      <c r="N144" s="20">
        <f>SUMIFS(estoque[valor total],estoque[fornecedor],"&lt;&gt;saída",estoque[produto],preçodiario[[#Headers],[OVO BRANCO B]],estoque[data],preçodiario[[#This Row],[data]])</f>
        <v>0</v>
      </c>
      <c r="O144" s="20">
        <f>IFERROR(preçodiario[[#This Row],[OVO BRANCO B]]*preçodiario[[#This Row],[estoque B]],0)</f>
        <v>525</v>
      </c>
      <c r="P14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Row],[data]])),((P143*Q143)+SUMIFS(estoque[valor total],estoque[produto],preçodiario[[#Headers],[OVO BRANCO C]],estoque[data],preçodiario[[#This Row],[data]],estoque[fornecedor],"&lt;&gt;saída"))/(Q143+(SUMIFS(estoque[quantidade],estoque[produto],preçodiario[[#Headers],[OVO BRANCO C]],estoque[fornecedor],"&lt;&gt;saída",estoque[data],preçodiario[[#This Row],[data]])))))</f>
        <v/>
      </c>
      <c r="Q144" s="22">
        <f>IF(preçodiario[[#This Row],[entrada C]]=0,Q143-(SUMIFS(estoque[quantidade],estoque[fornecedor],"saída",estoque[produto],preçodiario[[#Headers],[OVO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Row],[data]]))+Q143+preçodiario[[#This Row],[entrada C]])</f>
        <v>0</v>
      </c>
      <c r="R144" s="22">
        <f>SUMIFS(estoque[quantidade],estoque[fornecedor],"&lt;&gt;saída",estoque[produto],preçodiario[[#Headers],[OVO BRANCO C]],estoque[data],preçodiario[[#This Row],[data]])</f>
        <v>0</v>
      </c>
      <c r="S144" s="20">
        <f>SUMIFS(estoque[valor total],estoque[fornecedor],"&lt;&gt;saída",estoque[produto],preçodiario[[#Headers],[OVO BRANCO C]],estoque[data],preçodiario[[#This Row],[data]])</f>
        <v>0</v>
      </c>
      <c r="T144" s="20">
        <f>IFERROR(preçodiario[[#This Row],[OVO BRANCO C]]*preçodiario[[#This Row],[estoque C]],0)</f>
        <v>0</v>
      </c>
      <c r="U1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Row],[data]])),((U143*V143)+SUMIFS(estoque[valor total],estoque[produto],preçodiario[[#Headers],[OVO BRANCO EXTRA]],estoque[data],preçodiario[[#This Row],[data]],estoque[fornecedor],"&lt;&gt;saída"))/(V143+(SUMIFS(estoque[quantidade],estoque[produto],preçodiario[[#Headers],[OVO BRANCO EXTRA]],estoque[fornecedor],"&lt;&gt;saída",estoque[data],preçodiario[[#This Row],[data]])))))</f>
        <v>16.466049382716051</v>
      </c>
      <c r="V144" s="22">
        <f>IF(preçodiario[[#This Row],[entrada E]]=0,V143-(SUMIFS(estoque[quantidade],estoque[fornecedor],"saída",estoque[produto],preçodiario[[#Headers],[OVO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Row],[data]]))+V143+preçodiario[[#This Row],[entrada E]])</f>
        <v>101</v>
      </c>
      <c r="W144" s="22">
        <f>SUMIFS(estoque[quantidade],estoque[fornecedor],"&lt;&gt;saída",estoque[produto],preçodiario[[#Headers],[OVO BRANCO EXTRA]],estoque[data],preçodiario[[#This Row],[data]])</f>
        <v>0</v>
      </c>
      <c r="X144" s="20">
        <f>SUMIFS(estoque[valor total],estoque[fornecedor],"&lt;&gt;saída",estoque[produto],preçodiario[[#Headers],[OVO BRANCO EXTRA]],estoque[data],preçodiario[[#This Row],[data]])</f>
        <v>0</v>
      </c>
      <c r="Y144" s="20">
        <f>IFERROR(preçodiario[[#This Row],[estoque E]]*preçodiario[[#This Row],[OVO BRANCO EXTRA]],0)</f>
        <v>1663.070987654321</v>
      </c>
      <c r="Z1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Row],[data]])),((Z143*AA143)+SUMIFS(estoque[valor total],estoque[produto],preçodiario[[#Headers],[OVO BRANCO JUMBO]],estoque[data],preçodiario[[#This Row],[data]],estoque[fornecedor],"&lt;&gt;saída"))/(AA143+(SUMIFS(estoque[quantidade],estoque[produto],preçodiario[[#Headers],[OVO BRANCO JUMBO]],estoque[fornecedor],"&lt;&gt;saída",estoque[data],preçodiario[[#This Row],[data]])))))</f>
        <v>17.276785714285715</v>
      </c>
      <c r="AA144" s="22">
        <f>IF(preçodiario[[#This Row],[entrada J]]=0,AA143-(SUMIFS(estoque[quantidade],estoque[fornecedor],"saída",estoque[produto],preçodiario[[#Headers],[OVO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Row],[data]]))+AA143+preçodiario[[#This Row],[entrada J]])</f>
        <v>47</v>
      </c>
      <c r="AB144" s="22">
        <f>SUMIFS(estoque[quantidade],estoque[fornecedor],"&lt;&gt;saída",estoque[produto],preçodiario[[#Headers],[OVO BRANCO JUMBO]],estoque[data],preçodiario[[#This Row],[data]])</f>
        <v>0</v>
      </c>
      <c r="AC144" s="20">
        <f>SUMIFS(estoque[valor total],estoque[fornecedor],"&lt;&gt;saída",estoque[produto],preçodiario[[#Headers],[OVO BRANCO JUMBO]],estoque[data],preçodiario[[#This Row],[data]])</f>
        <v>0</v>
      </c>
      <c r="AD144" s="20">
        <f>IFERROR(preçodiario[[#This Row],[OVO BRANCO JUMBO]]*preçodiario[[#This Row],[estoque J]],0)</f>
        <v>812.00892857142867</v>
      </c>
      <c r="AE1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Row],[data]])),((AE143*AF143)+SUMIFS(estoque[valor total],estoque[produto],preçodiario[[#Headers],[OVO VERMELHO A]],estoque[data],preçodiario[[#This Row],[data]],estoque[fornecedor],"&lt;&gt;saída"))/(AF143+(SUMIFS(estoque[quantidade],estoque[produto],preçodiario[[#Headers],[OVO VERMELHO A]],estoque[fornecedor],"&lt;&gt;saída",estoque[data],preçodiario[[#This Row],[data]])))))</f>
        <v/>
      </c>
      <c r="AF144" s="22">
        <f>IF(preçodiario[[#This Row],[entrada AV]]=0,AF143-(SUMIFS(estoque[quantidade],estoque[fornecedor],"saída",estoque[produto],preçodiario[[#Headers],[OVO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Row],[data]]))+AF143+preçodiario[[#This Row],[entrada AV]])</f>
        <v>0</v>
      </c>
      <c r="AG144" s="22">
        <f>SUMIFS(estoque[quantidade],estoque[fornecedor],"&lt;&gt;saída",estoque[produto],preçodiario[[#Headers],[OVO VERMELHO A]],estoque[data],preçodiario[[#This Row],[data]])</f>
        <v>0</v>
      </c>
      <c r="AH144" s="20">
        <f>SUMIFS(estoque[valor total],estoque[fornecedor],"&lt;&gt;saída",estoque[produto],preçodiario[[#Headers],[OVO VERMELHO A]],estoque[data],preçodiario[[#This Row],[data]])</f>
        <v>0</v>
      </c>
      <c r="AI144" s="20">
        <f>IFERROR(preçodiario[[#This Row],[OVO VERMELHO A]]*preçodiario[[#This Row],[estoque AV]],0)</f>
        <v>0</v>
      </c>
      <c r="AJ1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Row],[data]])),((AJ143*AK143)+SUMIFS(estoque[valor total],estoque[produto],preçodiario[[#Headers],[OVO VERMELHO B]],estoque[data],preçodiario[[#This Row],[data]],estoque[fornecedor],"&lt;&gt;saída"))/(AK143+(SUMIFS(estoque[quantidade],estoque[produto],preçodiario[[#Headers],[OVO VERMELHO B]],estoque[fornecedor],"&lt;&gt;saída",estoque[data],preçodiario[[#This Row],[data]])))))</f>
        <v/>
      </c>
      <c r="AK144" s="22">
        <f>IF(preçodiario[[#This Row],[entrada BV]]=0,AK143-(SUMIFS(estoque[quantidade],estoque[fornecedor],"saída",estoque[produto],preçodiario[[#Headers],[OVO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Row],[data]]))+AK143+preçodiario[[#This Row],[entrada BV]])</f>
        <v>0</v>
      </c>
      <c r="AL144" s="22">
        <f>SUMIFS(estoque[quantidade],estoque[fornecedor],"&lt;&gt;saída",estoque[produto],preçodiario[[#Headers],[OVO VERMELHO B]],estoque[data],preçodiario[[#This Row],[data]])</f>
        <v>0</v>
      </c>
      <c r="AM144" s="20">
        <f>SUMIFS(estoque[valor total],estoque[fornecedor],"&lt;&gt;saída",estoque[produto],preçodiario[[#Headers],[OVO VERMELHO B]],estoque[data],preçodiario[[#This Row],[data]])</f>
        <v>0</v>
      </c>
      <c r="AN144" s="20">
        <f>IFERROR(preçodiario[[#This Row],[OVO VERMELHO B]]*preçodiario[[#This Row],[estoque BV]],0)</f>
        <v>0</v>
      </c>
      <c r="AO1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Row],[data]])),((AO143*AP143)+SUMIFS(estoque[valor total],estoque[produto],preçodiario[[#Headers],[OVO VERMELHO C]],estoque[data],preçodiario[[#This Row],[data]],estoque[fornecedor],"&lt;&gt;saída"))/(AP143+(SUMIFS(estoque[quantidade],estoque[produto],preçodiario[[#Headers],[OVO VERMELHO C]],estoque[fornecedor],"&lt;&gt;saída",estoque[data],preçodiario[[#This Row],[data]])))))</f>
        <v/>
      </c>
      <c r="AP144" s="22">
        <f>IF(preçodiario[[#This Row],[entrada CV]]=0,AP143-(SUMIFS(estoque[quantidade],estoque[fornecedor],"saída",estoque[produto],preçodiario[[#Headers],[OVO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Row],[data]]))+AP143+preçodiario[[#This Row],[entrada CV]])</f>
        <v>0</v>
      </c>
      <c r="AQ144" s="22">
        <f>SUMIFS(estoque[quantidade],estoque[fornecedor],"&lt;&gt;saída",estoque[produto],preçodiario[[#Headers],[OVO VERMELHO C]],estoque[data],preçodiario[[#This Row],[data]])</f>
        <v>0</v>
      </c>
      <c r="AR144" s="20">
        <f>SUMIFS(estoque[valor total],estoque[fornecedor],"&lt;&gt;saída",estoque[produto],preçodiario[[#Headers],[OVO VERMELHO C]],estoque[data],preçodiario[[#This Row],[data]])</f>
        <v>0</v>
      </c>
      <c r="AS144" s="20">
        <f>IFERROR(preçodiario[[#This Row],[OVO VERMELHO C]]*preçodiario[[#This Row],[estoque CV]],0)</f>
        <v>0</v>
      </c>
      <c r="AT1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Row],[data]])),((AT143*AU143)+SUMIFS(estoque[valor total],estoque[produto],preçodiario[[#Headers],[OVO VERMELHO EXTRA]],estoque[data],preçodiario[[#This Row],[data]],estoque[fornecedor],"&lt;&gt;saída"))/(AU143+(SUMIFS(estoque[quantidade],estoque[produto],preçodiario[[#Headers],[OVO VERMELHO EXTRA]],estoque[fornecedor],"&lt;&gt;saída",estoque[data],preçodiario[[#This Row],[data]])))))</f>
        <v/>
      </c>
      <c r="AU144" s="22">
        <f>IF(preçodiario[[#This Row],[entrada EV]]=0,AU143-(SUMIFS(estoque[quantidade],estoque[fornecedor],"saída",estoque[produto],preçodiario[[#Headers],[OVO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Row],[data]]))+AU143+preçodiario[[#This Row],[entrada EV]])</f>
        <v>0</v>
      </c>
      <c r="AV144" s="22">
        <f>SUMIFS(estoque[quantidade],estoque[fornecedor],"&lt;&gt;saída",estoque[produto],preçodiario[[#Headers],[OVO VERMELHO EXTRA]],estoque[data],preçodiario[[#This Row],[data]])</f>
        <v>0</v>
      </c>
      <c r="AW144" s="20">
        <f>SUMIFS(estoque[valor total],estoque[fornecedor],"&lt;&gt;saída",estoque[produto],preçodiario[[#Headers],[OVO VERMELHO EXTRA]],estoque[data],preçodiario[[#This Row],[data]])</f>
        <v>0</v>
      </c>
      <c r="AX144" s="20">
        <f>IFERROR(preçodiario[[#This Row],[OVO VERMELHO EXTRA]]*preçodiario[[#This Row],[estoque EV]],0)</f>
        <v>0</v>
      </c>
      <c r="AY1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Row],[data]])),((AY143*AZ143)+SUMIFS(estoque[valor total],estoque[produto],preçodiario[[#Headers],[OVO VERMELHO JUMBO]],estoque[data],preçodiario[[#This Row],[data]],estoque[fornecedor],"&lt;&gt;saída"))/(AZ143+(SUMIFS(estoque[quantidade],estoque[produto],preçodiario[[#Headers],[OVO VERMELHO JUMBO]],estoque[fornecedor],"&lt;&gt;saída",estoque[data],preçodiario[[#This Row],[data]])))))</f>
        <v/>
      </c>
      <c r="AZ144" s="22">
        <f>IF(preçodiario[[#This Row],[entrada JV]]=0,AZ143-(SUMIFS(estoque[quantidade],estoque[fornecedor],"saída",estoque[produto],preçodiario[[#Headers],[OVO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Row],[data]]))+AZ143+preçodiario[[#This Row],[entrada JV]])</f>
        <v>0</v>
      </c>
      <c r="BA144" s="22">
        <f>SUMIFS(estoque[quantidade],estoque[fornecedor],"&lt;&gt;saída",estoque[produto],preçodiario[[#Headers],[OVO VERMELHO JUMBO]],estoque[data],preçodiario[[#This Row],[data]])</f>
        <v>0</v>
      </c>
      <c r="BB144" s="20">
        <f>SUMIFS(estoque[valor total],estoque[fornecedor],"&lt;&gt;saída",estoque[produto],preçodiario[[#Headers],[OVO VERMELHO JUMBO]],estoque[data],preçodiario[[#This Row],[data]])</f>
        <v>0</v>
      </c>
      <c r="BC144" s="20">
        <f>IFERROR(preçodiario[[#This Row],[OVO VERMELHO JUMBO]]*preçodiario[[#This Row],[estoque JV]],0)</f>
        <v>0</v>
      </c>
      <c r="BD144" t="str">
        <f>TEXT(vendaAno[[#This Row],[data]],"mmm")</f>
        <v>mai</v>
      </c>
      <c r="BE144" t="str">
        <f>TEXT(vendaAno[[#This Row],[data]],"ddd")</f>
        <v>sáb</v>
      </c>
      <c r="BF144" s="82">
        <f>WEEKNUM(vendaAno[[#This Row],[data]],13)</f>
        <v>21</v>
      </c>
      <c r="BG144" s="27">
        <f>preçodiario[[#This Row],[data]]</f>
        <v>46165</v>
      </c>
      <c r="BH1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4" s="8">
        <f>IF(SUMIFS(estoque[valor total],estoque[fornecedor],"saída",estoque[data],vendaAno[[#This Row],[data]])=0,"",SUMIFS(estoque[valor total],estoque[fornecedor],"saída",estoque[data],vendaAno[[#This Row],[data]]))</f>
        <v>410</v>
      </c>
      <c r="BJ14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Row],[data]]))/12+BJ143,"")</f>
        <v>19.833333333333311</v>
      </c>
      <c r="BK144" s="79">
        <f ca="1">IF(TODAY()&gt;=vendaAno[[#This Row],[data]],IF(SUMIFS(estoque[quantidade],estoque[fornecedor],"saída",estoque[data],vendaAno[[#This Row],[data]])/12=0,AVERAGE(BK141:BK143),SUMIFS(estoque[quantidade],estoque[fornecedor],"saída",estoque[data],vendaAno[[#This Row],[data]])/12),"")</f>
        <v>1.5833333333333333</v>
      </c>
      <c r="BL144" s="8">
        <f ca="1">IF(vendaAno[[#This Row],[data]]&lt;=TODAY(),IF(SUMIFS(estoque[lucro],estoque[fornecedor],"saída",estoque[data],vendaAno[[#This Row],[data]])=0,AVERAGE(BL141:BL143),SUMIFS(estoque[lucro],estoque[fornecedor],"saída",estoque[data],vendaAno[[#This Row],[data]])),"")</f>
        <v>102.33</v>
      </c>
      <c r="BM144" s="10">
        <f ca="1">IFERROR(vendaAno[[#This Row],[lucro]]/vendaAno[[#This Row],[valor de venda]],"")</f>
        <v>0.24958536585365854</v>
      </c>
      <c r="BN14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3881.9240094185825</v>
      </c>
      <c r="BO144" s="8">
        <f ca="1">IF(TODAY()&gt;=vendaAno[[#This Row],[data]],IF(vendaAno[[#This Row],[N°]]=BF143,vendaAno[[#This Row],[lucro]]-173.33+BO143,vendaAno[[#This Row],[lucro]]-150),"")</f>
        <v>-149.63999999999999</v>
      </c>
      <c r="BP144" s="81">
        <f ca="1">IF(TODAY()&gt;=vendaAno[[#This Row],[data]],SUM(BK138:BK144)*12,"")</f>
        <v>198</v>
      </c>
      <c r="BQ144" s="7">
        <f ca="1">IFERROR(vendaAno[[#This Row],[lucro]]/(vendaAno[[#This Row],[venda]]*12),"")</f>
        <v>5.38578947368421</v>
      </c>
    </row>
    <row r="145" spans="1:69" x14ac:dyDescent="0.25">
      <c r="A1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5" s="18" t="str">
        <f>TEXT(preçodiario[[#This Row],[data]],"MMM")</f>
        <v>mai</v>
      </c>
      <c r="C145" s="18" t="str">
        <f>TEXT(preçodiario[[#This Row],[data]],"ddd")</f>
        <v>dom</v>
      </c>
      <c r="D145" s="96">
        <f>WEEKNUM(preçodiario[[#This Row],[data]],13)</f>
        <v>21</v>
      </c>
      <c r="E145" s="37">
        <v>46166</v>
      </c>
      <c r="F1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Row],[data]])),((F144*G144)+SUMIFS(estoque[valor total],estoque[produto],preçodiario[[#Headers],[OVO BRANCO A]],estoque[data],preçodiario[[#This Row],[data]],estoque[fornecedor],"&lt;&gt;saída"))/(G144+(SUMIFS(estoque[quantidade],estoque[produto],preçodiario[[#Headers],[OVO BRANCO A]],estoque[fornecedor],"&lt;&gt;saída",estoque[data],preçodiario[[#This Row],[data]])))))</f>
        <v>16.033528967142409</v>
      </c>
      <c r="G145" s="22">
        <f>IF(preçodiario[[#This Row],[entrada A]]=0,G144-(SUMIFS(estoque[quantidade],estoque[fornecedor],"saída",estoque[produto],preçodiario[[#Headers],[OVO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Row],[data]]))+G144+preçodiario[[#This Row],[entrada A]])</f>
        <v>38</v>
      </c>
      <c r="H145" s="22">
        <f>SUMIFS(estoque[quantidade],estoque[fornecedor],"&lt;&gt;saída",estoque[produto],preçodiario[[#Headers],[OVO BRANCO A]],estoque[data],preçodiario[[#This Row],[data]])</f>
        <v>0</v>
      </c>
      <c r="I145" s="20">
        <f>SUMIFS(estoque[valor total],estoque[fornecedor],"&lt;&gt;saída",estoque[produto],preçodiario[[#Headers],[OVO BRANCO A]],estoque[data],preçodiario[[#This Row],[data]])</f>
        <v>0</v>
      </c>
      <c r="J145" s="20">
        <f>IFERROR(preçodiario[[#This Row],[estoque A]]*preçodiario[[#This Row],[OVO BRANCO A]],0)</f>
        <v>609.27410075141154</v>
      </c>
      <c r="K1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Row],[data]])),((K144*L144)+SUMIFS(estoque[valor total],estoque[produto],preçodiario[[#Headers],[OVO BRANCO B]],estoque[data],preçodiario[[#This Row],[data]],estoque[fornecedor],"&lt;&gt;saída"))/(L144+(SUMIFS(estoque[quantidade],estoque[produto],preçodiario[[#Headers],[OVO BRANCO B]],estoque[fornecedor],"&lt;&gt;saída",estoque[data],preçodiario[[#This Row],[data]])))))</f>
        <v>15</v>
      </c>
      <c r="L145" s="22">
        <f>IF(preçodiario[[#This Row],[entrada B]]=0,L144-(SUMIFS(estoque[quantidade],estoque[fornecedor],"saída",estoque[produto],preçodiario[[#Headers],[OVO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Row],[data]]))+L144+preçodiario[[#This Row],[entrada B]])</f>
        <v>26</v>
      </c>
      <c r="M145" s="22">
        <f>SUMIFS(estoque[quantidade],estoque[fornecedor],"&lt;&gt;saída",estoque[produto],preçodiario[[#Headers],[OVO BRANCO B]],estoque[data],preçodiario[[#This Row],[data]])</f>
        <v>0</v>
      </c>
      <c r="N145" s="20">
        <f>SUMIFS(estoque[valor total],estoque[fornecedor],"&lt;&gt;saída",estoque[produto],preçodiario[[#Headers],[OVO BRANCO B]],estoque[data],preçodiario[[#This Row],[data]])</f>
        <v>0</v>
      </c>
      <c r="O145" s="20">
        <f>IFERROR(preçodiario[[#This Row],[OVO BRANCO B]]*preçodiario[[#This Row],[estoque B]],0)</f>
        <v>390</v>
      </c>
      <c r="P14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Row],[data]])),((P144*Q144)+SUMIFS(estoque[valor total],estoque[produto],preçodiario[[#Headers],[OVO BRANCO C]],estoque[data],preçodiario[[#This Row],[data]],estoque[fornecedor],"&lt;&gt;saída"))/(Q144+(SUMIFS(estoque[quantidade],estoque[produto],preçodiario[[#Headers],[OVO BRANCO C]],estoque[fornecedor],"&lt;&gt;saída",estoque[data],preçodiario[[#This Row],[data]])))))</f>
        <v/>
      </c>
      <c r="Q145" s="22">
        <f>IF(preçodiario[[#This Row],[entrada C]]=0,Q144-(SUMIFS(estoque[quantidade],estoque[fornecedor],"saída",estoque[produto],preçodiario[[#Headers],[OVO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Row],[data]]))+Q144+preçodiario[[#This Row],[entrada C]])</f>
        <v>0</v>
      </c>
      <c r="R145" s="22">
        <f>SUMIFS(estoque[quantidade],estoque[fornecedor],"&lt;&gt;saída",estoque[produto],preçodiario[[#Headers],[OVO BRANCO C]],estoque[data],preçodiario[[#This Row],[data]])</f>
        <v>0</v>
      </c>
      <c r="S145" s="20">
        <f>SUMIFS(estoque[valor total],estoque[fornecedor],"&lt;&gt;saída",estoque[produto],preçodiario[[#Headers],[OVO BRANCO C]],estoque[data],preçodiario[[#This Row],[data]])</f>
        <v>0</v>
      </c>
      <c r="T145" s="20">
        <f>IFERROR(preçodiario[[#This Row],[OVO BRANCO C]]*preçodiario[[#This Row],[estoque C]],0)</f>
        <v>0</v>
      </c>
      <c r="U1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Row],[data]])),((U144*V144)+SUMIFS(estoque[valor total],estoque[produto],preçodiario[[#Headers],[OVO BRANCO EXTRA]],estoque[data],preçodiario[[#This Row],[data]],estoque[fornecedor],"&lt;&gt;saída"))/(V144+(SUMIFS(estoque[quantidade],estoque[produto],preçodiario[[#Headers],[OVO BRANCO EXTRA]],estoque[fornecedor],"&lt;&gt;saída",estoque[data],preçodiario[[#This Row],[data]])))))</f>
        <v>16.466049382716051</v>
      </c>
      <c r="V145" s="22">
        <f>IF(preçodiario[[#This Row],[entrada E]]=0,V144-(SUMIFS(estoque[quantidade],estoque[fornecedor],"saída",estoque[produto],preçodiario[[#Headers],[OVO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Row],[data]]))+V144+preçodiario[[#This Row],[entrada E]])</f>
        <v>98</v>
      </c>
      <c r="W145" s="22">
        <f>SUMIFS(estoque[quantidade],estoque[fornecedor],"&lt;&gt;saída",estoque[produto],preçodiario[[#Headers],[OVO BRANCO EXTRA]],estoque[data],preçodiario[[#This Row],[data]])</f>
        <v>0</v>
      </c>
      <c r="X145" s="20">
        <f>SUMIFS(estoque[valor total],estoque[fornecedor],"&lt;&gt;saída",estoque[produto],preçodiario[[#Headers],[OVO BRANCO EXTRA]],estoque[data],preçodiario[[#This Row],[data]])</f>
        <v>0</v>
      </c>
      <c r="Y145" s="20">
        <f>IFERROR(preçodiario[[#This Row],[estoque E]]*preçodiario[[#This Row],[OVO BRANCO EXTRA]],0)</f>
        <v>1613.672839506173</v>
      </c>
      <c r="Z1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Row],[data]])),((Z144*AA144)+SUMIFS(estoque[valor total],estoque[produto],preçodiario[[#Headers],[OVO BRANCO JUMBO]],estoque[data],preçodiario[[#This Row],[data]],estoque[fornecedor],"&lt;&gt;saída"))/(AA144+(SUMIFS(estoque[quantidade],estoque[produto],preçodiario[[#Headers],[OVO BRANCO JUMBO]],estoque[fornecedor],"&lt;&gt;saída",estoque[data],preçodiario[[#This Row],[data]])))))</f>
        <v>17.276785714285715</v>
      </c>
      <c r="AA145" s="22">
        <f>IF(preçodiario[[#This Row],[entrada J]]=0,AA144-(SUMIFS(estoque[quantidade],estoque[fornecedor],"saída",estoque[produto],preçodiario[[#Headers],[OVO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Row],[data]]))+AA144+preçodiario[[#This Row],[entrada J]])</f>
        <v>40</v>
      </c>
      <c r="AB145" s="22">
        <f>SUMIFS(estoque[quantidade],estoque[fornecedor],"&lt;&gt;saída",estoque[produto],preçodiario[[#Headers],[OVO BRANCO JUMBO]],estoque[data],preçodiario[[#This Row],[data]])</f>
        <v>0</v>
      </c>
      <c r="AC145" s="20">
        <f>SUMIFS(estoque[valor total],estoque[fornecedor],"&lt;&gt;saída",estoque[produto],preçodiario[[#Headers],[OVO BRANCO JUMBO]],estoque[data],preçodiario[[#This Row],[data]])</f>
        <v>0</v>
      </c>
      <c r="AD145" s="20">
        <f>IFERROR(preçodiario[[#This Row],[OVO BRANCO JUMBO]]*preçodiario[[#This Row],[estoque J]],0)</f>
        <v>691.07142857142867</v>
      </c>
      <c r="AE1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Row],[data]])),((AE144*AF144)+SUMIFS(estoque[valor total],estoque[produto],preçodiario[[#Headers],[OVO VERMELHO A]],estoque[data],preçodiario[[#This Row],[data]],estoque[fornecedor],"&lt;&gt;saída"))/(AF144+(SUMIFS(estoque[quantidade],estoque[produto],preçodiario[[#Headers],[OVO VERMELHO A]],estoque[fornecedor],"&lt;&gt;saída",estoque[data],preçodiario[[#This Row],[data]])))))</f>
        <v/>
      </c>
      <c r="AF145" s="22">
        <f>IF(preçodiario[[#This Row],[entrada AV]]=0,AF144-(SUMIFS(estoque[quantidade],estoque[fornecedor],"saída",estoque[produto],preçodiario[[#Headers],[OVO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Row],[data]]))+AF144+preçodiario[[#This Row],[entrada AV]])</f>
        <v>0</v>
      </c>
      <c r="AG145" s="22">
        <f>SUMIFS(estoque[quantidade],estoque[fornecedor],"&lt;&gt;saída",estoque[produto],preçodiario[[#Headers],[OVO VERMELHO A]],estoque[data],preçodiario[[#This Row],[data]])</f>
        <v>0</v>
      </c>
      <c r="AH145" s="20">
        <f>SUMIFS(estoque[valor total],estoque[fornecedor],"&lt;&gt;saída",estoque[produto],preçodiario[[#Headers],[OVO VERMELHO A]],estoque[data],preçodiario[[#This Row],[data]])</f>
        <v>0</v>
      </c>
      <c r="AI145" s="20">
        <f>IFERROR(preçodiario[[#This Row],[OVO VERMELHO A]]*preçodiario[[#This Row],[estoque AV]],0)</f>
        <v>0</v>
      </c>
      <c r="AJ1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Row],[data]])),((AJ144*AK144)+SUMIFS(estoque[valor total],estoque[produto],preçodiario[[#Headers],[OVO VERMELHO B]],estoque[data],preçodiario[[#This Row],[data]],estoque[fornecedor],"&lt;&gt;saída"))/(AK144+(SUMIFS(estoque[quantidade],estoque[produto],preçodiario[[#Headers],[OVO VERMELHO B]],estoque[fornecedor],"&lt;&gt;saída",estoque[data],preçodiario[[#This Row],[data]])))))</f>
        <v/>
      </c>
      <c r="AK145" s="22">
        <f>IF(preçodiario[[#This Row],[entrada BV]]=0,AK144-(SUMIFS(estoque[quantidade],estoque[fornecedor],"saída",estoque[produto],preçodiario[[#Headers],[OVO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Row],[data]]))+AK144+preçodiario[[#This Row],[entrada BV]])</f>
        <v>0</v>
      </c>
      <c r="AL145" s="22">
        <f>SUMIFS(estoque[quantidade],estoque[fornecedor],"&lt;&gt;saída",estoque[produto],preçodiario[[#Headers],[OVO VERMELHO B]],estoque[data],preçodiario[[#This Row],[data]])</f>
        <v>0</v>
      </c>
      <c r="AM145" s="20">
        <f>SUMIFS(estoque[valor total],estoque[fornecedor],"&lt;&gt;saída",estoque[produto],preçodiario[[#Headers],[OVO VERMELHO B]],estoque[data],preçodiario[[#This Row],[data]])</f>
        <v>0</v>
      </c>
      <c r="AN145" s="20">
        <f>IFERROR(preçodiario[[#This Row],[OVO VERMELHO B]]*preçodiario[[#This Row],[estoque BV]],0)</f>
        <v>0</v>
      </c>
      <c r="AO1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Row],[data]])),((AO144*AP144)+SUMIFS(estoque[valor total],estoque[produto],preçodiario[[#Headers],[OVO VERMELHO C]],estoque[data],preçodiario[[#This Row],[data]],estoque[fornecedor],"&lt;&gt;saída"))/(AP144+(SUMIFS(estoque[quantidade],estoque[produto],preçodiario[[#Headers],[OVO VERMELHO C]],estoque[fornecedor],"&lt;&gt;saída",estoque[data],preçodiario[[#This Row],[data]])))))</f>
        <v/>
      </c>
      <c r="AP145" s="22">
        <f>IF(preçodiario[[#This Row],[entrada CV]]=0,AP144-(SUMIFS(estoque[quantidade],estoque[fornecedor],"saída",estoque[produto],preçodiario[[#Headers],[OVO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Row],[data]]))+AP144+preçodiario[[#This Row],[entrada CV]])</f>
        <v>0</v>
      </c>
      <c r="AQ145" s="22">
        <f>SUMIFS(estoque[quantidade],estoque[fornecedor],"&lt;&gt;saída",estoque[produto],preçodiario[[#Headers],[OVO VERMELHO C]],estoque[data],preçodiario[[#This Row],[data]])</f>
        <v>0</v>
      </c>
      <c r="AR145" s="20">
        <f>SUMIFS(estoque[valor total],estoque[fornecedor],"&lt;&gt;saída",estoque[produto],preçodiario[[#Headers],[OVO VERMELHO C]],estoque[data],preçodiario[[#This Row],[data]])</f>
        <v>0</v>
      </c>
      <c r="AS145" s="20">
        <f>IFERROR(preçodiario[[#This Row],[OVO VERMELHO C]]*preçodiario[[#This Row],[estoque CV]],0)</f>
        <v>0</v>
      </c>
      <c r="AT1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Row],[data]])),((AT144*AU144)+SUMIFS(estoque[valor total],estoque[produto],preçodiario[[#Headers],[OVO VERMELHO EXTRA]],estoque[data],preçodiario[[#This Row],[data]],estoque[fornecedor],"&lt;&gt;saída"))/(AU144+(SUMIFS(estoque[quantidade],estoque[produto],preçodiario[[#Headers],[OVO VERMELHO EXTRA]],estoque[fornecedor],"&lt;&gt;saída",estoque[data],preçodiario[[#This Row],[data]])))))</f>
        <v/>
      </c>
      <c r="AU145" s="22">
        <f>IF(preçodiario[[#This Row],[entrada EV]]=0,AU144-(SUMIFS(estoque[quantidade],estoque[fornecedor],"saída",estoque[produto],preçodiario[[#Headers],[OVO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Row],[data]]))+AU144+preçodiario[[#This Row],[entrada EV]])</f>
        <v>0</v>
      </c>
      <c r="AV145" s="22">
        <f>SUMIFS(estoque[quantidade],estoque[fornecedor],"&lt;&gt;saída",estoque[produto],preçodiario[[#Headers],[OVO VERMELHO EXTRA]],estoque[data],preçodiario[[#This Row],[data]])</f>
        <v>0</v>
      </c>
      <c r="AW145" s="20">
        <f>SUMIFS(estoque[valor total],estoque[fornecedor],"&lt;&gt;saída",estoque[produto],preçodiario[[#Headers],[OVO VERMELHO EXTRA]],estoque[data],preçodiario[[#This Row],[data]])</f>
        <v>0</v>
      </c>
      <c r="AX145" s="20">
        <f>IFERROR(preçodiario[[#This Row],[OVO VERMELHO EXTRA]]*preçodiario[[#This Row],[estoque EV]],0)</f>
        <v>0</v>
      </c>
      <c r="AY1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Row],[data]])),((AY144*AZ144)+SUMIFS(estoque[valor total],estoque[produto],preçodiario[[#Headers],[OVO VERMELHO JUMBO]],estoque[data],preçodiario[[#This Row],[data]],estoque[fornecedor],"&lt;&gt;saída"))/(AZ144+(SUMIFS(estoque[quantidade],estoque[produto],preçodiario[[#Headers],[OVO VERMELHO JUMBO]],estoque[fornecedor],"&lt;&gt;saída",estoque[data],preçodiario[[#This Row],[data]])))))</f>
        <v/>
      </c>
      <c r="AZ145" s="22">
        <f>IF(preçodiario[[#This Row],[entrada JV]]=0,AZ144-(SUMIFS(estoque[quantidade],estoque[fornecedor],"saída",estoque[produto],preçodiario[[#Headers],[OVO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Row],[data]]))+AZ144+preçodiario[[#This Row],[entrada JV]])</f>
        <v>0</v>
      </c>
      <c r="BA145" s="22">
        <f>SUMIFS(estoque[quantidade],estoque[fornecedor],"&lt;&gt;saída",estoque[produto],preçodiario[[#Headers],[OVO VERMELHO JUMBO]],estoque[data],preçodiario[[#This Row],[data]])</f>
        <v>0</v>
      </c>
      <c r="BB145" s="20">
        <f>SUMIFS(estoque[valor total],estoque[fornecedor],"&lt;&gt;saída",estoque[produto],preçodiario[[#Headers],[OVO VERMELHO JUMBO]],estoque[data],preçodiario[[#This Row],[data]])</f>
        <v>0</v>
      </c>
      <c r="BC145" s="20">
        <f>IFERROR(preçodiario[[#This Row],[OVO VERMELHO JUMBO]]*preçodiario[[#This Row],[estoque JV]],0)</f>
        <v>0</v>
      </c>
      <c r="BD145" t="str">
        <f>TEXT(vendaAno[[#This Row],[data]],"mmm")</f>
        <v>mai</v>
      </c>
      <c r="BE145" t="str">
        <f>TEXT(vendaAno[[#This Row],[data]],"ddd")</f>
        <v>dom</v>
      </c>
      <c r="BF145" s="82">
        <f>WEEKNUM(vendaAno[[#This Row],[data]],13)</f>
        <v>21</v>
      </c>
      <c r="BG145" s="27">
        <f>preçodiario[[#This Row],[data]]</f>
        <v>46166</v>
      </c>
      <c r="BH1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5" s="8">
        <f>IF(SUMIFS(estoque[valor total],estoque[fornecedor],"saída",estoque[data],vendaAno[[#This Row],[data]])=0,"",SUMIFS(estoque[valor total],estoque[fornecedor],"saída",estoque[data],vendaAno[[#This Row],[data]]))</f>
        <v>728</v>
      </c>
      <c r="BJ14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Row],[data]]))/12+BJ144,"")</f>
        <v>16.833333333333311</v>
      </c>
      <c r="BK145" s="79">
        <f ca="1">IF(TODAY()&gt;=vendaAno[[#This Row],[data]],IF(SUMIFS(estoque[quantidade],estoque[fornecedor],"saída",estoque[data],vendaAno[[#This Row],[data]])/12=0,AVERAGE(BK142:BK144),SUMIFS(estoque[quantidade],estoque[fornecedor],"saída",estoque[data],vendaAno[[#This Row],[data]])/12),"")</f>
        <v>3</v>
      </c>
      <c r="BL145" s="8">
        <f ca="1">IF(vendaAno[[#This Row],[data]]&lt;=TODAY(),IF(SUMIFS(estoque[lucro],estoque[fornecedor],"saída",estoque[data],vendaAno[[#This Row],[data]])=0,AVERAGE(BL142:BL144),SUMIFS(estoque[lucro],estoque[fornecedor],"saída",estoque[data],vendaAno[[#This Row],[data]])),"")</f>
        <v>150.09</v>
      </c>
      <c r="BM145" s="10">
        <f ca="1">IFERROR(vendaAno[[#This Row],[lucro]]/vendaAno[[#This Row],[valor de venda]],"")</f>
        <v>0.20616758241758243</v>
      </c>
      <c r="BN14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3304.0183688290131</v>
      </c>
      <c r="BO145" s="8">
        <f ca="1">IF(TODAY()&gt;=vendaAno[[#This Row],[data]],IF(vendaAno[[#This Row],[N°]]=BF144,vendaAno[[#This Row],[lucro]]-173.33+BO144,vendaAno[[#This Row],[lucro]]-150),"")</f>
        <v>-172.88</v>
      </c>
      <c r="BP145" s="81">
        <f ca="1">IF(TODAY()&gt;=vendaAno[[#This Row],[data]],SUM(BK139:BK145)*12,"")</f>
        <v>208.00000000000003</v>
      </c>
      <c r="BQ145" s="7">
        <f ca="1">IFERROR(vendaAno[[#This Row],[lucro]]/(vendaAno[[#This Row],[venda]]*12),"")</f>
        <v>4.1691666666666665</v>
      </c>
    </row>
    <row r="146" spans="1:69" x14ac:dyDescent="0.25">
      <c r="A1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6" s="18" t="str">
        <f>TEXT(preçodiario[[#This Row],[data]],"MMM")</f>
        <v>mai</v>
      </c>
      <c r="C146" s="18" t="str">
        <f>TEXT(preçodiario[[#This Row],[data]],"ddd")</f>
        <v>seg</v>
      </c>
      <c r="D146" s="96">
        <f>WEEKNUM(preçodiario[[#This Row],[data]],13)</f>
        <v>21</v>
      </c>
      <c r="E146" s="37">
        <v>46167</v>
      </c>
      <c r="F1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Row],[data]])),((F145*G145)+SUMIFS(estoque[valor total],estoque[produto],preçodiario[[#Headers],[OVO BRANCO A]],estoque[data],preçodiario[[#This Row],[data]],estoque[fornecedor],"&lt;&gt;saída"))/(G145+(SUMIFS(estoque[quantidade],estoque[produto],preçodiario[[#Headers],[OVO BRANCO A]],estoque[fornecedor],"&lt;&gt;saída",estoque[data],preçodiario[[#This Row],[data]])))))</f>
        <v>16.033528967142409</v>
      </c>
      <c r="G146" s="22">
        <f>IF(preçodiario[[#This Row],[entrada A]]=0,G145-(SUMIFS(estoque[quantidade],estoque[fornecedor],"saída",estoque[produto],preçodiario[[#Headers],[OVO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Row],[data]]))+G145+preçodiario[[#This Row],[entrada A]])</f>
        <v>30</v>
      </c>
      <c r="H146" s="22">
        <f>SUMIFS(estoque[quantidade],estoque[fornecedor],"&lt;&gt;saída",estoque[produto],preçodiario[[#Headers],[OVO BRANCO A]],estoque[data],preçodiario[[#This Row],[data]])</f>
        <v>0</v>
      </c>
      <c r="I146" s="20">
        <f>SUMIFS(estoque[valor total],estoque[fornecedor],"&lt;&gt;saída",estoque[produto],preçodiario[[#Headers],[OVO BRANCO A]],estoque[data],preçodiario[[#This Row],[data]])</f>
        <v>0</v>
      </c>
      <c r="J146" s="20">
        <f>IFERROR(preçodiario[[#This Row],[estoque A]]*preçodiario[[#This Row],[OVO BRANCO A]],0)</f>
        <v>481.00586901427226</v>
      </c>
      <c r="K1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Row],[data]])),((K145*L145)+SUMIFS(estoque[valor total],estoque[produto],preçodiario[[#Headers],[OVO BRANCO B]],estoque[data],preçodiario[[#This Row],[data]],estoque[fornecedor],"&lt;&gt;saída"))/(L145+(SUMIFS(estoque[quantidade],estoque[produto],preçodiario[[#Headers],[OVO BRANCO B]],estoque[fornecedor],"&lt;&gt;saída",estoque[data],preçodiario[[#This Row],[data]])))))</f>
        <v>15</v>
      </c>
      <c r="L146" s="22">
        <f>IF(preçodiario[[#This Row],[entrada B]]=0,L145-(SUMIFS(estoque[quantidade],estoque[fornecedor],"saída",estoque[produto],preçodiario[[#Headers],[OVO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Row],[data]]))+L145+preçodiario[[#This Row],[entrada B]])</f>
        <v>24</v>
      </c>
      <c r="M146" s="22">
        <f>SUMIFS(estoque[quantidade],estoque[fornecedor],"&lt;&gt;saída",estoque[produto],preçodiario[[#Headers],[OVO BRANCO B]],estoque[data],preçodiario[[#This Row],[data]])</f>
        <v>0</v>
      </c>
      <c r="N146" s="20">
        <f>SUMIFS(estoque[valor total],estoque[fornecedor],"&lt;&gt;saída",estoque[produto],preçodiario[[#Headers],[OVO BRANCO B]],estoque[data],preçodiario[[#This Row],[data]])</f>
        <v>0</v>
      </c>
      <c r="O146" s="20">
        <f>IFERROR(preçodiario[[#This Row],[OVO BRANCO B]]*preçodiario[[#This Row],[estoque B]],0)</f>
        <v>360</v>
      </c>
      <c r="P14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Row],[data]])),((P145*Q145)+SUMIFS(estoque[valor total],estoque[produto],preçodiario[[#Headers],[OVO BRANCO C]],estoque[data],preçodiario[[#This Row],[data]],estoque[fornecedor],"&lt;&gt;saída"))/(Q145+(SUMIFS(estoque[quantidade],estoque[produto],preçodiario[[#Headers],[OVO BRANCO C]],estoque[fornecedor],"&lt;&gt;saída",estoque[data],preçodiario[[#This Row],[data]])))))</f>
        <v/>
      </c>
      <c r="Q146" s="22">
        <f>IF(preçodiario[[#This Row],[entrada C]]=0,Q145-(SUMIFS(estoque[quantidade],estoque[fornecedor],"saída",estoque[produto],preçodiario[[#Headers],[OVO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Row],[data]]))+Q145+preçodiario[[#This Row],[entrada C]])</f>
        <v>0</v>
      </c>
      <c r="R146" s="22">
        <f>SUMIFS(estoque[quantidade],estoque[fornecedor],"&lt;&gt;saída",estoque[produto],preçodiario[[#Headers],[OVO BRANCO C]],estoque[data],preçodiario[[#This Row],[data]])</f>
        <v>0</v>
      </c>
      <c r="S146" s="20">
        <f>SUMIFS(estoque[valor total],estoque[fornecedor],"&lt;&gt;saída",estoque[produto],preçodiario[[#Headers],[OVO BRANCO C]],estoque[data],preçodiario[[#This Row],[data]])</f>
        <v>0</v>
      </c>
      <c r="T146" s="20">
        <f>IFERROR(preçodiario[[#This Row],[OVO BRANCO C]]*preçodiario[[#This Row],[estoque C]],0)</f>
        <v>0</v>
      </c>
      <c r="U1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Row],[data]])),((U145*V145)+SUMIFS(estoque[valor total],estoque[produto],preçodiario[[#Headers],[OVO BRANCO EXTRA]],estoque[data],preçodiario[[#This Row],[data]],estoque[fornecedor],"&lt;&gt;saída"))/(V145+(SUMIFS(estoque[quantidade],estoque[produto],preçodiario[[#Headers],[OVO BRANCO EXTRA]],estoque[fornecedor],"&lt;&gt;saída",estoque[data],preçodiario[[#This Row],[data]])))))</f>
        <v>16.466049382716051</v>
      </c>
      <c r="V146" s="22">
        <f>IF(preçodiario[[#This Row],[entrada E]]=0,V145-(SUMIFS(estoque[quantidade],estoque[fornecedor],"saída",estoque[produto],preçodiario[[#Headers],[OVO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Row],[data]]))+V145+preçodiario[[#This Row],[entrada E]])</f>
        <v>94</v>
      </c>
      <c r="W146" s="22">
        <f>SUMIFS(estoque[quantidade],estoque[fornecedor],"&lt;&gt;saída",estoque[produto],preçodiario[[#Headers],[OVO BRANCO EXTRA]],estoque[data],preçodiario[[#This Row],[data]])</f>
        <v>0</v>
      </c>
      <c r="X146" s="20">
        <f>SUMIFS(estoque[valor total],estoque[fornecedor],"&lt;&gt;saída",estoque[produto],preçodiario[[#Headers],[OVO BRANCO EXTRA]],estoque[data],preçodiario[[#This Row],[data]])</f>
        <v>0</v>
      </c>
      <c r="Y146" s="20">
        <f>IFERROR(preçodiario[[#This Row],[estoque E]]*preçodiario[[#This Row],[OVO BRANCO EXTRA]],0)</f>
        <v>1547.8086419753088</v>
      </c>
      <c r="Z1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Row],[data]])),((Z145*AA145)+SUMIFS(estoque[valor total],estoque[produto],preçodiario[[#Headers],[OVO BRANCO JUMBO]],estoque[data],preçodiario[[#This Row],[data]],estoque[fornecedor],"&lt;&gt;saída"))/(AA145+(SUMIFS(estoque[quantidade],estoque[produto],preçodiario[[#Headers],[OVO BRANCO JUMBO]],estoque[fornecedor],"&lt;&gt;saída",estoque[data],preçodiario[[#This Row],[data]])))))</f>
        <v>17.276785714285715</v>
      </c>
      <c r="AA146" s="22">
        <f>IF(preçodiario[[#This Row],[entrada J]]=0,AA145-(SUMIFS(estoque[quantidade],estoque[fornecedor],"saída",estoque[produto],preçodiario[[#Headers],[OVO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Row],[data]]))+AA145+preçodiario[[#This Row],[entrada J]])</f>
        <v>31</v>
      </c>
      <c r="AB146" s="22">
        <f>SUMIFS(estoque[quantidade],estoque[fornecedor],"&lt;&gt;saída",estoque[produto],preçodiario[[#Headers],[OVO BRANCO JUMBO]],estoque[data],preçodiario[[#This Row],[data]])</f>
        <v>0</v>
      </c>
      <c r="AC146" s="20">
        <f>SUMIFS(estoque[valor total],estoque[fornecedor],"&lt;&gt;saída",estoque[produto],preçodiario[[#Headers],[OVO BRANCO JUMBO]],estoque[data],preçodiario[[#This Row],[data]])</f>
        <v>0</v>
      </c>
      <c r="AD146" s="20">
        <f>IFERROR(preçodiario[[#This Row],[OVO BRANCO JUMBO]]*preçodiario[[#This Row],[estoque J]],0)</f>
        <v>535.58035714285722</v>
      </c>
      <c r="AE1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Row],[data]])),((AE145*AF145)+SUMIFS(estoque[valor total],estoque[produto],preçodiario[[#Headers],[OVO VERMELHO A]],estoque[data],preçodiario[[#This Row],[data]],estoque[fornecedor],"&lt;&gt;saída"))/(AF145+(SUMIFS(estoque[quantidade],estoque[produto],preçodiario[[#Headers],[OVO VERMELHO A]],estoque[fornecedor],"&lt;&gt;saída",estoque[data],preçodiario[[#This Row],[data]])))))</f>
        <v/>
      </c>
      <c r="AF146" s="22">
        <f>IF(preçodiario[[#This Row],[entrada AV]]=0,AF145-(SUMIFS(estoque[quantidade],estoque[fornecedor],"saída",estoque[produto],preçodiario[[#Headers],[OVO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Row],[data]]))+AF145+preçodiario[[#This Row],[entrada AV]])</f>
        <v>0</v>
      </c>
      <c r="AG146" s="22">
        <f>SUMIFS(estoque[quantidade],estoque[fornecedor],"&lt;&gt;saída",estoque[produto],preçodiario[[#Headers],[OVO VERMELHO A]],estoque[data],preçodiario[[#This Row],[data]])</f>
        <v>0</v>
      </c>
      <c r="AH146" s="20">
        <f>SUMIFS(estoque[valor total],estoque[fornecedor],"&lt;&gt;saída",estoque[produto],preçodiario[[#Headers],[OVO VERMELHO A]],estoque[data],preçodiario[[#This Row],[data]])</f>
        <v>0</v>
      </c>
      <c r="AI146" s="20">
        <f>IFERROR(preçodiario[[#This Row],[OVO VERMELHO A]]*preçodiario[[#This Row],[estoque AV]],0)</f>
        <v>0</v>
      </c>
      <c r="AJ1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Row],[data]])),((AJ145*AK145)+SUMIFS(estoque[valor total],estoque[produto],preçodiario[[#Headers],[OVO VERMELHO B]],estoque[data],preçodiario[[#This Row],[data]],estoque[fornecedor],"&lt;&gt;saída"))/(AK145+(SUMIFS(estoque[quantidade],estoque[produto],preçodiario[[#Headers],[OVO VERMELHO B]],estoque[fornecedor],"&lt;&gt;saída",estoque[data],preçodiario[[#This Row],[data]])))))</f>
        <v/>
      </c>
      <c r="AK146" s="22">
        <f>IF(preçodiario[[#This Row],[entrada BV]]=0,AK145-(SUMIFS(estoque[quantidade],estoque[fornecedor],"saída",estoque[produto],preçodiario[[#Headers],[OVO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Row],[data]]))+AK145+preçodiario[[#This Row],[entrada BV]])</f>
        <v>0</v>
      </c>
      <c r="AL146" s="22">
        <f>SUMIFS(estoque[quantidade],estoque[fornecedor],"&lt;&gt;saída",estoque[produto],preçodiario[[#Headers],[OVO VERMELHO B]],estoque[data],preçodiario[[#This Row],[data]])</f>
        <v>0</v>
      </c>
      <c r="AM146" s="20">
        <f>SUMIFS(estoque[valor total],estoque[fornecedor],"&lt;&gt;saída",estoque[produto],preçodiario[[#Headers],[OVO VERMELHO B]],estoque[data],preçodiario[[#This Row],[data]])</f>
        <v>0</v>
      </c>
      <c r="AN146" s="20">
        <f>IFERROR(preçodiario[[#This Row],[OVO VERMELHO B]]*preçodiario[[#This Row],[estoque BV]],0)</f>
        <v>0</v>
      </c>
      <c r="AO1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Row],[data]])),((AO145*AP145)+SUMIFS(estoque[valor total],estoque[produto],preçodiario[[#Headers],[OVO VERMELHO C]],estoque[data],preçodiario[[#This Row],[data]],estoque[fornecedor],"&lt;&gt;saída"))/(AP145+(SUMIFS(estoque[quantidade],estoque[produto],preçodiario[[#Headers],[OVO VERMELHO C]],estoque[fornecedor],"&lt;&gt;saída",estoque[data],preçodiario[[#This Row],[data]])))))</f>
        <v/>
      </c>
      <c r="AP146" s="22">
        <f>IF(preçodiario[[#This Row],[entrada CV]]=0,AP145-(SUMIFS(estoque[quantidade],estoque[fornecedor],"saída",estoque[produto],preçodiario[[#Headers],[OVO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Row],[data]]))+AP145+preçodiario[[#This Row],[entrada CV]])</f>
        <v>0</v>
      </c>
      <c r="AQ146" s="22">
        <f>SUMIFS(estoque[quantidade],estoque[fornecedor],"&lt;&gt;saída",estoque[produto],preçodiario[[#Headers],[OVO VERMELHO C]],estoque[data],preçodiario[[#This Row],[data]])</f>
        <v>0</v>
      </c>
      <c r="AR146" s="20">
        <f>SUMIFS(estoque[valor total],estoque[fornecedor],"&lt;&gt;saída",estoque[produto],preçodiario[[#Headers],[OVO VERMELHO C]],estoque[data],preçodiario[[#This Row],[data]])</f>
        <v>0</v>
      </c>
      <c r="AS146" s="20">
        <f>IFERROR(preçodiario[[#This Row],[OVO VERMELHO C]]*preçodiario[[#This Row],[estoque CV]],0)</f>
        <v>0</v>
      </c>
      <c r="AT1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Row],[data]])),((AT145*AU145)+SUMIFS(estoque[valor total],estoque[produto],preçodiario[[#Headers],[OVO VERMELHO EXTRA]],estoque[data],preçodiario[[#This Row],[data]],estoque[fornecedor],"&lt;&gt;saída"))/(AU145+(SUMIFS(estoque[quantidade],estoque[produto],preçodiario[[#Headers],[OVO VERMELHO EXTRA]],estoque[fornecedor],"&lt;&gt;saída",estoque[data],preçodiario[[#This Row],[data]])))))</f>
        <v/>
      </c>
      <c r="AU146" s="22">
        <f>IF(preçodiario[[#This Row],[entrada EV]]=0,AU145-(SUMIFS(estoque[quantidade],estoque[fornecedor],"saída",estoque[produto],preçodiario[[#Headers],[OVO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Row],[data]]))+AU145+preçodiario[[#This Row],[entrada EV]])</f>
        <v>0</v>
      </c>
      <c r="AV146" s="22">
        <f>SUMIFS(estoque[quantidade],estoque[fornecedor],"&lt;&gt;saída",estoque[produto],preçodiario[[#Headers],[OVO VERMELHO EXTRA]],estoque[data],preçodiario[[#This Row],[data]])</f>
        <v>0</v>
      </c>
      <c r="AW146" s="20">
        <f>SUMIFS(estoque[valor total],estoque[fornecedor],"&lt;&gt;saída",estoque[produto],preçodiario[[#Headers],[OVO VERMELHO EXTRA]],estoque[data],preçodiario[[#This Row],[data]])</f>
        <v>0</v>
      </c>
      <c r="AX146" s="20">
        <f>IFERROR(preçodiario[[#This Row],[OVO VERMELHO EXTRA]]*preçodiario[[#This Row],[estoque EV]],0)</f>
        <v>0</v>
      </c>
      <c r="AY1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Row],[data]])),((AY145*AZ145)+SUMIFS(estoque[valor total],estoque[produto],preçodiario[[#Headers],[OVO VERMELHO JUMBO]],estoque[data],preçodiario[[#This Row],[data]],estoque[fornecedor],"&lt;&gt;saída"))/(AZ145+(SUMIFS(estoque[quantidade],estoque[produto],preçodiario[[#Headers],[OVO VERMELHO JUMBO]],estoque[fornecedor],"&lt;&gt;saída",estoque[data],preçodiario[[#This Row],[data]])))))</f>
        <v/>
      </c>
      <c r="AZ146" s="22">
        <f>IF(preçodiario[[#This Row],[entrada JV]]=0,AZ145-(SUMIFS(estoque[quantidade],estoque[fornecedor],"saída",estoque[produto],preçodiario[[#Headers],[OVO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Row],[data]]))+AZ145+preçodiario[[#This Row],[entrada JV]])</f>
        <v>0</v>
      </c>
      <c r="BA146" s="22">
        <f>SUMIFS(estoque[quantidade],estoque[fornecedor],"&lt;&gt;saída",estoque[produto],preçodiario[[#Headers],[OVO VERMELHO JUMBO]],estoque[data],preçodiario[[#This Row],[data]])</f>
        <v>0</v>
      </c>
      <c r="BB146" s="20">
        <f>SUMIFS(estoque[valor total],estoque[fornecedor],"&lt;&gt;saída",estoque[produto],preçodiario[[#Headers],[OVO VERMELHO JUMBO]],estoque[data],preçodiario[[#This Row],[data]])</f>
        <v>0</v>
      </c>
      <c r="BC146" s="20">
        <f>IFERROR(preçodiario[[#This Row],[OVO VERMELHO JUMBO]]*preçodiario[[#This Row],[estoque JV]],0)</f>
        <v>0</v>
      </c>
      <c r="BD146" t="str">
        <f>TEXT(vendaAno[[#This Row],[data]],"mmm")</f>
        <v>mai</v>
      </c>
      <c r="BE146" t="str">
        <f>TEXT(vendaAno[[#This Row],[data]],"ddd")</f>
        <v>seg</v>
      </c>
      <c r="BF146" s="82">
        <f>WEEKNUM(vendaAno[[#This Row],[data]],13)</f>
        <v>21</v>
      </c>
      <c r="BG146" s="27">
        <f>preçodiario[[#This Row],[data]]</f>
        <v>46167</v>
      </c>
      <c r="BH1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6" s="8">
        <f>IF(SUMIFS(estoque[valor total],estoque[fornecedor],"saída",estoque[data],vendaAno[[#This Row],[data]])=0,"",SUMIFS(estoque[valor total],estoque[fornecedor],"saída",estoque[data],vendaAno[[#This Row],[data]]))</f>
        <v>480</v>
      </c>
      <c r="BJ14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Row],[data]]))/12+BJ145,"")</f>
        <v>14.916666666666645</v>
      </c>
      <c r="BK146" s="79">
        <f ca="1">IF(TODAY()&gt;=vendaAno[[#This Row],[data]],IF(SUMIFS(estoque[quantidade],estoque[fornecedor],"saída",estoque[data],vendaAno[[#This Row],[data]])/12=0,AVERAGE(BK143:BK145),SUMIFS(estoque[quantidade],estoque[fornecedor],"saída",estoque[data],vendaAno[[#This Row],[data]])/12),"")</f>
        <v>1.9166666666666667</v>
      </c>
      <c r="BL146" s="8">
        <f ca="1">IF(vendaAno[[#This Row],[data]]&lt;=TODAY(),IF(SUMIFS(estoque[lucro],estoque[fornecedor],"saída",estoque[data],vendaAno[[#This Row],[data]])=0,AVERAGE(BL143:BL145),SUMIFS(estoque[lucro],estoque[fornecedor],"saída",estoque[data],vendaAno[[#This Row],[data]])),"")</f>
        <v>100.38000000000001</v>
      </c>
      <c r="BM146" s="10">
        <f ca="1">IFERROR(vendaAno[[#This Row],[lucro]]/vendaAno[[#This Row],[valor de venda]],"")</f>
        <v>0.20912500000000003</v>
      </c>
      <c r="BN14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2924.3948681324382</v>
      </c>
      <c r="BO146" s="8">
        <f ca="1">IF(TODAY()&gt;=vendaAno[[#This Row],[data]],IF(vendaAno[[#This Row],[N°]]=BF145,vendaAno[[#This Row],[lucro]]-173.33+BO145,vendaAno[[#This Row],[lucro]]-150),"")</f>
        <v>-245.82999999999998</v>
      </c>
      <c r="BP146" s="81">
        <f ca="1">IF(TODAY()&gt;=vendaAno[[#This Row],[data]],SUM(BK140:BK146)*12,"")</f>
        <v>202.00000000000003</v>
      </c>
      <c r="BQ146" s="7">
        <f ca="1">IFERROR(vendaAno[[#This Row],[lucro]]/(vendaAno[[#This Row],[venda]]*12),"")</f>
        <v>4.3643478260869566</v>
      </c>
    </row>
    <row r="147" spans="1:69" x14ac:dyDescent="0.25">
      <c r="A1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16.033528967142409</v>
      </c>
      <c r="B147" s="18" t="str">
        <f>TEXT(preçodiario[[#This Row],[data]],"MMM")</f>
        <v>mai</v>
      </c>
      <c r="C147" s="18" t="str">
        <f>TEXT(preçodiario[[#This Row],[data]],"ddd")</f>
        <v>ter</v>
      </c>
      <c r="D147" s="96">
        <f>WEEKNUM(preçodiario[[#This Row],[data]],13)</f>
        <v>21</v>
      </c>
      <c r="E147" s="37">
        <v>46168</v>
      </c>
      <c r="F1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Row],[data]])),((F146*G146)+SUMIFS(estoque[valor total],estoque[produto],preçodiario[[#Headers],[OVO BRANCO A]],estoque[data],preçodiario[[#This Row],[data]],estoque[fornecedor],"&lt;&gt;saída"))/(G146+(SUMIFS(estoque[quantidade],estoque[produto],preçodiario[[#Headers],[OVO BRANCO A]],estoque[fornecedor],"&lt;&gt;saída",estoque[data],preçodiario[[#This Row],[data]])))))</f>
        <v>16.033528967142409</v>
      </c>
      <c r="G147" s="22">
        <f>IF(preçodiario[[#This Row],[entrada A]]=0,G146-(SUMIFS(estoque[quantidade],estoque[fornecedor],"saída",estoque[produto],preçodiario[[#Headers],[OVO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Row],[data]]))+G146+preçodiario[[#This Row],[entrada A]])</f>
        <v>26</v>
      </c>
      <c r="H147" s="22">
        <f>SUMIFS(estoque[quantidade],estoque[fornecedor],"&lt;&gt;saída",estoque[produto],preçodiario[[#Headers],[OVO BRANCO A]],estoque[data],preçodiario[[#This Row],[data]])</f>
        <v>0</v>
      </c>
      <c r="I147" s="20">
        <f>SUMIFS(estoque[valor total],estoque[fornecedor],"&lt;&gt;saída",estoque[produto],preçodiario[[#Headers],[OVO BRANCO A]],estoque[data],preçodiario[[#This Row],[data]])</f>
        <v>0</v>
      </c>
      <c r="J147" s="20">
        <f>IFERROR(preçodiario[[#This Row],[estoque A]]*preçodiario[[#This Row],[OVO BRANCO A]],0)</f>
        <v>416.87175314570266</v>
      </c>
      <c r="K147" s="19" t="str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Row],[data]])),((K146*L146)+SUMIFS(estoque[valor total],estoque[produto],preçodiario[[#Headers],[OVO BRANCO B]],estoque[data],preçodiario[[#This Row],[data]],estoque[fornecedor],"&lt;&gt;saída"))/(L146+(SUMIFS(estoque[quantidade],estoque[produto],preçodiario[[#Headers],[OVO BRANCO B]],estoque[fornecedor],"&lt;&gt;saída",estoque[data],preçodiario[[#This Row],[data]])))))</f>
        <v/>
      </c>
      <c r="L147" s="22">
        <f>IF(preçodiario[[#This Row],[entrada B]]=0,L146-(SUMIFS(estoque[quantidade],estoque[fornecedor],"saída",estoque[produto],preçodiario[[#Headers],[OVO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Row],[data]]))+L146+preçodiario[[#This Row],[entrada B]])</f>
        <v>0</v>
      </c>
      <c r="M147" s="22">
        <f>SUMIFS(estoque[quantidade],estoque[fornecedor],"&lt;&gt;saída",estoque[produto],preçodiario[[#Headers],[OVO BRANCO B]],estoque[data],preçodiario[[#This Row],[data]])</f>
        <v>0</v>
      </c>
      <c r="N147" s="20">
        <f>SUMIFS(estoque[valor total],estoque[fornecedor],"&lt;&gt;saída",estoque[produto],preçodiario[[#Headers],[OVO BRANCO B]],estoque[data],preçodiario[[#This Row],[data]])</f>
        <v>0</v>
      </c>
      <c r="O147" s="20">
        <f>IFERROR(preçodiario[[#This Row],[OVO BRANCO B]]*preçodiario[[#This Row],[estoque B]],0)</f>
        <v>0</v>
      </c>
      <c r="P14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Row],[data]])),((P146*Q146)+SUMIFS(estoque[valor total],estoque[produto],preçodiario[[#Headers],[OVO BRANCO C]],estoque[data],preçodiario[[#This Row],[data]],estoque[fornecedor],"&lt;&gt;saída"))/(Q146+(SUMIFS(estoque[quantidade],estoque[produto],preçodiario[[#Headers],[OVO BRANCO C]],estoque[fornecedor],"&lt;&gt;saída",estoque[data],preçodiario[[#This Row],[data]])))))</f>
        <v/>
      </c>
      <c r="Q147" s="22">
        <f>IF(preçodiario[[#This Row],[entrada C]]=0,Q146-(SUMIFS(estoque[quantidade],estoque[fornecedor],"saída",estoque[produto],preçodiario[[#Headers],[OVO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Row],[data]]))+Q146+preçodiario[[#This Row],[entrada C]])</f>
        <v>0</v>
      </c>
      <c r="R147" s="22">
        <f>SUMIFS(estoque[quantidade],estoque[fornecedor],"&lt;&gt;saída",estoque[produto],preçodiario[[#Headers],[OVO BRANCO C]],estoque[data],preçodiario[[#This Row],[data]])</f>
        <v>0</v>
      </c>
      <c r="S147" s="20">
        <f>SUMIFS(estoque[valor total],estoque[fornecedor],"&lt;&gt;saída",estoque[produto],preçodiario[[#Headers],[OVO BRANCO C]],estoque[data],preçodiario[[#This Row],[data]])</f>
        <v>0</v>
      </c>
      <c r="T147" s="20">
        <f>IFERROR(preçodiario[[#This Row],[OVO BRANCO C]]*preçodiario[[#This Row],[estoque C]],0)</f>
        <v>0</v>
      </c>
      <c r="U1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Row],[data]])),((U146*V146)+SUMIFS(estoque[valor total],estoque[produto],preçodiario[[#Headers],[OVO BRANCO EXTRA]],estoque[data],preçodiario[[#This Row],[data]],estoque[fornecedor],"&lt;&gt;saída"))/(V146+(SUMIFS(estoque[quantidade],estoque[produto],preçodiario[[#Headers],[OVO BRANCO EXTRA]],estoque[fornecedor],"&lt;&gt;saída",estoque[data],preçodiario[[#This Row],[data]])))))</f>
        <v>16.466049382716051</v>
      </c>
      <c r="V147" s="22">
        <f>IF(preçodiario[[#This Row],[entrada E]]=0,V146-(SUMIFS(estoque[quantidade],estoque[fornecedor],"saída",estoque[produto],preçodiario[[#Headers],[OVO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Row],[data]]))+V146+preçodiario[[#This Row],[entrada E]])</f>
        <v>80</v>
      </c>
      <c r="W147" s="22">
        <f>SUMIFS(estoque[quantidade],estoque[fornecedor],"&lt;&gt;saída",estoque[produto],preçodiario[[#Headers],[OVO BRANCO EXTRA]],estoque[data],preçodiario[[#This Row],[data]])</f>
        <v>0</v>
      </c>
      <c r="X147" s="20">
        <f>SUMIFS(estoque[valor total],estoque[fornecedor],"&lt;&gt;saída",estoque[produto],preçodiario[[#Headers],[OVO BRANCO EXTRA]],estoque[data],preçodiario[[#This Row],[data]])</f>
        <v>0</v>
      </c>
      <c r="Y147" s="20">
        <f>IFERROR(preçodiario[[#This Row],[estoque E]]*preçodiario[[#This Row],[OVO BRANCO EXTRA]],0)</f>
        <v>1317.2839506172841</v>
      </c>
      <c r="Z1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Row],[data]])),((Z146*AA146)+SUMIFS(estoque[valor total],estoque[produto],preçodiario[[#Headers],[OVO BRANCO JUMBO]],estoque[data],preçodiario[[#This Row],[data]],estoque[fornecedor],"&lt;&gt;saída"))/(AA146+(SUMIFS(estoque[quantidade],estoque[produto],preçodiario[[#Headers],[OVO BRANCO JUMBO]],estoque[fornecedor],"&lt;&gt;saída",estoque[data],preçodiario[[#This Row],[data]])))))</f>
        <v>17.276785714285715</v>
      </c>
      <c r="AA147" s="22">
        <f>IF(preçodiario[[#This Row],[entrada J]]=0,AA146-(SUMIFS(estoque[quantidade],estoque[fornecedor],"saída",estoque[produto],preçodiario[[#Headers],[OVO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Row],[data]]))+AA146+preçodiario[[#This Row],[entrada J]])</f>
        <v>31</v>
      </c>
      <c r="AB147" s="22">
        <f>SUMIFS(estoque[quantidade],estoque[fornecedor],"&lt;&gt;saída",estoque[produto],preçodiario[[#Headers],[OVO BRANCO JUMBO]],estoque[data],preçodiario[[#This Row],[data]])</f>
        <v>0</v>
      </c>
      <c r="AC147" s="20">
        <f>SUMIFS(estoque[valor total],estoque[fornecedor],"&lt;&gt;saída",estoque[produto],preçodiario[[#Headers],[OVO BRANCO JUMBO]],estoque[data],preçodiario[[#This Row],[data]])</f>
        <v>0</v>
      </c>
      <c r="AD147" s="20">
        <f>IFERROR(preçodiario[[#This Row],[OVO BRANCO JUMBO]]*preçodiario[[#This Row],[estoque J]],0)</f>
        <v>535.58035714285722</v>
      </c>
      <c r="AE1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Row],[data]])),((AE146*AF146)+SUMIFS(estoque[valor total],estoque[produto],preçodiario[[#Headers],[OVO VERMELHO A]],estoque[data],preçodiario[[#This Row],[data]],estoque[fornecedor],"&lt;&gt;saída"))/(AF146+(SUMIFS(estoque[quantidade],estoque[produto],preçodiario[[#Headers],[OVO VERMELHO A]],estoque[fornecedor],"&lt;&gt;saída",estoque[data],preçodiario[[#This Row],[data]])))))</f>
        <v/>
      </c>
      <c r="AF147" s="22">
        <f>IF(preçodiario[[#This Row],[entrada AV]]=0,AF146-(SUMIFS(estoque[quantidade],estoque[fornecedor],"saída",estoque[produto],preçodiario[[#Headers],[OVO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Row],[data]]))+AF146+preçodiario[[#This Row],[entrada AV]])</f>
        <v>0</v>
      </c>
      <c r="AG147" s="22">
        <f>SUMIFS(estoque[quantidade],estoque[fornecedor],"&lt;&gt;saída",estoque[produto],preçodiario[[#Headers],[OVO VERMELHO A]],estoque[data],preçodiario[[#This Row],[data]])</f>
        <v>0</v>
      </c>
      <c r="AH147" s="20">
        <f>SUMIFS(estoque[valor total],estoque[fornecedor],"&lt;&gt;saída",estoque[produto],preçodiario[[#Headers],[OVO VERMELHO A]],estoque[data],preçodiario[[#This Row],[data]])</f>
        <v>0</v>
      </c>
      <c r="AI147" s="20">
        <f>IFERROR(preçodiario[[#This Row],[OVO VERMELHO A]]*preçodiario[[#This Row],[estoque AV]],0)</f>
        <v>0</v>
      </c>
      <c r="AJ1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Row],[data]])),((AJ146*AK146)+SUMIFS(estoque[valor total],estoque[produto],preçodiario[[#Headers],[OVO VERMELHO B]],estoque[data],preçodiario[[#This Row],[data]],estoque[fornecedor],"&lt;&gt;saída"))/(AK146+(SUMIFS(estoque[quantidade],estoque[produto],preçodiario[[#Headers],[OVO VERMELHO B]],estoque[fornecedor],"&lt;&gt;saída",estoque[data],preçodiario[[#This Row],[data]])))))</f>
        <v/>
      </c>
      <c r="AK147" s="22">
        <f>IF(preçodiario[[#This Row],[entrada BV]]=0,AK146-(SUMIFS(estoque[quantidade],estoque[fornecedor],"saída",estoque[produto],preçodiario[[#Headers],[OVO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Row],[data]]))+AK146+preçodiario[[#This Row],[entrada BV]])</f>
        <v>0</v>
      </c>
      <c r="AL147" s="22">
        <f>SUMIFS(estoque[quantidade],estoque[fornecedor],"&lt;&gt;saída",estoque[produto],preçodiario[[#Headers],[OVO VERMELHO B]],estoque[data],preçodiario[[#This Row],[data]])</f>
        <v>0</v>
      </c>
      <c r="AM147" s="20">
        <f>SUMIFS(estoque[valor total],estoque[fornecedor],"&lt;&gt;saída",estoque[produto],preçodiario[[#Headers],[OVO VERMELHO B]],estoque[data],preçodiario[[#This Row],[data]])</f>
        <v>0</v>
      </c>
      <c r="AN147" s="20">
        <f>IFERROR(preçodiario[[#This Row],[OVO VERMELHO B]]*preçodiario[[#This Row],[estoque BV]],0)</f>
        <v>0</v>
      </c>
      <c r="AO1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Row],[data]])),((AO146*AP146)+SUMIFS(estoque[valor total],estoque[produto],preçodiario[[#Headers],[OVO VERMELHO C]],estoque[data],preçodiario[[#This Row],[data]],estoque[fornecedor],"&lt;&gt;saída"))/(AP146+(SUMIFS(estoque[quantidade],estoque[produto],preçodiario[[#Headers],[OVO VERMELHO C]],estoque[fornecedor],"&lt;&gt;saída",estoque[data],preçodiario[[#This Row],[data]])))))</f>
        <v/>
      </c>
      <c r="AP147" s="22">
        <f>IF(preçodiario[[#This Row],[entrada CV]]=0,AP146-(SUMIFS(estoque[quantidade],estoque[fornecedor],"saída",estoque[produto],preçodiario[[#Headers],[OVO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Row],[data]]))+AP146+preçodiario[[#This Row],[entrada CV]])</f>
        <v>0</v>
      </c>
      <c r="AQ147" s="22">
        <f>SUMIFS(estoque[quantidade],estoque[fornecedor],"&lt;&gt;saída",estoque[produto],preçodiario[[#Headers],[OVO VERMELHO C]],estoque[data],preçodiario[[#This Row],[data]])</f>
        <v>0</v>
      </c>
      <c r="AR147" s="20">
        <f>SUMIFS(estoque[valor total],estoque[fornecedor],"&lt;&gt;saída",estoque[produto],preçodiario[[#Headers],[OVO VERMELHO C]],estoque[data],preçodiario[[#This Row],[data]])</f>
        <v>0</v>
      </c>
      <c r="AS147" s="20">
        <f>IFERROR(preçodiario[[#This Row],[OVO VERMELHO C]]*preçodiario[[#This Row],[estoque CV]],0)</f>
        <v>0</v>
      </c>
      <c r="AT1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Row],[data]])),((AT146*AU146)+SUMIFS(estoque[valor total],estoque[produto],preçodiario[[#Headers],[OVO VERMELHO EXTRA]],estoque[data],preçodiario[[#This Row],[data]],estoque[fornecedor],"&lt;&gt;saída"))/(AU146+(SUMIFS(estoque[quantidade],estoque[produto],preçodiario[[#Headers],[OVO VERMELHO EXTRA]],estoque[fornecedor],"&lt;&gt;saída",estoque[data],preçodiario[[#This Row],[data]])))))</f>
        <v/>
      </c>
      <c r="AU147" s="22">
        <f>IF(preçodiario[[#This Row],[entrada EV]]=0,AU146-(SUMIFS(estoque[quantidade],estoque[fornecedor],"saída",estoque[produto],preçodiario[[#Headers],[OVO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Row],[data]]))+AU146+preçodiario[[#This Row],[entrada EV]])</f>
        <v>0</v>
      </c>
      <c r="AV147" s="22">
        <f>SUMIFS(estoque[quantidade],estoque[fornecedor],"&lt;&gt;saída",estoque[produto],preçodiario[[#Headers],[OVO VERMELHO EXTRA]],estoque[data],preçodiario[[#This Row],[data]])</f>
        <v>0</v>
      </c>
      <c r="AW147" s="20">
        <f>SUMIFS(estoque[valor total],estoque[fornecedor],"&lt;&gt;saída",estoque[produto],preçodiario[[#Headers],[OVO VERMELHO EXTRA]],estoque[data],preçodiario[[#This Row],[data]])</f>
        <v>0</v>
      </c>
      <c r="AX147" s="20">
        <f>IFERROR(preçodiario[[#This Row],[OVO VERMELHO EXTRA]]*preçodiario[[#This Row],[estoque EV]],0)</f>
        <v>0</v>
      </c>
      <c r="AY1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Row],[data]])),((AY146*AZ146)+SUMIFS(estoque[valor total],estoque[produto],preçodiario[[#Headers],[OVO VERMELHO JUMBO]],estoque[data],preçodiario[[#This Row],[data]],estoque[fornecedor],"&lt;&gt;saída"))/(AZ146+(SUMIFS(estoque[quantidade],estoque[produto],preçodiario[[#Headers],[OVO VERMELHO JUMBO]],estoque[fornecedor],"&lt;&gt;saída",estoque[data],preçodiario[[#This Row],[data]])))))</f>
        <v/>
      </c>
      <c r="AZ147" s="22">
        <f>IF(preçodiario[[#This Row],[entrada JV]]=0,AZ146-(SUMIFS(estoque[quantidade],estoque[fornecedor],"saída",estoque[produto],preçodiario[[#Headers],[OVO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Row],[data]]))+AZ146+preçodiario[[#This Row],[entrada JV]])</f>
        <v>0</v>
      </c>
      <c r="BA147" s="22">
        <f>SUMIFS(estoque[quantidade],estoque[fornecedor],"&lt;&gt;saída",estoque[produto],preçodiario[[#Headers],[OVO VERMELHO JUMBO]],estoque[data],preçodiario[[#This Row],[data]])</f>
        <v>0</v>
      </c>
      <c r="BB147" s="20">
        <f>SUMIFS(estoque[valor total],estoque[fornecedor],"&lt;&gt;saída",estoque[produto],preçodiario[[#Headers],[OVO VERMELHO JUMBO]],estoque[data],preçodiario[[#This Row],[data]])</f>
        <v>0</v>
      </c>
      <c r="BC147" s="20">
        <f>IFERROR(preçodiario[[#This Row],[OVO VERMELHO JUMBO]]*preçodiario[[#This Row],[estoque JV]],0)</f>
        <v>0</v>
      </c>
      <c r="BD147" t="str">
        <f>TEXT(vendaAno[[#This Row],[data]],"mmm")</f>
        <v>mai</v>
      </c>
      <c r="BE147" t="str">
        <f>TEXT(vendaAno[[#This Row],[data]],"ddd")</f>
        <v>ter</v>
      </c>
      <c r="BF147" s="82">
        <f>WEEKNUM(vendaAno[[#This Row],[data]],13)</f>
        <v>21</v>
      </c>
      <c r="BG147" s="27">
        <f>preçodiario[[#This Row],[data]]</f>
        <v>46168</v>
      </c>
      <c r="BH1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7" s="8">
        <f>IF(SUMIFS(estoque[valor total],estoque[fornecedor],"saída",estoque[data],vendaAno[[#This Row],[data]])=0,"",SUMIFS(estoque[valor total],estoque[fornecedor],"saída",estoque[data],vendaAno[[#This Row],[data]]))</f>
        <v>812</v>
      </c>
      <c r="BJ14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Row],[data]]))/12+BJ146,"")</f>
        <v>11.416666666666645</v>
      </c>
      <c r="BK147" s="79">
        <f ca="1">IF(TODAY()&gt;=vendaAno[[#This Row],[data]],IF(SUMIFS(estoque[quantidade],estoque[fornecedor],"saída",estoque[data],vendaAno[[#This Row],[data]])/12=0,AVERAGE(BK144:BK146),SUMIFS(estoque[quantidade],estoque[fornecedor],"saída",estoque[data],vendaAno[[#This Row],[data]])/12),"")</f>
        <v>3.5</v>
      </c>
      <c r="BL147" s="8">
        <f ca="1">IF(vendaAno[[#This Row],[data]]&lt;=TODAY(),IF(SUMIFS(estoque[lucro],estoque[fornecedor],"saída",estoque[data],vendaAno[[#This Row],[data]])=0,AVERAGE(BL144:BL146),SUMIFS(estoque[lucro],estoque[fornecedor],"saída",estoque[data],vendaAno[[#This Row],[data]])),"")</f>
        <v>157.35</v>
      </c>
      <c r="BM147" s="10">
        <f ca="1">IFERROR(vendaAno[[#This Row],[lucro]]/vendaAno[[#This Row],[valor de venda]],"")</f>
        <v>0.1937807881773399</v>
      </c>
      <c r="BN14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2269.7360609058442</v>
      </c>
      <c r="BO147" s="8">
        <f ca="1">IF(TODAY()&gt;=vendaAno[[#This Row],[data]],IF(vendaAno[[#This Row],[N°]]=BF146,vendaAno[[#This Row],[lucro]]-173.33+BO146,vendaAno[[#This Row],[lucro]]-150),"")</f>
        <v>-261.81</v>
      </c>
      <c r="BP147" s="81">
        <f ca="1">IF(TODAY()&gt;=vendaAno[[#This Row],[data]],SUM(BK141:BK147)*12,"")</f>
        <v>201</v>
      </c>
      <c r="BQ147" s="7">
        <f ca="1">IFERROR(vendaAno[[#This Row],[lucro]]/(vendaAno[[#This Row],[venda]]*12),"")</f>
        <v>3.7464285714285714</v>
      </c>
    </row>
    <row r="148" spans="1:69" x14ac:dyDescent="0.25">
      <c r="A1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</v>
      </c>
      <c r="B148" s="18" t="str">
        <f>TEXT(preçodiario[[#This Row],[data]],"MMM")</f>
        <v>mai</v>
      </c>
      <c r="C148" s="18" t="str">
        <f>TEXT(preçodiario[[#This Row],[data]],"ddd")</f>
        <v>qua</v>
      </c>
      <c r="D148" s="96">
        <f>WEEKNUM(preçodiario[[#This Row],[data]],13)</f>
        <v>22</v>
      </c>
      <c r="E148" s="37">
        <v>46169</v>
      </c>
      <c r="F1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Row],[data]])),((F147*G147)+SUMIFS(estoque[valor total],estoque[produto],preçodiario[[#Headers],[OVO BRANCO A]],estoque[data],preçodiario[[#This Row],[data]],estoque[fornecedor],"&lt;&gt;saída"))/(G147+(SUMIFS(estoque[quantidade],estoque[produto],preçodiario[[#Headers],[OVO BRANCO A]],estoque[fornecedor],"&lt;&gt;saída",estoque[data],preçodiario[[#This Row],[data]])))))</f>
        <v>15.60315992029887</v>
      </c>
      <c r="G148" s="22">
        <f>IF(preçodiario[[#This Row],[entrada A]]=0,G147-(SUMIFS(estoque[quantidade],estoque[fornecedor],"saída",estoque[produto],preçodiario[[#Headers],[OVO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Row],[data]]))+G147+preçodiario[[#This Row],[entrada A]])</f>
        <v>79</v>
      </c>
      <c r="H148" s="22">
        <f>SUMIFS(estoque[quantidade],estoque[fornecedor],"&lt;&gt;saída",estoque[produto],preçodiario[[#Headers],[OVO BRANCO A]],estoque[data],preçodiario[[#This Row],[data]])</f>
        <v>60</v>
      </c>
      <c r="I148" s="20">
        <f>SUMIFS(estoque[valor total],estoque[fornecedor],"&lt;&gt;saída",estoque[produto],preçodiario[[#Headers],[OVO BRANCO A]],estoque[data],preçodiario[[#This Row],[data]])</f>
        <v>925</v>
      </c>
      <c r="J148" s="20">
        <f>IFERROR(preçodiario[[#This Row],[estoque A]]*preçodiario[[#This Row],[OVO BRANCO A]],0)</f>
        <v>1232.6496337036108</v>
      </c>
      <c r="K1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Row],[data]])),((K147*L147)+SUMIFS(estoque[valor total],estoque[produto],preçodiario[[#Headers],[OVO BRANCO B]],estoque[data],preçodiario[[#This Row],[data]],estoque[fornecedor],"&lt;&gt;saída"))/(L147+(SUMIFS(estoque[quantidade],estoque[produto],preçodiario[[#Headers],[OVO BRANCO B]],estoque[fornecedor],"&lt;&gt;saída",estoque[data],preçodiario[[#This Row],[data]])))))</f>
        <v>15</v>
      </c>
      <c r="L148" s="22">
        <f>IF(preçodiario[[#This Row],[entrada B]]=0,L147-(SUMIFS(estoque[quantidade],estoque[fornecedor],"saída",estoque[produto],preçodiario[[#Headers],[OVO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Row],[data]]))+L147+preçodiario[[#This Row],[entrada B]])</f>
        <v>120</v>
      </c>
      <c r="M148" s="22">
        <f>SUMIFS(estoque[quantidade],estoque[fornecedor],"&lt;&gt;saída",estoque[produto],preçodiario[[#Headers],[OVO BRANCO B]],estoque[data],preçodiario[[#This Row],[data]])</f>
        <v>120</v>
      </c>
      <c r="N148" s="20">
        <f>SUMIFS(estoque[valor total],estoque[fornecedor],"&lt;&gt;saída",estoque[produto],preçodiario[[#Headers],[OVO BRANCO B]],estoque[data],preçodiario[[#This Row],[data]])</f>
        <v>1800</v>
      </c>
      <c r="O148" s="20">
        <f>IFERROR(preçodiario[[#This Row],[OVO BRANCO B]]*preçodiario[[#This Row],[estoque B]],0)</f>
        <v>1800</v>
      </c>
      <c r="P1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Row],[data]])),((P147*Q147)+SUMIFS(estoque[valor total],estoque[produto],preçodiario[[#Headers],[OVO BRANCO C]],estoque[data],preçodiario[[#This Row],[data]],estoque[fornecedor],"&lt;&gt;saída"))/(Q147+(SUMIFS(estoque[quantidade],estoque[produto],preçodiario[[#Headers],[OVO BRANCO C]],estoque[fornecedor],"&lt;&gt;saída",estoque[data],preçodiario[[#This Row],[data]])))))</f>
        <v>13.833333333333334</v>
      </c>
      <c r="Q148" s="22">
        <f>IF(preçodiario[[#This Row],[entrada C]]=0,Q147-(SUMIFS(estoque[quantidade],estoque[fornecedor],"saída",estoque[produto],preçodiario[[#Headers],[OVO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Row],[data]]))+Q147+preçodiario[[#This Row],[entrada C]])</f>
        <v>60</v>
      </c>
      <c r="R148" s="22">
        <f>SUMIFS(estoque[quantidade],estoque[fornecedor],"&lt;&gt;saída",estoque[produto],preçodiario[[#Headers],[OVO BRANCO C]],estoque[data],preçodiario[[#This Row],[data]])</f>
        <v>60</v>
      </c>
      <c r="S148" s="20">
        <f>SUMIFS(estoque[valor total],estoque[fornecedor],"&lt;&gt;saída",estoque[produto],preçodiario[[#Headers],[OVO BRANCO C]],estoque[data],preçodiario[[#This Row],[data]])</f>
        <v>830</v>
      </c>
      <c r="T148" s="20">
        <f>IFERROR(preçodiario[[#This Row],[OVO BRANCO C]]*preçodiario[[#This Row],[estoque C]],0)</f>
        <v>830</v>
      </c>
      <c r="U1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Row],[data]])),((U147*V147)+SUMIFS(estoque[valor total],estoque[produto],preçodiario[[#Headers],[OVO BRANCO EXTRA]],estoque[data],preçodiario[[#This Row],[data]],estoque[fornecedor],"&lt;&gt;saída"))/(V147+(SUMIFS(estoque[quantidade],estoque[produto],preçodiario[[#Headers],[OVO BRANCO EXTRA]],estoque[fornecedor],"&lt;&gt;saída",estoque[data],preçodiario[[#This Row],[data]])))))</f>
        <v>16.373456790123459</v>
      </c>
      <c r="V148" s="22">
        <f>IF(preçodiario[[#This Row],[entrada E]]=0,V147-(SUMIFS(estoque[quantidade],estoque[fornecedor],"saída",estoque[produto],preçodiario[[#Headers],[OVO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Row],[data]]))+V147+preçodiario[[#This Row],[entrada E]])</f>
        <v>134</v>
      </c>
      <c r="W148" s="22">
        <f>SUMIFS(estoque[quantidade],estoque[fornecedor],"&lt;&gt;saída",estoque[produto],preçodiario[[#Headers],[OVO BRANCO EXTRA]],estoque[data],preçodiario[[#This Row],[data]])</f>
        <v>60</v>
      </c>
      <c r="X148" s="20">
        <f>SUMIFS(estoque[valor total],estoque[fornecedor],"&lt;&gt;saída",estoque[produto],preçodiario[[#Headers],[OVO BRANCO EXTRA]],estoque[data],preçodiario[[#This Row],[data]])</f>
        <v>975</v>
      </c>
      <c r="Y148" s="20">
        <f>IFERROR(preçodiario[[#This Row],[estoque E]]*preçodiario[[#This Row],[OVO BRANCO EXTRA]],0)</f>
        <v>2194.0432098765436</v>
      </c>
      <c r="Z1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Row],[data]])),((Z147*AA147)+SUMIFS(estoque[valor total],estoque[produto],preçodiario[[#Headers],[OVO BRANCO JUMBO]],estoque[data],preçodiario[[#This Row],[data]],estoque[fornecedor],"&lt;&gt;saída"))/(AA147+(SUMIFS(estoque[quantidade],estoque[produto],preçodiario[[#Headers],[OVO BRANCO JUMBO]],estoque[fornecedor],"&lt;&gt;saída",estoque[data],preçodiario[[#This Row],[data]])))))</f>
        <v>17.412409584086802</v>
      </c>
      <c r="AA148" s="22">
        <f>IF(preçodiario[[#This Row],[entrada J]]=0,AA147-(SUMIFS(estoque[quantidade],estoque[fornecedor],"saída",estoque[produto],preçodiario[[#Headers],[OVO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Row],[data]]))+AA147+preçodiario[[#This Row],[entrada J]])</f>
        <v>72</v>
      </c>
      <c r="AB148" s="22">
        <f>SUMIFS(estoque[quantidade],estoque[fornecedor],"&lt;&gt;saída",estoque[produto],preçodiario[[#Headers],[OVO BRANCO JUMBO]],estoque[data],preçodiario[[#This Row],[data]])</f>
        <v>48</v>
      </c>
      <c r="AC148" s="20">
        <f>SUMIFS(estoque[valor total],estoque[fornecedor],"&lt;&gt;saída",estoque[produto],preçodiario[[#Headers],[OVO BRANCO JUMBO]],estoque[data],preçodiario[[#This Row],[data]])</f>
        <v>840</v>
      </c>
      <c r="AD148" s="20">
        <f>IFERROR(preçodiario[[#This Row],[OVO BRANCO JUMBO]]*preçodiario[[#This Row],[estoque J]],0)</f>
        <v>1253.6934900542497</v>
      </c>
      <c r="AE1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Row],[data]])),((AE147*AF147)+SUMIFS(estoque[valor total],estoque[produto],preçodiario[[#Headers],[OVO VERMELHO A]],estoque[data],preçodiario[[#This Row],[data]],estoque[fornecedor],"&lt;&gt;saída"))/(AF147+(SUMIFS(estoque[quantidade],estoque[produto],preçodiario[[#Headers],[OVO VERMELHO A]],estoque[fornecedor],"&lt;&gt;saída",estoque[data],preçodiario[[#This Row],[data]])))))</f>
        <v/>
      </c>
      <c r="AF148" s="22">
        <f>IF(preçodiario[[#This Row],[entrada AV]]=0,AF147-(SUMIFS(estoque[quantidade],estoque[fornecedor],"saída",estoque[produto],preçodiario[[#Headers],[OVO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Row],[data]]))+AF147+preçodiario[[#This Row],[entrada AV]])</f>
        <v>0</v>
      </c>
      <c r="AG148" s="22">
        <f>SUMIFS(estoque[quantidade],estoque[fornecedor],"&lt;&gt;saída",estoque[produto],preçodiario[[#Headers],[OVO VERMELHO A]],estoque[data],preçodiario[[#This Row],[data]])</f>
        <v>0</v>
      </c>
      <c r="AH148" s="20">
        <f>SUMIFS(estoque[valor total],estoque[fornecedor],"&lt;&gt;saída",estoque[produto],preçodiario[[#Headers],[OVO VERMELHO A]],estoque[data],preçodiario[[#This Row],[data]])</f>
        <v>0</v>
      </c>
      <c r="AI148" s="20">
        <f>IFERROR(preçodiario[[#This Row],[OVO VERMELHO A]]*preçodiario[[#This Row],[estoque AV]],0)</f>
        <v>0</v>
      </c>
      <c r="AJ1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Row],[data]])),((AJ147*AK147)+SUMIFS(estoque[valor total],estoque[produto],preçodiario[[#Headers],[OVO VERMELHO B]],estoque[data],preçodiario[[#This Row],[data]],estoque[fornecedor],"&lt;&gt;saída"))/(AK147+(SUMIFS(estoque[quantidade],estoque[produto],preçodiario[[#Headers],[OVO VERMELHO B]],estoque[fornecedor],"&lt;&gt;saída",estoque[data],preçodiario[[#This Row],[data]])))))</f>
        <v/>
      </c>
      <c r="AK148" s="22">
        <f>IF(preçodiario[[#This Row],[entrada BV]]=0,AK147-(SUMIFS(estoque[quantidade],estoque[fornecedor],"saída",estoque[produto],preçodiario[[#Headers],[OVO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Row],[data]]))+AK147+preçodiario[[#This Row],[entrada BV]])</f>
        <v>0</v>
      </c>
      <c r="AL148" s="22">
        <f>SUMIFS(estoque[quantidade],estoque[fornecedor],"&lt;&gt;saída",estoque[produto],preçodiario[[#Headers],[OVO VERMELHO B]],estoque[data],preçodiario[[#This Row],[data]])</f>
        <v>0</v>
      </c>
      <c r="AM148" s="20">
        <f>SUMIFS(estoque[valor total],estoque[fornecedor],"&lt;&gt;saída",estoque[produto],preçodiario[[#Headers],[OVO VERMELHO B]],estoque[data],preçodiario[[#This Row],[data]])</f>
        <v>0</v>
      </c>
      <c r="AN148" s="20">
        <f>IFERROR(preçodiario[[#This Row],[OVO VERMELHO B]]*preçodiario[[#This Row],[estoque BV]],0)</f>
        <v>0</v>
      </c>
      <c r="AO1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Row],[data]])),((AO147*AP147)+SUMIFS(estoque[valor total],estoque[produto],preçodiario[[#Headers],[OVO VERMELHO C]],estoque[data],preçodiario[[#This Row],[data]],estoque[fornecedor],"&lt;&gt;saída"))/(AP147+(SUMIFS(estoque[quantidade],estoque[produto],preçodiario[[#Headers],[OVO VERMELHO C]],estoque[fornecedor],"&lt;&gt;saída",estoque[data],preçodiario[[#This Row],[data]])))))</f>
        <v/>
      </c>
      <c r="AP148" s="22">
        <f>IF(preçodiario[[#This Row],[entrada CV]]=0,AP147-(SUMIFS(estoque[quantidade],estoque[fornecedor],"saída",estoque[produto],preçodiario[[#Headers],[OVO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Row],[data]]))+AP147+preçodiario[[#This Row],[entrada CV]])</f>
        <v>0</v>
      </c>
      <c r="AQ148" s="22">
        <f>SUMIFS(estoque[quantidade],estoque[fornecedor],"&lt;&gt;saída",estoque[produto],preçodiario[[#Headers],[OVO VERMELHO C]],estoque[data],preçodiario[[#This Row],[data]])</f>
        <v>0</v>
      </c>
      <c r="AR148" s="20">
        <f>SUMIFS(estoque[valor total],estoque[fornecedor],"&lt;&gt;saída",estoque[produto],preçodiario[[#Headers],[OVO VERMELHO C]],estoque[data],preçodiario[[#This Row],[data]])</f>
        <v>0</v>
      </c>
      <c r="AS148" s="20">
        <f>IFERROR(preçodiario[[#This Row],[OVO VERMELHO C]]*preçodiario[[#This Row],[estoque CV]],0)</f>
        <v>0</v>
      </c>
      <c r="AT1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Row],[data]])),((AT147*AU147)+SUMIFS(estoque[valor total],estoque[produto],preçodiario[[#Headers],[OVO VERMELHO EXTRA]],estoque[data],preçodiario[[#This Row],[data]],estoque[fornecedor],"&lt;&gt;saída"))/(AU147+(SUMIFS(estoque[quantidade],estoque[produto],preçodiario[[#Headers],[OVO VERMELHO EXTRA]],estoque[fornecedor],"&lt;&gt;saída",estoque[data],preçodiario[[#This Row],[data]])))))</f>
        <v/>
      </c>
      <c r="AU148" s="22">
        <f>IF(preçodiario[[#This Row],[entrada EV]]=0,AU147-(SUMIFS(estoque[quantidade],estoque[fornecedor],"saída",estoque[produto],preçodiario[[#Headers],[OVO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Row],[data]]))+AU147+preçodiario[[#This Row],[entrada EV]])</f>
        <v>0</v>
      </c>
      <c r="AV148" s="22">
        <f>SUMIFS(estoque[quantidade],estoque[fornecedor],"&lt;&gt;saída",estoque[produto],preçodiario[[#Headers],[OVO VERMELHO EXTRA]],estoque[data],preçodiario[[#This Row],[data]])</f>
        <v>0</v>
      </c>
      <c r="AW148" s="20">
        <f>SUMIFS(estoque[valor total],estoque[fornecedor],"&lt;&gt;saída",estoque[produto],preçodiario[[#Headers],[OVO VERMELHO EXTRA]],estoque[data],preçodiario[[#This Row],[data]])</f>
        <v>0</v>
      </c>
      <c r="AX148" s="20">
        <f>IFERROR(preçodiario[[#This Row],[OVO VERMELHO EXTRA]]*preçodiario[[#This Row],[estoque EV]],0)</f>
        <v>0</v>
      </c>
      <c r="AY1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Row],[data]])),((AY147*AZ147)+SUMIFS(estoque[valor total],estoque[produto],preçodiario[[#Headers],[OVO VERMELHO JUMBO]],estoque[data],preçodiario[[#This Row],[data]],estoque[fornecedor],"&lt;&gt;saída"))/(AZ147+(SUMIFS(estoque[quantidade],estoque[produto],preçodiario[[#Headers],[OVO VERMELHO JUMBO]],estoque[fornecedor],"&lt;&gt;saída",estoque[data],preçodiario[[#This Row],[data]])))))</f>
        <v/>
      </c>
      <c r="AZ148" s="22">
        <f>IF(preçodiario[[#This Row],[entrada JV]]=0,AZ147-(SUMIFS(estoque[quantidade],estoque[fornecedor],"saída",estoque[produto],preçodiario[[#Headers],[OVO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Row],[data]]))+AZ147+preçodiario[[#This Row],[entrada JV]])</f>
        <v>0</v>
      </c>
      <c r="BA148" s="22">
        <f>SUMIFS(estoque[quantidade],estoque[fornecedor],"&lt;&gt;saída",estoque[produto],preçodiario[[#Headers],[OVO VERMELHO JUMBO]],estoque[data],preçodiario[[#This Row],[data]])</f>
        <v>0</v>
      </c>
      <c r="BB148" s="20">
        <f>SUMIFS(estoque[valor total],estoque[fornecedor],"&lt;&gt;saída",estoque[produto],preçodiario[[#Headers],[OVO VERMELHO JUMBO]],estoque[data],preçodiario[[#This Row],[data]])</f>
        <v>0</v>
      </c>
      <c r="BC148" s="20">
        <f>IFERROR(preçodiario[[#This Row],[OVO VERMELHO JUMBO]]*preçodiario[[#This Row],[estoque JV]],0)</f>
        <v>0</v>
      </c>
      <c r="BD148" t="str">
        <f>TEXT(vendaAno[[#This Row],[data]],"mmm")</f>
        <v>mai</v>
      </c>
      <c r="BE148" t="str">
        <f>TEXT(vendaAno[[#This Row],[data]],"ddd")</f>
        <v>qua</v>
      </c>
      <c r="BF148" s="82">
        <f>WEEKNUM(vendaAno[[#This Row],[data]],13)</f>
        <v>22</v>
      </c>
      <c r="BG148" s="27">
        <f>preçodiario[[#This Row],[data]]</f>
        <v>46169</v>
      </c>
      <c r="BH148" s="8">
        <f>IF(SUMIFS(estoque[valor total],estoque[fornecedor],"&lt;&gt;saída",estoque[data],vendaAno[[#This Row],[data]])=0,"",SUMIFS(estoque[valor total],estoque[fornecedor],"&lt;&gt;saída",estoque[data],vendaAno[[#This Row],[data]]))</f>
        <v>5370</v>
      </c>
      <c r="BI148" s="8">
        <f>IF(SUMIFS(estoque[valor total],estoque[fornecedor],"saída",estoque[data],vendaAno[[#This Row],[data]])=0,"",SUMIFS(estoque[valor total],estoque[fornecedor],"saída",estoque[data],vendaAno[[#This Row],[data]]))</f>
        <v>420</v>
      </c>
      <c r="BJ14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Row],[data]]))/12+BJ147,"")</f>
        <v>38.749999999999979</v>
      </c>
      <c r="BK148" s="79">
        <f ca="1">IF(TODAY()&gt;=vendaAno[[#This Row],[data]],IF(SUMIFS(estoque[quantidade],estoque[fornecedor],"saída",estoque[data],vendaAno[[#This Row],[data]])/12=0,AVERAGE(BK145:BK147),SUMIFS(estoque[quantidade],estoque[fornecedor],"saída",estoque[data],vendaAno[[#This Row],[data]])/12),"")</f>
        <v>1.6666666666666667</v>
      </c>
      <c r="BL148" s="8">
        <f ca="1">IF(vendaAno[[#This Row],[data]]&lt;=TODAY(),IF(SUMIFS(estoque[lucro],estoque[fornecedor],"saída",estoque[data],vendaAno[[#This Row],[data]])=0,AVERAGE(BL145:BL147),SUMIFS(estoque[lucro],estoque[fornecedor],"saída",estoque[data],vendaAno[[#This Row],[data]])),"")</f>
        <v>88.03</v>
      </c>
      <c r="BM148" s="10">
        <f ca="1">IFERROR(vendaAno[[#This Row],[lucro]]/vendaAno[[#This Row],[valor de venda]],"")</f>
        <v>0.20959523809523808</v>
      </c>
      <c r="BN14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7310.3863336344039</v>
      </c>
      <c r="BO148" s="8">
        <f ca="1">IF(TODAY()&gt;=vendaAno[[#This Row],[data]],IF(vendaAno[[#This Row],[N°]]=BF147,vendaAno[[#This Row],[lucro]]-173.33+BO147,vendaAno[[#This Row],[lucro]]-150),"")</f>
        <v>-61.97</v>
      </c>
      <c r="BP148" s="81">
        <f ca="1">IF(TODAY()&gt;=vendaAno[[#This Row],[data]],SUM(BK142:BK148)*12,"")</f>
        <v>184.99999999999997</v>
      </c>
      <c r="BQ148" s="7">
        <f ca="1">IFERROR(vendaAno[[#This Row],[lucro]]/(vendaAno[[#This Row],[venda]]*12),"")</f>
        <v>4.4015000000000004</v>
      </c>
    </row>
    <row r="149" spans="1:69" x14ac:dyDescent="0.25">
      <c r="A1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49" s="18" t="str">
        <f>TEXT(preçodiario[[#This Row],[data]],"MMM")</f>
        <v>mai</v>
      </c>
      <c r="C149" s="18" t="str">
        <f>TEXT(preçodiario[[#This Row],[data]],"ddd")</f>
        <v>qui</v>
      </c>
      <c r="D149" s="96">
        <f>WEEKNUM(preçodiario[[#This Row],[data]],13)</f>
        <v>22</v>
      </c>
      <c r="E149" s="37">
        <v>46170</v>
      </c>
      <c r="F1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Row],[data]])),((F148*G148)+SUMIFS(estoque[valor total],estoque[produto],preçodiario[[#Headers],[OVO BRANCO A]],estoque[data],preçodiario[[#This Row],[data]],estoque[fornecedor],"&lt;&gt;saída"))/(G148+(SUMIFS(estoque[quantidade],estoque[produto],preçodiario[[#Headers],[OVO BRANCO A]],estoque[fornecedor],"&lt;&gt;saída",estoque[data],preçodiario[[#This Row],[data]])))))</f>
        <v>15.603159920298872</v>
      </c>
      <c r="G149" s="22">
        <f>IF(preçodiario[[#This Row],[entrada A]]=0,G148-(SUMIFS(estoque[quantidade],estoque[fornecedor],"saída",estoque[produto],preçodiario[[#Headers],[OVO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Row],[data]]))+G148+preçodiario[[#This Row],[entrada A]])</f>
        <v>62</v>
      </c>
      <c r="H149" s="22">
        <f>SUMIFS(estoque[quantidade],estoque[fornecedor],"&lt;&gt;saída",estoque[produto],preçodiario[[#Headers],[OVO BRANCO A]],estoque[data],preçodiario[[#This Row],[data]])</f>
        <v>0</v>
      </c>
      <c r="I149" s="20">
        <f>SUMIFS(estoque[valor total],estoque[fornecedor],"&lt;&gt;saída",estoque[produto],preçodiario[[#Headers],[OVO BRANCO A]],estoque[data],preçodiario[[#This Row],[data]])</f>
        <v>0</v>
      </c>
      <c r="J149" s="20">
        <f>IFERROR(preçodiario[[#This Row],[estoque A]]*preçodiario[[#This Row],[OVO BRANCO A]],0)</f>
        <v>967.39591505853002</v>
      </c>
      <c r="K1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Row],[data]])),((K148*L148)+SUMIFS(estoque[valor total],estoque[produto],preçodiario[[#Headers],[OVO BRANCO B]],estoque[data],preçodiario[[#This Row],[data]],estoque[fornecedor],"&lt;&gt;saída"))/(L148+(SUMIFS(estoque[quantidade],estoque[produto],preçodiario[[#Headers],[OVO BRANCO B]],estoque[fornecedor],"&lt;&gt;saída",estoque[data],preçodiario[[#This Row],[data]])))))</f>
        <v>15</v>
      </c>
      <c r="L149" s="22">
        <f>IF(preçodiario[[#This Row],[entrada B]]=0,L148-(SUMIFS(estoque[quantidade],estoque[fornecedor],"saída",estoque[produto],preçodiario[[#Headers],[OVO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Row],[data]]))+L148+preçodiario[[#This Row],[entrada B]])</f>
        <v>118</v>
      </c>
      <c r="M149" s="22">
        <f>SUMIFS(estoque[quantidade],estoque[fornecedor],"&lt;&gt;saída",estoque[produto],preçodiario[[#Headers],[OVO BRANCO B]],estoque[data],preçodiario[[#This Row],[data]])</f>
        <v>0</v>
      </c>
      <c r="N149" s="20">
        <f>SUMIFS(estoque[valor total],estoque[fornecedor],"&lt;&gt;saída",estoque[produto],preçodiario[[#Headers],[OVO BRANCO B]],estoque[data],preçodiario[[#This Row],[data]])</f>
        <v>0</v>
      </c>
      <c r="O149" s="20">
        <f>IFERROR(preçodiario[[#This Row],[OVO BRANCO B]]*preçodiario[[#This Row],[estoque B]],0)</f>
        <v>1770</v>
      </c>
      <c r="P1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Row],[data]])),((P148*Q148)+SUMIFS(estoque[valor total],estoque[produto],preçodiario[[#Headers],[OVO BRANCO C]],estoque[data],preçodiario[[#This Row],[data]],estoque[fornecedor],"&lt;&gt;saída"))/(Q148+(SUMIFS(estoque[quantidade],estoque[produto],preçodiario[[#Headers],[OVO BRANCO C]],estoque[fornecedor],"&lt;&gt;saída",estoque[data],preçodiario[[#This Row],[data]])))))</f>
        <v>13.833333333333334</v>
      </c>
      <c r="Q149" s="22">
        <f>IF(preçodiario[[#This Row],[entrada C]]=0,Q148-(SUMIFS(estoque[quantidade],estoque[fornecedor],"saída",estoque[produto],preçodiario[[#Headers],[OVO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Row],[data]]))+Q148+preçodiario[[#This Row],[entrada C]])</f>
        <v>57</v>
      </c>
      <c r="R149" s="22">
        <f>SUMIFS(estoque[quantidade],estoque[fornecedor],"&lt;&gt;saída",estoque[produto],preçodiario[[#Headers],[OVO BRANCO C]],estoque[data],preçodiario[[#This Row],[data]])</f>
        <v>0</v>
      </c>
      <c r="S149" s="20">
        <f>SUMIFS(estoque[valor total],estoque[fornecedor],"&lt;&gt;saída",estoque[produto],preçodiario[[#Headers],[OVO BRANCO C]],estoque[data],preçodiario[[#This Row],[data]])</f>
        <v>0</v>
      </c>
      <c r="T149" s="20">
        <f>IFERROR(preçodiario[[#This Row],[OVO BRANCO C]]*preçodiario[[#This Row],[estoque C]],0)</f>
        <v>788.5</v>
      </c>
      <c r="U1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Row],[data]])),((U148*V148)+SUMIFS(estoque[valor total],estoque[produto],preçodiario[[#Headers],[OVO BRANCO EXTRA]],estoque[data],preçodiario[[#This Row],[data]],estoque[fornecedor],"&lt;&gt;saída"))/(V148+(SUMIFS(estoque[quantidade],estoque[produto],preçodiario[[#Headers],[OVO BRANCO EXTRA]],estoque[fornecedor],"&lt;&gt;saída",estoque[data],preçodiario[[#This Row],[data]])))))</f>
        <v>16.373456790123459</v>
      </c>
      <c r="V149" s="22">
        <f>IF(preçodiario[[#This Row],[entrada E]]=0,V148-(SUMIFS(estoque[quantidade],estoque[fornecedor],"saída",estoque[produto],preçodiario[[#Headers],[OVO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Row],[data]]))+V148+preçodiario[[#This Row],[entrada E]])</f>
        <v>128</v>
      </c>
      <c r="W149" s="22">
        <f>SUMIFS(estoque[quantidade],estoque[fornecedor],"&lt;&gt;saída",estoque[produto],preçodiario[[#Headers],[OVO BRANCO EXTRA]],estoque[data],preçodiario[[#This Row],[data]])</f>
        <v>0</v>
      </c>
      <c r="X149" s="20">
        <f>SUMIFS(estoque[valor total],estoque[fornecedor],"&lt;&gt;saída",estoque[produto],preçodiario[[#Headers],[OVO BRANCO EXTRA]],estoque[data],preçodiario[[#This Row],[data]])</f>
        <v>0</v>
      </c>
      <c r="Y149" s="20">
        <f>IFERROR(preçodiario[[#This Row],[estoque E]]*preçodiario[[#This Row],[OVO BRANCO EXTRA]],0)</f>
        <v>2095.8024691358028</v>
      </c>
      <c r="Z1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Row],[data]])),((Z148*AA148)+SUMIFS(estoque[valor total],estoque[produto],preçodiario[[#Headers],[OVO BRANCO JUMBO]],estoque[data],preçodiario[[#This Row],[data]],estoque[fornecedor],"&lt;&gt;saída"))/(AA148+(SUMIFS(estoque[quantidade],estoque[produto],preçodiario[[#Headers],[OVO BRANCO JUMBO]],estoque[fornecedor],"&lt;&gt;saída",estoque[data],preçodiario[[#This Row],[data]])))))</f>
        <v>17.412409584086802</v>
      </c>
      <c r="AA149" s="22">
        <f>IF(preçodiario[[#This Row],[entrada J]]=0,AA148-(SUMIFS(estoque[quantidade],estoque[fornecedor],"saída",estoque[produto],preçodiario[[#Headers],[OVO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Row],[data]]))+AA148+preçodiario[[#This Row],[entrada J]])</f>
        <v>66</v>
      </c>
      <c r="AB149" s="22">
        <f>SUMIFS(estoque[quantidade],estoque[fornecedor],"&lt;&gt;saída",estoque[produto],preçodiario[[#Headers],[OVO BRANCO JUMBO]],estoque[data],preçodiario[[#This Row],[data]])</f>
        <v>0</v>
      </c>
      <c r="AC149" s="20">
        <f>SUMIFS(estoque[valor total],estoque[fornecedor],"&lt;&gt;saída",estoque[produto],preçodiario[[#Headers],[OVO BRANCO JUMBO]],estoque[data],preçodiario[[#This Row],[data]])</f>
        <v>0</v>
      </c>
      <c r="AD149" s="20">
        <f>IFERROR(preçodiario[[#This Row],[OVO BRANCO JUMBO]]*preçodiario[[#This Row],[estoque J]],0)</f>
        <v>1149.219032549729</v>
      </c>
      <c r="AE1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Row],[data]])),((AE148*AF148)+SUMIFS(estoque[valor total],estoque[produto],preçodiario[[#Headers],[OVO VERMELHO A]],estoque[data],preçodiario[[#This Row],[data]],estoque[fornecedor],"&lt;&gt;saída"))/(AF148+(SUMIFS(estoque[quantidade],estoque[produto],preçodiario[[#Headers],[OVO VERMELHO A]],estoque[fornecedor],"&lt;&gt;saída",estoque[data],preçodiario[[#This Row],[data]])))))</f>
        <v/>
      </c>
      <c r="AF149" s="22">
        <f>IF(preçodiario[[#This Row],[entrada AV]]=0,AF148-(SUMIFS(estoque[quantidade],estoque[fornecedor],"saída",estoque[produto],preçodiario[[#Headers],[OVO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Row],[data]]))+AF148+preçodiario[[#This Row],[entrada AV]])</f>
        <v>0</v>
      </c>
      <c r="AG149" s="22">
        <f>SUMIFS(estoque[quantidade],estoque[fornecedor],"&lt;&gt;saída",estoque[produto],preçodiario[[#Headers],[OVO VERMELHO A]],estoque[data],preçodiario[[#This Row],[data]])</f>
        <v>0</v>
      </c>
      <c r="AH149" s="20">
        <f>SUMIFS(estoque[valor total],estoque[fornecedor],"&lt;&gt;saída",estoque[produto],preçodiario[[#Headers],[OVO VERMELHO A]],estoque[data],preçodiario[[#This Row],[data]])</f>
        <v>0</v>
      </c>
      <c r="AI149" s="20">
        <f>IFERROR(preçodiario[[#This Row],[OVO VERMELHO A]]*preçodiario[[#This Row],[estoque AV]],0)</f>
        <v>0</v>
      </c>
      <c r="AJ1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Row],[data]])),((AJ148*AK148)+SUMIFS(estoque[valor total],estoque[produto],preçodiario[[#Headers],[OVO VERMELHO B]],estoque[data],preçodiario[[#This Row],[data]],estoque[fornecedor],"&lt;&gt;saída"))/(AK148+(SUMIFS(estoque[quantidade],estoque[produto],preçodiario[[#Headers],[OVO VERMELHO B]],estoque[fornecedor],"&lt;&gt;saída",estoque[data],preçodiario[[#This Row],[data]])))))</f>
        <v/>
      </c>
      <c r="AK149" s="22">
        <f>IF(preçodiario[[#This Row],[entrada BV]]=0,AK148-(SUMIFS(estoque[quantidade],estoque[fornecedor],"saída",estoque[produto],preçodiario[[#Headers],[OVO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Row],[data]]))+AK148+preçodiario[[#This Row],[entrada BV]])</f>
        <v>0</v>
      </c>
      <c r="AL149" s="22">
        <f>SUMIFS(estoque[quantidade],estoque[fornecedor],"&lt;&gt;saída",estoque[produto],preçodiario[[#Headers],[OVO VERMELHO B]],estoque[data],preçodiario[[#This Row],[data]])</f>
        <v>0</v>
      </c>
      <c r="AM149" s="20">
        <f>SUMIFS(estoque[valor total],estoque[fornecedor],"&lt;&gt;saída",estoque[produto],preçodiario[[#Headers],[OVO VERMELHO B]],estoque[data],preçodiario[[#This Row],[data]])</f>
        <v>0</v>
      </c>
      <c r="AN149" s="20">
        <f>IFERROR(preçodiario[[#This Row],[OVO VERMELHO B]]*preçodiario[[#This Row],[estoque BV]],0)</f>
        <v>0</v>
      </c>
      <c r="AO1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Row],[data]])),((AO148*AP148)+SUMIFS(estoque[valor total],estoque[produto],preçodiario[[#Headers],[OVO VERMELHO C]],estoque[data],preçodiario[[#This Row],[data]],estoque[fornecedor],"&lt;&gt;saída"))/(AP148+(SUMIFS(estoque[quantidade],estoque[produto],preçodiario[[#Headers],[OVO VERMELHO C]],estoque[fornecedor],"&lt;&gt;saída",estoque[data],preçodiario[[#This Row],[data]])))))</f>
        <v/>
      </c>
      <c r="AP149" s="22">
        <f>IF(preçodiario[[#This Row],[entrada CV]]=0,AP148-(SUMIFS(estoque[quantidade],estoque[fornecedor],"saída",estoque[produto],preçodiario[[#Headers],[OVO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Row],[data]]))+AP148+preçodiario[[#This Row],[entrada CV]])</f>
        <v>0</v>
      </c>
      <c r="AQ149" s="22">
        <f>SUMIFS(estoque[quantidade],estoque[fornecedor],"&lt;&gt;saída",estoque[produto],preçodiario[[#Headers],[OVO VERMELHO C]],estoque[data],preçodiario[[#This Row],[data]])</f>
        <v>0</v>
      </c>
      <c r="AR149" s="20">
        <f>SUMIFS(estoque[valor total],estoque[fornecedor],"&lt;&gt;saída",estoque[produto],preçodiario[[#Headers],[OVO VERMELHO C]],estoque[data],preçodiario[[#This Row],[data]])</f>
        <v>0</v>
      </c>
      <c r="AS149" s="20">
        <f>IFERROR(preçodiario[[#This Row],[OVO VERMELHO C]]*preçodiario[[#This Row],[estoque CV]],0)</f>
        <v>0</v>
      </c>
      <c r="AT1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Row],[data]])),((AT148*AU148)+SUMIFS(estoque[valor total],estoque[produto],preçodiario[[#Headers],[OVO VERMELHO EXTRA]],estoque[data],preçodiario[[#This Row],[data]],estoque[fornecedor],"&lt;&gt;saída"))/(AU148+(SUMIFS(estoque[quantidade],estoque[produto],preçodiario[[#Headers],[OVO VERMELHO EXTRA]],estoque[fornecedor],"&lt;&gt;saída",estoque[data],preçodiario[[#This Row],[data]])))))</f>
        <v/>
      </c>
      <c r="AU149" s="22">
        <f>IF(preçodiario[[#This Row],[entrada EV]]=0,AU148-(SUMIFS(estoque[quantidade],estoque[fornecedor],"saída",estoque[produto],preçodiario[[#Headers],[OVO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Row],[data]]))+AU148+preçodiario[[#This Row],[entrada EV]])</f>
        <v>0</v>
      </c>
      <c r="AV149" s="22">
        <f>SUMIFS(estoque[quantidade],estoque[fornecedor],"&lt;&gt;saída",estoque[produto],preçodiario[[#Headers],[OVO VERMELHO EXTRA]],estoque[data],preçodiario[[#This Row],[data]])</f>
        <v>0</v>
      </c>
      <c r="AW149" s="20">
        <f>SUMIFS(estoque[valor total],estoque[fornecedor],"&lt;&gt;saída",estoque[produto],preçodiario[[#Headers],[OVO VERMELHO EXTRA]],estoque[data],preçodiario[[#This Row],[data]])</f>
        <v>0</v>
      </c>
      <c r="AX149" s="20">
        <f>IFERROR(preçodiario[[#This Row],[OVO VERMELHO EXTRA]]*preçodiario[[#This Row],[estoque EV]],0)</f>
        <v>0</v>
      </c>
      <c r="AY1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Row],[data]])),((AY148*AZ148)+SUMIFS(estoque[valor total],estoque[produto],preçodiario[[#Headers],[OVO VERMELHO JUMBO]],estoque[data],preçodiario[[#This Row],[data]],estoque[fornecedor],"&lt;&gt;saída"))/(AZ148+(SUMIFS(estoque[quantidade],estoque[produto],preçodiario[[#Headers],[OVO VERMELHO JUMBO]],estoque[fornecedor],"&lt;&gt;saída",estoque[data],preçodiario[[#This Row],[data]])))))</f>
        <v/>
      </c>
      <c r="AZ149" s="22">
        <f>IF(preçodiario[[#This Row],[entrada JV]]=0,AZ148-(SUMIFS(estoque[quantidade],estoque[fornecedor],"saída",estoque[produto],preçodiario[[#Headers],[OVO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Row],[data]]))+AZ148+preçodiario[[#This Row],[entrada JV]])</f>
        <v>0</v>
      </c>
      <c r="BA149" s="22">
        <f>SUMIFS(estoque[quantidade],estoque[fornecedor],"&lt;&gt;saída",estoque[produto],preçodiario[[#Headers],[OVO VERMELHO JUMBO]],estoque[data],preçodiario[[#This Row],[data]])</f>
        <v>0</v>
      </c>
      <c r="BB149" s="20">
        <f>SUMIFS(estoque[valor total],estoque[fornecedor],"&lt;&gt;saída",estoque[produto],preçodiario[[#Headers],[OVO VERMELHO JUMBO]],estoque[data],preçodiario[[#This Row],[data]])</f>
        <v>0</v>
      </c>
      <c r="BC149" s="20">
        <f>IFERROR(preçodiario[[#This Row],[OVO VERMELHO JUMBO]]*preçodiario[[#This Row],[estoque JV]],0)</f>
        <v>0</v>
      </c>
      <c r="BD149" t="str">
        <f>TEXT(vendaAno[[#This Row],[data]],"mmm")</f>
        <v>mai</v>
      </c>
      <c r="BE149" t="str">
        <f>TEXT(vendaAno[[#This Row],[data]],"ddd")</f>
        <v>qui</v>
      </c>
      <c r="BF149" s="82">
        <f>WEEKNUM(vendaAno[[#This Row],[data]],13)</f>
        <v>22</v>
      </c>
      <c r="BG149" s="27">
        <f>preçodiario[[#This Row],[data]]</f>
        <v>46170</v>
      </c>
      <c r="BH1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49" s="8">
        <f>IF(SUMIFS(estoque[valor total],estoque[fornecedor],"saída",estoque[data],vendaAno[[#This Row],[data]])=0,"",SUMIFS(estoque[valor total],estoque[fornecedor],"saída",estoque[data],vendaAno[[#This Row],[data]]))</f>
        <v>659</v>
      </c>
      <c r="BJ14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Row],[data]]))/12+BJ148,"")</f>
        <v>35.916666666666643</v>
      </c>
      <c r="BK149" s="79">
        <f ca="1">IF(TODAY()&gt;=vendaAno[[#This Row],[data]],IF(SUMIFS(estoque[quantidade],estoque[fornecedor],"saída",estoque[data],vendaAno[[#This Row],[data]])/12=0,AVERAGE(BK146:BK148),SUMIFS(estoque[quantidade],estoque[fornecedor],"saída",estoque[data],vendaAno[[#This Row],[data]])/12),"")</f>
        <v>2.8333333333333335</v>
      </c>
      <c r="BL149" s="8">
        <f ca="1">IF(vendaAno[[#This Row],[data]]&lt;=TODAY(),IF(SUMIFS(estoque[lucro],estoque[fornecedor],"saída",estoque[data],vendaAno[[#This Row],[data]])=0,AVERAGE(BL146:BL148),SUMIFS(estoque[lucro],estoque[fornecedor],"saída",estoque[data],vendaAno[[#This Row],[data]])),"")</f>
        <v>119.54</v>
      </c>
      <c r="BM149" s="10">
        <f ca="1">IFERROR(vendaAno[[#This Row],[lucro]]/vendaAno[[#This Row],[valor de venda]],"")</f>
        <v>0.18139605462822458</v>
      </c>
      <c r="BN14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6770.9174167440615</v>
      </c>
      <c r="BO149" s="8">
        <f ca="1">IF(TODAY()&gt;=vendaAno[[#This Row],[data]],IF(vendaAno[[#This Row],[N°]]=BF148,vendaAno[[#This Row],[lucro]]-173.33+BO148,vendaAno[[#This Row],[lucro]]-150),"")</f>
        <v>-115.76</v>
      </c>
      <c r="BP149" s="81">
        <f ca="1">IF(TODAY()&gt;=vendaAno[[#This Row],[data]],SUM(BK143:BK149)*12,"")</f>
        <v>187</v>
      </c>
      <c r="BQ149" s="7">
        <f ca="1">IFERROR(vendaAno[[#This Row],[lucro]]/(vendaAno[[#This Row],[venda]]*12),"")</f>
        <v>3.5158823529411767</v>
      </c>
    </row>
    <row r="150" spans="1:69" x14ac:dyDescent="0.25">
      <c r="A1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50" s="18" t="str">
        <f>TEXT(preçodiario[[#This Row],[data]],"MMM")</f>
        <v>mai</v>
      </c>
      <c r="C150" s="18" t="str">
        <f>TEXT(preçodiario[[#This Row],[data]],"ddd")</f>
        <v>sex</v>
      </c>
      <c r="D150" s="96">
        <f>WEEKNUM(preçodiario[[#This Row],[data]],13)</f>
        <v>22</v>
      </c>
      <c r="E150" s="37">
        <v>46171</v>
      </c>
      <c r="F1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Row],[data]])),((F149*G149)+SUMIFS(estoque[valor total],estoque[produto],preçodiario[[#Headers],[OVO BRANCO A]],estoque[data],preçodiario[[#This Row],[data]],estoque[fornecedor],"&lt;&gt;saída"))/(G149+(SUMIFS(estoque[quantidade],estoque[produto],preçodiario[[#Headers],[OVO BRANCO A]],estoque[fornecedor],"&lt;&gt;saída",estoque[data],preçodiario[[#This Row],[data]])))))</f>
        <v>15.603159920298872</v>
      </c>
      <c r="G150" s="22">
        <f>IF(preçodiario[[#This Row],[entrada A]]=0,G149-(SUMIFS(estoque[quantidade],estoque[fornecedor],"saída",estoque[produto],preçodiario[[#Headers],[OVO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Row],[data]]))+G149+preçodiario[[#This Row],[entrada A]])</f>
        <v>61</v>
      </c>
      <c r="H150" s="22">
        <f>SUMIFS(estoque[quantidade],estoque[fornecedor],"&lt;&gt;saída",estoque[produto],preçodiario[[#Headers],[OVO BRANCO A]],estoque[data],preçodiario[[#This Row],[data]])</f>
        <v>0</v>
      </c>
      <c r="I150" s="20">
        <f>SUMIFS(estoque[valor total],estoque[fornecedor],"&lt;&gt;saída",estoque[produto],preçodiario[[#Headers],[OVO BRANCO A]],estoque[data],preçodiario[[#This Row],[data]])</f>
        <v>0</v>
      </c>
      <c r="J150" s="20">
        <f>IFERROR(preçodiario[[#This Row],[estoque A]]*preçodiario[[#This Row],[OVO BRANCO A]],0)</f>
        <v>951.7927551382312</v>
      </c>
      <c r="K1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Row],[data]])),((K149*L149)+SUMIFS(estoque[valor total],estoque[produto],preçodiario[[#Headers],[OVO BRANCO B]],estoque[data],preçodiario[[#This Row],[data]],estoque[fornecedor],"&lt;&gt;saída"))/(L149+(SUMIFS(estoque[quantidade],estoque[produto],preçodiario[[#Headers],[OVO BRANCO B]],estoque[fornecedor],"&lt;&gt;saída",estoque[data],preçodiario[[#This Row],[data]])))))</f>
        <v>15</v>
      </c>
      <c r="L150" s="22">
        <f>IF(preçodiario[[#This Row],[entrada B]]=0,L149-(SUMIFS(estoque[quantidade],estoque[fornecedor],"saída",estoque[produto],preçodiario[[#Headers],[OVO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Row],[data]]))+L149+preçodiario[[#This Row],[entrada B]])</f>
        <v>116</v>
      </c>
      <c r="M150" s="22">
        <f>SUMIFS(estoque[quantidade],estoque[fornecedor],"&lt;&gt;saída",estoque[produto],preçodiario[[#Headers],[OVO BRANCO B]],estoque[data],preçodiario[[#This Row],[data]])</f>
        <v>0</v>
      </c>
      <c r="N150" s="20">
        <f>SUMIFS(estoque[valor total],estoque[fornecedor],"&lt;&gt;saída",estoque[produto],preçodiario[[#Headers],[OVO BRANCO B]],estoque[data],preçodiario[[#This Row],[data]])</f>
        <v>0</v>
      </c>
      <c r="O150" s="20">
        <f>IFERROR(preçodiario[[#This Row],[OVO BRANCO B]]*preçodiario[[#This Row],[estoque B]],0)</f>
        <v>1740</v>
      </c>
      <c r="P1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Row],[data]])),((P149*Q149)+SUMIFS(estoque[valor total],estoque[produto],preçodiario[[#Headers],[OVO BRANCO C]],estoque[data],preçodiario[[#This Row],[data]],estoque[fornecedor],"&lt;&gt;saída"))/(Q149+(SUMIFS(estoque[quantidade],estoque[produto],preçodiario[[#Headers],[OVO BRANCO C]],estoque[fornecedor],"&lt;&gt;saída",estoque[data],preçodiario[[#This Row],[data]])))))</f>
        <v>13.833333333333334</v>
      </c>
      <c r="Q150" s="22">
        <f>IF(preçodiario[[#This Row],[entrada C]]=0,Q149-(SUMIFS(estoque[quantidade],estoque[fornecedor],"saída",estoque[produto],preçodiario[[#Headers],[OVO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Row],[data]]))+Q149+preçodiario[[#This Row],[entrada C]])</f>
        <v>56</v>
      </c>
      <c r="R150" s="22">
        <f>SUMIFS(estoque[quantidade],estoque[fornecedor],"&lt;&gt;saída",estoque[produto],preçodiario[[#Headers],[OVO BRANCO C]],estoque[data],preçodiario[[#This Row],[data]])</f>
        <v>0</v>
      </c>
      <c r="S150" s="20">
        <f>SUMIFS(estoque[valor total],estoque[fornecedor],"&lt;&gt;saída",estoque[produto],preçodiario[[#Headers],[OVO BRANCO C]],estoque[data],preçodiario[[#This Row],[data]])</f>
        <v>0</v>
      </c>
      <c r="T150" s="20">
        <f>IFERROR(preçodiario[[#This Row],[OVO BRANCO C]]*preçodiario[[#This Row],[estoque C]],0)</f>
        <v>774.66666666666674</v>
      </c>
      <c r="U1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Row],[data]])),((U149*V149)+SUMIFS(estoque[valor total],estoque[produto],preçodiario[[#Headers],[OVO BRANCO EXTRA]],estoque[data],preçodiario[[#This Row],[data]],estoque[fornecedor],"&lt;&gt;saída"))/(V149+(SUMIFS(estoque[quantidade],estoque[produto],preçodiario[[#Headers],[OVO BRANCO EXTRA]],estoque[fornecedor],"&lt;&gt;saída",estoque[data],preçodiario[[#This Row],[data]])))))</f>
        <v>16.373456790123459</v>
      </c>
      <c r="V150" s="22">
        <f>IF(preçodiario[[#This Row],[entrada E]]=0,V149-(SUMIFS(estoque[quantidade],estoque[fornecedor],"saída",estoque[produto],preçodiario[[#Headers],[OVO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Row],[data]]))+V149+preçodiario[[#This Row],[entrada E]])</f>
        <v>121</v>
      </c>
      <c r="W150" s="22">
        <f>SUMIFS(estoque[quantidade],estoque[fornecedor],"&lt;&gt;saída",estoque[produto],preçodiario[[#Headers],[OVO BRANCO EXTRA]],estoque[data],preçodiario[[#This Row],[data]])</f>
        <v>0</v>
      </c>
      <c r="X150" s="20">
        <f>SUMIFS(estoque[valor total],estoque[fornecedor],"&lt;&gt;saída",estoque[produto],preçodiario[[#Headers],[OVO BRANCO EXTRA]],estoque[data],preçodiario[[#This Row],[data]])</f>
        <v>0</v>
      </c>
      <c r="Y150" s="20">
        <f>IFERROR(preçodiario[[#This Row],[estoque E]]*preçodiario[[#This Row],[OVO BRANCO EXTRA]],0)</f>
        <v>1981.1882716049386</v>
      </c>
      <c r="Z1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Row],[data]])),((Z149*AA149)+SUMIFS(estoque[valor total],estoque[produto],preçodiario[[#Headers],[OVO BRANCO JUMBO]],estoque[data],preçodiario[[#This Row],[data]],estoque[fornecedor],"&lt;&gt;saída"))/(AA149+(SUMIFS(estoque[quantidade],estoque[produto],preçodiario[[#Headers],[OVO BRANCO JUMBO]],estoque[fornecedor],"&lt;&gt;saída",estoque[data],preçodiario[[#This Row],[data]])))))</f>
        <v>17.412409584086802</v>
      </c>
      <c r="AA150" s="22">
        <f>IF(preçodiario[[#This Row],[entrada J]]=0,AA149-(SUMIFS(estoque[quantidade],estoque[fornecedor],"saída",estoque[produto],preçodiario[[#Headers],[OVO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Row],[data]]))+AA149+preçodiario[[#This Row],[entrada J]])</f>
        <v>64</v>
      </c>
      <c r="AB150" s="22">
        <f>SUMIFS(estoque[quantidade],estoque[fornecedor],"&lt;&gt;saída",estoque[produto],preçodiario[[#Headers],[OVO BRANCO JUMBO]],estoque[data],preçodiario[[#This Row],[data]])</f>
        <v>0</v>
      </c>
      <c r="AC150" s="20">
        <f>SUMIFS(estoque[valor total],estoque[fornecedor],"&lt;&gt;saída",estoque[produto],preçodiario[[#Headers],[OVO BRANCO JUMBO]],estoque[data],preçodiario[[#This Row],[data]])</f>
        <v>0</v>
      </c>
      <c r="AD150" s="20">
        <f>IFERROR(preçodiario[[#This Row],[OVO BRANCO JUMBO]]*preçodiario[[#This Row],[estoque J]],0)</f>
        <v>1114.3942133815553</v>
      </c>
      <c r="AE1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Row],[data]])),((AE149*AF149)+SUMIFS(estoque[valor total],estoque[produto],preçodiario[[#Headers],[OVO VERMELHO A]],estoque[data],preçodiario[[#This Row],[data]],estoque[fornecedor],"&lt;&gt;saída"))/(AF149+(SUMIFS(estoque[quantidade],estoque[produto],preçodiario[[#Headers],[OVO VERMELHO A]],estoque[fornecedor],"&lt;&gt;saída",estoque[data],preçodiario[[#This Row],[data]])))))</f>
        <v/>
      </c>
      <c r="AF150" s="22">
        <f>IF(preçodiario[[#This Row],[entrada AV]]=0,AF149-(SUMIFS(estoque[quantidade],estoque[fornecedor],"saída",estoque[produto],preçodiario[[#Headers],[OVO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Row],[data]]))+AF149+preçodiario[[#This Row],[entrada AV]])</f>
        <v>0</v>
      </c>
      <c r="AG150" s="22">
        <f>SUMIFS(estoque[quantidade],estoque[fornecedor],"&lt;&gt;saída",estoque[produto],preçodiario[[#Headers],[OVO VERMELHO A]],estoque[data],preçodiario[[#This Row],[data]])</f>
        <v>0</v>
      </c>
      <c r="AH150" s="20">
        <f>SUMIFS(estoque[valor total],estoque[fornecedor],"&lt;&gt;saída",estoque[produto],preçodiario[[#Headers],[OVO VERMELHO A]],estoque[data],preçodiario[[#This Row],[data]])</f>
        <v>0</v>
      </c>
      <c r="AI150" s="20">
        <f>IFERROR(preçodiario[[#This Row],[OVO VERMELHO A]]*preçodiario[[#This Row],[estoque AV]],0)</f>
        <v>0</v>
      </c>
      <c r="AJ1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Row],[data]])),((AJ149*AK149)+SUMIFS(estoque[valor total],estoque[produto],preçodiario[[#Headers],[OVO VERMELHO B]],estoque[data],preçodiario[[#This Row],[data]],estoque[fornecedor],"&lt;&gt;saída"))/(AK149+(SUMIFS(estoque[quantidade],estoque[produto],preçodiario[[#Headers],[OVO VERMELHO B]],estoque[fornecedor],"&lt;&gt;saída",estoque[data],preçodiario[[#This Row],[data]])))))</f>
        <v/>
      </c>
      <c r="AK150" s="22">
        <f>IF(preçodiario[[#This Row],[entrada BV]]=0,AK149-(SUMIFS(estoque[quantidade],estoque[fornecedor],"saída",estoque[produto],preçodiario[[#Headers],[OVO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Row],[data]]))+AK149+preçodiario[[#This Row],[entrada BV]])</f>
        <v>0</v>
      </c>
      <c r="AL150" s="22">
        <f>SUMIFS(estoque[quantidade],estoque[fornecedor],"&lt;&gt;saída",estoque[produto],preçodiario[[#Headers],[OVO VERMELHO B]],estoque[data],preçodiario[[#This Row],[data]])</f>
        <v>0</v>
      </c>
      <c r="AM150" s="20">
        <f>SUMIFS(estoque[valor total],estoque[fornecedor],"&lt;&gt;saída",estoque[produto],preçodiario[[#Headers],[OVO VERMELHO B]],estoque[data],preçodiario[[#This Row],[data]])</f>
        <v>0</v>
      </c>
      <c r="AN150" s="20">
        <f>IFERROR(preçodiario[[#This Row],[OVO VERMELHO B]]*preçodiario[[#This Row],[estoque BV]],0)</f>
        <v>0</v>
      </c>
      <c r="AO1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Row],[data]])),((AO149*AP149)+SUMIFS(estoque[valor total],estoque[produto],preçodiario[[#Headers],[OVO VERMELHO C]],estoque[data],preçodiario[[#This Row],[data]],estoque[fornecedor],"&lt;&gt;saída"))/(AP149+(SUMIFS(estoque[quantidade],estoque[produto],preçodiario[[#Headers],[OVO VERMELHO C]],estoque[fornecedor],"&lt;&gt;saída",estoque[data],preçodiario[[#This Row],[data]])))))</f>
        <v/>
      </c>
      <c r="AP150" s="22">
        <f>IF(preçodiario[[#This Row],[entrada CV]]=0,AP149-(SUMIFS(estoque[quantidade],estoque[fornecedor],"saída",estoque[produto],preçodiario[[#Headers],[OVO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Row],[data]]))+AP149+preçodiario[[#This Row],[entrada CV]])</f>
        <v>0</v>
      </c>
      <c r="AQ150" s="22">
        <f>SUMIFS(estoque[quantidade],estoque[fornecedor],"&lt;&gt;saída",estoque[produto],preçodiario[[#Headers],[OVO VERMELHO C]],estoque[data],preçodiario[[#This Row],[data]])</f>
        <v>0</v>
      </c>
      <c r="AR150" s="20">
        <f>SUMIFS(estoque[valor total],estoque[fornecedor],"&lt;&gt;saída",estoque[produto],preçodiario[[#Headers],[OVO VERMELHO C]],estoque[data],preçodiario[[#This Row],[data]])</f>
        <v>0</v>
      </c>
      <c r="AS150" s="20">
        <f>IFERROR(preçodiario[[#This Row],[OVO VERMELHO C]]*preçodiario[[#This Row],[estoque CV]],0)</f>
        <v>0</v>
      </c>
      <c r="AT1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Row],[data]])),((AT149*AU149)+SUMIFS(estoque[valor total],estoque[produto],preçodiario[[#Headers],[OVO VERMELHO EXTRA]],estoque[data],preçodiario[[#This Row],[data]],estoque[fornecedor],"&lt;&gt;saída"))/(AU149+(SUMIFS(estoque[quantidade],estoque[produto],preçodiario[[#Headers],[OVO VERMELHO EXTRA]],estoque[fornecedor],"&lt;&gt;saída",estoque[data],preçodiario[[#This Row],[data]])))))</f>
        <v/>
      </c>
      <c r="AU150" s="22">
        <f>IF(preçodiario[[#This Row],[entrada EV]]=0,AU149-(SUMIFS(estoque[quantidade],estoque[fornecedor],"saída",estoque[produto],preçodiario[[#Headers],[OVO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Row],[data]]))+AU149+preçodiario[[#This Row],[entrada EV]])</f>
        <v>0</v>
      </c>
      <c r="AV150" s="22">
        <f>SUMIFS(estoque[quantidade],estoque[fornecedor],"&lt;&gt;saída",estoque[produto],preçodiario[[#Headers],[OVO VERMELHO EXTRA]],estoque[data],preçodiario[[#This Row],[data]])</f>
        <v>0</v>
      </c>
      <c r="AW150" s="20">
        <f>SUMIFS(estoque[valor total],estoque[fornecedor],"&lt;&gt;saída",estoque[produto],preçodiario[[#Headers],[OVO VERMELHO EXTRA]],estoque[data],preçodiario[[#This Row],[data]])</f>
        <v>0</v>
      </c>
      <c r="AX150" s="20">
        <f>IFERROR(preçodiario[[#This Row],[OVO VERMELHO EXTRA]]*preçodiario[[#This Row],[estoque EV]],0)</f>
        <v>0</v>
      </c>
      <c r="AY1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Row],[data]])),((AY149*AZ149)+SUMIFS(estoque[valor total],estoque[produto],preçodiario[[#Headers],[OVO VERMELHO JUMBO]],estoque[data],preçodiario[[#This Row],[data]],estoque[fornecedor],"&lt;&gt;saída"))/(AZ149+(SUMIFS(estoque[quantidade],estoque[produto],preçodiario[[#Headers],[OVO VERMELHO JUMBO]],estoque[fornecedor],"&lt;&gt;saída",estoque[data],preçodiario[[#This Row],[data]])))))</f>
        <v/>
      </c>
      <c r="AZ150" s="22">
        <f>IF(preçodiario[[#This Row],[entrada JV]]=0,AZ149-(SUMIFS(estoque[quantidade],estoque[fornecedor],"saída",estoque[produto],preçodiario[[#Headers],[OVO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Row],[data]]))+AZ149+preçodiario[[#This Row],[entrada JV]])</f>
        <v>0</v>
      </c>
      <c r="BA150" s="22">
        <f>SUMIFS(estoque[quantidade],estoque[fornecedor],"&lt;&gt;saída",estoque[produto],preçodiario[[#Headers],[OVO VERMELHO JUMBO]],estoque[data],preçodiario[[#This Row],[data]])</f>
        <v>0</v>
      </c>
      <c r="BB150" s="20">
        <f>SUMIFS(estoque[valor total],estoque[fornecedor],"&lt;&gt;saída",estoque[produto],preçodiario[[#Headers],[OVO VERMELHO JUMBO]],estoque[data],preçodiario[[#This Row],[data]])</f>
        <v>0</v>
      </c>
      <c r="BC150" s="20">
        <f>IFERROR(preçodiario[[#This Row],[OVO VERMELHO JUMBO]]*preçodiario[[#This Row],[estoque JV]],0)</f>
        <v>0</v>
      </c>
      <c r="BD150" t="str">
        <f>TEXT(vendaAno[[#This Row],[data]],"mmm")</f>
        <v>mai</v>
      </c>
      <c r="BE150" t="str">
        <f>TEXT(vendaAno[[#This Row],[data]],"ddd")</f>
        <v>sex</v>
      </c>
      <c r="BF150" s="82">
        <f>WEEKNUM(vendaAno[[#This Row],[data]],13)</f>
        <v>22</v>
      </c>
      <c r="BG150" s="27">
        <f>preçodiario[[#This Row],[data]]</f>
        <v>46171</v>
      </c>
      <c r="BH1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0" s="8">
        <f>IF(SUMIFS(estoque[valor total],estoque[fornecedor],"saída",estoque[data],vendaAno[[#This Row],[data]])=0,"",SUMIFS(estoque[valor total],estoque[fornecedor],"saída",estoque[data],vendaAno[[#This Row],[data]]))</f>
        <v>255</v>
      </c>
      <c r="BJ15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Row],[data]]))/12+BJ149,"")</f>
        <v>34.833333333333307</v>
      </c>
      <c r="BK150" s="79">
        <f ca="1">IF(TODAY()&gt;=vendaAno[[#This Row],[data]],IF(SUMIFS(estoque[quantidade],estoque[fornecedor],"saída",estoque[data],vendaAno[[#This Row],[data]])/12=0,AVERAGE(BK147:BK149),SUMIFS(estoque[quantidade],estoque[fornecedor],"saída",estoque[data],vendaAno[[#This Row],[data]])/12),"")</f>
        <v>1.0833333333333333</v>
      </c>
      <c r="BL150" s="8">
        <f ca="1">IF(vendaAno[[#This Row],[data]]&lt;=TODAY(),IF(SUMIFS(estoque[lucro],estoque[fornecedor],"saída",estoque[data],vendaAno[[#This Row],[data]])=0,AVERAGE(BL147:BL149),SUMIFS(estoque[lucro],estoque[fornecedor],"saída",estoque[data],vendaAno[[#This Row],[data]])),"")</f>
        <v>46.14</v>
      </c>
      <c r="BM150" s="10">
        <f ca="1">IFERROR(vendaAno[[#This Row],[lucro]]/vendaAno[[#This Row],[valor de venda]],"")</f>
        <v>0.18094117647058824</v>
      </c>
      <c r="BN15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6562.0419067913917</v>
      </c>
      <c r="BO150" s="8">
        <f ca="1">IF(TODAY()&gt;=vendaAno[[#This Row],[data]],IF(vendaAno[[#This Row],[N°]]=BF149,vendaAno[[#This Row],[lucro]]-173.33+BO149,vendaAno[[#This Row],[lucro]]-150),"")</f>
        <v>-242.95000000000002</v>
      </c>
      <c r="BP150" s="81">
        <f ca="1">IF(TODAY()&gt;=vendaAno[[#This Row],[data]],SUM(BK144:BK150)*12,"")</f>
        <v>187</v>
      </c>
      <c r="BQ150" s="7">
        <f ca="1">IFERROR(vendaAno[[#This Row],[lucro]]/(vendaAno[[#This Row],[venda]]*12),"")</f>
        <v>3.5492307692307694</v>
      </c>
    </row>
    <row r="151" spans="1:69" x14ac:dyDescent="0.25">
      <c r="A1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15.603159920298872</v>
      </c>
      <c r="B151" s="18" t="str">
        <f>TEXT(preçodiario[[#This Row],[data]],"MMM")</f>
        <v>mai</v>
      </c>
      <c r="C151" s="18" t="str">
        <f>TEXT(preçodiario[[#This Row],[data]],"ddd")</f>
        <v>sáb</v>
      </c>
      <c r="D151" s="96">
        <f>WEEKNUM(preçodiario[[#This Row],[data]],13)</f>
        <v>22</v>
      </c>
      <c r="E151" s="37">
        <v>46172</v>
      </c>
      <c r="F1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Row],[data]])),((F150*G150)+SUMIFS(estoque[valor total],estoque[produto],preçodiario[[#Headers],[OVO BRANCO A]],estoque[data],preçodiario[[#This Row],[data]],estoque[fornecedor],"&lt;&gt;saída"))/(G150+(SUMIFS(estoque[quantidade],estoque[produto],preçodiario[[#Headers],[OVO BRANCO A]],estoque[fornecedor],"&lt;&gt;saída",estoque[data],preçodiario[[#This Row],[data]])))))</f>
        <v>15.603159920298872</v>
      </c>
      <c r="G151" s="22">
        <f>IF(preçodiario[[#This Row],[entrada A]]=0,G150-(SUMIFS(estoque[quantidade],estoque[fornecedor],"saída",estoque[produto],preçodiario[[#Headers],[OVO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Row],[data]]))+G150+preçodiario[[#This Row],[entrada A]])</f>
        <v>35</v>
      </c>
      <c r="H151" s="22">
        <f>SUMIFS(estoque[quantidade],estoque[fornecedor],"&lt;&gt;saída",estoque[produto],preçodiario[[#Headers],[OVO BRANCO A]],estoque[data],preçodiario[[#This Row],[data]])</f>
        <v>0</v>
      </c>
      <c r="I151" s="20">
        <f>SUMIFS(estoque[valor total],estoque[fornecedor],"&lt;&gt;saída",estoque[produto],preçodiario[[#Headers],[OVO BRANCO A]],estoque[data],preçodiario[[#This Row],[data]])</f>
        <v>0</v>
      </c>
      <c r="J151" s="20">
        <f>IFERROR(preçodiario[[#This Row],[estoque A]]*preçodiario[[#This Row],[OVO BRANCO A]],0)</f>
        <v>546.11059721046047</v>
      </c>
      <c r="K1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Row],[data]])),((K150*L150)+SUMIFS(estoque[valor total],estoque[produto],preçodiario[[#Headers],[OVO BRANCO B]],estoque[data],preçodiario[[#This Row],[data]],estoque[fornecedor],"&lt;&gt;saída"))/(L150+(SUMIFS(estoque[quantidade],estoque[produto],preçodiario[[#Headers],[OVO BRANCO B]],estoque[fornecedor],"&lt;&gt;saída",estoque[data],preçodiario[[#This Row],[data]])))))</f>
        <v>15</v>
      </c>
      <c r="L151" s="22">
        <f>IF(preçodiario[[#This Row],[entrada B]]=0,L150-(SUMIFS(estoque[quantidade],estoque[fornecedor],"saída",estoque[produto],preçodiario[[#Headers],[OVO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Row],[data]]))+L150+preçodiario[[#This Row],[entrada B]])</f>
        <v>113</v>
      </c>
      <c r="M151" s="22">
        <f>SUMIFS(estoque[quantidade],estoque[fornecedor],"&lt;&gt;saída",estoque[produto],preçodiario[[#Headers],[OVO BRANCO B]],estoque[data],preçodiario[[#This Row],[data]])</f>
        <v>0</v>
      </c>
      <c r="N151" s="20">
        <f>SUMIFS(estoque[valor total],estoque[fornecedor],"&lt;&gt;saída",estoque[produto],preçodiario[[#Headers],[OVO BRANCO B]],estoque[data],preçodiario[[#This Row],[data]])</f>
        <v>0</v>
      </c>
      <c r="O151" s="20">
        <f>IFERROR(preçodiario[[#This Row],[OVO BRANCO B]]*preçodiario[[#This Row],[estoque B]],0)</f>
        <v>1695</v>
      </c>
      <c r="P1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Row],[data]])),((P150*Q150)+SUMIFS(estoque[valor total],estoque[produto],preçodiario[[#Headers],[OVO BRANCO C]],estoque[data],preçodiario[[#This Row],[data]],estoque[fornecedor],"&lt;&gt;saída"))/(Q150+(SUMIFS(estoque[quantidade],estoque[produto],preçodiario[[#Headers],[OVO BRANCO C]],estoque[fornecedor],"&lt;&gt;saída",estoque[data],preçodiario[[#This Row],[data]])))))</f>
        <v>13.833333333333334</v>
      </c>
      <c r="Q151" s="22">
        <f>IF(preçodiario[[#This Row],[entrada C]]=0,Q150-(SUMIFS(estoque[quantidade],estoque[fornecedor],"saída",estoque[produto],preçodiario[[#Headers],[OVO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Row],[data]]))+Q150+preçodiario[[#This Row],[entrada C]])</f>
        <v>53</v>
      </c>
      <c r="R151" s="22">
        <f>SUMIFS(estoque[quantidade],estoque[fornecedor],"&lt;&gt;saída",estoque[produto],preçodiario[[#Headers],[OVO BRANCO C]],estoque[data],preçodiario[[#This Row],[data]])</f>
        <v>0</v>
      </c>
      <c r="S151" s="20">
        <f>SUMIFS(estoque[valor total],estoque[fornecedor],"&lt;&gt;saída",estoque[produto],preçodiario[[#Headers],[OVO BRANCO C]],estoque[data],preçodiario[[#This Row],[data]])</f>
        <v>0</v>
      </c>
      <c r="T151" s="20">
        <f>IFERROR(preçodiario[[#This Row],[OVO BRANCO C]]*preçodiario[[#This Row],[estoque C]],0)</f>
        <v>733.16666666666674</v>
      </c>
      <c r="U1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Row],[data]])),((U150*V150)+SUMIFS(estoque[valor total],estoque[produto],preçodiario[[#Headers],[OVO BRANCO EXTRA]],estoque[data],preçodiario[[#This Row],[data]],estoque[fornecedor],"&lt;&gt;saída"))/(V150+(SUMIFS(estoque[quantidade],estoque[produto],preçodiario[[#Headers],[OVO BRANCO EXTRA]],estoque[fornecedor],"&lt;&gt;saída",estoque[data],preçodiario[[#This Row],[data]])))))</f>
        <v>16.373456790123459</v>
      </c>
      <c r="V151" s="22">
        <f>IF(preçodiario[[#This Row],[entrada E]]=0,V150-(SUMIFS(estoque[quantidade],estoque[fornecedor],"saída",estoque[produto],preçodiario[[#Headers],[OVO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Row],[data]]))+V150+preçodiario[[#This Row],[entrada E]])</f>
        <v>117</v>
      </c>
      <c r="W151" s="22">
        <f>SUMIFS(estoque[quantidade],estoque[fornecedor],"&lt;&gt;saída",estoque[produto],preçodiario[[#Headers],[OVO BRANCO EXTRA]],estoque[data],preçodiario[[#This Row],[data]])</f>
        <v>0</v>
      </c>
      <c r="X151" s="20">
        <f>SUMIFS(estoque[valor total],estoque[fornecedor],"&lt;&gt;saída",estoque[produto],preçodiario[[#Headers],[OVO BRANCO EXTRA]],estoque[data],preçodiario[[#This Row],[data]])</f>
        <v>0</v>
      </c>
      <c r="Y151" s="20">
        <f>IFERROR(preçodiario[[#This Row],[estoque E]]*preçodiario[[#This Row],[OVO BRANCO EXTRA]],0)</f>
        <v>1915.6944444444448</v>
      </c>
      <c r="Z1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Row],[data]])),((Z150*AA150)+SUMIFS(estoque[valor total],estoque[produto],preçodiario[[#Headers],[OVO BRANCO JUMBO]],estoque[data],preçodiario[[#This Row],[data]],estoque[fornecedor],"&lt;&gt;saída"))/(AA150+(SUMIFS(estoque[quantidade],estoque[produto],preçodiario[[#Headers],[OVO BRANCO JUMBO]],estoque[fornecedor],"&lt;&gt;saída",estoque[data],preçodiario[[#This Row],[data]])))))</f>
        <v>17.412409584086802</v>
      </c>
      <c r="AA151" s="22">
        <f>IF(preçodiario[[#This Row],[entrada J]]=0,AA150-(SUMIFS(estoque[quantidade],estoque[fornecedor],"saída",estoque[produto],preçodiario[[#Headers],[OVO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Row],[data]]))+AA150+preçodiario[[#This Row],[entrada J]])</f>
        <v>54</v>
      </c>
      <c r="AB151" s="22">
        <f>SUMIFS(estoque[quantidade],estoque[fornecedor],"&lt;&gt;saída",estoque[produto],preçodiario[[#Headers],[OVO BRANCO JUMBO]],estoque[data],preçodiario[[#This Row],[data]])</f>
        <v>0</v>
      </c>
      <c r="AC151" s="20">
        <f>SUMIFS(estoque[valor total],estoque[fornecedor],"&lt;&gt;saída",estoque[produto],preçodiario[[#Headers],[OVO BRANCO JUMBO]],estoque[data],preçodiario[[#This Row],[data]])</f>
        <v>0</v>
      </c>
      <c r="AD151" s="20">
        <f>IFERROR(preçodiario[[#This Row],[OVO BRANCO JUMBO]]*preçodiario[[#This Row],[estoque J]],0)</f>
        <v>940.27011754068735</v>
      </c>
      <c r="AE1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Row],[data]])),((AE150*AF150)+SUMIFS(estoque[valor total],estoque[produto],preçodiario[[#Headers],[OVO VERMELHO A]],estoque[data],preçodiario[[#This Row],[data]],estoque[fornecedor],"&lt;&gt;saída"))/(AF150+(SUMIFS(estoque[quantidade],estoque[produto],preçodiario[[#Headers],[OVO VERMELHO A]],estoque[fornecedor],"&lt;&gt;saída",estoque[data],preçodiario[[#This Row],[data]])))))</f>
        <v/>
      </c>
      <c r="AF151" s="22">
        <f>IF(preçodiario[[#This Row],[entrada AV]]=0,AF150-(SUMIFS(estoque[quantidade],estoque[fornecedor],"saída",estoque[produto],preçodiario[[#Headers],[OVO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Row],[data]]))+AF150+preçodiario[[#This Row],[entrada AV]])</f>
        <v>0</v>
      </c>
      <c r="AG151" s="22">
        <f>SUMIFS(estoque[quantidade],estoque[fornecedor],"&lt;&gt;saída",estoque[produto],preçodiario[[#Headers],[OVO VERMELHO A]],estoque[data],preçodiario[[#This Row],[data]])</f>
        <v>0</v>
      </c>
      <c r="AH151" s="20">
        <f>SUMIFS(estoque[valor total],estoque[fornecedor],"&lt;&gt;saída",estoque[produto],preçodiario[[#Headers],[OVO VERMELHO A]],estoque[data],preçodiario[[#This Row],[data]])</f>
        <v>0</v>
      </c>
      <c r="AI151" s="20">
        <f>IFERROR(preçodiario[[#This Row],[OVO VERMELHO A]]*preçodiario[[#This Row],[estoque AV]],0)</f>
        <v>0</v>
      </c>
      <c r="AJ1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Row],[data]])),((AJ150*AK150)+SUMIFS(estoque[valor total],estoque[produto],preçodiario[[#Headers],[OVO VERMELHO B]],estoque[data],preçodiario[[#This Row],[data]],estoque[fornecedor],"&lt;&gt;saída"))/(AK150+(SUMIFS(estoque[quantidade],estoque[produto],preçodiario[[#Headers],[OVO VERMELHO B]],estoque[fornecedor],"&lt;&gt;saída",estoque[data],preçodiario[[#This Row],[data]])))))</f>
        <v/>
      </c>
      <c r="AK151" s="22">
        <f>IF(preçodiario[[#This Row],[entrada BV]]=0,AK150-(SUMIFS(estoque[quantidade],estoque[fornecedor],"saída",estoque[produto],preçodiario[[#Headers],[OVO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Row],[data]]))+AK150+preçodiario[[#This Row],[entrada BV]])</f>
        <v>0</v>
      </c>
      <c r="AL151" s="22">
        <f>SUMIFS(estoque[quantidade],estoque[fornecedor],"&lt;&gt;saída",estoque[produto],preçodiario[[#Headers],[OVO VERMELHO B]],estoque[data],preçodiario[[#This Row],[data]])</f>
        <v>0</v>
      </c>
      <c r="AM151" s="20">
        <f>SUMIFS(estoque[valor total],estoque[fornecedor],"&lt;&gt;saída",estoque[produto],preçodiario[[#Headers],[OVO VERMELHO B]],estoque[data],preçodiario[[#This Row],[data]])</f>
        <v>0</v>
      </c>
      <c r="AN151" s="20">
        <f>IFERROR(preçodiario[[#This Row],[OVO VERMELHO B]]*preçodiario[[#This Row],[estoque BV]],0)</f>
        <v>0</v>
      </c>
      <c r="AO1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Row],[data]])),((AO150*AP150)+SUMIFS(estoque[valor total],estoque[produto],preçodiario[[#Headers],[OVO VERMELHO C]],estoque[data],preçodiario[[#This Row],[data]],estoque[fornecedor],"&lt;&gt;saída"))/(AP150+(SUMIFS(estoque[quantidade],estoque[produto],preçodiario[[#Headers],[OVO VERMELHO C]],estoque[fornecedor],"&lt;&gt;saída",estoque[data],preçodiario[[#This Row],[data]])))))</f>
        <v/>
      </c>
      <c r="AP151" s="22">
        <f>IF(preçodiario[[#This Row],[entrada CV]]=0,AP150-(SUMIFS(estoque[quantidade],estoque[fornecedor],"saída",estoque[produto],preçodiario[[#Headers],[OVO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Row],[data]]))+AP150+preçodiario[[#This Row],[entrada CV]])</f>
        <v>0</v>
      </c>
      <c r="AQ151" s="22">
        <f>SUMIFS(estoque[quantidade],estoque[fornecedor],"&lt;&gt;saída",estoque[produto],preçodiario[[#Headers],[OVO VERMELHO C]],estoque[data],preçodiario[[#This Row],[data]])</f>
        <v>0</v>
      </c>
      <c r="AR151" s="20">
        <f>SUMIFS(estoque[valor total],estoque[fornecedor],"&lt;&gt;saída",estoque[produto],preçodiario[[#Headers],[OVO VERMELHO C]],estoque[data],preçodiario[[#This Row],[data]])</f>
        <v>0</v>
      </c>
      <c r="AS151" s="20">
        <f>IFERROR(preçodiario[[#This Row],[OVO VERMELHO C]]*preçodiario[[#This Row],[estoque CV]],0)</f>
        <v>0</v>
      </c>
      <c r="AT1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Row],[data]])),((AT150*AU150)+SUMIFS(estoque[valor total],estoque[produto],preçodiario[[#Headers],[OVO VERMELHO EXTRA]],estoque[data],preçodiario[[#This Row],[data]],estoque[fornecedor],"&lt;&gt;saída"))/(AU150+(SUMIFS(estoque[quantidade],estoque[produto],preçodiario[[#Headers],[OVO VERMELHO EXTRA]],estoque[fornecedor],"&lt;&gt;saída",estoque[data],preçodiario[[#This Row],[data]])))))</f>
        <v/>
      </c>
      <c r="AU151" s="22">
        <f>IF(preçodiario[[#This Row],[entrada EV]]=0,AU150-(SUMIFS(estoque[quantidade],estoque[fornecedor],"saída",estoque[produto],preçodiario[[#Headers],[OVO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Row],[data]]))+AU150+preçodiario[[#This Row],[entrada EV]])</f>
        <v>0</v>
      </c>
      <c r="AV151" s="22">
        <f>SUMIFS(estoque[quantidade],estoque[fornecedor],"&lt;&gt;saída",estoque[produto],preçodiario[[#Headers],[OVO VERMELHO EXTRA]],estoque[data],preçodiario[[#This Row],[data]])</f>
        <v>0</v>
      </c>
      <c r="AW151" s="20">
        <f>SUMIFS(estoque[valor total],estoque[fornecedor],"&lt;&gt;saída",estoque[produto],preçodiario[[#Headers],[OVO VERMELHO EXTRA]],estoque[data],preçodiario[[#This Row],[data]])</f>
        <v>0</v>
      </c>
      <c r="AX151" s="20">
        <f>IFERROR(preçodiario[[#This Row],[OVO VERMELHO EXTRA]]*preçodiario[[#This Row],[estoque EV]],0)</f>
        <v>0</v>
      </c>
      <c r="AY1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Row],[data]])),((AY150*AZ150)+SUMIFS(estoque[valor total],estoque[produto],preçodiario[[#Headers],[OVO VERMELHO JUMBO]],estoque[data],preçodiario[[#This Row],[data]],estoque[fornecedor],"&lt;&gt;saída"))/(AZ150+(SUMIFS(estoque[quantidade],estoque[produto],preçodiario[[#Headers],[OVO VERMELHO JUMBO]],estoque[fornecedor],"&lt;&gt;saída",estoque[data],preçodiario[[#This Row],[data]])))))</f>
        <v/>
      </c>
      <c r="AZ151" s="22">
        <f>IF(preçodiario[[#This Row],[entrada JV]]=0,AZ150-(SUMIFS(estoque[quantidade],estoque[fornecedor],"saída",estoque[produto],preçodiario[[#Headers],[OVO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Row],[data]]))+AZ150+preçodiario[[#This Row],[entrada JV]])</f>
        <v>0</v>
      </c>
      <c r="BA151" s="22">
        <f>SUMIFS(estoque[quantidade],estoque[fornecedor],"&lt;&gt;saída",estoque[produto],preçodiario[[#Headers],[OVO VERMELHO JUMBO]],estoque[data],preçodiario[[#This Row],[data]])</f>
        <v>0</v>
      </c>
      <c r="BB151" s="20">
        <f>SUMIFS(estoque[valor total],estoque[fornecedor],"&lt;&gt;saída",estoque[produto],preçodiario[[#Headers],[OVO VERMELHO JUMBO]],estoque[data],preçodiario[[#This Row],[data]])</f>
        <v>0</v>
      </c>
      <c r="BC151" s="20">
        <f>IFERROR(preçodiario[[#This Row],[OVO VERMELHO JUMBO]]*preçodiario[[#This Row],[estoque JV]],0)</f>
        <v>0</v>
      </c>
      <c r="BD151" t="str">
        <f>TEXT(vendaAno[[#This Row],[data]],"mmm")</f>
        <v>mai</v>
      </c>
      <c r="BE151" t="str">
        <f>TEXT(vendaAno[[#This Row],[data]],"ddd")</f>
        <v>sáb</v>
      </c>
      <c r="BF151" s="82">
        <f>WEEKNUM(vendaAno[[#This Row],[data]],13)</f>
        <v>22</v>
      </c>
      <c r="BG151" s="27">
        <f>preçodiario[[#This Row],[data]]</f>
        <v>46172</v>
      </c>
      <c r="BH1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1" s="8">
        <f>IF(SUMIFS(estoque[valor total],estoque[fornecedor],"saída",estoque[data],vendaAno[[#This Row],[data]])=0,"",SUMIFS(estoque[valor total],estoque[fornecedor],"saída",estoque[data],vendaAno[[#This Row],[data]]))</f>
        <v>896</v>
      </c>
      <c r="BJ15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Row],[data]]))/12+BJ150,"")</f>
        <v>30.999999999999975</v>
      </c>
      <c r="BK151" s="79">
        <f ca="1">IF(TODAY()&gt;=vendaAno[[#This Row],[data]],IF(SUMIFS(estoque[quantidade],estoque[fornecedor],"saída",estoque[data],vendaAno[[#This Row],[data]])/12=0,AVERAGE(BK148:BK150),SUMIFS(estoque[quantidade],estoque[fornecedor],"saída",estoque[data],vendaAno[[#This Row],[data]])/12),"")</f>
        <v>3.8333333333333335</v>
      </c>
      <c r="BL151" s="8">
        <f ca="1">IF(vendaAno[[#This Row],[data]]&lt;=TODAY(),IF(SUMIFS(estoque[lucro],estoque[fornecedor],"saída",estoque[data],vendaAno[[#This Row],[data]])=0,AVERAGE(BL148:BL150),SUMIFS(estoque[lucro],estoque[fornecedor],"saída",estoque[data],vendaAno[[#This Row],[data]])),"")</f>
        <v>164.20999999999998</v>
      </c>
      <c r="BM151" s="10">
        <f ca="1">IFERROR(vendaAno[[#This Row],[lucro]]/vendaAno[[#This Row],[valor de venda]],"")</f>
        <v>0.18327008928571425</v>
      </c>
      <c r="BN15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5830.2418258622592</v>
      </c>
      <c r="BO151" s="8">
        <f ca="1">IF(TODAY()&gt;=vendaAno[[#This Row],[data]],IF(vendaAno[[#This Row],[N°]]=BF150,vendaAno[[#This Row],[lucro]]-173.33+BO150,vendaAno[[#This Row],[lucro]]-150),"")</f>
        <v>-252.07000000000005</v>
      </c>
      <c r="BP151" s="81">
        <f ca="1">IF(TODAY()&gt;=vendaAno[[#This Row],[data]],SUM(BK145:BK151)*12,"")</f>
        <v>214.00000000000003</v>
      </c>
      <c r="BQ151" s="7">
        <f ca="1">IFERROR(vendaAno[[#This Row],[lucro]]/(vendaAno[[#This Row],[venda]]*12),"")</f>
        <v>3.5697826086956517</v>
      </c>
    </row>
    <row r="152" spans="1:69" x14ac:dyDescent="0.25">
      <c r="A1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15.60315992029887</v>
      </c>
      <c r="B152" s="18" t="str">
        <f>TEXT(preçodiario[[#This Row],[data]],"MMM")</f>
        <v>mai</v>
      </c>
      <c r="C152" s="18" t="str">
        <f>TEXT(preçodiario[[#This Row],[data]],"ddd")</f>
        <v>dom</v>
      </c>
      <c r="D152" s="96">
        <f>WEEKNUM(preçodiario[[#This Row],[data]],13)</f>
        <v>22</v>
      </c>
      <c r="E152" s="37">
        <v>46173</v>
      </c>
      <c r="F1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Row],[data]])),((F151*G151)+SUMIFS(estoque[valor total],estoque[produto],preçodiario[[#Headers],[OVO BRANCO A]],estoque[data],preçodiario[[#This Row],[data]],estoque[fornecedor],"&lt;&gt;saída"))/(G151+(SUMIFS(estoque[quantidade],estoque[produto],preçodiario[[#Headers],[OVO BRANCO A]],estoque[fornecedor],"&lt;&gt;saída",estoque[data],preçodiario[[#This Row],[data]])))))</f>
        <v>15.60315992029887</v>
      </c>
      <c r="G152" s="22">
        <f>IF(preçodiario[[#This Row],[entrada A]]=0,G151-(SUMIFS(estoque[quantidade],estoque[fornecedor],"saída",estoque[produto],preçodiario[[#Headers],[OVO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Row],[data]]))+G151+preçodiario[[#This Row],[entrada A]])</f>
        <v>20</v>
      </c>
      <c r="H152" s="22">
        <f>SUMIFS(estoque[quantidade],estoque[fornecedor],"&lt;&gt;saída",estoque[produto],preçodiario[[#Headers],[OVO BRANCO A]],estoque[data],preçodiario[[#This Row],[data]])</f>
        <v>0</v>
      </c>
      <c r="I152" s="20">
        <f>SUMIFS(estoque[valor total],estoque[fornecedor],"&lt;&gt;saída",estoque[produto],preçodiario[[#Headers],[OVO BRANCO A]],estoque[data],preçodiario[[#This Row],[data]])</f>
        <v>0</v>
      </c>
      <c r="J152" s="20">
        <f>IFERROR(preçodiario[[#This Row],[estoque A]]*preçodiario[[#This Row],[OVO BRANCO A]],0)</f>
        <v>312.0631984059774</v>
      </c>
      <c r="K1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Row],[data]])),((K151*L151)+SUMIFS(estoque[valor total],estoque[produto],preçodiario[[#Headers],[OVO BRANCO B]],estoque[data],preçodiario[[#This Row],[data]],estoque[fornecedor],"&lt;&gt;saída"))/(L151+(SUMIFS(estoque[quantidade],estoque[produto],preçodiario[[#Headers],[OVO BRANCO B]],estoque[fornecedor],"&lt;&gt;saída",estoque[data],preçodiario[[#This Row],[data]])))))</f>
        <v>15</v>
      </c>
      <c r="L152" s="22">
        <f>IF(preçodiario[[#This Row],[entrada B]]=0,L151-(SUMIFS(estoque[quantidade],estoque[fornecedor],"saída",estoque[produto],preçodiario[[#Headers],[OVO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Row],[data]]))+L151+preçodiario[[#This Row],[entrada B]])</f>
        <v>109</v>
      </c>
      <c r="M152" s="22">
        <f>SUMIFS(estoque[quantidade],estoque[fornecedor],"&lt;&gt;saída",estoque[produto],preçodiario[[#Headers],[OVO BRANCO B]],estoque[data],preçodiario[[#This Row],[data]])</f>
        <v>0</v>
      </c>
      <c r="N152" s="20">
        <f>SUMIFS(estoque[valor total],estoque[fornecedor],"&lt;&gt;saída",estoque[produto],preçodiario[[#Headers],[OVO BRANCO B]],estoque[data],preçodiario[[#This Row],[data]])</f>
        <v>0</v>
      </c>
      <c r="O152" s="20">
        <f>IFERROR(preçodiario[[#This Row],[OVO BRANCO B]]*preçodiario[[#This Row],[estoque B]],0)</f>
        <v>1635</v>
      </c>
      <c r="P1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Row],[data]])),((P151*Q151)+SUMIFS(estoque[valor total],estoque[produto],preçodiario[[#Headers],[OVO BRANCO C]],estoque[data],preçodiario[[#This Row],[data]],estoque[fornecedor],"&lt;&gt;saída"))/(Q151+(SUMIFS(estoque[quantidade],estoque[produto],preçodiario[[#Headers],[OVO BRANCO C]],estoque[fornecedor],"&lt;&gt;saída",estoque[data],preçodiario[[#This Row],[data]])))))</f>
        <v>13.833333333333334</v>
      </c>
      <c r="Q152" s="22">
        <f>IF(preçodiario[[#This Row],[entrada C]]=0,Q151-(SUMIFS(estoque[quantidade],estoque[fornecedor],"saída",estoque[produto],preçodiario[[#Headers],[OVO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Row],[data]]))+Q151+preçodiario[[#This Row],[entrada C]])</f>
        <v>51</v>
      </c>
      <c r="R152" s="22">
        <f>SUMIFS(estoque[quantidade],estoque[fornecedor],"&lt;&gt;saída",estoque[produto],preçodiario[[#Headers],[OVO BRANCO C]],estoque[data],preçodiario[[#This Row],[data]])</f>
        <v>0</v>
      </c>
      <c r="S152" s="20">
        <f>SUMIFS(estoque[valor total],estoque[fornecedor],"&lt;&gt;saída",estoque[produto],preçodiario[[#Headers],[OVO BRANCO C]],estoque[data],preçodiario[[#This Row],[data]])</f>
        <v>0</v>
      </c>
      <c r="T152" s="20">
        <f>IFERROR(preçodiario[[#This Row],[OVO BRANCO C]]*preçodiario[[#This Row],[estoque C]],0)</f>
        <v>705.5</v>
      </c>
      <c r="U1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Row],[data]])),((U151*V151)+SUMIFS(estoque[valor total],estoque[produto],preçodiario[[#Headers],[OVO BRANCO EXTRA]],estoque[data],preçodiario[[#This Row],[data]],estoque[fornecedor],"&lt;&gt;saída"))/(V151+(SUMIFS(estoque[quantidade],estoque[produto],preçodiario[[#Headers],[OVO BRANCO EXTRA]],estoque[fornecedor],"&lt;&gt;saída",estoque[data],preçodiario[[#This Row],[data]])))))</f>
        <v>16.373456790123459</v>
      </c>
      <c r="V152" s="22">
        <f>IF(preçodiario[[#This Row],[entrada E]]=0,V151-(SUMIFS(estoque[quantidade],estoque[fornecedor],"saída",estoque[produto],preçodiario[[#Headers],[OVO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Row],[data]]))+V151+preçodiario[[#This Row],[entrada E]])</f>
        <v>97</v>
      </c>
      <c r="W152" s="22">
        <f>SUMIFS(estoque[quantidade],estoque[fornecedor],"&lt;&gt;saída",estoque[produto],preçodiario[[#Headers],[OVO BRANCO EXTRA]],estoque[data],preçodiario[[#This Row],[data]])</f>
        <v>0</v>
      </c>
      <c r="X152" s="20">
        <f>SUMIFS(estoque[valor total],estoque[fornecedor],"&lt;&gt;saída",estoque[produto],preçodiario[[#Headers],[OVO BRANCO EXTRA]],estoque[data],preçodiario[[#This Row],[data]])</f>
        <v>0</v>
      </c>
      <c r="Y152" s="20">
        <f>IFERROR(preçodiario[[#This Row],[estoque E]]*preçodiario[[#This Row],[OVO BRANCO EXTRA]],0)</f>
        <v>1588.2253086419755</v>
      </c>
      <c r="Z1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Row],[data]])),((Z151*AA151)+SUMIFS(estoque[valor total],estoque[produto],preçodiario[[#Headers],[OVO BRANCO JUMBO]],estoque[data],preçodiario[[#This Row],[data]],estoque[fornecedor],"&lt;&gt;saída"))/(AA151+(SUMIFS(estoque[quantidade],estoque[produto],preçodiario[[#Headers],[OVO BRANCO JUMBO]],estoque[fornecedor],"&lt;&gt;saída",estoque[data],preçodiario[[#This Row],[data]])))))</f>
        <v>17.412409584086802</v>
      </c>
      <c r="AA152" s="22">
        <f>IF(preçodiario[[#This Row],[entrada J]]=0,AA151-(SUMIFS(estoque[quantidade],estoque[fornecedor],"saída",estoque[produto],preçodiario[[#Headers],[OVO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Row],[data]]))+AA151+preçodiario[[#This Row],[entrada J]])</f>
        <v>41</v>
      </c>
      <c r="AB152" s="22">
        <f>SUMIFS(estoque[quantidade],estoque[fornecedor],"&lt;&gt;saída",estoque[produto],preçodiario[[#Headers],[OVO BRANCO JUMBO]],estoque[data],preçodiario[[#This Row],[data]])</f>
        <v>0</v>
      </c>
      <c r="AC152" s="20">
        <f>SUMIFS(estoque[valor total],estoque[fornecedor],"&lt;&gt;saída",estoque[produto],preçodiario[[#Headers],[OVO BRANCO JUMBO]],estoque[data],preçodiario[[#This Row],[data]])</f>
        <v>0</v>
      </c>
      <c r="AD152" s="20">
        <f>IFERROR(preçodiario[[#This Row],[OVO BRANCO JUMBO]]*preçodiario[[#This Row],[estoque J]],0)</f>
        <v>713.90879294755894</v>
      </c>
      <c r="AE1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Row],[data]])),((AE151*AF151)+SUMIFS(estoque[valor total],estoque[produto],preçodiario[[#Headers],[OVO VERMELHO A]],estoque[data],preçodiario[[#This Row],[data]],estoque[fornecedor],"&lt;&gt;saída"))/(AF151+(SUMIFS(estoque[quantidade],estoque[produto],preçodiario[[#Headers],[OVO VERMELHO A]],estoque[fornecedor],"&lt;&gt;saída",estoque[data],preçodiario[[#This Row],[data]])))))</f>
        <v/>
      </c>
      <c r="AF152" s="22">
        <f>IF(preçodiario[[#This Row],[entrada AV]]=0,AF151-(SUMIFS(estoque[quantidade],estoque[fornecedor],"saída",estoque[produto],preçodiario[[#Headers],[OVO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Row],[data]]))+AF151+preçodiario[[#This Row],[entrada AV]])</f>
        <v>0</v>
      </c>
      <c r="AG152" s="22">
        <f>SUMIFS(estoque[quantidade],estoque[fornecedor],"&lt;&gt;saída",estoque[produto],preçodiario[[#Headers],[OVO VERMELHO A]],estoque[data],preçodiario[[#This Row],[data]])</f>
        <v>0</v>
      </c>
      <c r="AH152" s="20">
        <f>SUMIFS(estoque[valor total],estoque[fornecedor],"&lt;&gt;saída",estoque[produto],preçodiario[[#Headers],[OVO VERMELHO A]],estoque[data],preçodiario[[#This Row],[data]])</f>
        <v>0</v>
      </c>
      <c r="AI152" s="20">
        <f>IFERROR(preçodiario[[#This Row],[OVO VERMELHO A]]*preçodiario[[#This Row],[estoque AV]],0)</f>
        <v>0</v>
      </c>
      <c r="AJ1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Row],[data]])),((AJ151*AK151)+SUMIFS(estoque[valor total],estoque[produto],preçodiario[[#Headers],[OVO VERMELHO B]],estoque[data],preçodiario[[#This Row],[data]],estoque[fornecedor],"&lt;&gt;saída"))/(AK151+(SUMIFS(estoque[quantidade],estoque[produto],preçodiario[[#Headers],[OVO VERMELHO B]],estoque[fornecedor],"&lt;&gt;saída",estoque[data],preçodiario[[#This Row],[data]])))))</f>
        <v/>
      </c>
      <c r="AK152" s="22">
        <f>IF(preçodiario[[#This Row],[entrada BV]]=0,AK151-(SUMIFS(estoque[quantidade],estoque[fornecedor],"saída",estoque[produto],preçodiario[[#Headers],[OVO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Row],[data]]))+AK151+preçodiario[[#This Row],[entrada BV]])</f>
        <v>0</v>
      </c>
      <c r="AL152" s="22">
        <f>SUMIFS(estoque[quantidade],estoque[fornecedor],"&lt;&gt;saída",estoque[produto],preçodiario[[#Headers],[OVO VERMELHO B]],estoque[data],preçodiario[[#This Row],[data]])</f>
        <v>0</v>
      </c>
      <c r="AM152" s="20">
        <f>SUMIFS(estoque[valor total],estoque[fornecedor],"&lt;&gt;saída",estoque[produto],preçodiario[[#Headers],[OVO VERMELHO B]],estoque[data],preçodiario[[#This Row],[data]])</f>
        <v>0</v>
      </c>
      <c r="AN152" s="20">
        <f>IFERROR(preçodiario[[#This Row],[OVO VERMELHO B]]*preçodiario[[#This Row],[estoque BV]],0)</f>
        <v>0</v>
      </c>
      <c r="AO1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Row],[data]])),((AO151*AP151)+SUMIFS(estoque[valor total],estoque[produto],preçodiario[[#Headers],[OVO VERMELHO C]],estoque[data],preçodiario[[#This Row],[data]],estoque[fornecedor],"&lt;&gt;saída"))/(AP151+(SUMIFS(estoque[quantidade],estoque[produto],preçodiario[[#Headers],[OVO VERMELHO C]],estoque[fornecedor],"&lt;&gt;saída",estoque[data],preçodiario[[#This Row],[data]])))))</f>
        <v/>
      </c>
      <c r="AP152" s="22">
        <f>IF(preçodiario[[#This Row],[entrada CV]]=0,AP151-(SUMIFS(estoque[quantidade],estoque[fornecedor],"saída",estoque[produto],preçodiario[[#Headers],[OVO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Row],[data]]))+AP151+preçodiario[[#This Row],[entrada CV]])</f>
        <v>0</v>
      </c>
      <c r="AQ152" s="22">
        <f>SUMIFS(estoque[quantidade],estoque[fornecedor],"&lt;&gt;saída",estoque[produto],preçodiario[[#Headers],[OVO VERMELHO C]],estoque[data],preçodiario[[#This Row],[data]])</f>
        <v>0</v>
      </c>
      <c r="AR152" s="20">
        <f>SUMIFS(estoque[valor total],estoque[fornecedor],"&lt;&gt;saída",estoque[produto],preçodiario[[#Headers],[OVO VERMELHO C]],estoque[data],preçodiario[[#This Row],[data]])</f>
        <v>0</v>
      </c>
      <c r="AS152" s="20">
        <f>IFERROR(preçodiario[[#This Row],[OVO VERMELHO C]]*preçodiario[[#This Row],[estoque CV]],0)</f>
        <v>0</v>
      </c>
      <c r="AT1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Row],[data]])),((AT151*AU151)+SUMIFS(estoque[valor total],estoque[produto],preçodiario[[#Headers],[OVO VERMELHO EXTRA]],estoque[data],preçodiario[[#This Row],[data]],estoque[fornecedor],"&lt;&gt;saída"))/(AU151+(SUMIFS(estoque[quantidade],estoque[produto],preçodiario[[#Headers],[OVO VERMELHO EXTRA]],estoque[fornecedor],"&lt;&gt;saída",estoque[data],preçodiario[[#This Row],[data]])))))</f>
        <v/>
      </c>
      <c r="AU152" s="22">
        <f>IF(preçodiario[[#This Row],[entrada EV]]=0,AU151-(SUMIFS(estoque[quantidade],estoque[fornecedor],"saída",estoque[produto],preçodiario[[#Headers],[OVO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Row],[data]]))+AU151+preçodiario[[#This Row],[entrada EV]])</f>
        <v>0</v>
      </c>
      <c r="AV152" s="22">
        <f>SUMIFS(estoque[quantidade],estoque[fornecedor],"&lt;&gt;saída",estoque[produto],preçodiario[[#Headers],[OVO VERMELHO EXTRA]],estoque[data],preçodiario[[#This Row],[data]])</f>
        <v>0</v>
      </c>
      <c r="AW152" s="20">
        <f>SUMIFS(estoque[valor total],estoque[fornecedor],"&lt;&gt;saída",estoque[produto],preçodiario[[#Headers],[OVO VERMELHO EXTRA]],estoque[data],preçodiario[[#This Row],[data]])</f>
        <v>0</v>
      </c>
      <c r="AX152" s="20">
        <f>IFERROR(preçodiario[[#This Row],[OVO VERMELHO EXTRA]]*preçodiario[[#This Row],[estoque EV]],0)</f>
        <v>0</v>
      </c>
      <c r="AY1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Row],[data]])),((AY151*AZ151)+SUMIFS(estoque[valor total],estoque[produto],preçodiario[[#Headers],[OVO VERMELHO JUMBO]],estoque[data],preçodiario[[#This Row],[data]],estoque[fornecedor],"&lt;&gt;saída"))/(AZ151+(SUMIFS(estoque[quantidade],estoque[produto],preçodiario[[#Headers],[OVO VERMELHO JUMBO]],estoque[fornecedor],"&lt;&gt;saída",estoque[data],preçodiario[[#This Row],[data]])))))</f>
        <v/>
      </c>
      <c r="AZ152" s="22">
        <f>IF(preçodiario[[#This Row],[entrada JV]]=0,AZ151-(SUMIFS(estoque[quantidade],estoque[fornecedor],"saída",estoque[produto],preçodiario[[#Headers],[OVO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Row],[data]]))+AZ151+preçodiario[[#This Row],[entrada JV]])</f>
        <v>0</v>
      </c>
      <c r="BA152" s="22">
        <f>SUMIFS(estoque[quantidade],estoque[fornecedor],"&lt;&gt;saída",estoque[produto],preçodiario[[#Headers],[OVO VERMELHO JUMBO]],estoque[data],preçodiario[[#This Row],[data]])</f>
        <v>0</v>
      </c>
      <c r="BB152" s="20">
        <f>SUMIFS(estoque[valor total],estoque[fornecedor],"&lt;&gt;saída",estoque[produto],preçodiario[[#Headers],[OVO VERMELHO JUMBO]],estoque[data],preçodiario[[#This Row],[data]])</f>
        <v>0</v>
      </c>
      <c r="BC152" s="20">
        <f>IFERROR(preçodiario[[#This Row],[OVO VERMELHO JUMBO]]*preçodiario[[#This Row],[estoque JV]],0)</f>
        <v>0</v>
      </c>
      <c r="BD152" t="str">
        <f>TEXT(vendaAno[[#This Row],[data]],"mmm")</f>
        <v>mai</v>
      </c>
      <c r="BE152" t="str">
        <f>TEXT(vendaAno[[#This Row],[data]],"ddd")</f>
        <v>dom</v>
      </c>
      <c r="BF152" s="82">
        <f>WEEKNUM(vendaAno[[#This Row],[data]],13)</f>
        <v>22</v>
      </c>
      <c r="BG152" s="27">
        <f>preçodiario[[#This Row],[data]]</f>
        <v>46173</v>
      </c>
      <c r="BH1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2" s="8">
        <f>IF(SUMIFS(estoque[valor total],estoque[fornecedor],"saída",estoque[data],vendaAno[[#This Row],[data]])=0,"",SUMIFS(estoque[valor total],estoque[fornecedor],"saída",estoque[data],vendaAno[[#This Row],[data]]))</f>
        <v>1057</v>
      </c>
      <c r="BJ15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Row],[data]]))/12+BJ151,"")</f>
        <v>26.499999999999975</v>
      </c>
      <c r="BK152" s="79">
        <f ca="1">IF(TODAY()&gt;=vendaAno[[#This Row],[data]],IF(SUMIFS(estoque[quantidade],estoque[fornecedor],"saída",estoque[data],vendaAno[[#This Row],[data]])/12=0,AVERAGE(BK149:BK151),SUMIFS(estoque[quantidade],estoque[fornecedor],"saída",estoque[data],vendaAno[[#This Row],[data]])/12),"")</f>
        <v>4.5</v>
      </c>
      <c r="BL152" s="8">
        <f ca="1">IF(vendaAno[[#This Row],[data]]&lt;=TODAY(),IF(SUMIFS(estoque[lucro],estoque[fornecedor],"saída",estoque[data],vendaAno[[#This Row],[data]])=0,AVERAGE(BL149:BL151),SUMIFS(estoque[lucro],estoque[fornecedor],"saída",estoque[data],vendaAno[[#This Row],[data]])),"")</f>
        <v>181.45</v>
      </c>
      <c r="BM152" s="10">
        <f ca="1">IFERROR(vendaAno[[#This Row],[lucro]]/vendaAno[[#This Row],[valor de venda]],"")</f>
        <v>0.1716650898770104</v>
      </c>
      <c r="BN15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4954.6972999955115</v>
      </c>
      <c r="BO152" s="8">
        <f ca="1">IF(TODAY()&gt;=vendaAno[[#This Row],[data]],IF(vendaAno[[#This Row],[N°]]=BF151,vendaAno[[#This Row],[lucro]]-173.33+BO151,vendaAno[[#This Row],[lucro]]-150),"")</f>
        <v>-243.95000000000007</v>
      </c>
      <c r="BP152" s="81">
        <f ca="1">IF(TODAY()&gt;=vendaAno[[#This Row],[data]],SUM(BK146:BK152)*12,"")</f>
        <v>232.00000000000003</v>
      </c>
      <c r="BQ152" s="7">
        <f ca="1">IFERROR(vendaAno[[#This Row],[lucro]]/(vendaAno[[#This Row],[venda]]*12),"")</f>
        <v>3.3601851851851849</v>
      </c>
    </row>
    <row r="153" spans="1:69" x14ac:dyDescent="0.25">
      <c r="A1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15.443308560042695</v>
      </c>
      <c r="B153" s="18" t="str">
        <f>TEXT(preçodiario[[#This Row],[data]],"MMM")</f>
        <v>jun</v>
      </c>
      <c r="C153" s="18" t="str">
        <f>TEXT(preçodiario[[#This Row],[data]],"ddd")</f>
        <v>seg</v>
      </c>
      <c r="D153" s="96">
        <f>WEEKNUM(preçodiario[[#This Row],[data]],13)</f>
        <v>22</v>
      </c>
      <c r="E153" s="37">
        <v>46174</v>
      </c>
      <c r="F1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Row],[data]])),((F152*G152)+SUMIFS(estoque[valor total],estoque[produto],preçodiario[[#Headers],[OVO BRANCO A]],estoque[data],preçodiario[[#This Row],[data]],estoque[fornecedor],"&lt;&gt;saída"))/(G152+(SUMIFS(estoque[quantidade],estoque[produto],preçodiario[[#Headers],[OVO BRANCO A]],estoque[fornecedor],"&lt;&gt;saída",estoque[data],preçodiario[[#This Row],[data]])))))</f>
        <v>15.443308560042695</v>
      </c>
      <c r="G153" s="22">
        <f>IF(preçodiario[[#This Row],[entrada A]]=0,G152-(SUMIFS(estoque[quantidade],estoque[fornecedor],"saída",estoque[produto],preçodiario[[#Headers],[OVO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Row],[data]]))+G152+preçodiario[[#This Row],[entrada A]])</f>
        <v>137</v>
      </c>
      <c r="H153" s="22">
        <f>SUMIFS(estoque[quantidade],estoque[fornecedor],"&lt;&gt;saída",estoque[produto],preçodiario[[#Headers],[OVO BRANCO A]],estoque[data],preçodiario[[#This Row],[data]])</f>
        <v>120</v>
      </c>
      <c r="I153" s="20">
        <f>SUMIFS(estoque[valor total],estoque[fornecedor],"&lt;&gt;saída",estoque[produto],preçodiario[[#Headers],[OVO BRANCO A]],estoque[data],preçodiario[[#This Row],[data]])</f>
        <v>1850</v>
      </c>
      <c r="J153" s="20">
        <f>IFERROR(preçodiario[[#This Row],[estoque A]]*preçodiario[[#This Row],[OVO BRANCO A]],0)</f>
        <v>2115.733272725849</v>
      </c>
      <c r="K1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Row],[data]])),((K152*L152)+SUMIFS(estoque[valor total],estoque[produto],preçodiario[[#Headers],[OVO BRANCO B]],estoque[data],preçodiario[[#This Row],[data]],estoque[fornecedor],"&lt;&gt;saída"))/(L152+(SUMIFS(estoque[quantidade],estoque[produto],preçodiario[[#Headers],[OVO BRANCO B]],estoque[fornecedor],"&lt;&gt;saída",estoque[data],preçodiario[[#This Row],[data]])))))</f>
        <v>14.704142011834319</v>
      </c>
      <c r="L153" s="22">
        <f>IF(preçodiario[[#This Row],[entrada B]]=0,L152-(SUMIFS(estoque[quantidade],estoque[fornecedor],"saída",estoque[produto],preçodiario[[#Headers],[OVO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Row],[data]]))+L152+preçodiario[[#This Row],[entrada B]])</f>
        <v>164</v>
      </c>
      <c r="M153" s="22">
        <f>SUMIFS(estoque[quantidade],estoque[fornecedor],"&lt;&gt;saída",estoque[produto],preçodiario[[#Headers],[OVO BRANCO B]],estoque[data],preçodiario[[#This Row],[data]])</f>
        <v>60</v>
      </c>
      <c r="N153" s="20">
        <f>SUMIFS(estoque[valor total],estoque[fornecedor],"&lt;&gt;saída",estoque[produto],preçodiario[[#Headers],[OVO BRANCO B]],estoque[data],preçodiario[[#This Row],[data]])</f>
        <v>850</v>
      </c>
      <c r="O153" s="20">
        <f>IFERROR(preçodiario[[#This Row],[OVO BRANCO B]]*preçodiario[[#This Row],[estoque B]],0)</f>
        <v>2411.4792899408285</v>
      </c>
      <c r="P1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Row],[data]])),((P152*Q152)+SUMIFS(estoque[valor total],estoque[produto],preçodiario[[#Headers],[OVO BRANCO C]],estoque[data],preçodiario[[#This Row],[data]],estoque[fornecedor],"&lt;&gt;saída"))/(Q152+(SUMIFS(estoque[quantidade],estoque[produto],preçodiario[[#Headers],[OVO BRANCO C]],estoque[fornecedor],"&lt;&gt;saída",estoque[data],preçodiario[[#This Row],[data]])))))</f>
        <v>13.833333333333334</v>
      </c>
      <c r="Q153" s="22">
        <f>IF(preçodiario[[#This Row],[entrada C]]=0,Q152-(SUMIFS(estoque[quantidade],estoque[fornecedor],"saída",estoque[produto],preçodiario[[#Headers],[OVO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Row],[data]]))+Q152+preçodiario[[#This Row],[entrada C]])</f>
        <v>48</v>
      </c>
      <c r="R153" s="22">
        <f>SUMIFS(estoque[quantidade],estoque[fornecedor],"&lt;&gt;saída",estoque[produto],preçodiario[[#Headers],[OVO BRANCO C]],estoque[data],preçodiario[[#This Row],[data]])</f>
        <v>0</v>
      </c>
      <c r="S153" s="20">
        <f>SUMIFS(estoque[valor total],estoque[fornecedor],"&lt;&gt;saída",estoque[produto],preçodiario[[#Headers],[OVO BRANCO C]],estoque[data],preçodiario[[#This Row],[data]])</f>
        <v>0</v>
      </c>
      <c r="T153" s="20">
        <f>IFERROR(preçodiario[[#This Row],[OVO BRANCO C]]*preçodiario[[#This Row],[estoque C]],0)</f>
        <v>664</v>
      </c>
      <c r="U1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Row],[data]])),((U152*V152)+SUMIFS(estoque[valor total],estoque[produto],preçodiario[[#Headers],[OVO BRANCO EXTRA]],estoque[data],preçodiario[[#This Row],[data]],estoque[fornecedor],"&lt;&gt;saída"))/(V152+(SUMIFS(estoque[quantidade],estoque[produto],preçodiario[[#Headers],[OVO BRANCO EXTRA]],estoque[fornecedor],"&lt;&gt;saída",estoque[data],preçodiario[[#This Row],[data]])))))</f>
        <v>16.373456790123459</v>
      </c>
      <c r="V153" s="22">
        <f>IF(preçodiario[[#This Row],[entrada E]]=0,V152-(SUMIFS(estoque[quantidade],estoque[fornecedor],"saída",estoque[produto],preçodiario[[#Headers],[OVO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Row],[data]]))+V152+preçodiario[[#This Row],[entrada E]])</f>
        <v>84</v>
      </c>
      <c r="W153" s="22">
        <f>SUMIFS(estoque[quantidade],estoque[fornecedor],"&lt;&gt;saída",estoque[produto],preçodiario[[#Headers],[OVO BRANCO EXTRA]],estoque[data],preçodiario[[#This Row],[data]])</f>
        <v>0</v>
      </c>
      <c r="X153" s="20">
        <f>SUMIFS(estoque[valor total],estoque[fornecedor],"&lt;&gt;saída",estoque[produto],preçodiario[[#Headers],[OVO BRANCO EXTRA]],estoque[data],preçodiario[[#This Row],[data]])</f>
        <v>0</v>
      </c>
      <c r="Y153" s="20">
        <f>IFERROR(preçodiario[[#This Row],[estoque E]]*preçodiario[[#This Row],[OVO BRANCO EXTRA]],0)</f>
        <v>1375.3703703703707</v>
      </c>
      <c r="Z1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Row],[data]])),((Z152*AA152)+SUMIFS(estoque[valor total],estoque[produto],preçodiario[[#Headers],[OVO BRANCO JUMBO]],estoque[data],preçodiario[[#This Row],[data]],estoque[fornecedor],"&lt;&gt;saída"))/(AA152+(SUMIFS(estoque[quantidade],estoque[produto],preçodiario[[#Headers],[OVO BRANCO JUMBO]],estoque[fornecedor],"&lt;&gt;saída",estoque[data],preçodiario[[#This Row],[data]])))))</f>
        <v>17.412409584086802</v>
      </c>
      <c r="AA153" s="22">
        <f>IF(preçodiario[[#This Row],[entrada J]]=0,AA152-(SUMIFS(estoque[quantidade],estoque[fornecedor],"saída",estoque[produto],preçodiario[[#Headers],[OVO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Row],[data]]))+AA152+preçodiario[[#This Row],[entrada J]])</f>
        <v>31</v>
      </c>
      <c r="AB153" s="22">
        <f>SUMIFS(estoque[quantidade],estoque[fornecedor],"&lt;&gt;saída",estoque[produto],preçodiario[[#Headers],[OVO BRANCO JUMBO]],estoque[data],preçodiario[[#This Row],[data]])</f>
        <v>0</v>
      </c>
      <c r="AC153" s="20">
        <f>SUMIFS(estoque[valor total],estoque[fornecedor],"&lt;&gt;saída",estoque[produto],preçodiario[[#Headers],[OVO BRANCO JUMBO]],estoque[data],preçodiario[[#This Row],[data]])</f>
        <v>0</v>
      </c>
      <c r="AD153" s="20">
        <f>IFERROR(preçodiario[[#This Row],[OVO BRANCO JUMBO]]*preçodiario[[#This Row],[estoque J]],0)</f>
        <v>539.78469710669083</v>
      </c>
      <c r="AE1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Row],[data]])),((AE152*AF152)+SUMIFS(estoque[valor total],estoque[produto],preçodiario[[#Headers],[OVO VERMELHO A]],estoque[data],preçodiario[[#This Row],[data]],estoque[fornecedor],"&lt;&gt;saída"))/(AF152+(SUMIFS(estoque[quantidade],estoque[produto],preçodiario[[#Headers],[OVO VERMELHO A]],estoque[fornecedor],"&lt;&gt;saída",estoque[data],preçodiario[[#This Row],[data]])))))</f>
        <v/>
      </c>
      <c r="AF153" s="22">
        <f>IF(preçodiario[[#This Row],[entrada AV]]=0,AF152-(SUMIFS(estoque[quantidade],estoque[fornecedor],"saída",estoque[produto],preçodiario[[#Headers],[OVO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Row],[data]]))+AF152+preçodiario[[#This Row],[entrada AV]])</f>
        <v>0</v>
      </c>
      <c r="AG153" s="22">
        <f>SUMIFS(estoque[quantidade],estoque[fornecedor],"&lt;&gt;saída",estoque[produto],preçodiario[[#Headers],[OVO VERMELHO A]],estoque[data],preçodiario[[#This Row],[data]])</f>
        <v>0</v>
      </c>
      <c r="AH153" s="20">
        <f>SUMIFS(estoque[valor total],estoque[fornecedor],"&lt;&gt;saída",estoque[produto],preçodiario[[#Headers],[OVO VERMELHO A]],estoque[data],preçodiario[[#This Row],[data]])</f>
        <v>0</v>
      </c>
      <c r="AI153" s="20">
        <f>IFERROR(preçodiario[[#This Row],[OVO VERMELHO A]]*preçodiario[[#This Row],[estoque AV]],0)</f>
        <v>0</v>
      </c>
      <c r="AJ1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Row],[data]])),((AJ152*AK152)+SUMIFS(estoque[valor total],estoque[produto],preçodiario[[#Headers],[OVO VERMELHO B]],estoque[data],preçodiario[[#This Row],[data]],estoque[fornecedor],"&lt;&gt;saída"))/(AK152+(SUMIFS(estoque[quantidade],estoque[produto],preçodiario[[#Headers],[OVO VERMELHO B]],estoque[fornecedor],"&lt;&gt;saída",estoque[data],preçodiario[[#This Row],[data]])))))</f>
        <v/>
      </c>
      <c r="AK153" s="22">
        <f>IF(preçodiario[[#This Row],[entrada BV]]=0,AK152-(SUMIFS(estoque[quantidade],estoque[fornecedor],"saída",estoque[produto],preçodiario[[#Headers],[OVO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Row],[data]]))+AK152+preçodiario[[#This Row],[entrada BV]])</f>
        <v>0</v>
      </c>
      <c r="AL153" s="22">
        <f>SUMIFS(estoque[quantidade],estoque[fornecedor],"&lt;&gt;saída",estoque[produto],preçodiario[[#Headers],[OVO VERMELHO B]],estoque[data],preçodiario[[#This Row],[data]])</f>
        <v>0</v>
      </c>
      <c r="AM153" s="20">
        <f>SUMIFS(estoque[valor total],estoque[fornecedor],"&lt;&gt;saída",estoque[produto],preçodiario[[#Headers],[OVO VERMELHO B]],estoque[data],preçodiario[[#This Row],[data]])</f>
        <v>0</v>
      </c>
      <c r="AN153" s="20">
        <f>IFERROR(preçodiario[[#This Row],[OVO VERMELHO B]]*preçodiario[[#This Row],[estoque BV]],0)</f>
        <v>0</v>
      </c>
      <c r="AO1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Row],[data]])),((AO152*AP152)+SUMIFS(estoque[valor total],estoque[produto],preçodiario[[#Headers],[OVO VERMELHO C]],estoque[data],preçodiario[[#This Row],[data]],estoque[fornecedor],"&lt;&gt;saída"))/(AP152+(SUMIFS(estoque[quantidade],estoque[produto],preçodiario[[#Headers],[OVO VERMELHO C]],estoque[fornecedor],"&lt;&gt;saída",estoque[data],preçodiario[[#This Row],[data]])))))</f>
        <v/>
      </c>
      <c r="AP153" s="22">
        <f>IF(preçodiario[[#This Row],[entrada CV]]=0,AP152-(SUMIFS(estoque[quantidade],estoque[fornecedor],"saída",estoque[produto],preçodiario[[#Headers],[OVO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Row],[data]]))+AP152+preçodiario[[#This Row],[entrada CV]])</f>
        <v>0</v>
      </c>
      <c r="AQ153" s="22">
        <f>SUMIFS(estoque[quantidade],estoque[fornecedor],"&lt;&gt;saída",estoque[produto],preçodiario[[#Headers],[OVO VERMELHO C]],estoque[data],preçodiario[[#This Row],[data]])</f>
        <v>0</v>
      </c>
      <c r="AR153" s="20">
        <f>SUMIFS(estoque[valor total],estoque[fornecedor],"&lt;&gt;saída",estoque[produto],preçodiario[[#Headers],[OVO VERMELHO C]],estoque[data],preçodiario[[#This Row],[data]])</f>
        <v>0</v>
      </c>
      <c r="AS153" s="20">
        <f>IFERROR(preçodiario[[#This Row],[OVO VERMELHO C]]*preçodiario[[#This Row],[estoque CV]],0)</f>
        <v>0</v>
      </c>
      <c r="AT1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Row],[data]])),((AT152*AU152)+SUMIFS(estoque[valor total],estoque[produto],preçodiario[[#Headers],[OVO VERMELHO EXTRA]],estoque[data],preçodiario[[#This Row],[data]],estoque[fornecedor],"&lt;&gt;saída"))/(AU152+(SUMIFS(estoque[quantidade],estoque[produto],preçodiario[[#Headers],[OVO VERMELHO EXTRA]],estoque[fornecedor],"&lt;&gt;saída",estoque[data],preçodiario[[#This Row],[data]])))))</f>
        <v/>
      </c>
      <c r="AU153" s="22">
        <f>IF(preçodiario[[#This Row],[entrada EV]]=0,AU152-(SUMIFS(estoque[quantidade],estoque[fornecedor],"saída",estoque[produto],preçodiario[[#Headers],[OVO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Row],[data]]))+AU152+preçodiario[[#This Row],[entrada EV]])</f>
        <v>0</v>
      </c>
      <c r="AV153" s="22">
        <f>SUMIFS(estoque[quantidade],estoque[fornecedor],"&lt;&gt;saída",estoque[produto],preçodiario[[#Headers],[OVO VERMELHO EXTRA]],estoque[data],preçodiario[[#This Row],[data]])</f>
        <v>0</v>
      </c>
      <c r="AW153" s="20">
        <f>SUMIFS(estoque[valor total],estoque[fornecedor],"&lt;&gt;saída",estoque[produto],preçodiario[[#Headers],[OVO VERMELHO EXTRA]],estoque[data],preçodiario[[#This Row],[data]])</f>
        <v>0</v>
      </c>
      <c r="AX153" s="20">
        <f>IFERROR(preçodiario[[#This Row],[OVO VERMELHO EXTRA]]*preçodiario[[#This Row],[estoque EV]],0)</f>
        <v>0</v>
      </c>
      <c r="AY1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Row],[data]])),((AY152*AZ152)+SUMIFS(estoque[valor total],estoque[produto],preçodiario[[#Headers],[OVO VERMELHO JUMBO]],estoque[data],preçodiario[[#This Row],[data]],estoque[fornecedor],"&lt;&gt;saída"))/(AZ152+(SUMIFS(estoque[quantidade],estoque[produto],preçodiario[[#Headers],[OVO VERMELHO JUMBO]],estoque[fornecedor],"&lt;&gt;saída",estoque[data],preçodiario[[#This Row],[data]])))))</f>
        <v/>
      </c>
      <c r="AZ153" s="22">
        <f>IF(preçodiario[[#This Row],[entrada JV]]=0,AZ152-(SUMIFS(estoque[quantidade],estoque[fornecedor],"saída",estoque[produto],preçodiario[[#Headers],[OVO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Row],[data]]))+AZ152+preçodiario[[#This Row],[entrada JV]])</f>
        <v>0</v>
      </c>
      <c r="BA153" s="22">
        <f>SUMIFS(estoque[quantidade],estoque[fornecedor],"&lt;&gt;saída",estoque[produto],preçodiario[[#Headers],[OVO VERMELHO JUMBO]],estoque[data],preçodiario[[#This Row],[data]])</f>
        <v>0</v>
      </c>
      <c r="BB153" s="20">
        <f>SUMIFS(estoque[valor total],estoque[fornecedor],"&lt;&gt;saída",estoque[produto],preçodiario[[#Headers],[OVO VERMELHO JUMBO]],estoque[data],preçodiario[[#This Row],[data]])</f>
        <v>0</v>
      </c>
      <c r="BC153" s="20">
        <f>IFERROR(preçodiario[[#This Row],[OVO VERMELHO JUMBO]]*preçodiario[[#This Row],[estoque JV]],0)</f>
        <v>0</v>
      </c>
      <c r="BD153" t="str">
        <f>TEXT(vendaAno[[#This Row],[data]],"mmm")</f>
        <v>jun</v>
      </c>
      <c r="BE153" t="str">
        <f>TEXT(vendaAno[[#This Row],[data]],"ddd")</f>
        <v>seg</v>
      </c>
      <c r="BF153" s="82">
        <f>WEEKNUM(vendaAno[[#This Row],[data]],13)</f>
        <v>22</v>
      </c>
      <c r="BG153" s="27">
        <f>preçodiario[[#This Row],[data]]</f>
        <v>46174</v>
      </c>
      <c r="BH153" s="8">
        <f>IF(SUMIFS(estoque[valor total],estoque[fornecedor],"&lt;&gt;saída",estoque[data],vendaAno[[#This Row],[data]])=0,"",SUMIFS(estoque[valor total],estoque[fornecedor],"&lt;&gt;saída",estoque[data],vendaAno[[#This Row],[data]]))</f>
        <v>2700</v>
      </c>
      <c r="BI153" s="8">
        <f>IF(SUMIFS(estoque[valor total],estoque[fornecedor],"saída",estoque[data],vendaAno[[#This Row],[data]])=0,"",SUMIFS(estoque[valor total],estoque[fornecedor],"saída",estoque[data],vendaAno[[#This Row],[data]]))</f>
        <v>615</v>
      </c>
      <c r="BJ15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Row],[data]]))/12+BJ152,"")</f>
        <v>38.666666666666643</v>
      </c>
      <c r="BK153" s="79">
        <f ca="1">IF(TODAY()&gt;=vendaAno[[#This Row],[data]],IF(SUMIFS(estoque[quantidade],estoque[fornecedor],"saída",estoque[data],vendaAno[[#This Row],[data]])/12=0,AVERAGE(BK150:BK152),SUMIFS(estoque[quantidade],estoque[fornecedor],"saída",estoque[data],vendaAno[[#This Row],[data]])/12),"")</f>
        <v>2.8333333333333335</v>
      </c>
      <c r="BL153" s="8">
        <f ca="1">IF(vendaAno[[#This Row],[data]]&lt;=TODAY(),IF(SUMIFS(estoque[lucro],estoque[fornecedor],"saída",estoque[data],vendaAno[[#This Row],[data]])=0,AVERAGE(BL150:BL152),SUMIFS(estoque[lucro],estoque[fornecedor],"saída",estoque[data],vendaAno[[#This Row],[data]])),"")</f>
        <v>66.690000000000012</v>
      </c>
      <c r="BM153" s="10">
        <f ca="1">IFERROR(vendaAno[[#This Row],[lucro]]/vendaAno[[#This Row],[valor de venda]],"")</f>
        <v>0.10843902439024392</v>
      </c>
      <c r="BN15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7106.367630143739</v>
      </c>
      <c r="BO153" s="8">
        <f ca="1">IF(TODAY()&gt;=vendaAno[[#This Row],[data]],IF(vendaAno[[#This Row],[N°]]=BF152,vendaAno[[#This Row],[lucro]]-173.33+BO152,vendaAno[[#This Row],[lucro]]-150),"")</f>
        <v>-350.59000000000009</v>
      </c>
      <c r="BP153" s="81">
        <f ca="1">IF(TODAY()&gt;=vendaAno[[#This Row],[data]],SUM(BK147:BK153)*12,"")</f>
        <v>243</v>
      </c>
      <c r="BQ153" s="7">
        <f ca="1">IFERROR(vendaAno[[#This Row],[lucro]]/(vendaAno[[#This Row],[venda]]*12),"")</f>
        <v>1.9614705882352945</v>
      </c>
    </row>
    <row r="154" spans="1:69" x14ac:dyDescent="0.25">
      <c r="A1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15.443308560042693</v>
      </c>
      <c r="B154" s="18" t="str">
        <f>TEXT(preçodiario[[#This Row],[data]],"MMM")</f>
        <v>jun</v>
      </c>
      <c r="C154" s="18" t="str">
        <f>TEXT(preçodiario[[#This Row],[data]],"ddd")</f>
        <v>ter</v>
      </c>
      <c r="D154" s="96">
        <f>WEEKNUM(preçodiario[[#This Row],[data]],13)</f>
        <v>22</v>
      </c>
      <c r="E154" s="37">
        <v>46175</v>
      </c>
      <c r="F1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Row],[data]])),((F153*G153)+SUMIFS(estoque[valor total],estoque[produto],preçodiario[[#Headers],[OVO BRANCO A]],estoque[data],preçodiario[[#This Row],[data]],estoque[fornecedor],"&lt;&gt;saída"))/(G153+(SUMIFS(estoque[quantidade],estoque[produto],preçodiario[[#Headers],[OVO BRANCO A]],estoque[fornecedor],"&lt;&gt;saída",estoque[data],preçodiario[[#This Row],[data]])))))</f>
        <v>15.443308560042693</v>
      </c>
      <c r="G154" s="22">
        <f>IF(preçodiario[[#This Row],[entrada A]]=0,G153-(SUMIFS(estoque[quantidade],estoque[fornecedor],"saída",estoque[produto],preçodiario[[#Headers],[OVO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Row],[data]]))+G153+preçodiario[[#This Row],[entrada A]])</f>
        <v>134</v>
      </c>
      <c r="H154" s="22">
        <f>SUMIFS(estoque[quantidade],estoque[fornecedor],"&lt;&gt;saída",estoque[produto],preçodiario[[#Headers],[OVO BRANCO A]],estoque[data],preçodiario[[#This Row],[data]])</f>
        <v>0</v>
      </c>
      <c r="I154" s="20">
        <f>SUMIFS(estoque[valor total],estoque[fornecedor],"&lt;&gt;saída",estoque[produto],preçodiario[[#Headers],[OVO BRANCO A]],estoque[data],preçodiario[[#This Row],[data]])</f>
        <v>0</v>
      </c>
      <c r="J154" s="20">
        <f>IFERROR(preçodiario[[#This Row],[estoque A]]*preçodiario[[#This Row],[OVO BRANCO A]],0)</f>
        <v>2069.4033470457207</v>
      </c>
      <c r="K1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Row],[data]])),((K153*L153)+SUMIFS(estoque[valor total],estoque[produto],preçodiario[[#Headers],[OVO BRANCO B]],estoque[data],preçodiario[[#This Row],[data]],estoque[fornecedor],"&lt;&gt;saída"))/(L153+(SUMIFS(estoque[quantidade],estoque[produto],preçodiario[[#Headers],[OVO BRANCO B]],estoque[fornecedor],"&lt;&gt;saída",estoque[data],preçodiario[[#This Row],[data]])))))</f>
        <v>14.704142011834319</v>
      </c>
      <c r="L154" s="22">
        <f>IF(preçodiario[[#This Row],[entrada B]]=0,L153-(SUMIFS(estoque[quantidade],estoque[fornecedor],"saída",estoque[produto],preçodiario[[#Headers],[OVO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Row],[data]]))+L153+preçodiario[[#This Row],[entrada B]])</f>
        <v>161</v>
      </c>
      <c r="M154" s="22">
        <f>SUMIFS(estoque[quantidade],estoque[fornecedor],"&lt;&gt;saída",estoque[produto],preçodiario[[#Headers],[OVO BRANCO B]],estoque[data],preçodiario[[#This Row],[data]])</f>
        <v>0</v>
      </c>
      <c r="N154" s="20">
        <f>SUMIFS(estoque[valor total],estoque[fornecedor],"&lt;&gt;saída",estoque[produto],preçodiario[[#Headers],[OVO BRANCO B]],estoque[data],preçodiario[[#This Row],[data]])</f>
        <v>0</v>
      </c>
      <c r="O154" s="20">
        <f>IFERROR(preçodiario[[#This Row],[OVO BRANCO B]]*preçodiario[[#This Row],[estoque B]],0)</f>
        <v>2367.3668639053253</v>
      </c>
      <c r="P1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Row],[data]])),((P153*Q153)+SUMIFS(estoque[valor total],estoque[produto],preçodiario[[#Headers],[OVO BRANCO C]],estoque[data],preçodiario[[#This Row],[data]],estoque[fornecedor],"&lt;&gt;saída"))/(Q153+(SUMIFS(estoque[quantidade],estoque[produto],preçodiario[[#Headers],[OVO BRANCO C]],estoque[fornecedor],"&lt;&gt;saída",estoque[data],preçodiario[[#This Row],[data]])))))</f>
        <v>13.833333333333334</v>
      </c>
      <c r="Q154" s="22">
        <f>IF(preçodiario[[#This Row],[entrada C]]=0,Q153-(SUMIFS(estoque[quantidade],estoque[fornecedor],"saída",estoque[produto],preçodiario[[#Headers],[OVO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Row],[data]]))+Q153+preçodiario[[#This Row],[entrada C]])</f>
        <v>43</v>
      </c>
      <c r="R154" s="22">
        <f>SUMIFS(estoque[quantidade],estoque[fornecedor],"&lt;&gt;saída",estoque[produto],preçodiario[[#Headers],[OVO BRANCO C]],estoque[data],preçodiario[[#This Row],[data]])</f>
        <v>0</v>
      </c>
      <c r="S154" s="20">
        <f>SUMIFS(estoque[valor total],estoque[fornecedor],"&lt;&gt;saída",estoque[produto],preçodiario[[#Headers],[OVO BRANCO C]],estoque[data],preçodiario[[#This Row],[data]])</f>
        <v>0</v>
      </c>
      <c r="T154" s="20">
        <f>IFERROR(preçodiario[[#This Row],[OVO BRANCO C]]*preçodiario[[#This Row],[estoque C]],0)</f>
        <v>594.83333333333337</v>
      </c>
      <c r="U1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Row],[data]])),((U153*V153)+SUMIFS(estoque[valor total],estoque[produto],preçodiario[[#Headers],[OVO BRANCO EXTRA]],estoque[data],preçodiario[[#This Row],[data]],estoque[fornecedor],"&lt;&gt;saída"))/(V153+(SUMIFS(estoque[quantidade],estoque[produto],preçodiario[[#Headers],[OVO BRANCO EXTRA]],estoque[fornecedor],"&lt;&gt;saída",estoque[data],preçodiario[[#This Row],[data]])))))</f>
        <v>16.373456790123459</v>
      </c>
      <c r="V154" s="22">
        <f>IF(preçodiario[[#This Row],[entrada E]]=0,V153-(SUMIFS(estoque[quantidade],estoque[fornecedor],"saída",estoque[produto],preçodiario[[#Headers],[OVO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Row],[data]]))+V153+preçodiario[[#This Row],[entrada E]])</f>
        <v>80</v>
      </c>
      <c r="W154" s="22">
        <f>SUMIFS(estoque[quantidade],estoque[fornecedor],"&lt;&gt;saída",estoque[produto],preçodiario[[#Headers],[OVO BRANCO EXTRA]],estoque[data],preçodiario[[#This Row],[data]])</f>
        <v>0</v>
      </c>
      <c r="X154" s="20">
        <f>SUMIFS(estoque[valor total],estoque[fornecedor],"&lt;&gt;saída",estoque[produto],preçodiario[[#Headers],[OVO BRANCO EXTRA]],estoque[data],preçodiario[[#This Row],[data]])</f>
        <v>0</v>
      </c>
      <c r="Y154" s="20">
        <f>IFERROR(preçodiario[[#This Row],[estoque E]]*preçodiario[[#This Row],[OVO BRANCO EXTRA]],0)</f>
        <v>1309.8765432098767</v>
      </c>
      <c r="Z1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Row],[data]])),((Z153*AA153)+SUMIFS(estoque[valor total],estoque[produto],preçodiario[[#Headers],[OVO BRANCO JUMBO]],estoque[data],preçodiario[[#This Row],[data]],estoque[fornecedor],"&lt;&gt;saída"))/(AA153+(SUMIFS(estoque[quantidade],estoque[produto],preçodiario[[#Headers],[OVO BRANCO JUMBO]],estoque[fornecedor],"&lt;&gt;saída",estoque[data],preçodiario[[#This Row],[data]])))))</f>
        <v>17.412409584086802</v>
      </c>
      <c r="AA154" s="22">
        <f>IF(preçodiario[[#This Row],[entrada J]]=0,AA153-(SUMIFS(estoque[quantidade],estoque[fornecedor],"saída",estoque[produto],preçodiario[[#Headers],[OVO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Row],[data]]))+AA153+preçodiario[[#This Row],[entrada J]])</f>
        <v>22</v>
      </c>
      <c r="AB154" s="22">
        <f>SUMIFS(estoque[quantidade],estoque[fornecedor],"&lt;&gt;saída",estoque[produto],preçodiario[[#Headers],[OVO BRANCO JUMBO]],estoque[data],preçodiario[[#This Row],[data]])</f>
        <v>0</v>
      </c>
      <c r="AC154" s="20">
        <f>SUMIFS(estoque[valor total],estoque[fornecedor],"&lt;&gt;saída",estoque[produto],preçodiario[[#Headers],[OVO BRANCO JUMBO]],estoque[data],preçodiario[[#This Row],[data]])</f>
        <v>0</v>
      </c>
      <c r="AD154" s="20">
        <f>IFERROR(preçodiario[[#This Row],[OVO BRANCO JUMBO]]*preçodiario[[#This Row],[estoque J]],0)</f>
        <v>383.07301084990968</v>
      </c>
      <c r="AE1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Row],[data]])),((AE153*AF153)+SUMIFS(estoque[valor total],estoque[produto],preçodiario[[#Headers],[OVO VERMELHO A]],estoque[data],preçodiario[[#This Row],[data]],estoque[fornecedor],"&lt;&gt;saída"))/(AF153+(SUMIFS(estoque[quantidade],estoque[produto],preçodiario[[#Headers],[OVO VERMELHO A]],estoque[fornecedor],"&lt;&gt;saída",estoque[data],preçodiario[[#This Row],[data]])))))</f>
        <v/>
      </c>
      <c r="AF154" s="22">
        <f>IF(preçodiario[[#This Row],[entrada AV]]=0,AF153-(SUMIFS(estoque[quantidade],estoque[fornecedor],"saída",estoque[produto],preçodiario[[#Headers],[OVO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Row],[data]]))+AF153+preçodiario[[#This Row],[entrada AV]])</f>
        <v>0</v>
      </c>
      <c r="AG154" s="22">
        <f>SUMIFS(estoque[quantidade],estoque[fornecedor],"&lt;&gt;saída",estoque[produto],preçodiario[[#Headers],[OVO VERMELHO A]],estoque[data],preçodiario[[#This Row],[data]])</f>
        <v>0</v>
      </c>
      <c r="AH154" s="20">
        <f>SUMIFS(estoque[valor total],estoque[fornecedor],"&lt;&gt;saída",estoque[produto],preçodiario[[#Headers],[OVO VERMELHO A]],estoque[data],preçodiario[[#This Row],[data]])</f>
        <v>0</v>
      </c>
      <c r="AI154" s="20">
        <f>IFERROR(preçodiario[[#This Row],[OVO VERMELHO A]]*preçodiario[[#This Row],[estoque AV]],0)</f>
        <v>0</v>
      </c>
      <c r="AJ1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Row],[data]])),((AJ153*AK153)+SUMIFS(estoque[valor total],estoque[produto],preçodiario[[#Headers],[OVO VERMELHO B]],estoque[data],preçodiario[[#This Row],[data]],estoque[fornecedor],"&lt;&gt;saída"))/(AK153+(SUMIFS(estoque[quantidade],estoque[produto],preçodiario[[#Headers],[OVO VERMELHO B]],estoque[fornecedor],"&lt;&gt;saída",estoque[data],preçodiario[[#This Row],[data]])))))</f>
        <v/>
      </c>
      <c r="AK154" s="22">
        <f>IF(preçodiario[[#This Row],[entrada BV]]=0,AK153-(SUMIFS(estoque[quantidade],estoque[fornecedor],"saída",estoque[produto],preçodiario[[#Headers],[OVO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Row],[data]]))+AK153+preçodiario[[#This Row],[entrada BV]])</f>
        <v>0</v>
      </c>
      <c r="AL154" s="22">
        <f>SUMIFS(estoque[quantidade],estoque[fornecedor],"&lt;&gt;saída",estoque[produto],preçodiario[[#Headers],[OVO VERMELHO B]],estoque[data],preçodiario[[#This Row],[data]])</f>
        <v>0</v>
      </c>
      <c r="AM154" s="20">
        <f>SUMIFS(estoque[valor total],estoque[fornecedor],"&lt;&gt;saída",estoque[produto],preçodiario[[#Headers],[OVO VERMELHO B]],estoque[data],preçodiario[[#This Row],[data]])</f>
        <v>0</v>
      </c>
      <c r="AN154" s="20">
        <f>IFERROR(preçodiario[[#This Row],[OVO VERMELHO B]]*preçodiario[[#This Row],[estoque BV]],0)</f>
        <v>0</v>
      </c>
      <c r="AO1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Row],[data]])),((AO153*AP153)+SUMIFS(estoque[valor total],estoque[produto],preçodiario[[#Headers],[OVO VERMELHO C]],estoque[data],preçodiario[[#This Row],[data]],estoque[fornecedor],"&lt;&gt;saída"))/(AP153+(SUMIFS(estoque[quantidade],estoque[produto],preçodiario[[#Headers],[OVO VERMELHO C]],estoque[fornecedor],"&lt;&gt;saída",estoque[data],preçodiario[[#This Row],[data]])))))</f>
        <v/>
      </c>
      <c r="AP154" s="22">
        <f>IF(preçodiario[[#This Row],[entrada CV]]=0,AP153-(SUMIFS(estoque[quantidade],estoque[fornecedor],"saída",estoque[produto],preçodiario[[#Headers],[OVO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Row],[data]]))+AP153+preçodiario[[#This Row],[entrada CV]])</f>
        <v>0</v>
      </c>
      <c r="AQ154" s="22">
        <f>SUMIFS(estoque[quantidade],estoque[fornecedor],"&lt;&gt;saída",estoque[produto],preçodiario[[#Headers],[OVO VERMELHO C]],estoque[data],preçodiario[[#This Row],[data]])</f>
        <v>0</v>
      </c>
      <c r="AR154" s="20">
        <f>SUMIFS(estoque[valor total],estoque[fornecedor],"&lt;&gt;saída",estoque[produto],preçodiario[[#Headers],[OVO VERMELHO C]],estoque[data],preçodiario[[#This Row],[data]])</f>
        <v>0</v>
      </c>
      <c r="AS154" s="20">
        <f>IFERROR(preçodiario[[#This Row],[OVO VERMELHO C]]*preçodiario[[#This Row],[estoque CV]],0)</f>
        <v>0</v>
      </c>
      <c r="AT1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Row],[data]])),((AT153*AU153)+SUMIFS(estoque[valor total],estoque[produto],preçodiario[[#Headers],[OVO VERMELHO EXTRA]],estoque[data],preçodiario[[#This Row],[data]],estoque[fornecedor],"&lt;&gt;saída"))/(AU153+(SUMIFS(estoque[quantidade],estoque[produto],preçodiario[[#Headers],[OVO VERMELHO EXTRA]],estoque[fornecedor],"&lt;&gt;saída",estoque[data],preçodiario[[#This Row],[data]])))))</f>
        <v/>
      </c>
      <c r="AU154" s="22">
        <f>IF(preçodiario[[#This Row],[entrada EV]]=0,AU153-(SUMIFS(estoque[quantidade],estoque[fornecedor],"saída",estoque[produto],preçodiario[[#Headers],[OVO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Row],[data]]))+AU153+preçodiario[[#This Row],[entrada EV]])</f>
        <v>0</v>
      </c>
      <c r="AV154" s="22">
        <f>SUMIFS(estoque[quantidade],estoque[fornecedor],"&lt;&gt;saída",estoque[produto],preçodiario[[#Headers],[OVO VERMELHO EXTRA]],estoque[data],preçodiario[[#This Row],[data]])</f>
        <v>0</v>
      </c>
      <c r="AW154" s="20">
        <f>SUMIFS(estoque[valor total],estoque[fornecedor],"&lt;&gt;saída",estoque[produto],preçodiario[[#Headers],[OVO VERMELHO EXTRA]],estoque[data],preçodiario[[#This Row],[data]])</f>
        <v>0</v>
      </c>
      <c r="AX154" s="20">
        <f>IFERROR(preçodiario[[#This Row],[OVO VERMELHO EXTRA]]*preçodiario[[#This Row],[estoque EV]],0)</f>
        <v>0</v>
      </c>
      <c r="AY1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Row],[data]])),((AY153*AZ153)+SUMIFS(estoque[valor total],estoque[produto],preçodiario[[#Headers],[OVO VERMELHO JUMBO]],estoque[data],preçodiario[[#This Row],[data]],estoque[fornecedor],"&lt;&gt;saída"))/(AZ153+(SUMIFS(estoque[quantidade],estoque[produto],preçodiario[[#Headers],[OVO VERMELHO JUMBO]],estoque[fornecedor],"&lt;&gt;saída",estoque[data],preçodiario[[#This Row],[data]])))))</f>
        <v/>
      </c>
      <c r="AZ154" s="22">
        <f>IF(preçodiario[[#This Row],[entrada JV]]=0,AZ153-(SUMIFS(estoque[quantidade],estoque[fornecedor],"saída",estoque[produto],preçodiario[[#Headers],[OVO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Row],[data]]))+AZ153+preçodiario[[#This Row],[entrada JV]])</f>
        <v>0</v>
      </c>
      <c r="BA154" s="22">
        <f>SUMIFS(estoque[quantidade],estoque[fornecedor],"&lt;&gt;saída",estoque[produto],preçodiario[[#Headers],[OVO VERMELHO JUMBO]],estoque[data],preçodiario[[#This Row],[data]])</f>
        <v>0</v>
      </c>
      <c r="BB154" s="20">
        <f>SUMIFS(estoque[valor total],estoque[fornecedor],"&lt;&gt;saída",estoque[produto],preçodiario[[#Headers],[OVO VERMELHO JUMBO]],estoque[data],preçodiario[[#This Row],[data]])</f>
        <v>0</v>
      </c>
      <c r="BC154" s="20">
        <f>IFERROR(preçodiario[[#This Row],[OVO VERMELHO JUMBO]]*preçodiario[[#This Row],[estoque JV]],0)</f>
        <v>0</v>
      </c>
      <c r="BD154" t="str">
        <f>TEXT(vendaAno[[#This Row],[data]],"mmm")</f>
        <v>jun</v>
      </c>
      <c r="BE154" t="str">
        <f>TEXT(vendaAno[[#This Row],[data]],"ddd")</f>
        <v>ter</v>
      </c>
      <c r="BF154" s="82">
        <f>WEEKNUM(vendaAno[[#This Row],[data]],13)</f>
        <v>22</v>
      </c>
      <c r="BG154" s="27">
        <f>preçodiario[[#This Row],[data]]</f>
        <v>46175</v>
      </c>
      <c r="BH1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4" s="8">
        <f>IF(SUMIFS(estoque[valor total],estoque[fornecedor],"saída",estoque[data],vendaAno[[#This Row],[data]])=0,"",SUMIFS(estoque[valor total],estoque[fornecedor],"saída",estoque[data],vendaAno[[#This Row],[data]]))</f>
        <v>469</v>
      </c>
      <c r="BJ15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Row],[data]]))/12+BJ153,"")</f>
        <v>36.666666666666643</v>
      </c>
      <c r="BK154" s="79">
        <f ca="1">IF(TODAY()&gt;=vendaAno[[#This Row],[data]],IF(SUMIFS(estoque[quantidade],estoque[fornecedor],"saída",estoque[data],vendaAno[[#This Row],[data]])/12=0,AVERAGE(BK151:BK153),SUMIFS(estoque[quantidade],estoque[fornecedor],"saída",estoque[data],vendaAno[[#This Row],[data]])/12),"")</f>
        <v>2</v>
      </c>
      <c r="BL154" s="8">
        <f ca="1">IF(vendaAno[[#This Row],[data]]&lt;=TODAY(),IF(SUMIFS(estoque[lucro],estoque[fornecedor],"saída",estoque[data],vendaAno[[#This Row],[data]])=0,AVERAGE(BL151:BL153),SUMIFS(estoque[lucro],estoque[fornecedor],"saída",estoque[data],vendaAno[[#This Row],[data]])),"")</f>
        <v>87.19</v>
      </c>
      <c r="BM154" s="10">
        <f ca="1">IFERROR(vendaAno[[#This Row],[lucro]]/vendaAno[[#This Row],[valor de venda]],"")</f>
        <v>0.18590618336886994</v>
      </c>
      <c r="BN15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6724.5530983441658</v>
      </c>
      <c r="BO154" s="8">
        <f ca="1">IF(TODAY()&gt;=vendaAno[[#This Row],[data]],IF(vendaAno[[#This Row],[N°]]=BF153,vendaAno[[#This Row],[lucro]]-173.33+BO153,vendaAno[[#This Row],[lucro]]-150),"")</f>
        <v>-436.73000000000013</v>
      </c>
      <c r="BP154" s="81">
        <f ca="1">IF(TODAY()&gt;=vendaAno[[#This Row],[data]],SUM(BK148:BK154)*12,"")</f>
        <v>225</v>
      </c>
      <c r="BQ154" s="7">
        <f ca="1">IFERROR(vendaAno[[#This Row],[lucro]]/(vendaAno[[#This Row],[venda]]*12),"")</f>
        <v>3.6329166666666666</v>
      </c>
    </row>
    <row r="155" spans="1:69" x14ac:dyDescent="0.25">
      <c r="A1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5" s="18" t="str">
        <f>TEXT(preçodiario[[#This Row],[data]],"MMM")</f>
        <v>jun</v>
      </c>
      <c r="C155" s="18" t="str">
        <f>TEXT(preçodiario[[#This Row],[data]],"ddd")</f>
        <v>qua</v>
      </c>
      <c r="D155" s="96">
        <f>WEEKNUM(preçodiario[[#This Row],[data]],13)</f>
        <v>23</v>
      </c>
      <c r="E155" s="37">
        <v>46176</v>
      </c>
      <c r="F1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Row],[data]])),((F154*G154)+SUMIFS(estoque[valor total],estoque[produto],preçodiario[[#Headers],[OVO BRANCO A]],estoque[data],preçodiario[[#This Row],[data]],estoque[fornecedor],"&lt;&gt;saída"))/(G154+(SUMIFS(estoque[quantidade],estoque[produto],preçodiario[[#Headers],[OVO BRANCO A]],estoque[fornecedor],"&lt;&gt;saída",estoque[data],preçodiario[[#This Row],[data]])))))</f>
        <v>15.443308560042691</v>
      </c>
      <c r="G155" s="22">
        <f>IF(preçodiario[[#This Row],[entrada A]]=0,G154-(SUMIFS(estoque[quantidade],estoque[fornecedor],"saída",estoque[produto],preçodiario[[#Headers],[OVO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Row],[data]]))+G154+preçodiario[[#This Row],[entrada A]])</f>
        <v>134</v>
      </c>
      <c r="H155" s="22">
        <f>SUMIFS(estoque[quantidade],estoque[fornecedor],"&lt;&gt;saída",estoque[produto],preçodiario[[#Headers],[OVO BRANCO A]],estoque[data],preçodiario[[#This Row],[data]])</f>
        <v>0</v>
      </c>
      <c r="I155" s="20">
        <f>SUMIFS(estoque[valor total],estoque[fornecedor],"&lt;&gt;saída",estoque[produto],preçodiario[[#Headers],[OVO BRANCO A]],estoque[data],preçodiario[[#This Row],[data]])</f>
        <v>0</v>
      </c>
      <c r="J155" s="20">
        <f>IFERROR(preçodiario[[#This Row],[estoque A]]*preçodiario[[#This Row],[OVO BRANCO A]],0)</f>
        <v>2069.4033470457207</v>
      </c>
      <c r="K1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Row],[data]])),((K154*L154)+SUMIFS(estoque[valor total],estoque[produto],preçodiario[[#Headers],[OVO BRANCO B]],estoque[data],preçodiario[[#This Row],[data]],estoque[fornecedor],"&lt;&gt;saída"))/(L154+(SUMIFS(estoque[quantidade],estoque[produto],preçodiario[[#Headers],[OVO BRANCO B]],estoque[fornecedor],"&lt;&gt;saída",estoque[data],preçodiario[[#This Row],[data]])))))</f>
        <v>14.704142011834319</v>
      </c>
      <c r="L155" s="22">
        <f>IF(preçodiario[[#This Row],[entrada B]]=0,L154-(SUMIFS(estoque[quantidade],estoque[fornecedor],"saída",estoque[produto],preçodiario[[#Headers],[OVO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Row],[data]]))+L154+preçodiario[[#This Row],[entrada B]])</f>
        <v>155</v>
      </c>
      <c r="M155" s="22">
        <f>SUMIFS(estoque[quantidade],estoque[fornecedor],"&lt;&gt;saída",estoque[produto],preçodiario[[#Headers],[OVO BRANCO B]],estoque[data],preçodiario[[#This Row],[data]])</f>
        <v>0</v>
      </c>
      <c r="N155" s="20">
        <f>SUMIFS(estoque[valor total],estoque[fornecedor],"&lt;&gt;saída",estoque[produto],preçodiario[[#Headers],[OVO BRANCO B]],estoque[data],preçodiario[[#This Row],[data]])</f>
        <v>0</v>
      </c>
      <c r="O155" s="20">
        <f>IFERROR(preçodiario[[#This Row],[OVO BRANCO B]]*preçodiario[[#This Row],[estoque B]],0)</f>
        <v>2279.1420118343194</v>
      </c>
      <c r="P1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Row],[data]])),((P154*Q154)+SUMIFS(estoque[valor total],estoque[produto],preçodiario[[#Headers],[OVO BRANCO C]],estoque[data],preçodiario[[#This Row],[data]],estoque[fornecedor],"&lt;&gt;saída"))/(Q154+(SUMIFS(estoque[quantidade],estoque[produto],preçodiario[[#Headers],[OVO BRANCO C]],estoque[fornecedor],"&lt;&gt;saída",estoque[data],preçodiario[[#This Row],[data]])))))</f>
        <v>13.833333333333334</v>
      </c>
      <c r="Q155" s="22">
        <f>IF(preçodiario[[#This Row],[entrada C]]=0,Q154-(SUMIFS(estoque[quantidade],estoque[fornecedor],"saída",estoque[produto],preçodiario[[#Headers],[OVO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Row],[data]]))+Q154+preçodiario[[#This Row],[entrada C]])</f>
        <v>41</v>
      </c>
      <c r="R155" s="22">
        <f>SUMIFS(estoque[quantidade],estoque[fornecedor],"&lt;&gt;saída",estoque[produto],preçodiario[[#Headers],[OVO BRANCO C]],estoque[data],preçodiario[[#This Row],[data]])</f>
        <v>0</v>
      </c>
      <c r="S155" s="20">
        <f>SUMIFS(estoque[valor total],estoque[fornecedor],"&lt;&gt;saída",estoque[produto],preçodiario[[#Headers],[OVO BRANCO C]],estoque[data],preçodiario[[#This Row],[data]])</f>
        <v>0</v>
      </c>
      <c r="T155" s="20">
        <f>IFERROR(preçodiario[[#This Row],[OVO BRANCO C]]*preçodiario[[#This Row],[estoque C]],0)</f>
        <v>567.16666666666674</v>
      </c>
      <c r="U1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Row],[data]])),((U154*V154)+SUMIFS(estoque[valor total],estoque[produto],preçodiario[[#Headers],[OVO BRANCO EXTRA]],estoque[data],preçodiario[[#This Row],[data]],estoque[fornecedor],"&lt;&gt;saída"))/(V154+(SUMIFS(estoque[quantidade],estoque[produto],preçodiario[[#Headers],[OVO BRANCO EXTRA]],estoque[fornecedor],"&lt;&gt;saída",estoque[data],preçodiario[[#This Row],[data]])))))</f>
        <v>16.373456790123459</v>
      </c>
      <c r="V155" s="22">
        <f>IF(preçodiario[[#This Row],[entrada E]]=0,V154-(SUMIFS(estoque[quantidade],estoque[fornecedor],"saída",estoque[produto],preçodiario[[#Headers],[OVO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Row],[data]]))+V154+preçodiario[[#This Row],[entrada E]])</f>
        <v>76</v>
      </c>
      <c r="W155" s="22">
        <f>SUMIFS(estoque[quantidade],estoque[fornecedor],"&lt;&gt;saída",estoque[produto],preçodiario[[#Headers],[OVO BRANCO EXTRA]],estoque[data],preçodiario[[#This Row],[data]])</f>
        <v>0</v>
      </c>
      <c r="X155" s="20">
        <f>SUMIFS(estoque[valor total],estoque[fornecedor],"&lt;&gt;saída",estoque[produto],preçodiario[[#Headers],[OVO BRANCO EXTRA]],estoque[data],preçodiario[[#This Row],[data]])</f>
        <v>0</v>
      </c>
      <c r="Y155" s="20">
        <f>IFERROR(preçodiario[[#This Row],[estoque E]]*preçodiario[[#This Row],[OVO BRANCO EXTRA]],0)</f>
        <v>1244.3827160493829</v>
      </c>
      <c r="Z1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Row],[data]])),((Z154*AA154)+SUMIFS(estoque[valor total],estoque[produto],preçodiario[[#Headers],[OVO BRANCO JUMBO]],estoque[data],preçodiario[[#This Row],[data]],estoque[fornecedor],"&lt;&gt;saída"))/(AA154+(SUMIFS(estoque[quantidade],estoque[produto],preçodiario[[#Headers],[OVO BRANCO JUMBO]],estoque[fornecedor],"&lt;&gt;saída",estoque[data],preçodiario[[#This Row],[data]])))))</f>
        <v>17.412409584086802</v>
      </c>
      <c r="AA155" s="22">
        <f>IF(preçodiario[[#This Row],[entrada J]]=0,AA154-(SUMIFS(estoque[quantidade],estoque[fornecedor],"saída",estoque[produto],preçodiario[[#Headers],[OVO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Row],[data]]))+AA154+preçodiario[[#This Row],[entrada J]])</f>
        <v>15</v>
      </c>
      <c r="AB155" s="22">
        <f>SUMIFS(estoque[quantidade],estoque[fornecedor],"&lt;&gt;saída",estoque[produto],preçodiario[[#Headers],[OVO BRANCO JUMBO]],estoque[data],preçodiario[[#This Row],[data]])</f>
        <v>0</v>
      </c>
      <c r="AC155" s="20">
        <f>SUMIFS(estoque[valor total],estoque[fornecedor],"&lt;&gt;saída",estoque[produto],preçodiario[[#Headers],[OVO BRANCO JUMBO]],estoque[data],preçodiario[[#This Row],[data]])</f>
        <v>0</v>
      </c>
      <c r="AD155" s="20">
        <f>IFERROR(preçodiario[[#This Row],[OVO BRANCO JUMBO]]*preçodiario[[#This Row],[estoque J]],0)</f>
        <v>261.18614376130205</v>
      </c>
      <c r="AE1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Row],[data]])),((AE154*AF154)+SUMIFS(estoque[valor total],estoque[produto],preçodiario[[#Headers],[OVO VERMELHO A]],estoque[data],preçodiario[[#This Row],[data]],estoque[fornecedor],"&lt;&gt;saída"))/(AF154+(SUMIFS(estoque[quantidade],estoque[produto],preçodiario[[#Headers],[OVO VERMELHO A]],estoque[fornecedor],"&lt;&gt;saída",estoque[data],preçodiario[[#This Row],[data]])))))</f>
        <v/>
      </c>
      <c r="AF155" s="22">
        <f>IF(preçodiario[[#This Row],[entrada AV]]=0,AF154-(SUMIFS(estoque[quantidade],estoque[fornecedor],"saída",estoque[produto],preçodiario[[#Headers],[OVO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Row],[data]]))+AF154+preçodiario[[#This Row],[entrada AV]])</f>
        <v>0</v>
      </c>
      <c r="AG155" s="22">
        <f>SUMIFS(estoque[quantidade],estoque[fornecedor],"&lt;&gt;saída",estoque[produto],preçodiario[[#Headers],[OVO VERMELHO A]],estoque[data],preçodiario[[#This Row],[data]])</f>
        <v>0</v>
      </c>
      <c r="AH155" s="20">
        <f>SUMIFS(estoque[valor total],estoque[fornecedor],"&lt;&gt;saída",estoque[produto],preçodiario[[#Headers],[OVO VERMELHO A]],estoque[data],preçodiario[[#This Row],[data]])</f>
        <v>0</v>
      </c>
      <c r="AI155" s="20">
        <f>IFERROR(preçodiario[[#This Row],[OVO VERMELHO A]]*preçodiario[[#This Row],[estoque AV]],0)</f>
        <v>0</v>
      </c>
      <c r="AJ1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Row],[data]])),((AJ154*AK154)+SUMIFS(estoque[valor total],estoque[produto],preçodiario[[#Headers],[OVO VERMELHO B]],estoque[data],preçodiario[[#This Row],[data]],estoque[fornecedor],"&lt;&gt;saída"))/(AK154+(SUMIFS(estoque[quantidade],estoque[produto],preçodiario[[#Headers],[OVO VERMELHO B]],estoque[fornecedor],"&lt;&gt;saída",estoque[data],preçodiario[[#This Row],[data]])))))</f>
        <v/>
      </c>
      <c r="AK155" s="22">
        <f>IF(preçodiario[[#This Row],[entrada BV]]=0,AK154-(SUMIFS(estoque[quantidade],estoque[fornecedor],"saída",estoque[produto],preçodiario[[#Headers],[OVO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Row],[data]]))+AK154+preçodiario[[#This Row],[entrada BV]])</f>
        <v>0</v>
      </c>
      <c r="AL155" s="22">
        <f>SUMIFS(estoque[quantidade],estoque[fornecedor],"&lt;&gt;saída",estoque[produto],preçodiario[[#Headers],[OVO VERMELHO B]],estoque[data],preçodiario[[#This Row],[data]])</f>
        <v>0</v>
      </c>
      <c r="AM155" s="20">
        <f>SUMIFS(estoque[valor total],estoque[fornecedor],"&lt;&gt;saída",estoque[produto],preçodiario[[#Headers],[OVO VERMELHO B]],estoque[data],preçodiario[[#This Row],[data]])</f>
        <v>0</v>
      </c>
      <c r="AN155" s="20">
        <f>IFERROR(preçodiario[[#This Row],[OVO VERMELHO B]]*preçodiario[[#This Row],[estoque BV]],0)</f>
        <v>0</v>
      </c>
      <c r="AO1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Row],[data]])),((AO154*AP154)+SUMIFS(estoque[valor total],estoque[produto],preçodiario[[#Headers],[OVO VERMELHO C]],estoque[data],preçodiario[[#This Row],[data]],estoque[fornecedor],"&lt;&gt;saída"))/(AP154+(SUMIFS(estoque[quantidade],estoque[produto],preçodiario[[#Headers],[OVO VERMELHO C]],estoque[fornecedor],"&lt;&gt;saída",estoque[data],preçodiario[[#This Row],[data]])))))</f>
        <v/>
      </c>
      <c r="AP155" s="22">
        <f>IF(preçodiario[[#This Row],[entrada CV]]=0,AP154-(SUMIFS(estoque[quantidade],estoque[fornecedor],"saída",estoque[produto],preçodiario[[#Headers],[OVO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Row],[data]]))+AP154+preçodiario[[#This Row],[entrada CV]])</f>
        <v>0</v>
      </c>
      <c r="AQ155" s="22">
        <f>SUMIFS(estoque[quantidade],estoque[fornecedor],"&lt;&gt;saída",estoque[produto],preçodiario[[#Headers],[OVO VERMELHO C]],estoque[data],preçodiario[[#This Row],[data]])</f>
        <v>0</v>
      </c>
      <c r="AR155" s="20">
        <f>SUMIFS(estoque[valor total],estoque[fornecedor],"&lt;&gt;saída",estoque[produto],preçodiario[[#Headers],[OVO VERMELHO C]],estoque[data],preçodiario[[#This Row],[data]])</f>
        <v>0</v>
      </c>
      <c r="AS155" s="20">
        <f>IFERROR(preçodiario[[#This Row],[OVO VERMELHO C]]*preçodiario[[#This Row],[estoque CV]],0)</f>
        <v>0</v>
      </c>
      <c r="AT1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Row],[data]])),((AT154*AU154)+SUMIFS(estoque[valor total],estoque[produto],preçodiario[[#Headers],[OVO VERMELHO EXTRA]],estoque[data],preçodiario[[#This Row],[data]],estoque[fornecedor],"&lt;&gt;saída"))/(AU154+(SUMIFS(estoque[quantidade],estoque[produto],preçodiario[[#Headers],[OVO VERMELHO EXTRA]],estoque[fornecedor],"&lt;&gt;saída",estoque[data],preçodiario[[#This Row],[data]])))))</f>
        <v/>
      </c>
      <c r="AU155" s="22">
        <f>IF(preçodiario[[#This Row],[entrada EV]]=0,AU154-(SUMIFS(estoque[quantidade],estoque[fornecedor],"saída",estoque[produto],preçodiario[[#Headers],[OVO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Row],[data]]))+AU154+preçodiario[[#This Row],[entrada EV]])</f>
        <v>0</v>
      </c>
      <c r="AV155" s="22">
        <f>SUMIFS(estoque[quantidade],estoque[fornecedor],"&lt;&gt;saída",estoque[produto],preçodiario[[#Headers],[OVO VERMELHO EXTRA]],estoque[data],preçodiario[[#This Row],[data]])</f>
        <v>0</v>
      </c>
      <c r="AW155" s="20">
        <f>SUMIFS(estoque[valor total],estoque[fornecedor],"&lt;&gt;saída",estoque[produto],preçodiario[[#Headers],[OVO VERMELHO EXTRA]],estoque[data],preçodiario[[#This Row],[data]])</f>
        <v>0</v>
      </c>
      <c r="AX155" s="20">
        <f>IFERROR(preçodiario[[#This Row],[OVO VERMELHO EXTRA]]*preçodiario[[#This Row],[estoque EV]],0)</f>
        <v>0</v>
      </c>
      <c r="AY1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Row],[data]])),((AY154*AZ154)+SUMIFS(estoque[valor total],estoque[produto],preçodiario[[#Headers],[OVO VERMELHO JUMBO]],estoque[data],preçodiario[[#This Row],[data]],estoque[fornecedor],"&lt;&gt;saída"))/(AZ154+(SUMIFS(estoque[quantidade],estoque[produto],preçodiario[[#Headers],[OVO VERMELHO JUMBO]],estoque[fornecedor],"&lt;&gt;saída",estoque[data],preçodiario[[#This Row],[data]])))))</f>
        <v/>
      </c>
      <c r="AZ155" s="22">
        <f>IF(preçodiario[[#This Row],[entrada JV]]=0,AZ154-(SUMIFS(estoque[quantidade],estoque[fornecedor],"saída",estoque[produto],preçodiario[[#Headers],[OVO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Row],[data]]))+AZ154+preçodiario[[#This Row],[entrada JV]])</f>
        <v>0</v>
      </c>
      <c r="BA155" s="22">
        <f>SUMIFS(estoque[quantidade],estoque[fornecedor],"&lt;&gt;saída",estoque[produto],preçodiario[[#Headers],[OVO VERMELHO JUMBO]],estoque[data],preçodiario[[#This Row],[data]])</f>
        <v>0</v>
      </c>
      <c r="BB155" s="20">
        <f>SUMIFS(estoque[valor total],estoque[fornecedor],"&lt;&gt;saída",estoque[produto],preçodiario[[#Headers],[OVO VERMELHO JUMBO]],estoque[data],preçodiario[[#This Row],[data]])</f>
        <v>0</v>
      </c>
      <c r="BC155" s="20">
        <f>IFERROR(preçodiario[[#This Row],[OVO VERMELHO JUMBO]]*preçodiario[[#This Row],[estoque JV]],0)</f>
        <v>0</v>
      </c>
      <c r="BD155" t="str">
        <f>TEXT(vendaAno[[#This Row],[data]],"mmm")</f>
        <v>jun</v>
      </c>
      <c r="BE155" t="str">
        <f>TEXT(vendaAno[[#This Row],[data]],"ddd")</f>
        <v>qua</v>
      </c>
      <c r="BF155" s="82">
        <f>WEEKNUM(vendaAno[[#This Row],[data]],13)</f>
        <v>23</v>
      </c>
      <c r="BG155" s="27">
        <f>preçodiario[[#This Row],[data]]</f>
        <v>46176</v>
      </c>
      <c r="BH1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5" s="8">
        <f>IF(SUMIFS(estoque[valor total],estoque[fornecedor],"saída",estoque[data],vendaAno[[#This Row],[data]])=0,"",SUMIFS(estoque[valor total],estoque[fornecedor],"saída",estoque[data],vendaAno[[#This Row],[data]]))</f>
        <v>374</v>
      </c>
      <c r="BJ15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Row],[data]]))/12+BJ154,"")</f>
        <v>35.083333333333307</v>
      </c>
      <c r="BK155" s="79">
        <f ca="1">IF(TODAY()&gt;=vendaAno[[#This Row],[data]],IF(SUMIFS(estoque[quantidade],estoque[fornecedor],"saída",estoque[data],vendaAno[[#This Row],[data]])/12=0,AVERAGE(BK152:BK154),SUMIFS(estoque[quantidade],estoque[fornecedor],"saída",estoque[data],vendaAno[[#This Row],[data]])/12),"")</f>
        <v>1.5833333333333333</v>
      </c>
      <c r="BL155" s="8">
        <f ca="1">IF(vendaAno[[#This Row],[data]]&lt;=TODAY(),IF(SUMIFS(estoque[lucro],estoque[fornecedor],"saída",estoque[data],vendaAno[[#This Row],[data]])=0,AVERAGE(BL152:BL154),SUMIFS(estoque[lucro],estoque[fornecedor],"saída",estoque[data],vendaAno[[#This Row],[data]])),"")</f>
        <v>70.72999999999999</v>
      </c>
      <c r="BM155" s="10">
        <f ca="1">IFERROR(vendaAno[[#This Row],[lucro]]/vendaAno[[#This Row],[valor de venda]],"")</f>
        <v>0.1891176470588235</v>
      </c>
      <c r="BN15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6421.2808853573915</v>
      </c>
      <c r="BO155" s="8">
        <f ca="1">IF(TODAY()&gt;=vendaAno[[#This Row],[data]],IF(vendaAno[[#This Row],[N°]]=BF154,vendaAno[[#This Row],[lucro]]-173.33+BO154,vendaAno[[#This Row],[lucro]]-150),"")</f>
        <v>-79.27000000000001</v>
      </c>
      <c r="BP155" s="81">
        <f ca="1">IF(TODAY()&gt;=vendaAno[[#This Row],[data]],SUM(BK149:BK155)*12,"")</f>
        <v>224</v>
      </c>
      <c r="BQ155" s="7">
        <f ca="1">IFERROR(vendaAno[[#This Row],[lucro]]/(vendaAno[[#This Row],[venda]]*12),"")</f>
        <v>3.7226315789473681</v>
      </c>
    </row>
    <row r="156" spans="1:69" x14ac:dyDescent="0.25">
      <c r="A1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6" s="18" t="str">
        <f>TEXT(preçodiario[[#This Row],[data]],"MMM")</f>
        <v>jun</v>
      </c>
      <c r="C156" s="18" t="str">
        <f>TEXT(preçodiario[[#This Row],[data]],"ddd")</f>
        <v>qui</v>
      </c>
      <c r="D156" s="96">
        <f>WEEKNUM(preçodiario[[#This Row],[data]],13)</f>
        <v>23</v>
      </c>
      <c r="E156" s="37">
        <v>46177</v>
      </c>
      <c r="F1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Row],[data]])),((F155*G155)+SUMIFS(estoque[valor total],estoque[produto],preçodiario[[#Headers],[OVO BRANCO A]],estoque[data],preçodiario[[#This Row],[data]],estoque[fornecedor],"&lt;&gt;saída"))/(G155+(SUMIFS(estoque[quantidade],estoque[produto],preçodiario[[#Headers],[OVO BRANCO A]],estoque[fornecedor],"&lt;&gt;saída",estoque[data],preçodiario[[#This Row],[data]])))))</f>
        <v>15.443308560042691</v>
      </c>
      <c r="G156" s="22">
        <f>IF(preçodiario[[#This Row],[entrada A]]=0,G155-(SUMIFS(estoque[quantidade],estoque[fornecedor],"saída",estoque[produto],preçodiario[[#Headers],[OVO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Row],[data]]))+G155+preçodiario[[#This Row],[entrada A]])</f>
        <v>116</v>
      </c>
      <c r="H156" s="22">
        <f>SUMIFS(estoque[quantidade],estoque[fornecedor],"&lt;&gt;saída",estoque[produto],preçodiario[[#Headers],[OVO BRANCO A]],estoque[data],preçodiario[[#This Row],[data]])</f>
        <v>0</v>
      </c>
      <c r="I156" s="20">
        <f>SUMIFS(estoque[valor total],estoque[fornecedor],"&lt;&gt;saída",estoque[produto],preçodiario[[#Headers],[OVO BRANCO A]],estoque[data],preçodiario[[#This Row],[data]])</f>
        <v>0</v>
      </c>
      <c r="J156" s="20">
        <f>IFERROR(preçodiario[[#This Row],[estoque A]]*preçodiario[[#This Row],[OVO BRANCO A]],0)</f>
        <v>1791.4237929649521</v>
      </c>
      <c r="K1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Row],[data]])),((K155*L155)+SUMIFS(estoque[valor total],estoque[produto],preçodiario[[#Headers],[OVO BRANCO B]],estoque[data],preçodiario[[#This Row],[data]],estoque[fornecedor],"&lt;&gt;saída"))/(L155+(SUMIFS(estoque[quantidade],estoque[produto],preçodiario[[#Headers],[OVO BRANCO B]],estoque[fornecedor],"&lt;&gt;saída",estoque[data],preçodiario[[#This Row],[data]])))))</f>
        <v>14.704142011834319</v>
      </c>
      <c r="L156" s="22">
        <f>IF(preçodiario[[#This Row],[entrada B]]=0,L155-(SUMIFS(estoque[quantidade],estoque[fornecedor],"saída",estoque[produto],preçodiario[[#Headers],[OVO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Row],[data]]))+L155+preçodiario[[#This Row],[entrada B]])</f>
        <v>154</v>
      </c>
      <c r="M156" s="22">
        <f>SUMIFS(estoque[quantidade],estoque[fornecedor],"&lt;&gt;saída",estoque[produto],preçodiario[[#Headers],[OVO BRANCO B]],estoque[data],preçodiario[[#This Row],[data]])</f>
        <v>0</v>
      </c>
      <c r="N156" s="20">
        <f>SUMIFS(estoque[valor total],estoque[fornecedor],"&lt;&gt;saída",estoque[produto],preçodiario[[#Headers],[OVO BRANCO B]],estoque[data],preçodiario[[#This Row],[data]])</f>
        <v>0</v>
      </c>
      <c r="O156" s="20">
        <f>IFERROR(preçodiario[[#This Row],[OVO BRANCO B]]*preçodiario[[#This Row],[estoque B]],0)</f>
        <v>2264.437869822485</v>
      </c>
      <c r="P1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Row],[data]])),((P155*Q155)+SUMIFS(estoque[valor total],estoque[produto],preçodiario[[#Headers],[OVO BRANCO C]],estoque[data],preçodiario[[#This Row],[data]],estoque[fornecedor],"&lt;&gt;saída"))/(Q155+(SUMIFS(estoque[quantidade],estoque[produto],preçodiario[[#Headers],[OVO BRANCO C]],estoque[fornecedor],"&lt;&gt;saída",estoque[data],preçodiario[[#This Row],[data]])))))</f>
        <v>13.833333333333336</v>
      </c>
      <c r="Q156" s="22">
        <f>IF(preçodiario[[#This Row],[entrada C]]=0,Q155-(SUMIFS(estoque[quantidade],estoque[fornecedor],"saída",estoque[produto],preçodiario[[#Headers],[OVO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Row],[data]]))+Q155+preçodiario[[#This Row],[entrada C]])</f>
        <v>41</v>
      </c>
      <c r="R156" s="22">
        <f>SUMIFS(estoque[quantidade],estoque[fornecedor],"&lt;&gt;saída",estoque[produto],preçodiario[[#Headers],[OVO BRANCO C]],estoque[data],preçodiario[[#This Row],[data]])</f>
        <v>0</v>
      </c>
      <c r="S156" s="20">
        <f>SUMIFS(estoque[valor total],estoque[fornecedor],"&lt;&gt;saída",estoque[produto],preçodiario[[#Headers],[OVO BRANCO C]],estoque[data],preçodiario[[#This Row],[data]])</f>
        <v>0</v>
      </c>
      <c r="T156" s="20">
        <f>IFERROR(preçodiario[[#This Row],[OVO BRANCO C]]*preçodiario[[#This Row],[estoque C]],0)</f>
        <v>567.16666666666674</v>
      </c>
      <c r="U1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Row],[data]])),((U155*V155)+SUMIFS(estoque[valor total],estoque[produto],preçodiario[[#Headers],[OVO BRANCO EXTRA]],estoque[data],preçodiario[[#This Row],[data]],estoque[fornecedor],"&lt;&gt;saída"))/(V155+(SUMIFS(estoque[quantidade],estoque[produto],preçodiario[[#Headers],[OVO BRANCO EXTRA]],estoque[fornecedor],"&lt;&gt;saída",estoque[data],preçodiario[[#This Row],[data]])))))</f>
        <v>16.373456790123459</v>
      </c>
      <c r="V156" s="22">
        <f>IF(preçodiario[[#This Row],[entrada E]]=0,V155-(SUMIFS(estoque[quantidade],estoque[fornecedor],"saída",estoque[produto],preçodiario[[#Headers],[OVO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Row],[data]]))+V155+preçodiario[[#This Row],[entrada E]])</f>
        <v>57</v>
      </c>
      <c r="W156" s="22">
        <f>SUMIFS(estoque[quantidade],estoque[fornecedor],"&lt;&gt;saída",estoque[produto],preçodiario[[#Headers],[OVO BRANCO EXTRA]],estoque[data],preçodiario[[#This Row],[data]])</f>
        <v>0</v>
      </c>
      <c r="X156" s="20">
        <f>SUMIFS(estoque[valor total],estoque[fornecedor],"&lt;&gt;saída",estoque[produto],preçodiario[[#Headers],[OVO BRANCO EXTRA]],estoque[data],preçodiario[[#This Row],[data]])</f>
        <v>0</v>
      </c>
      <c r="Y156" s="20">
        <f>IFERROR(preçodiario[[#This Row],[estoque E]]*preçodiario[[#This Row],[OVO BRANCO EXTRA]],0)</f>
        <v>933.28703703703718</v>
      </c>
      <c r="Z1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Row],[data]])),((Z155*AA155)+SUMIFS(estoque[valor total],estoque[produto],preçodiario[[#Headers],[OVO BRANCO JUMBO]],estoque[data],preçodiario[[#This Row],[data]],estoque[fornecedor],"&lt;&gt;saída"))/(AA155+(SUMIFS(estoque[quantidade],estoque[produto],preçodiario[[#Headers],[OVO BRANCO JUMBO]],estoque[fornecedor],"&lt;&gt;saída",estoque[data],preçodiario[[#This Row],[data]])))))</f>
        <v>17.412409584086802</v>
      </c>
      <c r="AA156" s="22">
        <f>IF(preçodiario[[#This Row],[entrada J]]=0,AA155-(SUMIFS(estoque[quantidade],estoque[fornecedor],"saída",estoque[produto],preçodiario[[#Headers],[OVO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Row],[data]]))+AA155+preçodiario[[#This Row],[entrada J]])</f>
        <v>10</v>
      </c>
      <c r="AB156" s="22">
        <f>SUMIFS(estoque[quantidade],estoque[fornecedor],"&lt;&gt;saída",estoque[produto],preçodiario[[#Headers],[OVO BRANCO JUMBO]],estoque[data],preçodiario[[#This Row],[data]])</f>
        <v>0</v>
      </c>
      <c r="AC156" s="20">
        <f>SUMIFS(estoque[valor total],estoque[fornecedor],"&lt;&gt;saída",estoque[produto],preçodiario[[#Headers],[OVO BRANCO JUMBO]],estoque[data],preçodiario[[#This Row],[data]])</f>
        <v>0</v>
      </c>
      <c r="AD156" s="20">
        <f>IFERROR(preçodiario[[#This Row],[OVO BRANCO JUMBO]]*preçodiario[[#This Row],[estoque J]],0)</f>
        <v>174.12409584086802</v>
      </c>
      <c r="AE1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Row],[data]])),((AE155*AF155)+SUMIFS(estoque[valor total],estoque[produto],preçodiario[[#Headers],[OVO VERMELHO A]],estoque[data],preçodiario[[#This Row],[data]],estoque[fornecedor],"&lt;&gt;saída"))/(AF155+(SUMIFS(estoque[quantidade],estoque[produto],preçodiario[[#Headers],[OVO VERMELHO A]],estoque[fornecedor],"&lt;&gt;saída",estoque[data],preçodiario[[#This Row],[data]])))))</f>
        <v/>
      </c>
      <c r="AF156" s="22">
        <f>IF(preçodiario[[#This Row],[entrada AV]]=0,AF155-(SUMIFS(estoque[quantidade],estoque[fornecedor],"saída",estoque[produto],preçodiario[[#Headers],[OVO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Row],[data]]))+AF155+preçodiario[[#This Row],[entrada AV]])</f>
        <v>0</v>
      </c>
      <c r="AG156" s="22">
        <f>SUMIFS(estoque[quantidade],estoque[fornecedor],"&lt;&gt;saída",estoque[produto],preçodiario[[#Headers],[OVO VERMELHO A]],estoque[data],preçodiario[[#This Row],[data]])</f>
        <v>0</v>
      </c>
      <c r="AH156" s="20">
        <f>SUMIFS(estoque[valor total],estoque[fornecedor],"&lt;&gt;saída",estoque[produto],preçodiario[[#Headers],[OVO VERMELHO A]],estoque[data],preçodiario[[#This Row],[data]])</f>
        <v>0</v>
      </c>
      <c r="AI156" s="20">
        <f>IFERROR(preçodiario[[#This Row],[OVO VERMELHO A]]*preçodiario[[#This Row],[estoque AV]],0)</f>
        <v>0</v>
      </c>
      <c r="AJ1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Row],[data]])),((AJ155*AK155)+SUMIFS(estoque[valor total],estoque[produto],preçodiario[[#Headers],[OVO VERMELHO B]],estoque[data],preçodiario[[#This Row],[data]],estoque[fornecedor],"&lt;&gt;saída"))/(AK155+(SUMIFS(estoque[quantidade],estoque[produto],preçodiario[[#Headers],[OVO VERMELHO B]],estoque[fornecedor],"&lt;&gt;saída",estoque[data],preçodiario[[#This Row],[data]])))))</f>
        <v/>
      </c>
      <c r="AK156" s="22">
        <f>IF(preçodiario[[#This Row],[entrada BV]]=0,AK155-(SUMIFS(estoque[quantidade],estoque[fornecedor],"saída",estoque[produto],preçodiario[[#Headers],[OVO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Row],[data]]))+AK155+preçodiario[[#This Row],[entrada BV]])</f>
        <v>0</v>
      </c>
      <c r="AL156" s="22">
        <f>SUMIFS(estoque[quantidade],estoque[fornecedor],"&lt;&gt;saída",estoque[produto],preçodiario[[#Headers],[OVO VERMELHO B]],estoque[data],preçodiario[[#This Row],[data]])</f>
        <v>0</v>
      </c>
      <c r="AM156" s="20">
        <f>SUMIFS(estoque[valor total],estoque[fornecedor],"&lt;&gt;saída",estoque[produto],preçodiario[[#Headers],[OVO VERMELHO B]],estoque[data],preçodiario[[#This Row],[data]])</f>
        <v>0</v>
      </c>
      <c r="AN156" s="20">
        <f>IFERROR(preçodiario[[#This Row],[OVO VERMELHO B]]*preçodiario[[#This Row],[estoque BV]],0)</f>
        <v>0</v>
      </c>
      <c r="AO1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Row],[data]])),((AO155*AP155)+SUMIFS(estoque[valor total],estoque[produto],preçodiario[[#Headers],[OVO VERMELHO C]],estoque[data],preçodiario[[#This Row],[data]],estoque[fornecedor],"&lt;&gt;saída"))/(AP155+(SUMIFS(estoque[quantidade],estoque[produto],preçodiario[[#Headers],[OVO VERMELHO C]],estoque[fornecedor],"&lt;&gt;saída",estoque[data],preçodiario[[#This Row],[data]])))))</f>
        <v/>
      </c>
      <c r="AP156" s="22">
        <f>IF(preçodiario[[#This Row],[entrada CV]]=0,AP155-(SUMIFS(estoque[quantidade],estoque[fornecedor],"saída",estoque[produto],preçodiario[[#Headers],[OVO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Row],[data]]))+AP155+preçodiario[[#This Row],[entrada CV]])</f>
        <v>0</v>
      </c>
      <c r="AQ156" s="22">
        <f>SUMIFS(estoque[quantidade],estoque[fornecedor],"&lt;&gt;saída",estoque[produto],preçodiario[[#Headers],[OVO VERMELHO C]],estoque[data],preçodiario[[#This Row],[data]])</f>
        <v>0</v>
      </c>
      <c r="AR156" s="20">
        <f>SUMIFS(estoque[valor total],estoque[fornecedor],"&lt;&gt;saída",estoque[produto],preçodiario[[#Headers],[OVO VERMELHO C]],estoque[data],preçodiario[[#This Row],[data]])</f>
        <v>0</v>
      </c>
      <c r="AS156" s="20">
        <f>IFERROR(preçodiario[[#This Row],[OVO VERMELHO C]]*preçodiario[[#This Row],[estoque CV]],0)</f>
        <v>0</v>
      </c>
      <c r="AT1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Row],[data]])),((AT155*AU155)+SUMIFS(estoque[valor total],estoque[produto],preçodiario[[#Headers],[OVO VERMELHO EXTRA]],estoque[data],preçodiario[[#This Row],[data]],estoque[fornecedor],"&lt;&gt;saída"))/(AU155+(SUMIFS(estoque[quantidade],estoque[produto],preçodiario[[#Headers],[OVO VERMELHO EXTRA]],estoque[fornecedor],"&lt;&gt;saída",estoque[data],preçodiario[[#This Row],[data]])))))</f>
        <v/>
      </c>
      <c r="AU156" s="22">
        <f>IF(preçodiario[[#This Row],[entrada EV]]=0,AU155-(SUMIFS(estoque[quantidade],estoque[fornecedor],"saída",estoque[produto],preçodiario[[#Headers],[OVO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Row],[data]]))+AU155+preçodiario[[#This Row],[entrada EV]])</f>
        <v>0</v>
      </c>
      <c r="AV156" s="22">
        <f>SUMIFS(estoque[quantidade],estoque[fornecedor],"&lt;&gt;saída",estoque[produto],preçodiario[[#Headers],[OVO VERMELHO EXTRA]],estoque[data],preçodiario[[#This Row],[data]])</f>
        <v>0</v>
      </c>
      <c r="AW156" s="20">
        <f>SUMIFS(estoque[valor total],estoque[fornecedor],"&lt;&gt;saída",estoque[produto],preçodiario[[#Headers],[OVO VERMELHO EXTRA]],estoque[data],preçodiario[[#This Row],[data]])</f>
        <v>0</v>
      </c>
      <c r="AX156" s="20">
        <f>IFERROR(preçodiario[[#This Row],[OVO VERMELHO EXTRA]]*preçodiario[[#This Row],[estoque EV]],0)</f>
        <v>0</v>
      </c>
      <c r="AY1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Row],[data]])),((AY155*AZ155)+SUMIFS(estoque[valor total],estoque[produto],preçodiario[[#Headers],[OVO VERMELHO JUMBO]],estoque[data],preçodiario[[#This Row],[data]],estoque[fornecedor],"&lt;&gt;saída"))/(AZ155+(SUMIFS(estoque[quantidade],estoque[produto],preçodiario[[#Headers],[OVO VERMELHO JUMBO]],estoque[fornecedor],"&lt;&gt;saída",estoque[data],preçodiario[[#This Row],[data]])))))</f>
        <v/>
      </c>
      <c r="AZ156" s="22">
        <f>IF(preçodiario[[#This Row],[entrada JV]]=0,AZ155-(SUMIFS(estoque[quantidade],estoque[fornecedor],"saída",estoque[produto],preçodiario[[#Headers],[OVO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Row],[data]]))+AZ155+preçodiario[[#This Row],[entrada JV]])</f>
        <v>0</v>
      </c>
      <c r="BA156" s="22">
        <f>SUMIFS(estoque[quantidade],estoque[fornecedor],"&lt;&gt;saída",estoque[produto],preçodiario[[#Headers],[OVO VERMELHO JUMBO]],estoque[data],preçodiario[[#This Row],[data]])</f>
        <v>0</v>
      </c>
      <c r="BB156" s="20">
        <f>SUMIFS(estoque[valor total],estoque[fornecedor],"&lt;&gt;saída",estoque[produto],preçodiario[[#Headers],[OVO VERMELHO JUMBO]],estoque[data],preçodiario[[#This Row],[data]])</f>
        <v>0</v>
      </c>
      <c r="BC156" s="20">
        <f>IFERROR(preçodiario[[#This Row],[OVO VERMELHO JUMBO]]*preçodiario[[#This Row],[estoque JV]],0)</f>
        <v>0</v>
      </c>
      <c r="BD156" t="str">
        <f>TEXT(vendaAno[[#This Row],[data]],"mmm")</f>
        <v>jun</v>
      </c>
      <c r="BE156" t="str">
        <f>TEXT(vendaAno[[#This Row],[data]],"ddd")</f>
        <v>qui</v>
      </c>
      <c r="BF156" s="82">
        <f>WEEKNUM(vendaAno[[#This Row],[data]],13)</f>
        <v>23</v>
      </c>
      <c r="BG156" s="27">
        <f>preçodiario[[#This Row],[data]]</f>
        <v>46177</v>
      </c>
      <c r="BH1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6" s="8">
        <f>IF(SUMIFS(estoque[valor total],estoque[fornecedor],"saída",estoque[data],vendaAno[[#This Row],[data]])=0,"",SUMIFS(estoque[valor total],estoque[fornecedor],"saída",estoque[data],vendaAno[[#This Row],[data]]))</f>
        <v>790</v>
      </c>
      <c r="BJ15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Row],[data]]))/12+BJ155,"")</f>
        <v>31.499999999999975</v>
      </c>
      <c r="BK156" s="79">
        <f ca="1">IF(TODAY()&gt;=vendaAno[[#This Row],[data]],IF(SUMIFS(estoque[quantidade],estoque[fornecedor],"saída",estoque[data],vendaAno[[#This Row],[data]])/12=0,AVERAGE(BK153:BK155),SUMIFS(estoque[quantidade],estoque[fornecedor],"saída",estoque[data],vendaAno[[#This Row],[data]])/12),"")</f>
        <v>3.5833333333333335</v>
      </c>
      <c r="BL156" s="8">
        <f ca="1">IF(vendaAno[[#This Row],[data]]&lt;=TODAY(),IF(SUMIFS(estoque[lucro],estoque[fornecedor],"saída",estoque[data],vendaAno[[#This Row],[data]])=0,AVERAGE(BL153:BL155),SUMIFS(estoque[lucro],estoque[fornecedor],"saída",estoque[data],vendaAno[[#This Row],[data]])),"")</f>
        <v>99.17</v>
      </c>
      <c r="BM156" s="10">
        <f ca="1">IFERROR(vendaAno[[#This Row],[lucro]]/vendaAno[[#This Row],[valor de venda]],"")</f>
        <v>0.12553164556962026</v>
      </c>
      <c r="BN15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5730.4394623320095</v>
      </c>
      <c r="BO156" s="8">
        <f ca="1">IF(TODAY()&gt;=vendaAno[[#This Row],[data]],IF(vendaAno[[#This Row],[N°]]=BF155,vendaAno[[#This Row],[lucro]]-173.33+BO155,vendaAno[[#This Row],[lucro]]-150),"")</f>
        <v>-153.43</v>
      </c>
      <c r="BP156" s="81">
        <f ca="1">IF(TODAY()&gt;=vendaAno[[#This Row],[data]],SUM(BK150:BK156)*12,"")</f>
        <v>233</v>
      </c>
      <c r="BQ156" s="7">
        <f ca="1">IFERROR(vendaAno[[#This Row],[lucro]]/(vendaAno[[#This Row],[venda]]*12),"")</f>
        <v>2.306279069767442</v>
      </c>
    </row>
    <row r="157" spans="1:69" x14ac:dyDescent="0.25">
      <c r="A1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7" s="18" t="str">
        <f>TEXT(preçodiario[[#This Row],[data]],"MMM")</f>
        <v>jun</v>
      </c>
      <c r="C157" s="18" t="str">
        <f>TEXT(preçodiario[[#This Row],[data]],"ddd")</f>
        <v>sex</v>
      </c>
      <c r="D157" s="96">
        <f>WEEKNUM(preçodiario[[#This Row],[data]],13)</f>
        <v>23</v>
      </c>
      <c r="E157" s="37">
        <v>46178</v>
      </c>
      <c r="F1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Row],[data]])),((F156*G156)+SUMIFS(estoque[valor total],estoque[produto],preçodiario[[#Headers],[OVO BRANCO A]],estoque[data],preçodiario[[#This Row],[data]],estoque[fornecedor],"&lt;&gt;saída"))/(G156+(SUMIFS(estoque[quantidade],estoque[produto],preçodiario[[#Headers],[OVO BRANCO A]],estoque[fornecedor],"&lt;&gt;saída",estoque[data],preçodiario[[#This Row],[data]])))))</f>
        <v>15.443308560042691</v>
      </c>
      <c r="G157" s="22">
        <f>IF(preçodiario[[#This Row],[entrada A]]=0,G156-(SUMIFS(estoque[quantidade],estoque[fornecedor],"saída",estoque[produto],preçodiario[[#Headers],[OVO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Row],[data]]))+G156+preçodiario[[#This Row],[entrada A]])</f>
        <v>101</v>
      </c>
      <c r="H157" s="22">
        <f>SUMIFS(estoque[quantidade],estoque[fornecedor],"&lt;&gt;saída",estoque[produto],preçodiario[[#Headers],[OVO BRANCO A]],estoque[data],preçodiario[[#This Row],[data]])</f>
        <v>0</v>
      </c>
      <c r="I157" s="20">
        <f>SUMIFS(estoque[valor total],estoque[fornecedor],"&lt;&gt;saída",estoque[produto],preçodiario[[#Headers],[OVO BRANCO A]],estoque[data],preçodiario[[#This Row],[data]])</f>
        <v>0</v>
      </c>
      <c r="J157" s="20">
        <f>IFERROR(preçodiario[[#This Row],[estoque A]]*preçodiario[[#This Row],[OVO BRANCO A]],0)</f>
        <v>1559.7741645643118</v>
      </c>
      <c r="K1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Row],[data]])),((K156*L156)+SUMIFS(estoque[valor total],estoque[produto],preçodiario[[#Headers],[OVO BRANCO B]],estoque[data],preçodiario[[#This Row],[data]],estoque[fornecedor],"&lt;&gt;saída"))/(L156+(SUMIFS(estoque[quantidade],estoque[produto],preçodiario[[#Headers],[OVO BRANCO B]],estoque[fornecedor],"&lt;&gt;saída",estoque[data],preçodiario[[#This Row],[data]])))))</f>
        <v>14.704142011834318</v>
      </c>
      <c r="L157" s="22">
        <f>IF(preçodiario[[#This Row],[entrada B]]=0,L156-(SUMIFS(estoque[quantidade],estoque[fornecedor],"saída",estoque[produto],preçodiario[[#Headers],[OVO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Row],[data]]))+L156+preçodiario[[#This Row],[entrada B]])</f>
        <v>152</v>
      </c>
      <c r="M157" s="22">
        <f>SUMIFS(estoque[quantidade],estoque[fornecedor],"&lt;&gt;saída",estoque[produto],preçodiario[[#Headers],[OVO BRANCO B]],estoque[data],preçodiario[[#This Row],[data]])</f>
        <v>0</v>
      </c>
      <c r="N157" s="20">
        <f>SUMIFS(estoque[valor total],estoque[fornecedor],"&lt;&gt;saída",estoque[produto],preçodiario[[#Headers],[OVO BRANCO B]],estoque[data],preçodiario[[#This Row],[data]])</f>
        <v>0</v>
      </c>
      <c r="O157" s="20">
        <f>IFERROR(preçodiario[[#This Row],[OVO BRANCO B]]*preçodiario[[#This Row],[estoque B]],0)</f>
        <v>2235.0295857988162</v>
      </c>
      <c r="P1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Row],[data]])),((P156*Q156)+SUMIFS(estoque[valor total],estoque[produto],preçodiario[[#Headers],[OVO BRANCO C]],estoque[data],preçodiario[[#This Row],[data]],estoque[fornecedor],"&lt;&gt;saída"))/(Q156+(SUMIFS(estoque[quantidade],estoque[produto],preçodiario[[#Headers],[OVO BRANCO C]],estoque[fornecedor],"&lt;&gt;saída",estoque[data],preçodiario[[#This Row],[data]])))))</f>
        <v>13.833333333333336</v>
      </c>
      <c r="Q157" s="22">
        <f>IF(preçodiario[[#This Row],[entrada C]]=0,Q156-(SUMIFS(estoque[quantidade],estoque[fornecedor],"saída",estoque[produto],preçodiario[[#Headers],[OVO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Row],[data]]))+Q156+preçodiario[[#This Row],[entrada C]])</f>
        <v>41</v>
      </c>
      <c r="R157" s="22">
        <f>SUMIFS(estoque[quantidade],estoque[fornecedor],"&lt;&gt;saída",estoque[produto],preçodiario[[#Headers],[OVO BRANCO C]],estoque[data],preçodiario[[#This Row],[data]])</f>
        <v>0</v>
      </c>
      <c r="S157" s="20">
        <f>SUMIFS(estoque[valor total],estoque[fornecedor],"&lt;&gt;saída",estoque[produto],preçodiario[[#Headers],[OVO BRANCO C]],estoque[data],preçodiario[[#This Row],[data]])</f>
        <v>0</v>
      </c>
      <c r="T157" s="20">
        <f>IFERROR(preçodiario[[#This Row],[OVO BRANCO C]]*preçodiario[[#This Row],[estoque C]],0)</f>
        <v>567.16666666666674</v>
      </c>
      <c r="U1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Row],[data]])),((U156*V156)+SUMIFS(estoque[valor total],estoque[produto],preçodiario[[#Headers],[OVO BRANCO EXTRA]],estoque[data],preçodiario[[#This Row],[data]],estoque[fornecedor],"&lt;&gt;saída"))/(V156+(SUMIFS(estoque[quantidade],estoque[produto],preçodiario[[#Headers],[OVO BRANCO EXTRA]],estoque[fornecedor],"&lt;&gt;saída",estoque[data],preçodiario[[#This Row],[data]])))))</f>
        <v>16.373456790123459</v>
      </c>
      <c r="V157" s="22">
        <f>IF(preçodiario[[#This Row],[entrada E]]=0,V156-(SUMIFS(estoque[quantidade],estoque[fornecedor],"saída",estoque[produto],preçodiario[[#Headers],[OVO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Row],[data]]))+V156+preçodiario[[#This Row],[entrada E]])</f>
        <v>48</v>
      </c>
      <c r="W157" s="22">
        <f>SUMIFS(estoque[quantidade],estoque[fornecedor],"&lt;&gt;saída",estoque[produto],preçodiario[[#Headers],[OVO BRANCO EXTRA]],estoque[data],preçodiario[[#This Row],[data]])</f>
        <v>0</v>
      </c>
      <c r="X157" s="20">
        <f>SUMIFS(estoque[valor total],estoque[fornecedor],"&lt;&gt;saída",estoque[produto],preçodiario[[#Headers],[OVO BRANCO EXTRA]],estoque[data],preçodiario[[#This Row],[data]])</f>
        <v>0</v>
      </c>
      <c r="Y157" s="20">
        <f>IFERROR(preçodiario[[#This Row],[estoque E]]*preçodiario[[#This Row],[OVO BRANCO EXTRA]],0)</f>
        <v>785.92592592592609</v>
      </c>
      <c r="Z1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Row],[data]])),((Z156*AA156)+SUMIFS(estoque[valor total],estoque[produto],preçodiario[[#Headers],[OVO BRANCO JUMBO]],estoque[data],preçodiario[[#This Row],[data]],estoque[fornecedor],"&lt;&gt;saída"))/(AA156+(SUMIFS(estoque[quantidade],estoque[produto],preçodiario[[#Headers],[OVO BRANCO JUMBO]],estoque[fornecedor],"&lt;&gt;saída",estoque[data],preçodiario[[#This Row],[data]])))))</f>
        <v>17.412409584086802</v>
      </c>
      <c r="AA157" s="22">
        <f>IF(preçodiario[[#This Row],[entrada J]]=0,AA156-(SUMIFS(estoque[quantidade],estoque[fornecedor],"saída",estoque[produto],preçodiario[[#Headers],[OVO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Row],[data]]))+AA156+preçodiario[[#This Row],[entrada J]])</f>
        <v>5</v>
      </c>
      <c r="AB157" s="22">
        <f>SUMIFS(estoque[quantidade],estoque[fornecedor],"&lt;&gt;saída",estoque[produto],preçodiario[[#Headers],[OVO BRANCO JUMBO]],estoque[data],preçodiario[[#This Row],[data]])</f>
        <v>0</v>
      </c>
      <c r="AC157" s="20">
        <f>SUMIFS(estoque[valor total],estoque[fornecedor],"&lt;&gt;saída",estoque[produto],preçodiario[[#Headers],[OVO BRANCO JUMBO]],estoque[data],preçodiario[[#This Row],[data]])</f>
        <v>0</v>
      </c>
      <c r="AD157" s="20">
        <f>IFERROR(preçodiario[[#This Row],[OVO BRANCO JUMBO]]*preçodiario[[#This Row],[estoque J]],0)</f>
        <v>87.062047920434011</v>
      </c>
      <c r="AE1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Row],[data]])),((AE156*AF156)+SUMIFS(estoque[valor total],estoque[produto],preçodiario[[#Headers],[OVO VERMELHO A]],estoque[data],preçodiario[[#This Row],[data]],estoque[fornecedor],"&lt;&gt;saída"))/(AF156+(SUMIFS(estoque[quantidade],estoque[produto],preçodiario[[#Headers],[OVO VERMELHO A]],estoque[fornecedor],"&lt;&gt;saída",estoque[data],preçodiario[[#This Row],[data]])))))</f>
        <v/>
      </c>
      <c r="AF157" s="22">
        <f>IF(preçodiario[[#This Row],[entrada AV]]=0,AF156-(SUMIFS(estoque[quantidade],estoque[fornecedor],"saída",estoque[produto],preçodiario[[#Headers],[OVO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Row],[data]]))+AF156+preçodiario[[#This Row],[entrada AV]])</f>
        <v>0</v>
      </c>
      <c r="AG157" s="22">
        <f>SUMIFS(estoque[quantidade],estoque[fornecedor],"&lt;&gt;saída",estoque[produto],preçodiario[[#Headers],[OVO VERMELHO A]],estoque[data],preçodiario[[#This Row],[data]])</f>
        <v>0</v>
      </c>
      <c r="AH157" s="20">
        <f>SUMIFS(estoque[valor total],estoque[fornecedor],"&lt;&gt;saída",estoque[produto],preçodiario[[#Headers],[OVO VERMELHO A]],estoque[data],preçodiario[[#This Row],[data]])</f>
        <v>0</v>
      </c>
      <c r="AI157" s="20">
        <f>IFERROR(preçodiario[[#This Row],[OVO VERMELHO A]]*preçodiario[[#This Row],[estoque AV]],0)</f>
        <v>0</v>
      </c>
      <c r="AJ1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Row],[data]])),((AJ156*AK156)+SUMIFS(estoque[valor total],estoque[produto],preçodiario[[#Headers],[OVO VERMELHO B]],estoque[data],preçodiario[[#This Row],[data]],estoque[fornecedor],"&lt;&gt;saída"))/(AK156+(SUMIFS(estoque[quantidade],estoque[produto],preçodiario[[#Headers],[OVO VERMELHO B]],estoque[fornecedor],"&lt;&gt;saída",estoque[data],preçodiario[[#This Row],[data]])))))</f>
        <v/>
      </c>
      <c r="AK157" s="22">
        <f>IF(preçodiario[[#This Row],[entrada BV]]=0,AK156-(SUMIFS(estoque[quantidade],estoque[fornecedor],"saída",estoque[produto],preçodiario[[#Headers],[OVO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Row],[data]]))+AK156+preçodiario[[#This Row],[entrada BV]])</f>
        <v>0</v>
      </c>
      <c r="AL157" s="22">
        <f>SUMIFS(estoque[quantidade],estoque[fornecedor],"&lt;&gt;saída",estoque[produto],preçodiario[[#Headers],[OVO VERMELHO B]],estoque[data],preçodiario[[#This Row],[data]])</f>
        <v>0</v>
      </c>
      <c r="AM157" s="20">
        <f>SUMIFS(estoque[valor total],estoque[fornecedor],"&lt;&gt;saída",estoque[produto],preçodiario[[#Headers],[OVO VERMELHO B]],estoque[data],preçodiario[[#This Row],[data]])</f>
        <v>0</v>
      </c>
      <c r="AN157" s="20">
        <f>IFERROR(preçodiario[[#This Row],[OVO VERMELHO B]]*preçodiario[[#This Row],[estoque BV]],0)</f>
        <v>0</v>
      </c>
      <c r="AO1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Row],[data]])),((AO156*AP156)+SUMIFS(estoque[valor total],estoque[produto],preçodiario[[#Headers],[OVO VERMELHO C]],estoque[data],preçodiario[[#This Row],[data]],estoque[fornecedor],"&lt;&gt;saída"))/(AP156+(SUMIFS(estoque[quantidade],estoque[produto],preçodiario[[#Headers],[OVO VERMELHO C]],estoque[fornecedor],"&lt;&gt;saída",estoque[data],preçodiario[[#This Row],[data]])))))</f>
        <v/>
      </c>
      <c r="AP157" s="22">
        <f>IF(preçodiario[[#This Row],[entrada CV]]=0,AP156-(SUMIFS(estoque[quantidade],estoque[fornecedor],"saída",estoque[produto],preçodiario[[#Headers],[OVO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Row],[data]]))+AP156+preçodiario[[#This Row],[entrada CV]])</f>
        <v>0</v>
      </c>
      <c r="AQ157" s="22">
        <f>SUMIFS(estoque[quantidade],estoque[fornecedor],"&lt;&gt;saída",estoque[produto],preçodiario[[#Headers],[OVO VERMELHO C]],estoque[data],preçodiario[[#This Row],[data]])</f>
        <v>0</v>
      </c>
      <c r="AR157" s="20">
        <f>SUMIFS(estoque[valor total],estoque[fornecedor],"&lt;&gt;saída",estoque[produto],preçodiario[[#Headers],[OVO VERMELHO C]],estoque[data],preçodiario[[#This Row],[data]])</f>
        <v>0</v>
      </c>
      <c r="AS157" s="20">
        <f>IFERROR(preçodiario[[#This Row],[OVO VERMELHO C]]*preçodiario[[#This Row],[estoque CV]],0)</f>
        <v>0</v>
      </c>
      <c r="AT1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Row],[data]])),((AT156*AU156)+SUMIFS(estoque[valor total],estoque[produto],preçodiario[[#Headers],[OVO VERMELHO EXTRA]],estoque[data],preçodiario[[#This Row],[data]],estoque[fornecedor],"&lt;&gt;saída"))/(AU156+(SUMIFS(estoque[quantidade],estoque[produto],preçodiario[[#Headers],[OVO VERMELHO EXTRA]],estoque[fornecedor],"&lt;&gt;saída",estoque[data],preçodiario[[#This Row],[data]])))))</f>
        <v/>
      </c>
      <c r="AU157" s="22">
        <f>IF(preçodiario[[#This Row],[entrada EV]]=0,AU156-(SUMIFS(estoque[quantidade],estoque[fornecedor],"saída",estoque[produto],preçodiario[[#Headers],[OVO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Row],[data]]))+AU156+preçodiario[[#This Row],[entrada EV]])</f>
        <v>0</v>
      </c>
      <c r="AV157" s="22">
        <f>SUMIFS(estoque[quantidade],estoque[fornecedor],"&lt;&gt;saída",estoque[produto],preçodiario[[#Headers],[OVO VERMELHO EXTRA]],estoque[data],preçodiario[[#This Row],[data]])</f>
        <v>0</v>
      </c>
      <c r="AW157" s="20">
        <f>SUMIFS(estoque[valor total],estoque[fornecedor],"&lt;&gt;saída",estoque[produto],preçodiario[[#Headers],[OVO VERMELHO EXTRA]],estoque[data],preçodiario[[#This Row],[data]])</f>
        <v>0</v>
      </c>
      <c r="AX157" s="20">
        <f>IFERROR(preçodiario[[#This Row],[OVO VERMELHO EXTRA]]*preçodiario[[#This Row],[estoque EV]],0)</f>
        <v>0</v>
      </c>
      <c r="AY1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Row],[data]])),((AY156*AZ156)+SUMIFS(estoque[valor total],estoque[produto],preçodiario[[#Headers],[OVO VERMELHO JUMBO]],estoque[data],preçodiario[[#This Row],[data]],estoque[fornecedor],"&lt;&gt;saída"))/(AZ156+(SUMIFS(estoque[quantidade],estoque[produto],preçodiario[[#Headers],[OVO VERMELHO JUMBO]],estoque[fornecedor],"&lt;&gt;saída",estoque[data],preçodiario[[#This Row],[data]])))))</f>
        <v/>
      </c>
      <c r="AZ157" s="22">
        <f>IF(preçodiario[[#This Row],[entrada JV]]=0,AZ156-(SUMIFS(estoque[quantidade],estoque[fornecedor],"saída",estoque[produto],preçodiario[[#Headers],[OVO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Row],[data]]))+AZ156+preçodiario[[#This Row],[entrada JV]])</f>
        <v>0</v>
      </c>
      <c r="BA157" s="22">
        <f>SUMIFS(estoque[quantidade],estoque[fornecedor],"&lt;&gt;saída",estoque[produto],preçodiario[[#Headers],[OVO VERMELHO JUMBO]],estoque[data],preçodiario[[#This Row],[data]])</f>
        <v>0</v>
      </c>
      <c r="BB157" s="20">
        <f>SUMIFS(estoque[valor total],estoque[fornecedor],"&lt;&gt;saída",estoque[produto],preçodiario[[#Headers],[OVO VERMELHO JUMBO]],estoque[data],preçodiario[[#This Row],[data]])</f>
        <v>0</v>
      </c>
      <c r="BC157" s="20">
        <f>IFERROR(preçodiario[[#This Row],[OVO VERMELHO JUMBO]]*preçodiario[[#This Row],[estoque JV]],0)</f>
        <v>0</v>
      </c>
      <c r="BD157" t="str">
        <f>TEXT(vendaAno[[#This Row],[data]],"mmm")</f>
        <v>jun</v>
      </c>
      <c r="BE157" t="str">
        <f>TEXT(vendaAno[[#This Row],[data]],"ddd")</f>
        <v>sex</v>
      </c>
      <c r="BF157" s="82">
        <f>WEEKNUM(vendaAno[[#This Row],[data]],13)</f>
        <v>23</v>
      </c>
      <c r="BG157" s="27">
        <f>preçodiario[[#This Row],[data]]</f>
        <v>46178</v>
      </c>
      <c r="BH1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7" s="8">
        <f>IF(SUMIFS(estoque[valor total],estoque[fornecedor],"saída",estoque[data],vendaAno[[#This Row],[data]])=0,"",SUMIFS(estoque[valor total],estoque[fornecedor],"saída",estoque[data],vendaAno[[#This Row],[data]]))</f>
        <v>611</v>
      </c>
      <c r="BJ15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Row],[data]]))/12+BJ156,"")</f>
        <v>28.916666666666643</v>
      </c>
      <c r="BK157" s="79">
        <f ca="1">IF(TODAY()&gt;=vendaAno[[#This Row],[data]],IF(SUMIFS(estoque[quantidade],estoque[fornecedor],"saída",estoque[data],vendaAno[[#This Row],[data]])/12=0,AVERAGE(BK154:BK156),SUMIFS(estoque[quantidade],estoque[fornecedor],"saída",estoque[data],vendaAno[[#This Row],[data]])/12),"")</f>
        <v>2.5833333333333335</v>
      </c>
      <c r="BL157" s="8">
        <f ca="1">IF(vendaAno[[#This Row],[data]]&lt;=TODAY(),IF(SUMIFS(estoque[lucro],estoque[fornecedor],"saída",estoque[data],vendaAno[[#This Row],[data]])=0,AVERAGE(BL154:BL156),SUMIFS(estoque[lucro],estoque[fornecedor],"saída",estoque[data],vendaAno[[#This Row],[data]])),"")</f>
        <v>115.52000000000001</v>
      </c>
      <c r="BM157" s="10">
        <f ca="1">IFERROR(vendaAno[[#This Row],[lucro]]/vendaAno[[#This Row],[valor de venda]],"")</f>
        <v>0.18906710310965633</v>
      </c>
      <c r="BN15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5234.9583908761551</v>
      </c>
      <c r="BO157" s="8">
        <f ca="1">IF(TODAY()&gt;=vendaAno[[#This Row],[data]],IF(vendaAno[[#This Row],[N°]]=BF156,vendaAno[[#This Row],[lucro]]-173.33+BO156,vendaAno[[#This Row],[lucro]]-150),"")</f>
        <v>-211.24</v>
      </c>
      <c r="BP157" s="81">
        <f ca="1">IF(TODAY()&gt;=vendaAno[[#This Row],[data]],SUM(BK151:BK157)*12,"")</f>
        <v>251</v>
      </c>
      <c r="BQ157" s="7">
        <f ca="1">IFERROR(vendaAno[[#This Row],[lucro]]/(vendaAno[[#This Row],[venda]]*12),"")</f>
        <v>3.7264516129032264</v>
      </c>
    </row>
    <row r="158" spans="1:69" x14ac:dyDescent="0.25">
      <c r="A1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8" s="18" t="str">
        <f>TEXT(preçodiario[[#This Row],[data]],"MMM")</f>
        <v>jun</v>
      </c>
      <c r="C158" s="18" t="str">
        <f>TEXT(preçodiario[[#This Row],[data]],"ddd")</f>
        <v>sáb</v>
      </c>
      <c r="D158" s="96">
        <f>WEEKNUM(preçodiario[[#This Row],[data]],13)</f>
        <v>23</v>
      </c>
      <c r="E158" s="37">
        <v>46179</v>
      </c>
      <c r="F1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Row],[data]])),((F157*G157)+SUMIFS(estoque[valor total],estoque[produto],preçodiario[[#Headers],[OVO BRANCO A]],estoque[data],preçodiario[[#This Row],[data]],estoque[fornecedor],"&lt;&gt;saída"))/(G157+(SUMIFS(estoque[quantidade],estoque[produto],preçodiario[[#Headers],[OVO BRANCO A]],estoque[fornecedor],"&lt;&gt;saída",estoque[data],preçodiario[[#This Row],[data]])))))</f>
        <v>15.443308560042691</v>
      </c>
      <c r="G158" s="22">
        <f>IF(preçodiario[[#This Row],[entrada A]]=0,G157-(SUMIFS(estoque[quantidade],estoque[fornecedor],"saída",estoque[produto],preçodiario[[#Headers],[OVO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Row],[data]]))+G157+preçodiario[[#This Row],[entrada A]])</f>
        <v>97</v>
      </c>
      <c r="H158" s="22">
        <f>SUMIFS(estoque[quantidade],estoque[fornecedor],"&lt;&gt;saída",estoque[produto],preçodiario[[#Headers],[OVO BRANCO A]],estoque[data],preçodiario[[#This Row],[data]])</f>
        <v>0</v>
      </c>
      <c r="I158" s="20">
        <f>SUMIFS(estoque[valor total],estoque[fornecedor],"&lt;&gt;saída",estoque[produto],preçodiario[[#Headers],[OVO BRANCO A]],estoque[data],preçodiario[[#This Row],[data]])</f>
        <v>0</v>
      </c>
      <c r="J158" s="20">
        <f>IFERROR(preçodiario[[#This Row],[estoque A]]*preçodiario[[#This Row],[OVO BRANCO A]],0)</f>
        <v>1498.0009303241411</v>
      </c>
      <c r="K1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Row],[data]])),((K157*L157)+SUMIFS(estoque[valor total],estoque[produto],preçodiario[[#Headers],[OVO BRANCO B]],estoque[data],preçodiario[[#This Row],[data]],estoque[fornecedor],"&lt;&gt;saída"))/(L157+(SUMIFS(estoque[quantidade],estoque[produto],preçodiario[[#Headers],[OVO BRANCO B]],estoque[fornecedor],"&lt;&gt;saída",estoque[data],preçodiario[[#This Row],[data]])))))</f>
        <v>14.704142011834318</v>
      </c>
      <c r="L158" s="22">
        <f>IF(preçodiario[[#This Row],[entrada B]]=0,L157-(SUMIFS(estoque[quantidade],estoque[fornecedor],"saída",estoque[produto],preçodiario[[#Headers],[OVO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Row],[data]]))+L157+preçodiario[[#This Row],[entrada B]])</f>
        <v>147</v>
      </c>
      <c r="M158" s="22">
        <f>SUMIFS(estoque[quantidade],estoque[fornecedor],"&lt;&gt;saída",estoque[produto],preçodiario[[#Headers],[OVO BRANCO B]],estoque[data],preçodiario[[#This Row],[data]])</f>
        <v>0</v>
      </c>
      <c r="N158" s="20">
        <f>SUMIFS(estoque[valor total],estoque[fornecedor],"&lt;&gt;saída",estoque[produto],preçodiario[[#Headers],[OVO BRANCO B]],estoque[data],preçodiario[[#This Row],[data]])</f>
        <v>0</v>
      </c>
      <c r="O158" s="20">
        <f>IFERROR(preçodiario[[#This Row],[OVO BRANCO B]]*preçodiario[[#This Row],[estoque B]],0)</f>
        <v>2161.5088757396447</v>
      </c>
      <c r="P1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Row],[data]])),((P157*Q157)+SUMIFS(estoque[valor total],estoque[produto],preçodiario[[#Headers],[OVO BRANCO C]],estoque[data],preçodiario[[#This Row],[data]],estoque[fornecedor],"&lt;&gt;saída"))/(Q157+(SUMIFS(estoque[quantidade],estoque[produto],preçodiario[[#Headers],[OVO BRANCO C]],estoque[fornecedor],"&lt;&gt;saída",estoque[data],preçodiario[[#This Row],[data]])))))</f>
        <v>13.833333333333336</v>
      </c>
      <c r="Q158" s="22">
        <f>IF(preçodiario[[#This Row],[entrada C]]=0,Q157-(SUMIFS(estoque[quantidade],estoque[fornecedor],"saída",estoque[produto],preçodiario[[#Headers],[OVO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Row],[data]]))+Q157+preçodiario[[#This Row],[entrada C]])</f>
        <v>41</v>
      </c>
      <c r="R158" s="22">
        <f>SUMIFS(estoque[quantidade],estoque[fornecedor],"&lt;&gt;saída",estoque[produto],preçodiario[[#Headers],[OVO BRANCO C]],estoque[data],preçodiario[[#This Row],[data]])</f>
        <v>0</v>
      </c>
      <c r="S158" s="20">
        <f>SUMIFS(estoque[valor total],estoque[fornecedor],"&lt;&gt;saída",estoque[produto],preçodiario[[#Headers],[OVO BRANCO C]],estoque[data],preçodiario[[#This Row],[data]])</f>
        <v>0</v>
      </c>
      <c r="T158" s="20">
        <f>IFERROR(preçodiario[[#This Row],[OVO BRANCO C]]*preçodiario[[#This Row],[estoque C]],0)</f>
        <v>567.16666666666674</v>
      </c>
      <c r="U1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Row],[data]])),((U157*V157)+SUMIFS(estoque[valor total],estoque[produto],preçodiario[[#Headers],[OVO BRANCO EXTRA]],estoque[data],preçodiario[[#This Row],[data]],estoque[fornecedor],"&lt;&gt;saída"))/(V157+(SUMIFS(estoque[quantidade],estoque[produto],preçodiario[[#Headers],[OVO BRANCO EXTRA]],estoque[fornecedor],"&lt;&gt;saída",estoque[data],preçodiario[[#This Row],[data]])))))</f>
        <v>16.373456790123459</v>
      </c>
      <c r="V158" s="22">
        <f>IF(preçodiario[[#This Row],[entrada E]]=0,V157-(SUMIFS(estoque[quantidade],estoque[fornecedor],"saída",estoque[produto],preçodiario[[#Headers],[OVO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Row],[data]]))+V157+preçodiario[[#This Row],[entrada E]])</f>
        <v>45</v>
      </c>
      <c r="W158" s="22">
        <f>SUMIFS(estoque[quantidade],estoque[fornecedor],"&lt;&gt;saída",estoque[produto],preçodiario[[#Headers],[OVO BRANCO EXTRA]],estoque[data],preçodiario[[#This Row],[data]])</f>
        <v>0</v>
      </c>
      <c r="X158" s="20">
        <f>SUMIFS(estoque[valor total],estoque[fornecedor],"&lt;&gt;saída",estoque[produto],preçodiario[[#Headers],[OVO BRANCO EXTRA]],estoque[data],preçodiario[[#This Row],[data]])</f>
        <v>0</v>
      </c>
      <c r="Y158" s="20">
        <f>IFERROR(preçodiario[[#This Row],[estoque E]]*preçodiario[[#This Row],[OVO BRANCO EXTRA]],0)</f>
        <v>736.80555555555566</v>
      </c>
      <c r="Z1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Row],[data]])),((Z157*AA157)+SUMIFS(estoque[valor total],estoque[produto],preçodiario[[#Headers],[OVO BRANCO JUMBO]],estoque[data],preçodiario[[#This Row],[data]],estoque[fornecedor],"&lt;&gt;saída"))/(AA157+(SUMIFS(estoque[quantidade],estoque[produto],preçodiario[[#Headers],[OVO BRANCO JUMBO]],estoque[fornecedor],"&lt;&gt;saída",estoque[data],preçodiario[[#This Row],[data]])))))</f>
        <v>17.412409584086802</v>
      </c>
      <c r="AA158" s="22">
        <f>IF(preçodiario[[#This Row],[entrada J]]=0,AA157-(SUMIFS(estoque[quantidade],estoque[fornecedor],"saída",estoque[produto],preçodiario[[#Headers],[OVO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Row],[data]]))+AA157+preçodiario[[#This Row],[entrada J]])</f>
        <v>2</v>
      </c>
      <c r="AB158" s="22">
        <f>SUMIFS(estoque[quantidade],estoque[fornecedor],"&lt;&gt;saída",estoque[produto],preçodiario[[#Headers],[OVO BRANCO JUMBO]],estoque[data],preçodiario[[#This Row],[data]])</f>
        <v>0</v>
      </c>
      <c r="AC158" s="20">
        <f>SUMIFS(estoque[valor total],estoque[fornecedor],"&lt;&gt;saída",estoque[produto],preçodiario[[#Headers],[OVO BRANCO JUMBO]],estoque[data],preçodiario[[#This Row],[data]])</f>
        <v>0</v>
      </c>
      <c r="AD158" s="20">
        <f>IFERROR(preçodiario[[#This Row],[OVO BRANCO JUMBO]]*preçodiario[[#This Row],[estoque J]],0)</f>
        <v>34.824819168173605</v>
      </c>
      <c r="AE1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Row],[data]])),((AE157*AF157)+SUMIFS(estoque[valor total],estoque[produto],preçodiario[[#Headers],[OVO VERMELHO A]],estoque[data],preçodiario[[#This Row],[data]],estoque[fornecedor],"&lt;&gt;saída"))/(AF157+(SUMIFS(estoque[quantidade],estoque[produto],preçodiario[[#Headers],[OVO VERMELHO A]],estoque[fornecedor],"&lt;&gt;saída",estoque[data],preçodiario[[#This Row],[data]])))))</f>
        <v/>
      </c>
      <c r="AF158" s="22">
        <f>IF(preçodiario[[#This Row],[entrada AV]]=0,AF157-(SUMIFS(estoque[quantidade],estoque[fornecedor],"saída",estoque[produto],preçodiario[[#Headers],[OVO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Row],[data]]))+AF157+preçodiario[[#This Row],[entrada AV]])</f>
        <v>0</v>
      </c>
      <c r="AG158" s="22">
        <f>SUMIFS(estoque[quantidade],estoque[fornecedor],"&lt;&gt;saída",estoque[produto],preçodiario[[#Headers],[OVO VERMELHO A]],estoque[data],preçodiario[[#This Row],[data]])</f>
        <v>0</v>
      </c>
      <c r="AH158" s="20">
        <f>SUMIFS(estoque[valor total],estoque[fornecedor],"&lt;&gt;saída",estoque[produto],preçodiario[[#Headers],[OVO VERMELHO A]],estoque[data],preçodiario[[#This Row],[data]])</f>
        <v>0</v>
      </c>
      <c r="AI158" s="20">
        <f>IFERROR(preçodiario[[#This Row],[OVO VERMELHO A]]*preçodiario[[#This Row],[estoque AV]],0)</f>
        <v>0</v>
      </c>
      <c r="AJ1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Row],[data]])),((AJ157*AK157)+SUMIFS(estoque[valor total],estoque[produto],preçodiario[[#Headers],[OVO VERMELHO B]],estoque[data],preçodiario[[#This Row],[data]],estoque[fornecedor],"&lt;&gt;saída"))/(AK157+(SUMIFS(estoque[quantidade],estoque[produto],preçodiario[[#Headers],[OVO VERMELHO B]],estoque[fornecedor],"&lt;&gt;saída",estoque[data],preçodiario[[#This Row],[data]])))))</f>
        <v/>
      </c>
      <c r="AK158" s="22">
        <f>IF(preçodiario[[#This Row],[entrada BV]]=0,AK157-(SUMIFS(estoque[quantidade],estoque[fornecedor],"saída",estoque[produto],preçodiario[[#Headers],[OVO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Row],[data]]))+AK157+preçodiario[[#This Row],[entrada BV]])</f>
        <v>0</v>
      </c>
      <c r="AL158" s="22">
        <f>SUMIFS(estoque[quantidade],estoque[fornecedor],"&lt;&gt;saída",estoque[produto],preçodiario[[#Headers],[OVO VERMELHO B]],estoque[data],preçodiario[[#This Row],[data]])</f>
        <v>0</v>
      </c>
      <c r="AM158" s="20">
        <f>SUMIFS(estoque[valor total],estoque[fornecedor],"&lt;&gt;saída",estoque[produto],preçodiario[[#Headers],[OVO VERMELHO B]],estoque[data],preçodiario[[#This Row],[data]])</f>
        <v>0</v>
      </c>
      <c r="AN158" s="20">
        <f>IFERROR(preçodiario[[#This Row],[OVO VERMELHO B]]*preçodiario[[#This Row],[estoque BV]],0)</f>
        <v>0</v>
      </c>
      <c r="AO1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Row],[data]])),((AO157*AP157)+SUMIFS(estoque[valor total],estoque[produto],preçodiario[[#Headers],[OVO VERMELHO C]],estoque[data],preçodiario[[#This Row],[data]],estoque[fornecedor],"&lt;&gt;saída"))/(AP157+(SUMIFS(estoque[quantidade],estoque[produto],preçodiario[[#Headers],[OVO VERMELHO C]],estoque[fornecedor],"&lt;&gt;saída",estoque[data],preçodiario[[#This Row],[data]])))))</f>
        <v/>
      </c>
      <c r="AP158" s="22">
        <f>IF(preçodiario[[#This Row],[entrada CV]]=0,AP157-(SUMIFS(estoque[quantidade],estoque[fornecedor],"saída",estoque[produto],preçodiario[[#Headers],[OVO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Row],[data]]))+AP157+preçodiario[[#This Row],[entrada CV]])</f>
        <v>0</v>
      </c>
      <c r="AQ158" s="22">
        <f>SUMIFS(estoque[quantidade],estoque[fornecedor],"&lt;&gt;saída",estoque[produto],preçodiario[[#Headers],[OVO VERMELHO C]],estoque[data],preçodiario[[#This Row],[data]])</f>
        <v>0</v>
      </c>
      <c r="AR158" s="20">
        <f>SUMIFS(estoque[valor total],estoque[fornecedor],"&lt;&gt;saída",estoque[produto],preçodiario[[#Headers],[OVO VERMELHO C]],estoque[data],preçodiario[[#This Row],[data]])</f>
        <v>0</v>
      </c>
      <c r="AS158" s="20">
        <f>IFERROR(preçodiario[[#This Row],[OVO VERMELHO C]]*preçodiario[[#This Row],[estoque CV]],0)</f>
        <v>0</v>
      </c>
      <c r="AT1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Row],[data]])),((AT157*AU157)+SUMIFS(estoque[valor total],estoque[produto],preçodiario[[#Headers],[OVO VERMELHO EXTRA]],estoque[data],preçodiario[[#This Row],[data]],estoque[fornecedor],"&lt;&gt;saída"))/(AU157+(SUMIFS(estoque[quantidade],estoque[produto],preçodiario[[#Headers],[OVO VERMELHO EXTRA]],estoque[fornecedor],"&lt;&gt;saída",estoque[data],preçodiario[[#This Row],[data]])))))</f>
        <v/>
      </c>
      <c r="AU158" s="22">
        <f>IF(preçodiario[[#This Row],[entrada EV]]=0,AU157-(SUMIFS(estoque[quantidade],estoque[fornecedor],"saída",estoque[produto],preçodiario[[#Headers],[OVO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Row],[data]]))+AU157+preçodiario[[#This Row],[entrada EV]])</f>
        <v>0</v>
      </c>
      <c r="AV158" s="22">
        <f>SUMIFS(estoque[quantidade],estoque[fornecedor],"&lt;&gt;saída",estoque[produto],preçodiario[[#Headers],[OVO VERMELHO EXTRA]],estoque[data],preçodiario[[#This Row],[data]])</f>
        <v>0</v>
      </c>
      <c r="AW158" s="20">
        <f>SUMIFS(estoque[valor total],estoque[fornecedor],"&lt;&gt;saída",estoque[produto],preçodiario[[#Headers],[OVO VERMELHO EXTRA]],estoque[data],preçodiario[[#This Row],[data]])</f>
        <v>0</v>
      </c>
      <c r="AX158" s="20">
        <f>IFERROR(preçodiario[[#This Row],[OVO VERMELHO EXTRA]]*preçodiario[[#This Row],[estoque EV]],0)</f>
        <v>0</v>
      </c>
      <c r="AY1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Row],[data]])),((AY157*AZ157)+SUMIFS(estoque[valor total],estoque[produto],preçodiario[[#Headers],[OVO VERMELHO JUMBO]],estoque[data],preçodiario[[#This Row],[data]],estoque[fornecedor],"&lt;&gt;saída"))/(AZ157+(SUMIFS(estoque[quantidade],estoque[produto],preçodiario[[#Headers],[OVO VERMELHO JUMBO]],estoque[fornecedor],"&lt;&gt;saída",estoque[data],preçodiario[[#This Row],[data]])))))</f>
        <v/>
      </c>
      <c r="AZ158" s="22">
        <f>IF(preçodiario[[#This Row],[entrada JV]]=0,AZ157-(SUMIFS(estoque[quantidade],estoque[fornecedor],"saída",estoque[produto],preçodiario[[#Headers],[OVO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Row],[data]]))+AZ157+preçodiario[[#This Row],[entrada JV]])</f>
        <v>0</v>
      </c>
      <c r="BA158" s="22">
        <f>SUMIFS(estoque[quantidade],estoque[fornecedor],"&lt;&gt;saída",estoque[produto],preçodiario[[#Headers],[OVO VERMELHO JUMBO]],estoque[data],preçodiario[[#This Row],[data]])</f>
        <v>0</v>
      </c>
      <c r="BB158" s="20">
        <f>SUMIFS(estoque[valor total],estoque[fornecedor],"&lt;&gt;saída",estoque[produto],preçodiario[[#Headers],[OVO VERMELHO JUMBO]],estoque[data],preçodiario[[#This Row],[data]])</f>
        <v>0</v>
      </c>
      <c r="BC158" s="20">
        <f>IFERROR(preçodiario[[#This Row],[OVO VERMELHO JUMBO]]*preçodiario[[#This Row],[estoque JV]],0)</f>
        <v>0</v>
      </c>
      <c r="BD158" t="str">
        <f>TEXT(vendaAno[[#This Row],[data]],"mmm")</f>
        <v>jun</v>
      </c>
      <c r="BE158" t="str">
        <f>TEXT(vendaAno[[#This Row],[data]],"ddd")</f>
        <v>sáb</v>
      </c>
      <c r="BF158" s="82">
        <f>WEEKNUM(vendaAno[[#This Row],[data]],13)</f>
        <v>23</v>
      </c>
      <c r="BG158" s="27">
        <f>preçodiario[[#This Row],[data]]</f>
        <v>46179</v>
      </c>
      <c r="BH1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8" s="8">
        <f>IF(SUMIFS(estoque[valor total],estoque[fornecedor],"saída",estoque[data],vendaAno[[#This Row],[data]])=0,"",SUMIFS(estoque[valor total],estoque[fornecedor],"saída",estoque[data],vendaAno[[#This Row],[data]]))</f>
        <v>292</v>
      </c>
      <c r="BJ15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Row],[data]]))/12+BJ157,"")</f>
        <v>27.666666666666643</v>
      </c>
      <c r="BK158" s="79">
        <f ca="1">IF(TODAY()&gt;=vendaAno[[#This Row],[data]],IF(SUMIFS(estoque[quantidade],estoque[fornecedor],"saída",estoque[data],vendaAno[[#This Row],[data]])/12=0,AVERAGE(BK155:BK157),SUMIFS(estoque[quantidade],estoque[fornecedor],"saída",estoque[data],vendaAno[[#This Row],[data]])/12),"")</f>
        <v>1.25</v>
      </c>
      <c r="BL158" s="8">
        <f ca="1">IF(vendaAno[[#This Row],[data]]&lt;=TODAY(),IF(SUMIFS(estoque[lucro],estoque[fornecedor],"saída",estoque[data],vendaAno[[#This Row],[data]])=0,AVERAGE(BL155:BL157),SUMIFS(estoque[lucro],estoque[fornecedor],"saída",estoque[data],vendaAno[[#This Row],[data]])),"")</f>
        <v>55.350000000000009</v>
      </c>
      <c r="BM158" s="10">
        <f ca="1">IFERROR(vendaAno[[#This Row],[lucro]]/vendaAno[[#This Row],[valor de venda]],"")</f>
        <v>0.18955479452054796</v>
      </c>
      <c r="BN15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4998.3068474541815</v>
      </c>
      <c r="BO158" s="8">
        <f ca="1">IF(TODAY()&gt;=vendaAno[[#This Row],[data]],IF(vendaAno[[#This Row],[N°]]=BF157,vendaAno[[#This Row],[lucro]]-173.33+BO157,vendaAno[[#This Row],[lucro]]-150),"")</f>
        <v>-329.22</v>
      </c>
      <c r="BP158" s="81">
        <f ca="1">IF(TODAY()&gt;=vendaAno[[#This Row],[data]],SUM(BK152:BK158)*12,"")</f>
        <v>220.00000000000003</v>
      </c>
      <c r="BQ158" s="7">
        <f ca="1">IFERROR(vendaAno[[#This Row],[lucro]]/(vendaAno[[#This Row],[venda]]*12),"")</f>
        <v>3.6900000000000004</v>
      </c>
    </row>
    <row r="159" spans="1:69" x14ac:dyDescent="0.25">
      <c r="A1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59" s="18" t="str">
        <f>TEXT(preçodiario[[#This Row],[data]],"MMM")</f>
        <v>jun</v>
      </c>
      <c r="C159" s="18" t="str">
        <f>TEXT(preçodiario[[#This Row],[data]],"ddd")</f>
        <v>dom</v>
      </c>
      <c r="D159" s="96">
        <f>WEEKNUM(preçodiario[[#This Row],[data]],13)</f>
        <v>23</v>
      </c>
      <c r="E159" s="37">
        <v>46180</v>
      </c>
      <c r="F1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Row],[data]])),((F158*G158)+SUMIFS(estoque[valor total],estoque[produto],preçodiario[[#Headers],[OVO BRANCO A]],estoque[data],preçodiario[[#This Row],[data]],estoque[fornecedor],"&lt;&gt;saída"))/(G158+(SUMIFS(estoque[quantidade],estoque[produto],preçodiario[[#Headers],[OVO BRANCO A]],estoque[fornecedor],"&lt;&gt;saída",estoque[data],preçodiario[[#This Row],[data]])))))</f>
        <v>15.443308560042691</v>
      </c>
      <c r="G159" s="22">
        <f>IF(preçodiario[[#This Row],[entrada A]]=0,G158-(SUMIFS(estoque[quantidade],estoque[fornecedor],"saída",estoque[produto],preçodiario[[#Headers],[OVO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Row],[data]]))+G158+preçodiario[[#This Row],[entrada A]])</f>
        <v>82</v>
      </c>
      <c r="H159" s="22">
        <f>SUMIFS(estoque[quantidade],estoque[fornecedor],"&lt;&gt;saída",estoque[produto],preçodiario[[#Headers],[OVO BRANCO A]],estoque[data],preçodiario[[#This Row],[data]])</f>
        <v>0</v>
      </c>
      <c r="I159" s="20">
        <f>SUMIFS(estoque[valor total],estoque[fornecedor],"&lt;&gt;saída",estoque[produto],preçodiario[[#Headers],[OVO BRANCO A]],estoque[data],preçodiario[[#This Row],[data]])</f>
        <v>0</v>
      </c>
      <c r="J159" s="20">
        <f>IFERROR(preçodiario[[#This Row],[estoque A]]*preçodiario[[#This Row],[OVO BRANCO A]],0)</f>
        <v>1266.3513019235006</v>
      </c>
      <c r="K1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Row],[data]])),((K158*L158)+SUMIFS(estoque[valor total],estoque[produto],preçodiario[[#Headers],[OVO BRANCO B]],estoque[data],preçodiario[[#This Row],[data]],estoque[fornecedor],"&lt;&gt;saída"))/(L158+(SUMIFS(estoque[quantidade],estoque[produto],preçodiario[[#Headers],[OVO BRANCO B]],estoque[fornecedor],"&lt;&gt;saída",estoque[data],preçodiario[[#This Row],[data]])))))</f>
        <v>14.704142011834318</v>
      </c>
      <c r="L159" s="22">
        <f>IF(preçodiario[[#This Row],[entrada B]]=0,L158-(SUMIFS(estoque[quantidade],estoque[fornecedor],"saída",estoque[produto],preçodiario[[#Headers],[OVO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Row],[data]]))+L158+preçodiario[[#This Row],[entrada B]])</f>
        <v>147</v>
      </c>
      <c r="M159" s="22">
        <f>SUMIFS(estoque[quantidade],estoque[fornecedor],"&lt;&gt;saída",estoque[produto],preçodiario[[#Headers],[OVO BRANCO B]],estoque[data],preçodiario[[#This Row],[data]])</f>
        <v>0</v>
      </c>
      <c r="N159" s="20">
        <f>SUMIFS(estoque[valor total],estoque[fornecedor],"&lt;&gt;saída",estoque[produto],preçodiario[[#Headers],[OVO BRANCO B]],estoque[data],preçodiario[[#This Row],[data]])</f>
        <v>0</v>
      </c>
      <c r="O159" s="20">
        <f>IFERROR(preçodiario[[#This Row],[OVO BRANCO B]]*preçodiario[[#This Row],[estoque B]],0)</f>
        <v>2161.5088757396447</v>
      </c>
      <c r="P1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Row],[data]])),((P158*Q158)+SUMIFS(estoque[valor total],estoque[produto],preçodiario[[#Headers],[OVO BRANCO C]],estoque[data],preçodiario[[#This Row],[data]],estoque[fornecedor],"&lt;&gt;saída"))/(Q158+(SUMIFS(estoque[quantidade],estoque[produto],preçodiario[[#Headers],[OVO BRANCO C]],estoque[fornecedor],"&lt;&gt;saída",estoque[data],preçodiario[[#This Row],[data]])))))</f>
        <v>13.833333333333336</v>
      </c>
      <c r="Q159" s="22">
        <f>IF(preçodiario[[#This Row],[entrada C]]=0,Q158-(SUMIFS(estoque[quantidade],estoque[fornecedor],"saída",estoque[produto],preçodiario[[#Headers],[OVO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Row],[data]]))+Q158+preçodiario[[#This Row],[entrada C]])</f>
        <v>38</v>
      </c>
      <c r="R159" s="22">
        <f>SUMIFS(estoque[quantidade],estoque[fornecedor],"&lt;&gt;saída",estoque[produto],preçodiario[[#Headers],[OVO BRANCO C]],estoque[data],preçodiario[[#This Row],[data]])</f>
        <v>0</v>
      </c>
      <c r="S159" s="20">
        <f>SUMIFS(estoque[valor total],estoque[fornecedor],"&lt;&gt;saída",estoque[produto],preçodiario[[#Headers],[OVO BRANCO C]],estoque[data],preçodiario[[#This Row],[data]])</f>
        <v>0</v>
      </c>
      <c r="T159" s="20">
        <f>IFERROR(preçodiario[[#This Row],[OVO BRANCO C]]*preçodiario[[#This Row],[estoque C]],0)</f>
        <v>525.66666666666674</v>
      </c>
      <c r="U1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Row],[data]])),((U158*V158)+SUMIFS(estoque[valor total],estoque[produto],preçodiario[[#Headers],[OVO BRANCO EXTRA]],estoque[data],preçodiario[[#This Row],[data]],estoque[fornecedor],"&lt;&gt;saída"))/(V158+(SUMIFS(estoque[quantidade],estoque[produto],preçodiario[[#Headers],[OVO BRANCO EXTRA]],estoque[fornecedor],"&lt;&gt;saída",estoque[data],preçodiario[[#This Row],[data]])))))</f>
        <v>16.373456790123459</v>
      </c>
      <c r="V159" s="22">
        <f>IF(preçodiario[[#This Row],[entrada E]]=0,V158-(SUMIFS(estoque[quantidade],estoque[fornecedor],"saída",estoque[produto],preçodiario[[#Headers],[OVO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Row],[data]]))+V158+preçodiario[[#This Row],[entrada E]])</f>
        <v>36</v>
      </c>
      <c r="W159" s="22">
        <f>SUMIFS(estoque[quantidade],estoque[fornecedor],"&lt;&gt;saída",estoque[produto],preçodiario[[#Headers],[OVO BRANCO EXTRA]],estoque[data],preçodiario[[#This Row],[data]])</f>
        <v>0</v>
      </c>
      <c r="X159" s="20">
        <f>SUMIFS(estoque[valor total],estoque[fornecedor],"&lt;&gt;saída",estoque[produto],preçodiario[[#Headers],[OVO BRANCO EXTRA]],estoque[data],preçodiario[[#This Row],[data]])</f>
        <v>0</v>
      </c>
      <c r="Y159" s="20">
        <f>IFERROR(preçodiario[[#This Row],[estoque E]]*preçodiario[[#This Row],[OVO BRANCO EXTRA]],0)</f>
        <v>589.44444444444457</v>
      </c>
      <c r="Z159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Row],[data]])),((Z158*AA158)+SUMIFS(estoque[valor total],estoque[produto],preçodiario[[#Headers],[OVO BRANCO JUMBO]],estoque[data],preçodiario[[#This Row],[data]],estoque[fornecedor],"&lt;&gt;saída"))/(AA158+(SUMIFS(estoque[quantidade],estoque[produto],preçodiario[[#Headers],[OVO BRANCO JUMBO]],estoque[fornecedor],"&lt;&gt;saída",estoque[data],preçodiario[[#This Row],[data]])))))</f>
        <v/>
      </c>
      <c r="AA159" s="22">
        <f>IF(preçodiario[[#This Row],[entrada J]]=0,AA158-(SUMIFS(estoque[quantidade],estoque[fornecedor],"saída",estoque[produto],preçodiario[[#Headers],[OVO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Row],[data]]))+AA158+preçodiario[[#This Row],[entrada J]])</f>
        <v>0</v>
      </c>
      <c r="AB159" s="22">
        <f>SUMIFS(estoque[quantidade],estoque[fornecedor],"&lt;&gt;saída",estoque[produto],preçodiario[[#Headers],[OVO BRANCO JUMBO]],estoque[data],preçodiario[[#This Row],[data]])</f>
        <v>0</v>
      </c>
      <c r="AC159" s="20">
        <f>SUMIFS(estoque[valor total],estoque[fornecedor],"&lt;&gt;saída",estoque[produto],preçodiario[[#Headers],[OVO BRANCO JUMBO]],estoque[data],preçodiario[[#This Row],[data]])</f>
        <v>0</v>
      </c>
      <c r="AD159" s="20">
        <f>IFERROR(preçodiario[[#This Row],[OVO BRANCO JUMBO]]*preçodiario[[#This Row],[estoque J]],0)</f>
        <v>0</v>
      </c>
      <c r="AE1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Row],[data]])),((AE158*AF158)+SUMIFS(estoque[valor total],estoque[produto],preçodiario[[#Headers],[OVO VERMELHO A]],estoque[data],preçodiario[[#This Row],[data]],estoque[fornecedor],"&lt;&gt;saída"))/(AF158+(SUMIFS(estoque[quantidade],estoque[produto],preçodiario[[#Headers],[OVO VERMELHO A]],estoque[fornecedor],"&lt;&gt;saída",estoque[data],preçodiario[[#This Row],[data]])))))</f>
        <v/>
      </c>
      <c r="AF159" s="22">
        <f>IF(preçodiario[[#This Row],[entrada AV]]=0,AF158-(SUMIFS(estoque[quantidade],estoque[fornecedor],"saída",estoque[produto],preçodiario[[#Headers],[OVO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Row],[data]]))+AF158+preçodiario[[#This Row],[entrada AV]])</f>
        <v>0</v>
      </c>
      <c r="AG159" s="22">
        <f>SUMIFS(estoque[quantidade],estoque[fornecedor],"&lt;&gt;saída",estoque[produto],preçodiario[[#Headers],[OVO VERMELHO A]],estoque[data],preçodiario[[#This Row],[data]])</f>
        <v>0</v>
      </c>
      <c r="AH159" s="20">
        <f>SUMIFS(estoque[valor total],estoque[fornecedor],"&lt;&gt;saída",estoque[produto],preçodiario[[#Headers],[OVO VERMELHO A]],estoque[data],preçodiario[[#This Row],[data]])</f>
        <v>0</v>
      </c>
      <c r="AI159" s="20">
        <f>IFERROR(preçodiario[[#This Row],[OVO VERMELHO A]]*preçodiario[[#This Row],[estoque AV]],0)</f>
        <v>0</v>
      </c>
      <c r="AJ1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Row],[data]])),((AJ158*AK158)+SUMIFS(estoque[valor total],estoque[produto],preçodiario[[#Headers],[OVO VERMELHO B]],estoque[data],preçodiario[[#This Row],[data]],estoque[fornecedor],"&lt;&gt;saída"))/(AK158+(SUMIFS(estoque[quantidade],estoque[produto],preçodiario[[#Headers],[OVO VERMELHO B]],estoque[fornecedor],"&lt;&gt;saída",estoque[data],preçodiario[[#This Row],[data]])))))</f>
        <v/>
      </c>
      <c r="AK159" s="22">
        <f>IF(preçodiario[[#This Row],[entrada BV]]=0,AK158-(SUMIFS(estoque[quantidade],estoque[fornecedor],"saída",estoque[produto],preçodiario[[#Headers],[OVO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Row],[data]]))+AK158+preçodiario[[#This Row],[entrada BV]])</f>
        <v>0</v>
      </c>
      <c r="AL159" s="22">
        <f>SUMIFS(estoque[quantidade],estoque[fornecedor],"&lt;&gt;saída",estoque[produto],preçodiario[[#Headers],[OVO VERMELHO B]],estoque[data],preçodiario[[#This Row],[data]])</f>
        <v>0</v>
      </c>
      <c r="AM159" s="20">
        <f>SUMIFS(estoque[valor total],estoque[fornecedor],"&lt;&gt;saída",estoque[produto],preçodiario[[#Headers],[OVO VERMELHO B]],estoque[data],preçodiario[[#This Row],[data]])</f>
        <v>0</v>
      </c>
      <c r="AN159" s="20">
        <f>IFERROR(preçodiario[[#This Row],[OVO VERMELHO B]]*preçodiario[[#This Row],[estoque BV]],0)</f>
        <v>0</v>
      </c>
      <c r="AO1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Row],[data]])),((AO158*AP158)+SUMIFS(estoque[valor total],estoque[produto],preçodiario[[#Headers],[OVO VERMELHO C]],estoque[data],preçodiario[[#This Row],[data]],estoque[fornecedor],"&lt;&gt;saída"))/(AP158+(SUMIFS(estoque[quantidade],estoque[produto],preçodiario[[#Headers],[OVO VERMELHO C]],estoque[fornecedor],"&lt;&gt;saída",estoque[data],preçodiario[[#This Row],[data]])))))</f>
        <v/>
      </c>
      <c r="AP159" s="22">
        <f>IF(preçodiario[[#This Row],[entrada CV]]=0,AP158-(SUMIFS(estoque[quantidade],estoque[fornecedor],"saída",estoque[produto],preçodiario[[#Headers],[OVO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Row],[data]]))+AP158+preçodiario[[#This Row],[entrada CV]])</f>
        <v>0</v>
      </c>
      <c r="AQ159" s="22">
        <f>SUMIFS(estoque[quantidade],estoque[fornecedor],"&lt;&gt;saída",estoque[produto],preçodiario[[#Headers],[OVO VERMELHO C]],estoque[data],preçodiario[[#This Row],[data]])</f>
        <v>0</v>
      </c>
      <c r="AR159" s="20">
        <f>SUMIFS(estoque[valor total],estoque[fornecedor],"&lt;&gt;saída",estoque[produto],preçodiario[[#Headers],[OVO VERMELHO C]],estoque[data],preçodiario[[#This Row],[data]])</f>
        <v>0</v>
      </c>
      <c r="AS159" s="20">
        <f>IFERROR(preçodiario[[#This Row],[OVO VERMELHO C]]*preçodiario[[#This Row],[estoque CV]],0)</f>
        <v>0</v>
      </c>
      <c r="AT1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Row],[data]])),((AT158*AU158)+SUMIFS(estoque[valor total],estoque[produto],preçodiario[[#Headers],[OVO VERMELHO EXTRA]],estoque[data],preçodiario[[#This Row],[data]],estoque[fornecedor],"&lt;&gt;saída"))/(AU158+(SUMIFS(estoque[quantidade],estoque[produto],preçodiario[[#Headers],[OVO VERMELHO EXTRA]],estoque[fornecedor],"&lt;&gt;saída",estoque[data],preçodiario[[#This Row],[data]])))))</f>
        <v/>
      </c>
      <c r="AU159" s="22">
        <f>IF(preçodiario[[#This Row],[entrada EV]]=0,AU158-(SUMIFS(estoque[quantidade],estoque[fornecedor],"saída",estoque[produto],preçodiario[[#Headers],[OVO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Row],[data]]))+AU158+preçodiario[[#This Row],[entrada EV]])</f>
        <v>0</v>
      </c>
      <c r="AV159" s="22">
        <f>SUMIFS(estoque[quantidade],estoque[fornecedor],"&lt;&gt;saída",estoque[produto],preçodiario[[#Headers],[OVO VERMELHO EXTRA]],estoque[data],preçodiario[[#This Row],[data]])</f>
        <v>0</v>
      </c>
      <c r="AW159" s="20">
        <f>SUMIFS(estoque[valor total],estoque[fornecedor],"&lt;&gt;saída",estoque[produto],preçodiario[[#Headers],[OVO VERMELHO EXTRA]],estoque[data],preçodiario[[#This Row],[data]])</f>
        <v>0</v>
      </c>
      <c r="AX159" s="20">
        <f>IFERROR(preçodiario[[#This Row],[OVO VERMELHO EXTRA]]*preçodiario[[#This Row],[estoque EV]],0)</f>
        <v>0</v>
      </c>
      <c r="AY1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Row],[data]])),((AY158*AZ158)+SUMIFS(estoque[valor total],estoque[produto],preçodiario[[#Headers],[OVO VERMELHO JUMBO]],estoque[data],preçodiario[[#This Row],[data]],estoque[fornecedor],"&lt;&gt;saída"))/(AZ158+(SUMIFS(estoque[quantidade],estoque[produto],preçodiario[[#Headers],[OVO VERMELHO JUMBO]],estoque[fornecedor],"&lt;&gt;saída",estoque[data],preçodiario[[#This Row],[data]])))))</f>
        <v/>
      </c>
      <c r="AZ159" s="22">
        <f>IF(preçodiario[[#This Row],[entrada JV]]=0,AZ158-(SUMIFS(estoque[quantidade],estoque[fornecedor],"saída",estoque[produto],preçodiario[[#Headers],[OVO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Row],[data]]))+AZ158+preçodiario[[#This Row],[entrada JV]])</f>
        <v>0</v>
      </c>
      <c r="BA159" s="22">
        <f>SUMIFS(estoque[quantidade],estoque[fornecedor],"&lt;&gt;saída",estoque[produto],preçodiario[[#Headers],[OVO VERMELHO JUMBO]],estoque[data],preçodiario[[#This Row],[data]])</f>
        <v>0</v>
      </c>
      <c r="BB159" s="20">
        <f>SUMIFS(estoque[valor total],estoque[fornecedor],"&lt;&gt;saída",estoque[produto],preçodiario[[#Headers],[OVO VERMELHO JUMBO]],estoque[data],preçodiario[[#This Row],[data]])</f>
        <v>0</v>
      </c>
      <c r="BC159" s="20">
        <f>IFERROR(preçodiario[[#This Row],[OVO VERMELHO JUMBO]]*preçodiario[[#This Row],[estoque JV]],0)</f>
        <v>0</v>
      </c>
      <c r="BD159" t="str">
        <f>TEXT(vendaAno[[#This Row],[data]],"mmm")</f>
        <v>jun</v>
      </c>
      <c r="BE159" t="str">
        <f>TEXT(vendaAno[[#This Row],[data]],"ddd")</f>
        <v>dom</v>
      </c>
      <c r="BF159" s="82">
        <f>WEEKNUM(vendaAno[[#This Row],[data]],13)</f>
        <v>23</v>
      </c>
      <c r="BG159" s="27">
        <f>preçodiario[[#This Row],[data]]</f>
        <v>46180</v>
      </c>
      <c r="BH1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59" s="8">
        <f>IF(SUMIFS(estoque[valor total],estoque[fornecedor],"saída",estoque[data],vendaAno[[#This Row],[data]])=0,"",SUMIFS(estoque[valor total],estoque[fornecedor],"saída",estoque[data],vendaAno[[#This Row],[data]]))</f>
        <v>557</v>
      </c>
      <c r="BJ15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Row],[data]]))/12+BJ158,"")</f>
        <v>25.249999999999975</v>
      </c>
      <c r="BK159" s="79">
        <f ca="1">IF(TODAY()&gt;=vendaAno[[#This Row],[data]],IF(SUMIFS(estoque[quantidade],estoque[fornecedor],"saída",estoque[data],vendaAno[[#This Row],[data]])/12=0,AVERAGE(BK156:BK158),SUMIFS(estoque[quantidade],estoque[fornecedor],"saída",estoque[data],vendaAno[[#This Row],[data]])/12),"")</f>
        <v>2.4166666666666665</v>
      </c>
      <c r="BL159" s="8">
        <f ca="1">IF(vendaAno[[#This Row],[data]]&lt;=TODAY(),IF(SUMIFS(estoque[lucro],estoque[fornecedor],"saída",estoque[data],vendaAno[[#This Row],[data]])=0,AVERAGE(BL156:BL158),SUMIFS(estoque[lucro],estoque[fornecedor],"saída",estoque[data],vendaAno[[#This Row],[data]])),"")</f>
        <v>101.67</v>
      </c>
      <c r="BM159" s="10">
        <f ca="1">IFERROR(vendaAno[[#This Row],[lucro]]/vendaAno[[#This Row],[valor de venda]],"")</f>
        <v>0.18253141831238778</v>
      </c>
      <c r="BN15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4542.9712887742571</v>
      </c>
      <c r="BO159" s="8">
        <f ca="1">IF(TODAY()&gt;=vendaAno[[#This Row],[data]],IF(vendaAno[[#This Row],[N°]]=BF158,vendaAno[[#This Row],[lucro]]-173.33+BO158,vendaAno[[#This Row],[lucro]]-150),"")</f>
        <v>-400.88000000000005</v>
      </c>
      <c r="BP159" s="81">
        <f ca="1">IF(TODAY()&gt;=vendaAno[[#This Row],[data]],SUM(BK153:BK159)*12,"")</f>
        <v>195</v>
      </c>
      <c r="BQ159" s="7">
        <f ca="1">IFERROR(vendaAno[[#This Row],[lucro]]/(vendaAno[[#This Row],[venda]]*12),"")</f>
        <v>3.5058620689655173</v>
      </c>
    </row>
    <row r="160" spans="1:69" x14ac:dyDescent="0.25">
      <c r="A1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0" s="18" t="str">
        <f>TEXT(preçodiario[[#This Row],[data]],"MMM")</f>
        <v>jun</v>
      </c>
      <c r="C160" s="18" t="str">
        <f>TEXT(preçodiario[[#This Row],[data]],"ddd")</f>
        <v>seg</v>
      </c>
      <c r="D160" s="96">
        <f>WEEKNUM(preçodiario[[#This Row],[data]],13)</f>
        <v>23</v>
      </c>
      <c r="E160" s="37">
        <v>46181</v>
      </c>
      <c r="F1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Row],[data]])),((F159*G159)+SUMIFS(estoque[valor total],estoque[produto],preçodiario[[#Headers],[OVO BRANCO A]],estoque[data],preçodiario[[#This Row],[data]],estoque[fornecedor],"&lt;&gt;saída"))/(G159+(SUMIFS(estoque[quantidade],estoque[produto],preçodiario[[#Headers],[OVO BRANCO A]],estoque[fornecedor],"&lt;&gt;saída",estoque[data],preçodiario[[#This Row],[data]])))))</f>
        <v>15.44330856004269</v>
      </c>
      <c r="G160" s="22">
        <f>IF(preçodiario[[#This Row],[entrada A]]=0,G159-(SUMIFS(estoque[quantidade],estoque[fornecedor],"saída",estoque[produto],preçodiario[[#Headers],[OVO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Row],[data]]))+G159+preçodiario[[#This Row],[entrada A]])</f>
        <v>79</v>
      </c>
      <c r="H160" s="22">
        <f>SUMIFS(estoque[quantidade],estoque[fornecedor],"&lt;&gt;saída",estoque[produto],preçodiario[[#Headers],[OVO BRANCO A]],estoque[data],preçodiario[[#This Row],[data]])</f>
        <v>0</v>
      </c>
      <c r="I160" s="20">
        <f>SUMIFS(estoque[valor total],estoque[fornecedor],"&lt;&gt;saída",estoque[produto],preçodiario[[#Headers],[OVO BRANCO A]],estoque[data],preçodiario[[#This Row],[data]])</f>
        <v>0</v>
      </c>
      <c r="J160" s="20">
        <f>IFERROR(preçodiario[[#This Row],[estoque A]]*preçodiario[[#This Row],[OVO BRANCO A]],0)</f>
        <v>1220.0213762433725</v>
      </c>
      <c r="K1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Row],[data]])),((K159*L159)+SUMIFS(estoque[valor total],estoque[produto],preçodiario[[#Headers],[OVO BRANCO B]],estoque[data],preçodiario[[#This Row],[data]],estoque[fornecedor],"&lt;&gt;saída"))/(L159+(SUMIFS(estoque[quantidade],estoque[produto],preçodiario[[#Headers],[OVO BRANCO B]],estoque[fornecedor],"&lt;&gt;saída",estoque[data],preçodiario[[#This Row],[data]])))))</f>
        <v>14.704142011834318</v>
      </c>
      <c r="L160" s="22">
        <f>IF(preçodiario[[#This Row],[entrada B]]=0,L159-(SUMIFS(estoque[quantidade],estoque[fornecedor],"saída",estoque[produto],preçodiario[[#Headers],[OVO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Row],[data]]))+L159+preçodiario[[#This Row],[entrada B]])</f>
        <v>132</v>
      </c>
      <c r="M160" s="22">
        <f>SUMIFS(estoque[quantidade],estoque[fornecedor],"&lt;&gt;saída",estoque[produto],preçodiario[[#Headers],[OVO BRANCO B]],estoque[data],preçodiario[[#This Row],[data]])</f>
        <v>0</v>
      </c>
      <c r="N160" s="20">
        <f>SUMIFS(estoque[valor total],estoque[fornecedor],"&lt;&gt;saída",estoque[produto],preçodiario[[#Headers],[OVO BRANCO B]],estoque[data],preçodiario[[#This Row],[data]])</f>
        <v>0</v>
      </c>
      <c r="O160" s="20">
        <f>IFERROR(preçodiario[[#This Row],[OVO BRANCO B]]*preçodiario[[#This Row],[estoque B]],0)</f>
        <v>1940.94674556213</v>
      </c>
      <c r="P1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Row],[data]])),((P159*Q159)+SUMIFS(estoque[valor total],estoque[produto],preçodiario[[#Headers],[OVO BRANCO C]],estoque[data],preçodiario[[#This Row],[data]],estoque[fornecedor],"&lt;&gt;saída"))/(Q159+(SUMIFS(estoque[quantidade],estoque[produto],preçodiario[[#Headers],[OVO BRANCO C]],estoque[fornecedor],"&lt;&gt;saída",estoque[data],preçodiario[[#This Row],[data]])))))</f>
        <v>13.833333333333336</v>
      </c>
      <c r="Q160" s="22">
        <f>IF(preçodiario[[#This Row],[entrada C]]=0,Q159-(SUMIFS(estoque[quantidade],estoque[fornecedor],"saída",estoque[produto],preçodiario[[#Headers],[OVO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Row],[data]]))+Q159+preçodiario[[#This Row],[entrada C]])</f>
        <v>38</v>
      </c>
      <c r="R160" s="22">
        <f>SUMIFS(estoque[quantidade],estoque[fornecedor],"&lt;&gt;saída",estoque[produto],preçodiario[[#Headers],[OVO BRANCO C]],estoque[data],preçodiario[[#This Row],[data]])</f>
        <v>0</v>
      </c>
      <c r="S160" s="20">
        <f>SUMIFS(estoque[valor total],estoque[fornecedor],"&lt;&gt;saída",estoque[produto],preçodiario[[#Headers],[OVO BRANCO C]],estoque[data],preçodiario[[#This Row],[data]])</f>
        <v>0</v>
      </c>
      <c r="T160" s="20">
        <f>IFERROR(preçodiario[[#This Row],[OVO BRANCO C]]*preçodiario[[#This Row],[estoque C]],0)</f>
        <v>525.66666666666674</v>
      </c>
      <c r="U1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Row],[data]])),((U159*V159)+SUMIFS(estoque[valor total],estoque[produto],preçodiario[[#Headers],[OVO BRANCO EXTRA]],estoque[data],preçodiario[[#This Row],[data]],estoque[fornecedor],"&lt;&gt;saída"))/(V159+(SUMIFS(estoque[quantidade],estoque[produto],preçodiario[[#Headers],[OVO BRANCO EXTRA]],estoque[fornecedor],"&lt;&gt;saída",estoque[data],preçodiario[[#This Row],[data]])))))</f>
        <v>16.373456790123459</v>
      </c>
      <c r="V160" s="22">
        <f>IF(preçodiario[[#This Row],[entrada E]]=0,V159-(SUMIFS(estoque[quantidade],estoque[fornecedor],"saída",estoque[produto],preçodiario[[#Headers],[OVO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Row],[data]]))+V159+preçodiario[[#This Row],[entrada E]])</f>
        <v>28</v>
      </c>
      <c r="W160" s="22">
        <f>SUMIFS(estoque[quantidade],estoque[fornecedor],"&lt;&gt;saída",estoque[produto],preçodiario[[#Headers],[OVO BRANCO EXTRA]],estoque[data],preçodiario[[#This Row],[data]])</f>
        <v>0</v>
      </c>
      <c r="X160" s="20">
        <f>SUMIFS(estoque[valor total],estoque[fornecedor],"&lt;&gt;saída",estoque[produto],preçodiario[[#Headers],[OVO BRANCO EXTRA]],estoque[data],preçodiario[[#This Row],[data]])</f>
        <v>0</v>
      </c>
      <c r="Y160" s="20">
        <f>IFERROR(preçodiario[[#This Row],[estoque E]]*preçodiario[[#This Row],[OVO BRANCO EXTRA]],0)</f>
        <v>458.45679012345687</v>
      </c>
      <c r="Z160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Row],[data]])),((Z159*AA159)+SUMIFS(estoque[valor total],estoque[produto],preçodiario[[#Headers],[OVO BRANCO JUMBO]],estoque[data],preçodiario[[#This Row],[data]],estoque[fornecedor],"&lt;&gt;saída"))/(AA159+(SUMIFS(estoque[quantidade],estoque[produto],preçodiario[[#Headers],[OVO BRANCO JUMBO]],estoque[fornecedor],"&lt;&gt;saída",estoque[data],preçodiario[[#This Row],[data]])))))</f>
        <v/>
      </c>
      <c r="AA160" s="22">
        <f>IF(preçodiario[[#This Row],[entrada J]]=0,AA159-(SUMIFS(estoque[quantidade],estoque[fornecedor],"saída",estoque[produto],preçodiario[[#Headers],[OVO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Row],[data]]))+AA159+preçodiario[[#This Row],[entrada J]])</f>
        <v>0</v>
      </c>
      <c r="AB160" s="22">
        <f>SUMIFS(estoque[quantidade],estoque[fornecedor],"&lt;&gt;saída",estoque[produto],preçodiario[[#Headers],[OVO BRANCO JUMBO]],estoque[data],preçodiario[[#This Row],[data]])</f>
        <v>0</v>
      </c>
      <c r="AC160" s="20">
        <f>SUMIFS(estoque[valor total],estoque[fornecedor],"&lt;&gt;saída",estoque[produto],preçodiario[[#Headers],[OVO BRANCO JUMBO]],estoque[data],preçodiario[[#This Row],[data]])</f>
        <v>0</v>
      </c>
      <c r="AD160" s="20">
        <f>IFERROR(preçodiario[[#This Row],[OVO BRANCO JUMBO]]*preçodiario[[#This Row],[estoque J]],0)</f>
        <v>0</v>
      </c>
      <c r="AE1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Row],[data]])),((AE159*AF159)+SUMIFS(estoque[valor total],estoque[produto],preçodiario[[#Headers],[OVO VERMELHO A]],estoque[data],preçodiario[[#This Row],[data]],estoque[fornecedor],"&lt;&gt;saída"))/(AF159+(SUMIFS(estoque[quantidade],estoque[produto],preçodiario[[#Headers],[OVO VERMELHO A]],estoque[fornecedor],"&lt;&gt;saída",estoque[data],preçodiario[[#This Row],[data]])))))</f>
        <v/>
      </c>
      <c r="AF160" s="22">
        <f>IF(preçodiario[[#This Row],[entrada AV]]=0,AF159-(SUMIFS(estoque[quantidade],estoque[fornecedor],"saída",estoque[produto],preçodiario[[#Headers],[OVO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Row],[data]]))+AF159+preçodiario[[#This Row],[entrada AV]])</f>
        <v>0</v>
      </c>
      <c r="AG160" s="22">
        <f>SUMIFS(estoque[quantidade],estoque[fornecedor],"&lt;&gt;saída",estoque[produto],preçodiario[[#Headers],[OVO VERMELHO A]],estoque[data],preçodiario[[#This Row],[data]])</f>
        <v>0</v>
      </c>
      <c r="AH160" s="20">
        <f>SUMIFS(estoque[valor total],estoque[fornecedor],"&lt;&gt;saída",estoque[produto],preçodiario[[#Headers],[OVO VERMELHO A]],estoque[data],preçodiario[[#This Row],[data]])</f>
        <v>0</v>
      </c>
      <c r="AI160" s="20">
        <f>IFERROR(preçodiario[[#This Row],[OVO VERMELHO A]]*preçodiario[[#This Row],[estoque AV]],0)</f>
        <v>0</v>
      </c>
      <c r="AJ1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Row],[data]])),((AJ159*AK159)+SUMIFS(estoque[valor total],estoque[produto],preçodiario[[#Headers],[OVO VERMELHO B]],estoque[data],preçodiario[[#This Row],[data]],estoque[fornecedor],"&lt;&gt;saída"))/(AK159+(SUMIFS(estoque[quantidade],estoque[produto],preçodiario[[#Headers],[OVO VERMELHO B]],estoque[fornecedor],"&lt;&gt;saída",estoque[data],preçodiario[[#This Row],[data]])))))</f>
        <v/>
      </c>
      <c r="AK160" s="22">
        <f>IF(preçodiario[[#This Row],[entrada BV]]=0,AK159-(SUMIFS(estoque[quantidade],estoque[fornecedor],"saída",estoque[produto],preçodiario[[#Headers],[OVO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Row],[data]]))+AK159+preçodiario[[#This Row],[entrada BV]])</f>
        <v>0</v>
      </c>
      <c r="AL160" s="22">
        <f>SUMIFS(estoque[quantidade],estoque[fornecedor],"&lt;&gt;saída",estoque[produto],preçodiario[[#Headers],[OVO VERMELHO B]],estoque[data],preçodiario[[#This Row],[data]])</f>
        <v>0</v>
      </c>
      <c r="AM160" s="20">
        <f>SUMIFS(estoque[valor total],estoque[fornecedor],"&lt;&gt;saída",estoque[produto],preçodiario[[#Headers],[OVO VERMELHO B]],estoque[data],preçodiario[[#This Row],[data]])</f>
        <v>0</v>
      </c>
      <c r="AN160" s="20">
        <f>IFERROR(preçodiario[[#This Row],[OVO VERMELHO B]]*preçodiario[[#This Row],[estoque BV]],0)</f>
        <v>0</v>
      </c>
      <c r="AO1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Row],[data]])),((AO159*AP159)+SUMIFS(estoque[valor total],estoque[produto],preçodiario[[#Headers],[OVO VERMELHO C]],estoque[data],preçodiario[[#This Row],[data]],estoque[fornecedor],"&lt;&gt;saída"))/(AP159+(SUMIFS(estoque[quantidade],estoque[produto],preçodiario[[#Headers],[OVO VERMELHO C]],estoque[fornecedor],"&lt;&gt;saída",estoque[data],preçodiario[[#This Row],[data]])))))</f>
        <v/>
      </c>
      <c r="AP160" s="22">
        <f>IF(preçodiario[[#This Row],[entrada CV]]=0,AP159-(SUMIFS(estoque[quantidade],estoque[fornecedor],"saída",estoque[produto],preçodiario[[#Headers],[OVO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Row],[data]]))+AP159+preçodiario[[#This Row],[entrada CV]])</f>
        <v>0</v>
      </c>
      <c r="AQ160" s="22">
        <f>SUMIFS(estoque[quantidade],estoque[fornecedor],"&lt;&gt;saída",estoque[produto],preçodiario[[#Headers],[OVO VERMELHO C]],estoque[data],preçodiario[[#This Row],[data]])</f>
        <v>0</v>
      </c>
      <c r="AR160" s="20">
        <f>SUMIFS(estoque[valor total],estoque[fornecedor],"&lt;&gt;saída",estoque[produto],preçodiario[[#Headers],[OVO VERMELHO C]],estoque[data],preçodiario[[#This Row],[data]])</f>
        <v>0</v>
      </c>
      <c r="AS160" s="20">
        <f>IFERROR(preçodiario[[#This Row],[OVO VERMELHO C]]*preçodiario[[#This Row],[estoque CV]],0)</f>
        <v>0</v>
      </c>
      <c r="AT1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Row],[data]])),((AT159*AU159)+SUMIFS(estoque[valor total],estoque[produto],preçodiario[[#Headers],[OVO VERMELHO EXTRA]],estoque[data],preçodiario[[#This Row],[data]],estoque[fornecedor],"&lt;&gt;saída"))/(AU159+(SUMIFS(estoque[quantidade],estoque[produto],preçodiario[[#Headers],[OVO VERMELHO EXTRA]],estoque[fornecedor],"&lt;&gt;saída",estoque[data],preçodiario[[#This Row],[data]])))))</f>
        <v/>
      </c>
      <c r="AU160" s="22">
        <f>IF(preçodiario[[#This Row],[entrada EV]]=0,AU159-(SUMIFS(estoque[quantidade],estoque[fornecedor],"saída",estoque[produto],preçodiario[[#Headers],[OVO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Row],[data]]))+AU159+preçodiario[[#This Row],[entrada EV]])</f>
        <v>0</v>
      </c>
      <c r="AV160" s="22">
        <f>SUMIFS(estoque[quantidade],estoque[fornecedor],"&lt;&gt;saída",estoque[produto],preçodiario[[#Headers],[OVO VERMELHO EXTRA]],estoque[data],preçodiario[[#This Row],[data]])</f>
        <v>0</v>
      </c>
      <c r="AW160" s="20">
        <f>SUMIFS(estoque[valor total],estoque[fornecedor],"&lt;&gt;saída",estoque[produto],preçodiario[[#Headers],[OVO VERMELHO EXTRA]],estoque[data],preçodiario[[#This Row],[data]])</f>
        <v>0</v>
      </c>
      <c r="AX160" s="20">
        <f>IFERROR(preçodiario[[#This Row],[OVO VERMELHO EXTRA]]*preçodiario[[#This Row],[estoque EV]],0)</f>
        <v>0</v>
      </c>
      <c r="AY1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Row],[data]])),((AY159*AZ159)+SUMIFS(estoque[valor total],estoque[produto],preçodiario[[#Headers],[OVO VERMELHO JUMBO]],estoque[data],preçodiario[[#This Row],[data]],estoque[fornecedor],"&lt;&gt;saída"))/(AZ159+(SUMIFS(estoque[quantidade],estoque[produto],preçodiario[[#Headers],[OVO VERMELHO JUMBO]],estoque[fornecedor],"&lt;&gt;saída",estoque[data],preçodiario[[#This Row],[data]])))))</f>
        <v/>
      </c>
      <c r="AZ160" s="22">
        <f>IF(preçodiario[[#This Row],[entrada JV]]=0,AZ159-(SUMIFS(estoque[quantidade],estoque[fornecedor],"saída",estoque[produto],preçodiario[[#Headers],[OVO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Row],[data]]))+AZ159+preçodiario[[#This Row],[entrada JV]])</f>
        <v>0</v>
      </c>
      <c r="BA160" s="22">
        <f>SUMIFS(estoque[quantidade],estoque[fornecedor],"&lt;&gt;saída",estoque[produto],preçodiario[[#Headers],[OVO VERMELHO JUMBO]],estoque[data],preçodiario[[#This Row],[data]])</f>
        <v>0</v>
      </c>
      <c r="BB160" s="20">
        <f>SUMIFS(estoque[valor total],estoque[fornecedor],"&lt;&gt;saída",estoque[produto],preçodiario[[#Headers],[OVO VERMELHO JUMBO]],estoque[data],preçodiario[[#This Row],[data]])</f>
        <v>0</v>
      </c>
      <c r="BC160" s="20">
        <f>IFERROR(preçodiario[[#This Row],[OVO VERMELHO JUMBO]]*preçodiario[[#This Row],[estoque JV]],0)</f>
        <v>0</v>
      </c>
      <c r="BD160" t="str">
        <f>TEXT(vendaAno[[#This Row],[data]],"mmm")</f>
        <v>jun</v>
      </c>
      <c r="BE160" t="str">
        <f>TEXT(vendaAno[[#This Row],[data]],"ddd")</f>
        <v>seg</v>
      </c>
      <c r="BF160" s="82">
        <f>WEEKNUM(vendaAno[[#This Row],[data]],13)</f>
        <v>23</v>
      </c>
      <c r="BG160" s="27">
        <f>preçodiario[[#This Row],[data]]</f>
        <v>46181</v>
      </c>
      <c r="BH1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0" s="8">
        <f>IF(SUMIFS(estoque[valor total],estoque[fornecedor],"saída",estoque[data],vendaAno[[#This Row],[data]])=0,"",SUMIFS(estoque[valor total],estoque[fornecedor],"saída",estoque[data],vendaAno[[#This Row],[data]]))</f>
        <v>469</v>
      </c>
      <c r="BJ16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Row],[data]]))/12+BJ159,"")</f>
        <v>23.083333333333307</v>
      </c>
      <c r="BK160" s="79">
        <f ca="1">IF(TODAY()&gt;=vendaAno[[#This Row],[data]],IF(SUMIFS(estoque[quantidade],estoque[fornecedor],"saída",estoque[data],vendaAno[[#This Row],[data]])/12=0,AVERAGE(BK157:BK159),SUMIFS(estoque[quantidade],estoque[fornecedor],"saída",estoque[data],vendaAno[[#This Row],[data]])/12),"")</f>
        <v>2.1666666666666665</v>
      </c>
      <c r="BL160" s="8">
        <f ca="1">IF(vendaAno[[#This Row],[data]]&lt;=TODAY(),IF(SUMIFS(estoque[lucro],estoque[fornecedor],"saída",estoque[data],vendaAno[[#This Row],[data]])=0,AVERAGE(BL157:BL159),SUMIFS(estoque[lucro],estoque[fornecedor],"saída",estoque[data],vendaAno[[#This Row],[data]])),"")</f>
        <v>71.12</v>
      </c>
      <c r="BM160" s="10">
        <f ca="1">IFERROR(vendaAno[[#This Row],[lucro]]/vendaAno[[#This Row],[valor de venda]],"")</f>
        <v>0.15164179104477613</v>
      </c>
      <c r="BN16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4145.0915785956258</v>
      </c>
      <c r="BO160" s="8">
        <f ca="1">IF(TODAY()&gt;=vendaAno[[#This Row],[data]],IF(vendaAno[[#This Row],[N°]]=BF159,vendaAno[[#This Row],[lucro]]-173.33+BO159,vendaAno[[#This Row],[lucro]]-150),"")</f>
        <v>-503.09000000000003</v>
      </c>
      <c r="BP160" s="81">
        <f ca="1">IF(TODAY()&gt;=vendaAno[[#This Row],[data]],SUM(BK154:BK160)*12,"")</f>
        <v>187</v>
      </c>
      <c r="BQ160" s="7">
        <f ca="1">IFERROR(vendaAno[[#This Row],[lucro]]/(vendaAno[[#This Row],[venda]]*12),"")</f>
        <v>2.7353846153846155</v>
      </c>
    </row>
    <row r="161" spans="1:69" x14ac:dyDescent="0.25">
      <c r="A1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1" s="18" t="str">
        <f>TEXT(preçodiario[[#This Row],[data]],"MMM")</f>
        <v>jun</v>
      </c>
      <c r="C161" s="18" t="str">
        <f>TEXT(preçodiario[[#This Row],[data]],"ddd")</f>
        <v>ter</v>
      </c>
      <c r="D161" s="96">
        <f>WEEKNUM(preçodiario[[#This Row],[data]],13)</f>
        <v>23</v>
      </c>
      <c r="E161" s="37">
        <v>46182</v>
      </c>
      <c r="F1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Row],[data]])),((F160*G160)+SUMIFS(estoque[valor total],estoque[produto],preçodiario[[#Headers],[OVO BRANCO A]],estoque[data],preçodiario[[#This Row],[data]],estoque[fornecedor],"&lt;&gt;saída"))/(G160+(SUMIFS(estoque[quantidade],estoque[produto],preçodiario[[#Headers],[OVO BRANCO A]],estoque[fornecedor],"&lt;&gt;saída",estoque[data],preçodiario[[#This Row],[data]])))))</f>
        <v>15.44330856004269</v>
      </c>
      <c r="G161" s="22">
        <f>IF(preçodiario[[#This Row],[entrada A]]=0,G160-(SUMIFS(estoque[quantidade],estoque[fornecedor],"saída",estoque[produto],preçodiario[[#Headers],[OVO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Row],[data]]))+G160+preçodiario[[#This Row],[entrada A]])</f>
        <v>70</v>
      </c>
      <c r="H161" s="22">
        <f>SUMIFS(estoque[quantidade],estoque[fornecedor],"&lt;&gt;saída",estoque[produto],preçodiario[[#Headers],[OVO BRANCO A]],estoque[data],preçodiario[[#This Row],[data]])</f>
        <v>0</v>
      </c>
      <c r="I161" s="20">
        <f>SUMIFS(estoque[valor total],estoque[fornecedor],"&lt;&gt;saída",estoque[produto],preçodiario[[#Headers],[OVO BRANCO A]],estoque[data],preçodiario[[#This Row],[data]])</f>
        <v>0</v>
      </c>
      <c r="J161" s="20">
        <f>IFERROR(preçodiario[[#This Row],[estoque A]]*preçodiario[[#This Row],[OVO BRANCO A]],0)</f>
        <v>1081.0315992029882</v>
      </c>
      <c r="K1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Row],[data]])),((K160*L160)+SUMIFS(estoque[valor total],estoque[produto],preçodiario[[#Headers],[OVO BRANCO B]],estoque[data],preçodiario[[#This Row],[data]],estoque[fornecedor],"&lt;&gt;saída"))/(L160+(SUMIFS(estoque[quantidade],estoque[produto],preçodiario[[#Headers],[OVO BRANCO B]],estoque[fornecedor],"&lt;&gt;saída",estoque[data],preçodiario[[#This Row],[data]])))))</f>
        <v>14.704142011834318</v>
      </c>
      <c r="L161" s="22">
        <f>IF(preçodiario[[#This Row],[entrada B]]=0,L160-(SUMIFS(estoque[quantidade],estoque[fornecedor],"saída",estoque[produto],preçodiario[[#Headers],[OVO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Row],[data]]))+L160+preçodiario[[#This Row],[entrada B]])</f>
        <v>116</v>
      </c>
      <c r="M161" s="22">
        <f>SUMIFS(estoque[quantidade],estoque[fornecedor],"&lt;&gt;saída",estoque[produto],preçodiario[[#Headers],[OVO BRANCO B]],estoque[data],preçodiario[[#This Row],[data]])</f>
        <v>0</v>
      </c>
      <c r="N161" s="20">
        <f>SUMIFS(estoque[valor total],estoque[fornecedor],"&lt;&gt;saída",estoque[produto],preçodiario[[#Headers],[OVO BRANCO B]],estoque[data],preçodiario[[#This Row],[data]])</f>
        <v>0</v>
      </c>
      <c r="O161" s="20">
        <f>IFERROR(preçodiario[[#This Row],[OVO BRANCO B]]*preçodiario[[#This Row],[estoque B]],0)</f>
        <v>1705.6804733727809</v>
      </c>
      <c r="P1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Row],[data]])),((P160*Q160)+SUMIFS(estoque[valor total],estoque[produto],preçodiario[[#Headers],[OVO BRANCO C]],estoque[data],preçodiario[[#This Row],[data]],estoque[fornecedor],"&lt;&gt;saída"))/(Q160+(SUMIFS(estoque[quantidade],estoque[produto],preçodiario[[#Headers],[OVO BRANCO C]],estoque[fornecedor],"&lt;&gt;saída",estoque[data],preçodiario[[#This Row],[data]])))))</f>
        <v>13.833333333333336</v>
      </c>
      <c r="Q161" s="22">
        <f>IF(preçodiario[[#This Row],[entrada C]]=0,Q160-(SUMIFS(estoque[quantidade],estoque[fornecedor],"saída",estoque[produto],preçodiario[[#Headers],[OVO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Row],[data]]))+Q160+preçodiario[[#This Row],[entrada C]])</f>
        <v>37</v>
      </c>
      <c r="R161" s="22">
        <f>SUMIFS(estoque[quantidade],estoque[fornecedor],"&lt;&gt;saída",estoque[produto],preçodiario[[#Headers],[OVO BRANCO C]],estoque[data],preçodiario[[#This Row],[data]])</f>
        <v>0</v>
      </c>
      <c r="S161" s="20">
        <f>SUMIFS(estoque[valor total],estoque[fornecedor],"&lt;&gt;saída",estoque[produto],preçodiario[[#Headers],[OVO BRANCO C]],estoque[data],preçodiario[[#This Row],[data]])</f>
        <v>0</v>
      </c>
      <c r="T161" s="20">
        <f>IFERROR(preçodiario[[#This Row],[OVO BRANCO C]]*preçodiario[[#This Row],[estoque C]],0)</f>
        <v>511.83333333333343</v>
      </c>
      <c r="U1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Row],[data]])),((U160*V160)+SUMIFS(estoque[valor total],estoque[produto],preçodiario[[#Headers],[OVO BRANCO EXTRA]],estoque[data],preçodiario[[#This Row],[data]],estoque[fornecedor],"&lt;&gt;saída"))/(V160+(SUMIFS(estoque[quantidade],estoque[produto],preçodiario[[#Headers],[OVO BRANCO EXTRA]],estoque[fornecedor],"&lt;&gt;saída",estoque[data],preçodiario[[#This Row],[data]])))))</f>
        <v>16.373456790123459</v>
      </c>
      <c r="V161" s="22">
        <f>IF(preçodiario[[#This Row],[entrada E]]=0,V160-(SUMIFS(estoque[quantidade],estoque[fornecedor],"saída",estoque[produto],preçodiario[[#Headers],[OVO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Row],[data]]))+V160+preçodiario[[#This Row],[entrada E]])</f>
        <v>17</v>
      </c>
      <c r="W161" s="22">
        <f>SUMIFS(estoque[quantidade],estoque[fornecedor],"&lt;&gt;saída",estoque[produto],preçodiario[[#Headers],[OVO BRANCO EXTRA]],estoque[data],preçodiario[[#This Row],[data]])</f>
        <v>0</v>
      </c>
      <c r="X161" s="20">
        <f>SUMIFS(estoque[valor total],estoque[fornecedor],"&lt;&gt;saída",estoque[produto],preçodiario[[#Headers],[OVO BRANCO EXTRA]],estoque[data],preçodiario[[#This Row],[data]])</f>
        <v>0</v>
      </c>
      <c r="Y161" s="20">
        <f>IFERROR(preçodiario[[#This Row],[estoque E]]*preçodiario[[#This Row],[OVO BRANCO EXTRA]],0)</f>
        <v>278.34876543209879</v>
      </c>
      <c r="Z161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Row],[data]])),((Z160*AA160)+SUMIFS(estoque[valor total],estoque[produto],preçodiario[[#Headers],[OVO BRANCO JUMBO]],estoque[data],preçodiario[[#This Row],[data]],estoque[fornecedor],"&lt;&gt;saída"))/(AA160+(SUMIFS(estoque[quantidade],estoque[produto],preçodiario[[#Headers],[OVO BRANCO JUMBO]],estoque[fornecedor],"&lt;&gt;saída",estoque[data],preçodiario[[#This Row],[data]])))))</f>
        <v/>
      </c>
      <c r="AA161" s="22">
        <f>IF(preçodiario[[#This Row],[entrada J]]=0,AA160-(SUMIFS(estoque[quantidade],estoque[fornecedor],"saída",estoque[produto],preçodiario[[#Headers],[OVO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Row],[data]]))+AA160+preçodiario[[#This Row],[entrada J]])</f>
        <v>0</v>
      </c>
      <c r="AB161" s="22">
        <f>SUMIFS(estoque[quantidade],estoque[fornecedor],"&lt;&gt;saída",estoque[produto],preçodiario[[#Headers],[OVO BRANCO JUMBO]],estoque[data],preçodiario[[#This Row],[data]])</f>
        <v>0</v>
      </c>
      <c r="AC161" s="20">
        <f>SUMIFS(estoque[valor total],estoque[fornecedor],"&lt;&gt;saída",estoque[produto],preçodiario[[#Headers],[OVO BRANCO JUMBO]],estoque[data],preçodiario[[#This Row],[data]])</f>
        <v>0</v>
      </c>
      <c r="AD161" s="20">
        <f>IFERROR(preçodiario[[#This Row],[OVO BRANCO JUMBO]]*preçodiario[[#This Row],[estoque J]],0)</f>
        <v>0</v>
      </c>
      <c r="AE1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Row],[data]])),((AE160*AF160)+SUMIFS(estoque[valor total],estoque[produto],preçodiario[[#Headers],[OVO VERMELHO A]],estoque[data],preçodiario[[#This Row],[data]],estoque[fornecedor],"&lt;&gt;saída"))/(AF160+(SUMIFS(estoque[quantidade],estoque[produto],preçodiario[[#Headers],[OVO VERMELHO A]],estoque[fornecedor],"&lt;&gt;saída",estoque[data],preçodiario[[#This Row],[data]])))))</f>
        <v/>
      </c>
      <c r="AF161" s="22">
        <f>IF(preçodiario[[#This Row],[entrada AV]]=0,AF160-(SUMIFS(estoque[quantidade],estoque[fornecedor],"saída",estoque[produto],preçodiario[[#Headers],[OVO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Row],[data]]))+AF160+preçodiario[[#This Row],[entrada AV]])</f>
        <v>0</v>
      </c>
      <c r="AG161" s="22">
        <f>SUMIFS(estoque[quantidade],estoque[fornecedor],"&lt;&gt;saída",estoque[produto],preçodiario[[#Headers],[OVO VERMELHO A]],estoque[data],preçodiario[[#This Row],[data]])</f>
        <v>0</v>
      </c>
      <c r="AH161" s="20">
        <f>SUMIFS(estoque[valor total],estoque[fornecedor],"&lt;&gt;saída",estoque[produto],preçodiario[[#Headers],[OVO VERMELHO A]],estoque[data],preçodiario[[#This Row],[data]])</f>
        <v>0</v>
      </c>
      <c r="AI161" s="20">
        <f>IFERROR(preçodiario[[#This Row],[OVO VERMELHO A]]*preçodiario[[#This Row],[estoque AV]],0)</f>
        <v>0</v>
      </c>
      <c r="AJ1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Row],[data]])),((AJ160*AK160)+SUMIFS(estoque[valor total],estoque[produto],preçodiario[[#Headers],[OVO VERMELHO B]],estoque[data],preçodiario[[#This Row],[data]],estoque[fornecedor],"&lt;&gt;saída"))/(AK160+(SUMIFS(estoque[quantidade],estoque[produto],preçodiario[[#Headers],[OVO VERMELHO B]],estoque[fornecedor],"&lt;&gt;saída",estoque[data],preçodiario[[#This Row],[data]])))))</f>
        <v/>
      </c>
      <c r="AK161" s="22">
        <f>IF(preçodiario[[#This Row],[entrada BV]]=0,AK160-(SUMIFS(estoque[quantidade],estoque[fornecedor],"saída",estoque[produto],preçodiario[[#Headers],[OVO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Row],[data]]))+AK160+preçodiario[[#This Row],[entrada BV]])</f>
        <v>0</v>
      </c>
      <c r="AL161" s="22">
        <f>SUMIFS(estoque[quantidade],estoque[fornecedor],"&lt;&gt;saída",estoque[produto],preçodiario[[#Headers],[OVO VERMELHO B]],estoque[data],preçodiario[[#This Row],[data]])</f>
        <v>0</v>
      </c>
      <c r="AM161" s="20">
        <f>SUMIFS(estoque[valor total],estoque[fornecedor],"&lt;&gt;saída",estoque[produto],preçodiario[[#Headers],[OVO VERMELHO B]],estoque[data],preçodiario[[#This Row],[data]])</f>
        <v>0</v>
      </c>
      <c r="AN161" s="20">
        <f>IFERROR(preçodiario[[#This Row],[OVO VERMELHO B]]*preçodiario[[#This Row],[estoque BV]],0)</f>
        <v>0</v>
      </c>
      <c r="AO1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Row],[data]])),((AO160*AP160)+SUMIFS(estoque[valor total],estoque[produto],preçodiario[[#Headers],[OVO VERMELHO C]],estoque[data],preçodiario[[#This Row],[data]],estoque[fornecedor],"&lt;&gt;saída"))/(AP160+(SUMIFS(estoque[quantidade],estoque[produto],preçodiario[[#Headers],[OVO VERMELHO C]],estoque[fornecedor],"&lt;&gt;saída",estoque[data],preçodiario[[#This Row],[data]])))))</f>
        <v/>
      </c>
      <c r="AP161" s="22">
        <f>IF(preçodiario[[#This Row],[entrada CV]]=0,AP160-(SUMIFS(estoque[quantidade],estoque[fornecedor],"saída",estoque[produto],preçodiario[[#Headers],[OVO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Row],[data]]))+AP160+preçodiario[[#This Row],[entrada CV]])</f>
        <v>0</v>
      </c>
      <c r="AQ161" s="22">
        <f>SUMIFS(estoque[quantidade],estoque[fornecedor],"&lt;&gt;saída",estoque[produto],preçodiario[[#Headers],[OVO VERMELHO C]],estoque[data],preçodiario[[#This Row],[data]])</f>
        <v>0</v>
      </c>
      <c r="AR161" s="20">
        <f>SUMIFS(estoque[valor total],estoque[fornecedor],"&lt;&gt;saída",estoque[produto],preçodiario[[#Headers],[OVO VERMELHO C]],estoque[data],preçodiario[[#This Row],[data]])</f>
        <v>0</v>
      </c>
      <c r="AS161" s="20">
        <f>IFERROR(preçodiario[[#This Row],[OVO VERMELHO C]]*preçodiario[[#This Row],[estoque CV]],0)</f>
        <v>0</v>
      </c>
      <c r="AT1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Row],[data]])),((AT160*AU160)+SUMIFS(estoque[valor total],estoque[produto],preçodiario[[#Headers],[OVO VERMELHO EXTRA]],estoque[data],preçodiario[[#This Row],[data]],estoque[fornecedor],"&lt;&gt;saída"))/(AU160+(SUMIFS(estoque[quantidade],estoque[produto],preçodiario[[#Headers],[OVO VERMELHO EXTRA]],estoque[fornecedor],"&lt;&gt;saída",estoque[data],preçodiario[[#This Row],[data]])))))</f>
        <v/>
      </c>
      <c r="AU161" s="22">
        <f>IF(preçodiario[[#This Row],[entrada EV]]=0,AU160-(SUMIFS(estoque[quantidade],estoque[fornecedor],"saída",estoque[produto],preçodiario[[#Headers],[OVO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Row],[data]]))+AU160+preçodiario[[#This Row],[entrada EV]])</f>
        <v>0</v>
      </c>
      <c r="AV161" s="22">
        <f>SUMIFS(estoque[quantidade],estoque[fornecedor],"&lt;&gt;saída",estoque[produto],preçodiario[[#Headers],[OVO VERMELHO EXTRA]],estoque[data],preçodiario[[#This Row],[data]])</f>
        <v>0</v>
      </c>
      <c r="AW161" s="20">
        <f>SUMIFS(estoque[valor total],estoque[fornecedor],"&lt;&gt;saída",estoque[produto],preçodiario[[#Headers],[OVO VERMELHO EXTRA]],estoque[data],preçodiario[[#This Row],[data]])</f>
        <v>0</v>
      </c>
      <c r="AX161" s="20">
        <f>IFERROR(preçodiario[[#This Row],[OVO VERMELHO EXTRA]]*preçodiario[[#This Row],[estoque EV]],0)</f>
        <v>0</v>
      </c>
      <c r="AY1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Row],[data]])),((AY160*AZ160)+SUMIFS(estoque[valor total],estoque[produto],preçodiario[[#Headers],[OVO VERMELHO JUMBO]],estoque[data],preçodiario[[#This Row],[data]],estoque[fornecedor],"&lt;&gt;saída"))/(AZ160+(SUMIFS(estoque[quantidade],estoque[produto],preçodiario[[#Headers],[OVO VERMELHO JUMBO]],estoque[fornecedor],"&lt;&gt;saída",estoque[data],preçodiario[[#This Row],[data]])))))</f>
        <v/>
      </c>
      <c r="AZ161" s="22">
        <f>IF(preçodiario[[#This Row],[entrada JV]]=0,AZ160-(SUMIFS(estoque[quantidade],estoque[fornecedor],"saída",estoque[produto],preçodiario[[#Headers],[OVO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Row],[data]]))+AZ160+preçodiario[[#This Row],[entrada JV]])</f>
        <v>0</v>
      </c>
      <c r="BA161" s="22">
        <f>SUMIFS(estoque[quantidade],estoque[fornecedor],"&lt;&gt;saída",estoque[produto],preçodiario[[#Headers],[OVO VERMELHO JUMBO]],estoque[data],preçodiario[[#This Row],[data]])</f>
        <v>0</v>
      </c>
      <c r="BB161" s="20">
        <f>SUMIFS(estoque[valor total],estoque[fornecedor],"&lt;&gt;saída",estoque[produto],preçodiario[[#Headers],[OVO VERMELHO JUMBO]],estoque[data],preçodiario[[#This Row],[data]])</f>
        <v>0</v>
      </c>
      <c r="BC161" s="20">
        <f>IFERROR(preçodiario[[#This Row],[OVO VERMELHO JUMBO]]*preçodiario[[#This Row],[estoque JV]],0)</f>
        <v>0</v>
      </c>
      <c r="BD161" t="str">
        <f>TEXT(vendaAno[[#This Row],[data]],"mmm")</f>
        <v>jun</v>
      </c>
      <c r="BE161" t="str">
        <f>TEXT(vendaAno[[#This Row],[data]],"ddd")</f>
        <v>ter</v>
      </c>
      <c r="BF161" s="82">
        <f>WEEKNUM(vendaAno[[#This Row],[data]],13)</f>
        <v>23</v>
      </c>
      <c r="BG161" s="27">
        <f>preçodiario[[#This Row],[data]]</f>
        <v>46182</v>
      </c>
      <c r="BH1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1" s="8">
        <f>IF(SUMIFS(estoque[valor total],estoque[fornecedor],"saída",estoque[data],vendaAno[[#This Row],[data]])=0,"",SUMIFS(estoque[valor total],estoque[fornecedor],"saída",estoque[data],vendaAno[[#This Row],[data]]))</f>
        <v>587</v>
      </c>
      <c r="BJ16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Row],[data]]))/12+BJ160,"")</f>
        <v>19.999999999999975</v>
      </c>
      <c r="BK161" s="79">
        <f ca="1">IF(TODAY()&gt;=vendaAno[[#This Row],[data]],IF(SUMIFS(estoque[quantidade],estoque[fornecedor],"saída",estoque[data],vendaAno[[#This Row],[data]])/12=0,AVERAGE(BK158:BK160),SUMIFS(estoque[quantidade],estoque[fornecedor],"saída",estoque[data],vendaAno[[#This Row],[data]])/12),"")</f>
        <v>3.0833333333333335</v>
      </c>
      <c r="BL161" s="8">
        <f ca="1">IF(vendaAno[[#This Row],[data]]&lt;=TODAY(),IF(SUMIFS(estoque[lucro],estoque[fornecedor],"saída",estoque[data],vendaAno[[#This Row],[data]])=0,AVERAGE(BL158:BL160),SUMIFS(estoque[lucro],estoque[fornecedor],"saída",estoque[data],vendaAno[[#This Row],[data]])),"")</f>
        <v>21.370000000000019</v>
      </c>
      <c r="BM161" s="10">
        <f ca="1">IFERROR(vendaAno[[#This Row],[lucro]]/vendaAno[[#This Row],[valor de venda]],"")</f>
        <v>3.6405451448040915E-2</v>
      </c>
      <c r="BN16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3576.8941713412014</v>
      </c>
      <c r="BO161" s="8">
        <f ca="1">IF(TODAY()&gt;=vendaAno[[#This Row],[data]],IF(vendaAno[[#This Row],[N°]]=BF160,vendaAno[[#This Row],[lucro]]-173.33+BO160,vendaAno[[#This Row],[lucro]]-150),"")</f>
        <v>-655.04999999999995</v>
      </c>
      <c r="BP161" s="81">
        <f ca="1">IF(TODAY()&gt;=vendaAno[[#This Row],[data]],SUM(BK155:BK161)*12,"")</f>
        <v>199.99999999999997</v>
      </c>
      <c r="BQ161" s="7">
        <f ca="1">IFERROR(vendaAno[[#This Row],[lucro]]/(vendaAno[[#This Row],[venda]]*12),"")</f>
        <v>0.57756756756756811</v>
      </c>
    </row>
    <row r="162" spans="1:69" x14ac:dyDescent="0.25">
      <c r="A1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</v>
      </c>
      <c r="B162" s="18" t="str">
        <f>TEXT(preçodiario[[#This Row],[data]],"MMM")</f>
        <v>jun</v>
      </c>
      <c r="C162" s="18" t="str">
        <f>TEXT(preçodiario[[#This Row],[data]],"ddd")</f>
        <v>qua</v>
      </c>
      <c r="D162" s="96">
        <f>WEEKNUM(preçodiario[[#This Row],[data]],13)</f>
        <v>24</v>
      </c>
      <c r="E162" s="37">
        <v>46183</v>
      </c>
      <c r="F1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Row],[data]])),((F161*G161)+SUMIFS(estoque[valor total],estoque[produto],preçodiario[[#Headers],[OVO BRANCO A]],estoque[data],preçodiario[[#This Row],[data]],estoque[fornecedor],"&lt;&gt;saída"))/(G161+(SUMIFS(estoque[quantidade],estoque[produto],preçodiario[[#Headers],[OVO BRANCO A]],estoque[fornecedor],"&lt;&gt;saída",estoque[data],preçodiario[[#This Row],[data]])))))</f>
        <v>15.44330856004269</v>
      </c>
      <c r="G162" s="22">
        <f>IF(preçodiario[[#This Row],[entrada A]]=0,G161-(SUMIFS(estoque[quantidade],estoque[fornecedor],"saída",estoque[produto],preçodiario[[#Headers],[OVO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Row],[data]]))+G161+preçodiario[[#This Row],[entrada A]])</f>
        <v>58</v>
      </c>
      <c r="H162" s="22">
        <f>SUMIFS(estoque[quantidade],estoque[fornecedor],"&lt;&gt;saída",estoque[produto],preçodiario[[#Headers],[OVO BRANCO A]],estoque[data],preçodiario[[#This Row],[data]])</f>
        <v>0</v>
      </c>
      <c r="I162" s="20">
        <f>SUMIFS(estoque[valor total],estoque[fornecedor],"&lt;&gt;saída",estoque[produto],preçodiario[[#Headers],[OVO BRANCO A]],estoque[data],preçodiario[[#This Row],[data]])</f>
        <v>0</v>
      </c>
      <c r="J162" s="20">
        <f>IFERROR(preçodiario[[#This Row],[estoque A]]*preçodiario[[#This Row],[OVO BRANCO A]],0)</f>
        <v>895.71189648247605</v>
      </c>
      <c r="K1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Row],[data]])),((K161*L161)+SUMIFS(estoque[valor total],estoque[produto],preçodiario[[#Headers],[OVO BRANCO B]],estoque[data],preçodiario[[#This Row],[data]],estoque[fornecedor],"&lt;&gt;saída"))/(L161+(SUMIFS(estoque[quantidade],estoque[produto],preçodiario[[#Headers],[OVO BRANCO B]],estoque[fornecedor],"&lt;&gt;saída",estoque[data],preçodiario[[#This Row],[data]])))))</f>
        <v>14.704142011834318</v>
      </c>
      <c r="L162" s="22">
        <f>IF(preçodiario[[#This Row],[entrada B]]=0,L161-(SUMIFS(estoque[quantidade],estoque[fornecedor],"saída",estoque[produto],preçodiario[[#Headers],[OVO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Row],[data]]))+L161+preçodiario[[#This Row],[entrada B]])</f>
        <v>114</v>
      </c>
      <c r="M162" s="22">
        <f>SUMIFS(estoque[quantidade],estoque[fornecedor],"&lt;&gt;saída",estoque[produto],preçodiario[[#Headers],[OVO BRANCO B]],estoque[data],preçodiario[[#This Row],[data]])</f>
        <v>0</v>
      </c>
      <c r="N162" s="20">
        <f>SUMIFS(estoque[valor total],estoque[fornecedor],"&lt;&gt;saída",estoque[produto],preçodiario[[#Headers],[OVO BRANCO B]],estoque[data],preçodiario[[#This Row],[data]])</f>
        <v>0</v>
      </c>
      <c r="O162" s="20">
        <f>IFERROR(preçodiario[[#This Row],[OVO BRANCO B]]*preçodiario[[#This Row],[estoque B]],0)</f>
        <v>1676.2721893491123</v>
      </c>
      <c r="P1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Row],[data]])),((P161*Q161)+SUMIFS(estoque[valor total],estoque[produto],preçodiario[[#Headers],[OVO BRANCO C]],estoque[data],preçodiario[[#This Row],[data]],estoque[fornecedor],"&lt;&gt;saída"))/(Q161+(SUMIFS(estoque[quantidade],estoque[produto],preçodiario[[#Headers],[OVO BRANCO C]],estoque[fornecedor],"&lt;&gt;saída",estoque[data],preçodiario[[#This Row],[data]])))))</f>
        <v>13.833333333333336</v>
      </c>
      <c r="Q162" s="22">
        <f>IF(preçodiario[[#This Row],[entrada C]]=0,Q161-(SUMIFS(estoque[quantidade],estoque[fornecedor],"saída",estoque[produto],preçodiario[[#Headers],[OVO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Row],[data]]))+Q161+preçodiario[[#This Row],[entrada C]])</f>
        <v>35</v>
      </c>
      <c r="R162" s="22">
        <f>SUMIFS(estoque[quantidade],estoque[fornecedor],"&lt;&gt;saída",estoque[produto],preçodiario[[#Headers],[OVO BRANCO C]],estoque[data],preçodiario[[#This Row],[data]])</f>
        <v>0</v>
      </c>
      <c r="S162" s="20">
        <f>SUMIFS(estoque[valor total],estoque[fornecedor],"&lt;&gt;saída",estoque[produto],preçodiario[[#Headers],[OVO BRANCO C]],estoque[data],preçodiario[[#This Row],[data]])</f>
        <v>0</v>
      </c>
      <c r="T162" s="20">
        <f>IFERROR(preçodiario[[#This Row],[OVO BRANCO C]]*preçodiario[[#This Row],[estoque C]],0)</f>
        <v>484.16666666666674</v>
      </c>
      <c r="U1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Row],[data]])),((U161*V161)+SUMIFS(estoque[valor total],estoque[produto],preçodiario[[#Headers],[OVO BRANCO EXTRA]],estoque[data],preçodiario[[#This Row],[data]],estoque[fornecedor],"&lt;&gt;saída"))/(V161+(SUMIFS(estoque[quantidade],estoque[produto],preçodiario[[#Headers],[OVO BRANCO EXTRA]],estoque[fornecedor],"&lt;&gt;saída",estoque[data],preçodiario[[#This Row],[data]])))))</f>
        <v>16.373456790123459</v>
      </c>
      <c r="V162" s="22">
        <f>IF(preçodiario[[#This Row],[entrada E]]=0,V161-(SUMIFS(estoque[quantidade],estoque[fornecedor],"saída",estoque[produto],preçodiario[[#Headers],[OVO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Row],[data]]))+V161+preçodiario[[#This Row],[entrada E]])</f>
        <v>9</v>
      </c>
      <c r="W162" s="22">
        <f>SUMIFS(estoque[quantidade],estoque[fornecedor],"&lt;&gt;saída",estoque[produto],preçodiario[[#Headers],[OVO BRANCO EXTRA]],estoque[data],preçodiario[[#This Row],[data]])</f>
        <v>0</v>
      </c>
      <c r="X162" s="20">
        <f>SUMIFS(estoque[valor total],estoque[fornecedor],"&lt;&gt;saída",estoque[produto],preçodiario[[#Headers],[OVO BRANCO EXTRA]],estoque[data],preçodiario[[#This Row],[data]])</f>
        <v>0</v>
      </c>
      <c r="Y162" s="20">
        <f>IFERROR(preçodiario[[#This Row],[estoque E]]*preçodiario[[#This Row],[OVO BRANCO EXTRA]],0)</f>
        <v>147.36111111111114</v>
      </c>
      <c r="Z162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Row],[data]])),((Z161*AA161)+SUMIFS(estoque[valor total],estoque[produto],preçodiario[[#Headers],[OVO BRANCO JUMBO]],estoque[data],preçodiario[[#This Row],[data]],estoque[fornecedor],"&lt;&gt;saída"))/(AA161+(SUMIFS(estoque[quantidade],estoque[produto],preçodiario[[#Headers],[OVO BRANCO JUMBO]],estoque[fornecedor],"&lt;&gt;saída",estoque[data],preçodiario[[#This Row],[data]])))))</f>
        <v/>
      </c>
      <c r="AA162" s="22">
        <f>IF(preçodiario[[#This Row],[entrada J]]=0,AA161-(SUMIFS(estoque[quantidade],estoque[fornecedor],"saída",estoque[produto],preçodiario[[#Headers],[OVO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Row],[data]]))+AA161+preçodiario[[#This Row],[entrada J]])</f>
        <v>0</v>
      </c>
      <c r="AB162" s="22">
        <f>SUMIFS(estoque[quantidade],estoque[fornecedor],"&lt;&gt;saída",estoque[produto],preçodiario[[#Headers],[OVO BRANCO JUMBO]],estoque[data],preçodiario[[#This Row],[data]])</f>
        <v>0</v>
      </c>
      <c r="AC162" s="20">
        <f>SUMIFS(estoque[valor total],estoque[fornecedor],"&lt;&gt;saída",estoque[produto],preçodiario[[#Headers],[OVO BRANCO JUMBO]],estoque[data],preçodiario[[#This Row],[data]])</f>
        <v>0</v>
      </c>
      <c r="AD162" s="20">
        <f>IFERROR(preçodiario[[#This Row],[OVO BRANCO JUMBO]]*preçodiario[[#This Row],[estoque J]],0)</f>
        <v>0</v>
      </c>
      <c r="AE1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Row],[data]])),((AE161*AF161)+SUMIFS(estoque[valor total],estoque[produto],preçodiario[[#Headers],[OVO VERMELHO A]],estoque[data],preçodiario[[#This Row],[data]],estoque[fornecedor],"&lt;&gt;saída"))/(AF161+(SUMIFS(estoque[quantidade],estoque[produto],preçodiario[[#Headers],[OVO VERMELHO A]],estoque[fornecedor],"&lt;&gt;saída",estoque[data],preçodiario[[#This Row],[data]])))))</f>
        <v/>
      </c>
      <c r="AF162" s="22">
        <f>IF(preçodiario[[#This Row],[entrada AV]]=0,AF161-(SUMIFS(estoque[quantidade],estoque[fornecedor],"saída",estoque[produto],preçodiario[[#Headers],[OVO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Row],[data]]))+AF161+preçodiario[[#This Row],[entrada AV]])</f>
        <v>0</v>
      </c>
      <c r="AG162" s="22">
        <f>SUMIFS(estoque[quantidade],estoque[fornecedor],"&lt;&gt;saída",estoque[produto],preçodiario[[#Headers],[OVO VERMELHO A]],estoque[data],preçodiario[[#This Row],[data]])</f>
        <v>0</v>
      </c>
      <c r="AH162" s="20">
        <f>SUMIFS(estoque[valor total],estoque[fornecedor],"&lt;&gt;saída",estoque[produto],preçodiario[[#Headers],[OVO VERMELHO A]],estoque[data],preçodiario[[#This Row],[data]])</f>
        <v>0</v>
      </c>
      <c r="AI162" s="20">
        <f>IFERROR(preçodiario[[#This Row],[OVO VERMELHO A]]*preçodiario[[#This Row],[estoque AV]],0)</f>
        <v>0</v>
      </c>
      <c r="AJ1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Row],[data]])),((AJ161*AK161)+SUMIFS(estoque[valor total],estoque[produto],preçodiario[[#Headers],[OVO VERMELHO B]],estoque[data],preçodiario[[#This Row],[data]],estoque[fornecedor],"&lt;&gt;saída"))/(AK161+(SUMIFS(estoque[quantidade],estoque[produto],preçodiario[[#Headers],[OVO VERMELHO B]],estoque[fornecedor],"&lt;&gt;saída",estoque[data],preçodiario[[#This Row],[data]])))))</f>
        <v/>
      </c>
      <c r="AK162" s="22">
        <f>IF(preçodiario[[#This Row],[entrada BV]]=0,AK161-(SUMIFS(estoque[quantidade],estoque[fornecedor],"saída",estoque[produto],preçodiario[[#Headers],[OVO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Row],[data]]))+AK161+preçodiario[[#This Row],[entrada BV]])</f>
        <v>0</v>
      </c>
      <c r="AL162" s="22">
        <f>SUMIFS(estoque[quantidade],estoque[fornecedor],"&lt;&gt;saída",estoque[produto],preçodiario[[#Headers],[OVO VERMELHO B]],estoque[data],preçodiario[[#This Row],[data]])</f>
        <v>0</v>
      </c>
      <c r="AM162" s="20">
        <f>SUMIFS(estoque[valor total],estoque[fornecedor],"&lt;&gt;saída",estoque[produto],preçodiario[[#Headers],[OVO VERMELHO B]],estoque[data],preçodiario[[#This Row],[data]])</f>
        <v>0</v>
      </c>
      <c r="AN162" s="20">
        <f>IFERROR(preçodiario[[#This Row],[OVO VERMELHO B]]*preçodiario[[#This Row],[estoque BV]],0)</f>
        <v>0</v>
      </c>
      <c r="AO1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Row],[data]])),((AO161*AP161)+SUMIFS(estoque[valor total],estoque[produto],preçodiario[[#Headers],[OVO VERMELHO C]],estoque[data],preçodiario[[#This Row],[data]],estoque[fornecedor],"&lt;&gt;saída"))/(AP161+(SUMIFS(estoque[quantidade],estoque[produto],preçodiario[[#Headers],[OVO VERMELHO C]],estoque[fornecedor],"&lt;&gt;saída",estoque[data],preçodiario[[#This Row],[data]])))))</f>
        <v/>
      </c>
      <c r="AP162" s="22">
        <f>IF(preçodiario[[#This Row],[entrada CV]]=0,AP161-(SUMIFS(estoque[quantidade],estoque[fornecedor],"saída",estoque[produto],preçodiario[[#Headers],[OVO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Row],[data]]))+AP161+preçodiario[[#This Row],[entrada CV]])</f>
        <v>0</v>
      </c>
      <c r="AQ162" s="22">
        <f>SUMIFS(estoque[quantidade],estoque[fornecedor],"&lt;&gt;saída",estoque[produto],preçodiario[[#Headers],[OVO VERMELHO C]],estoque[data],preçodiario[[#This Row],[data]])</f>
        <v>0</v>
      </c>
      <c r="AR162" s="20">
        <f>SUMIFS(estoque[valor total],estoque[fornecedor],"&lt;&gt;saída",estoque[produto],preçodiario[[#Headers],[OVO VERMELHO C]],estoque[data],preçodiario[[#This Row],[data]])</f>
        <v>0</v>
      </c>
      <c r="AS162" s="20">
        <f>IFERROR(preçodiario[[#This Row],[OVO VERMELHO C]]*preçodiario[[#This Row],[estoque CV]],0)</f>
        <v>0</v>
      </c>
      <c r="AT1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Row],[data]])),((AT161*AU161)+SUMIFS(estoque[valor total],estoque[produto],preçodiario[[#Headers],[OVO VERMELHO EXTRA]],estoque[data],preçodiario[[#This Row],[data]],estoque[fornecedor],"&lt;&gt;saída"))/(AU161+(SUMIFS(estoque[quantidade],estoque[produto],preçodiario[[#Headers],[OVO VERMELHO EXTRA]],estoque[fornecedor],"&lt;&gt;saída",estoque[data],preçodiario[[#This Row],[data]])))))</f>
        <v/>
      </c>
      <c r="AU162" s="22">
        <f>IF(preçodiario[[#This Row],[entrada EV]]=0,AU161-(SUMIFS(estoque[quantidade],estoque[fornecedor],"saída",estoque[produto],preçodiario[[#Headers],[OVO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Row],[data]]))+AU161+preçodiario[[#This Row],[entrada EV]])</f>
        <v>0</v>
      </c>
      <c r="AV162" s="22">
        <f>SUMIFS(estoque[quantidade],estoque[fornecedor],"&lt;&gt;saída",estoque[produto],preçodiario[[#Headers],[OVO VERMELHO EXTRA]],estoque[data],preçodiario[[#This Row],[data]])</f>
        <v>0</v>
      </c>
      <c r="AW162" s="20">
        <f>SUMIFS(estoque[valor total],estoque[fornecedor],"&lt;&gt;saída",estoque[produto],preçodiario[[#Headers],[OVO VERMELHO EXTRA]],estoque[data],preçodiario[[#This Row],[data]])</f>
        <v>0</v>
      </c>
      <c r="AX162" s="20">
        <f>IFERROR(preçodiario[[#This Row],[OVO VERMELHO EXTRA]]*preçodiario[[#This Row],[estoque EV]],0)</f>
        <v>0</v>
      </c>
      <c r="AY1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Row],[data]])),((AY161*AZ161)+SUMIFS(estoque[valor total],estoque[produto],preçodiario[[#Headers],[OVO VERMELHO JUMBO]],estoque[data],preçodiario[[#This Row],[data]],estoque[fornecedor],"&lt;&gt;saída"))/(AZ161+(SUMIFS(estoque[quantidade],estoque[produto],preçodiario[[#Headers],[OVO VERMELHO JUMBO]],estoque[fornecedor],"&lt;&gt;saída",estoque[data],preçodiario[[#This Row],[data]])))))</f>
        <v/>
      </c>
      <c r="AZ162" s="22">
        <f>IF(preçodiario[[#This Row],[entrada JV]]=0,AZ161-(SUMIFS(estoque[quantidade],estoque[fornecedor],"saída",estoque[produto],preçodiario[[#Headers],[OVO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Row],[data]]))+AZ161+preçodiario[[#This Row],[entrada JV]])</f>
        <v>0</v>
      </c>
      <c r="BA162" s="22">
        <f>SUMIFS(estoque[quantidade],estoque[fornecedor],"&lt;&gt;saída",estoque[produto],preçodiario[[#Headers],[OVO VERMELHO JUMBO]],estoque[data],preçodiario[[#This Row],[data]])</f>
        <v>0</v>
      </c>
      <c r="BB162" s="20">
        <f>SUMIFS(estoque[valor total],estoque[fornecedor],"&lt;&gt;saída",estoque[produto],preçodiario[[#Headers],[OVO VERMELHO JUMBO]],estoque[data],preçodiario[[#This Row],[data]])</f>
        <v>0</v>
      </c>
      <c r="BC162" s="20">
        <f>IFERROR(preçodiario[[#This Row],[OVO VERMELHO JUMBO]]*preçodiario[[#This Row],[estoque JV]],0)</f>
        <v>0</v>
      </c>
      <c r="BD162" t="str">
        <f>TEXT(vendaAno[[#This Row],[data]],"mmm")</f>
        <v>jun</v>
      </c>
      <c r="BE162" t="str">
        <f>TEXT(vendaAno[[#This Row],[data]],"ddd")</f>
        <v>qua</v>
      </c>
      <c r="BF162" s="82">
        <f>WEEKNUM(vendaAno[[#This Row],[data]],13)</f>
        <v>24</v>
      </c>
      <c r="BG162" s="27">
        <f>preçodiario[[#This Row],[data]]</f>
        <v>46183</v>
      </c>
      <c r="BH1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2" s="8">
        <f>IF(SUMIFS(estoque[valor total],estoque[fornecedor],"saída",estoque[data],vendaAno[[#This Row],[data]])=0,"",SUMIFS(estoque[valor total],estoque[fornecedor],"saída",estoque[data],vendaAno[[#This Row],[data]]))</f>
        <v>436</v>
      </c>
      <c r="BJ16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Row],[data]]))/12+BJ161,"")</f>
        <v>17.999999999999975</v>
      </c>
      <c r="BK162" s="79">
        <f ca="1">IF(TODAY()&gt;=vendaAno[[#This Row],[data]],IF(SUMIFS(estoque[quantidade],estoque[fornecedor],"saída",estoque[data],vendaAno[[#This Row],[data]])/12=0,AVERAGE(BK159:BK161),SUMIFS(estoque[quantidade],estoque[fornecedor],"saída",estoque[data],vendaAno[[#This Row],[data]])/12),"")</f>
        <v>2</v>
      </c>
      <c r="BL162" s="8">
        <f ca="1">IF(vendaAno[[#This Row],[data]]&lt;=TODAY(),IF(SUMIFS(estoque[lucro],estoque[fornecedor],"saída",estoque[data],vendaAno[[#This Row],[data]])=0,AVERAGE(BL159:BL161),SUMIFS(estoque[lucro],estoque[fornecedor],"saída",estoque[data],vendaAno[[#This Row],[data]])),"")</f>
        <v>62.610000000000007</v>
      </c>
      <c r="BM162" s="10">
        <f ca="1">IFERROR(vendaAno[[#This Row],[lucro]]/vendaAno[[#This Row],[valor de venda]],"")</f>
        <v>0.14360091743119269</v>
      </c>
      <c r="BN16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3203.5118636093657</v>
      </c>
      <c r="BO162" s="8">
        <f ca="1">IF(TODAY()&gt;=vendaAno[[#This Row],[data]],IF(vendaAno[[#This Row],[N°]]=BF161,vendaAno[[#This Row],[lucro]]-173.33+BO161,vendaAno[[#This Row],[lucro]]-150),"")</f>
        <v>-87.389999999999986</v>
      </c>
      <c r="BP162" s="81">
        <f ca="1">IF(TODAY()&gt;=vendaAno[[#This Row],[data]],SUM(BK156:BK162)*12,"")</f>
        <v>205.00000000000003</v>
      </c>
      <c r="BQ162" s="7">
        <f ca="1">IFERROR(vendaAno[[#This Row],[lucro]]/(vendaAno[[#This Row],[venda]]*12),"")</f>
        <v>2.6087500000000001</v>
      </c>
    </row>
    <row r="163" spans="1:69" x14ac:dyDescent="0.25">
      <c r="A1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3" s="18" t="str">
        <f>TEXT(preçodiario[[#This Row],[data]],"MMM")</f>
        <v>jun</v>
      </c>
      <c r="C163" s="18" t="str">
        <f>TEXT(preçodiario[[#This Row],[data]],"ddd")</f>
        <v>qui</v>
      </c>
      <c r="D163" s="96">
        <f>WEEKNUM(preçodiario[[#This Row],[data]],13)</f>
        <v>24</v>
      </c>
      <c r="E163" s="37">
        <v>46184</v>
      </c>
      <c r="F1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Row],[data]])),((F162*G162)+SUMIFS(estoque[valor total],estoque[produto],preçodiario[[#Headers],[OVO BRANCO A]],estoque[data],preçodiario[[#This Row],[data]],estoque[fornecedor],"&lt;&gt;saída"))/(G162+(SUMIFS(estoque[quantidade],estoque[produto],preçodiario[[#Headers],[OVO BRANCO A]],estoque[fornecedor],"&lt;&gt;saída",estoque[data],preçodiario[[#This Row],[data]])))))</f>
        <v>15.443308560042691</v>
      </c>
      <c r="G163" s="22">
        <f>IF(preçodiario[[#This Row],[entrada A]]=0,G162-(SUMIFS(estoque[quantidade],estoque[fornecedor],"saída",estoque[produto],preçodiario[[#Headers],[OVO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Row],[data]]))+G162+preçodiario[[#This Row],[entrada A]])</f>
        <v>42</v>
      </c>
      <c r="H163" s="22">
        <f>SUMIFS(estoque[quantidade],estoque[fornecedor],"&lt;&gt;saída",estoque[produto],preçodiario[[#Headers],[OVO BRANCO A]],estoque[data],preçodiario[[#This Row],[data]])</f>
        <v>0</v>
      </c>
      <c r="I163" s="20">
        <f>SUMIFS(estoque[valor total],estoque[fornecedor],"&lt;&gt;saída",estoque[produto],preçodiario[[#Headers],[OVO BRANCO A]],estoque[data],preçodiario[[#This Row],[data]])</f>
        <v>0</v>
      </c>
      <c r="J163" s="20">
        <f>IFERROR(preçodiario[[#This Row],[estoque A]]*preçodiario[[#This Row],[OVO BRANCO A]],0)</f>
        <v>648.61895952179304</v>
      </c>
      <c r="K1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Row],[data]])),((K162*L162)+SUMIFS(estoque[valor total],estoque[produto],preçodiario[[#Headers],[OVO BRANCO B]],estoque[data],preçodiario[[#This Row],[data]],estoque[fornecedor],"&lt;&gt;saída"))/(L162+(SUMIFS(estoque[quantidade],estoque[produto],preçodiario[[#Headers],[OVO BRANCO B]],estoque[fornecedor],"&lt;&gt;saída",estoque[data],preçodiario[[#This Row],[data]])))))</f>
        <v>14.704142011834318</v>
      </c>
      <c r="L163" s="22">
        <f>IF(preçodiario[[#This Row],[entrada B]]=0,L162-(SUMIFS(estoque[quantidade],estoque[fornecedor],"saída",estoque[produto],preçodiario[[#Headers],[OVO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Row],[data]]))+L162+preçodiario[[#This Row],[entrada B]])</f>
        <v>110</v>
      </c>
      <c r="M163" s="22">
        <f>SUMIFS(estoque[quantidade],estoque[fornecedor],"&lt;&gt;saída",estoque[produto],preçodiario[[#Headers],[OVO BRANCO B]],estoque[data],preçodiario[[#This Row],[data]])</f>
        <v>0</v>
      </c>
      <c r="N163" s="20">
        <f>SUMIFS(estoque[valor total],estoque[fornecedor],"&lt;&gt;saída",estoque[produto],preçodiario[[#Headers],[OVO BRANCO B]],estoque[data],preçodiario[[#This Row],[data]])</f>
        <v>0</v>
      </c>
      <c r="O163" s="20">
        <f>IFERROR(preçodiario[[#This Row],[OVO BRANCO B]]*preçodiario[[#This Row],[estoque B]],0)</f>
        <v>1617.455621301775</v>
      </c>
      <c r="P1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Row],[data]])),((P162*Q162)+SUMIFS(estoque[valor total],estoque[produto],preçodiario[[#Headers],[OVO BRANCO C]],estoque[data],preçodiario[[#This Row],[data]],estoque[fornecedor],"&lt;&gt;saída"))/(Q162+(SUMIFS(estoque[quantidade],estoque[produto],preçodiario[[#Headers],[OVO BRANCO C]],estoque[fornecedor],"&lt;&gt;saída",estoque[data],preçodiario[[#This Row],[data]])))))</f>
        <v>13.833333333333336</v>
      </c>
      <c r="Q163" s="22">
        <f>IF(preçodiario[[#This Row],[entrada C]]=0,Q162-(SUMIFS(estoque[quantidade],estoque[fornecedor],"saída",estoque[produto],preçodiario[[#Headers],[OVO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Row],[data]]))+Q162+preçodiario[[#This Row],[entrada C]])</f>
        <v>35</v>
      </c>
      <c r="R163" s="22">
        <f>SUMIFS(estoque[quantidade],estoque[fornecedor],"&lt;&gt;saída",estoque[produto],preçodiario[[#Headers],[OVO BRANCO C]],estoque[data],preçodiario[[#This Row],[data]])</f>
        <v>0</v>
      </c>
      <c r="S163" s="20">
        <f>SUMIFS(estoque[valor total],estoque[fornecedor],"&lt;&gt;saída",estoque[produto],preçodiario[[#Headers],[OVO BRANCO C]],estoque[data],preçodiario[[#This Row],[data]])</f>
        <v>0</v>
      </c>
      <c r="T163" s="20">
        <f>IFERROR(preçodiario[[#This Row],[OVO BRANCO C]]*preçodiario[[#This Row],[estoque C]],0)</f>
        <v>484.16666666666674</v>
      </c>
      <c r="U163" s="19" t="str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Row],[data]])),((U162*V162)+SUMIFS(estoque[valor total],estoque[produto],preçodiario[[#Headers],[OVO BRANCO EXTRA]],estoque[data],preçodiario[[#This Row],[data]],estoque[fornecedor],"&lt;&gt;saída"))/(V162+(SUMIFS(estoque[quantidade],estoque[produto],preçodiario[[#Headers],[OVO BRANCO EXTRA]],estoque[fornecedor],"&lt;&gt;saída",estoque[data],preçodiario[[#This Row],[data]])))))</f>
        <v/>
      </c>
      <c r="V163" s="22">
        <f>IF(preçodiario[[#This Row],[entrada E]]=0,V162-(SUMIFS(estoque[quantidade],estoque[fornecedor],"saída",estoque[produto],preçodiario[[#Headers],[OVO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Row],[data]]))+V162+preçodiario[[#This Row],[entrada E]])</f>
        <v>0</v>
      </c>
      <c r="W163" s="22">
        <f>SUMIFS(estoque[quantidade],estoque[fornecedor],"&lt;&gt;saída",estoque[produto],preçodiario[[#Headers],[OVO BRANCO EXTRA]],estoque[data],preçodiario[[#This Row],[data]])</f>
        <v>0</v>
      </c>
      <c r="X163" s="20">
        <f>SUMIFS(estoque[valor total],estoque[fornecedor],"&lt;&gt;saída",estoque[produto],preçodiario[[#Headers],[OVO BRANCO EXTRA]],estoque[data],preçodiario[[#This Row],[data]])</f>
        <v>0</v>
      </c>
      <c r="Y163" s="20">
        <f>IFERROR(preçodiario[[#This Row],[estoque E]]*preçodiario[[#This Row],[OVO BRANCO EXTRA]],0)</f>
        <v>0</v>
      </c>
      <c r="Z163" s="19" t="str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Row],[data]])),((Z162*AA162)+SUMIFS(estoque[valor total],estoque[produto],preçodiario[[#Headers],[OVO BRANCO JUMBO]],estoque[data],preçodiario[[#This Row],[data]],estoque[fornecedor],"&lt;&gt;saída"))/(AA162+(SUMIFS(estoque[quantidade],estoque[produto],preçodiario[[#Headers],[OVO BRANCO JUMBO]],estoque[fornecedor],"&lt;&gt;saída",estoque[data],preçodiario[[#This Row],[data]])))))</f>
        <v/>
      </c>
      <c r="AA163" s="22">
        <f>IF(preçodiario[[#This Row],[entrada J]]=0,AA162-(SUMIFS(estoque[quantidade],estoque[fornecedor],"saída",estoque[produto],preçodiario[[#Headers],[OVO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Row],[data]]))+AA162+preçodiario[[#This Row],[entrada J]])</f>
        <v>0</v>
      </c>
      <c r="AB163" s="22">
        <f>SUMIFS(estoque[quantidade],estoque[fornecedor],"&lt;&gt;saída",estoque[produto],preçodiario[[#Headers],[OVO BRANCO JUMBO]],estoque[data],preçodiario[[#This Row],[data]])</f>
        <v>0</v>
      </c>
      <c r="AC163" s="20">
        <f>SUMIFS(estoque[valor total],estoque[fornecedor],"&lt;&gt;saída",estoque[produto],preçodiario[[#Headers],[OVO BRANCO JUMBO]],estoque[data],preçodiario[[#This Row],[data]])</f>
        <v>0</v>
      </c>
      <c r="AD163" s="20">
        <f>IFERROR(preçodiario[[#This Row],[OVO BRANCO JUMBO]]*preçodiario[[#This Row],[estoque J]],0)</f>
        <v>0</v>
      </c>
      <c r="AE1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Row],[data]])),((AE162*AF162)+SUMIFS(estoque[valor total],estoque[produto],preçodiario[[#Headers],[OVO VERMELHO A]],estoque[data],preçodiario[[#This Row],[data]],estoque[fornecedor],"&lt;&gt;saída"))/(AF162+(SUMIFS(estoque[quantidade],estoque[produto],preçodiario[[#Headers],[OVO VERMELHO A]],estoque[fornecedor],"&lt;&gt;saída",estoque[data],preçodiario[[#This Row],[data]])))))</f>
        <v/>
      </c>
      <c r="AF163" s="22">
        <f>IF(preçodiario[[#This Row],[entrada AV]]=0,AF162-(SUMIFS(estoque[quantidade],estoque[fornecedor],"saída",estoque[produto],preçodiario[[#Headers],[OVO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Row],[data]]))+AF162+preçodiario[[#This Row],[entrada AV]])</f>
        <v>0</v>
      </c>
      <c r="AG163" s="22">
        <f>SUMIFS(estoque[quantidade],estoque[fornecedor],"&lt;&gt;saída",estoque[produto],preçodiario[[#Headers],[OVO VERMELHO A]],estoque[data],preçodiario[[#This Row],[data]])</f>
        <v>0</v>
      </c>
      <c r="AH163" s="20">
        <f>SUMIFS(estoque[valor total],estoque[fornecedor],"&lt;&gt;saída",estoque[produto],preçodiario[[#Headers],[OVO VERMELHO A]],estoque[data],preçodiario[[#This Row],[data]])</f>
        <v>0</v>
      </c>
      <c r="AI163" s="20">
        <f>IFERROR(preçodiario[[#This Row],[OVO VERMELHO A]]*preçodiario[[#This Row],[estoque AV]],0)</f>
        <v>0</v>
      </c>
      <c r="AJ1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Row],[data]])),((AJ162*AK162)+SUMIFS(estoque[valor total],estoque[produto],preçodiario[[#Headers],[OVO VERMELHO B]],estoque[data],preçodiario[[#This Row],[data]],estoque[fornecedor],"&lt;&gt;saída"))/(AK162+(SUMIFS(estoque[quantidade],estoque[produto],preçodiario[[#Headers],[OVO VERMELHO B]],estoque[fornecedor],"&lt;&gt;saída",estoque[data],preçodiario[[#This Row],[data]])))))</f>
        <v/>
      </c>
      <c r="AK163" s="22">
        <f>IF(preçodiario[[#This Row],[entrada BV]]=0,AK162-(SUMIFS(estoque[quantidade],estoque[fornecedor],"saída",estoque[produto],preçodiario[[#Headers],[OVO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Row],[data]]))+AK162+preçodiario[[#This Row],[entrada BV]])</f>
        <v>0</v>
      </c>
      <c r="AL163" s="22">
        <f>SUMIFS(estoque[quantidade],estoque[fornecedor],"&lt;&gt;saída",estoque[produto],preçodiario[[#Headers],[OVO VERMELHO B]],estoque[data],preçodiario[[#This Row],[data]])</f>
        <v>0</v>
      </c>
      <c r="AM163" s="20">
        <f>SUMIFS(estoque[valor total],estoque[fornecedor],"&lt;&gt;saída",estoque[produto],preçodiario[[#Headers],[OVO VERMELHO B]],estoque[data],preçodiario[[#This Row],[data]])</f>
        <v>0</v>
      </c>
      <c r="AN163" s="20">
        <f>IFERROR(preçodiario[[#This Row],[OVO VERMELHO B]]*preçodiario[[#This Row],[estoque BV]],0)</f>
        <v>0</v>
      </c>
      <c r="AO1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Row],[data]])),((AO162*AP162)+SUMIFS(estoque[valor total],estoque[produto],preçodiario[[#Headers],[OVO VERMELHO C]],estoque[data],preçodiario[[#This Row],[data]],estoque[fornecedor],"&lt;&gt;saída"))/(AP162+(SUMIFS(estoque[quantidade],estoque[produto],preçodiario[[#Headers],[OVO VERMELHO C]],estoque[fornecedor],"&lt;&gt;saída",estoque[data],preçodiario[[#This Row],[data]])))))</f>
        <v/>
      </c>
      <c r="AP163" s="22">
        <f>IF(preçodiario[[#This Row],[entrada CV]]=0,AP162-(SUMIFS(estoque[quantidade],estoque[fornecedor],"saída",estoque[produto],preçodiario[[#Headers],[OVO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Row],[data]]))+AP162+preçodiario[[#This Row],[entrada CV]])</f>
        <v>0</v>
      </c>
      <c r="AQ163" s="22">
        <f>SUMIFS(estoque[quantidade],estoque[fornecedor],"&lt;&gt;saída",estoque[produto],preçodiario[[#Headers],[OVO VERMELHO C]],estoque[data],preçodiario[[#This Row],[data]])</f>
        <v>0</v>
      </c>
      <c r="AR163" s="20">
        <f>SUMIFS(estoque[valor total],estoque[fornecedor],"&lt;&gt;saída",estoque[produto],preçodiario[[#Headers],[OVO VERMELHO C]],estoque[data],preçodiario[[#This Row],[data]])</f>
        <v>0</v>
      </c>
      <c r="AS163" s="20">
        <f>IFERROR(preçodiario[[#This Row],[OVO VERMELHO C]]*preçodiario[[#This Row],[estoque CV]],0)</f>
        <v>0</v>
      </c>
      <c r="AT1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Row],[data]])),((AT162*AU162)+SUMIFS(estoque[valor total],estoque[produto],preçodiario[[#Headers],[OVO VERMELHO EXTRA]],estoque[data],preçodiario[[#This Row],[data]],estoque[fornecedor],"&lt;&gt;saída"))/(AU162+(SUMIFS(estoque[quantidade],estoque[produto],preçodiario[[#Headers],[OVO VERMELHO EXTRA]],estoque[fornecedor],"&lt;&gt;saída",estoque[data],preçodiario[[#This Row],[data]])))))</f>
        <v/>
      </c>
      <c r="AU163" s="22">
        <f>IF(preçodiario[[#This Row],[entrada EV]]=0,AU162-(SUMIFS(estoque[quantidade],estoque[fornecedor],"saída",estoque[produto],preçodiario[[#Headers],[OVO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Row],[data]]))+AU162+preçodiario[[#This Row],[entrada EV]])</f>
        <v>0</v>
      </c>
      <c r="AV163" s="22">
        <f>SUMIFS(estoque[quantidade],estoque[fornecedor],"&lt;&gt;saída",estoque[produto],preçodiario[[#Headers],[OVO VERMELHO EXTRA]],estoque[data],preçodiario[[#This Row],[data]])</f>
        <v>0</v>
      </c>
      <c r="AW163" s="20">
        <f>SUMIFS(estoque[valor total],estoque[fornecedor],"&lt;&gt;saída",estoque[produto],preçodiario[[#Headers],[OVO VERMELHO EXTRA]],estoque[data],preçodiario[[#This Row],[data]])</f>
        <v>0</v>
      </c>
      <c r="AX163" s="20">
        <f>IFERROR(preçodiario[[#This Row],[OVO VERMELHO EXTRA]]*preçodiario[[#This Row],[estoque EV]],0)</f>
        <v>0</v>
      </c>
      <c r="AY1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Row],[data]])),((AY162*AZ162)+SUMIFS(estoque[valor total],estoque[produto],preçodiario[[#Headers],[OVO VERMELHO JUMBO]],estoque[data],preçodiario[[#This Row],[data]],estoque[fornecedor],"&lt;&gt;saída"))/(AZ162+(SUMIFS(estoque[quantidade],estoque[produto],preçodiario[[#Headers],[OVO VERMELHO JUMBO]],estoque[fornecedor],"&lt;&gt;saída",estoque[data],preçodiario[[#This Row],[data]])))))</f>
        <v/>
      </c>
      <c r="AZ163" s="22">
        <f>IF(preçodiario[[#This Row],[entrada JV]]=0,AZ162-(SUMIFS(estoque[quantidade],estoque[fornecedor],"saída",estoque[produto],preçodiario[[#Headers],[OVO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Row],[data]]))+AZ162+preçodiario[[#This Row],[entrada JV]])</f>
        <v>0</v>
      </c>
      <c r="BA163" s="22">
        <f>SUMIFS(estoque[quantidade],estoque[fornecedor],"&lt;&gt;saída",estoque[produto],preçodiario[[#Headers],[OVO VERMELHO JUMBO]],estoque[data],preçodiario[[#This Row],[data]])</f>
        <v>0</v>
      </c>
      <c r="BB163" s="20">
        <f>SUMIFS(estoque[valor total],estoque[fornecedor],"&lt;&gt;saída",estoque[produto],preçodiario[[#Headers],[OVO VERMELHO JUMBO]],estoque[data],preçodiario[[#This Row],[data]])</f>
        <v>0</v>
      </c>
      <c r="BC163" s="20">
        <f>IFERROR(preçodiario[[#This Row],[OVO VERMELHO JUMBO]]*preçodiario[[#This Row],[estoque JV]],0)</f>
        <v>0</v>
      </c>
      <c r="BD163" t="str">
        <f>TEXT(vendaAno[[#This Row],[data]],"mmm")</f>
        <v>jun</v>
      </c>
      <c r="BE163" t="str">
        <f>TEXT(vendaAno[[#This Row],[data]],"ddd")</f>
        <v>qui</v>
      </c>
      <c r="BF163" s="82">
        <f>WEEKNUM(vendaAno[[#This Row],[data]],13)</f>
        <v>24</v>
      </c>
      <c r="BG163" s="27">
        <f>preçodiario[[#This Row],[data]]</f>
        <v>46184</v>
      </c>
      <c r="BH1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3" s="8">
        <f>IF(SUMIFS(estoque[valor total],estoque[fornecedor],"saída",estoque[data],vendaAno[[#This Row],[data]])=0,"",SUMIFS(estoque[valor total],estoque[fornecedor],"saída",estoque[data],vendaAno[[#This Row],[data]]))</f>
        <v>536</v>
      </c>
      <c r="BJ16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Row],[data]]))/12+BJ162,"")</f>
        <v>15.583333333333309</v>
      </c>
      <c r="BK163" s="79">
        <f ca="1">IF(TODAY()&gt;=vendaAno[[#This Row],[data]],IF(SUMIFS(estoque[quantidade],estoque[fornecedor],"saída",estoque[data],vendaAno[[#This Row],[data]])/12=0,AVERAGE(BK160:BK162),SUMIFS(estoque[quantidade],estoque[fornecedor],"saída",estoque[data],vendaAno[[#This Row],[data]])/12),"")</f>
        <v>2.4166666666666665</v>
      </c>
      <c r="BL163" s="8">
        <f ca="1">IF(vendaAno[[#This Row],[data]]&lt;=TODAY(),IF(SUMIFS(estoque[lucro],estoque[fornecedor],"saída",estoque[data],vendaAno[[#This Row],[data]])=0,AVERAGE(BL160:BL162),SUMIFS(estoque[lucro],estoque[fornecedor],"saída",estoque[data],vendaAno[[#This Row],[data]])),"")</f>
        <v>82.72999999999999</v>
      </c>
      <c r="BM163" s="10">
        <f ca="1">IFERROR(vendaAno[[#This Row],[lucro]]/vendaAno[[#This Row],[valor de venda]],"")</f>
        <v>0.15434701492537312</v>
      </c>
      <c r="BN16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2750.2412474902349</v>
      </c>
      <c r="BO163" s="8">
        <f ca="1">IF(TODAY()&gt;=vendaAno[[#This Row],[data]],IF(vendaAno[[#This Row],[N°]]=BF162,vendaAno[[#This Row],[lucro]]-173.33+BO162,vendaAno[[#This Row],[lucro]]-150),"")</f>
        <v>-177.99</v>
      </c>
      <c r="BP163" s="81">
        <f ca="1">IF(TODAY()&gt;=vendaAno[[#This Row],[data]],SUM(BK157:BK163)*12,"")</f>
        <v>191</v>
      </c>
      <c r="BQ163" s="7">
        <f ca="1">IFERROR(vendaAno[[#This Row],[lucro]]/(vendaAno[[#This Row],[venda]]*12),"")</f>
        <v>2.8527586206896549</v>
      </c>
    </row>
    <row r="164" spans="1:69" x14ac:dyDescent="0.25">
      <c r="A1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4" s="18" t="str">
        <f>TEXT(preçodiario[[#This Row],[data]],"MMM")</f>
        <v>jun</v>
      </c>
      <c r="C164" s="18" t="str">
        <f>TEXT(preçodiario[[#This Row],[data]],"ddd")</f>
        <v>sex</v>
      </c>
      <c r="D164" s="96">
        <f>WEEKNUM(preçodiario[[#This Row],[data]],13)</f>
        <v>24</v>
      </c>
      <c r="E164" s="37">
        <v>46185</v>
      </c>
      <c r="F1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Row],[data]])),((F163*G163)+SUMIFS(estoque[valor total],estoque[produto],preçodiario[[#Headers],[OVO BRANCO A]],estoque[data],preçodiario[[#This Row],[data]],estoque[fornecedor],"&lt;&gt;saída"))/(G163+(SUMIFS(estoque[quantidade],estoque[produto],preçodiario[[#Headers],[OVO BRANCO A]],estoque[fornecedor],"&lt;&gt;saída",estoque[data],preçodiario[[#This Row],[data]])))))</f>
        <v>15.443308560042691</v>
      </c>
      <c r="G164" s="22">
        <f>IF(preçodiario[[#This Row],[entrada A]]=0,G163-(SUMIFS(estoque[quantidade],estoque[fornecedor],"saída",estoque[produto],preçodiario[[#Headers],[OVO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Row],[data]]))+G163+preçodiario[[#This Row],[entrada A]])</f>
        <v>20</v>
      </c>
      <c r="H164" s="22">
        <f>SUMIFS(estoque[quantidade],estoque[fornecedor],"&lt;&gt;saída",estoque[produto],preçodiario[[#Headers],[OVO BRANCO A]],estoque[data],preçodiario[[#This Row],[data]])</f>
        <v>0</v>
      </c>
      <c r="I164" s="20">
        <f>SUMIFS(estoque[valor total],estoque[fornecedor],"&lt;&gt;saída",estoque[produto],preçodiario[[#Headers],[OVO BRANCO A]],estoque[data],preçodiario[[#This Row],[data]])</f>
        <v>0</v>
      </c>
      <c r="J164" s="20">
        <f>IFERROR(preçodiario[[#This Row],[estoque A]]*preçodiario[[#This Row],[OVO BRANCO A]],0)</f>
        <v>308.86617120085384</v>
      </c>
      <c r="K1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Row],[data]])),((K163*L163)+SUMIFS(estoque[valor total],estoque[produto],preçodiario[[#Headers],[OVO BRANCO B]],estoque[data],preçodiario[[#This Row],[data]],estoque[fornecedor],"&lt;&gt;saída"))/(L163+(SUMIFS(estoque[quantidade],estoque[produto],preçodiario[[#Headers],[OVO BRANCO B]],estoque[fornecedor],"&lt;&gt;saída",estoque[data],preçodiario[[#This Row],[data]])))))</f>
        <v>14.704142011834318</v>
      </c>
      <c r="L164" s="22">
        <f>IF(preçodiario[[#This Row],[entrada B]]=0,L163-(SUMIFS(estoque[quantidade],estoque[fornecedor],"saída",estoque[produto],preçodiario[[#Headers],[OVO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Row],[data]]))+L163+preçodiario[[#This Row],[entrada B]])</f>
        <v>110</v>
      </c>
      <c r="M164" s="22">
        <f>SUMIFS(estoque[quantidade],estoque[fornecedor],"&lt;&gt;saída",estoque[produto],preçodiario[[#Headers],[OVO BRANCO B]],estoque[data],preçodiario[[#This Row],[data]])</f>
        <v>0</v>
      </c>
      <c r="N164" s="20">
        <f>SUMIFS(estoque[valor total],estoque[fornecedor],"&lt;&gt;saída",estoque[produto],preçodiario[[#Headers],[OVO BRANCO B]],estoque[data],preçodiario[[#This Row],[data]])</f>
        <v>0</v>
      </c>
      <c r="O164" s="20">
        <f>IFERROR(preçodiario[[#This Row],[OVO BRANCO B]]*preçodiario[[#This Row],[estoque B]],0)</f>
        <v>1617.455621301775</v>
      </c>
      <c r="P1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Row],[data]])),((P163*Q163)+SUMIFS(estoque[valor total],estoque[produto],preçodiario[[#Headers],[OVO BRANCO C]],estoque[data],preçodiario[[#This Row],[data]],estoque[fornecedor],"&lt;&gt;saída"))/(Q163+(SUMIFS(estoque[quantidade],estoque[produto],preçodiario[[#Headers],[OVO BRANCO C]],estoque[fornecedor],"&lt;&gt;saída",estoque[data],preçodiario[[#This Row],[data]])))))</f>
        <v>13.833333333333336</v>
      </c>
      <c r="Q164" s="22">
        <f>IF(preçodiario[[#This Row],[entrada C]]=0,Q163-(SUMIFS(estoque[quantidade],estoque[fornecedor],"saída",estoque[produto],preçodiario[[#Headers],[OVO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Row],[data]]))+Q163+preçodiario[[#This Row],[entrada C]])</f>
        <v>35</v>
      </c>
      <c r="R164" s="22">
        <f>SUMIFS(estoque[quantidade],estoque[fornecedor],"&lt;&gt;saída",estoque[produto],preçodiario[[#Headers],[OVO BRANCO C]],estoque[data],preçodiario[[#This Row],[data]])</f>
        <v>0</v>
      </c>
      <c r="S164" s="20">
        <f>SUMIFS(estoque[valor total],estoque[fornecedor],"&lt;&gt;saída",estoque[produto],preçodiario[[#Headers],[OVO BRANCO C]],estoque[data],preçodiario[[#This Row],[data]])</f>
        <v>0</v>
      </c>
      <c r="T164" s="20">
        <f>IFERROR(preçodiario[[#This Row],[OVO BRANCO C]]*preçodiario[[#This Row],[estoque C]],0)</f>
        <v>484.16666666666674</v>
      </c>
      <c r="U1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Row],[data]])),((U163*V163)+SUMIFS(estoque[valor total],estoque[produto],preçodiario[[#Headers],[OVO BRANCO EXTRA]],estoque[data],preçodiario[[#This Row],[data]],estoque[fornecedor],"&lt;&gt;saída"))/(V163+(SUMIFS(estoque[quantidade],estoque[produto],preçodiario[[#Headers],[OVO BRANCO EXTRA]],estoque[fornecedor],"&lt;&gt;saída",estoque[data],preçodiario[[#This Row],[data]])))))</f>
        <v>15.833333333333334</v>
      </c>
      <c r="V164" s="22">
        <f>IF(preçodiario[[#This Row],[entrada E]]=0,V163-(SUMIFS(estoque[quantidade],estoque[fornecedor],"saída",estoque[produto],preçodiario[[#Headers],[OVO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Row],[data]]))+V163+preçodiario[[#This Row],[entrada E]])</f>
        <v>48</v>
      </c>
      <c r="W164" s="22">
        <f>SUMIFS(estoque[quantidade],estoque[fornecedor],"&lt;&gt;saída",estoque[produto],preçodiario[[#Headers],[OVO BRANCO EXTRA]],estoque[data],preçodiario[[#This Row],[data]])</f>
        <v>48</v>
      </c>
      <c r="X164" s="20">
        <f>SUMIFS(estoque[valor total],estoque[fornecedor],"&lt;&gt;saída",estoque[produto],preçodiario[[#Headers],[OVO BRANCO EXTRA]],estoque[data],preçodiario[[#This Row],[data]])</f>
        <v>760</v>
      </c>
      <c r="Y164" s="20">
        <f>IFERROR(preçodiario[[#This Row],[estoque E]]*preçodiario[[#This Row],[OVO BRANCO EXTRA]],0)</f>
        <v>760</v>
      </c>
      <c r="Z1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Row],[data]])),((Z163*AA163)+SUMIFS(estoque[valor total],estoque[produto],preçodiario[[#Headers],[OVO BRANCO JUMBO]],estoque[data],preçodiario[[#This Row],[data]],estoque[fornecedor],"&lt;&gt;saída"))/(AA163+(SUMIFS(estoque[quantidade],estoque[produto],preçodiario[[#Headers],[OVO BRANCO JUMBO]],estoque[fornecedor],"&lt;&gt;saída",estoque[data],preçodiario[[#This Row],[data]])))))</f>
        <v>17.083333333333332</v>
      </c>
      <c r="AA164" s="22">
        <f>IF(preçodiario[[#This Row],[entrada J]]=0,AA163-(SUMIFS(estoque[quantidade],estoque[fornecedor],"saída",estoque[produto],preçodiario[[#Headers],[OVO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Row],[data]]))+AA163+preçodiario[[#This Row],[entrada J]])</f>
        <v>20</v>
      </c>
      <c r="AB164" s="22">
        <f>SUMIFS(estoque[quantidade],estoque[fornecedor],"&lt;&gt;saída",estoque[produto],preçodiario[[#Headers],[OVO BRANCO JUMBO]],estoque[data],preçodiario[[#This Row],[data]])</f>
        <v>24</v>
      </c>
      <c r="AC164" s="20">
        <f>SUMIFS(estoque[valor total],estoque[fornecedor],"&lt;&gt;saída",estoque[produto],preçodiario[[#Headers],[OVO BRANCO JUMBO]],estoque[data],preçodiario[[#This Row],[data]])</f>
        <v>410</v>
      </c>
      <c r="AD164" s="20">
        <f>IFERROR(preçodiario[[#This Row],[OVO BRANCO JUMBO]]*preçodiario[[#This Row],[estoque J]],0)</f>
        <v>341.66666666666663</v>
      </c>
      <c r="AE1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Row],[data]])),((AE163*AF163)+SUMIFS(estoque[valor total],estoque[produto],preçodiario[[#Headers],[OVO VERMELHO A]],estoque[data],preçodiario[[#This Row],[data]],estoque[fornecedor],"&lt;&gt;saída"))/(AF163+(SUMIFS(estoque[quantidade],estoque[produto],preçodiario[[#Headers],[OVO VERMELHO A]],estoque[fornecedor],"&lt;&gt;saída",estoque[data],preçodiario[[#This Row],[data]])))))</f>
        <v/>
      </c>
      <c r="AF164" s="22">
        <f>IF(preçodiario[[#This Row],[entrada AV]]=0,AF163-(SUMIFS(estoque[quantidade],estoque[fornecedor],"saída",estoque[produto],preçodiario[[#Headers],[OVO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Row],[data]]))+AF163+preçodiario[[#This Row],[entrada AV]])</f>
        <v>0</v>
      </c>
      <c r="AG164" s="22">
        <f>SUMIFS(estoque[quantidade],estoque[fornecedor],"&lt;&gt;saída",estoque[produto],preçodiario[[#Headers],[OVO VERMELHO A]],estoque[data],preçodiario[[#This Row],[data]])</f>
        <v>0</v>
      </c>
      <c r="AH164" s="20">
        <f>SUMIFS(estoque[valor total],estoque[fornecedor],"&lt;&gt;saída",estoque[produto],preçodiario[[#Headers],[OVO VERMELHO A]],estoque[data],preçodiario[[#This Row],[data]])</f>
        <v>0</v>
      </c>
      <c r="AI164" s="20">
        <f>IFERROR(preçodiario[[#This Row],[OVO VERMELHO A]]*preçodiario[[#This Row],[estoque AV]],0)</f>
        <v>0</v>
      </c>
      <c r="AJ1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Row],[data]])),((AJ163*AK163)+SUMIFS(estoque[valor total],estoque[produto],preçodiario[[#Headers],[OVO VERMELHO B]],estoque[data],preçodiario[[#This Row],[data]],estoque[fornecedor],"&lt;&gt;saída"))/(AK163+(SUMIFS(estoque[quantidade],estoque[produto],preçodiario[[#Headers],[OVO VERMELHO B]],estoque[fornecedor],"&lt;&gt;saída",estoque[data],preçodiario[[#This Row],[data]])))))</f>
        <v/>
      </c>
      <c r="AK164" s="22">
        <f>IF(preçodiario[[#This Row],[entrada BV]]=0,AK163-(SUMIFS(estoque[quantidade],estoque[fornecedor],"saída",estoque[produto],preçodiario[[#Headers],[OVO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Row],[data]]))+AK163+preçodiario[[#This Row],[entrada BV]])</f>
        <v>0</v>
      </c>
      <c r="AL164" s="22">
        <f>SUMIFS(estoque[quantidade],estoque[fornecedor],"&lt;&gt;saída",estoque[produto],preçodiario[[#Headers],[OVO VERMELHO B]],estoque[data],preçodiario[[#This Row],[data]])</f>
        <v>0</v>
      </c>
      <c r="AM164" s="20">
        <f>SUMIFS(estoque[valor total],estoque[fornecedor],"&lt;&gt;saída",estoque[produto],preçodiario[[#Headers],[OVO VERMELHO B]],estoque[data],preçodiario[[#This Row],[data]])</f>
        <v>0</v>
      </c>
      <c r="AN164" s="20">
        <f>IFERROR(preçodiario[[#This Row],[OVO VERMELHO B]]*preçodiario[[#This Row],[estoque BV]],0)</f>
        <v>0</v>
      </c>
      <c r="AO1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Row],[data]])),((AO163*AP163)+SUMIFS(estoque[valor total],estoque[produto],preçodiario[[#Headers],[OVO VERMELHO C]],estoque[data],preçodiario[[#This Row],[data]],estoque[fornecedor],"&lt;&gt;saída"))/(AP163+(SUMIFS(estoque[quantidade],estoque[produto],preçodiario[[#Headers],[OVO VERMELHO C]],estoque[fornecedor],"&lt;&gt;saída",estoque[data],preçodiario[[#This Row],[data]])))))</f>
        <v/>
      </c>
      <c r="AP164" s="22">
        <f>IF(preçodiario[[#This Row],[entrada CV]]=0,AP163-(SUMIFS(estoque[quantidade],estoque[fornecedor],"saída",estoque[produto],preçodiario[[#Headers],[OVO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Row],[data]]))+AP163+preçodiario[[#This Row],[entrada CV]])</f>
        <v>0</v>
      </c>
      <c r="AQ164" s="22">
        <f>SUMIFS(estoque[quantidade],estoque[fornecedor],"&lt;&gt;saída",estoque[produto],preçodiario[[#Headers],[OVO VERMELHO C]],estoque[data],preçodiario[[#This Row],[data]])</f>
        <v>0</v>
      </c>
      <c r="AR164" s="20">
        <f>SUMIFS(estoque[valor total],estoque[fornecedor],"&lt;&gt;saída",estoque[produto],preçodiario[[#Headers],[OVO VERMELHO C]],estoque[data],preçodiario[[#This Row],[data]])</f>
        <v>0</v>
      </c>
      <c r="AS164" s="20">
        <f>IFERROR(preçodiario[[#This Row],[OVO VERMELHO C]]*preçodiario[[#This Row],[estoque CV]],0)</f>
        <v>0</v>
      </c>
      <c r="AT1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Row],[data]])),((AT163*AU163)+SUMIFS(estoque[valor total],estoque[produto],preçodiario[[#Headers],[OVO VERMELHO EXTRA]],estoque[data],preçodiario[[#This Row],[data]],estoque[fornecedor],"&lt;&gt;saída"))/(AU163+(SUMIFS(estoque[quantidade],estoque[produto],preçodiario[[#Headers],[OVO VERMELHO EXTRA]],estoque[fornecedor],"&lt;&gt;saída",estoque[data],preçodiario[[#This Row],[data]])))))</f>
        <v/>
      </c>
      <c r="AU164" s="22">
        <f>IF(preçodiario[[#This Row],[entrada EV]]=0,AU163-(SUMIFS(estoque[quantidade],estoque[fornecedor],"saída",estoque[produto],preçodiario[[#Headers],[OVO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Row],[data]]))+AU163+preçodiario[[#This Row],[entrada EV]])</f>
        <v>0</v>
      </c>
      <c r="AV164" s="22">
        <f>SUMIFS(estoque[quantidade],estoque[fornecedor],"&lt;&gt;saída",estoque[produto],preçodiario[[#Headers],[OVO VERMELHO EXTRA]],estoque[data],preçodiario[[#This Row],[data]])</f>
        <v>0</v>
      </c>
      <c r="AW164" s="20">
        <f>SUMIFS(estoque[valor total],estoque[fornecedor],"&lt;&gt;saída",estoque[produto],preçodiario[[#Headers],[OVO VERMELHO EXTRA]],estoque[data],preçodiario[[#This Row],[data]])</f>
        <v>0</v>
      </c>
      <c r="AX164" s="20">
        <f>IFERROR(preçodiario[[#This Row],[OVO VERMELHO EXTRA]]*preçodiario[[#This Row],[estoque EV]],0)</f>
        <v>0</v>
      </c>
      <c r="AY1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Row],[data]])),((AY163*AZ163)+SUMIFS(estoque[valor total],estoque[produto],preçodiario[[#Headers],[OVO VERMELHO JUMBO]],estoque[data],preçodiario[[#This Row],[data]],estoque[fornecedor],"&lt;&gt;saída"))/(AZ163+(SUMIFS(estoque[quantidade],estoque[produto],preçodiario[[#Headers],[OVO VERMELHO JUMBO]],estoque[fornecedor],"&lt;&gt;saída",estoque[data],preçodiario[[#This Row],[data]])))))</f>
        <v/>
      </c>
      <c r="AZ164" s="22">
        <f>IF(preçodiario[[#This Row],[entrada JV]]=0,AZ163-(SUMIFS(estoque[quantidade],estoque[fornecedor],"saída",estoque[produto],preçodiario[[#Headers],[OVO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Row],[data]]))+AZ163+preçodiario[[#This Row],[entrada JV]])</f>
        <v>0</v>
      </c>
      <c r="BA164" s="22">
        <f>SUMIFS(estoque[quantidade],estoque[fornecedor],"&lt;&gt;saída",estoque[produto],preçodiario[[#Headers],[OVO VERMELHO JUMBO]],estoque[data],preçodiario[[#This Row],[data]])</f>
        <v>0</v>
      </c>
      <c r="BB164" s="20">
        <f>SUMIFS(estoque[valor total],estoque[fornecedor],"&lt;&gt;saída",estoque[produto],preçodiario[[#Headers],[OVO VERMELHO JUMBO]],estoque[data],preçodiario[[#This Row],[data]])</f>
        <v>0</v>
      </c>
      <c r="BC164" s="20">
        <f>IFERROR(preçodiario[[#This Row],[OVO VERMELHO JUMBO]]*preçodiario[[#This Row],[estoque JV]],0)</f>
        <v>0</v>
      </c>
      <c r="BD164" t="str">
        <f>TEXT(vendaAno[[#This Row],[data]],"mmm")</f>
        <v>jun</v>
      </c>
      <c r="BE164" t="str">
        <f>TEXT(vendaAno[[#This Row],[data]],"ddd")</f>
        <v>sex</v>
      </c>
      <c r="BF164" s="82">
        <f>WEEKNUM(vendaAno[[#This Row],[data]],13)</f>
        <v>24</v>
      </c>
      <c r="BG164" s="27">
        <f>preçodiario[[#This Row],[data]]</f>
        <v>46185</v>
      </c>
      <c r="BH164" s="8">
        <f>IF(SUMIFS(estoque[valor total],estoque[fornecedor],"&lt;&gt;saída",estoque[data],vendaAno[[#This Row],[data]])=0,"",SUMIFS(estoque[valor total],estoque[fornecedor],"&lt;&gt;saída",estoque[data],vendaAno[[#This Row],[data]]))</f>
        <v>1170</v>
      </c>
      <c r="BI164" s="8">
        <f>IF(SUMIFS(estoque[valor total],estoque[fornecedor],"saída",estoque[data],vendaAno[[#This Row],[data]])=0,"",SUMIFS(estoque[valor total],estoque[fornecedor],"saída",estoque[data],vendaAno[[#This Row],[data]]))</f>
        <v>478</v>
      </c>
      <c r="BJ16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Row],[data]]))/12+BJ163,"")</f>
        <v>19.416666666666643</v>
      </c>
      <c r="BK164" s="79">
        <f ca="1">IF(TODAY()&gt;=vendaAno[[#This Row],[data]],IF(SUMIFS(estoque[quantidade],estoque[fornecedor],"saída",estoque[data],vendaAno[[#This Row],[data]])/12=0,AVERAGE(BK161:BK163),SUMIFS(estoque[quantidade],estoque[fornecedor],"saída",estoque[data],vendaAno[[#This Row],[data]])/12),"")</f>
        <v>2.1666666666666665</v>
      </c>
      <c r="BL164" s="8">
        <f ca="1">IF(vendaAno[[#This Row],[data]]&lt;=TODAY(),IF(SUMIFS(estoque[lucro],estoque[fornecedor],"saída",estoque[data],vendaAno[[#This Row],[data]])=0,AVERAGE(BL161:BL163),SUMIFS(estoque[lucro],estoque[fornecedor],"saída",estoque[data],vendaAno[[#This Row],[data]])),"")</f>
        <v>69.92</v>
      </c>
      <c r="BM164" s="10">
        <f ca="1">IFERROR(vendaAno[[#This Row],[lucro]]/vendaAno[[#This Row],[valor de venda]],"")</f>
        <v>0.14627615062761506</v>
      </c>
      <c r="BN16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3512.1551258359618</v>
      </c>
      <c r="BO164" s="8">
        <f ca="1">IF(TODAY()&gt;=vendaAno[[#This Row],[data]],IF(vendaAno[[#This Row],[N°]]=BF163,vendaAno[[#This Row],[lucro]]-173.33+BO163,vendaAno[[#This Row],[lucro]]-150),"")</f>
        <v>-281.40000000000003</v>
      </c>
      <c r="BP164" s="81">
        <f ca="1">IF(TODAY()&gt;=vendaAno[[#This Row],[data]],SUM(BK158:BK164)*12,"")</f>
        <v>185.99999999999997</v>
      </c>
      <c r="BQ164" s="7">
        <f ca="1">IFERROR(vendaAno[[#This Row],[lucro]]/(vendaAno[[#This Row],[venda]]*12),"")</f>
        <v>2.6892307692307691</v>
      </c>
    </row>
    <row r="165" spans="1:69" x14ac:dyDescent="0.25">
      <c r="A1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15.443308560042691</v>
      </c>
      <c r="B165" s="18" t="str">
        <f>TEXT(preçodiario[[#This Row],[data]],"MMM")</f>
        <v>jun</v>
      </c>
      <c r="C165" s="18" t="str">
        <f>TEXT(preçodiario[[#This Row],[data]],"ddd")</f>
        <v>sáb</v>
      </c>
      <c r="D165" s="96">
        <f>WEEKNUM(preçodiario[[#This Row],[data]],13)</f>
        <v>24</v>
      </c>
      <c r="E165" s="37">
        <v>46186</v>
      </c>
      <c r="F1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Row],[data]])),((F164*G164)+SUMIFS(estoque[valor total],estoque[produto],preçodiario[[#Headers],[OVO BRANCO A]],estoque[data],preçodiario[[#This Row],[data]],estoque[fornecedor],"&lt;&gt;saída"))/(G164+(SUMIFS(estoque[quantidade],estoque[produto],preçodiario[[#Headers],[OVO BRANCO A]],estoque[fornecedor],"&lt;&gt;saída",estoque[data],preçodiario[[#This Row],[data]])))))</f>
        <v>15.443308560042691</v>
      </c>
      <c r="G165" s="22">
        <f>IF(preçodiario[[#This Row],[entrada A]]=0,G164-(SUMIFS(estoque[quantidade],estoque[fornecedor],"saída",estoque[produto],preçodiario[[#Headers],[OVO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Row],[data]]))+G164+preçodiario[[#This Row],[entrada A]])</f>
        <v>2</v>
      </c>
      <c r="H165" s="22">
        <f>SUMIFS(estoque[quantidade],estoque[fornecedor],"&lt;&gt;saída",estoque[produto],preçodiario[[#Headers],[OVO BRANCO A]],estoque[data],preçodiario[[#This Row],[data]])</f>
        <v>0</v>
      </c>
      <c r="I165" s="20">
        <f>SUMIFS(estoque[valor total],estoque[fornecedor],"&lt;&gt;saída",estoque[produto],preçodiario[[#Headers],[OVO BRANCO A]],estoque[data],preçodiario[[#This Row],[data]])</f>
        <v>0</v>
      </c>
      <c r="J165" s="20">
        <f>IFERROR(preçodiario[[#This Row],[estoque A]]*preçodiario[[#This Row],[OVO BRANCO A]],0)</f>
        <v>30.886617120085383</v>
      </c>
      <c r="K1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Row],[data]])),((K164*L164)+SUMIFS(estoque[valor total],estoque[produto],preçodiario[[#Headers],[OVO BRANCO B]],estoque[data],preçodiario[[#This Row],[data]],estoque[fornecedor],"&lt;&gt;saída"))/(L164+(SUMIFS(estoque[quantidade],estoque[produto],preçodiario[[#Headers],[OVO BRANCO B]],estoque[fornecedor],"&lt;&gt;saída",estoque[data],preçodiario[[#This Row],[data]])))))</f>
        <v>14.704142011834318</v>
      </c>
      <c r="L165" s="22">
        <f>IF(preçodiario[[#This Row],[entrada B]]=0,L164-(SUMIFS(estoque[quantidade],estoque[fornecedor],"saída",estoque[produto],preçodiario[[#Headers],[OVO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Row],[data]]))+L164+preçodiario[[#This Row],[entrada B]])</f>
        <v>104</v>
      </c>
      <c r="M165" s="22">
        <f>SUMIFS(estoque[quantidade],estoque[fornecedor],"&lt;&gt;saída",estoque[produto],preçodiario[[#Headers],[OVO BRANCO B]],estoque[data],preçodiario[[#This Row],[data]])</f>
        <v>0</v>
      </c>
      <c r="N165" s="20">
        <f>SUMIFS(estoque[valor total],estoque[fornecedor],"&lt;&gt;saída",estoque[produto],preçodiario[[#Headers],[OVO BRANCO B]],estoque[data],preçodiario[[#This Row],[data]])</f>
        <v>0</v>
      </c>
      <c r="O165" s="20">
        <f>IFERROR(preçodiario[[#This Row],[OVO BRANCO B]]*preçodiario[[#This Row],[estoque B]],0)</f>
        <v>1529.2307692307691</v>
      </c>
      <c r="P1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Row],[data]])),((P164*Q164)+SUMIFS(estoque[valor total],estoque[produto],preçodiario[[#Headers],[OVO BRANCO C]],estoque[data],preçodiario[[#This Row],[data]],estoque[fornecedor],"&lt;&gt;saída"))/(Q164+(SUMIFS(estoque[quantidade],estoque[produto],preçodiario[[#Headers],[OVO BRANCO C]],estoque[fornecedor],"&lt;&gt;saída",estoque[data],preçodiario[[#This Row],[data]])))))</f>
        <v>13.833333333333336</v>
      </c>
      <c r="Q165" s="22">
        <f>IF(preçodiario[[#This Row],[entrada C]]=0,Q164-(SUMIFS(estoque[quantidade],estoque[fornecedor],"saída",estoque[produto],preçodiario[[#Headers],[OVO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Row],[data]]))+Q164+preçodiario[[#This Row],[entrada C]])</f>
        <v>33</v>
      </c>
      <c r="R165" s="22">
        <f>SUMIFS(estoque[quantidade],estoque[fornecedor],"&lt;&gt;saída",estoque[produto],preçodiario[[#Headers],[OVO BRANCO C]],estoque[data],preçodiario[[#This Row],[data]])</f>
        <v>0</v>
      </c>
      <c r="S165" s="20">
        <f>SUMIFS(estoque[valor total],estoque[fornecedor],"&lt;&gt;saída",estoque[produto],preçodiario[[#Headers],[OVO BRANCO C]],estoque[data],preçodiario[[#This Row],[data]])</f>
        <v>0</v>
      </c>
      <c r="T165" s="20">
        <f>IFERROR(preçodiario[[#This Row],[OVO BRANCO C]]*preçodiario[[#This Row],[estoque C]],0)</f>
        <v>456.50000000000006</v>
      </c>
      <c r="U1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Row],[data]])),((U164*V164)+SUMIFS(estoque[valor total],estoque[produto],preçodiario[[#Headers],[OVO BRANCO EXTRA]],estoque[data],preçodiario[[#This Row],[data]],estoque[fornecedor],"&lt;&gt;saída"))/(V164+(SUMIFS(estoque[quantidade],estoque[produto],preçodiario[[#Headers],[OVO BRANCO EXTRA]],estoque[fornecedor],"&lt;&gt;saída",estoque[data],preçodiario[[#This Row],[data]])))))</f>
        <v>15.833333333333334</v>
      </c>
      <c r="V165" s="22">
        <f>IF(preçodiario[[#This Row],[entrada E]]=0,V164-(SUMIFS(estoque[quantidade],estoque[fornecedor],"saída",estoque[produto],preçodiario[[#Headers],[OVO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Row],[data]]))+V164+preçodiario[[#This Row],[entrada E]])</f>
        <v>48</v>
      </c>
      <c r="W165" s="22">
        <f>SUMIFS(estoque[quantidade],estoque[fornecedor],"&lt;&gt;saída",estoque[produto],preçodiario[[#Headers],[OVO BRANCO EXTRA]],estoque[data],preçodiario[[#This Row],[data]])</f>
        <v>0</v>
      </c>
      <c r="X165" s="20">
        <f>SUMIFS(estoque[valor total],estoque[fornecedor],"&lt;&gt;saída",estoque[produto],preçodiario[[#Headers],[OVO BRANCO EXTRA]],estoque[data],preçodiario[[#This Row],[data]])</f>
        <v>0</v>
      </c>
      <c r="Y165" s="20">
        <f>IFERROR(preçodiario[[#This Row],[estoque E]]*preçodiario[[#This Row],[OVO BRANCO EXTRA]],0)</f>
        <v>760</v>
      </c>
      <c r="Z1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Row],[data]])),((Z164*AA164)+SUMIFS(estoque[valor total],estoque[produto],preçodiario[[#Headers],[OVO BRANCO JUMBO]],estoque[data],preçodiario[[#This Row],[data]],estoque[fornecedor],"&lt;&gt;saída"))/(AA164+(SUMIFS(estoque[quantidade],estoque[produto],preçodiario[[#Headers],[OVO BRANCO JUMBO]],estoque[fornecedor],"&lt;&gt;saída",estoque[data],preçodiario[[#This Row],[data]])))))</f>
        <v>17.083333333333332</v>
      </c>
      <c r="AA165" s="22">
        <f>IF(preçodiario[[#This Row],[entrada J]]=0,AA164-(SUMIFS(estoque[quantidade],estoque[fornecedor],"saída",estoque[produto],preçodiario[[#Headers],[OVO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Row],[data]]))+AA164+preçodiario[[#This Row],[entrada J]])</f>
        <v>17</v>
      </c>
      <c r="AB165" s="22">
        <f>SUMIFS(estoque[quantidade],estoque[fornecedor],"&lt;&gt;saída",estoque[produto],preçodiario[[#Headers],[OVO BRANCO JUMBO]],estoque[data],preçodiario[[#This Row],[data]])</f>
        <v>0</v>
      </c>
      <c r="AC165" s="20">
        <f>SUMIFS(estoque[valor total],estoque[fornecedor],"&lt;&gt;saída",estoque[produto],preçodiario[[#Headers],[OVO BRANCO JUMBO]],estoque[data],preçodiario[[#This Row],[data]])</f>
        <v>0</v>
      </c>
      <c r="AD165" s="20">
        <f>IFERROR(preçodiario[[#This Row],[OVO BRANCO JUMBO]]*preçodiario[[#This Row],[estoque J]],0)</f>
        <v>290.41666666666663</v>
      </c>
      <c r="AE1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Row],[data]])),((AE164*AF164)+SUMIFS(estoque[valor total],estoque[produto],preçodiario[[#Headers],[OVO VERMELHO A]],estoque[data],preçodiario[[#This Row],[data]],estoque[fornecedor],"&lt;&gt;saída"))/(AF164+(SUMIFS(estoque[quantidade],estoque[produto],preçodiario[[#Headers],[OVO VERMELHO A]],estoque[fornecedor],"&lt;&gt;saída",estoque[data],preçodiario[[#This Row],[data]])))))</f>
        <v/>
      </c>
      <c r="AF165" s="22">
        <f>IF(preçodiario[[#This Row],[entrada AV]]=0,AF164-(SUMIFS(estoque[quantidade],estoque[fornecedor],"saída",estoque[produto],preçodiario[[#Headers],[OVO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Row],[data]]))+AF164+preçodiario[[#This Row],[entrada AV]])</f>
        <v>0</v>
      </c>
      <c r="AG165" s="22">
        <f>SUMIFS(estoque[quantidade],estoque[fornecedor],"&lt;&gt;saída",estoque[produto],preçodiario[[#Headers],[OVO VERMELHO A]],estoque[data],preçodiario[[#This Row],[data]])</f>
        <v>0</v>
      </c>
      <c r="AH165" s="20">
        <f>SUMIFS(estoque[valor total],estoque[fornecedor],"&lt;&gt;saída",estoque[produto],preçodiario[[#Headers],[OVO VERMELHO A]],estoque[data],preçodiario[[#This Row],[data]])</f>
        <v>0</v>
      </c>
      <c r="AI165" s="20">
        <f>IFERROR(preçodiario[[#This Row],[OVO VERMELHO A]]*preçodiario[[#This Row],[estoque AV]],0)</f>
        <v>0</v>
      </c>
      <c r="AJ1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Row],[data]])),((AJ164*AK164)+SUMIFS(estoque[valor total],estoque[produto],preçodiario[[#Headers],[OVO VERMELHO B]],estoque[data],preçodiario[[#This Row],[data]],estoque[fornecedor],"&lt;&gt;saída"))/(AK164+(SUMIFS(estoque[quantidade],estoque[produto],preçodiario[[#Headers],[OVO VERMELHO B]],estoque[fornecedor],"&lt;&gt;saída",estoque[data],preçodiario[[#This Row],[data]])))))</f>
        <v/>
      </c>
      <c r="AK165" s="22">
        <f>IF(preçodiario[[#This Row],[entrada BV]]=0,AK164-(SUMIFS(estoque[quantidade],estoque[fornecedor],"saída",estoque[produto],preçodiario[[#Headers],[OVO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Row],[data]]))+AK164+preçodiario[[#This Row],[entrada BV]])</f>
        <v>0</v>
      </c>
      <c r="AL165" s="22">
        <f>SUMIFS(estoque[quantidade],estoque[fornecedor],"&lt;&gt;saída",estoque[produto],preçodiario[[#Headers],[OVO VERMELHO B]],estoque[data],preçodiario[[#This Row],[data]])</f>
        <v>0</v>
      </c>
      <c r="AM165" s="20">
        <f>SUMIFS(estoque[valor total],estoque[fornecedor],"&lt;&gt;saída",estoque[produto],preçodiario[[#Headers],[OVO VERMELHO B]],estoque[data],preçodiario[[#This Row],[data]])</f>
        <v>0</v>
      </c>
      <c r="AN165" s="20">
        <f>IFERROR(preçodiario[[#This Row],[OVO VERMELHO B]]*preçodiario[[#This Row],[estoque BV]],0)</f>
        <v>0</v>
      </c>
      <c r="AO1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Row],[data]])),((AO164*AP164)+SUMIFS(estoque[valor total],estoque[produto],preçodiario[[#Headers],[OVO VERMELHO C]],estoque[data],preçodiario[[#This Row],[data]],estoque[fornecedor],"&lt;&gt;saída"))/(AP164+(SUMIFS(estoque[quantidade],estoque[produto],preçodiario[[#Headers],[OVO VERMELHO C]],estoque[fornecedor],"&lt;&gt;saída",estoque[data],preçodiario[[#This Row],[data]])))))</f>
        <v/>
      </c>
      <c r="AP165" s="22">
        <f>IF(preçodiario[[#This Row],[entrada CV]]=0,AP164-(SUMIFS(estoque[quantidade],estoque[fornecedor],"saída",estoque[produto],preçodiario[[#Headers],[OVO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Row],[data]]))+AP164+preçodiario[[#This Row],[entrada CV]])</f>
        <v>0</v>
      </c>
      <c r="AQ165" s="22">
        <f>SUMIFS(estoque[quantidade],estoque[fornecedor],"&lt;&gt;saída",estoque[produto],preçodiario[[#Headers],[OVO VERMELHO C]],estoque[data],preçodiario[[#This Row],[data]])</f>
        <v>0</v>
      </c>
      <c r="AR165" s="20">
        <f>SUMIFS(estoque[valor total],estoque[fornecedor],"&lt;&gt;saída",estoque[produto],preçodiario[[#Headers],[OVO VERMELHO C]],estoque[data],preçodiario[[#This Row],[data]])</f>
        <v>0</v>
      </c>
      <c r="AS165" s="20">
        <f>IFERROR(preçodiario[[#This Row],[OVO VERMELHO C]]*preçodiario[[#This Row],[estoque CV]],0)</f>
        <v>0</v>
      </c>
      <c r="AT1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Row],[data]])),((AT164*AU164)+SUMIFS(estoque[valor total],estoque[produto],preçodiario[[#Headers],[OVO VERMELHO EXTRA]],estoque[data],preçodiario[[#This Row],[data]],estoque[fornecedor],"&lt;&gt;saída"))/(AU164+(SUMIFS(estoque[quantidade],estoque[produto],preçodiario[[#Headers],[OVO VERMELHO EXTRA]],estoque[fornecedor],"&lt;&gt;saída",estoque[data],preçodiario[[#This Row],[data]])))))</f>
        <v/>
      </c>
      <c r="AU165" s="22">
        <f>IF(preçodiario[[#This Row],[entrada EV]]=0,AU164-(SUMIFS(estoque[quantidade],estoque[fornecedor],"saída",estoque[produto],preçodiario[[#Headers],[OVO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Row],[data]]))+AU164+preçodiario[[#This Row],[entrada EV]])</f>
        <v>0</v>
      </c>
      <c r="AV165" s="22">
        <f>SUMIFS(estoque[quantidade],estoque[fornecedor],"&lt;&gt;saída",estoque[produto],preçodiario[[#Headers],[OVO VERMELHO EXTRA]],estoque[data],preçodiario[[#This Row],[data]])</f>
        <v>0</v>
      </c>
      <c r="AW165" s="20">
        <f>SUMIFS(estoque[valor total],estoque[fornecedor],"&lt;&gt;saída",estoque[produto],preçodiario[[#Headers],[OVO VERMELHO EXTRA]],estoque[data],preçodiario[[#This Row],[data]])</f>
        <v>0</v>
      </c>
      <c r="AX165" s="20">
        <f>IFERROR(preçodiario[[#This Row],[OVO VERMELHO EXTRA]]*preçodiario[[#This Row],[estoque EV]],0)</f>
        <v>0</v>
      </c>
      <c r="AY1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Row],[data]])),((AY164*AZ164)+SUMIFS(estoque[valor total],estoque[produto],preçodiario[[#Headers],[OVO VERMELHO JUMBO]],estoque[data],preçodiario[[#This Row],[data]],estoque[fornecedor],"&lt;&gt;saída"))/(AZ164+(SUMIFS(estoque[quantidade],estoque[produto],preçodiario[[#Headers],[OVO VERMELHO JUMBO]],estoque[fornecedor],"&lt;&gt;saída",estoque[data],preçodiario[[#This Row],[data]])))))</f>
        <v/>
      </c>
      <c r="AZ165" s="22">
        <f>IF(preçodiario[[#This Row],[entrada JV]]=0,AZ164-(SUMIFS(estoque[quantidade],estoque[fornecedor],"saída",estoque[produto],preçodiario[[#Headers],[OVO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Row],[data]]))+AZ164+preçodiario[[#This Row],[entrada JV]])</f>
        <v>0</v>
      </c>
      <c r="BA165" s="22">
        <f>SUMIFS(estoque[quantidade],estoque[fornecedor],"&lt;&gt;saída",estoque[produto],preçodiario[[#Headers],[OVO VERMELHO JUMBO]],estoque[data],preçodiario[[#This Row],[data]])</f>
        <v>0</v>
      </c>
      <c r="BB165" s="20">
        <f>SUMIFS(estoque[valor total],estoque[fornecedor],"&lt;&gt;saída",estoque[produto],preçodiario[[#Headers],[OVO VERMELHO JUMBO]],estoque[data],preçodiario[[#This Row],[data]])</f>
        <v>0</v>
      </c>
      <c r="BC165" s="20">
        <f>IFERROR(preçodiario[[#This Row],[OVO VERMELHO JUMBO]]*preçodiario[[#This Row],[estoque JV]],0)</f>
        <v>0</v>
      </c>
      <c r="BD165" t="str">
        <f>TEXT(vendaAno[[#This Row],[data]],"mmm")</f>
        <v>jun</v>
      </c>
      <c r="BE165" t="str">
        <f>TEXT(vendaAno[[#This Row],[data]],"ddd")</f>
        <v>sáb</v>
      </c>
      <c r="BF165" s="82">
        <f>WEEKNUM(vendaAno[[#This Row],[data]],13)</f>
        <v>24</v>
      </c>
      <c r="BG165" s="27">
        <f>preçodiario[[#This Row],[data]]</f>
        <v>46186</v>
      </c>
      <c r="BH1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5" s="8">
        <f>IF(SUMIFS(estoque[valor total],estoque[fornecedor],"saída",estoque[data],vendaAno[[#This Row],[data]])=0,"",SUMIFS(estoque[valor total],estoque[fornecedor],"saída",estoque[data],vendaAno[[#This Row],[data]]))</f>
        <v>524</v>
      </c>
      <c r="BJ16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Row],[data]]))/12+BJ164,"")</f>
        <v>16.999999999999975</v>
      </c>
      <c r="BK165" s="79">
        <f ca="1">IF(TODAY()&gt;=vendaAno[[#This Row],[data]],IF(SUMIFS(estoque[quantidade],estoque[fornecedor],"saída",estoque[data],vendaAno[[#This Row],[data]])/12=0,AVERAGE(BK162:BK164),SUMIFS(estoque[quantidade],estoque[fornecedor],"saída",estoque[data],vendaAno[[#This Row],[data]])/12),"")</f>
        <v>2.4166666666666665</v>
      </c>
      <c r="BL165" s="8">
        <f ca="1">IF(vendaAno[[#This Row],[data]]&lt;=TODAY(),IF(SUMIFS(estoque[lucro],estoque[fornecedor],"saída",estoque[data],vendaAno[[#This Row],[data]])=0,AVERAGE(BL162:BL164),SUMIFS(estoque[lucro],estoque[fornecedor],"saída",estoque[data],vendaAno[[#This Row],[data]])),"")</f>
        <v>78.88</v>
      </c>
      <c r="BM165" s="10">
        <f ca="1">IFERROR(vendaAno[[#This Row],[lucro]]/vendaAno[[#This Row],[valor de venda]],"")</f>
        <v>0.15053435114503816</v>
      </c>
      <c r="BN16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3067.0340530175208</v>
      </c>
      <c r="BO165" s="8">
        <f ca="1">IF(TODAY()&gt;=vendaAno[[#This Row],[data]],IF(vendaAno[[#This Row],[N°]]=BF164,vendaAno[[#This Row],[lucro]]-173.33+BO164,vendaAno[[#This Row],[lucro]]-150),"")</f>
        <v>-375.85</v>
      </c>
      <c r="BP165" s="81">
        <f ca="1">IF(TODAY()&gt;=vendaAno[[#This Row],[data]],SUM(BK159:BK165)*12,"")</f>
        <v>199.99999999999997</v>
      </c>
      <c r="BQ165" s="7">
        <f ca="1">IFERROR(vendaAno[[#This Row],[lucro]]/(vendaAno[[#This Row],[venda]]*12),"")</f>
        <v>2.7199999999999998</v>
      </c>
    </row>
    <row r="166" spans="1:69" x14ac:dyDescent="0.25">
      <c r="A166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6" s="18" t="str">
        <f>TEXT(preçodiario[[#This Row],[data]],"MMM")</f>
        <v>jun</v>
      </c>
      <c r="C166" s="18" t="str">
        <f>TEXT(preçodiario[[#This Row],[data]],"ddd")</f>
        <v>dom</v>
      </c>
      <c r="D166" s="96">
        <f>WEEKNUM(preçodiario[[#This Row],[data]],13)</f>
        <v>24</v>
      </c>
      <c r="E166" s="37">
        <v>46187</v>
      </c>
      <c r="F166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Row],[data]])),((F165*G165)+SUMIFS(estoque[valor total],estoque[produto],preçodiario[[#Headers],[OVO BRANCO A]],estoque[data],preçodiario[[#This Row],[data]],estoque[fornecedor],"&lt;&gt;saída"))/(G165+(SUMIFS(estoque[quantidade],estoque[produto],preçodiario[[#Headers],[OVO BRANCO A]],estoque[fornecedor],"&lt;&gt;saída",estoque[data],preçodiario[[#This Row],[data]])))))</f>
        <v/>
      </c>
      <c r="G166" s="22">
        <f>IF(preçodiario[[#This Row],[entrada A]]=0,G165-(SUMIFS(estoque[quantidade],estoque[fornecedor],"saída",estoque[produto],preçodiario[[#Headers],[OVO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Row],[data]]))+G165+preçodiario[[#This Row],[entrada A]])</f>
        <v>0</v>
      </c>
      <c r="H166" s="22">
        <f>SUMIFS(estoque[quantidade],estoque[fornecedor],"&lt;&gt;saída",estoque[produto],preçodiario[[#Headers],[OVO BRANCO A]],estoque[data],preçodiario[[#This Row],[data]])</f>
        <v>0</v>
      </c>
      <c r="I166" s="20">
        <f>SUMIFS(estoque[valor total],estoque[fornecedor],"&lt;&gt;saída",estoque[produto],preçodiario[[#Headers],[OVO BRANCO A]],estoque[data],preçodiario[[#This Row],[data]])</f>
        <v>0</v>
      </c>
      <c r="J166" s="20">
        <f>IFERROR(preçodiario[[#This Row],[estoque A]]*preçodiario[[#This Row],[OVO BRANCO A]],0)</f>
        <v>0</v>
      </c>
      <c r="K1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Row],[data]])),((K165*L165)+SUMIFS(estoque[valor total],estoque[produto],preçodiario[[#Headers],[OVO BRANCO B]],estoque[data],preçodiario[[#This Row],[data]],estoque[fornecedor],"&lt;&gt;saída"))/(L165+(SUMIFS(estoque[quantidade],estoque[produto],preçodiario[[#Headers],[OVO BRANCO B]],estoque[fornecedor],"&lt;&gt;saída",estoque[data],preçodiario[[#This Row],[data]])))))</f>
        <v>14.704142011834318</v>
      </c>
      <c r="L166" s="22">
        <f>IF(preçodiario[[#This Row],[entrada B]]=0,L165-(SUMIFS(estoque[quantidade],estoque[fornecedor],"saída",estoque[produto],preçodiario[[#Headers],[OVO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Row],[data]]))+L165+preçodiario[[#This Row],[entrada B]])</f>
        <v>90</v>
      </c>
      <c r="M166" s="22">
        <f>SUMIFS(estoque[quantidade],estoque[fornecedor],"&lt;&gt;saída",estoque[produto],preçodiario[[#Headers],[OVO BRANCO B]],estoque[data],preçodiario[[#This Row],[data]])</f>
        <v>0</v>
      </c>
      <c r="N166" s="20">
        <f>SUMIFS(estoque[valor total],estoque[fornecedor],"&lt;&gt;saída",estoque[produto],preçodiario[[#Headers],[OVO BRANCO B]],estoque[data],preçodiario[[#This Row],[data]])</f>
        <v>0</v>
      </c>
      <c r="O166" s="20">
        <f>IFERROR(preçodiario[[#This Row],[OVO BRANCO B]]*preçodiario[[#This Row],[estoque B]],0)</f>
        <v>1323.3727810650885</v>
      </c>
      <c r="P1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Row],[data]])),((P165*Q165)+SUMIFS(estoque[valor total],estoque[produto],preçodiario[[#Headers],[OVO BRANCO C]],estoque[data],preçodiario[[#This Row],[data]],estoque[fornecedor],"&lt;&gt;saída"))/(Q165+(SUMIFS(estoque[quantidade],estoque[produto],preçodiario[[#Headers],[OVO BRANCO C]],estoque[fornecedor],"&lt;&gt;saída",estoque[data],preçodiario[[#This Row],[data]])))))</f>
        <v>13.833333333333336</v>
      </c>
      <c r="Q166" s="22">
        <f>IF(preçodiario[[#This Row],[entrada C]]=0,Q165-(SUMIFS(estoque[quantidade],estoque[fornecedor],"saída",estoque[produto],preçodiario[[#Headers],[OVO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Row],[data]]))+Q165+preçodiario[[#This Row],[entrada C]])</f>
        <v>33</v>
      </c>
      <c r="R166" s="22">
        <f>SUMIFS(estoque[quantidade],estoque[fornecedor],"&lt;&gt;saída",estoque[produto],preçodiario[[#Headers],[OVO BRANCO C]],estoque[data],preçodiario[[#This Row],[data]])</f>
        <v>0</v>
      </c>
      <c r="S166" s="20">
        <f>SUMIFS(estoque[valor total],estoque[fornecedor],"&lt;&gt;saída",estoque[produto],preçodiario[[#Headers],[OVO BRANCO C]],estoque[data],preçodiario[[#This Row],[data]])</f>
        <v>0</v>
      </c>
      <c r="T166" s="20">
        <f>IFERROR(preçodiario[[#This Row],[OVO BRANCO C]]*preçodiario[[#This Row],[estoque C]],0)</f>
        <v>456.50000000000006</v>
      </c>
      <c r="U1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Row],[data]])),((U165*V165)+SUMIFS(estoque[valor total],estoque[produto],preçodiario[[#Headers],[OVO BRANCO EXTRA]],estoque[data],preçodiario[[#This Row],[data]],estoque[fornecedor],"&lt;&gt;saída"))/(V165+(SUMIFS(estoque[quantidade],estoque[produto],preçodiario[[#Headers],[OVO BRANCO EXTRA]],estoque[fornecedor],"&lt;&gt;saída",estoque[data],preçodiario[[#This Row],[data]])))))</f>
        <v>15.833333333333334</v>
      </c>
      <c r="V166" s="22">
        <f>IF(preçodiario[[#This Row],[entrada E]]=0,V165-(SUMIFS(estoque[quantidade],estoque[fornecedor],"saída",estoque[produto],preçodiario[[#Headers],[OVO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Row],[data]]))+V165+preçodiario[[#This Row],[entrada E]])</f>
        <v>31</v>
      </c>
      <c r="W166" s="22">
        <f>SUMIFS(estoque[quantidade],estoque[fornecedor],"&lt;&gt;saída",estoque[produto],preçodiario[[#Headers],[OVO BRANCO EXTRA]],estoque[data],preçodiario[[#This Row],[data]])</f>
        <v>0</v>
      </c>
      <c r="X166" s="20">
        <f>SUMIFS(estoque[valor total],estoque[fornecedor],"&lt;&gt;saída",estoque[produto],preçodiario[[#Headers],[OVO BRANCO EXTRA]],estoque[data],preçodiario[[#This Row],[data]])</f>
        <v>0</v>
      </c>
      <c r="Y166" s="20">
        <f>IFERROR(preçodiario[[#This Row],[estoque E]]*preçodiario[[#This Row],[OVO BRANCO EXTRA]],0)</f>
        <v>490.83333333333337</v>
      </c>
      <c r="Z1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Row],[data]])),((Z165*AA165)+SUMIFS(estoque[valor total],estoque[produto],preçodiario[[#Headers],[OVO BRANCO JUMBO]],estoque[data],preçodiario[[#This Row],[data]],estoque[fornecedor],"&lt;&gt;saída"))/(AA165+(SUMIFS(estoque[quantidade],estoque[produto],preçodiario[[#Headers],[OVO BRANCO JUMBO]],estoque[fornecedor],"&lt;&gt;saída",estoque[data],preçodiario[[#This Row],[data]])))))</f>
        <v>17.083333333333332</v>
      </c>
      <c r="AA166" s="22">
        <f>IF(preçodiario[[#This Row],[entrada J]]=0,AA165-(SUMIFS(estoque[quantidade],estoque[fornecedor],"saída",estoque[produto],preçodiario[[#Headers],[OVO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Row],[data]]))+AA165+preçodiario[[#This Row],[entrada J]])</f>
        <v>16</v>
      </c>
      <c r="AB166" s="22">
        <f>SUMIFS(estoque[quantidade],estoque[fornecedor],"&lt;&gt;saída",estoque[produto],preçodiario[[#Headers],[OVO BRANCO JUMBO]],estoque[data],preçodiario[[#This Row],[data]])</f>
        <v>0</v>
      </c>
      <c r="AC166" s="20">
        <f>SUMIFS(estoque[valor total],estoque[fornecedor],"&lt;&gt;saída",estoque[produto],preçodiario[[#Headers],[OVO BRANCO JUMBO]],estoque[data],preçodiario[[#This Row],[data]])</f>
        <v>0</v>
      </c>
      <c r="AD166" s="20">
        <f>IFERROR(preçodiario[[#This Row],[OVO BRANCO JUMBO]]*preçodiario[[#This Row],[estoque J]],0)</f>
        <v>273.33333333333331</v>
      </c>
      <c r="AE1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Row],[data]])),((AE165*AF165)+SUMIFS(estoque[valor total],estoque[produto],preçodiario[[#Headers],[OVO VERMELHO A]],estoque[data],preçodiario[[#This Row],[data]],estoque[fornecedor],"&lt;&gt;saída"))/(AF165+(SUMIFS(estoque[quantidade],estoque[produto],preçodiario[[#Headers],[OVO VERMELHO A]],estoque[fornecedor],"&lt;&gt;saída",estoque[data],preçodiario[[#This Row],[data]])))))</f>
        <v/>
      </c>
      <c r="AF166" s="22">
        <f>IF(preçodiario[[#This Row],[entrada AV]]=0,AF165-(SUMIFS(estoque[quantidade],estoque[fornecedor],"saída",estoque[produto],preçodiario[[#Headers],[OVO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Row],[data]]))+AF165+preçodiario[[#This Row],[entrada AV]])</f>
        <v>0</v>
      </c>
      <c r="AG166" s="22">
        <f>SUMIFS(estoque[quantidade],estoque[fornecedor],"&lt;&gt;saída",estoque[produto],preçodiario[[#Headers],[OVO VERMELHO A]],estoque[data],preçodiario[[#This Row],[data]])</f>
        <v>0</v>
      </c>
      <c r="AH166" s="20">
        <f>SUMIFS(estoque[valor total],estoque[fornecedor],"&lt;&gt;saída",estoque[produto],preçodiario[[#Headers],[OVO VERMELHO A]],estoque[data],preçodiario[[#This Row],[data]])</f>
        <v>0</v>
      </c>
      <c r="AI166" s="20">
        <f>IFERROR(preçodiario[[#This Row],[OVO VERMELHO A]]*preçodiario[[#This Row],[estoque AV]],0)</f>
        <v>0</v>
      </c>
      <c r="AJ1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Row],[data]])),((AJ165*AK165)+SUMIFS(estoque[valor total],estoque[produto],preçodiario[[#Headers],[OVO VERMELHO B]],estoque[data],preçodiario[[#This Row],[data]],estoque[fornecedor],"&lt;&gt;saída"))/(AK165+(SUMIFS(estoque[quantidade],estoque[produto],preçodiario[[#Headers],[OVO VERMELHO B]],estoque[fornecedor],"&lt;&gt;saída",estoque[data],preçodiario[[#This Row],[data]])))))</f>
        <v/>
      </c>
      <c r="AK166" s="22">
        <f>IF(preçodiario[[#This Row],[entrada BV]]=0,AK165-(SUMIFS(estoque[quantidade],estoque[fornecedor],"saída",estoque[produto],preçodiario[[#Headers],[OVO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Row],[data]]))+AK165+preçodiario[[#This Row],[entrada BV]])</f>
        <v>0</v>
      </c>
      <c r="AL166" s="22">
        <f>SUMIFS(estoque[quantidade],estoque[fornecedor],"&lt;&gt;saída",estoque[produto],preçodiario[[#Headers],[OVO VERMELHO B]],estoque[data],preçodiario[[#This Row],[data]])</f>
        <v>0</v>
      </c>
      <c r="AM166" s="20">
        <f>SUMIFS(estoque[valor total],estoque[fornecedor],"&lt;&gt;saída",estoque[produto],preçodiario[[#Headers],[OVO VERMELHO B]],estoque[data],preçodiario[[#This Row],[data]])</f>
        <v>0</v>
      </c>
      <c r="AN166" s="20">
        <f>IFERROR(preçodiario[[#This Row],[OVO VERMELHO B]]*preçodiario[[#This Row],[estoque BV]],0)</f>
        <v>0</v>
      </c>
      <c r="AO1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Row],[data]])),((AO165*AP165)+SUMIFS(estoque[valor total],estoque[produto],preçodiario[[#Headers],[OVO VERMELHO C]],estoque[data],preçodiario[[#This Row],[data]],estoque[fornecedor],"&lt;&gt;saída"))/(AP165+(SUMIFS(estoque[quantidade],estoque[produto],preçodiario[[#Headers],[OVO VERMELHO C]],estoque[fornecedor],"&lt;&gt;saída",estoque[data],preçodiario[[#This Row],[data]])))))</f>
        <v/>
      </c>
      <c r="AP166" s="22">
        <f>IF(preçodiario[[#This Row],[entrada CV]]=0,AP165-(SUMIFS(estoque[quantidade],estoque[fornecedor],"saída",estoque[produto],preçodiario[[#Headers],[OVO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Row],[data]]))+AP165+preçodiario[[#This Row],[entrada CV]])</f>
        <v>0</v>
      </c>
      <c r="AQ166" s="22">
        <f>SUMIFS(estoque[quantidade],estoque[fornecedor],"&lt;&gt;saída",estoque[produto],preçodiario[[#Headers],[OVO VERMELHO C]],estoque[data],preçodiario[[#This Row],[data]])</f>
        <v>0</v>
      </c>
      <c r="AR166" s="20">
        <f>SUMIFS(estoque[valor total],estoque[fornecedor],"&lt;&gt;saída",estoque[produto],preçodiario[[#Headers],[OVO VERMELHO C]],estoque[data],preçodiario[[#This Row],[data]])</f>
        <v>0</v>
      </c>
      <c r="AS166" s="20">
        <f>IFERROR(preçodiario[[#This Row],[OVO VERMELHO C]]*preçodiario[[#This Row],[estoque CV]],0)</f>
        <v>0</v>
      </c>
      <c r="AT1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Row],[data]])),((AT165*AU165)+SUMIFS(estoque[valor total],estoque[produto],preçodiario[[#Headers],[OVO VERMELHO EXTRA]],estoque[data],preçodiario[[#This Row],[data]],estoque[fornecedor],"&lt;&gt;saída"))/(AU165+(SUMIFS(estoque[quantidade],estoque[produto],preçodiario[[#Headers],[OVO VERMELHO EXTRA]],estoque[fornecedor],"&lt;&gt;saída",estoque[data],preçodiario[[#This Row],[data]])))))</f>
        <v/>
      </c>
      <c r="AU166" s="22">
        <f>IF(preçodiario[[#This Row],[entrada EV]]=0,AU165-(SUMIFS(estoque[quantidade],estoque[fornecedor],"saída",estoque[produto],preçodiario[[#Headers],[OVO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Row],[data]]))+AU165+preçodiario[[#This Row],[entrada EV]])</f>
        <v>0</v>
      </c>
      <c r="AV166" s="22">
        <f>SUMIFS(estoque[quantidade],estoque[fornecedor],"&lt;&gt;saída",estoque[produto],preçodiario[[#Headers],[OVO VERMELHO EXTRA]],estoque[data],preçodiario[[#This Row],[data]])</f>
        <v>0</v>
      </c>
      <c r="AW166" s="20">
        <f>SUMIFS(estoque[valor total],estoque[fornecedor],"&lt;&gt;saída",estoque[produto],preçodiario[[#Headers],[OVO VERMELHO EXTRA]],estoque[data],preçodiario[[#This Row],[data]])</f>
        <v>0</v>
      </c>
      <c r="AX166" s="20">
        <f>IFERROR(preçodiario[[#This Row],[OVO VERMELHO EXTRA]]*preçodiario[[#This Row],[estoque EV]],0)</f>
        <v>0</v>
      </c>
      <c r="AY1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Row],[data]])),((AY165*AZ165)+SUMIFS(estoque[valor total],estoque[produto],preçodiario[[#Headers],[OVO VERMELHO JUMBO]],estoque[data],preçodiario[[#This Row],[data]],estoque[fornecedor],"&lt;&gt;saída"))/(AZ165+(SUMIFS(estoque[quantidade],estoque[produto],preçodiario[[#Headers],[OVO VERMELHO JUMBO]],estoque[fornecedor],"&lt;&gt;saída",estoque[data],preçodiario[[#This Row],[data]])))))</f>
        <v/>
      </c>
      <c r="AZ166" s="22">
        <f>IF(preçodiario[[#This Row],[entrada JV]]=0,AZ165-(SUMIFS(estoque[quantidade],estoque[fornecedor],"saída",estoque[produto],preçodiario[[#Headers],[OVO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Row],[data]]))+AZ165+preçodiario[[#This Row],[entrada JV]])</f>
        <v>0</v>
      </c>
      <c r="BA166" s="22">
        <f>SUMIFS(estoque[quantidade],estoque[fornecedor],"&lt;&gt;saída",estoque[produto],preçodiario[[#Headers],[OVO VERMELHO JUMBO]],estoque[data],preçodiario[[#This Row],[data]])</f>
        <v>0</v>
      </c>
      <c r="BB166" s="20">
        <f>SUMIFS(estoque[valor total],estoque[fornecedor],"&lt;&gt;saída",estoque[produto],preçodiario[[#Headers],[OVO VERMELHO JUMBO]],estoque[data],preçodiario[[#This Row],[data]])</f>
        <v>0</v>
      </c>
      <c r="BC166" s="20">
        <f>IFERROR(preçodiario[[#This Row],[OVO VERMELHO JUMBO]]*preçodiario[[#This Row],[estoque JV]],0)</f>
        <v>0</v>
      </c>
      <c r="BD166" t="str">
        <f>TEXT(vendaAno[[#This Row],[data]],"mmm")</f>
        <v>jun</v>
      </c>
      <c r="BE166" t="str">
        <f>TEXT(vendaAno[[#This Row],[data]],"ddd")</f>
        <v>dom</v>
      </c>
      <c r="BF166" s="82">
        <f>WEEKNUM(vendaAno[[#This Row],[data]],13)</f>
        <v>24</v>
      </c>
      <c r="BG166" s="27">
        <f>preçodiario[[#This Row],[data]]</f>
        <v>46187</v>
      </c>
      <c r="BH1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6" s="8">
        <f>IF(SUMIFS(estoque[valor total],estoque[fornecedor],"saída",estoque[data],vendaAno[[#This Row],[data]])=0,"",SUMIFS(estoque[valor total],estoque[fornecedor],"saída",estoque[data],vendaAno[[#This Row],[data]]))</f>
        <v>624</v>
      </c>
      <c r="BJ16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Row],[data]]))/12+BJ165,"")</f>
        <v>14.166666666666641</v>
      </c>
      <c r="BK166" s="79">
        <f ca="1">IF(TODAY()&gt;=vendaAno[[#This Row],[data]],IF(SUMIFS(estoque[quantidade],estoque[fornecedor],"saída",estoque[data],vendaAno[[#This Row],[data]])/12=0,AVERAGE(BK163:BK165),SUMIFS(estoque[quantidade],estoque[fornecedor],"saída",estoque[data],vendaAno[[#This Row],[data]])/12),"")</f>
        <v>2.8333333333333335</v>
      </c>
      <c r="BL166" s="8">
        <f ca="1">IF(vendaAno[[#This Row],[data]]&lt;=TODAY(),IF(SUMIFS(estoque[lucro],estoque[fornecedor],"saída",estoque[data],vendaAno[[#This Row],[data]])=0,AVERAGE(BL163:BL165),SUMIFS(estoque[lucro],estoque[fornecedor],"saída",estoque[data],vendaAno[[#This Row],[data]])),"")</f>
        <v>101</v>
      </c>
      <c r="BM166" s="10">
        <f ca="1">IFERROR(vendaAno[[#This Row],[lucro]]/vendaAno[[#This Row],[valor de venda]],"")</f>
        <v>0.16185897435897437</v>
      </c>
      <c r="BN16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2544.039447731755</v>
      </c>
      <c r="BO166" s="8">
        <f ca="1">IF(TODAY()&gt;=vendaAno[[#This Row],[data]],IF(vendaAno[[#This Row],[N°]]=BF165,vendaAno[[#This Row],[lucro]]-173.33+BO165,vendaAno[[#This Row],[lucro]]-150),"")</f>
        <v>-448.18000000000006</v>
      </c>
      <c r="BP166" s="81">
        <f ca="1">IF(TODAY()&gt;=vendaAno[[#This Row],[data]],SUM(BK160:BK166)*12,"")</f>
        <v>205</v>
      </c>
      <c r="BQ166" s="7">
        <f ca="1">IFERROR(vendaAno[[#This Row],[lucro]]/(vendaAno[[#This Row],[venda]]*12),"")</f>
        <v>2.9705882352941178</v>
      </c>
    </row>
    <row r="167" spans="1:69" x14ac:dyDescent="0.25">
      <c r="A167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7" s="18" t="str">
        <f>TEXT(preçodiario[[#This Row],[data]],"MMM")</f>
        <v>jun</v>
      </c>
      <c r="C167" s="18" t="str">
        <f>TEXT(preçodiario[[#This Row],[data]],"ddd")</f>
        <v>seg</v>
      </c>
      <c r="D167" s="96">
        <f>WEEKNUM(preçodiario[[#This Row],[data]],13)</f>
        <v>24</v>
      </c>
      <c r="E167" s="37">
        <v>46188</v>
      </c>
      <c r="F167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Row],[data]])),((F166*G166)+SUMIFS(estoque[valor total],estoque[produto],preçodiario[[#Headers],[OVO BRANCO A]],estoque[data],preçodiario[[#This Row],[data]],estoque[fornecedor],"&lt;&gt;saída"))/(G166+(SUMIFS(estoque[quantidade],estoque[produto],preçodiario[[#Headers],[OVO BRANCO A]],estoque[fornecedor],"&lt;&gt;saída",estoque[data],preçodiario[[#This Row],[data]])))))</f>
        <v/>
      </c>
      <c r="G167" s="22">
        <f>IF(preçodiario[[#This Row],[entrada A]]=0,G166-(SUMIFS(estoque[quantidade],estoque[fornecedor],"saída",estoque[produto],preçodiario[[#Headers],[OVO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Row],[data]]))+G166+preçodiario[[#This Row],[entrada A]])</f>
        <v>0</v>
      </c>
      <c r="H167" s="22">
        <f>SUMIFS(estoque[quantidade],estoque[fornecedor],"&lt;&gt;saída",estoque[produto],preçodiario[[#Headers],[OVO BRANCO A]],estoque[data],preçodiario[[#This Row],[data]])</f>
        <v>0</v>
      </c>
      <c r="I167" s="20">
        <f>SUMIFS(estoque[valor total],estoque[fornecedor],"&lt;&gt;saída",estoque[produto],preçodiario[[#Headers],[OVO BRANCO A]],estoque[data],preçodiario[[#This Row],[data]])</f>
        <v>0</v>
      </c>
      <c r="J167" s="20">
        <f>IFERROR(preçodiario[[#This Row],[estoque A]]*preçodiario[[#This Row],[OVO BRANCO A]],0)</f>
        <v>0</v>
      </c>
      <c r="K1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Row],[data]])),((K166*L166)+SUMIFS(estoque[valor total],estoque[produto],preçodiario[[#Headers],[OVO BRANCO B]],estoque[data],preçodiario[[#This Row],[data]],estoque[fornecedor],"&lt;&gt;saída"))/(L166+(SUMIFS(estoque[quantidade],estoque[produto],preçodiario[[#Headers],[OVO BRANCO B]],estoque[fornecedor],"&lt;&gt;saída",estoque[data],preçodiario[[#This Row],[data]])))))</f>
        <v>14.704142011834316</v>
      </c>
      <c r="L167" s="22">
        <f>IF(preçodiario[[#This Row],[entrada B]]=0,L166-(SUMIFS(estoque[quantidade],estoque[fornecedor],"saída",estoque[produto],preçodiario[[#Headers],[OVO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Row],[data]]))+L166+preçodiario[[#This Row],[entrada B]])</f>
        <v>72</v>
      </c>
      <c r="M167" s="22">
        <f>SUMIFS(estoque[quantidade],estoque[fornecedor],"&lt;&gt;saída",estoque[produto],preçodiario[[#Headers],[OVO BRANCO B]],estoque[data],preçodiario[[#This Row],[data]])</f>
        <v>0</v>
      </c>
      <c r="N167" s="20">
        <f>SUMIFS(estoque[valor total],estoque[fornecedor],"&lt;&gt;saída",estoque[produto],preçodiario[[#Headers],[OVO BRANCO B]],estoque[data],preçodiario[[#This Row],[data]])</f>
        <v>0</v>
      </c>
      <c r="O167" s="20">
        <f>IFERROR(preçodiario[[#This Row],[OVO BRANCO B]]*preçodiario[[#This Row],[estoque B]],0)</f>
        <v>1058.6982248520708</v>
      </c>
      <c r="P1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Row],[data]])),((P166*Q166)+SUMIFS(estoque[valor total],estoque[produto],preçodiario[[#Headers],[OVO BRANCO C]],estoque[data],preçodiario[[#This Row],[data]],estoque[fornecedor],"&lt;&gt;saída"))/(Q166+(SUMIFS(estoque[quantidade],estoque[produto],preçodiario[[#Headers],[OVO BRANCO C]],estoque[fornecedor],"&lt;&gt;saída",estoque[data],preçodiario[[#This Row],[data]])))))</f>
        <v>13.833333333333336</v>
      </c>
      <c r="Q167" s="22">
        <f>IF(preçodiario[[#This Row],[entrada C]]=0,Q166-(SUMIFS(estoque[quantidade],estoque[fornecedor],"saída",estoque[produto],preçodiario[[#Headers],[OVO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Row],[data]]))+Q166+preçodiario[[#This Row],[entrada C]])</f>
        <v>31</v>
      </c>
      <c r="R167" s="22">
        <f>SUMIFS(estoque[quantidade],estoque[fornecedor],"&lt;&gt;saída",estoque[produto],preçodiario[[#Headers],[OVO BRANCO C]],estoque[data],preçodiario[[#This Row],[data]])</f>
        <v>0</v>
      </c>
      <c r="S167" s="20">
        <f>SUMIFS(estoque[valor total],estoque[fornecedor],"&lt;&gt;saída",estoque[produto],preçodiario[[#Headers],[OVO BRANCO C]],estoque[data],preçodiario[[#This Row],[data]])</f>
        <v>0</v>
      </c>
      <c r="T167" s="20">
        <f>IFERROR(preçodiario[[#This Row],[OVO BRANCO C]]*preçodiario[[#This Row],[estoque C]],0)</f>
        <v>428.83333333333343</v>
      </c>
      <c r="U1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Row],[data]])),((U166*V166)+SUMIFS(estoque[valor total],estoque[produto],preçodiario[[#Headers],[OVO BRANCO EXTRA]],estoque[data],preçodiario[[#This Row],[data]],estoque[fornecedor],"&lt;&gt;saída"))/(V166+(SUMIFS(estoque[quantidade],estoque[produto],preçodiario[[#Headers],[OVO BRANCO EXTRA]],estoque[fornecedor],"&lt;&gt;saída",estoque[data],preçodiario[[#This Row],[data]])))))</f>
        <v>15.833333333333334</v>
      </c>
      <c r="V167" s="22">
        <f>IF(preçodiario[[#This Row],[entrada E]]=0,V166-(SUMIFS(estoque[quantidade],estoque[fornecedor],"saída",estoque[produto],preçodiario[[#Headers],[OVO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Row],[data]]))+V166+preçodiario[[#This Row],[entrada E]])</f>
        <v>20</v>
      </c>
      <c r="W167" s="22">
        <f>SUMIFS(estoque[quantidade],estoque[fornecedor],"&lt;&gt;saída",estoque[produto],preçodiario[[#Headers],[OVO BRANCO EXTRA]],estoque[data],preçodiario[[#This Row],[data]])</f>
        <v>0</v>
      </c>
      <c r="X167" s="20">
        <f>SUMIFS(estoque[valor total],estoque[fornecedor],"&lt;&gt;saída",estoque[produto],preçodiario[[#Headers],[OVO BRANCO EXTRA]],estoque[data],preçodiario[[#This Row],[data]])</f>
        <v>0</v>
      </c>
      <c r="Y167" s="20">
        <f>IFERROR(preçodiario[[#This Row],[estoque E]]*preçodiario[[#This Row],[OVO BRANCO EXTRA]],0)</f>
        <v>316.66666666666669</v>
      </c>
      <c r="Z1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Row],[data]])),((Z166*AA166)+SUMIFS(estoque[valor total],estoque[produto],preçodiario[[#Headers],[OVO BRANCO JUMBO]],estoque[data],preçodiario[[#This Row],[data]],estoque[fornecedor],"&lt;&gt;saída"))/(AA166+(SUMIFS(estoque[quantidade],estoque[produto],preçodiario[[#Headers],[OVO BRANCO JUMBO]],estoque[fornecedor],"&lt;&gt;saída",estoque[data],preçodiario[[#This Row],[data]])))))</f>
        <v>17.083333333333332</v>
      </c>
      <c r="AA167" s="22">
        <f>IF(preçodiario[[#This Row],[entrada J]]=0,AA166-(SUMIFS(estoque[quantidade],estoque[fornecedor],"saída",estoque[produto],preçodiario[[#Headers],[OVO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Row],[data]]))+AA166+preçodiario[[#This Row],[entrada J]])</f>
        <v>11</v>
      </c>
      <c r="AB167" s="22">
        <f>SUMIFS(estoque[quantidade],estoque[fornecedor],"&lt;&gt;saída",estoque[produto],preçodiario[[#Headers],[OVO BRANCO JUMBO]],estoque[data],preçodiario[[#This Row],[data]])</f>
        <v>0</v>
      </c>
      <c r="AC167" s="20">
        <f>SUMIFS(estoque[valor total],estoque[fornecedor],"&lt;&gt;saída",estoque[produto],preçodiario[[#Headers],[OVO BRANCO JUMBO]],estoque[data],preçodiario[[#This Row],[data]])</f>
        <v>0</v>
      </c>
      <c r="AD167" s="20">
        <f>IFERROR(preçodiario[[#This Row],[OVO BRANCO JUMBO]]*preçodiario[[#This Row],[estoque J]],0)</f>
        <v>187.91666666666666</v>
      </c>
      <c r="AE1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Row],[data]])),((AE166*AF166)+SUMIFS(estoque[valor total],estoque[produto],preçodiario[[#Headers],[OVO VERMELHO A]],estoque[data],preçodiario[[#This Row],[data]],estoque[fornecedor],"&lt;&gt;saída"))/(AF166+(SUMIFS(estoque[quantidade],estoque[produto],preçodiario[[#Headers],[OVO VERMELHO A]],estoque[fornecedor],"&lt;&gt;saída",estoque[data],preçodiario[[#This Row],[data]])))))</f>
        <v/>
      </c>
      <c r="AF167" s="22">
        <f>IF(preçodiario[[#This Row],[entrada AV]]=0,AF166-(SUMIFS(estoque[quantidade],estoque[fornecedor],"saída",estoque[produto],preçodiario[[#Headers],[OVO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Row],[data]]))+AF166+preçodiario[[#This Row],[entrada AV]])</f>
        <v>0</v>
      </c>
      <c r="AG167" s="22">
        <f>SUMIFS(estoque[quantidade],estoque[fornecedor],"&lt;&gt;saída",estoque[produto],preçodiario[[#Headers],[OVO VERMELHO A]],estoque[data],preçodiario[[#This Row],[data]])</f>
        <v>0</v>
      </c>
      <c r="AH167" s="20">
        <f>SUMIFS(estoque[valor total],estoque[fornecedor],"&lt;&gt;saída",estoque[produto],preçodiario[[#Headers],[OVO VERMELHO A]],estoque[data],preçodiario[[#This Row],[data]])</f>
        <v>0</v>
      </c>
      <c r="AI167" s="20">
        <f>IFERROR(preçodiario[[#This Row],[OVO VERMELHO A]]*preçodiario[[#This Row],[estoque AV]],0)</f>
        <v>0</v>
      </c>
      <c r="AJ1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Row],[data]])),((AJ166*AK166)+SUMIFS(estoque[valor total],estoque[produto],preçodiario[[#Headers],[OVO VERMELHO B]],estoque[data],preçodiario[[#This Row],[data]],estoque[fornecedor],"&lt;&gt;saída"))/(AK166+(SUMIFS(estoque[quantidade],estoque[produto],preçodiario[[#Headers],[OVO VERMELHO B]],estoque[fornecedor],"&lt;&gt;saída",estoque[data],preçodiario[[#This Row],[data]])))))</f>
        <v/>
      </c>
      <c r="AK167" s="22">
        <f>IF(preçodiario[[#This Row],[entrada BV]]=0,AK166-(SUMIFS(estoque[quantidade],estoque[fornecedor],"saída",estoque[produto],preçodiario[[#Headers],[OVO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Row],[data]]))+AK166+preçodiario[[#This Row],[entrada BV]])</f>
        <v>0</v>
      </c>
      <c r="AL167" s="22">
        <f>SUMIFS(estoque[quantidade],estoque[fornecedor],"&lt;&gt;saída",estoque[produto],preçodiario[[#Headers],[OVO VERMELHO B]],estoque[data],preçodiario[[#This Row],[data]])</f>
        <v>0</v>
      </c>
      <c r="AM167" s="20">
        <f>SUMIFS(estoque[valor total],estoque[fornecedor],"&lt;&gt;saída",estoque[produto],preçodiario[[#Headers],[OVO VERMELHO B]],estoque[data],preçodiario[[#This Row],[data]])</f>
        <v>0</v>
      </c>
      <c r="AN167" s="20">
        <f>IFERROR(preçodiario[[#This Row],[OVO VERMELHO B]]*preçodiario[[#This Row],[estoque BV]],0)</f>
        <v>0</v>
      </c>
      <c r="AO1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Row],[data]])),((AO166*AP166)+SUMIFS(estoque[valor total],estoque[produto],preçodiario[[#Headers],[OVO VERMELHO C]],estoque[data],preçodiario[[#This Row],[data]],estoque[fornecedor],"&lt;&gt;saída"))/(AP166+(SUMIFS(estoque[quantidade],estoque[produto],preçodiario[[#Headers],[OVO VERMELHO C]],estoque[fornecedor],"&lt;&gt;saída",estoque[data],preçodiario[[#This Row],[data]])))))</f>
        <v/>
      </c>
      <c r="AP167" s="22">
        <f>IF(preçodiario[[#This Row],[entrada CV]]=0,AP166-(SUMIFS(estoque[quantidade],estoque[fornecedor],"saída",estoque[produto],preçodiario[[#Headers],[OVO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Row],[data]]))+AP166+preçodiario[[#This Row],[entrada CV]])</f>
        <v>0</v>
      </c>
      <c r="AQ167" s="22">
        <f>SUMIFS(estoque[quantidade],estoque[fornecedor],"&lt;&gt;saída",estoque[produto],preçodiario[[#Headers],[OVO VERMELHO C]],estoque[data],preçodiario[[#This Row],[data]])</f>
        <v>0</v>
      </c>
      <c r="AR167" s="20">
        <f>SUMIFS(estoque[valor total],estoque[fornecedor],"&lt;&gt;saída",estoque[produto],preçodiario[[#Headers],[OVO VERMELHO C]],estoque[data],preçodiario[[#This Row],[data]])</f>
        <v>0</v>
      </c>
      <c r="AS167" s="20">
        <f>IFERROR(preçodiario[[#This Row],[OVO VERMELHO C]]*preçodiario[[#This Row],[estoque CV]],0)</f>
        <v>0</v>
      </c>
      <c r="AT1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Row],[data]])),((AT166*AU166)+SUMIFS(estoque[valor total],estoque[produto],preçodiario[[#Headers],[OVO VERMELHO EXTRA]],estoque[data],preçodiario[[#This Row],[data]],estoque[fornecedor],"&lt;&gt;saída"))/(AU166+(SUMIFS(estoque[quantidade],estoque[produto],preçodiario[[#Headers],[OVO VERMELHO EXTRA]],estoque[fornecedor],"&lt;&gt;saída",estoque[data],preçodiario[[#This Row],[data]])))))</f>
        <v/>
      </c>
      <c r="AU167" s="22">
        <f>IF(preçodiario[[#This Row],[entrada EV]]=0,AU166-(SUMIFS(estoque[quantidade],estoque[fornecedor],"saída",estoque[produto],preçodiario[[#Headers],[OVO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Row],[data]]))+AU166+preçodiario[[#This Row],[entrada EV]])</f>
        <v>0</v>
      </c>
      <c r="AV167" s="22">
        <f>SUMIFS(estoque[quantidade],estoque[fornecedor],"&lt;&gt;saída",estoque[produto],preçodiario[[#Headers],[OVO VERMELHO EXTRA]],estoque[data],preçodiario[[#This Row],[data]])</f>
        <v>0</v>
      </c>
      <c r="AW167" s="20">
        <f>SUMIFS(estoque[valor total],estoque[fornecedor],"&lt;&gt;saída",estoque[produto],preçodiario[[#Headers],[OVO VERMELHO EXTRA]],estoque[data],preçodiario[[#This Row],[data]])</f>
        <v>0</v>
      </c>
      <c r="AX167" s="20">
        <f>IFERROR(preçodiario[[#This Row],[OVO VERMELHO EXTRA]]*preçodiario[[#This Row],[estoque EV]],0)</f>
        <v>0</v>
      </c>
      <c r="AY1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Row],[data]])),((AY166*AZ166)+SUMIFS(estoque[valor total],estoque[produto],preçodiario[[#Headers],[OVO VERMELHO JUMBO]],estoque[data],preçodiario[[#This Row],[data]],estoque[fornecedor],"&lt;&gt;saída"))/(AZ166+(SUMIFS(estoque[quantidade],estoque[produto],preçodiario[[#Headers],[OVO VERMELHO JUMBO]],estoque[fornecedor],"&lt;&gt;saída",estoque[data],preçodiario[[#This Row],[data]])))))</f>
        <v/>
      </c>
      <c r="AZ167" s="22">
        <f>IF(preçodiario[[#This Row],[entrada JV]]=0,AZ166-(SUMIFS(estoque[quantidade],estoque[fornecedor],"saída",estoque[produto],preçodiario[[#Headers],[OVO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Row],[data]]))+AZ166+preçodiario[[#This Row],[entrada JV]])</f>
        <v>0</v>
      </c>
      <c r="BA167" s="22">
        <f>SUMIFS(estoque[quantidade],estoque[fornecedor],"&lt;&gt;saída",estoque[produto],preçodiario[[#Headers],[OVO VERMELHO JUMBO]],estoque[data],preçodiario[[#This Row],[data]])</f>
        <v>0</v>
      </c>
      <c r="BB167" s="20">
        <f>SUMIFS(estoque[valor total],estoque[fornecedor],"&lt;&gt;saída",estoque[produto],preçodiario[[#Headers],[OVO VERMELHO JUMBO]],estoque[data],preçodiario[[#This Row],[data]])</f>
        <v>0</v>
      </c>
      <c r="BC167" s="20">
        <f>IFERROR(preçodiario[[#This Row],[OVO VERMELHO JUMBO]]*preçodiario[[#This Row],[estoque JV]],0)</f>
        <v>0</v>
      </c>
      <c r="BD167" t="str">
        <f>TEXT(vendaAno[[#This Row],[data]],"mmm")</f>
        <v>jun</v>
      </c>
      <c r="BE167" t="str">
        <f>TEXT(vendaAno[[#This Row],[data]],"ddd")</f>
        <v>seg</v>
      </c>
      <c r="BF167" s="82">
        <f>WEEKNUM(vendaAno[[#This Row],[data]],13)</f>
        <v>24</v>
      </c>
      <c r="BG167" s="27">
        <f>preçodiario[[#This Row],[data]]</f>
        <v>46188</v>
      </c>
      <c r="BH16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7" s="8">
        <f>IF(SUMIFS(estoque[valor total],estoque[fornecedor],"saída",estoque[data],vendaAno[[#This Row],[data]])=0,"",SUMIFS(estoque[valor total],estoque[fornecedor],"saída",estoque[data],vendaAno[[#This Row],[data]]))</f>
        <v>617</v>
      </c>
      <c r="BJ16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Row],[data]]))/12+BJ166,"")</f>
        <v>11.166666666666641</v>
      </c>
      <c r="BK167" s="79">
        <f ca="1">IF(TODAY()&gt;=vendaAno[[#This Row],[data]],IF(SUMIFS(estoque[quantidade],estoque[fornecedor],"saída",estoque[data],vendaAno[[#This Row],[data]])/12=0,AVERAGE(BK164:BK166),SUMIFS(estoque[quantidade],estoque[fornecedor],"saída",estoque[data],vendaAno[[#This Row],[data]])/12),"")</f>
        <v>3</v>
      </c>
      <c r="BL167" s="8">
        <f ca="1">IF(vendaAno[[#This Row],[data]]&lt;=TODAY(),IF(SUMIFS(estoque[lucro],estoque[fornecedor],"saída",estoque[data],vendaAno[[#This Row],[data]])=0,AVERAGE(BL164:BL166),SUMIFS(estoque[lucro],estoque[fornecedor],"saída",estoque[data],vendaAno[[#This Row],[data]])),"")</f>
        <v>65.08</v>
      </c>
      <c r="BM167" s="10">
        <f ca="1">IFERROR(vendaAno[[#This Row],[lucro]]/vendaAno[[#This Row],[valor de venda]],"")</f>
        <v>0.10547811993517017</v>
      </c>
      <c r="BN16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1992.1148915187375</v>
      </c>
      <c r="BO167" s="8">
        <f ca="1">IF(TODAY()&gt;=vendaAno[[#This Row],[data]],IF(vendaAno[[#This Row],[N°]]=BF166,vendaAno[[#This Row],[lucro]]-173.33+BO166,vendaAno[[#This Row],[lucro]]-150),"")</f>
        <v>-556.43000000000006</v>
      </c>
      <c r="BP167" s="81">
        <f ca="1">IF(TODAY()&gt;=vendaAno[[#This Row],[data]],SUM(BK161:BK167)*12,"")</f>
        <v>214.99999999999997</v>
      </c>
      <c r="BQ167" s="7">
        <f ca="1">IFERROR(vendaAno[[#This Row],[lucro]]/(vendaAno[[#This Row],[venda]]*12),"")</f>
        <v>1.8077777777777777</v>
      </c>
    </row>
    <row r="168" spans="1:69" x14ac:dyDescent="0.25">
      <c r="A168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8" s="18" t="str">
        <f>TEXT(preçodiario[[#This Row],[data]],"MMM")</f>
        <v>jun</v>
      </c>
      <c r="C168" s="18" t="str">
        <f>TEXT(preçodiario[[#This Row],[data]],"ddd")</f>
        <v>ter</v>
      </c>
      <c r="D168" s="96">
        <f>WEEKNUM(preçodiario[[#This Row],[data]],13)</f>
        <v>24</v>
      </c>
      <c r="E168" s="37">
        <v>46189</v>
      </c>
      <c r="F168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Row],[data]])),((F167*G167)+SUMIFS(estoque[valor total],estoque[produto],preçodiario[[#Headers],[OVO BRANCO A]],estoque[data],preçodiario[[#This Row],[data]],estoque[fornecedor],"&lt;&gt;saída"))/(G167+(SUMIFS(estoque[quantidade],estoque[produto],preçodiario[[#Headers],[OVO BRANCO A]],estoque[fornecedor],"&lt;&gt;saída",estoque[data],preçodiario[[#This Row],[data]])))))</f>
        <v/>
      </c>
      <c r="G168" s="22">
        <f>IF(preçodiario[[#This Row],[entrada A]]=0,G167-(SUMIFS(estoque[quantidade],estoque[fornecedor],"saída",estoque[produto],preçodiario[[#Headers],[OVO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Row],[data]]))+G167+preçodiario[[#This Row],[entrada A]])</f>
        <v>0</v>
      </c>
      <c r="H168" s="22">
        <f>SUMIFS(estoque[quantidade],estoque[fornecedor],"&lt;&gt;saída",estoque[produto],preçodiario[[#Headers],[OVO BRANCO A]],estoque[data],preçodiario[[#This Row],[data]])</f>
        <v>0</v>
      </c>
      <c r="I168" s="20">
        <f>SUMIFS(estoque[valor total],estoque[fornecedor],"&lt;&gt;saída",estoque[produto],preçodiario[[#Headers],[OVO BRANCO A]],estoque[data],preçodiario[[#This Row],[data]])</f>
        <v>0</v>
      </c>
      <c r="J168" s="20">
        <f>IFERROR(preçodiario[[#This Row],[estoque A]]*preçodiario[[#This Row],[OVO BRANCO A]],0)</f>
        <v>0</v>
      </c>
      <c r="K1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Row],[data]])),((K167*L167)+SUMIFS(estoque[valor total],estoque[produto],preçodiario[[#Headers],[OVO BRANCO B]],estoque[data],preçodiario[[#This Row],[data]],estoque[fornecedor],"&lt;&gt;saída"))/(L167+(SUMIFS(estoque[quantidade],estoque[produto],preçodiario[[#Headers],[OVO BRANCO B]],estoque[fornecedor],"&lt;&gt;saída",estoque[data],preçodiario[[#This Row],[data]])))))</f>
        <v>14.704142011834316</v>
      </c>
      <c r="L168" s="22">
        <f>IF(preçodiario[[#This Row],[entrada B]]=0,L167-(SUMIFS(estoque[quantidade],estoque[fornecedor],"saída",estoque[produto],preçodiario[[#Headers],[OVO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Row],[data]]))+L167+preçodiario[[#This Row],[entrada B]])</f>
        <v>62</v>
      </c>
      <c r="M168" s="22">
        <f>SUMIFS(estoque[quantidade],estoque[fornecedor],"&lt;&gt;saída",estoque[produto],preçodiario[[#Headers],[OVO BRANCO B]],estoque[data],preçodiario[[#This Row],[data]])</f>
        <v>0</v>
      </c>
      <c r="N168" s="20">
        <f>SUMIFS(estoque[valor total],estoque[fornecedor],"&lt;&gt;saída",estoque[produto],preçodiario[[#Headers],[OVO BRANCO B]],estoque[data],preçodiario[[#This Row],[data]])</f>
        <v>0</v>
      </c>
      <c r="O168" s="20">
        <f>IFERROR(preçodiario[[#This Row],[OVO BRANCO B]]*preçodiario[[#This Row],[estoque B]],0)</f>
        <v>911.65680473372754</v>
      </c>
      <c r="P1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Row],[data]])),((P167*Q167)+SUMIFS(estoque[valor total],estoque[produto],preçodiario[[#Headers],[OVO BRANCO C]],estoque[data],preçodiario[[#This Row],[data]],estoque[fornecedor],"&lt;&gt;saída"))/(Q167+(SUMIFS(estoque[quantidade],estoque[produto],preçodiario[[#Headers],[OVO BRANCO C]],estoque[fornecedor],"&lt;&gt;saída",estoque[data],preçodiario[[#This Row],[data]])))))</f>
        <v>13.833333333333336</v>
      </c>
      <c r="Q168" s="22">
        <f>IF(preçodiario[[#This Row],[entrada C]]=0,Q167-(SUMIFS(estoque[quantidade],estoque[fornecedor],"saída",estoque[produto],preçodiario[[#Headers],[OVO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Row],[data]]))+Q167+preçodiario[[#This Row],[entrada C]])</f>
        <v>31</v>
      </c>
      <c r="R168" s="22">
        <f>SUMIFS(estoque[quantidade],estoque[fornecedor],"&lt;&gt;saída",estoque[produto],preçodiario[[#Headers],[OVO BRANCO C]],estoque[data],preçodiario[[#This Row],[data]])</f>
        <v>0</v>
      </c>
      <c r="S168" s="20">
        <f>SUMIFS(estoque[valor total],estoque[fornecedor],"&lt;&gt;saída",estoque[produto],preçodiario[[#Headers],[OVO BRANCO C]],estoque[data],preçodiario[[#This Row],[data]])</f>
        <v>0</v>
      </c>
      <c r="T168" s="20">
        <f>IFERROR(preçodiario[[#This Row],[OVO BRANCO C]]*preçodiario[[#This Row],[estoque C]],0)</f>
        <v>428.83333333333343</v>
      </c>
      <c r="U1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Row],[data]])),((U167*V167)+SUMIFS(estoque[valor total],estoque[produto],preçodiario[[#Headers],[OVO BRANCO EXTRA]],estoque[data],preçodiario[[#This Row],[data]],estoque[fornecedor],"&lt;&gt;saída"))/(V167+(SUMIFS(estoque[quantidade],estoque[produto],preçodiario[[#Headers],[OVO BRANCO EXTRA]],estoque[fornecedor],"&lt;&gt;saída",estoque[data],preçodiario[[#This Row],[data]])))))</f>
        <v>15.833333333333334</v>
      </c>
      <c r="V168" s="22">
        <f>IF(preçodiario[[#This Row],[entrada E]]=0,V167-(SUMIFS(estoque[quantidade],estoque[fornecedor],"saída",estoque[produto],preçodiario[[#Headers],[OVO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Row],[data]]))+V167+preçodiario[[#This Row],[entrada E]])</f>
        <v>10</v>
      </c>
      <c r="W168" s="22">
        <f>SUMIFS(estoque[quantidade],estoque[fornecedor],"&lt;&gt;saída",estoque[produto],preçodiario[[#Headers],[OVO BRANCO EXTRA]],estoque[data],preçodiario[[#This Row],[data]])</f>
        <v>0</v>
      </c>
      <c r="X168" s="20">
        <f>SUMIFS(estoque[valor total],estoque[fornecedor],"&lt;&gt;saída",estoque[produto],preçodiario[[#Headers],[OVO BRANCO EXTRA]],estoque[data],preçodiario[[#This Row],[data]])</f>
        <v>0</v>
      </c>
      <c r="Y168" s="20">
        <f>IFERROR(preçodiario[[#This Row],[estoque E]]*preçodiario[[#This Row],[OVO BRANCO EXTRA]],0)</f>
        <v>158.33333333333334</v>
      </c>
      <c r="Z1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Row],[data]])),((Z167*AA167)+SUMIFS(estoque[valor total],estoque[produto],preçodiario[[#Headers],[OVO BRANCO JUMBO]],estoque[data],preçodiario[[#This Row],[data]],estoque[fornecedor],"&lt;&gt;saída"))/(AA167+(SUMIFS(estoque[quantidade],estoque[produto],preçodiario[[#Headers],[OVO BRANCO JUMBO]],estoque[fornecedor],"&lt;&gt;saída",estoque[data],preçodiario[[#This Row],[data]])))))</f>
        <v>17.083333333333332</v>
      </c>
      <c r="AA168" s="22">
        <f>IF(preçodiario[[#This Row],[entrada J]]=0,AA167-(SUMIFS(estoque[quantidade],estoque[fornecedor],"saída",estoque[produto],preçodiario[[#Headers],[OVO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Row],[data]]))+AA167+preçodiario[[#This Row],[entrada J]])</f>
        <v>8</v>
      </c>
      <c r="AB168" s="22">
        <f>SUMIFS(estoque[quantidade],estoque[fornecedor],"&lt;&gt;saída",estoque[produto],preçodiario[[#Headers],[OVO BRANCO JUMBO]],estoque[data],preçodiario[[#This Row],[data]])</f>
        <v>0</v>
      </c>
      <c r="AC168" s="20">
        <f>SUMIFS(estoque[valor total],estoque[fornecedor],"&lt;&gt;saída",estoque[produto],preçodiario[[#Headers],[OVO BRANCO JUMBO]],estoque[data],preçodiario[[#This Row],[data]])</f>
        <v>0</v>
      </c>
      <c r="AD168" s="20">
        <f>IFERROR(preçodiario[[#This Row],[OVO BRANCO JUMBO]]*preçodiario[[#This Row],[estoque J]],0)</f>
        <v>136.66666666666666</v>
      </c>
      <c r="AE1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Row],[data]])),((AE167*AF167)+SUMIFS(estoque[valor total],estoque[produto],preçodiario[[#Headers],[OVO VERMELHO A]],estoque[data],preçodiario[[#This Row],[data]],estoque[fornecedor],"&lt;&gt;saída"))/(AF167+(SUMIFS(estoque[quantidade],estoque[produto],preçodiario[[#Headers],[OVO VERMELHO A]],estoque[fornecedor],"&lt;&gt;saída",estoque[data],preçodiario[[#This Row],[data]])))))</f>
        <v/>
      </c>
      <c r="AF168" s="22">
        <f>IF(preçodiario[[#This Row],[entrada AV]]=0,AF167-(SUMIFS(estoque[quantidade],estoque[fornecedor],"saída",estoque[produto],preçodiario[[#Headers],[OVO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Row],[data]]))+AF167+preçodiario[[#This Row],[entrada AV]])</f>
        <v>0</v>
      </c>
      <c r="AG168" s="22">
        <f>SUMIFS(estoque[quantidade],estoque[fornecedor],"&lt;&gt;saída",estoque[produto],preçodiario[[#Headers],[OVO VERMELHO A]],estoque[data],preçodiario[[#This Row],[data]])</f>
        <v>0</v>
      </c>
      <c r="AH168" s="20">
        <f>SUMIFS(estoque[valor total],estoque[fornecedor],"&lt;&gt;saída",estoque[produto],preçodiario[[#Headers],[OVO VERMELHO A]],estoque[data],preçodiario[[#This Row],[data]])</f>
        <v>0</v>
      </c>
      <c r="AI168" s="20">
        <f>IFERROR(preçodiario[[#This Row],[OVO VERMELHO A]]*preçodiario[[#This Row],[estoque AV]],0)</f>
        <v>0</v>
      </c>
      <c r="AJ1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Row],[data]])),((AJ167*AK167)+SUMIFS(estoque[valor total],estoque[produto],preçodiario[[#Headers],[OVO VERMELHO B]],estoque[data],preçodiario[[#This Row],[data]],estoque[fornecedor],"&lt;&gt;saída"))/(AK167+(SUMIFS(estoque[quantidade],estoque[produto],preçodiario[[#Headers],[OVO VERMELHO B]],estoque[fornecedor],"&lt;&gt;saída",estoque[data],preçodiario[[#This Row],[data]])))))</f>
        <v/>
      </c>
      <c r="AK168" s="22">
        <f>IF(preçodiario[[#This Row],[entrada BV]]=0,AK167-(SUMIFS(estoque[quantidade],estoque[fornecedor],"saída",estoque[produto],preçodiario[[#Headers],[OVO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Row],[data]]))+AK167+preçodiario[[#This Row],[entrada BV]])</f>
        <v>0</v>
      </c>
      <c r="AL168" s="22">
        <f>SUMIFS(estoque[quantidade],estoque[fornecedor],"&lt;&gt;saída",estoque[produto],preçodiario[[#Headers],[OVO VERMELHO B]],estoque[data],preçodiario[[#This Row],[data]])</f>
        <v>0</v>
      </c>
      <c r="AM168" s="20">
        <f>SUMIFS(estoque[valor total],estoque[fornecedor],"&lt;&gt;saída",estoque[produto],preçodiario[[#Headers],[OVO VERMELHO B]],estoque[data],preçodiario[[#This Row],[data]])</f>
        <v>0</v>
      </c>
      <c r="AN168" s="20">
        <f>IFERROR(preçodiario[[#This Row],[OVO VERMELHO B]]*preçodiario[[#This Row],[estoque BV]],0)</f>
        <v>0</v>
      </c>
      <c r="AO1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Row],[data]])),((AO167*AP167)+SUMIFS(estoque[valor total],estoque[produto],preçodiario[[#Headers],[OVO VERMELHO C]],estoque[data],preçodiario[[#This Row],[data]],estoque[fornecedor],"&lt;&gt;saída"))/(AP167+(SUMIFS(estoque[quantidade],estoque[produto],preçodiario[[#Headers],[OVO VERMELHO C]],estoque[fornecedor],"&lt;&gt;saída",estoque[data],preçodiario[[#This Row],[data]])))))</f>
        <v/>
      </c>
      <c r="AP168" s="22">
        <f>IF(preçodiario[[#This Row],[entrada CV]]=0,AP167-(SUMIFS(estoque[quantidade],estoque[fornecedor],"saída",estoque[produto],preçodiario[[#Headers],[OVO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Row],[data]]))+AP167+preçodiario[[#This Row],[entrada CV]])</f>
        <v>0</v>
      </c>
      <c r="AQ168" s="22">
        <f>SUMIFS(estoque[quantidade],estoque[fornecedor],"&lt;&gt;saída",estoque[produto],preçodiario[[#Headers],[OVO VERMELHO C]],estoque[data],preçodiario[[#This Row],[data]])</f>
        <v>0</v>
      </c>
      <c r="AR168" s="20">
        <f>SUMIFS(estoque[valor total],estoque[fornecedor],"&lt;&gt;saída",estoque[produto],preçodiario[[#Headers],[OVO VERMELHO C]],estoque[data],preçodiario[[#This Row],[data]])</f>
        <v>0</v>
      </c>
      <c r="AS168" s="20">
        <f>IFERROR(preçodiario[[#This Row],[OVO VERMELHO C]]*preçodiario[[#This Row],[estoque CV]],0)</f>
        <v>0</v>
      </c>
      <c r="AT1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Row],[data]])),((AT167*AU167)+SUMIFS(estoque[valor total],estoque[produto],preçodiario[[#Headers],[OVO VERMELHO EXTRA]],estoque[data],preçodiario[[#This Row],[data]],estoque[fornecedor],"&lt;&gt;saída"))/(AU167+(SUMIFS(estoque[quantidade],estoque[produto],preçodiario[[#Headers],[OVO VERMELHO EXTRA]],estoque[fornecedor],"&lt;&gt;saída",estoque[data],preçodiario[[#This Row],[data]])))))</f>
        <v/>
      </c>
      <c r="AU168" s="22">
        <f>IF(preçodiario[[#This Row],[entrada EV]]=0,AU167-(SUMIFS(estoque[quantidade],estoque[fornecedor],"saída",estoque[produto],preçodiario[[#Headers],[OVO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Row],[data]]))+AU167+preçodiario[[#This Row],[entrada EV]])</f>
        <v>0</v>
      </c>
      <c r="AV168" s="22">
        <f>SUMIFS(estoque[quantidade],estoque[fornecedor],"&lt;&gt;saída",estoque[produto],preçodiario[[#Headers],[OVO VERMELHO EXTRA]],estoque[data],preçodiario[[#This Row],[data]])</f>
        <v>0</v>
      </c>
      <c r="AW168" s="20">
        <f>SUMIFS(estoque[valor total],estoque[fornecedor],"&lt;&gt;saída",estoque[produto],preçodiario[[#Headers],[OVO VERMELHO EXTRA]],estoque[data],preçodiario[[#This Row],[data]])</f>
        <v>0</v>
      </c>
      <c r="AX168" s="20">
        <f>IFERROR(preçodiario[[#This Row],[OVO VERMELHO EXTRA]]*preçodiario[[#This Row],[estoque EV]],0)</f>
        <v>0</v>
      </c>
      <c r="AY1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Row],[data]])),((AY167*AZ167)+SUMIFS(estoque[valor total],estoque[produto],preçodiario[[#Headers],[OVO VERMELHO JUMBO]],estoque[data],preçodiario[[#This Row],[data]],estoque[fornecedor],"&lt;&gt;saída"))/(AZ167+(SUMIFS(estoque[quantidade],estoque[produto],preçodiario[[#Headers],[OVO VERMELHO JUMBO]],estoque[fornecedor],"&lt;&gt;saída",estoque[data],preçodiario[[#This Row],[data]])))))</f>
        <v/>
      </c>
      <c r="AZ168" s="22">
        <f>IF(preçodiario[[#This Row],[entrada JV]]=0,AZ167-(SUMIFS(estoque[quantidade],estoque[fornecedor],"saída",estoque[produto],preçodiario[[#Headers],[OVO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Row],[data]]))+AZ167+preçodiario[[#This Row],[entrada JV]])</f>
        <v>0</v>
      </c>
      <c r="BA168" s="22">
        <f>SUMIFS(estoque[quantidade],estoque[fornecedor],"&lt;&gt;saída",estoque[produto],preçodiario[[#Headers],[OVO VERMELHO JUMBO]],estoque[data],preçodiario[[#This Row],[data]])</f>
        <v>0</v>
      </c>
      <c r="BB168" s="20">
        <f>SUMIFS(estoque[valor total],estoque[fornecedor],"&lt;&gt;saída",estoque[produto],preçodiario[[#Headers],[OVO VERMELHO JUMBO]],estoque[data],preçodiario[[#This Row],[data]])</f>
        <v>0</v>
      </c>
      <c r="BC168" s="20">
        <f>IFERROR(preçodiario[[#This Row],[OVO VERMELHO JUMBO]]*preçodiario[[#This Row],[estoque JV]],0)</f>
        <v>0</v>
      </c>
      <c r="BD168" t="str">
        <f>TEXT(vendaAno[[#This Row],[data]],"mmm")</f>
        <v>jun</v>
      </c>
      <c r="BE168" t="str">
        <f>TEXT(vendaAno[[#This Row],[data]],"ddd")</f>
        <v>ter</v>
      </c>
      <c r="BF168" s="82">
        <f>WEEKNUM(vendaAno[[#This Row],[data]],13)</f>
        <v>24</v>
      </c>
      <c r="BG168" s="27">
        <f>preçodiario[[#This Row],[data]]</f>
        <v>46189</v>
      </c>
      <c r="BH1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8" s="8">
        <f>IF(SUMIFS(estoque[valor total],estoque[fornecedor],"saída",estoque[data],vendaAno[[#This Row],[data]])=0,"",SUMIFS(estoque[valor total],estoque[fornecedor],"saída",estoque[data],vendaAno[[#This Row],[data]]))</f>
        <v>419</v>
      </c>
      <c r="BJ16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Row],[data]]))/12+BJ167,"")</f>
        <v>9.2499999999999751</v>
      </c>
      <c r="BK168" s="79">
        <f ca="1">IF(TODAY()&gt;=vendaAno[[#This Row],[data]],IF(SUMIFS(estoque[quantidade],estoque[fornecedor],"saída",estoque[data],vendaAno[[#This Row],[data]])/12=0,AVERAGE(BK165:BK167),SUMIFS(estoque[quantidade],estoque[fornecedor],"saída",estoque[data],vendaAno[[#This Row],[data]])/12),"")</f>
        <v>1.9166666666666667</v>
      </c>
      <c r="BL168" s="8">
        <f ca="1">IF(vendaAno[[#This Row],[data]]&lt;=TODAY(),IF(SUMIFS(estoque[lucro],estoque[fornecedor],"saída",estoque[data],vendaAno[[#This Row],[data]])=0,AVERAGE(BL165:BL167),SUMIFS(estoque[lucro],estoque[fornecedor],"saída",estoque[data],vendaAno[[#This Row],[data]])),"")</f>
        <v>62.379999999999995</v>
      </c>
      <c r="BM168" s="10">
        <f ca="1">IFERROR(vendaAno[[#This Row],[lucro]]/vendaAno[[#This Row],[valor de venda]],"")</f>
        <v>0.1488782816229117</v>
      </c>
      <c r="BN16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1635.490138067061</v>
      </c>
      <c r="BO168" s="8">
        <f ca="1">IF(TODAY()&gt;=vendaAno[[#This Row],[data]],IF(vendaAno[[#This Row],[N°]]=BF167,vendaAno[[#This Row],[lucro]]-173.33+BO167,vendaAno[[#This Row],[lucro]]-150),"")</f>
        <v>-667.38000000000011</v>
      </c>
      <c r="BP168" s="81">
        <f ca="1">IF(TODAY()&gt;=vendaAno[[#This Row],[data]],SUM(BK162:BK168)*12,"")</f>
        <v>201</v>
      </c>
      <c r="BQ168" s="7">
        <f ca="1">IFERROR(vendaAno[[#This Row],[lucro]]/(vendaAno[[#This Row],[venda]]*12),"")</f>
        <v>2.7121739130434781</v>
      </c>
    </row>
    <row r="169" spans="1:69" x14ac:dyDescent="0.25">
      <c r="A169" s="7" t="str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/>
      </c>
      <c r="B169" s="18" t="str">
        <f>TEXT(preçodiario[[#This Row],[data]],"MMM")</f>
        <v>jun</v>
      </c>
      <c r="C169" s="18" t="str">
        <f>TEXT(preçodiario[[#This Row],[data]],"ddd")</f>
        <v>qua</v>
      </c>
      <c r="D169" s="96">
        <f>WEEKNUM(preçodiario[[#This Row],[data]],13)</f>
        <v>25</v>
      </c>
      <c r="E169" s="37">
        <v>46190</v>
      </c>
      <c r="F169" s="19" t="str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Row],[data]])),((F168*G168)+SUMIFS(estoque[valor total],estoque[produto],preçodiario[[#Headers],[OVO BRANCO A]],estoque[data],preçodiario[[#This Row],[data]],estoque[fornecedor],"&lt;&gt;saída"))/(G168+(SUMIFS(estoque[quantidade],estoque[produto],preçodiario[[#Headers],[OVO BRANCO A]],estoque[fornecedor],"&lt;&gt;saída",estoque[data],preçodiario[[#This Row],[data]])))))</f>
        <v/>
      </c>
      <c r="G169" s="22">
        <f>IF(preçodiario[[#This Row],[entrada A]]=0,G168-(SUMIFS(estoque[quantidade],estoque[fornecedor],"saída",estoque[produto],preçodiario[[#Headers],[OVO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Row],[data]]))+G168+preçodiario[[#This Row],[entrada A]])</f>
        <v>0</v>
      </c>
      <c r="H169" s="22">
        <f>SUMIFS(estoque[quantidade],estoque[fornecedor],"&lt;&gt;saída",estoque[produto],preçodiario[[#Headers],[OVO BRANCO A]],estoque[data],preçodiario[[#This Row],[data]])</f>
        <v>0</v>
      </c>
      <c r="I169" s="20">
        <f>SUMIFS(estoque[valor total],estoque[fornecedor],"&lt;&gt;saída",estoque[produto],preçodiario[[#Headers],[OVO BRANCO A]],estoque[data],preçodiario[[#This Row],[data]])</f>
        <v>0</v>
      </c>
      <c r="J169" s="20">
        <f>IFERROR(preçodiario[[#This Row],[estoque A]]*preçodiario[[#This Row],[OVO BRANCO A]],0)</f>
        <v>0</v>
      </c>
      <c r="K1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Row],[data]])),((K168*L168)+SUMIFS(estoque[valor total],estoque[produto],preçodiario[[#Headers],[OVO BRANCO B]],estoque[data],preçodiario[[#This Row],[data]],estoque[fornecedor],"&lt;&gt;saída"))/(L168+(SUMIFS(estoque[quantidade],estoque[produto],preçodiario[[#Headers],[OVO BRANCO B]],estoque[fornecedor],"&lt;&gt;saída",estoque[data],preçodiario[[#This Row],[data]])))))</f>
        <v>14.704142011834316</v>
      </c>
      <c r="L169" s="22">
        <f>IF(preçodiario[[#This Row],[entrada B]]=0,L168-(SUMIFS(estoque[quantidade],estoque[fornecedor],"saída",estoque[produto],preçodiario[[#Headers],[OVO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Row],[data]]))+L168+preçodiario[[#This Row],[entrada B]])</f>
        <v>60</v>
      </c>
      <c r="M169" s="22">
        <f>SUMIFS(estoque[quantidade],estoque[fornecedor],"&lt;&gt;saída",estoque[produto],preçodiario[[#Headers],[OVO BRANCO B]],estoque[data],preçodiario[[#This Row],[data]])</f>
        <v>0</v>
      </c>
      <c r="N169" s="20">
        <f>SUMIFS(estoque[valor total],estoque[fornecedor],"&lt;&gt;saída",estoque[produto],preçodiario[[#Headers],[OVO BRANCO B]],estoque[data],preçodiario[[#This Row],[data]])</f>
        <v>0</v>
      </c>
      <c r="O169" s="20">
        <f>IFERROR(preçodiario[[#This Row],[OVO BRANCO B]]*preçodiario[[#This Row],[estoque B]],0)</f>
        <v>882.24852071005898</v>
      </c>
      <c r="P1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Row],[data]])),((P168*Q168)+SUMIFS(estoque[valor total],estoque[produto],preçodiario[[#Headers],[OVO BRANCO C]],estoque[data],preçodiario[[#This Row],[data]],estoque[fornecedor],"&lt;&gt;saída"))/(Q168+(SUMIFS(estoque[quantidade],estoque[produto],preçodiario[[#Headers],[OVO BRANCO C]],estoque[fornecedor],"&lt;&gt;saída",estoque[data],preçodiario[[#This Row],[data]])))))</f>
        <v>13.833333333333336</v>
      </c>
      <c r="Q169" s="22">
        <f>IF(preçodiario[[#This Row],[entrada C]]=0,Q168-(SUMIFS(estoque[quantidade],estoque[fornecedor],"saída",estoque[produto],preçodiario[[#Headers],[OVO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Row],[data]]))+Q168+preçodiario[[#This Row],[entrada C]])</f>
        <v>29</v>
      </c>
      <c r="R169" s="22">
        <f>SUMIFS(estoque[quantidade],estoque[fornecedor],"&lt;&gt;saída",estoque[produto],preçodiario[[#Headers],[OVO BRANCO C]],estoque[data],preçodiario[[#This Row],[data]])</f>
        <v>0</v>
      </c>
      <c r="S169" s="20">
        <f>SUMIFS(estoque[valor total],estoque[fornecedor],"&lt;&gt;saída",estoque[produto],preçodiario[[#Headers],[OVO BRANCO C]],estoque[data],preçodiario[[#This Row],[data]])</f>
        <v>0</v>
      </c>
      <c r="T169" s="20">
        <f>IFERROR(preçodiario[[#This Row],[OVO BRANCO C]]*preçodiario[[#This Row],[estoque C]],0)</f>
        <v>401.16666666666674</v>
      </c>
      <c r="U1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Row],[data]])),((U168*V168)+SUMIFS(estoque[valor total],estoque[produto],preçodiario[[#Headers],[OVO BRANCO EXTRA]],estoque[data],preçodiario[[#This Row],[data]],estoque[fornecedor],"&lt;&gt;saída"))/(V168+(SUMIFS(estoque[quantidade],estoque[produto],preçodiario[[#Headers],[OVO BRANCO EXTRA]],estoque[fornecedor],"&lt;&gt;saída",estoque[data],preçodiario[[#This Row],[data]])))))</f>
        <v>15.833333333333334</v>
      </c>
      <c r="V169" s="22">
        <f>IF(preçodiario[[#This Row],[entrada E]]=0,V168-(SUMIFS(estoque[quantidade],estoque[fornecedor],"saída",estoque[produto],preçodiario[[#Headers],[OVO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Row],[data]]))+V168+preçodiario[[#This Row],[entrada E]])</f>
        <v>10</v>
      </c>
      <c r="W169" s="22">
        <f>SUMIFS(estoque[quantidade],estoque[fornecedor],"&lt;&gt;saída",estoque[produto],preçodiario[[#Headers],[OVO BRANCO EXTRA]],estoque[data],preçodiario[[#This Row],[data]])</f>
        <v>0</v>
      </c>
      <c r="X169" s="20">
        <f>SUMIFS(estoque[valor total],estoque[fornecedor],"&lt;&gt;saída",estoque[produto],preçodiario[[#Headers],[OVO BRANCO EXTRA]],estoque[data],preçodiario[[#This Row],[data]])</f>
        <v>0</v>
      </c>
      <c r="Y169" s="20">
        <f>IFERROR(preçodiario[[#This Row],[estoque E]]*preçodiario[[#This Row],[OVO BRANCO EXTRA]],0)</f>
        <v>158.33333333333334</v>
      </c>
      <c r="Z1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Row],[data]])),((Z168*AA168)+SUMIFS(estoque[valor total],estoque[produto],preçodiario[[#Headers],[OVO BRANCO JUMBO]],estoque[data],preçodiario[[#This Row],[data]],estoque[fornecedor],"&lt;&gt;saída"))/(AA168+(SUMIFS(estoque[quantidade],estoque[produto],preçodiario[[#Headers],[OVO BRANCO JUMBO]],estoque[fornecedor],"&lt;&gt;saída",estoque[data],preçodiario[[#This Row],[data]])))))</f>
        <v>17.083333333333332</v>
      </c>
      <c r="AA169" s="22">
        <f>IF(preçodiario[[#This Row],[entrada J]]=0,AA168-(SUMIFS(estoque[quantidade],estoque[fornecedor],"saída",estoque[produto],preçodiario[[#Headers],[OVO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Row],[data]]))+AA168+preçodiario[[#This Row],[entrada J]])</f>
        <v>2</v>
      </c>
      <c r="AB169" s="22">
        <f>SUMIFS(estoque[quantidade],estoque[fornecedor],"&lt;&gt;saída",estoque[produto],preçodiario[[#Headers],[OVO BRANCO JUMBO]],estoque[data],preçodiario[[#This Row],[data]])</f>
        <v>0</v>
      </c>
      <c r="AC169" s="20">
        <f>SUMIFS(estoque[valor total],estoque[fornecedor],"&lt;&gt;saída",estoque[produto],preçodiario[[#Headers],[OVO BRANCO JUMBO]],estoque[data],preçodiario[[#This Row],[data]])</f>
        <v>0</v>
      </c>
      <c r="AD169" s="20">
        <f>IFERROR(preçodiario[[#This Row],[OVO BRANCO JUMBO]]*preçodiario[[#This Row],[estoque J]],0)</f>
        <v>34.166666666666664</v>
      </c>
      <c r="AE1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Row],[data]])),((AE168*AF168)+SUMIFS(estoque[valor total],estoque[produto],preçodiario[[#Headers],[OVO VERMELHO A]],estoque[data],preçodiario[[#This Row],[data]],estoque[fornecedor],"&lt;&gt;saída"))/(AF168+(SUMIFS(estoque[quantidade],estoque[produto],preçodiario[[#Headers],[OVO VERMELHO A]],estoque[fornecedor],"&lt;&gt;saída",estoque[data],preçodiario[[#This Row],[data]])))))</f>
        <v/>
      </c>
      <c r="AF169" s="22">
        <f>IF(preçodiario[[#This Row],[entrada AV]]=0,AF168-(SUMIFS(estoque[quantidade],estoque[fornecedor],"saída",estoque[produto],preçodiario[[#Headers],[OVO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Row],[data]]))+AF168+preçodiario[[#This Row],[entrada AV]])</f>
        <v>0</v>
      </c>
      <c r="AG169" s="22">
        <f>SUMIFS(estoque[quantidade],estoque[fornecedor],"&lt;&gt;saída",estoque[produto],preçodiario[[#Headers],[OVO VERMELHO A]],estoque[data],preçodiario[[#This Row],[data]])</f>
        <v>0</v>
      </c>
      <c r="AH169" s="20">
        <f>SUMIFS(estoque[valor total],estoque[fornecedor],"&lt;&gt;saída",estoque[produto],preçodiario[[#Headers],[OVO VERMELHO A]],estoque[data],preçodiario[[#This Row],[data]])</f>
        <v>0</v>
      </c>
      <c r="AI169" s="20">
        <f>IFERROR(preçodiario[[#This Row],[OVO VERMELHO A]]*preçodiario[[#This Row],[estoque AV]],0)</f>
        <v>0</v>
      </c>
      <c r="AJ1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Row],[data]])),((AJ168*AK168)+SUMIFS(estoque[valor total],estoque[produto],preçodiario[[#Headers],[OVO VERMELHO B]],estoque[data],preçodiario[[#This Row],[data]],estoque[fornecedor],"&lt;&gt;saída"))/(AK168+(SUMIFS(estoque[quantidade],estoque[produto],preçodiario[[#Headers],[OVO VERMELHO B]],estoque[fornecedor],"&lt;&gt;saída",estoque[data],preçodiario[[#This Row],[data]])))))</f>
        <v/>
      </c>
      <c r="AK169" s="22">
        <f>IF(preçodiario[[#This Row],[entrada BV]]=0,AK168-(SUMIFS(estoque[quantidade],estoque[fornecedor],"saída",estoque[produto],preçodiario[[#Headers],[OVO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Row],[data]]))+AK168+preçodiario[[#This Row],[entrada BV]])</f>
        <v>0</v>
      </c>
      <c r="AL169" s="22">
        <f>SUMIFS(estoque[quantidade],estoque[fornecedor],"&lt;&gt;saída",estoque[produto],preçodiario[[#Headers],[OVO VERMELHO B]],estoque[data],preçodiario[[#This Row],[data]])</f>
        <v>0</v>
      </c>
      <c r="AM169" s="20">
        <f>SUMIFS(estoque[valor total],estoque[fornecedor],"&lt;&gt;saída",estoque[produto],preçodiario[[#Headers],[OVO VERMELHO B]],estoque[data],preçodiario[[#This Row],[data]])</f>
        <v>0</v>
      </c>
      <c r="AN169" s="20">
        <f>IFERROR(preçodiario[[#This Row],[OVO VERMELHO B]]*preçodiario[[#This Row],[estoque BV]],0)</f>
        <v>0</v>
      </c>
      <c r="AO1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Row],[data]])),((AO168*AP168)+SUMIFS(estoque[valor total],estoque[produto],preçodiario[[#Headers],[OVO VERMELHO C]],estoque[data],preçodiario[[#This Row],[data]],estoque[fornecedor],"&lt;&gt;saída"))/(AP168+(SUMIFS(estoque[quantidade],estoque[produto],preçodiario[[#Headers],[OVO VERMELHO C]],estoque[fornecedor],"&lt;&gt;saída",estoque[data],preçodiario[[#This Row],[data]])))))</f>
        <v/>
      </c>
      <c r="AP169" s="22">
        <f>IF(preçodiario[[#This Row],[entrada CV]]=0,AP168-(SUMIFS(estoque[quantidade],estoque[fornecedor],"saída",estoque[produto],preçodiario[[#Headers],[OVO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Row],[data]]))+AP168+preçodiario[[#This Row],[entrada CV]])</f>
        <v>0</v>
      </c>
      <c r="AQ169" s="22">
        <f>SUMIFS(estoque[quantidade],estoque[fornecedor],"&lt;&gt;saída",estoque[produto],preçodiario[[#Headers],[OVO VERMELHO C]],estoque[data],preçodiario[[#This Row],[data]])</f>
        <v>0</v>
      </c>
      <c r="AR169" s="20">
        <f>SUMIFS(estoque[valor total],estoque[fornecedor],"&lt;&gt;saída",estoque[produto],preçodiario[[#Headers],[OVO VERMELHO C]],estoque[data],preçodiario[[#This Row],[data]])</f>
        <v>0</v>
      </c>
      <c r="AS169" s="20">
        <f>IFERROR(preçodiario[[#This Row],[OVO VERMELHO C]]*preçodiario[[#This Row],[estoque CV]],0)</f>
        <v>0</v>
      </c>
      <c r="AT1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Row],[data]])),((AT168*AU168)+SUMIFS(estoque[valor total],estoque[produto],preçodiario[[#Headers],[OVO VERMELHO EXTRA]],estoque[data],preçodiario[[#This Row],[data]],estoque[fornecedor],"&lt;&gt;saída"))/(AU168+(SUMIFS(estoque[quantidade],estoque[produto],preçodiario[[#Headers],[OVO VERMELHO EXTRA]],estoque[fornecedor],"&lt;&gt;saída",estoque[data],preçodiario[[#This Row],[data]])))))</f>
        <v/>
      </c>
      <c r="AU169" s="22">
        <f>IF(preçodiario[[#This Row],[entrada EV]]=0,AU168-(SUMIFS(estoque[quantidade],estoque[fornecedor],"saída",estoque[produto],preçodiario[[#Headers],[OVO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Row],[data]]))+AU168+preçodiario[[#This Row],[entrada EV]])</f>
        <v>0</v>
      </c>
      <c r="AV169" s="22">
        <f>SUMIFS(estoque[quantidade],estoque[fornecedor],"&lt;&gt;saída",estoque[produto],preçodiario[[#Headers],[OVO VERMELHO EXTRA]],estoque[data],preçodiario[[#This Row],[data]])</f>
        <v>0</v>
      </c>
      <c r="AW169" s="20">
        <f>SUMIFS(estoque[valor total],estoque[fornecedor],"&lt;&gt;saída",estoque[produto],preçodiario[[#Headers],[OVO VERMELHO EXTRA]],estoque[data],preçodiario[[#This Row],[data]])</f>
        <v>0</v>
      </c>
      <c r="AX169" s="20">
        <f>IFERROR(preçodiario[[#This Row],[OVO VERMELHO EXTRA]]*preçodiario[[#This Row],[estoque EV]],0)</f>
        <v>0</v>
      </c>
      <c r="AY1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Row],[data]])),((AY168*AZ168)+SUMIFS(estoque[valor total],estoque[produto],preçodiario[[#Headers],[OVO VERMELHO JUMBO]],estoque[data],preçodiario[[#This Row],[data]],estoque[fornecedor],"&lt;&gt;saída"))/(AZ168+(SUMIFS(estoque[quantidade],estoque[produto],preçodiario[[#Headers],[OVO VERMELHO JUMBO]],estoque[fornecedor],"&lt;&gt;saída",estoque[data],preçodiario[[#This Row],[data]])))))</f>
        <v/>
      </c>
      <c r="AZ169" s="22">
        <f>IF(preçodiario[[#This Row],[entrada JV]]=0,AZ168-(SUMIFS(estoque[quantidade],estoque[fornecedor],"saída",estoque[produto],preçodiario[[#Headers],[OVO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Row],[data]]))+AZ168+preçodiario[[#This Row],[entrada JV]])</f>
        <v>0</v>
      </c>
      <c r="BA169" s="22">
        <f>SUMIFS(estoque[quantidade],estoque[fornecedor],"&lt;&gt;saída",estoque[produto],preçodiario[[#Headers],[OVO VERMELHO JUMBO]],estoque[data],preçodiario[[#This Row],[data]])</f>
        <v>0</v>
      </c>
      <c r="BB169" s="20">
        <f>SUMIFS(estoque[valor total],estoque[fornecedor],"&lt;&gt;saída",estoque[produto],preçodiario[[#Headers],[OVO VERMELHO JUMBO]],estoque[data],preçodiario[[#This Row],[data]])</f>
        <v>0</v>
      </c>
      <c r="BC169" s="20">
        <f>IFERROR(preçodiario[[#This Row],[OVO VERMELHO JUMBO]]*preçodiario[[#This Row],[estoque JV]],0)</f>
        <v>0</v>
      </c>
      <c r="BD169" t="str">
        <f>TEXT(vendaAno[[#This Row],[data]],"mmm")</f>
        <v>jun</v>
      </c>
      <c r="BE169" t="str">
        <f>TEXT(vendaAno[[#This Row],[data]],"ddd")</f>
        <v>qua</v>
      </c>
      <c r="BF169" s="82">
        <f>WEEKNUM(vendaAno[[#This Row],[data]],13)</f>
        <v>25</v>
      </c>
      <c r="BG169" s="27">
        <f>preçodiario[[#This Row],[data]]</f>
        <v>46190</v>
      </c>
      <c r="BH1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69" s="8">
        <f>IF(SUMIFS(estoque[valor total],estoque[fornecedor],"saída",estoque[data],vendaAno[[#This Row],[data]])=0,"",SUMIFS(estoque[valor total],estoque[fornecedor],"saída",estoque[data],vendaAno[[#This Row],[data]]))</f>
        <v>198</v>
      </c>
      <c r="BJ16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Row],[data]]))/12+BJ168,"")</f>
        <v>8.4166666666666412</v>
      </c>
      <c r="BK169" s="79">
        <f ca="1">IF(TODAY()&gt;=vendaAno[[#This Row],[data]],IF(SUMIFS(estoque[quantidade],estoque[fornecedor],"saída",estoque[data],vendaAno[[#This Row],[data]])/12=0,AVERAGE(BK166:BK168),SUMIFS(estoque[quantidade],estoque[fornecedor],"saída",estoque[data],vendaAno[[#This Row],[data]])/12),"")</f>
        <v>0.83333333333333337</v>
      </c>
      <c r="BL169" s="8">
        <f ca="1">IF(vendaAno[[#This Row],[data]]&lt;=TODAY(),IF(SUMIFS(estoque[lucro],estoque[fornecedor],"saída",estoque[data],vendaAno[[#This Row],[data]])=0,AVERAGE(BL166:BL168),SUMIFS(estoque[lucro],estoque[fornecedor],"saída",estoque[data],vendaAno[[#This Row],[data]])),"")</f>
        <v>38.42</v>
      </c>
      <c r="BM169" s="10">
        <f ca="1">IFERROR(vendaAno[[#This Row],[lucro]]/vendaAno[[#This Row],[valor de venda]],"")</f>
        <v>0.19404040404040404</v>
      </c>
      <c r="BN16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1475.9151873767257</v>
      </c>
      <c r="BO169" s="8">
        <f ca="1">IF(TODAY()&gt;=vendaAno[[#This Row],[data]],IF(vendaAno[[#This Row],[N°]]=BF168,vendaAno[[#This Row],[lucro]]-173.33+BO168,vendaAno[[#This Row],[lucro]]-150),"")</f>
        <v>-111.58</v>
      </c>
      <c r="BP169" s="81">
        <f ca="1">IF(TODAY()&gt;=vendaAno[[#This Row],[data]],SUM(BK163:BK169)*12,"")</f>
        <v>187</v>
      </c>
      <c r="BQ169" s="7">
        <f ca="1">IFERROR(vendaAno[[#This Row],[lucro]]/(vendaAno[[#This Row],[venda]]*12),"")</f>
        <v>3.8420000000000001</v>
      </c>
    </row>
    <row r="170" spans="1:69" x14ac:dyDescent="0.25">
      <c r="A1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0" s="18" t="str">
        <f>TEXT(preçodiario[[#This Row],[data]],"MMM")</f>
        <v>jun</v>
      </c>
      <c r="C170" s="18" t="str">
        <f>TEXT(preçodiario[[#This Row],[data]],"ddd")</f>
        <v>qui</v>
      </c>
      <c r="D170" s="96">
        <f>WEEKNUM(preçodiario[[#This Row],[data]],13)</f>
        <v>25</v>
      </c>
      <c r="E170" s="37">
        <v>46191</v>
      </c>
      <c r="F1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Row],[data]])),((F169*G169)+SUMIFS(estoque[valor total],estoque[produto],preçodiario[[#Headers],[OVO BRANCO A]],estoque[data],preçodiario[[#This Row],[data]],estoque[fornecedor],"&lt;&gt;saída"))/(G169+(SUMIFS(estoque[quantidade],estoque[produto],preçodiario[[#Headers],[OVO BRANCO A]],estoque[fornecedor],"&lt;&gt;saída",estoque[data],preçodiario[[#This Row],[data]])))))</f>
        <v>15.416666666666666</v>
      </c>
      <c r="G170" s="22">
        <f>IF(preçodiario[[#This Row],[entrada A]]=0,G169-(SUMIFS(estoque[quantidade],estoque[fornecedor],"saída",estoque[produto],preçodiario[[#Headers],[OVO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Row],[data]]))+G169+preçodiario[[#This Row],[entrada A]])</f>
        <v>119</v>
      </c>
      <c r="H170" s="22">
        <f>SUMIFS(estoque[quantidade],estoque[fornecedor],"&lt;&gt;saída",estoque[produto],preçodiario[[#Headers],[OVO BRANCO A]],estoque[data],preçodiario[[#This Row],[data]])</f>
        <v>120</v>
      </c>
      <c r="I170" s="20">
        <f>SUMIFS(estoque[valor total],estoque[fornecedor],"&lt;&gt;saída",estoque[produto],preçodiario[[#Headers],[OVO BRANCO A]],estoque[data],preçodiario[[#This Row],[data]])</f>
        <v>1850</v>
      </c>
      <c r="J170" s="20">
        <f>IFERROR(preçodiario[[#This Row],[estoque A]]*preçodiario[[#This Row],[OVO BRANCO A]],0)</f>
        <v>1834.5833333333333</v>
      </c>
      <c r="K1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Row],[data]])),((K169*L169)+SUMIFS(estoque[valor total],estoque[produto],preçodiario[[#Headers],[OVO BRANCO B]],estoque[data],preçodiario[[#This Row],[data]],estoque[fornecedor],"&lt;&gt;saída"))/(L169+(SUMIFS(estoque[quantidade],estoque[produto],preçodiario[[#Headers],[OVO BRANCO B]],estoque[fornecedor],"&lt;&gt;saída",estoque[data],preçodiario[[#This Row],[data]])))))</f>
        <v>14.704142011834316</v>
      </c>
      <c r="L170" s="22">
        <f>IF(preçodiario[[#This Row],[entrada B]]=0,L169-(SUMIFS(estoque[quantidade],estoque[fornecedor],"saída",estoque[produto],preçodiario[[#Headers],[OVO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Row],[data]]))+L169+preçodiario[[#This Row],[entrada B]])</f>
        <v>36</v>
      </c>
      <c r="M170" s="22">
        <f>SUMIFS(estoque[quantidade],estoque[fornecedor],"&lt;&gt;saída",estoque[produto],preçodiario[[#Headers],[OVO BRANCO B]],estoque[data],preçodiario[[#This Row],[data]])</f>
        <v>0</v>
      </c>
      <c r="N170" s="20">
        <f>SUMIFS(estoque[valor total],estoque[fornecedor],"&lt;&gt;saída",estoque[produto],preçodiario[[#Headers],[OVO BRANCO B]],estoque[data],preçodiario[[#This Row],[data]])</f>
        <v>0</v>
      </c>
      <c r="O170" s="20">
        <f>IFERROR(preçodiario[[#This Row],[OVO BRANCO B]]*preçodiario[[#This Row],[estoque B]],0)</f>
        <v>529.34911242603539</v>
      </c>
      <c r="P1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Row],[data]])),((P169*Q169)+SUMIFS(estoque[valor total],estoque[produto],preçodiario[[#Headers],[OVO BRANCO C]],estoque[data],preçodiario[[#This Row],[data]],estoque[fornecedor],"&lt;&gt;saída"))/(Q169+(SUMIFS(estoque[quantidade],estoque[produto],preçodiario[[#Headers],[OVO BRANCO C]],estoque[fornecedor],"&lt;&gt;saída",estoque[data],preçodiario[[#This Row],[data]])))))</f>
        <v>13.833333333333336</v>
      </c>
      <c r="Q170" s="22">
        <f>IF(preçodiario[[#This Row],[entrada C]]=0,Q169-(SUMIFS(estoque[quantidade],estoque[fornecedor],"saída",estoque[produto],preçodiario[[#Headers],[OVO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Row],[data]]))+Q169+preçodiario[[#This Row],[entrada C]])</f>
        <v>24</v>
      </c>
      <c r="R170" s="22">
        <f>SUMIFS(estoque[quantidade],estoque[fornecedor],"&lt;&gt;saída",estoque[produto],preçodiario[[#Headers],[OVO BRANCO C]],estoque[data],preçodiario[[#This Row],[data]])</f>
        <v>0</v>
      </c>
      <c r="S170" s="20">
        <f>SUMIFS(estoque[valor total],estoque[fornecedor],"&lt;&gt;saída",estoque[produto],preçodiario[[#Headers],[OVO BRANCO C]],estoque[data],preçodiario[[#This Row],[data]])</f>
        <v>0</v>
      </c>
      <c r="T170" s="20">
        <f>IFERROR(preçodiario[[#This Row],[OVO BRANCO C]]*preçodiario[[#This Row],[estoque C]],0)</f>
        <v>332.00000000000006</v>
      </c>
      <c r="U1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Row],[data]])),((U169*V169)+SUMIFS(estoque[valor total],estoque[produto],preçodiario[[#Headers],[OVO BRANCO EXTRA]],estoque[data],preçodiario[[#This Row],[data]],estoque[fornecedor],"&lt;&gt;saída"))/(V169+(SUMIFS(estoque[quantidade],estoque[produto],preçodiario[[#Headers],[OVO BRANCO EXTRA]],estoque[fornecedor],"&lt;&gt;saída",estoque[data],preçodiario[[#This Row],[data]])))))</f>
        <v>15.833333333333334</v>
      </c>
      <c r="V170" s="22">
        <f>IF(preçodiario[[#This Row],[entrada E]]=0,V169-(SUMIFS(estoque[quantidade],estoque[fornecedor],"saída",estoque[produto],preçodiario[[#Headers],[OVO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Row],[data]]))+V169+preçodiario[[#This Row],[entrada E]])</f>
        <v>120</v>
      </c>
      <c r="W170" s="22">
        <f>SUMIFS(estoque[quantidade],estoque[fornecedor],"&lt;&gt;saída",estoque[produto],preçodiario[[#Headers],[OVO BRANCO EXTRA]],estoque[data],preçodiario[[#This Row],[data]])</f>
        <v>120</v>
      </c>
      <c r="X170" s="20">
        <f>SUMIFS(estoque[valor total],estoque[fornecedor],"&lt;&gt;saída",estoque[produto],preçodiario[[#Headers],[OVO BRANCO EXTRA]],estoque[data],preçodiario[[#This Row],[data]])</f>
        <v>1900</v>
      </c>
      <c r="Y170" s="20">
        <f>IFERROR(preçodiario[[#This Row],[estoque E]]*preçodiario[[#This Row],[OVO BRANCO EXTRA]],0)</f>
        <v>1900</v>
      </c>
      <c r="Z1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Row],[data]])),((Z169*AA169)+SUMIFS(estoque[valor total],estoque[produto],preçodiario[[#Headers],[OVO BRANCO JUMBO]],estoque[data],preçodiario[[#This Row],[data]],estoque[fornecedor],"&lt;&gt;saída"))/(AA169+(SUMIFS(estoque[quantidade],estoque[produto],preçodiario[[#Headers],[OVO BRANCO JUMBO]],estoque[fornecedor],"&lt;&gt;saída",estoque[data],preçodiario[[#This Row],[data]])))))</f>
        <v>16.283333333333331</v>
      </c>
      <c r="AA170" s="22">
        <f>IF(preçodiario[[#This Row],[entrada J]]=0,AA169-(SUMIFS(estoque[quantidade],estoque[fornecedor],"saída",estoque[produto],preçodiario[[#Headers],[OVO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Row],[data]]))+AA169+preçodiario[[#This Row],[entrada J]])</f>
        <v>48</v>
      </c>
      <c r="AB170" s="22">
        <f>SUMIFS(estoque[quantidade],estoque[fornecedor],"&lt;&gt;saída",estoque[produto],preçodiario[[#Headers],[OVO BRANCO JUMBO]],estoque[data],preçodiario[[#This Row],[data]])</f>
        <v>48</v>
      </c>
      <c r="AC170" s="20">
        <f>SUMIFS(estoque[valor total],estoque[fornecedor],"&lt;&gt;saída",estoque[produto],preçodiario[[#Headers],[OVO BRANCO JUMBO]],estoque[data],preçodiario[[#This Row],[data]])</f>
        <v>780</v>
      </c>
      <c r="AD170" s="20">
        <f>IFERROR(preçodiario[[#This Row],[OVO BRANCO JUMBO]]*preçodiario[[#This Row],[estoque J]],0)</f>
        <v>781.59999999999991</v>
      </c>
      <c r="AE1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Row],[data]])),((AE169*AF169)+SUMIFS(estoque[valor total],estoque[produto],preçodiario[[#Headers],[OVO VERMELHO A]],estoque[data],preçodiario[[#This Row],[data]],estoque[fornecedor],"&lt;&gt;saída"))/(AF169+(SUMIFS(estoque[quantidade],estoque[produto],preçodiario[[#Headers],[OVO VERMELHO A]],estoque[fornecedor],"&lt;&gt;saída",estoque[data],preçodiario[[#This Row],[data]])))))</f>
        <v/>
      </c>
      <c r="AF170" s="22">
        <f>IF(preçodiario[[#This Row],[entrada AV]]=0,AF169-(SUMIFS(estoque[quantidade],estoque[fornecedor],"saída",estoque[produto],preçodiario[[#Headers],[OVO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Row],[data]]))+AF169+preçodiario[[#This Row],[entrada AV]])</f>
        <v>0</v>
      </c>
      <c r="AG170" s="22">
        <f>SUMIFS(estoque[quantidade],estoque[fornecedor],"&lt;&gt;saída",estoque[produto],preçodiario[[#Headers],[OVO VERMELHO A]],estoque[data],preçodiario[[#This Row],[data]])</f>
        <v>0</v>
      </c>
      <c r="AH170" s="20">
        <f>SUMIFS(estoque[valor total],estoque[fornecedor],"&lt;&gt;saída",estoque[produto],preçodiario[[#Headers],[OVO VERMELHO A]],estoque[data],preçodiario[[#This Row],[data]])</f>
        <v>0</v>
      </c>
      <c r="AI170" s="20">
        <f>IFERROR(preçodiario[[#This Row],[OVO VERMELHO A]]*preçodiario[[#This Row],[estoque AV]],0)</f>
        <v>0</v>
      </c>
      <c r="AJ1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Row],[data]])),((AJ169*AK169)+SUMIFS(estoque[valor total],estoque[produto],preçodiario[[#Headers],[OVO VERMELHO B]],estoque[data],preçodiario[[#This Row],[data]],estoque[fornecedor],"&lt;&gt;saída"))/(AK169+(SUMIFS(estoque[quantidade],estoque[produto],preçodiario[[#Headers],[OVO VERMELHO B]],estoque[fornecedor],"&lt;&gt;saída",estoque[data],preçodiario[[#This Row],[data]])))))</f>
        <v/>
      </c>
      <c r="AK170" s="22">
        <f>IF(preçodiario[[#This Row],[entrada BV]]=0,AK169-(SUMIFS(estoque[quantidade],estoque[fornecedor],"saída",estoque[produto],preçodiario[[#Headers],[OVO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Row],[data]]))+AK169+preçodiario[[#This Row],[entrada BV]])</f>
        <v>0</v>
      </c>
      <c r="AL170" s="22">
        <f>SUMIFS(estoque[quantidade],estoque[fornecedor],"&lt;&gt;saída",estoque[produto],preçodiario[[#Headers],[OVO VERMELHO B]],estoque[data],preçodiario[[#This Row],[data]])</f>
        <v>0</v>
      </c>
      <c r="AM170" s="20">
        <f>SUMIFS(estoque[valor total],estoque[fornecedor],"&lt;&gt;saída",estoque[produto],preçodiario[[#Headers],[OVO VERMELHO B]],estoque[data],preçodiario[[#This Row],[data]])</f>
        <v>0</v>
      </c>
      <c r="AN170" s="20">
        <f>IFERROR(preçodiario[[#This Row],[OVO VERMELHO B]]*preçodiario[[#This Row],[estoque BV]],0)</f>
        <v>0</v>
      </c>
      <c r="AO1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Row],[data]])),((AO169*AP169)+SUMIFS(estoque[valor total],estoque[produto],preçodiario[[#Headers],[OVO VERMELHO C]],estoque[data],preçodiario[[#This Row],[data]],estoque[fornecedor],"&lt;&gt;saída"))/(AP169+(SUMIFS(estoque[quantidade],estoque[produto],preçodiario[[#Headers],[OVO VERMELHO C]],estoque[fornecedor],"&lt;&gt;saída",estoque[data],preçodiario[[#This Row],[data]])))))</f>
        <v/>
      </c>
      <c r="AP170" s="22">
        <f>IF(preçodiario[[#This Row],[entrada CV]]=0,AP169-(SUMIFS(estoque[quantidade],estoque[fornecedor],"saída",estoque[produto],preçodiario[[#Headers],[OVO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Row],[data]]))+AP169+preçodiario[[#This Row],[entrada CV]])</f>
        <v>0</v>
      </c>
      <c r="AQ170" s="22">
        <f>SUMIFS(estoque[quantidade],estoque[fornecedor],"&lt;&gt;saída",estoque[produto],preçodiario[[#Headers],[OVO VERMELHO C]],estoque[data],preçodiario[[#This Row],[data]])</f>
        <v>0</v>
      </c>
      <c r="AR170" s="20">
        <f>SUMIFS(estoque[valor total],estoque[fornecedor],"&lt;&gt;saída",estoque[produto],preçodiario[[#Headers],[OVO VERMELHO C]],estoque[data],preçodiario[[#This Row],[data]])</f>
        <v>0</v>
      </c>
      <c r="AS170" s="20">
        <f>IFERROR(preçodiario[[#This Row],[OVO VERMELHO C]]*preçodiario[[#This Row],[estoque CV]],0)</f>
        <v>0</v>
      </c>
      <c r="AT1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Row],[data]])),((AT169*AU169)+SUMIFS(estoque[valor total],estoque[produto],preçodiario[[#Headers],[OVO VERMELHO EXTRA]],estoque[data],preçodiario[[#This Row],[data]],estoque[fornecedor],"&lt;&gt;saída"))/(AU169+(SUMIFS(estoque[quantidade],estoque[produto],preçodiario[[#Headers],[OVO VERMELHO EXTRA]],estoque[fornecedor],"&lt;&gt;saída",estoque[data],preçodiario[[#This Row],[data]])))))</f>
        <v/>
      </c>
      <c r="AU170" s="22">
        <f>IF(preçodiario[[#This Row],[entrada EV]]=0,AU169-(SUMIFS(estoque[quantidade],estoque[fornecedor],"saída",estoque[produto],preçodiario[[#Headers],[OVO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Row],[data]]))+AU169+preçodiario[[#This Row],[entrada EV]])</f>
        <v>0</v>
      </c>
      <c r="AV170" s="22">
        <f>SUMIFS(estoque[quantidade],estoque[fornecedor],"&lt;&gt;saída",estoque[produto],preçodiario[[#Headers],[OVO VERMELHO EXTRA]],estoque[data],preçodiario[[#This Row],[data]])</f>
        <v>0</v>
      </c>
      <c r="AW170" s="20">
        <f>SUMIFS(estoque[valor total],estoque[fornecedor],"&lt;&gt;saída",estoque[produto],preçodiario[[#Headers],[OVO VERMELHO EXTRA]],estoque[data],preçodiario[[#This Row],[data]])</f>
        <v>0</v>
      </c>
      <c r="AX170" s="20">
        <f>IFERROR(preçodiario[[#This Row],[OVO VERMELHO EXTRA]]*preçodiario[[#This Row],[estoque EV]],0)</f>
        <v>0</v>
      </c>
      <c r="AY1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Row],[data]])),((AY169*AZ169)+SUMIFS(estoque[valor total],estoque[produto],preçodiario[[#Headers],[OVO VERMELHO JUMBO]],estoque[data],preçodiario[[#This Row],[data]],estoque[fornecedor],"&lt;&gt;saída"))/(AZ169+(SUMIFS(estoque[quantidade],estoque[produto],preçodiario[[#Headers],[OVO VERMELHO JUMBO]],estoque[fornecedor],"&lt;&gt;saída",estoque[data],preçodiario[[#This Row],[data]])))))</f>
        <v/>
      </c>
      <c r="AZ170" s="22">
        <f>IF(preçodiario[[#This Row],[entrada JV]]=0,AZ169-(SUMIFS(estoque[quantidade],estoque[fornecedor],"saída",estoque[produto],preçodiario[[#Headers],[OVO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Row],[data]]))+AZ169+preçodiario[[#This Row],[entrada JV]])</f>
        <v>0</v>
      </c>
      <c r="BA170" s="22">
        <f>SUMIFS(estoque[quantidade],estoque[fornecedor],"&lt;&gt;saída",estoque[produto],preçodiario[[#Headers],[OVO VERMELHO JUMBO]],estoque[data],preçodiario[[#This Row],[data]])</f>
        <v>0</v>
      </c>
      <c r="BB170" s="20">
        <f>SUMIFS(estoque[valor total],estoque[fornecedor],"&lt;&gt;saída",estoque[produto],preçodiario[[#Headers],[OVO VERMELHO JUMBO]],estoque[data],preçodiario[[#This Row],[data]])</f>
        <v>0</v>
      </c>
      <c r="BC170" s="20">
        <f>IFERROR(preçodiario[[#This Row],[OVO VERMELHO JUMBO]]*preçodiario[[#This Row],[estoque JV]],0)</f>
        <v>0</v>
      </c>
      <c r="BD170" t="str">
        <f>TEXT(vendaAno[[#This Row],[data]],"mmm")</f>
        <v>jun</v>
      </c>
      <c r="BE170" t="str">
        <f>TEXT(vendaAno[[#This Row],[data]],"ddd")</f>
        <v>qui</v>
      </c>
      <c r="BF170" s="82">
        <f>WEEKNUM(vendaAno[[#This Row],[data]],13)</f>
        <v>25</v>
      </c>
      <c r="BG170" s="27">
        <f>preçodiario[[#This Row],[data]]</f>
        <v>46191</v>
      </c>
      <c r="BH170" s="8">
        <f>IF(SUMIFS(estoque[valor total],estoque[fornecedor],"&lt;&gt;saída",estoque[data],vendaAno[[#This Row],[data]])=0,"",SUMIFS(estoque[valor total],estoque[fornecedor],"&lt;&gt;saída",estoque[data],vendaAno[[#This Row],[data]]))</f>
        <v>4530</v>
      </c>
      <c r="BI170" s="8">
        <f>IF(SUMIFS(estoque[valor total],estoque[fornecedor],"saída",estoque[data],vendaAno[[#This Row],[data]])=0,"",SUMIFS(estoque[valor total],estoque[fornecedor],"saída",estoque[data],vendaAno[[#This Row],[data]]))</f>
        <v>684</v>
      </c>
      <c r="BJ17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Row],[data]]))/12+BJ169,"")</f>
        <v>28.916666666666643</v>
      </c>
      <c r="BK170" s="79">
        <f ca="1">IF(TODAY()&gt;=vendaAno[[#This Row],[data]],IF(SUMIFS(estoque[quantidade],estoque[fornecedor],"saída",estoque[data],vendaAno[[#This Row],[data]])/12=0,AVERAGE(BK167:BK169),SUMIFS(estoque[quantidade],estoque[fornecedor],"saída",estoque[data],vendaAno[[#This Row],[data]])/12),"")</f>
        <v>3.5</v>
      </c>
      <c r="BL170" s="8">
        <f ca="1">IF(vendaAno[[#This Row],[data]]&lt;=TODAY(),IF(SUMIFS(estoque[lucro],estoque[fornecedor],"saída",estoque[data],vendaAno[[#This Row],[data]])=0,AVERAGE(BL167:BL169),SUMIFS(estoque[lucro],estoque[fornecedor],"saída",estoque[data],vendaAno[[#This Row],[data]])),"")</f>
        <v>55.620000000000005</v>
      </c>
      <c r="BM170" s="10">
        <f ca="1">IFERROR(vendaAno[[#This Row],[lucro]]/vendaAno[[#This Row],[valor de venda]],"")</f>
        <v>8.1315789473684216E-2</v>
      </c>
      <c r="BN17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5377.5324457593688</v>
      </c>
      <c r="BO170" s="8">
        <f ca="1">IF(TODAY()&gt;=vendaAno[[#This Row],[data]],IF(vendaAno[[#This Row],[N°]]=BF169,vendaAno[[#This Row],[lucro]]-173.33+BO169,vendaAno[[#This Row],[lucro]]-150),"")</f>
        <v>-229.29000000000002</v>
      </c>
      <c r="BP170" s="81">
        <f ca="1">IF(TODAY()&gt;=vendaAno[[#This Row],[data]],SUM(BK164:BK170)*12,"")</f>
        <v>199.99999999999997</v>
      </c>
      <c r="BQ170" s="7">
        <f ca="1">IFERROR(vendaAno[[#This Row],[lucro]]/(vendaAno[[#This Row],[venda]]*12),"")</f>
        <v>1.3242857142857143</v>
      </c>
    </row>
    <row r="171" spans="1:69" x14ac:dyDescent="0.25">
      <c r="A1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1" s="18" t="str">
        <f>TEXT(preçodiario[[#This Row],[data]],"MMM")</f>
        <v>jun</v>
      </c>
      <c r="C171" s="18" t="str">
        <f>TEXT(preçodiario[[#This Row],[data]],"ddd")</f>
        <v>sex</v>
      </c>
      <c r="D171" s="96">
        <f>WEEKNUM(preçodiario[[#This Row],[data]],13)</f>
        <v>25</v>
      </c>
      <c r="E171" s="37">
        <v>46192</v>
      </c>
      <c r="F1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Row],[data]])),((F170*G170)+SUMIFS(estoque[valor total],estoque[produto],preçodiario[[#Headers],[OVO BRANCO A]],estoque[data],preçodiario[[#This Row],[data]],estoque[fornecedor],"&lt;&gt;saída"))/(G170+(SUMIFS(estoque[quantidade],estoque[produto],preçodiario[[#Headers],[OVO BRANCO A]],estoque[fornecedor],"&lt;&gt;saída",estoque[data],preçodiario[[#This Row],[data]])))))</f>
        <v>15.416666666666666</v>
      </c>
      <c r="G171" s="22">
        <f>IF(preçodiario[[#This Row],[entrada A]]=0,G170-(SUMIFS(estoque[quantidade],estoque[fornecedor],"saída",estoque[produto],preçodiario[[#Headers],[OVO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Row],[data]]))+G170+preçodiario[[#This Row],[entrada A]])</f>
        <v>118</v>
      </c>
      <c r="H171" s="22">
        <f>SUMIFS(estoque[quantidade],estoque[fornecedor],"&lt;&gt;saída",estoque[produto],preçodiario[[#Headers],[OVO BRANCO A]],estoque[data],preçodiario[[#This Row],[data]])</f>
        <v>0</v>
      </c>
      <c r="I171" s="20">
        <f>SUMIFS(estoque[valor total],estoque[fornecedor],"&lt;&gt;saída",estoque[produto],preçodiario[[#Headers],[OVO BRANCO A]],estoque[data],preçodiario[[#This Row],[data]])</f>
        <v>0</v>
      </c>
      <c r="J171" s="20">
        <f>IFERROR(preçodiario[[#This Row],[estoque A]]*preçodiario[[#This Row],[OVO BRANCO A]],0)</f>
        <v>1819.1666666666665</v>
      </c>
      <c r="K1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Row],[data]])),((K170*L170)+SUMIFS(estoque[valor total],estoque[produto],preçodiario[[#Headers],[OVO BRANCO B]],estoque[data],preçodiario[[#This Row],[data]],estoque[fornecedor],"&lt;&gt;saída"))/(L170+(SUMIFS(estoque[quantidade],estoque[produto],preçodiario[[#Headers],[OVO BRANCO B]],estoque[fornecedor],"&lt;&gt;saída",estoque[data],preçodiario[[#This Row],[data]])))))</f>
        <v>14.704142011834316</v>
      </c>
      <c r="L171" s="22">
        <f>IF(preçodiario[[#This Row],[entrada B]]=0,L170-(SUMIFS(estoque[quantidade],estoque[fornecedor],"saída",estoque[produto],preçodiario[[#Headers],[OVO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Row],[data]]))+L170+preçodiario[[#This Row],[entrada B]])</f>
        <v>36</v>
      </c>
      <c r="M171" s="22">
        <f>SUMIFS(estoque[quantidade],estoque[fornecedor],"&lt;&gt;saída",estoque[produto],preçodiario[[#Headers],[OVO BRANCO B]],estoque[data],preçodiario[[#This Row],[data]])</f>
        <v>0</v>
      </c>
      <c r="N171" s="20">
        <f>SUMIFS(estoque[valor total],estoque[fornecedor],"&lt;&gt;saída",estoque[produto],preçodiario[[#Headers],[OVO BRANCO B]],estoque[data],preçodiario[[#This Row],[data]])</f>
        <v>0</v>
      </c>
      <c r="O171" s="20">
        <f>IFERROR(preçodiario[[#This Row],[OVO BRANCO B]]*preçodiario[[#This Row],[estoque B]],0)</f>
        <v>529.34911242603539</v>
      </c>
      <c r="P1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Row],[data]])),((P170*Q170)+SUMIFS(estoque[valor total],estoque[produto],preçodiario[[#Headers],[OVO BRANCO C]],estoque[data],preçodiario[[#This Row],[data]],estoque[fornecedor],"&lt;&gt;saída"))/(Q170+(SUMIFS(estoque[quantidade],estoque[produto],preçodiario[[#Headers],[OVO BRANCO C]],estoque[fornecedor],"&lt;&gt;saída",estoque[data],preçodiario[[#This Row],[data]])))))</f>
        <v>13.833333333333336</v>
      </c>
      <c r="Q171" s="22">
        <f>IF(preçodiario[[#This Row],[entrada C]]=0,Q170-(SUMIFS(estoque[quantidade],estoque[fornecedor],"saída",estoque[produto],preçodiario[[#Headers],[OVO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Row],[data]]))+Q170+preçodiario[[#This Row],[entrada C]])</f>
        <v>24</v>
      </c>
      <c r="R171" s="22">
        <f>SUMIFS(estoque[quantidade],estoque[fornecedor],"&lt;&gt;saída",estoque[produto],preçodiario[[#Headers],[OVO BRANCO C]],estoque[data],preçodiario[[#This Row],[data]])</f>
        <v>0</v>
      </c>
      <c r="S171" s="20">
        <f>SUMIFS(estoque[valor total],estoque[fornecedor],"&lt;&gt;saída",estoque[produto],preçodiario[[#Headers],[OVO BRANCO C]],estoque[data],preçodiario[[#This Row],[data]])</f>
        <v>0</v>
      </c>
      <c r="T171" s="20">
        <f>IFERROR(preçodiario[[#This Row],[OVO BRANCO C]]*preçodiario[[#This Row],[estoque C]],0)</f>
        <v>332.00000000000006</v>
      </c>
      <c r="U1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Row],[data]])),((U170*V170)+SUMIFS(estoque[valor total],estoque[produto],preçodiario[[#Headers],[OVO BRANCO EXTRA]],estoque[data],preçodiario[[#This Row],[data]],estoque[fornecedor],"&lt;&gt;saída"))/(V170+(SUMIFS(estoque[quantidade],estoque[produto],preçodiario[[#Headers],[OVO BRANCO EXTRA]],estoque[fornecedor],"&lt;&gt;saída",estoque[data],preçodiario[[#This Row],[data]])))))</f>
        <v>15.833333333333334</v>
      </c>
      <c r="V171" s="22">
        <f>IF(preçodiario[[#This Row],[entrada E]]=0,V170-(SUMIFS(estoque[quantidade],estoque[fornecedor],"saída",estoque[produto],preçodiario[[#Headers],[OVO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Row],[data]]))+V170+preçodiario[[#This Row],[entrada E]])</f>
        <v>113</v>
      </c>
      <c r="W171" s="22">
        <f>SUMIFS(estoque[quantidade],estoque[fornecedor],"&lt;&gt;saída",estoque[produto],preçodiario[[#Headers],[OVO BRANCO EXTRA]],estoque[data],preçodiario[[#This Row],[data]])</f>
        <v>0</v>
      </c>
      <c r="X171" s="20">
        <f>SUMIFS(estoque[valor total],estoque[fornecedor],"&lt;&gt;saída",estoque[produto],preçodiario[[#Headers],[OVO BRANCO EXTRA]],estoque[data],preçodiario[[#This Row],[data]])</f>
        <v>0</v>
      </c>
      <c r="Y171" s="20">
        <f>IFERROR(preçodiario[[#This Row],[estoque E]]*preçodiario[[#This Row],[OVO BRANCO EXTRA]],0)</f>
        <v>1789.1666666666667</v>
      </c>
      <c r="Z1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Row],[data]])),((Z170*AA170)+SUMIFS(estoque[valor total],estoque[produto],preçodiario[[#Headers],[OVO BRANCO JUMBO]],estoque[data],preçodiario[[#This Row],[data]],estoque[fornecedor],"&lt;&gt;saída"))/(AA170+(SUMIFS(estoque[quantidade],estoque[produto],preçodiario[[#Headers],[OVO BRANCO JUMBO]],estoque[fornecedor],"&lt;&gt;saída",estoque[data],preçodiario[[#This Row],[data]])))))</f>
        <v>16.283333333333331</v>
      </c>
      <c r="AA171" s="22">
        <f>IF(preçodiario[[#This Row],[entrada J]]=0,AA170-(SUMIFS(estoque[quantidade],estoque[fornecedor],"saída",estoque[produto],preçodiario[[#Headers],[OVO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Row],[data]]))+AA170+preçodiario[[#This Row],[entrada J]])</f>
        <v>47</v>
      </c>
      <c r="AB171" s="22">
        <f>SUMIFS(estoque[quantidade],estoque[fornecedor],"&lt;&gt;saída",estoque[produto],preçodiario[[#Headers],[OVO BRANCO JUMBO]],estoque[data],preçodiario[[#This Row],[data]])</f>
        <v>0</v>
      </c>
      <c r="AC171" s="20">
        <f>SUMIFS(estoque[valor total],estoque[fornecedor],"&lt;&gt;saída",estoque[produto],preçodiario[[#Headers],[OVO BRANCO JUMBO]],estoque[data],preçodiario[[#This Row],[data]])</f>
        <v>0</v>
      </c>
      <c r="AD171" s="20">
        <f>IFERROR(preçodiario[[#This Row],[OVO BRANCO JUMBO]]*preçodiario[[#This Row],[estoque J]],0)</f>
        <v>765.31666666666661</v>
      </c>
      <c r="AE1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Row],[data]])),((AE170*AF170)+SUMIFS(estoque[valor total],estoque[produto],preçodiario[[#Headers],[OVO VERMELHO A]],estoque[data],preçodiario[[#This Row],[data]],estoque[fornecedor],"&lt;&gt;saída"))/(AF170+(SUMIFS(estoque[quantidade],estoque[produto],preçodiario[[#Headers],[OVO VERMELHO A]],estoque[fornecedor],"&lt;&gt;saída",estoque[data],preçodiario[[#This Row],[data]])))))</f>
        <v/>
      </c>
      <c r="AF171" s="22">
        <f>IF(preçodiario[[#This Row],[entrada AV]]=0,AF170-(SUMIFS(estoque[quantidade],estoque[fornecedor],"saída",estoque[produto],preçodiario[[#Headers],[OVO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Row],[data]]))+AF170+preçodiario[[#This Row],[entrada AV]])</f>
        <v>0</v>
      </c>
      <c r="AG171" s="22">
        <f>SUMIFS(estoque[quantidade],estoque[fornecedor],"&lt;&gt;saída",estoque[produto],preçodiario[[#Headers],[OVO VERMELHO A]],estoque[data],preçodiario[[#This Row],[data]])</f>
        <v>0</v>
      </c>
      <c r="AH171" s="20">
        <f>SUMIFS(estoque[valor total],estoque[fornecedor],"&lt;&gt;saída",estoque[produto],preçodiario[[#Headers],[OVO VERMELHO A]],estoque[data],preçodiario[[#This Row],[data]])</f>
        <v>0</v>
      </c>
      <c r="AI171" s="20">
        <f>IFERROR(preçodiario[[#This Row],[OVO VERMELHO A]]*preçodiario[[#This Row],[estoque AV]],0)</f>
        <v>0</v>
      </c>
      <c r="AJ1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Row],[data]])),((AJ170*AK170)+SUMIFS(estoque[valor total],estoque[produto],preçodiario[[#Headers],[OVO VERMELHO B]],estoque[data],preçodiario[[#This Row],[data]],estoque[fornecedor],"&lt;&gt;saída"))/(AK170+(SUMIFS(estoque[quantidade],estoque[produto],preçodiario[[#Headers],[OVO VERMELHO B]],estoque[fornecedor],"&lt;&gt;saída",estoque[data],preçodiario[[#This Row],[data]])))))</f>
        <v/>
      </c>
      <c r="AK171" s="22">
        <f>IF(preçodiario[[#This Row],[entrada BV]]=0,AK170-(SUMIFS(estoque[quantidade],estoque[fornecedor],"saída",estoque[produto],preçodiario[[#Headers],[OVO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Row],[data]]))+AK170+preçodiario[[#This Row],[entrada BV]])</f>
        <v>0</v>
      </c>
      <c r="AL171" s="22">
        <f>SUMIFS(estoque[quantidade],estoque[fornecedor],"&lt;&gt;saída",estoque[produto],preçodiario[[#Headers],[OVO VERMELHO B]],estoque[data],preçodiario[[#This Row],[data]])</f>
        <v>0</v>
      </c>
      <c r="AM171" s="20">
        <f>SUMIFS(estoque[valor total],estoque[fornecedor],"&lt;&gt;saída",estoque[produto],preçodiario[[#Headers],[OVO VERMELHO B]],estoque[data],preçodiario[[#This Row],[data]])</f>
        <v>0</v>
      </c>
      <c r="AN171" s="20">
        <f>IFERROR(preçodiario[[#This Row],[OVO VERMELHO B]]*preçodiario[[#This Row],[estoque BV]],0)</f>
        <v>0</v>
      </c>
      <c r="AO1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Row],[data]])),((AO170*AP170)+SUMIFS(estoque[valor total],estoque[produto],preçodiario[[#Headers],[OVO VERMELHO C]],estoque[data],preçodiario[[#This Row],[data]],estoque[fornecedor],"&lt;&gt;saída"))/(AP170+(SUMIFS(estoque[quantidade],estoque[produto],preçodiario[[#Headers],[OVO VERMELHO C]],estoque[fornecedor],"&lt;&gt;saída",estoque[data],preçodiario[[#This Row],[data]])))))</f>
        <v/>
      </c>
      <c r="AP171" s="22">
        <f>IF(preçodiario[[#This Row],[entrada CV]]=0,AP170-(SUMIFS(estoque[quantidade],estoque[fornecedor],"saída",estoque[produto],preçodiario[[#Headers],[OVO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Row],[data]]))+AP170+preçodiario[[#This Row],[entrada CV]])</f>
        <v>0</v>
      </c>
      <c r="AQ171" s="22">
        <f>SUMIFS(estoque[quantidade],estoque[fornecedor],"&lt;&gt;saída",estoque[produto],preçodiario[[#Headers],[OVO VERMELHO C]],estoque[data],preçodiario[[#This Row],[data]])</f>
        <v>0</v>
      </c>
      <c r="AR171" s="20">
        <f>SUMIFS(estoque[valor total],estoque[fornecedor],"&lt;&gt;saída",estoque[produto],preçodiario[[#Headers],[OVO VERMELHO C]],estoque[data],preçodiario[[#This Row],[data]])</f>
        <v>0</v>
      </c>
      <c r="AS171" s="20">
        <f>IFERROR(preçodiario[[#This Row],[OVO VERMELHO C]]*preçodiario[[#This Row],[estoque CV]],0)</f>
        <v>0</v>
      </c>
      <c r="AT1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Row],[data]])),((AT170*AU170)+SUMIFS(estoque[valor total],estoque[produto],preçodiario[[#Headers],[OVO VERMELHO EXTRA]],estoque[data],preçodiario[[#This Row],[data]],estoque[fornecedor],"&lt;&gt;saída"))/(AU170+(SUMIFS(estoque[quantidade],estoque[produto],preçodiario[[#Headers],[OVO VERMELHO EXTRA]],estoque[fornecedor],"&lt;&gt;saída",estoque[data],preçodiario[[#This Row],[data]])))))</f>
        <v/>
      </c>
      <c r="AU171" s="22">
        <f>IF(preçodiario[[#This Row],[entrada EV]]=0,AU170-(SUMIFS(estoque[quantidade],estoque[fornecedor],"saída",estoque[produto],preçodiario[[#Headers],[OVO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Row],[data]]))+AU170+preçodiario[[#This Row],[entrada EV]])</f>
        <v>0</v>
      </c>
      <c r="AV171" s="22">
        <f>SUMIFS(estoque[quantidade],estoque[fornecedor],"&lt;&gt;saída",estoque[produto],preçodiario[[#Headers],[OVO VERMELHO EXTRA]],estoque[data],preçodiario[[#This Row],[data]])</f>
        <v>0</v>
      </c>
      <c r="AW171" s="20">
        <f>SUMIFS(estoque[valor total],estoque[fornecedor],"&lt;&gt;saída",estoque[produto],preçodiario[[#Headers],[OVO VERMELHO EXTRA]],estoque[data],preçodiario[[#This Row],[data]])</f>
        <v>0</v>
      </c>
      <c r="AX171" s="20">
        <f>IFERROR(preçodiario[[#This Row],[OVO VERMELHO EXTRA]]*preçodiario[[#This Row],[estoque EV]],0)</f>
        <v>0</v>
      </c>
      <c r="AY1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Row],[data]])),((AY170*AZ170)+SUMIFS(estoque[valor total],estoque[produto],preçodiario[[#Headers],[OVO VERMELHO JUMBO]],estoque[data],preçodiario[[#This Row],[data]],estoque[fornecedor],"&lt;&gt;saída"))/(AZ170+(SUMIFS(estoque[quantidade],estoque[produto],preçodiario[[#Headers],[OVO VERMELHO JUMBO]],estoque[fornecedor],"&lt;&gt;saída",estoque[data],preçodiario[[#This Row],[data]])))))</f>
        <v/>
      </c>
      <c r="AZ171" s="22">
        <f>IF(preçodiario[[#This Row],[entrada JV]]=0,AZ170-(SUMIFS(estoque[quantidade],estoque[fornecedor],"saída",estoque[produto],preçodiario[[#Headers],[OVO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Row],[data]]))+AZ170+preçodiario[[#This Row],[entrada JV]])</f>
        <v>0</v>
      </c>
      <c r="BA171" s="22">
        <f>SUMIFS(estoque[quantidade],estoque[fornecedor],"&lt;&gt;saída",estoque[produto],preçodiario[[#Headers],[OVO VERMELHO JUMBO]],estoque[data],preçodiario[[#This Row],[data]])</f>
        <v>0</v>
      </c>
      <c r="BB171" s="20">
        <f>SUMIFS(estoque[valor total],estoque[fornecedor],"&lt;&gt;saída",estoque[produto],preçodiario[[#Headers],[OVO VERMELHO JUMBO]],estoque[data],preçodiario[[#This Row],[data]])</f>
        <v>0</v>
      </c>
      <c r="BC171" s="20">
        <f>IFERROR(preçodiario[[#This Row],[OVO VERMELHO JUMBO]]*preçodiario[[#This Row],[estoque JV]],0)</f>
        <v>0</v>
      </c>
      <c r="BD171" t="str">
        <f>TEXT(vendaAno[[#This Row],[data]],"mmm")</f>
        <v>jun</v>
      </c>
      <c r="BE171" t="str">
        <f>TEXT(vendaAno[[#This Row],[data]],"ddd")</f>
        <v>sex</v>
      </c>
      <c r="BF171" s="82">
        <f>WEEKNUM(vendaAno[[#This Row],[data]],13)</f>
        <v>25</v>
      </c>
      <c r="BG171" s="27">
        <f>preçodiario[[#This Row],[data]]</f>
        <v>46192</v>
      </c>
      <c r="BH1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1" s="8">
        <f>IF(SUMIFS(estoque[valor total],estoque[fornecedor],"saída",estoque[data],vendaAno[[#This Row],[data]])=0,"",SUMIFS(estoque[valor total],estoque[fornecedor],"saída",estoque[data],vendaAno[[#This Row],[data]]))</f>
        <v>181</v>
      </c>
      <c r="BJ17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Row],[data]]))/12+BJ170,"")</f>
        <v>28.166666666666643</v>
      </c>
      <c r="BK171" s="79">
        <f ca="1">IF(TODAY()&gt;=vendaAno[[#This Row],[data]],IF(SUMIFS(estoque[quantidade],estoque[fornecedor],"saída",estoque[data],vendaAno[[#This Row],[data]])/12=0,AVERAGE(BK168:BK170),SUMIFS(estoque[quantidade],estoque[fornecedor],"saída",estoque[data],vendaAno[[#This Row],[data]])/12),"")</f>
        <v>0.75</v>
      </c>
      <c r="BL171" s="8">
        <f ca="1">IF(vendaAno[[#This Row],[data]]&lt;=TODAY(),IF(SUMIFS(estoque[lucro],estoque[fornecedor],"saída",estoque[data],vendaAno[[#This Row],[data]])=0,AVERAGE(BL168:BL170),SUMIFS(estoque[lucro],estoque[fornecedor],"saída",estoque[data],vendaAno[[#This Row],[data]])),"")</f>
        <v>38.47</v>
      </c>
      <c r="BM171" s="10">
        <f ca="1">IFERROR(vendaAno[[#This Row],[lucro]]/vendaAno[[#This Row],[valor de venda]],"")</f>
        <v>0.21254143646408838</v>
      </c>
      <c r="BN17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5234.9991124260359</v>
      </c>
      <c r="BO171" s="8">
        <f ca="1">IF(TODAY()&gt;=vendaAno[[#This Row],[data]],IF(vendaAno[[#This Row],[N°]]=BF170,vendaAno[[#This Row],[lucro]]-173.33+BO170,vendaAno[[#This Row],[lucro]]-150),"")</f>
        <v>-364.15000000000003</v>
      </c>
      <c r="BP171" s="81">
        <f ca="1">IF(TODAY()&gt;=vendaAno[[#This Row],[data]],SUM(BK165:BK171)*12,"")</f>
        <v>183</v>
      </c>
      <c r="BQ171" s="7">
        <f ca="1">IFERROR(vendaAno[[#This Row],[lucro]]/(vendaAno[[#This Row],[venda]]*12),"")</f>
        <v>4.2744444444444447</v>
      </c>
    </row>
    <row r="172" spans="1:69" x14ac:dyDescent="0.25">
      <c r="A17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2" s="18" t="str">
        <f>TEXT(preçodiario[[#This Row],[data]],"MMM")</f>
        <v>jun</v>
      </c>
      <c r="C172" s="18" t="str">
        <f>TEXT(preçodiario[[#This Row],[data]],"ddd")</f>
        <v>sáb</v>
      </c>
      <c r="D172" s="96">
        <f>WEEKNUM(preçodiario[[#This Row],[data]],13)</f>
        <v>25</v>
      </c>
      <c r="E172" s="37">
        <v>46193</v>
      </c>
      <c r="F17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Row],[data]])),((F171*G171)+SUMIFS(estoque[valor total],estoque[produto],preçodiario[[#Headers],[OVO BRANCO A]],estoque[data],preçodiario[[#This Row],[data]],estoque[fornecedor],"&lt;&gt;saída"))/(G171+(SUMIFS(estoque[quantidade],estoque[produto],preçodiario[[#Headers],[OVO BRANCO A]],estoque[fornecedor],"&lt;&gt;saída",estoque[data],preçodiario[[#This Row],[data]])))))</f>
        <v>15.416666666666666</v>
      </c>
      <c r="G172" s="22">
        <f>IF(preçodiario[[#This Row],[entrada A]]=0,G171-(SUMIFS(estoque[quantidade],estoque[fornecedor],"saída",estoque[produto],preçodiario[[#Headers],[OVO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Row],[data]]))+G171+preçodiario[[#This Row],[entrada A]])</f>
        <v>103</v>
      </c>
      <c r="H172" s="22">
        <f>SUMIFS(estoque[quantidade],estoque[fornecedor],"&lt;&gt;saída",estoque[produto],preçodiario[[#Headers],[OVO BRANCO A]],estoque[data],preçodiario[[#This Row],[data]])</f>
        <v>0</v>
      </c>
      <c r="I172" s="20">
        <f>SUMIFS(estoque[valor total],estoque[fornecedor],"&lt;&gt;saída",estoque[produto],preçodiario[[#Headers],[OVO BRANCO A]],estoque[data],preçodiario[[#This Row],[data]])</f>
        <v>0</v>
      </c>
      <c r="J172" s="20">
        <f>IFERROR(preçodiario[[#This Row],[estoque A]]*preçodiario[[#This Row],[OVO BRANCO A]],0)</f>
        <v>1587.9166666666665</v>
      </c>
      <c r="K1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Row],[data]])),((K171*L171)+SUMIFS(estoque[valor total],estoque[produto],preçodiario[[#Headers],[OVO BRANCO B]],estoque[data],preçodiario[[#This Row],[data]],estoque[fornecedor],"&lt;&gt;saída"))/(L171+(SUMIFS(estoque[quantidade],estoque[produto],preçodiario[[#Headers],[OVO BRANCO B]],estoque[fornecedor],"&lt;&gt;saída",estoque[data],preçodiario[[#This Row],[data]])))))</f>
        <v>14.704142011834316</v>
      </c>
      <c r="L172" s="22">
        <f>IF(preçodiario[[#This Row],[entrada B]]=0,L171-(SUMIFS(estoque[quantidade],estoque[fornecedor],"saída",estoque[produto],preçodiario[[#Headers],[OVO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Row],[data]]))+L171+preçodiario[[#This Row],[entrada B]])</f>
        <v>36</v>
      </c>
      <c r="M172" s="22">
        <f>SUMIFS(estoque[quantidade],estoque[fornecedor],"&lt;&gt;saída",estoque[produto],preçodiario[[#Headers],[OVO BRANCO B]],estoque[data],preçodiario[[#This Row],[data]])</f>
        <v>0</v>
      </c>
      <c r="N172" s="20">
        <f>SUMIFS(estoque[valor total],estoque[fornecedor],"&lt;&gt;saída",estoque[produto],preçodiario[[#Headers],[OVO BRANCO B]],estoque[data],preçodiario[[#This Row],[data]])</f>
        <v>0</v>
      </c>
      <c r="O172" s="20">
        <f>IFERROR(preçodiario[[#This Row],[OVO BRANCO B]]*preçodiario[[#This Row],[estoque B]],0)</f>
        <v>529.34911242603539</v>
      </c>
      <c r="P1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Row],[data]])),((P171*Q171)+SUMIFS(estoque[valor total],estoque[produto],preçodiario[[#Headers],[OVO BRANCO C]],estoque[data],preçodiario[[#This Row],[data]],estoque[fornecedor],"&lt;&gt;saída"))/(Q171+(SUMIFS(estoque[quantidade],estoque[produto],preçodiario[[#Headers],[OVO BRANCO C]],estoque[fornecedor],"&lt;&gt;saída",estoque[data],preçodiario[[#This Row],[data]])))))</f>
        <v>13.833333333333336</v>
      </c>
      <c r="Q172" s="22">
        <f>IF(preçodiario[[#This Row],[entrada C]]=0,Q171-(SUMIFS(estoque[quantidade],estoque[fornecedor],"saída",estoque[produto],preçodiario[[#Headers],[OVO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Row],[data]]))+Q171+preçodiario[[#This Row],[entrada C]])</f>
        <v>24</v>
      </c>
      <c r="R172" s="22">
        <f>SUMIFS(estoque[quantidade],estoque[fornecedor],"&lt;&gt;saída",estoque[produto],preçodiario[[#Headers],[OVO BRANCO C]],estoque[data],preçodiario[[#This Row],[data]])</f>
        <v>0</v>
      </c>
      <c r="S172" s="20">
        <f>SUMIFS(estoque[valor total],estoque[fornecedor],"&lt;&gt;saída",estoque[produto],preçodiario[[#Headers],[OVO BRANCO C]],estoque[data],preçodiario[[#This Row],[data]])</f>
        <v>0</v>
      </c>
      <c r="T172" s="20">
        <f>IFERROR(preçodiario[[#This Row],[OVO BRANCO C]]*preçodiario[[#This Row],[estoque C]],0)</f>
        <v>332.00000000000006</v>
      </c>
      <c r="U1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Row],[data]])),((U171*V171)+SUMIFS(estoque[valor total],estoque[produto],preçodiario[[#Headers],[OVO BRANCO EXTRA]],estoque[data],preçodiario[[#This Row],[data]],estoque[fornecedor],"&lt;&gt;saída"))/(V171+(SUMIFS(estoque[quantidade],estoque[produto],preçodiario[[#Headers],[OVO BRANCO EXTRA]],estoque[fornecedor],"&lt;&gt;saída",estoque[data],preçodiario[[#This Row],[data]])))))</f>
        <v>15.833333333333334</v>
      </c>
      <c r="V172" s="22">
        <f>IF(preçodiario[[#This Row],[entrada E]]=0,V171-(SUMIFS(estoque[quantidade],estoque[fornecedor],"saída",estoque[produto],preçodiario[[#Headers],[OVO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Row],[data]]))+V171+preçodiario[[#This Row],[entrada E]])</f>
        <v>108</v>
      </c>
      <c r="W172" s="22">
        <f>SUMIFS(estoque[quantidade],estoque[fornecedor],"&lt;&gt;saída",estoque[produto],preçodiario[[#Headers],[OVO BRANCO EXTRA]],estoque[data],preçodiario[[#This Row],[data]])</f>
        <v>0</v>
      </c>
      <c r="X172" s="20">
        <f>SUMIFS(estoque[valor total],estoque[fornecedor],"&lt;&gt;saída",estoque[produto],preçodiario[[#Headers],[OVO BRANCO EXTRA]],estoque[data],preçodiario[[#This Row],[data]])</f>
        <v>0</v>
      </c>
      <c r="Y172" s="20">
        <f>IFERROR(preçodiario[[#This Row],[estoque E]]*preçodiario[[#This Row],[OVO BRANCO EXTRA]],0)</f>
        <v>1710</v>
      </c>
      <c r="Z1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Row],[data]])),((Z171*AA171)+SUMIFS(estoque[valor total],estoque[produto],preçodiario[[#Headers],[OVO BRANCO JUMBO]],estoque[data],preçodiario[[#This Row],[data]],estoque[fornecedor],"&lt;&gt;saída"))/(AA171+(SUMIFS(estoque[quantidade],estoque[produto],preçodiario[[#Headers],[OVO BRANCO JUMBO]],estoque[fornecedor],"&lt;&gt;saída",estoque[data],preçodiario[[#This Row],[data]])))))</f>
        <v>16.283333333333331</v>
      </c>
      <c r="AA172" s="22">
        <f>IF(preçodiario[[#This Row],[entrada J]]=0,AA171-(SUMIFS(estoque[quantidade],estoque[fornecedor],"saída",estoque[produto],preçodiario[[#Headers],[OVO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Row],[data]]))+AA171+preçodiario[[#This Row],[entrada J]])</f>
        <v>44</v>
      </c>
      <c r="AB172" s="22">
        <f>SUMIFS(estoque[quantidade],estoque[fornecedor],"&lt;&gt;saída",estoque[produto],preçodiario[[#Headers],[OVO BRANCO JUMBO]],estoque[data],preçodiario[[#This Row],[data]])</f>
        <v>0</v>
      </c>
      <c r="AC172" s="20">
        <f>SUMIFS(estoque[valor total],estoque[fornecedor],"&lt;&gt;saída",estoque[produto],preçodiario[[#Headers],[OVO BRANCO JUMBO]],estoque[data],preçodiario[[#This Row],[data]])</f>
        <v>0</v>
      </c>
      <c r="AD172" s="20">
        <f>IFERROR(preçodiario[[#This Row],[OVO BRANCO JUMBO]]*preçodiario[[#This Row],[estoque J]],0)</f>
        <v>716.46666666666658</v>
      </c>
      <c r="AE1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Row],[data]])),((AE171*AF171)+SUMIFS(estoque[valor total],estoque[produto],preçodiario[[#Headers],[OVO VERMELHO A]],estoque[data],preçodiario[[#This Row],[data]],estoque[fornecedor],"&lt;&gt;saída"))/(AF171+(SUMIFS(estoque[quantidade],estoque[produto],preçodiario[[#Headers],[OVO VERMELHO A]],estoque[fornecedor],"&lt;&gt;saída",estoque[data],preçodiario[[#This Row],[data]])))))</f>
        <v/>
      </c>
      <c r="AF172" s="22">
        <f>IF(preçodiario[[#This Row],[entrada AV]]=0,AF171-(SUMIFS(estoque[quantidade],estoque[fornecedor],"saída",estoque[produto],preçodiario[[#Headers],[OVO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Row],[data]]))+AF171+preçodiario[[#This Row],[entrada AV]])</f>
        <v>0</v>
      </c>
      <c r="AG172" s="22">
        <f>SUMIFS(estoque[quantidade],estoque[fornecedor],"&lt;&gt;saída",estoque[produto],preçodiario[[#Headers],[OVO VERMELHO A]],estoque[data],preçodiario[[#This Row],[data]])</f>
        <v>0</v>
      </c>
      <c r="AH172" s="20">
        <f>SUMIFS(estoque[valor total],estoque[fornecedor],"&lt;&gt;saída",estoque[produto],preçodiario[[#Headers],[OVO VERMELHO A]],estoque[data],preçodiario[[#This Row],[data]])</f>
        <v>0</v>
      </c>
      <c r="AI172" s="20">
        <f>IFERROR(preçodiario[[#This Row],[OVO VERMELHO A]]*preçodiario[[#This Row],[estoque AV]],0)</f>
        <v>0</v>
      </c>
      <c r="AJ1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Row],[data]])),((AJ171*AK171)+SUMIFS(estoque[valor total],estoque[produto],preçodiario[[#Headers],[OVO VERMELHO B]],estoque[data],preçodiario[[#This Row],[data]],estoque[fornecedor],"&lt;&gt;saída"))/(AK171+(SUMIFS(estoque[quantidade],estoque[produto],preçodiario[[#Headers],[OVO VERMELHO B]],estoque[fornecedor],"&lt;&gt;saída",estoque[data],preçodiario[[#This Row],[data]])))))</f>
        <v/>
      </c>
      <c r="AK172" s="22">
        <f>IF(preçodiario[[#This Row],[entrada BV]]=0,AK171-(SUMIFS(estoque[quantidade],estoque[fornecedor],"saída",estoque[produto],preçodiario[[#Headers],[OVO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Row],[data]]))+AK171+preçodiario[[#This Row],[entrada BV]])</f>
        <v>0</v>
      </c>
      <c r="AL172" s="22">
        <f>SUMIFS(estoque[quantidade],estoque[fornecedor],"&lt;&gt;saída",estoque[produto],preçodiario[[#Headers],[OVO VERMELHO B]],estoque[data],preçodiario[[#This Row],[data]])</f>
        <v>0</v>
      </c>
      <c r="AM172" s="20">
        <f>SUMIFS(estoque[valor total],estoque[fornecedor],"&lt;&gt;saída",estoque[produto],preçodiario[[#Headers],[OVO VERMELHO B]],estoque[data],preçodiario[[#This Row],[data]])</f>
        <v>0</v>
      </c>
      <c r="AN172" s="20">
        <f>IFERROR(preçodiario[[#This Row],[OVO VERMELHO B]]*preçodiario[[#This Row],[estoque BV]],0)</f>
        <v>0</v>
      </c>
      <c r="AO1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Row],[data]])),((AO171*AP171)+SUMIFS(estoque[valor total],estoque[produto],preçodiario[[#Headers],[OVO VERMELHO C]],estoque[data],preçodiario[[#This Row],[data]],estoque[fornecedor],"&lt;&gt;saída"))/(AP171+(SUMIFS(estoque[quantidade],estoque[produto],preçodiario[[#Headers],[OVO VERMELHO C]],estoque[fornecedor],"&lt;&gt;saída",estoque[data],preçodiario[[#This Row],[data]])))))</f>
        <v/>
      </c>
      <c r="AP172" s="22">
        <f>IF(preçodiario[[#This Row],[entrada CV]]=0,AP171-(SUMIFS(estoque[quantidade],estoque[fornecedor],"saída",estoque[produto],preçodiario[[#Headers],[OVO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Row],[data]]))+AP171+preçodiario[[#This Row],[entrada CV]])</f>
        <v>0</v>
      </c>
      <c r="AQ172" s="22">
        <f>SUMIFS(estoque[quantidade],estoque[fornecedor],"&lt;&gt;saída",estoque[produto],preçodiario[[#Headers],[OVO VERMELHO C]],estoque[data],preçodiario[[#This Row],[data]])</f>
        <v>0</v>
      </c>
      <c r="AR172" s="20">
        <f>SUMIFS(estoque[valor total],estoque[fornecedor],"&lt;&gt;saída",estoque[produto],preçodiario[[#Headers],[OVO VERMELHO C]],estoque[data],preçodiario[[#This Row],[data]])</f>
        <v>0</v>
      </c>
      <c r="AS172" s="20">
        <f>IFERROR(preçodiario[[#This Row],[OVO VERMELHO C]]*preçodiario[[#This Row],[estoque CV]],0)</f>
        <v>0</v>
      </c>
      <c r="AT1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Row],[data]])),((AT171*AU171)+SUMIFS(estoque[valor total],estoque[produto],preçodiario[[#Headers],[OVO VERMELHO EXTRA]],estoque[data],preçodiario[[#This Row],[data]],estoque[fornecedor],"&lt;&gt;saída"))/(AU171+(SUMIFS(estoque[quantidade],estoque[produto],preçodiario[[#Headers],[OVO VERMELHO EXTRA]],estoque[fornecedor],"&lt;&gt;saída",estoque[data],preçodiario[[#This Row],[data]])))))</f>
        <v/>
      </c>
      <c r="AU172" s="22">
        <f>IF(preçodiario[[#This Row],[entrada EV]]=0,AU171-(SUMIFS(estoque[quantidade],estoque[fornecedor],"saída",estoque[produto],preçodiario[[#Headers],[OVO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Row],[data]]))+AU171+preçodiario[[#This Row],[entrada EV]])</f>
        <v>0</v>
      </c>
      <c r="AV172" s="22">
        <f>SUMIFS(estoque[quantidade],estoque[fornecedor],"&lt;&gt;saída",estoque[produto],preçodiario[[#Headers],[OVO VERMELHO EXTRA]],estoque[data],preçodiario[[#This Row],[data]])</f>
        <v>0</v>
      </c>
      <c r="AW172" s="20">
        <f>SUMIFS(estoque[valor total],estoque[fornecedor],"&lt;&gt;saída",estoque[produto],preçodiario[[#Headers],[OVO VERMELHO EXTRA]],estoque[data],preçodiario[[#This Row],[data]])</f>
        <v>0</v>
      </c>
      <c r="AX172" s="20">
        <f>IFERROR(preçodiario[[#This Row],[OVO VERMELHO EXTRA]]*preçodiario[[#This Row],[estoque EV]],0)</f>
        <v>0</v>
      </c>
      <c r="AY1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Row],[data]])),((AY171*AZ171)+SUMIFS(estoque[valor total],estoque[produto],preçodiario[[#Headers],[OVO VERMELHO JUMBO]],estoque[data],preçodiario[[#This Row],[data]],estoque[fornecedor],"&lt;&gt;saída"))/(AZ171+(SUMIFS(estoque[quantidade],estoque[produto],preçodiario[[#Headers],[OVO VERMELHO JUMBO]],estoque[fornecedor],"&lt;&gt;saída",estoque[data],preçodiario[[#This Row],[data]])))))</f>
        <v/>
      </c>
      <c r="AZ172" s="22">
        <f>IF(preçodiario[[#This Row],[entrada JV]]=0,AZ171-(SUMIFS(estoque[quantidade],estoque[fornecedor],"saída",estoque[produto],preçodiario[[#Headers],[OVO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Row],[data]]))+AZ171+preçodiario[[#This Row],[entrada JV]])</f>
        <v>0</v>
      </c>
      <c r="BA172" s="22">
        <f>SUMIFS(estoque[quantidade],estoque[fornecedor],"&lt;&gt;saída",estoque[produto],preçodiario[[#Headers],[OVO VERMELHO JUMBO]],estoque[data],preçodiario[[#This Row],[data]])</f>
        <v>0</v>
      </c>
      <c r="BB172" s="20">
        <f>SUMIFS(estoque[valor total],estoque[fornecedor],"&lt;&gt;saída",estoque[produto],preçodiario[[#Headers],[OVO VERMELHO JUMBO]],estoque[data],preçodiario[[#This Row],[data]])</f>
        <v>0</v>
      </c>
      <c r="BC172" s="20">
        <f>IFERROR(preçodiario[[#This Row],[OVO VERMELHO JUMBO]]*preçodiario[[#This Row],[estoque JV]],0)</f>
        <v>0</v>
      </c>
      <c r="BD172" t="str">
        <f>TEXT(vendaAno[[#This Row],[data]],"mmm")</f>
        <v>jun</v>
      </c>
      <c r="BE172" t="str">
        <f>TEXT(vendaAno[[#This Row],[data]],"ddd")</f>
        <v>sáb</v>
      </c>
      <c r="BF172" s="82">
        <f>WEEKNUM(vendaAno[[#This Row],[data]],13)</f>
        <v>25</v>
      </c>
      <c r="BG172" s="27">
        <f>preçodiario[[#This Row],[data]]</f>
        <v>46193</v>
      </c>
      <c r="BH1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2" s="8">
        <f>IF(SUMIFS(estoque[valor total],estoque[fornecedor],"saída",estoque[data],vendaAno[[#This Row],[data]])=0,"",SUMIFS(estoque[valor total],estoque[fornecedor],"saída",estoque[data],vendaAno[[#This Row],[data]]))</f>
        <v>451</v>
      </c>
      <c r="BJ17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Row],[data]]))/12+BJ171,"")</f>
        <v>26.249999999999975</v>
      </c>
      <c r="BK172" s="79">
        <f ca="1">IF(TODAY()&gt;=vendaAno[[#This Row],[data]],IF(SUMIFS(estoque[quantidade],estoque[fornecedor],"saída",estoque[data],vendaAno[[#This Row],[data]])/12=0,AVERAGE(BK169:BK171),SUMIFS(estoque[quantidade],estoque[fornecedor],"saída",estoque[data],vendaAno[[#This Row],[data]])/12),"")</f>
        <v>1.9166666666666667</v>
      </c>
      <c r="BL172" s="8">
        <f ca="1">IF(vendaAno[[#This Row],[data]]&lt;=TODAY(),IF(SUMIFS(estoque[lucro],estoque[fornecedor],"saída",estoque[data],vendaAno[[#This Row],[data]])=0,AVERAGE(BL169:BL171),SUMIFS(estoque[lucro],estoque[fornecedor],"saída",estoque[data],vendaAno[[#This Row],[data]])),"")</f>
        <v>91.72999999999999</v>
      </c>
      <c r="BM172" s="10">
        <f ca="1">IFERROR(vendaAno[[#This Row],[lucro]]/vendaAno[[#This Row],[valor de venda]],"")</f>
        <v>0.20339246119733922</v>
      </c>
      <c r="BN17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4875.7324457593686</v>
      </c>
      <c r="BO172" s="8">
        <f ca="1">IF(TODAY()&gt;=vendaAno[[#This Row],[data]],IF(vendaAno[[#This Row],[N°]]=BF171,vendaAno[[#This Row],[lucro]]-173.33+BO171,vendaAno[[#This Row],[lucro]]-150),"")</f>
        <v>-445.75000000000006</v>
      </c>
      <c r="BP172" s="81">
        <f ca="1">IF(TODAY()&gt;=vendaAno[[#This Row],[data]],SUM(BK166:BK172)*12,"")</f>
        <v>177</v>
      </c>
      <c r="BQ172" s="7">
        <f ca="1">IFERROR(vendaAno[[#This Row],[lucro]]/(vendaAno[[#This Row],[venda]]*12),"")</f>
        <v>3.9882608695652171</v>
      </c>
    </row>
    <row r="173" spans="1:69" x14ac:dyDescent="0.25">
      <c r="A17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3" s="18" t="str">
        <f>TEXT(preçodiario[[#This Row],[data]],"MMM")</f>
        <v>jun</v>
      </c>
      <c r="C173" s="18" t="str">
        <f>TEXT(preçodiario[[#This Row],[data]],"ddd")</f>
        <v>dom</v>
      </c>
      <c r="D173" s="96">
        <f>WEEKNUM(preçodiario[[#This Row],[data]],13)</f>
        <v>25</v>
      </c>
      <c r="E173" s="37">
        <v>46194</v>
      </c>
      <c r="F17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Row],[data]])),((F172*G172)+SUMIFS(estoque[valor total],estoque[produto],preçodiario[[#Headers],[OVO BRANCO A]],estoque[data],preçodiario[[#This Row],[data]],estoque[fornecedor],"&lt;&gt;saída"))/(G172+(SUMIFS(estoque[quantidade],estoque[produto],preçodiario[[#Headers],[OVO BRANCO A]],estoque[fornecedor],"&lt;&gt;saída",estoque[data],preçodiario[[#This Row],[data]])))))</f>
        <v>15.416666666666666</v>
      </c>
      <c r="G173" s="22">
        <f>IF(preçodiario[[#This Row],[entrada A]]=0,G172-(SUMIFS(estoque[quantidade],estoque[fornecedor],"saída",estoque[produto],preçodiario[[#Headers],[OVO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Row],[data]]))+G172+preçodiario[[#This Row],[entrada A]])</f>
        <v>99</v>
      </c>
      <c r="H173" s="22">
        <f>SUMIFS(estoque[quantidade],estoque[fornecedor],"&lt;&gt;saída",estoque[produto],preçodiario[[#Headers],[OVO BRANCO A]],estoque[data],preçodiario[[#This Row],[data]])</f>
        <v>0</v>
      </c>
      <c r="I173" s="20">
        <f>SUMIFS(estoque[valor total],estoque[fornecedor],"&lt;&gt;saída",estoque[produto],preçodiario[[#Headers],[OVO BRANCO A]],estoque[data],preçodiario[[#This Row],[data]])</f>
        <v>0</v>
      </c>
      <c r="J173" s="20">
        <f>IFERROR(preçodiario[[#This Row],[estoque A]]*preçodiario[[#This Row],[OVO BRANCO A]],0)</f>
        <v>1526.25</v>
      </c>
      <c r="K1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Row],[data]])),((K172*L172)+SUMIFS(estoque[valor total],estoque[produto],preçodiario[[#Headers],[OVO BRANCO B]],estoque[data],preçodiario[[#This Row],[data]],estoque[fornecedor],"&lt;&gt;saída"))/(L172+(SUMIFS(estoque[quantidade],estoque[produto],preçodiario[[#Headers],[OVO BRANCO B]],estoque[fornecedor],"&lt;&gt;saída",estoque[data],preçodiario[[#This Row],[data]])))))</f>
        <v>14.704142011834316</v>
      </c>
      <c r="L173" s="22">
        <f>IF(preçodiario[[#This Row],[entrada B]]=0,L172-(SUMIFS(estoque[quantidade],estoque[fornecedor],"saída",estoque[produto],preçodiario[[#Headers],[OVO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Row],[data]]))+L172+preçodiario[[#This Row],[entrada B]])</f>
        <v>23</v>
      </c>
      <c r="M173" s="22">
        <f>SUMIFS(estoque[quantidade],estoque[fornecedor],"&lt;&gt;saída",estoque[produto],preçodiario[[#Headers],[OVO BRANCO B]],estoque[data],preçodiario[[#This Row],[data]])</f>
        <v>0</v>
      </c>
      <c r="N173" s="20">
        <f>SUMIFS(estoque[valor total],estoque[fornecedor],"&lt;&gt;saída",estoque[produto],preçodiario[[#Headers],[OVO BRANCO B]],estoque[data],preçodiario[[#This Row],[data]])</f>
        <v>0</v>
      </c>
      <c r="O173" s="20">
        <f>IFERROR(preçodiario[[#This Row],[OVO BRANCO B]]*preçodiario[[#This Row],[estoque B]],0)</f>
        <v>338.19526627218926</v>
      </c>
      <c r="P1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Row],[data]])),((P172*Q172)+SUMIFS(estoque[valor total],estoque[produto],preçodiario[[#Headers],[OVO BRANCO C]],estoque[data],preçodiario[[#This Row],[data]],estoque[fornecedor],"&lt;&gt;saída"))/(Q172+(SUMIFS(estoque[quantidade],estoque[produto],preçodiario[[#Headers],[OVO BRANCO C]],estoque[fornecedor],"&lt;&gt;saída",estoque[data],preçodiario[[#This Row],[data]])))))</f>
        <v>13.833333333333336</v>
      </c>
      <c r="Q173" s="22">
        <f>IF(preçodiario[[#This Row],[entrada C]]=0,Q172-(SUMIFS(estoque[quantidade],estoque[fornecedor],"saída",estoque[produto],preçodiario[[#Headers],[OVO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Row],[data]]))+Q172+preçodiario[[#This Row],[entrada C]])</f>
        <v>20</v>
      </c>
      <c r="R173" s="22">
        <f>SUMIFS(estoque[quantidade],estoque[fornecedor],"&lt;&gt;saída",estoque[produto],preçodiario[[#Headers],[OVO BRANCO C]],estoque[data],preçodiario[[#This Row],[data]])</f>
        <v>0</v>
      </c>
      <c r="S173" s="20">
        <f>SUMIFS(estoque[valor total],estoque[fornecedor],"&lt;&gt;saída",estoque[produto],preçodiario[[#Headers],[OVO BRANCO C]],estoque[data],preçodiario[[#This Row],[data]])</f>
        <v>0</v>
      </c>
      <c r="T173" s="20">
        <f>IFERROR(preçodiario[[#This Row],[OVO BRANCO C]]*preçodiario[[#This Row],[estoque C]],0)</f>
        <v>276.66666666666674</v>
      </c>
      <c r="U1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Row],[data]])),((U172*V172)+SUMIFS(estoque[valor total],estoque[produto],preçodiario[[#Headers],[OVO BRANCO EXTRA]],estoque[data],preçodiario[[#This Row],[data]],estoque[fornecedor],"&lt;&gt;saída"))/(V172+(SUMIFS(estoque[quantidade],estoque[produto],preçodiario[[#Headers],[OVO BRANCO EXTRA]],estoque[fornecedor],"&lt;&gt;saída",estoque[data],preçodiario[[#This Row],[data]])))))</f>
        <v>15.833333333333334</v>
      </c>
      <c r="V173" s="22">
        <f>IF(preçodiario[[#This Row],[entrada E]]=0,V172-(SUMIFS(estoque[quantidade],estoque[fornecedor],"saída",estoque[produto],preçodiario[[#Headers],[OVO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Row],[data]]))+V172+preçodiario[[#This Row],[entrada E]])</f>
        <v>93</v>
      </c>
      <c r="W173" s="22">
        <f>SUMIFS(estoque[quantidade],estoque[fornecedor],"&lt;&gt;saída",estoque[produto],preçodiario[[#Headers],[OVO BRANCO EXTRA]],estoque[data],preçodiario[[#This Row],[data]])</f>
        <v>0</v>
      </c>
      <c r="X173" s="20">
        <f>SUMIFS(estoque[valor total],estoque[fornecedor],"&lt;&gt;saída",estoque[produto],preçodiario[[#Headers],[OVO BRANCO EXTRA]],estoque[data],preçodiario[[#This Row],[data]])</f>
        <v>0</v>
      </c>
      <c r="Y173" s="20">
        <f>IFERROR(preçodiario[[#This Row],[estoque E]]*preçodiario[[#This Row],[OVO BRANCO EXTRA]],0)</f>
        <v>1472.5</v>
      </c>
      <c r="Z1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Row],[data]])),((Z172*AA172)+SUMIFS(estoque[valor total],estoque[produto],preçodiario[[#Headers],[OVO BRANCO JUMBO]],estoque[data],preçodiario[[#This Row],[data]],estoque[fornecedor],"&lt;&gt;saída"))/(AA172+(SUMIFS(estoque[quantidade],estoque[produto],preçodiario[[#Headers],[OVO BRANCO JUMBO]],estoque[fornecedor],"&lt;&gt;saída",estoque[data],preçodiario[[#This Row],[data]])))))</f>
        <v>16.283333333333331</v>
      </c>
      <c r="AA173" s="22">
        <f>IF(preçodiario[[#This Row],[entrada J]]=0,AA172-(SUMIFS(estoque[quantidade],estoque[fornecedor],"saída",estoque[produto],preçodiario[[#Headers],[OVO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Row],[data]]))+AA172+preçodiario[[#This Row],[entrada J]])</f>
        <v>40</v>
      </c>
      <c r="AB173" s="22">
        <f>SUMIFS(estoque[quantidade],estoque[fornecedor],"&lt;&gt;saída",estoque[produto],preçodiario[[#Headers],[OVO BRANCO JUMBO]],estoque[data],preçodiario[[#This Row],[data]])</f>
        <v>0</v>
      </c>
      <c r="AC173" s="20">
        <f>SUMIFS(estoque[valor total],estoque[fornecedor],"&lt;&gt;saída",estoque[produto],preçodiario[[#Headers],[OVO BRANCO JUMBO]],estoque[data],preçodiario[[#This Row],[data]])</f>
        <v>0</v>
      </c>
      <c r="AD173" s="20">
        <f>IFERROR(preçodiario[[#This Row],[OVO BRANCO JUMBO]]*preçodiario[[#This Row],[estoque J]],0)</f>
        <v>651.33333333333326</v>
      </c>
      <c r="AE1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Row],[data]])),((AE172*AF172)+SUMIFS(estoque[valor total],estoque[produto],preçodiario[[#Headers],[OVO VERMELHO A]],estoque[data],preçodiario[[#This Row],[data]],estoque[fornecedor],"&lt;&gt;saída"))/(AF172+(SUMIFS(estoque[quantidade],estoque[produto],preçodiario[[#Headers],[OVO VERMELHO A]],estoque[fornecedor],"&lt;&gt;saída",estoque[data],preçodiario[[#This Row],[data]])))))</f>
        <v/>
      </c>
      <c r="AF173" s="22">
        <f>IF(preçodiario[[#This Row],[entrada AV]]=0,AF172-(SUMIFS(estoque[quantidade],estoque[fornecedor],"saída",estoque[produto],preçodiario[[#Headers],[OVO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Row],[data]]))+AF172+preçodiario[[#This Row],[entrada AV]])</f>
        <v>0</v>
      </c>
      <c r="AG173" s="22">
        <f>SUMIFS(estoque[quantidade],estoque[fornecedor],"&lt;&gt;saída",estoque[produto],preçodiario[[#Headers],[OVO VERMELHO A]],estoque[data],preçodiario[[#This Row],[data]])</f>
        <v>0</v>
      </c>
      <c r="AH173" s="20">
        <f>SUMIFS(estoque[valor total],estoque[fornecedor],"&lt;&gt;saída",estoque[produto],preçodiario[[#Headers],[OVO VERMELHO A]],estoque[data],preçodiario[[#This Row],[data]])</f>
        <v>0</v>
      </c>
      <c r="AI173" s="20">
        <f>IFERROR(preçodiario[[#This Row],[OVO VERMELHO A]]*preçodiario[[#This Row],[estoque AV]],0)</f>
        <v>0</v>
      </c>
      <c r="AJ1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Row],[data]])),((AJ172*AK172)+SUMIFS(estoque[valor total],estoque[produto],preçodiario[[#Headers],[OVO VERMELHO B]],estoque[data],preçodiario[[#This Row],[data]],estoque[fornecedor],"&lt;&gt;saída"))/(AK172+(SUMIFS(estoque[quantidade],estoque[produto],preçodiario[[#Headers],[OVO VERMELHO B]],estoque[fornecedor],"&lt;&gt;saída",estoque[data],preçodiario[[#This Row],[data]])))))</f>
        <v/>
      </c>
      <c r="AK173" s="22">
        <f>IF(preçodiario[[#This Row],[entrada BV]]=0,AK172-(SUMIFS(estoque[quantidade],estoque[fornecedor],"saída",estoque[produto],preçodiario[[#Headers],[OVO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Row],[data]]))+AK172+preçodiario[[#This Row],[entrada BV]])</f>
        <v>0</v>
      </c>
      <c r="AL173" s="22">
        <f>SUMIFS(estoque[quantidade],estoque[fornecedor],"&lt;&gt;saída",estoque[produto],preçodiario[[#Headers],[OVO VERMELHO B]],estoque[data],preçodiario[[#This Row],[data]])</f>
        <v>0</v>
      </c>
      <c r="AM173" s="20">
        <f>SUMIFS(estoque[valor total],estoque[fornecedor],"&lt;&gt;saída",estoque[produto],preçodiario[[#Headers],[OVO VERMELHO B]],estoque[data],preçodiario[[#This Row],[data]])</f>
        <v>0</v>
      </c>
      <c r="AN173" s="20">
        <f>IFERROR(preçodiario[[#This Row],[OVO VERMELHO B]]*preçodiario[[#This Row],[estoque BV]],0)</f>
        <v>0</v>
      </c>
      <c r="AO1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Row],[data]])),((AO172*AP172)+SUMIFS(estoque[valor total],estoque[produto],preçodiario[[#Headers],[OVO VERMELHO C]],estoque[data],preçodiario[[#This Row],[data]],estoque[fornecedor],"&lt;&gt;saída"))/(AP172+(SUMIFS(estoque[quantidade],estoque[produto],preçodiario[[#Headers],[OVO VERMELHO C]],estoque[fornecedor],"&lt;&gt;saída",estoque[data],preçodiario[[#This Row],[data]])))))</f>
        <v/>
      </c>
      <c r="AP173" s="22">
        <f>IF(preçodiario[[#This Row],[entrada CV]]=0,AP172-(SUMIFS(estoque[quantidade],estoque[fornecedor],"saída",estoque[produto],preçodiario[[#Headers],[OVO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Row],[data]]))+AP172+preçodiario[[#This Row],[entrada CV]])</f>
        <v>0</v>
      </c>
      <c r="AQ173" s="22">
        <f>SUMIFS(estoque[quantidade],estoque[fornecedor],"&lt;&gt;saída",estoque[produto],preçodiario[[#Headers],[OVO VERMELHO C]],estoque[data],preçodiario[[#This Row],[data]])</f>
        <v>0</v>
      </c>
      <c r="AR173" s="20">
        <f>SUMIFS(estoque[valor total],estoque[fornecedor],"&lt;&gt;saída",estoque[produto],preçodiario[[#Headers],[OVO VERMELHO C]],estoque[data],preçodiario[[#This Row],[data]])</f>
        <v>0</v>
      </c>
      <c r="AS173" s="20">
        <f>IFERROR(preçodiario[[#This Row],[OVO VERMELHO C]]*preçodiario[[#This Row],[estoque CV]],0)</f>
        <v>0</v>
      </c>
      <c r="AT1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Row],[data]])),((AT172*AU172)+SUMIFS(estoque[valor total],estoque[produto],preçodiario[[#Headers],[OVO VERMELHO EXTRA]],estoque[data],preçodiario[[#This Row],[data]],estoque[fornecedor],"&lt;&gt;saída"))/(AU172+(SUMIFS(estoque[quantidade],estoque[produto],preçodiario[[#Headers],[OVO VERMELHO EXTRA]],estoque[fornecedor],"&lt;&gt;saída",estoque[data],preçodiario[[#This Row],[data]])))))</f>
        <v/>
      </c>
      <c r="AU173" s="22">
        <f>IF(preçodiario[[#This Row],[entrada EV]]=0,AU172-(SUMIFS(estoque[quantidade],estoque[fornecedor],"saída",estoque[produto],preçodiario[[#Headers],[OVO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Row],[data]]))+AU172+preçodiario[[#This Row],[entrada EV]])</f>
        <v>0</v>
      </c>
      <c r="AV173" s="22">
        <f>SUMIFS(estoque[quantidade],estoque[fornecedor],"&lt;&gt;saída",estoque[produto],preçodiario[[#Headers],[OVO VERMELHO EXTRA]],estoque[data],preçodiario[[#This Row],[data]])</f>
        <v>0</v>
      </c>
      <c r="AW173" s="20">
        <f>SUMIFS(estoque[valor total],estoque[fornecedor],"&lt;&gt;saída",estoque[produto],preçodiario[[#Headers],[OVO VERMELHO EXTRA]],estoque[data],preçodiario[[#This Row],[data]])</f>
        <v>0</v>
      </c>
      <c r="AX173" s="20">
        <f>IFERROR(preçodiario[[#This Row],[OVO VERMELHO EXTRA]]*preçodiario[[#This Row],[estoque EV]],0)</f>
        <v>0</v>
      </c>
      <c r="AY1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Row],[data]])),((AY172*AZ172)+SUMIFS(estoque[valor total],estoque[produto],preçodiario[[#Headers],[OVO VERMELHO JUMBO]],estoque[data],preçodiario[[#This Row],[data]],estoque[fornecedor],"&lt;&gt;saída"))/(AZ172+(SUMIFS(estoque[quantidade],estoque[produto],preçodiario[[#Headers],[OVO VERMELHO JUMBO]],estoque[fornecedor],"&lt;&gt;saída",estoque[data],preçodiario[[#This Row],[data]])))))</f>
        <v/>
      </c>
      <c r="AZ173" s="22">
        <f>IF(preçodiario[[#This Row],[entrada JV]]=0,AZ172-(SUMIFS(estoque[quantidade],estoque[fornecedor],"saída",estoque[produto],preçodiario[[#Headers],[OVO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Row],[data]]))+AZ172+preçodiario[[#This Row],[entrada JV]])</f>
        <v>0</v>
      </c>
      <c r="BA173" s="22">
        <f>SUMIFS(estoque[quantidade],estoque[fornecedor],"&lt;&gt;saída",estoque[produto],preçodiario[[#Headers],[OVO VERMELHO JUMBO]],estoque[data],preçodiario[[#This Row],[data]])</f>
        <v>0</v>
      </c>
      <c r="BB173" s="20">
        <f>SUMIFS(estoque[valor total],estoque[fornecedor],"&lt;&gt;saída",estoque[produto],preçodiario[[#Headers],[OVO VERMELHO JUMBO]],estoque[data],preçodiario[[#This Row],[data]])</f>
        <v>0</v>
      </c>
      <c r="BC173" s="20">
        <f>IFERROR(preçodiario[[#This Row],[OVO VERMELHO JUMBO]]*preçodiario[[#This Row],[estoque JV]],0)</f>
        <v>0</v>
      </c>
      <c r="BD173" t="str">
        <f>TEXT(vendaAno[[#This Row],[data]],"mmm")</f>
        <v>jun</v>
      </c>
      <c r="BE173" t="str">
        <f>TEXT(vendaAno[[#This Row],[data]],"ddd")</f>
        <v>dom</v>
      </c>
      <c r="BF173" s="82">
        <f>WEEKNUM(vendaAno[[#This Row],[data]],13)</f>
        <v>25</v>
      </c>
      <c r="BG173" s="27">
        <f>preçodiario[[#This Row],[data]]</f>
        <v>46194</v>
      </c>
      <c r="BH1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3" s="8">
        <f>IF(SUMIFS(estoque[valor total],estoque[fornecedor],"saída",estoque[data],vendaAno[[#This Row],[data]])=0,"",SUMIFS(estoque[valor total],estoque[fornecedor],"saída",estoque[data],vendaAno[[#This Row],[data]]))</f>
        <v>732</v>
      </c>
      <c r="BJ17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Row],[data]]))/12+BJ172,"")</f>
        <v>22.916666666666643</v>
      </c>
      <c r="BK173" s="79">
        <f ca="1">IF(TODAY()&gt;=vendaAno[[#This Row],[data]],IF(SUMIFS(estoque[quantidade],estoque[fornecedor],"saída",estoque[data],vendaAno[[#This Row],[data]])/12=0,AVERAGE(BK170:BK172),SUMIFS(estoque[quantidade],estoque[fornecedor],"saída",estoque[data],vendaAno[[#This Row],[data]])/12),"")</f>
        <v>3.3333333333333335</v>
      </c>
      <c r="BL173" s="8">
        <f ca="1">IF(vendaAno[[#This Row],[data]]&lt;=TODAY(),IF(SUMIFS(estoque[lucro],estoque[fornecedor],"saída",estoque[data],vendaAno[[#This Row],[data]])=0,AVERAGE(BL170:BL172),SUMIFS(estoque[lucro],estoque[fornecedor],"saída",estoque[data],vendaAno[[#This Row],[data]])),"")</f>
        <v>121.22000000000001</v>
      </c>
      <c r="BM173" s="10">
        <f ca="1">IFERROR(vendaAno[[#This Row],[lucro]]/vendaAno[[#This Row],[valor de venda]],"")</f>
        <v>0.16560109289617489</v>
      </c>
      <c r="BN17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4264.9452662721887</v>
      </c>
      <c r="BO173" s="8">
        <f ca="1">IF(TODAY()&gt;=vendaAno[[#This Row],[data]],IF(vendaAno[[#This Row],[N°]]=BF172,vendaAno[[#This Row],[lucro]]-173.33+BO172,vendaAno[[#This Row],[lucro]]-150),"")</f>
        <v>-497.86000000000007</v>
      </c>
      <c r="BP173" s="81">
        <f ca="1">IF(TODAY()&gt;=vendaAno[[#This Row],[data]],SUM(BK167:BK173)*12,"")</f>
        <v>183</v>
      </c>
      <c r="BQ173" s="7">
        <f ca="1">IFERROR(vendaAno[[#This Row],[lucro]]/(vendaAno[[#This Row],[venda]]*12),"")</f>
        <v>3.0305000000000004</v>
      </c>
    </row>
    <row r="174" spans="1:69" x14ac:dyDescent="0.25">
      <c r="A17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4" s="18" t="str">
        <f>TEXT(preçodiario[[#This Row],[data]],"MMM")</f>
        <v>jun</v>
      </c>
      <c r="C174" s="18" t="str">
        <f>TEXT(preçodiario[[#This Row],[data]],"ddd")</f>
        <v>seg</v>
      </c>
      <c r="D174" s="96">
        <f>WEEKNUM(preçodiario[[#This Row],[data]],13)</f>
        <v>25</v>
      </c>
      <c r="E174" s="37">
        <v>46195</v>
      </c>
      <c r="F17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Row],[data]])),((F173*G173)+SUMIFS(estoque[valor total],estoque[produto],preçodiario[[#Headers],[OVO BRANCO A]],estoque[data],preçodiario[[#This Row],[data]],estoque[fornecedor],"&lt;&gt;saída"))/(G173+(SUMIFS(estoque[quantidade],estoque[produto],preçodiario[[#Headers],[OVO BRANCO A]],estoque[fornecedor],"&lt;&gt;saída",estoque[data],preçodiario[[#This Row],[data]])))))</f>
        <v>15.416666666666666</v>
      </c>
      <c r="G174" s="22">
        <f>IF(preçodiario[[#This Row],[entrada A]]=0,G173-(SUMIFS(estoque[quantidade],estoque[fornecedor],"saída",estoque[produto],preçodiario[[#Headers],[OVO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Row],[data]]))+G173+preçodiario[[#This Row],[entrada A]])</f>
        <v>82</v>
      </c>
      <c r="H174" s="22">
        <f>SUMIFS(estoque[quantidade],estoque[fornecedor],"&lt;&gt;saída",estoque[produto],preçodiario[[#Headers],[OVO BRANCO A]],estoque[data],preçodiario[[#This Row],[data]])</f>
        <v>0</v>
      </c>
      <c r="I174" s="20">
        <f>SUMIFS(estoque[valor total],estoque[fornecedor],"&lt;&gt;saída",estoque[produto],preçodiario[[#Headers],[OVO BRANCO A]],estoque[data],preçodiario[[#This Row],[data]])</f>
        <v>0</v>
      </c>
      <c r="J174" s="20">
        <f>IFERROR(preçodiario[[#This Row],[estoque A]]*preçodiario[[#This Row],[OVO BRANCO A]],0)</f>
        <v>1264.1666666666665</v>
      </c>
      <c r="K1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Row],[data]])),((K173*L173)+SUMIFS(estoque[valor total],estoque[produto],preçodiario[[#Headers],[OVO BRANCO B]],estoque[data],preçodiario[[#This Row],[data]],estoque[fornecedor],"&lt;&gt;saída"))/(L173+(SUMIFS(estoque[quantidade],estoque[produto],preçodiario[[#Headers],[OVO BRANCO B]],estoque[fornecedor],"&lt;&gt;saída",estoque[data],preçodiario[[#This Row],[data]])))))</f>
        <v>14.704142011834316</v>
      </c>
      <c r="L174" s="22">
        <f>IF(preçodiario[[#This Row],[entrada B]]=0,L173-(SUMIFS(estoque[quantidade],estoque[fornecedor],"saída",estoque[produto],preçodiario[[#Headers],[OVO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Row],[data]]))+L173+preçodiario[[#This Row],[entrada B]])</f>
        <v>12</v>
      </c>
      <c r="M174" s="22">
        <f>SUMIFS(estoque[quantidade],estoque[fornecedor],"&lt;&gt;saída",estoque[produto],preçodiario[[#Headers],[OVO BRANCO B]],estoque[data],preçodiario[[#This Row],[data]])</f>
        <v>0</v>
      </c>
      <c r="N174" s="20">
        <f>SUMIFS(estoque[valor total],estoque[fornecedor],"&lt;&gt;saída",estoque[produto],preçodiario[[#Headers],[OVO BRANCO B]],estoque[data],preçodiario[[#This Row],[data]])</f>
        <v>0</v>
      </c>
      <c r="O174" s="20">
        <f>IFERROR(preçodiario[[#This Row],[OVO BRANCO B]]*preçodiario[[#This Row],[estoque B]],0)</f>
        <v>176.4497041420118</v>
      </c>
      <c r="P1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Row],[data]])),((P173*Q173)+SUMIFS(estoque[valor total],estoque[produto],preçodiario[[#Headers],[OVO BRANCO C]],estoque[data],preçodiario[[#This Row],[data]],estoque[fornecedor],"&lt;&gt;saída"))/(Q173+(SUMIFS(estoque[quantidade],estoque[produto],preçodiario[[#Headers],[OVO BRANCO C]],estoque[fornecedor],"&lt;&gt;saída",estoque[data],preçodiario[[#This Row],[data]])))))</f>
        <v>13.833333333333337</v>
      </c>
      <c r="Q174" s="22">
        <f>IF(preçodiario[[#This Row],[entrada C]]=0,Q173-(SUMIFS(estoque[quantidade],estoque[fornecedor],"saída",estoque[produto],preçodiario[[#Headers],[OVO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Row],[data]]))+Q173+preçodiario[[#This Row],[entrada C]])</f>
        <v>19</v>
      </c>
      <c r="R174" s="22">
        <f>SUMIFS(estoque[quantidade],estoque[fornecedor],"&lt;&gt;saída",estoque[produto],preçodiario[[#Headers],[OVO BRANCO C]],estoque[data],preçodiario[[#This Row],[data]])</f>
        <v>0</v>
      </c>
      <c r="S174" s="20">
        <f>SUMIFS(estoque[valor total],estoque[fornecedor],"&lt;&gt;saída",estoque[produto],preçodiario[[#Headers],[OVO BRANCO C]],estoque[data],preçodiario[[#This Row],[data]])</f>
        <v>0</v>
      </c>
      <c r="T174" s="20">
        <f>IFERROR(preçodiario[[#This Row],[OVO BRANCO C]]*preçodiario[[#This Row],[estoque C]],0)</f>
        <v>262.83333333333343</v>
      </c>
      <c r="U1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Row],[data]])),((U173*V173)+SUMIFS(estoque[valor total],estoque[produto],preçodiario[[#Headers],[OVO BRANCO EXTRA]],estoque[data],preçodiario[[#This Row],[data]],estoque[fornecedor],"&lt;&gt;saída"))/(V173+(SUMIFS(estoque[quantidade],estoque[produto],preçodiario[[#Headers],[OVO BRANCO EXTRA]],estoque[fornecedor],"&lt;&gt;saída",estoque[data],preçodiario[[#This Row],[data]])))))</f>
        <v>15.833333333333334</v>
      </c>
      <c r="V174" s="22">
        <f>IF(preçodiario[[#This Row],[entrada E]]=0,V173-(SUMIFS(estoque[quantidade],estoque[fornecedor],"saída",estoque[produto],preçodiario[[#Headers],[OVO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Row],[data]]))+V173+preçodiario[[#This Row],[entrada E]])</f>
        <v>77</v>
      </c>
      <c r="W174" s="22">
        <f>SUMIFS(estoque[quantidade],estoque[fornecedor],"&lt;&gt;saída",estoque[produto],preçodiario[[#Headers],[OVO BRANCO EXTRA]],estoque[data],preçodiario[[#This Row],[data]])</f>
        <v>0</v>
      </c>
      <c r="X174" s="20">
        <f>SUMIFS(estoque[valor total],estoque[fornecedor],"&lt;&gt;saída",estoque[produto],preçodiario[[#Headers],[OVO BRANCO EXTRA]],estoque[data],preçodiario[[#This Row],[data]])</f>
        <v>0</v>
      </c>
      <c r="Y174" s="20">
        <f>IFERROR(preçodiario[[#This Row],[estoque E]]*preçodiario[[#This Row],[OVO BRANCO EXTRA]],0)</f>
        <v>1219.1666666666667</v>
      </c>
      <c r="Z1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Row],[data]])),((Z173*AA173)+SUMIFS(estoque[valor total],estoque[produto],preçodiario[[#Headers],[OVO BRANCO JUMBO]],estoque[data],preçodiario[[#This Row],[data]],estoque[fornecedor],"&lt;&gt;saída"))/(AA173+(SUMIFS(estoque[quantidade],estoque[produto],preçodiario[[#Headers],[OVO BRANCO JUMBO]],estoque[fornecedor],"&lt;&gt;saída",estoque[data],preçodiario[[#This Row],[data]])))))</f>
        <v>16.283333333333331</v>
      </c>
      <c r="AA174" s="22">
        <f>IF(preçodiario[[#This Row],[entrada J]]=0,AA173-(SUMIFS(estoque[quantidade],estoque[fornecedor],"saída",estoque[produto],preçodiario[[#Headers],[OVO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Row],[data]]))+AA173+preçodiario[[#This Row],[entrada J]])</f>
        <v>37</v>
      </c>
      <c r="AB174" s="22">
        <f>SUMIFS(estoque[quantidade],estoque[fornecedor],"&lt;&gt;saída",estoque[produto],preçodiario[[#Headers],[OVO BRANCO JUMBO]],estoque[data],preçodiario[[#This Row],[data]])</f>
        <v>0</v>
      </c>
      <c r="AC174" s="20">
        <f>SUMIFS(estoque[valor total],estoque[fornecedor],"&lt;&gt;saída",estoque[produto],preçodiario[[#Headers],[OVO BRANCO JUMBO]],estoque[data],preçodiario[[#This Row],[data]])</f>
        <v>0</v>
      </c>
      <c r="AD174" s="20">
        <f>IFERROR(preçodiario[[#This Row],[OVO BRANCO JUMBO]]*preçodiario[[#This Row],[estoque J]],0)</f>
        <v>602.48333333333323</v>
      </c>
      <c r="AE1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Row],[data]])),((AE173*AF173)+SUMIFS(estoque[valor total],estoque[produto],preçodiario[[#Headers],[OVO VERMELHO A]],estoque[data],preçodiario[[#This Row],[data]],estoque[fornecedor],"&lt;&gt;saída"))/(AF173+(SUMIFS(estoque[quantidade],estoque[produto],preçodiario[[#Headers],[OVO VERMELHO A]],estoque[fornecedor],"&lt;&gt;saída",estoque[data],preçodiario[[#This Row],[data]])))))</f>
        <v/>
      </c>
      <c r="AF174" s="22">
        <f>IF(preçodiario[[#This Row],[entrada AV]]=0,AF173-(SUMIFS(estoque[quantidade],estoque[fornecedor],"saída",estoque[produto],preçodiario[[#Headers],[OVO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Row],[data]]))+AF173+preçodiario[[#This Row],[entrada AV]])</f>
        <v>0</v>
      </c>
      <c r="AG174" s="22">
        <f>SUMIFS(estoque[quantidade],estoque[fornecedor],"&lt;&gt;saída",estoque[produto],preçodiario[[#Headers],[OVO VERMELHO A]],estoque[data],preçodiario[[#This Row],[data]])</f>
        <v>0</v>
      </c>
      <c r="AH174" s="20">
        <f>SUMIFS(estoque[valor total],estoque[fornecedor],"&lt;&gt;saída",estoque[produto],preçodiario[[#Headers],[OVO VERMELHO A]],estoque[data],preçodiario[[#This Row],[data]])</f>
        <v>0</v>
      </c>
      <c r="AI174" s="20">
        <f>IFERROR(preçodiario[[#This Row],[OVO VERMELHO A]]*preçodiario[[#This Row],[estoque AV]],0)</f>
        <v>0</v>
      </c>
      <c r="AJ1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Row],[data]])),((AJ173*AK173)+SUMIFS(estoque[valor total],estoque[produto],preçodiario[[#Headers],[OVO VERMELHO B]],estoque[data],preçodiario[[#This Row],[data]],estoque[fornecedor],"&lt;&gt;saída"))/(AK173+(SUMIFS(estoque[quantidade],estoque[produto],preçodiario[[#Headers],[OVO VERMELHO B]],estoque[fornecedor],"&lt;&gt;saída",estoque[data],preçodiario[[#This Row],[data]])))))</f>
        <v/>
      </c>
      <c r="AK174" s="22">
        <f>IF(preçodiario[[#This Row],[entrada BV]]=0,AK173-(SUMIFS(estoque[quantidade],estoque[fornecedor],"saída",estoque[produto],preçodiario[[#Headers],[OVO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Row],[data]]))+AK173+preçodiario[[#This Row],[entrada BV]])</f>
        <v>0</v>
      </c>
      <c r="AL174" s="22">
        <f>SUMIFS(estoque[quantidade],estoque[fornecedor],"&lt;&gt;saída",estoque[produto],preçodiario[[#Headers],[OVO VERMELHO B]],estoque[data],preçodiario[[#This Row],[data]])</f>
        <v>0</v>
      </c>
      <c r="AM174" s="20">
        <f>SUMIFS(estoque[valor total],estoque[fornecedor],"&lt;&gt;saída",estoque[produto],preçodiario[[#Headers],[OVO VERMELHO B]],estoque[data],preçodiario[[#This Row],[data]])</f>
        <v>0</v>
      </c>
      <c r="AN174" s="20">
        <f>IFERROR(preçodiario[[#This Row],[OVO VERMELHO B]]*preçodiario[[#This Row],[estoque BV]],0)</f>
        <v>0</v>
      </c>
      <c r="AO1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Row],[data]])),((AO173*AP173)+SUMIFS(estoque[valor total],estoque[produto],preçodiario[[#Headers],[OVO VERMELHO C]],estoque[data],preçodiario[[#This Row],[data]],estoque[fornecedor],"&lt;&gt;saída"))/(AP173+(SUMIFS(estoque[quantidade],estoque[produto],preçodiario[[#Headers],[OVO VERMELHO C]],estoque[fornecedor],"&lt;&gt;saída",estoque[data],preçodiario[[#This Row],[data]])))))</f>
        <v/>
      </c>
      <c r="AP174" s="22">
        <f>IF(preçodiario[[#This Row],[entrada CV]]=0,AP173-(SUMIFS(estoque[quantidade],estoque[fornecedor],"saída",estoque[produto],preçodiario[[#Headers],[OVO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Row],[data]]))+AP173+preçodiario[[#This Row],[entrada CV]])</f>
        <v>0</v>
      </c>
      <c r="AQ174" s="22">
        <f>SUMIFS(estoque[quantidade],estoque[fornecedor],"&lt;&gt;saída",estoque[produto],preçodiario[[#Headers],[OVO VERMELHO C]],estoque[data],preçodiario[[#This Row],[data]])</f>
        <v>0</v>
      </c>
      <c r="AR174" s="20">
        <f>SUMIFS(estoque[valor total],estoque[fornecedor],"&lt;&gt;saída",estoque[produto],preçodiario[[#Headers],[OVO VERMELHO C]],estoque[data],preçodiario[[#This Row],[data]])</f>
        <v>0</v>
      </c>
      <c r="AS174" s="20">
        <f>IFERROR(preçodiario[[#This Row],[OVO VERMELHO C]]*preçodiario[[#This Row],[estoque CV]],0)</f>
        <v>0</v>
      </c>
      <c r="AT1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Row],[data]])),((AT173*AU173)+SUMIFS(estoque[valor total],estoque[produto],preçodiario[[#Headers],[OVO VERMELHO EXTRA]],estoque[data],preçodiario[[#This Row],[data]],estoque[fornecedor],"&lt;&gt;saída"))/(AU173+(SUMIFS(estoque[quantidade],estoque[produto],preçodiario[[#Headers],[OVO VERMELHO EXTRA]],estoque[fornecedor],"&lt;&gt;saída",estoque[data],preçodiario[[#This Row],[data]])))))</f>
        <v/>
      </c>
      <c r="AU174" s="22">
        <f>IF(preçodiario[[#This Row],[entrada EV]]=0,AU173-(SUMIFS(estoque[quantidade],estoque[fornecedor],"saída",estoque[produto],preçodiario[[#Headers],[OVO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Row],[data]]))+AU173+preçodiario[[#This Row],[entrada EV]])</f>
        <v>0</v>
      </c>
      <c r="AV174" s="22">
        <f>SUMIFS(estoque[quantidade],estoque[fornecedor],"&lt;&gt;saída",estoque[produto],preçodiario[[#Headers],[OVO VERMELHO EXTRA]],estoque[data],preçodiario[[#This Row],[data]])</f>
        <v>0</v>
      </c>
      <c r="AW174" s="20">
        <f>SUMIFS(estoque[valor total],estoque[fornecedor],"&lt;&gt;saída",estoque[produto],preçodiario[[#Headers],[OVO VERMELHO EXTRA]],estoque[data],preçodiario[[#This Row],[data]])</f>
        <v>0</v>
      </c>
      <c r="AX174" s="20">
        <f>IFERROR(preçodiario[[#This Row],[OVO VERMELHO EXTRA]]*preçodiario[[#This Row],[estoque EV]],0)</f>
        <v>0</v>
      </c>
      <c r="AY1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Row],[data]])),((AY173*AZ173)+SUMIFS(estoque[valor total],estoque[produto],preçodiario[[#Headers],[OVO VERMELHO JUMBO]],estoque[data],preçodiario[[#This Row],[data]],estoque[fornecedor],"&lt;&gt;saída"))/(AZ173+(SUMIFS(estoque[quantidade],estoque[produto],preçodiario[[#Headers],[OVO VERMELHO JUMBO]],estoque[fornecedor],"&lt;&gt;saída",estoque[data],preçodiario[[#This Row],[data]])))))</f>
        <v/>
      </c>
      <c r="AZ174" s="22">
        <f>IF(preçodiario[[#This Row],[entrada JV]]=0,AZ173-(SUMIFS(estoque[quantidade],estoque[fornecedor],"saída",estoque[produto],preçodiario[[#Headers],[OVO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Row],[data]]))+AZ173+preçodiario[[#This Row],[entrada JV]])</f>
        <v>0</v>
      </c>
      <c r="BA174" s="22">
        <f>SUMIFS(estoque[quantidade],estoque[fornecedor],"&lt;&gt;saída",estoque[produto],preçodiario[[#Headers],[OVO VERMELHO JUMBO]],estoque[data],preçodiario[[#This Row],[data]])</f>
        <v>0</v>
      </c>
      <c r="BB174" s="20">
        <f>SUMIFS(estoque[valor total],estoque[fornecedor],"&lt;&gt;saída",estoque[produto],preçodiario[[#Headers],[OVO VERMELHO JUMBO]],estoque[data],preçodiario[[#This Row],[data]])</f>
        <v>0</v>
      </c>
      <c r="BC174" s="20">
        <f>IFERROR(preçodiario[[#This Row],[OVO VERMELHO JUMBO]]*preçodiario[[#This Row],[estoque JV]],0)</f>
        <v>0</v>
      </c>
      <c r="BD174" t="str">
        <f>TEXT(vendaAno[[#This Row],[data]],"mmm")</f>
        <v>jun</v>
      </c>
      <c r="BE174" t="str">
        <f>TEXT(vendaAno[[#This Row],[data]],"ddd")</f>
        <v>seg</v>
      </c>
      <c r="BF174" s="82">
        <f>WEEKNUM(vendaAno[[#This Row],[data]],13)</f>
        <v>25</v>
      </c>
      <c r="BG174" s="27">
        <f>preçodiario[[#This Row],[data]]</f>
        <v>46195</v>
      </c>
      <c r="BH1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4" s="8">
        <f>IF(SUMIFS(estoque[valor total],estoque[fornecedor],"saída",estoque[data],vendaAno[[#This Row],[data]])=0,"",SUMIFS(estoque[valor total],estoque[fornecedor],"saída",estoque[data],vendaAno[[#This Row],[data]]))</f>
        <v>900</v>
      </c>
      <c r="BJ17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Row],[data]]))/12+BJ173,"")</f>
        <v>18.916666666666643</v>
      </c>
      <c r="BK174" s="79">
        <f ca="1">IF(TODAY()&gt;=vendaAno[[#This Row],[data]],IF(SUMIFS(estoque[quantidade],estoque[fornecedor],"saída",estoque[data],vendaAno[[#This Row],[data]])/12=0,AVERAGE(BK171:BK173),SUMIFS(estoque[quantidade],estoque[fornecedor],"saída",estoque[data],vendaAno[[#This Row],[data]])/12),"")</f>
        <v>4</v>
      </c>
      <c r="BL174" s="8">
        <f ca="1">IF(vendaAno[[#This Row],[data]]&lt;=TODAY(),IF(SUMIFS(estoque[lucro],estoque[fornecedor],"saída",estoque[data],vendaAno[[#This Row],[data]])=0,AVERAGE(BL171:BL173),SUMIFS(estoque[lucro],estoque[fornecedor],"saída",estoque[data],vendaAno[[#This Row],[data]])),"")</f>
        <v>160.16</v>
      </c>
      <c r="BM174" s="10">
        <f ca="1">IFERROR(vendaAno[[#This Row],[lucro]]/vendaAno[[#This Row],[valor de venda]],"")</f>
        <v>0.17795555555555556</v>
      </c>
      <c r="BN17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3525.0997041420119</v>
      </c>
      <c r="BO174" s="8">
        <f ca="1">IF(TODAY()&gt;=vendaAno[[#This Row],[data]],IF(vendaAno[[#This Row],[N°]]=BF173,vendaAno[[#This Row],[lucro]]-173.33+BO173,vendaAno[[#This Row],[lucro]]-150),"")</f>
        <v>-511.03000000000009</v>
      </c>
      <c r="BP174" s="81">
        <f ca="1">IF(TODAY()&gt;=vendaAno[[#This Row],[data]],SUM(BK168:BK174)*12,"")</f>
        <v>195</v>
      </c>
      <c r="BQ174" s="7">
        <f ca="1">IFERROR(vendaAno[[#This Row],[lucro]]/(vendaAno[[#This Row],[venda]]*12),"")</f>
        <v>3.3366666666666664</v>
      </c>
    </row>
    <row r="175" spans="1:69" x14ac:dyDescent="0.25">
      <c r="A17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75" s="18" t="str">
        <f>TEXT(preçodiario[[#This Row],[data]],"MMM")</f>
        <v>jun</v>
      </c>
      <c r="C175" s="18" t="str">
        <f>TEXT(preçodiario[[#This Row],[data]],"ddd")</f>
        <v>ter</v>
      </c>
      <c r="D175" s="96">
        <f>WEEKNUM(preçodiario[[#This Row],[data]],13)</f>
        <v>25</v>
      </c>
      <c r="E175" s="37">
        <v>46196</v>
      </c>
      <c r="F17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Row],[data]])),((F174*G174)+SUMIFS(estoque[valor total],estoque[produto],preçodiario[[#Headers],[OVO BRANCO A]],estoque[data],preçodiario[[#This Row],[data]],estoque[fornecedor],"&lt;&gt;saída"))/(G174+(SUMIFS(estoque[quantidade],estoque[produto],preçodiario[[#Headers],[OVO BRANCO A]],estoque[fornecedor],"&lt;&gt;saída",estoque[data],preçodiario[[#This Row],[data]])))))</f>
        <v>15.416666666666664</v>
      </c>
      <c r="G175" s="22">
        <f>IF(preçodiario[[#This Row],[entrada A]]=0,G174-(SUMIFS(estoque[quantidade],estoque[fornecedor],"saída",estoque[produto],preçodiario[[#Headers],[OVO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Row],[data]]))+G174+preçodiario[[#This Row],[entrada A]])</f>
        <v>42</v>
      </c>
      <c r="H175" s="22">
        <f>SUMIFS(estoque[quantidade],estoque[fornecedor],"&lt;&gt;saída",estoque[produto],preçodiario[[#Headers],[OVO BRANCO A]],estoque[data],preçodiario[[#This Row],[data]])</f>
        <v>0</v>
      </c>
      <c r="I175" s="20">
        <f>SUMIFS(estoque[valor total],estoque[fornecedor],"&lt;&gt;saída",estoque[produto],preçodiario[[#Headers],[OVO BRANCO A]],estoque[data],preçodiario[[#This Row],[data]])</f>
        <v>0</v>
      </c>
      <c r="J175" s="20">
        <f>IFERROR(preçodiario[[#This Row],[estoque A]]*preçodiario[[#This Row],[OVO BRANCO A]],0)</f>
        <v>647.49999999999989</v>
      </c>
      <c r="K1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Row],[data]])),((K174*L174)+SUMIFS(estoque[valor total],estoque[produto],preçodiario[[#Headers],[OVO BRANCO B]],estoque[data],preçodiario[[#This Row],[data]],estoque[fornecedor],"&lt;&gt;saída"))/(L174+(SUMIFS(estoque[quantidade],estoque[produto],preçodiario[[#Headers],[OVO BRANCO B]],estoque[fornecedor],"&lt;&gt;saída",estoque[data],preçodiario[[#This Row],[data]])))))</f>
        <v>14.704142011834316</v>
      </c>
      <c r="L175" s="22">
        <f>IF(preçodiario[[#This Row],[entrada B]]=0,L174-(SUMIFS(estoque[quantidade],estoque[fornecedor],"saída",estoque[produto],preçodiario[[#Headers],[OVO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Row],[data]]))+L174+preçodiario[[#This Row],[entrada B]])</f>
        <v>8</v>
      </c>
      <c r="M175" s="22">
        <f>SUMIFS(estoque[quantidade],estoque[fornecedor],"&lt;&gt;saída",estoque[produto],preçodiario[[#Headers],[OVO BRANCO B]],estoque[data],preçodiario[[#This Row],[data]])</f>
        <v>0</v>
      </c>
      <c r="N175" s="20">
        <f>SUMIFS(estoque[valor total],estoque[fornecedor],"&lt;&gt;saída",estoque[produto],preçodiario[[#Headers],[OVO BRANCO B]],estoque[data],preçodiario[[#This Row],[data]])</f>
        <v>0</v>
      </c>
      <c r="O175" s="20">
        <f>IFERROR(preçodiario[[#This Row],[OVO BRANCO B]]*preçodiario[[#This Row],[estoque B]],0)</f>
        <v>117.63313609467453</v>
      </c>
      <c r="P1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Row],[data]])),((P174*Q174)+SUMIFS(estoque[valor total],estoque[produto],preçodiario[[#Headers],[OVO BRANCO C]],estoque[data],preçodiario[[#This Row],[data]],estoque[fornecedor],"&lt;&gt;saída"))/(Q174+(SUMIFS(estoque[quantidade],estoque[produto],preçodiario[[#Headers],[OVO BRANCO C]],estoque[fornecedor],"&lt;&gt;saída",estoque[data],preçodiario[[#This Row],[data]])))))</f>
        <v>13.833333333333337</v>
      </c>
      <c r="Q175" s="22">
        <f>IF(preçodiario[[#This Row],[entrada C]]=0,Q174-(SUMIFS(estoque[quantidade],estoque[fornecedor],"saída",estoque[produto],preçodiario[[#Headers],[OVO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Row],[data]]))+Q174+preçodiario[[#This Row],[entrada C]])</f>
        <v>16</v>
      </c>
      <c r="R175" s="22">
        <f>SUMIFS(estoque[quantidade],estoque[fornecedor],"&lt;&gt;saída",estoque[produto],preçodiario[[#Headers],[OVO BRANCO C]],estoque[data],preçodiario[[#This Row],[data]])</f>
        <v>0</v>
      </c>
      <c r="S175" s="20">
        <f>SUMIFS(estoque[valor total],estoque[fornecedor],"&lt;&gt;saída",estoque[produto],preçodiario[[#Headers],[OVO BRANCO C]],estoque[data],preçodiario[[#This Row],[data]])</f>
        <v>0</v>
      </c>
      <c r="T175" s="20">
        <f>IFERROR(preçodiario[[#This Row],[OVO BRANCO C]]*preçodiario[[#This Row],[estoque C]],0)</f>
        <v>221.3333333333334</v>
      </c>
      <c r="U1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Row],[data]])),((U174*V174)+SUMIFS(estoque[valor total],estoque[produto],preçodiario[[#Headers],[OVO BRANCO EXTRA]],estoque[data],preçodiario[[#This Row],[data]],estoque[fornecedor],"&lt;&gt;saída"))/(V174+(SUMIFS(estoque[quantidade],estoque[produto],preçodiario[[#Headers],[OVO BRANCO EXTRA]],estoque[fornecedor],"&lt;&gt;saída",estoque[data],preçodiario[[#This Row],[data]])))))</f>
        <v>15.833333333333334</v>
      </c>
      <c r="V175" s="22">
        <f>IF(preçodiario[[#This Row],[entrada E]]=0,V174-(SUMIFS(estoque[quantidade],estoque[fornecedor],"saída",estoque[produto],preçodiario[[#Headers],[OVO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Row],[data]]))+V174+preçodiario[[#This Row],[entrada E]])</f>
        <v>58</v>
      </c>
      <c r="W175" s="22">
        <f>SUMIFS(estoque[quantidade],estoque[fornecedor],"&lt;&gt;saída",estoque[produto],preçodiario[[#Headers],[OVO BRANCO EXTRA]],estoque[data],preçodiario[[#This Row],[data]])</f>
        <v>0</v>
      </c>
      <c r="X175" s="20">
        <f>SUMIFS(estoque[valor total],estoque[fornecedor],"&lt;&gt;saída",estoque[produto],preçodiario[[#Headers],[OVO BRANCO EXTRA]],estoque[data],preçodiario[[#This Row],[data]])</f>
        <v>0</v>
      </c>
      <c r="Y175" s="20">
        <f>IFERROR(preçodiario[[#This Row],[estoque E]]*preçodiario[[#This Row],[OVO BRANCO EXTRA]],0)</f>
        <v>918.33333333333337</v>
      </c>
      <c r="Z17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Row],[data]])),((Z174*AA174)+SUMIFS(estoque[valor total],estoque[produto],preçodiario[[#Headers],[OVO BRANCO JUMBO]],estoque[data],preçodiario[[#This Row],[data]],estoque[fornecedor],"&lt;&gt;saída"))/(AA174+(SUMIFS(estoque[quantidade],estoque[produto],preçodiario[[#Headers],[OVO BRANCO JUMBO]],estoque[fornecedor],"&lt;&gt;saída",estoque[data],preçodiario[[#This Row],[data]])))))</f>
        <v>16.283333333333331</v>
      </c>
      <c r="AA175" s="22">
        <f>IF(preçodiario[[#This Row],[entrada J]]=0,AA174-(SUMIFS(estoque[quantidade],estoque[fornecedor],"saída",estoque[produto],preçodiario[[#Headers],[OVO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Row],[data]]))+AA174+preçodiario[[#This Row],[entrada J]])</f>
        <v>33</v>
      </c>
      <c r="AB175" s="22">
        <f>SUMIFS(estoque[quantidade],estoque[fornecedor],"&lt;&gt;saída",estoque[produto],preçodiario[[#Headers],[OVO BRANCO JUMBO]],estoque[data],preçodiario[[#This Row],[data]])</f>
        <v>0</v>
      </c>
      <c r="AC175" s="20">
        <f>SUMIFS(estoque[valor total],estoque[fornecedor],"&lt;&gt;saída",estoque[produto],preçodiario[[#Headers],[OVO BRANCO JUMBO]],estoque[data],preçodiario[[#This Row],[data]])</f>
        <v>0</v>
      </c>
      <c r="AD175" s="20">
        <f>IFERROR(preçodiario[[#This Row],[OVO BRANCO JUMBO]]*preçodiario[[#This Row],[estoque J]],0)</f>
        <v>537.34999999999991</v>
      </c>
      <c r="AE1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Row],[data]])),((AE174*AF174)+SUMIFS(estoque[valor total],estoque[produto],preçodiario[[#Headers],[OVO VERMELHO A]],estoque[data],preçodiario[[#This Row],[data]],estoque[fornecedor],"&lt;&gt;saída"))/(AF174+(SUMIFS(estoque[quantidade],estoque[produto],preçodiario[[#Headers],[OVO VERMELHO A]],estoque[fornecedor],"&lt;&gt;saída",estoque[data],preçodiario[[#This Row],[data]])))))</f>
        <v/>
      </c>
      <c r="AF175" s="22">
        <f>IF(preçodiario[[#This Row],[entrada AV]]=0,AF174-(SUMIFS(estoque[quantidade],estoque[fornecedor],"saída",estoque[produto],preçodiario[[#Headers],[OVO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Row],[data]]))+AF174+preçodiario[[#This Row],[entrada AV]])</f>
        <v>0</v>
      </c>
      <c r="AG175" s="22">
        <f>SUMIFS(estoque[quantidade],estoque[fornecedor],"&lt;&gt;saída",estoque[produto],preçodiario[[#Headers],[OVO VERMELHO A]],estoque[data],preçodiario[[#This Row],[data]])</f>
        <v>0</v>
      </c>
      <c r="AH175" s="20">
        <f>SUMIFS(estoque[valor total],estoque[fornecedor],"&lt;&gt;saída",estoque[produto],preçodiario[[#Headers],[OVO VERMELHO A]],estoque[data],preçodiario[[#This Row],[data]])</f>
        <v>0</v>
      </c>
      <c r="AI175" s="20">
        <f>IFERROR(preçodiario[[#This Row],[OVO VERMELHO A]]*preçodiario[[#This Row],[estoque AV]],0)</f>
        <v>0</v>
      </c>
      <c r="AJ1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Row],[data]])),((AJ174*AK174)+SUMIFS(estoque[valor total],estoque[produto],preçodiario[[#Headers],[OVO VERMELHO B]],estoque[data],preçodiario[[#This Row],[data]],estoque[fornecedor],"&lt;&gt;saída"))/(AK174+(SUMIFS(estoque[quantidade],estoque[produto],preçodiario[[#Headers],[OVO VERMELHO B]],estoque[fornecedor],"&lt;&gt;saída",estoque[data],preçodiario[[#This Row],[data]])))))</f>
        <v/>
      </c>
      <c r="AK175" s="22">
        <f>IF(preçodiario[[#This Row],[entrada BV]]=0,AK174-(SUMIFS(estoque[quantidade],estoque[fornecedor],"saída",estoque[produto],preçodiario[[#Headers],[OVO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Row],[data]]))+AK174+preçodiario[[#This Row],[entrada BV]])</f>
        <v>0</v>
      </c>
      <c r="AL175" s="22">
        <f>SUMIFS(estoque[quantidade],estoque[fornecedor],"&lt;&gt;saída",estoque[produto],preçodiario[[#Headers],[OVO VERMELHO B]],estoque[data],preçodiario[[#This Row],[data]])</f>
        <v>0</v>
      </c>
      <c r="AM175" s="20">
        <f>SUMIFS(estoque[valor total],estoque[fornecedor],"&lt;&gt;saída",estoque[produto],preçodiario[[#Headers],[OVO VERMELHO B]],estoque[data],preçodiario[[#This Row],[data]])</f>
        <v>0</v>
      </c>
      <c r="AN175" s="20">
        <f>IFERROR(preçodiario[[#This Row],[OVO VERMELHO B]]*preçodiario[[#This Row],[estoque BV]],0)</f>
        <v>0</v>
      </c>
      <c r="AO1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Row],[data]])),((AO174*AP174)+SUMIFS(estoque[valor total],estoque[produto],preçodiario[[#Headers],[OVO VERMELHO C]],estoque[data],preçodiario[[#This Row],[data]],estoque[fornecedor],"&lt;&gt;saída"))/(AP174+(SUMIFS(estoque[quantidade],estoque[produto],preçodiario[[#Headers],[OVO VERMELHO C]],estoque[fornecedor],"&lt;&gt;saída",estoque[data],preçodiario[[#This Row],[data]])))))</f>
        <v/>
      </c>
      <c r="AP175" s="22">
        <f>IF(preçodiario[[#This Row],[entrada CV]]=0,AP174-(SUMIFS(estoque[quantidade],estoque[fornecedor],"saída",estoque[produto],preçodiario[[#Headers],[OVO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Row],[data]]))+AP174+preçodiario[[#This Row],[entrada CV]])</f>
        <v>0</v>
      </c>
      <c r="AQ175" s="22">
        <f>SUMIFS(estoque[quantidade],estoque[fornecedor],"&lt;&gt;saída",estoque[produto],preçodiario[[#Headers],[OVO VERMELHO C]],estoque[data],preçodiario[[#This Row],[data]])</f>
        <v>0</v>
      </c>
      <c r="AR175" s="20">
        <f>SUMIFS(estoque[valor total],estoque[fornecedor],"&lt;&gt;saída",estoque[produto],preçodiario[[#Headers],[OVO VERMELHO C]],estoque[data],preçodiario[[#This Row],[data]])</f>
        <v>0</v>
      </c>
      <c r="AS175" s="20">
        <f>IFERROR(preçodiario[[#This Row],[OVO VERMELHO C]]*preçodiario[[#This Row],[estoque CV]],0)</f>
        <v>0</v>
      </c>
      <c r="AT1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Row],[data]])),((AT174*AU174)+SUMIFS(estoque[valor total],estoque[produto],preçodiario[[#Headers],[OVO VERMELHO EXTRA]],estoque[data],preçodiario[[#This Row],[data]],estoque[fornecedor],"&lt;&gt;saída"))/(AU174+(SUMIFS(estoque[quantidade],estoque[produto],preçodiario[[#Headers],[OVO VERMELHO EXTRA]],estoque[fornecedor],"&lt;&gt;saída",estoque[data],preçodiario[[#This Row],[data]])))))</f>
        <v/>
      </c>
      <c r="AU175" s="22">
        <f>IF(preçodiario[[#This Row],[entrada EV]]=0,AU174-(SUMIFS(estoque[quantidade],estoque[fornecedor],"saída",estoque[produto],preçodiario[[#Headers],[OVO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Row],[data]]))+AU174+preçodiario[[#This Row],[entrada EV]])</f>
        <v>0</v>
      </c>
      <c r="AV175" s="22">
        <f>SUMIFS(estoque[quantidade],estoque[fornecedor],"&lt;&gt;saída",estoque[produto],preçodiario[[#Headers],[OVO VERMELHO EXTRA]],estoque[data],preçodiario[[#This Row],[data]])</f>
        <v>0</v>
      </c>
      <c r="AW175" s="20">
        <f>SUMIFS(estoque[valor total],estoque[fornecedor],"&lt;&gt;saída",estoque[produto],preçodiario[[#Headers],[OVO VERMELHO EXTRA]],estoque[data],preçodiario[[#This Row],[data]])</f>
        <v>0</v>
      </c>
      <c r="AX175" s="20">
        <f>IFERROR(preçodiario[[#This Row],[OVO VERMELHO EXTRA]]*preçodiario[[#This Row],[estoque EV]],0)</f>
        <v>0</v>
      </c>
      <c r="AY1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Row],[data]])),((AY174*AZ174)+SUMIFS(estoque[valor total],estoque[produto],preçodiario[[#Headers],[OVO VERMELHO JUMBO]],estoque[data],preçodiario[[#This Row],[data]],estoque[fornecedor],"&lt;&gt;saída"))/(AZ174+(SUMIFS(estoque[quantidade],estoque[produto],preçodiario[[#Headers],[OVO VERMELHO JUMBO]],estoque[fornecedor],"&lt;&gt;saída",estoque[data],preçodiario[[#This Row],[data]])))))</f>
        <v/>
      </c>
      <c r="AZ175" s="22">
        <f>IF(preçodiario[[#This Row],[entrada JV]]=0,AZ174-(SUMIFS(estoque[quantidade],estoque[fornecedor],"saída",estoque[produto],preçodiario[[#Headers],[OVO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Row],[data]]))+AZ174+preçodiario[[#This Row],[entrada JV]])</f>
        <v>0</v>
      </c>
      <c r="BA175" s="22">
        <f>SUMIFS(estoque[quantidade],estoque[fornecedor],"&lt;&gt;saída",estoque[produto],preçodiario[[#Headers],[OVO VERMELHO JUMBO]],estoque[data],preçodiario[[#This Row],[data]])</f>
        <v>0</v>
      </c>
      <c r="BB175" s="20">
        <f>SUMIFS(estoque[valor total],estoque[fornecedor],"&lt;&gt;saída",estoque[produto],preçodiario[[#Headers],[OVO VERMELHO JUMBO]],estoque[data],preçodiario[[#This Row],[data]])</f>
        <v>0</v>
      </c>
      <c r="BC175" s="20">
        <f>IFERROR(preçodiario[[#This Row],[OVO VERMELHO JUMBO]]*preçodiario[[#This Row],[estoque JV]],0)</f>
        <v>0</v>
      </c>
      <c r="BD175" t="str">
        <f>TEXT(vendaAno[[#This Row],[data]],"mmm")</f>
        <v>jun</v>
      </c>
      <c r="BE175" t="str">
        <f>TEXT(vendaAno[[#This Row],[data]],"ddd")</f>
        <v>ter</v>
      </c>
      <c r="BF175" s="82">
        <f>WEEKNUM(vendaAno[[#This Row],[data]],13)</f>
        <v>25</v>
      </c>
      <c r="BG175" s="27">
        <f>preçodiario[[#This Row],[data]]</f>
        <v>46196</v>
      </c>
      <c r="BH1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5" s="8">
        <f>IF(SUMIFS(estoque[valor total],estoque[fornecedor],"saída",estoque[data],vendaAno[[#This Row],[data]])=0,"",SUMIFS(estoque[valor total],estoque[fornecedor],"saída",estoque[data],vendaAno[[#This Row],[data]]))</f>
        <v>1331</v>
      </c>
      <c r="BJ17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Row],[data]]))/12+BJ174,"")</f>
        <v>13.083333333333311</v>
      </c>
      <c r="BK175" s="79">
        <f ca="1">IF(TODAY()&gt;=vendaAno[[#This Row],[data]],IF(SUMIFS(estoque[quantidade],estoque[fornecedor],"saída",estoque[data],vendaAno[[#This Row],[data]])/12=0,AVERAGE(BK172:BK174),SUMIFS(estoque[quantidade],estoque[fornecedor],"saída",estoque[data],vendaAno[[#This Row],[data]])/12),"")</f>
        <v>5.833333333333333</v>
      </c>
      <c r="BL175" s="8">
        <f ca="1">IF(vendaAno[[#This Row],[data]]&lt;=TODAY(),IF(SUMIFS(estoque[lucro],estoque[fornecedor],"saída",estoque[data],vendaAno[[#This Row],[data]])=0,AVERAGE(BL172:BL174),SUMIFS(estoque[lucro],estoque[fornecedor],"saída",estoque[data],vendaAno[[#This Row],[data]])),"")</f>
        <v>248.05</v>
      </c>
      <c r="BM175" s="10">
        <f ca="1">IFERROR(vendaAno[[#This Row],[lucro]]/vendaAno[[#This Row],[valor de venda]],"")</f>
        <v>0.18636363636363637</v>
      </c>
      <c r="BN17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2442.1498027613411</v>
      </c>
      <c r="BO175" s="8">
        <f ca="1">IF(TODAY()&gt;=vendaAno[[#This Row],[data]],IF(vendaAno[[#This Row],[N°]]=BF174,vendaAno[[#This Row],[lucro]]-173.33+BO174,vendaAno[[#This Row],[lucro]]-150),"")</f>
        <v>-436.31000000000006</v>
      </c>
      <c r="BP175" s="81">
        <f ca="1">IF(TODAY()&gt;=vendaAno[[#This Row],[data]],SUM(BK169:BK175)*12,"")</f>
        <v>242</v>
      </c>
      <c r="BQ175" s="7">
        <f ca="1">IFERROR(vendaAno[[#This Row],[lucro]]/(vendaAno[[#This Row],[venda]]*12),"")</f>
        <v>3.5435714285714286</v>
      </c>
    </row>
    <row r="176" spans="1:69" x14ac:dyDescent="0.25">
      <c r="A17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76" s="18" t="str">
        <f>TEXT(preçodiario[[#This Row],[data]],"MMM")</f>
        <v>jun</v>
      </c>
      <c r="C176" s="18" t="str">
        <f>TEXT(preçodiario[[#This Row],[data]],"ddd")</f>
        <v>qua</v>
      </c>
      <c r="D176" s="96">
        <f>WEEKNUM(preçodiario[[#This Row],[data]],13)</f>
        <v>26</v>
      </c>
      <c r="E176" s="37">
        <v>46197</v>
      </c>
      <c r="F17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Row],[data]])),((F175*G175)+SUMIFS(estoque[valor total],estoque[produto],preçodiario[[#Headers],[OVO BRANCO A]],estoque[data],preçodiario[[#This Row],[data]],estoque[fornecedor],"&lt;&gt;saída"))/(G175+(SUMIFS(estoque[quantidade],estoque[produto],preçodiario[[#Headers],[OVO BRANCO A]],estoque[fornecedor],"&lt;&gt;saída",estoque[data],preçodiario[[#This Row],[data]])))))</f>
        <v>15.416666666666664</v>
      </c>
      <c r="G176" s="22">
        <f>IF(preçodiario[[#This Row],[entrada A]]=0,G175-(SUMIFS(estoque[quantidade],estoque[fornecedor],"saída",estoque[produto],preçodiario[[#Headers],[OVO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Row],[data]]))+G175+preçodiario[[#This Row],[entrada A]])</f>
        <v>28</v>
      </c>
      <c r="H176" s="22">
        <f>SUMIFS(estoque[quantidade],estoque[fornecedor],"&lt;&gt;saída",estoque[produto],preçodiario[[#Headers],[OVO BRANCO A]],estoque[data],preçodiario[[#This Row],[data]])</f>
        <v>0</v>
      </c>
      <c r="I176" s="20">
        <f>SUMIFS(estoque[valor total],estoque[fornecedor],"&lt;&gt;saída",estoque[produto],preçodiario[[#Headers],[OVO BRANCO A]],estoque[data],preçodiario[[#This Row],[data]])</f>
        <v>0</v>
      </c>
      <c r="J176" s="20">
        <f>IFERROR(preçodiario[[#This Row],[estoque A]]*preçodiario[[#This Row],[OVO BRANCO A]],0)</f>
        <v>431.66666666666663</v>
      </c>
      <c r="K1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Row],[data]])),((K175*L175)+SUMIFS(estoque[valor total],estoque[produto],preçodiario[[#Headers],[OVO BRANCO B]],estoque[data],preçodiario[[#This Row],[data]],estoque[fornecedor],"&lt;&gt;saída"))/(L175+(SUMIFS(estoque[quantidade],estoque[produto],preçodiario[[#Headers],[OVO BRANCO B]],estoque[fornecedor],"&lt;&gt;saída",estoque[data],preçodiario[[#This Row],[data]])))))</f>
        <v>14.704142011834316</v>
      </c>
      <c r="L176" s="22">
        <f>IF(preçodiario[[#This Row],[entrada B]]=0,L175-(SUMIFS(estoque[quantidade],estoque[fornecedor],"saída",estoque[produto],preçodiario[[#Headers],[OVO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Row],[data]]))+L175+preçodiario[[#This Row],[entrada B]])</f>
        <v>6</v>
      </c>
      <c r="M176" s="22">
        <f>SUMIFS(estoque[quantidade],estoque[fornecedor],"&lt;&gt;saída",estoque[produto],preçodiario[[#Headers],[OVO BRANCO B]],estoque[data],preçodiario[[#This Row],[data]])</f>
        <v>0</v>
      </c>
      <c r="N176" s="20">
        <f>SUMIFS(estoque[valor total],estoque[fornecedor],"&lt;&gt;saída",estoque[produto],preçodiario[[#Headers],[OVO BRANCO B]],estoque[data],preçodiario[[#This Row],[data]])</f>
        <v>0</v>
      </c>
      <c r="O176" s="20">
        <f>IFERROR(preçodiario[[#This Row],[OVO BRANCO B]]*preçodiario[[#This Row],[estoque B]],0)</f>
        <v>88.224852071005898</v>
      </c>
      <c r="P1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Row],[data]])),((P175*Q175)+SUMIFS(estoque[valor total],estoque[produto],preçodiario[[#Headers],[OVO BRANCO C]],estoque[data],preçodiario[[#This Row],[data]],estoque[fornecedor],"&lt;&gt;saída"))/(Q175+(SUMIFS(estoque[quantidade],estoque[produto],preçodiario[[#Headers],[OVO BRANCO C]],estoque[fornecedor],"&lt;&gt;saída",estoque[data],preçodiario[[#This Row],[data]])))))</f>
        <v>13.833333333333337</v>
      </c>
      <c r="Q176" s="22">
        <f>IF(preçodiario[[#This Row],[entrada C]]=0,Q175-(SUMIFS(estoque[quantidade],estoque[fornecedor],"saída",estoque[produto],preçodiario[[#Headers],[OVO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Row],[data]]))+Q175+preçodiario[[#This Row],[entrada C]])</f>
        <v>16</v>
      </c>
      <c r="R176" s="22">
        <f>SUMIFS(estoque[quantidade],estoque[fornecedor],"&lt;&gt;saída",estoque[produto],preçodiario[[#Headers],[OVO BRANCO C]],estoque[data],preçodiario[[#This Row],[data]])</f>
        <v>0</v>
      </c>
      <c r="S176" s="20">
        <f>SUMIFS(estoque[valor total],estoque[fornecedor],"&lt;&gt;saída",estoque[produto],preçodiario[[#Headers],[OVO BRANCO C]],estoque[data],preçodiario[[#This Row],[data]])</f>
        <v>0</v>
      </c>
      <c r="T176" s="20">
        <f>IFERROR(preçodiario[[#This Row],[OVO BRANCO C]]*preçodiario[[#This Row],[estoque C]],0)</f>
        <v>221.3333333333334</v>
      </c>
      <c r="U17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Row],[data]])),((U175*V175)+SUMIFS(estoque[valor total],estoque[produto],preçodiario[[#Headers],[OVO BRANCO EXTRA]],estoque[data],preçodiario[[#This Row],[data]],estoque[fornecedor],"&lt;&gt;saída"))/(V175+(SUMIFS(estoque[quantidade],estoque[produto],preçodiario[[#Headers],[OVO BRANCO EXTRA]],estoque[fornecedor],"&lt;&gt;saída",estoque[data],preçodiario[[#This Row],[data]])))))</f>
        <v>15.833333333333334</v>
      </c>
      <c r="V176" s="22">
        <f>IF(preçodiario[[#This Row],[entrada E]]=0,V175-(SUMIFS(estoque[quantidade],estoque[fornecedor],"saída",estoque[produto],preçodiario[[#Headers],[OVO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Row],[data]]))+V175+preçodiario[[#This Row],[entrada E]])</f>
        <v>50</v>
      </c>
      <c r="W176" s="22">
        <f>SUMIFS(estoque[quantidade],estoque[fornecedor],"&lt;&gt;saída",estoque[produto],preçodiario[[#Headers],[OVO BRANCO EXTRA]],estoque[data],preçodiario[[#This Row],[data]])</f>
        <v>0</v>
      </c>
      <c r="X176" s="20">
        <f>SUMIFS(estoque[valor total],estoque[fornecedor],"&lt;&gt;saída",estoque[produto],preçodiario[[#Headers],[OVO BRANCO EXTRA]],estoque[data],preçodiario[[#This Row],[data]])</f>
        <v>0</v>
      </c>
      <c r="Y176" s="20">
        <f>IFERROR(preçodiario[[#This Row],[estoque E]]*preçodiario[[#This Row],[OVO BRANCO EXTRA]],0)</f>
        <v>791.66666666666674</v>
      </c>
      <c r="Z17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Row],[data]])),((Z175*AA175)+SUMIFS(estoque[valor total],estoque[produto],preçodiario[[#Headers],[OVO BRANCO JUMBO]],estoque[data],preçodiario[[#This Row],[data]],estoque[fornecedor],"&lt;&gt;saída"))/(AA175+(SUMIFS(estoque[quantidade],estoque[produto],preçodiario[[#Headers],[OVO BRANCO JUMBO]],estoque[fornecedor],"&lt;&gt;saída",estoque[data],preçodiario[[#This Row],[data]])))))</f>
        <v>16.283333333333331</v>
      </c>
      <c r="AA176" s="22">
        <f>IF(preçodiario[[#This Row],[entrada J]]=0,AA175-(SUMIFS(estoque[quantidade],estoque[fornecedor],"saída",estoque[produto],preçodiario[[#Headers],[OVO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Row],[data]]))+AA175+preçodiario[[#This Row],[entrada J]])</f>
        <v>30</v>
      </c>
      <c r="AB176" s="22">
        <f>SUMIFS(estoque[quantidade],estoque[fornecedor],"&lt;&gt;saída",estoque[produto],preçodiario[[#Headers],[OVO BRANCO JUMBO]],estoque[data],preçodiario[[#This Row],[data]])</f>
        <v>0</v>
      </c>
      <c r="AC176" s="20">
        <f>SUMIFS(estoque[valor total],estoque[fornecedor],"&lt;&gt;saída",estoque[produto],preçodiario[[#Headers],[OVO BRANCO JUMBO]],estoque[data],preçodiario[[#This Row],[data]])</f>
        <v>0</v>
      </c>
      <c r="AD176" s="20">
        <f>IFERROR(preçodiario[[#This Row],[OVO BRANCO JUMBO]]*preçodiario[[#This Row],[estoque J]],0)</f>
        <v>488.49999999999994</v>
      </c>
      <c r="AE1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Row],[data]])),((AE175*AF175)+SUMIFS(estoque[valor total],estoque[produto],preçodiario[[#Headers],[OVO VERMELHO A]],estoque[data],preçodiario[[#This Row],[data]],estoque[fornecedor],"&lt;&gt;saída"))/(AF175+(SUMIFS(estoque[quantidade],estoque[produto],preçodiario[[#Headers],[OVO VERMELHO A]],estoque[fornecedor],"&lt;&gt;saída",estoque[data],preçodiario[[#This Row],[data]])))))</f>
        <v/>
      </c>
      <c r="AF176" s="22">
        <f>IF(preçodiario[[#This Row],[entrada AV]]=0,AF175-(SUMIFS(estoque[quantidade],estoque[fornecedor],"saída",estoque[produto],preçodiario[[#Headers],[OVO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Row],[data]]))+AF175+preçodiario[[#This Row],[entrada AV]])</f>
        <v>0</v>
      </c>
      <c r="AG176" s="22">
        <f>SUMIFS(estoque[quantidade],estoque[fornecedor],"&lt;&gt;saída",estoque[produto],preçodiario[[#Headers],[OVO VERMELHO A]],estoque[data],preçodiario[[#This Row],[data]])</f>
        <v>0</v>
      </c>
      <c r="AH176" s="20">
        <f>SUMIFS(estoque[valor total],estoque[fornecedor],"&lt;&gt;saída",estoque[produto],preçodiario[[#Headers],[OVO VERMELHO A]],estoque[data],preçodiario[[#This Row],[data]])</f>
        <v>0</v>
      </c>
      <c r="AI176" s="20">
        <f>IFERROR(preçodiario[[#This Row],[OVO VERMELHO A]]*preçodiario[[#This Row],[estoque AV]],0)</f>
        <v>0</v>
      </c>
      <c r="AJ1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Row],[data]])),((AJ175*AK175)+SUMIFS(estoque[valor total],estoque[produto],preçodiario[[#Headers],[OVO VERMELHO B]],estoque[data],preçodiario[[#This Row],[data]],estoque[fornecedor],"&lt;&gt;saída"))/(AK175+(SUMIFS(estoque[quantidade],estoque[produto],preçodiario[[#Headers],[OVO VERMELHO B]],estoque[fornecedor],"&lt;&gt;saída",estoque[data],preçodiario[[#This Row],[data]])))))</f>
        <v/>
      </c>
      <c r="AK176" s="22">
        <f>IF(preçodiario[[#This Row],[entrada BV]]=0,AK175-(SUMIFS(estoque[quantidade],estoque[fornecedor],"saída",estoque[produto],preçodiario[[#Headers],[OVO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Row],[data]]))+AK175+preçodiario[[#This Row],[entrada BV]])</f>
        <v>0</v>
      </c>
      <c r="AL176" s="22">
        <f>SUMIFS(estoque[quantidade],estoque[fornecedor],"&lt;&gt;saída",estoque[produto],preçodiario[[#Headers],[OVO VERMELHO B]],estoque[data],preçodiario[[#This Row],[data]])</f>
        <v>0</v>
      </c>
      <c r="AM176" s="20">
        <f>SUMIFS(estoque[valor total],estoque[fornecedor],"&lt;&gt;saída",estoque[produto],preçodiario[[#Headers],[OVO VERMELHO B]],estoque[data],preçodiario[[#This Row],[data]])</f>
        <v>0</v>
      </c>
      <c r="AN176" s="20">
        <f>IFERROR(preçodiario[[#This Row],[OVO VERMELHO B]]*preçodiario[[#This Row],[estoque BV]],0)</f>
        <v>0</v>
      </c>
      <c r="AO1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Row],[data]])),((AO175*AP175)+SUMIFS(estoque[valor total],estoque[produto],preçodiario[[#Headers],[OVO VERMELHO C]],estoque[data],preçodiario[[#This Row],[data]],estoque[fornecedor],"&lt;&gt;saída"))/(AP175+(SUMIFS(estoque[quantidade],estoque[produto],preçodiario[[#Headers],[OVO VERMELHO C]],estoque[fornecedor],"&lt;&gt;saída",estoque[data],preçodiario[[#This Row],[data]])))))</f>
        <v/>
      </c>
      <c r="AP176" s="22">
        <f>IF(preçodiario[[#This Row],[entrada CV]]=0,AP175-(SUMIFS(estoque[quantidade],estoque[fornecedor],"saída",estoque[produto],preçodiario[[#Headers],[OVO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Row],[data]]))+AP175+preçodiario[[#This Row],[entrada CV]])</f>
        <v>0</v>
      </c>
      <c r="AQ176" s="22">
        <f>SUMIFS(estoque[quantidade],estoque[fornecedor],"&lt;&gt;saída",estoque[produto],preçodiario[[#Headers],[OVO VERMELHO C]],estoque[data],preçodiario[[#This Row],[data]])</f>
        <v>0</v>
      </c>
      <c r="AR176" s="20">
        <f>SUMIFS(estoque[valor total],estoque[fornecedor],"&lt;&gt;saída",estoque[produto],preçodiario[[#Headers],[OVO VERMELHO C]],estoque[data],preçodiario[[#This Row],[data]])</f>
        <v>0</v>
      </c>
      <c r="AS176" s="20">
        <f>IFERROR(preçodiario[[#This Row],[OVO VERMELHO C]]*preçodiario[[#This Row],[estoque CV]],0)</f>
        <v>0</v>
      </c>
      <c r="AT1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Row],[data]])),((AT175*AU175)+SUMIFS(estoque[valor total],estoque[produto],preçodiario[[#Headers],[OVO VERMELHO EXTRA]],estoque[data],preçodiario[[#This Row],[data]],estoque[fornecedor],"&lt;&gt;saída"))/(AU175+(SUMIFS(estoque[quantidade],estoque[produto],preçodiario[[#Headers],[OVO VERMELHO EXTRA]],estoque[fornecedor],"&lt;&gt;saída",estoque[data],preçodiario[[#This Row],[data]])))))</f>
        <v/>
      </c>
      <c r="AU176" s="22">
        <f>IF(preçodiario[[#This Row],[entrada EV]]=0,AU175-(SUMIFS(estoque[quantidade],estoque[fornecedor],"saída",estoque[produto],preçodiario[[#Headers],[OVO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Row],[data]]))+AU175+preçodiario[[#This Row],[entrada EV]])</f>
        <v>0</v>
      </c>
      <c r="AV176" s="22">
        <f>SUMIFS(estoque[quantidade],estoque[fornecedor],"&lt;&gt;saída",estoque[produto],preçodiario[[#Headers],[OVO VERMELHO EXTRA]],estoque[data],preçodiario[[#This Row],[data]])</f>
        <v>0</v>
      </c>
      <c r="AW176" s="20">
        <f>SUMIFS(estoque[valor total],estoque[fornecedor],"&lt;&gt;saída",estoque[produto],preçodiario[[#Headers],[OVO VERMELHO EXTRA]],estoque[data],preçodiario[[#This Row],[data]])</f>
        <v>0</v>
      </c>
      <c r="AX176" s="20">
        <f>IFERROR(preçodiario[[#This Row],[OVO VERMELHO EXTRA]]*preçodiario[[#This Row],[estoque EV]],0)</f>
        <v>0</v>
      </c>
      <c r="AY1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Row],[data]])),((AY175*AZ175)+SUMIFS(estoque[valor total],estoque[produto],preçodiario[[#Headers],[OVO VERMELHO JUMBO]],estoque[data],preçodiario[[#This Row],[data]],estoque[fornecedor],"&lt;&gt;saída"))/(AZ175+(SUMIFS(estoque[quantidade],estoque[produto],preçodiario[[#Headers],[OVO VERMELHO JUMBO]],estoque[fornecedor],"&lt;&gt;saída",estoque[data],preçodiario[[#This Row],[data]])))))</f>
        <v/>
      </c>
      <c r="AZ176" s="22">
        <f>IF(preçodiario[[#This Row],[entrada JV]]=0,AZ175-(SUMIFS(estoque[quantidade],estoque[fornecedor],"saída",estoque[produto],preçodiario[[#Headers],[OVO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Row],[data]]))+AZ175+preçodiario[[#This Row],[entrada JV]])</f>
        <v>0</v>
      </c>
      <c r="BA176" s="22">
        <f>SUMIFS(estoque[quantidade],estoque[fornecedor],"&lt;&gt;saída",estoque[produto],preçodiario[[#Headers],[OVO VERMELHO JUMBO]],estoque[data],preçodiario[[#This Row],[data]])</f>
        <v>0</v>
      </c>
      <c r="BB176" s="20">
        <f>SUMIFS(estoque[valor total],estoque[fornecedor],"&lt;&gt;saída",estoque[produto],preçodiario[[#Headers],[OVO VERMELHO JUMBO]],estoque[data],preçodiario[[#This Row],[data]])</f>
        <v>0</v>
      </c>
      <c r="BC176" s="20">
        <f>IFERROR(preçodiario[[#This Row],[OVO VERMELHO JUMBO]]*preçodiario[[#This Row],[estoque JV]],0)</f>
        <v>0</v>
      </c>
      <c r="BD176" t="str">
        <f>TEXT(vendaAno[[#This Row],[data]],"mmm")</f>
        <v>jun</v>
      </c>
      <c r="BE176" t="str">
        <f>TEXT(vendaAno[[#This Row],[data]],"ddd")</f>
        <v>qua</v>
      </c>
      <c r="BF176" s="82">
        <f>WEEKNUM(vendaAno[[#This Row],[data]],13)</f>
        <v>26</v>
      </c>
      <c r="BG176" s="27">
        <f>preçodiario[[#This Row],[data]]</f>
        <v>46197</v>
      </c>
      <c r="BH1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6" s="8">
        <f>IF(SUMIFS(estoque[valor total],estoque[fornecedor],"saída",estoque[data],vendaAno[[#This Row],[data]])=0,"",SUMIFS(estoque[valor total],estoque[fornecedor],"saída",estoque[data],vendaAno[[#This Row],[data]]))</f>
        <v>518</v>
      </c>
      <c r="BJ17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Row],[data]]))/12+BJ175,"")</f>
        <v>10.833333333333311</v>
      </c>
      <c r="BK176" s="79">
        <f ca="1">IF(TODAY()&gt;=vendaAno[[#This Row],[data]],IF(SUMIFS(estoque[quantidade],estoque[fornecedor],"saída",estoque[data],vendaAno[[#This Row],[data]])/12=0,AVERAGE(BK173:BK175),SUMIFS(estoque[quantidade],estoque[fornecedor],"saída",estoque[data],vendaAno[[#This Row],[data]])/12),"")</f>
        <v>2.25</v>
      </c>
      <c r="BL176" s="8">
        <f ca="1">IF(vendaAno[[#This Row],[data]]&lt;=TODAY(),IF(SUMIFS(estoque[lucro],estoque[fornecedor],"saída",estoque[data],vendaAno[[#This Row],[data]])=0,AVERAGE(BL173:BL175),SUMIFS(estoque[lucro],estoque[fornecedor],"saída",estoque[data],vendaAno[[#This Row],[data]])),"")</f>
        <v>97.24</v>
      </c>
      <c r="BM176" s="10">
        <f ca="1">IFERROR(vendaAno[[#This Row],[lucro]]/vendaAno[[#This Row],[valor de venda]],"")</f>
        <v>0.1877220077220077</v>
      </c>
      <c r="BN17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2021.3915187376729</v>
      </c>
      <c r="BO176" s="8">
        <f ca="1">IF(TODAY()&gt;=vendaAno[[#This Row],[data]],IF(vendaAno[[#This Row],[N°]]=BF175,vendaAno[[#This Row],[lucro]]-173.33+BO175,vendaAno[[#This Row],[lucro]]-150),"")</f>
        <v>-52.760000000000005</v>
      </c>
      <c r="BP176" s="81">
        <f ca="1">IF(TODAY()&gt;=vendaAno[[#This Row],[data]],SUM(BK170:BK176)*12,"")</f>
        <v>259</v>
      </c>
      <c r="BQ176" s="7">
        <f ca="1">IFERROR(vendaAno[[#This Row],[lucro]]/(vendaAno[[#This Row],[venda]]*12),"")</f>
        <v>3.6014814814814815</v>
      </c>
    </row>
    <row r="177" spans="1:69" x14ac:dyDescent="0.25">
      <c r="A1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7" s="18" t="str">
        <f>TEXT(preçodiario[[#This Row],[data]],"MMM")</f>
        <v>jun</v>
      </c>
      <c r="C177" s="18" t="str">
        <f>TEXT(preçodiario[[#This Row],[data]],"ddd")</f>
        <v>qui</v>
      </c>
      <c r="D177" s="96">
        <f>WEEKNUM(preçodiario[[#This Row],[data]],13)</f>
        <v>26</v>
      </c>
      <c r="E177" s="37">
        <v>46198</v>
      </c>
      <c r="F1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Row],[data]])),((F176*G176)+SUMIFS(estoque[valor total],estoque[produto],preçodiario[[#Headers],[OVO BRANCO A]],estoque[data],preçodiario[[#This Row],[data]],estoque[fornecedor],"&lt;&gt;saída"))/(G176+(SUMIFS(estoque[quantidade],estoque[produto],preçodiario[[#Headers],[OVO BRANCO A]],estoque[fornecedor],"&lt;&gt;saída",estoque[data],preçodiario[[#This Row],[data]])))))</f>
        <v>15.416666666666666</v>
      </c>
      <c r="G177" s="22">
        <f>IF(preçodiario[[#This Row],[entrada A]]=0,G176-(SUMIFS(estoque[quantidade],estoque[fornecedor],"saída",estoque[produto],preçodiario[[#Headers],[OVO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Row],[data]]))+G176+preçodiario[[#This Row],[entrada A]])</f>
        <v>21</v>
      </c>
      <c r="H177" s="22">
        <f>SUMIFS(estoque[quantidade],estoque[fornecedor],"&lt;&gt;saída",estoque[produto],preçodiario[[#Headers],[OVO BRANCO A]],estoque[data],preçodiario[[#This Row],[data]])</f>
        <v>0</v>
      </c>
      <c r="I177" s="20">
        <f>SUMIFS(estoque[valor total],estoque[fornecedor],"&lt;&gt;saída",estoque[produto],preçodiario[[#Headers],[OVO BRANCO A]],estoque[data],preçodiario[[#This Row],[data]])</f>
        <v>0</v>
      </c>
      <c r="J177" s="20">
        <f>IFERROR(preçodiario[[#This Row],[estoque A]]*preçodiario[[#This Row],[OVO BRANCO A]],0)</f>
        <v>323.75</v>
      </c>
      <c r="K1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Row],[data]])),((K176*L176)+SUMIFS(estoque[valor total],estoque[produto],preçodiario[[#Headers],[OVO BRANCO B]],estoque[data],preçodiario[[#This Row],[data]],estoque[fornecedor],"&lt;&gt;saída"))/(L176+(SUMIFS(estoque[quantidade],estoque[produto],preçodiario[[#Headers],[OVO BRANCO B]],estoque[fornecedor],"&lt;&gt;saída",estoque[data],preçodiario[[#This Row],[data]])))))</f>
        <v>14.704142011834316</v>
      </c>
      <c r="L177" s="22">
        <f>IF(preçodiario[[#This Row],[entrada B]]=0,L176-(SUMIFS(estoque[quantidade],estoque[fornecedor],"saída",estoque[produto],preçodiario[[#Headers],[OVO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Row],[data]]))+L176+preçodiario[[#This Row],[entrada B]])</f>
        <v>2</v>
      </c>
      <c r="M177" s="22">
        <f>SUMIFS(estoque[quantidade],estoque[fornecedor],"&lt;&gt;saída",estoque[produto],preçodiario[[#Headers],[OVO BRANCO B]],estoque[data],preçodiario[[#This Row],[data]])</f>
        <v>0</v>
      </c>
      <c r="N177" s="20">
        <f>SUMIFS(estoque[valor total],estoque[fornecedor],"&lt;&gt;saída",estoque[produto],preçodiario[[#Headers],[OVO BRANCO B]],estoque[data],preçodiario[[#This Row],[data]])</f>
        <v>0</v>
      </c>
      <c r="O177" s="20">
        <f>IFERROR(preçodiario[[#This Row],[OVO BRANCO B]]*preçodiario[[#This Row],[estoque B]],0)</f>
        <v>29.408284023668632</v>
      </c>
      <c r="P1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Row],[data]])),((P176*Q176)+SUMIFS(estoque[valor total],estoque[produto],preçodiario[[#Headers],[OVO BRANCO C]],estoque[data],preçodiario[[#This Row],[data]],estoque[fornecedor],"&lt;&gt;saída"))/(Q176+(SUMIFS(estoque[quantidade],estoque[produto],preçodiario[[#Headers],[OVO BRANCO C]],estoque[fornecedor],"&lt;&gt;saída",estoque[data],preçodiario[[#This Row],[data]])))))</f>
        <v>13.833333333333337</v>
      </c>
      <c r="Q177" s="22">
        <f>IF(preçodiario[[#This Row],[entrada C]]=0,Q176-(SUMIFS(estoque[quantidade],estoque[fornecedor],"saída",estoque[produto],preçodiario[[#Headers],[OVO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Row],[data]]))+Q176+preçodiario[[#This Row],[entrada C]])</f>
        <v>13</v>
      </c>
      <c r="R177" s="22">
        <f>SUMIFS(estoque[quantidade],estoque[fornecedor],"&lt;&gt;saída",estoque[produto],preçodiario[[#Headers],[OVO BRANCO C]],estoque[data],preçodiario[[#This Row],[data]])</f>
        <v>0</v>
      </c>
      <c r="S177" s="20">
        <f>SUMIFS(estoque[valor total],estoque[fornecedor],"&lt;&gt;saída",estoque[produto],preçodiario[[#Headers],[OVO BRANCO C]],estoque[data],preçodiario[[#This Row],[data]])</f>
        <v>0</v>
      </c>
      <c r="T177" s="20">
        <f>IFERROR(preçodiario[[#This Row],[OVO BRANCO C]]*preçodiario[[#This Row],[estoque C]],0)</f>
        <v>179.8333333333334</v>
      </c>
      <c r="U1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Row],[data]])),((U176*V176)+SUMIFS(estoque[valor total],estoque[produto],preçodiario[[#Headers],[OVO BRANCO EXTRA]],estoque[data],preçodiario[[#This Row],[data]],estoque[fornecedor],"&lt;&gt;saída"))/(V176+(SUMIFS(estoque[quantidade],estoque[produto],preçodiario[[#Headers],[OVO BRANCO EXTRA]],estoque[fornecedor],"&lt;&gt;saída",estoque[data],preçodiario[[#This Row],[data]])))))</f>
        <v>15.833333333333336</v>
      </c>
      <c r="V177" s="22">
        <f>IF(preçodiario[[#This Row],[entrada E]]=0,V176-(SUMIFS(estoque[quantidade],estoque[fornecedor],"saída",estoque[produto],preçodiario[[#Headers],[OVO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Row],[data]]))+V176+preçodiario[[#This Row],[entrada E]])</f>
        <v>36</v>
      </c>
      <c r="W177" s="22">
        <f>SUMIFS(estoque[quantidade],estoque[fornecedor],"&lt;&gt;saída",estoque[produto],preçodiario[[#Headers],[OVO BRANCO EXTRA]],estoque[data],preçodiario[[#This Row],[data]])</f>
        <v>0</v>
      </c>
      <c r="X177" s="20">
        <f>SUMIFS(estoque[valor total],estoque[fornecedor],"&lt;&gt;saída",estoque[produto],preçodiario[[#Headers],[OVO BRANCO EXTRA]],estoque[data],preçodiario[[#This Row],[data]])</f>
        <v>0</v>
      </c>
      <c r="Y177" s="20">
        <f>IFERROR(preçodiario[[#This Row],[estoque E]]*preçodiario[[#This Row],[OVO BRANCO EXTRA]],0)</f>
        <v>570.00000000000011</v>
      </c>
      <c r="Z17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Row],[data]])),((Z176*AA176)+SUMIFS(estoque[valor total],estoque[produto],preçodiario[[#Headers],[OVO BRANCO JUMBO]],estoque[data],preçodiario[[#This Row],[data]],estoque[fornecedor],"&lt;&gt;saída"))/(AA176+(SUMIFS(estoque[quantidade],estoque[produto],preçodiario[[#Headers],[OVO BRANCO JUMBO]],estoque[fornecedor],"&lt;&gt;saída",estoque[data],preçodiario[[#This Row],[data]])))))</f>
        <v>16.283333333333331</v>
      </c>
      <c r="AA177" s="22">
        <f>IF(preçodiario[[#This Row],[entrada J]]=0,AA176-(SUMIFS(estoque[quantidade],estoque[fornecedor],"saída",estoque[produto],preçodiario[[#Headers],[OVO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Row],[data]]))+AA176+preçodiario[[#This Row],[entrada J]])</f>
        <v>22</v>
      </c>
      <c r="AB177" s="22">
        <f>SUMIFS(estoque[quantidade],estoque[fornecedor],"&lt;&gt;saída",estoque[produto],preçodiario[[#Headers],[OVO BRANCO JUMBO]],estoque[data],preçodiario[[#This Row],[data]])</f>
        <v>0</v>
      </c>
      <c r="AC177" s="20">
        <f>SUMIFS(estoque[valor total],estoque[fornecedor],"&lt;&gt;saída",estoque[produto],preçodiario[[#Headers],[OVO BRANCO JUMBO]],estoque[data],preçodiario[[#This Row],[data]])</f>
        <v>0</v>
      </c>
      <c r="AD177" s="20">
        <f>IFERROR(preçodiario[[#This Row],[OVO BRANCO JUMBO]]*preçodiario[[#This Row],[estoque J]],0)</f>
        <v>358.23333333333329</v>
      </c>
      <c r="AE1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Row],[data]])),((AE176*AF176)+SUMIFS(estoque[valor total],estoque[produto],preçodiario[[#Headers],[OVO VERMELHO A]],estoque[data],preçodiario[[#This Row],[data]],estoque[fornecedor],"&lt;&gt;saída"))/(AF176+(SUMIFS(estoque[quantidade],estoque[produto],preçodiario[[#Headers],[OVO VERMELHO A]],estoque[fornecedor],"&lt;&gt;saída",estoque[data],preçodiario[[#This Row],[data]])))))</f>
        <v/>
      </c>
      <c r="AF177" s="22">
        <f>IF(preçodiario[[#This Row],[entrada AV]]=0,AF176-(SUMIFS(estoque[quantidade],estoque[fornecedor],"saída",estoque[produto],preçodiario[[#Headers],[OVO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Row],[data]]))+AF176+preçodiario[[#This Row],[entrada AV]])</f>
        <v>0</v>
      </c>
      <c r="AG177" s="22">
        <f>SUMIFS(estoque[quantidade],estoque[fornecedor],"&lt;&gt;saída",estoque[produto],preçodiario[[#Headers],[OVO VERMELHO A]],estoque[data],preçodiario[[#This Row],[data]])</f>
        <v>0</v>
      </c>
      <c r="AH177" s="20">
        <f>SUMIFS(estoque[valor total],estoque[fornecedor],"&lt;&gt;saída",estoque[produto],preçodiario[[#Headers],[OVO VERMELHO A]],estoque[data],preçodiario[[#This Row],[data]])</f>
        <v>0</v>
      </c>
      <c r="AI177" s="20">
        <f>IFERROR(preçodiario[[#This Row],[OVO VERMELHO A]]*preçodiario[[#This Row],[estoque AV]],0)</f>
        <v>0</v>
      </c>
      <c r="AJ1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Row],[data]])),((AJ176*AK176)+SUMIFS(estoque[valor total],estoque[produto],preçodiario[[#Headers],[OVO VERMELHO B]],estoque[data],preçodiario[[#This Row],[data]],estoque[fornecedor],"&lt;&gt;saída"))/(AK176+(SUMIFS(estoque[quantidade],estoque[produto],preçodiario[[#Headers],[OVO VERMELHO B]],estoque[fornecedor],"&lt;&gt;saída",estoque[data],preçodiario[[#This Row],[data]])))))</f>
        <v/>
      </c>
      <c r="AK177" s="22">
        <f>IF(preçodiario[[#This Row],[entrada BV]]=0,AK176-(SUMIFS(estoque[quantidade],estoque[fornecedor],"saída",estoque[produto],preçodiario[[#Headers],[OVO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Row],[data]]))+AK176+preçodiario[[#This Row],[entrada BV]])</f>
        <v>0</v>
      </c>
      <c r="AL177" s="22">
        <f>SUMIFS(estoque[quantidade],estoque[fornecedor],"&lt;&gt;saída",estoque[produto],preçodiario[[#Headers],[OVO VERMELHO B]],estoque[data],preçodiario[[#This Row],[data]])</f>
        <v>0</v>
      </c>
      <c r="AM177" s="20">
        <f>SUMIFS(estoque[valor total],estoque[fornecedor],"&lt;&gt;saída",estoque[produto],preçodiario[[#Headers],[OVO VERMELHO B]],estoque[data],preçodiario[[#This Row],[data]])</f>
        <v>0</v>
      </c>
      <c r="AN177" s="20">
        <f>IFERROR(preçodiario[[#This Row],[OVO VERMELHO B]]*preçodiario[[#This Row],[estoque BV]],0)</f>
        <v>0</v>
      </c>
      <c r="AO1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Row],[data]])),((AO176*AP176)+SUMIFS(estoque[valor total],estoque[produto],preçodiario[[#Headers],[OVO VERMELHO C]],estoque[data],preçodiario[[#This Row],[data]],estoque[fornecedor],"&lt;&gt;saída"))/(AP176+(SUMIFS(estoque[quantidade],estoque[produto],preçodiario[[#Headers],[OVO VERMELHO C]],estoque[fornecedor],"&lt;&gt;saída",estoque[data],preçodiario[[#This Row],[data]])))))</f>
        <v/>
      </c>
      <c r="AP177" s="22">
        <f>IF(preçodiario[[#This Row],[entrada CV]]=0,AP176-(SUMIFS(estoque[quantidade],estoque[fornecedor],"saída",estoque[produto],preçodiario[[#Headers],[OVO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Row],[data]]))+AP176+preçodiario[[#This Row],[entrada CV]])</f>
        <v>0</v>
      </c>
      <c r="AQ177" s="22">
        <f>SUMIFS(estoque[quantidade],estoque[fornecedor],"&lt;&gt;saída",estoque[produto],preçodiario[[#Headers],[OVO VERMELHO C]],estoque[data],preçodiario[[#This Row],[data]])</f>
        <v>0</v>
      </c>
      <c r="AR177" s="20">
        <f>SUMIFS(estoque[valor total],estoque[fornecedor],"&lt;&gt;saída",estoque[produto],preçodiario[[#Headers],[OVO VERMELHO C]],estoque[data],preçodiario[[#This Row],[data]])</f>
        <v>0</v>
      </c>
      <c r="AS177" s="20">
        <f>IFERROR(preçodiario[[#This Row],[OVO VERMELHO C]]*preçodiario[[#This Row],[estoque CV]],0)</f>
        <v>0</v>
      </c>
      <c r="AT1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Row],[data]])),((AT176*AU176)+SUMIFS(estoque[valor total],estoque[produto],preçodiario[[#Headers],[OVO VERMELHO EXTRA]],estoque[data],preçodiario[[#This Row],[data]],estoque[fornecedor],"&lt;&gt;saída"))/(AU176+(SUMIFS(estoque[quantidade],estoque[produto],preçodiario[[#Headers],[OVO VERMELHO EXTRA]],estoque[fornecedor],"&lt;&gt;saída",estoque[data],preçodiario[[#This Row],[data]])))))</f>
        <v/>
      </c>
      <c r="AU177" s="22">
        <f>IF(preçodiario[[#This Row],[entrada EV]]=0,AU176-(SUMIFS(estoque[quantidade],estoque[fornecedor],"saída",estoque[produto],preçodiario[[#Headers],[OVO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Row],[data]]))+AU176+preçodiario[[#This Row],[entrada EV]])</f>
        <v>0</v>
      </c>
      <c r="AV177" s="22">
        <f>SUMIFS(estoque[quantidade],estoque[fornecedor],"&lt;&gt;saída",estoque[produto],preçodiario[[#Headers],[OVO VERMELHO EXTRA]],estoque[data],preçodiario[[#This Row],[data]])</f>
        <v>0</v>
      </c>
      <c r="AW177" s="20">
        <f>SUMIFS(estoque[valor total],estoque[fornecedor],"&lt;&gt;saída",estoque[produto],preçodiario[[#Headers],[OVO VERMELHO EXTRA]],estoque[data],preçodiario[[#This Row],[data]])</f>
        <v>0</v>
      </c>
      <c r="AX177" s="20">
        <f>IFERROR(preçodiario[[#This Row],[OVO VERMELHO EXTRA]]*preçodiario[[#This Row],[estoque EV]],0)</f>
        <v>0</v>
      </c>
      <c r="AY1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Row],[data]])),((AY176*AZ176)+SUMIFS(estoque[valor total],estoque[produto],preçodiario[[#Headers],[OVO VERMELHO JUMBO]],estoque[data],preçodiario[[#This Row],[data]],estoque[fornecedor],"&lt;&gt;saída"))/(AZ176+(SUMIFS(estoque[quantidade],estoque[produto],preçodiario[[#Headers],[OVO VERMELHO JUMBO]],estoque[fornecedor],"&lt;&gt;saída",estoque[data],preçodiario[[#This Row],[data]])))))</f>
        <v/>
      </c>
      <c r="AZ177" s="22">
        <f>IF(preçodiario[[#This Row],[entrada JV]]=0,AZ176-(SUMIFS(estoque[quantidade],estoque[fornecedor],"saída",estoque[produto],preçodiario[[#Headers],[OVO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Row],[data]]))+AZ176+preçodiario[[#This Row],[entrada JV]])</f>
        <v>0</v>
      </c>
      <c r="BA177" s="22">
        <f>SUMIFS(estoque[quantidade],estoque[fornecedor],"&lt;&gt;saída",estoque[produto],preçodiario[[#Headers],[OVO VERMELHO JUMBO]],estoque[data],preçodiario[[#This Row],[data]])</f>
        <v>0</v>
      </c>
      <c r="BB177" s="20">
        <f>SUMIFS(estoque[valor total],estoque[fornecedor],"&lt;&gt;saída",estoque[produto],preçodiario[[#Headers],[OVO VERMELHO JUMBO]],estoque[data],preçodiario[[#This Row],[data]])</f>
        <v>0</v>
      </c>
      <c r="BC177" s="20">
        <f>IFERROR(preçodiario[[#This Row],[OVO VERMELHO JUMBO]]*preçodiario[[#This Row],[estoque JV]],0)</f>
        <v>0</v>
      </c>
      <c r="BD177" t="str">
        <f>TEXT(vendaAno[[#This Row],[data]],"mmm")</f>
        <v>jun</v>
      </c>
      <c r="BE177" t="str">
        <f>TEXT(vendaAno[[#This Row],[data]],"ddd")</f>
        <v>qui</v>
      </c>
      <c r="BF177" s="82">
        <f>WEEKNUM(vendaAno[[#This Row],[data]],13)</f>
        <v>26</v>
      </c>
      <c r="BG177" s="27">
        <f>preçodiario[[#This Row],[data]]</f>
        <v>46198</v>
      </c>
      <c r="BH17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7" s="8">
        <f>IF(SUMIFS(estoque[valor total],estoque[fornecedor],"saída",estoque[data],vendaAno[[#This Row],[data]])=0,"",SUMIFS(estoque[valor total],estoque[fornecedor],"saída",estoque[data],vendaAno[[#This Row],[data]]))</f>
        <v>706</v>
      </c>
      <c r="BJ17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Row],[data]]))/12+BJ176,"")</f>
        <v>7.8333333333333108</v>
      </c>
      <c r="BK177" s="79">
        <f ca="1">IF(TODAY()&gt;=vendaAno[[#This Row],[data]],IF(SUMIFS(estoque[quantidade],estoque[fornecedor],"saída",estoque[data],vendaAno[[#This Row],[data]])/12=0,AVERAGE(BK174:BK176),SUMIFS(estoque[quantidade],estoque[fornecedor],"saída",estoque[data],vendaAno[[#This Row],[data]])/12),"")</f>
        <v>3</v>
      </c>
      <c r="BL177" s="8">
        <f ca="1">IF(vendaAno[[#This Row],[data]]&lt;=TODAY(),IF(SUMIFS(estoque[lucro],estoque[fornecedor],"saída",estoque[data],vendaAno[[#This Row],[data]])=0,AVERAGE(BL174:BL176),SUMIFS(estoque[lucro],estoque[fornecedor],"saída",estoque[data],vendaAno[[#This Row],[data]])),"")</f>
        <v>145.82</v>
      </c>
      <c r="BM177" s="10">
        <f ca="1">IFERROR(vendaAno[[#This Row],[lucro]]/vendaAno[[#This Row],[valor de venda]],"")</f>
        <v>0.20654390934844191</v>
      </c>
      <c r="BN17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1461.2249506903354</v>
      </c>
      <c r="BO177" s="8">
        <f ca="1">IF(TODAY()&gt;=vendaAno[[#This Row],[data]],IF(vendaAno[[#This Row],[N°]]=BF176,vendaAno[[#This Row],[lucro]]-173.33+BO176,vendaAno[[#This Row],[lucro]]-150),"")</f>
        <v>-80.270000000000024</v>
      </c>
      <c r="BP177" s="81">
        <f ca="1">IF(TODAY()&gt;=vendaAno[[#This Row],[data]],SUM(BK171:BK177)*12,"")</f>
        <v>253</v>
      </c>
      <c r="BQ177" s="7">
        <f ca="1">IFERROR(vendaAno[[#This Row],[lucro]]/(vendaAno[[#This Row],[venda]]*12),"")</f>
        <v>4.0505555555555555</v>
      </c>
    </row>
    <row r="178" spans="1:69" x14ac:dyDescent="0.25">
      <c r="A1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8" s="18" t="str">
        <f>TEXT(preçodiario[[#This Row],[data]],"MMM")</f>
        <v>jun</v>
      </c>
      <c r="C178" s="18" t="str">
        <f>TEXT(preçodiario[[#This Row],[data]],"ddd")</f>
        <v>sex</v>
      </c>
      <c r="D178" s="96">
        <f>WEEKNUM(preçodiario[[#This Row],[data]],13)</f>
        <v>26</v>
      </c>
      <c r="E178" s="37">
        <v>46199</v>
      </c>
      <c r="F1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Row],[data]])),((F177*G177)+SUMIFS(estoque[valor total],estoque[produto],preçodiario[[#Headers],[OVO BRANCO A]],estoque[data],preçodiario[[#This Row],[data]],estoque[fornecedor],"&lt;&gt;saída"))/(G177+(SUMIFS(estoque[quantidade],estoque[produto],preçodiario[[#Headers],[OVO BRANCO A]],estoque[fornecedor],"&lt;&gt;saída",estoque[data],preçodiario[[#This Row],[data]])))))</f>
        <v>15.416666666666666</v>
      </c>
      <c r="G178" s="22">
        <f>IF(preçodiario[[#This Row],[entrada A]]=0,G177-(SUMIFS(estoque[quantidade],estoque[fornecedor],"saída",estoque[produto],preçodiario[[#Headers],[OVO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Row],[data]]))+G177+preçodiario[[#This Row],[entrada A]])</f>
        <v>141</v>
      </c>
      <c r="H178" s="22">
        <f>SUMIFS(estoque[quantidade],estoque[fornecedor],"&lt;&gt;saída",estoque[produto],preçodiario[[#Headers],[OVO BRANCO A]],estoque[data],preçodiario[[#This Row],[data]])</f>
        <v>120</v>
      </c>
      <c r="I178" s="20">
        <f>SUMIFS(estoque[valor total],estoque[fornecedor],"&lt;&gt;saída",estoque[produto],preçodiario[[#Headers],[OVO BRANCO A]],estoque[data],preçodiario[[#This Row],[data]])</f>
        <v>1850</v>
      </c>
      <c r="J178" s="20">
        <f>IFERROR(preçodiario[[#This Row],[estoque A]]*preçodiario[[#This Row],[OVO BRANCO A]],0)</f>
        <v>2173.75</v>
      </c>
      <c r="K1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Row],[data]])),((K177*L177)+SUMIFS(estoque[valor total],estoque[produto],preçodiario[[#Headers],[OVO BRANCO B]],estoque[data],preçodiario[[#This Row],[data]],estoque[fornecedor],"&lt;&gt;saída"))/(L177+(SUMIFS(estoque[quantidade],estoque[produto],preçodiario[[#Headers],[OVO BRANCO B]],estoque[fornecedor],"&lt;&gt;saída",estoque[data],preçodiario[[#This Row],[data]])))))</f>
        <v>14.585313803472694</v>
      </c>
      <c r="L178" s="22">
        <f>IF(preçodiario[[#This Row],[entrada B]]=0,L177-(SUMIFS(estoque[quantidade],estoque[fornecedor],"saída",estoque[produto],preçodiario[[#Headers],[OVO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Row],[data]]))+L177+preçodiario[[#This Row],[entrada B]])</f>
        <v>115</v>
      </c>
      <c r="M178" s="22">
        <f>SUMIFS(estoque[quantidade],estoque[fornecedor],"&lt;&gt;saída",estoque[produto],preçodiario[[#Headers],[OVO BRANCO B]],estoque[data],preçodiario[[#This Row],[data]])</f>
        <v>120</v>
      </c>
      <c r="N178" s="20">
        <f>SUMIFS(estoque[valor total],estoque[fornecedor],"&lt;&gt;saída",estoque[produto],preçodiario[[#Headers],[OVO BRANCO B]],estoque[data],preçodiario[[#This Row],[data]])</f>
        <v>1750</v>
      </c>
      <c r="O178" s="20">
        <f>IFERROR(preçodiario[[#This Row],[OVO BRANCO B]]*preçodiario[[#This Row],[estoque B]],0)</f>
        <v>1677.3110873993598</v>
      </c>
      <c r="P1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Row],[data]])),((P177*Q177)+SUMIFS(estoque[valor total],estoque[produto],preçodiario[[#Headers],[OVO BRANCO C]],estoque[data],preçodiario[[#This Row],[data]],estoque[fornecedor],"&lt;&gt;saída"))/(Q177+(SUMIFS(estoque[quantidade],estoque[produto],preçodiario[[#Headers],[OVO BRANCO C]],estoque[fornecedor],"&lt;&gt;saída",estoque[data],preçodiario[[#This Row],[data]])))))</f>
        <v>13.833333333333339</v>
      </c>
      <c r="Q178" s="22">
        <f>IF(preçodiario[[#This Row],[entrada C]]=0,Q177-(SUMIFS(estoque[quantidade],estoque[fornecedor],"saída",estoque[produto],preçodiario[[#Headers],[OVO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Row],[data]]))+Q177+preçodiario[[#This Row],[entrada C]])</f>
        <v>10</v>
      </c>
      <c r="R178" s="22">
        <f>SUMIFS(estoque[quantidade],estoque[fornecedor],"&lt;&gt;saída",estoque[produto],preçodiario[[#Headers],[OVO BRANCO C]],estoque[data],preçodiario[[#This Row],[data]])</f>
        <v>0</v>
      </c>
      <c r="S178" s="20">
        <f>SUMIFS(estoque[valor total],estoque[fornecedor],"&lt;&gt;saída",estoque[produto],preçodiario[[#Headers],[OVO BRANCO C]],estoque[data],preçodiario[[#This Row],[data]])</f>
        <v>0</v>
      </c>
      <c r="T178" s="20">
        <f>IFERROR(preçodiario[[#This Row],[OVO BRANCO C]]*preçodiario[[#This Row],[estoque C]],0)</f>
        <v>138.3333333333334</v>
      </c>
      <c r="U1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Row],[data]])),((U177*V177)+SUMIFS(estoque[valor total],estoque[produto],preçodiario[[#Headers],[OVO BRANCO EXTRA]],estoque[data],preçodiario[[#This Row],[data]],estoque[fornecedor],"&lt;&gt;saída"))/(V177+(SUMIFS(estoque[quantidade],estoque[produto],preçodiario[[#Headers],[OVO BRANCO EXTRA]],estoque[fornecedor],"&lt;&gt;saída",estoque[data],preçodiario[[#This Row],[data]])))))</f>
        <v>15.833333333333334</v>
      </c>
      <c r="V178" s="22">
        <f>IF(preçodiario[[#This Row],[entrada E]]=0,V177-(SUMIFS(estoque[quantidade],estoque[fornecedor],"saída",estoque[produto],preçodiario[[#Headers],[OVO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Row],[data]]))+V177+preçodiario[[#This Row],[entrada E]])</f>
        <v>127</v>
      </c>
      <c r="W178" s="22">
        <f>SUMIFS(estoque[quantidade],estoque[fornecedor],"&lt;&gt;saída",estoque[produto],preçodiario[[#Headers],[OVO BRANCO EXTRA]],estoque[data],preçodiario[[#This Row],[data]])</f>
        <v>96</v>
      </c>
      <c r="X178" s="20">
        <f>SUMIFS(estoque[valor total],estoque[fornecedor],"&lt;&gt;saída",estoque[produto],preçodiario[[#Headers],[OVO BRANCO EXTRA]],estoque[data],preçodiario[[#This Row],[data]])</f>
        <v>1520</v>
      </c>
      <c r="Y178" s="20">
        <f>IFERROR(preçodiario[[#This Row],[estoque E]]*preçodiario[[#This Row],[OVO BRANCO EXTRA]],0)</f>
        <v>2010.8333333333335</v>
      </c>
      <c r="Z17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Row],[data]])),((Z177*AA177)+SUMIFS(estoque[valor total],estoque[produto],preçodiario[[#Headers],[OVO BRANCO JUMBO]],estoque[data],preçodiario[[#This Row],[data]],estoque[fornecedor],"&lt;&gt;saída"))/(AA177+(SUMIFS(estoque[quantidade],estoque[produto],preçodiario[[#Headers],[OVO BRANCO JUMBO]],estoque[fornecedor],"&lt;&gt;saída",estoque[data],preçodiario[[#This Row],[data]])))))</f>
        <v>16.271568627450982</v>
      </c>
      <c r="AA178" s="22">
        <f>IF(preçodiario[[#This Row],[entrada J]]=0,AA177-(SUMIFS(estoque[quantidade],estoque[fornecedor],"saída",estoque[produto],preçodiario[[#Headers],[OVO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Row],[data]]))+AA177+preçodiario[[#This Row],[entrada J]])</f>
        <v>33</v>
      </c>
      <c r="AB178" s="22">
        <f>SUMIFS(estoque[quantidade],estoque[fornecedor],"&lt;&gt;saída",estoque[produto],preçodiario[[#Headers],[OVO BRANCO JUMBO]],estoque[data],preçodiario[[#This Row],[data]])</f>
        <v>12</v>
      </c>
      <c r="AC178" s="20">
        <f>SUMIFS(estoque[valor total],estoque[fornecedor],"&lt;&gt;saída",estoque[produto],preçodiario[[#Headers],[OVO BRANCO JUMBO]],estoque[data],preçodiario[[#This Row],[data]])</f>
        <v>195</v>
      </c>
      <c r="AD178" s="20">
        <f>IFERROR(preçodiario[[#This Row],[OVO BRANCO JUMBO]]*preçodiario[[#This Row],[estoque J]],0)</f>
        <v>536.96176470588239</v>
      </c>
      <c r="AE1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Row],[data]])),((AE177*AF177)+SUMIFS(estoque[valor total],estoque[produto],preçodiario[[#Headers],[OVO VERMELHO A]],estoque[data],preçodiario[[#This Row],[data]],estoque[fornecedor],"&lt;&gt;saída"))/(AF177+(SUMIFS(estoque[quantidade],estoque[produto],preçodiario[[#Headers],[OVO VERMELHO A]],estoque[fornecedor],"&lt;&gt;saída",estoque[data],preçodiario[[#This Row],[data]])))))</f>
        <v/>
      </c>
      <c r="AF178" s="22">
        <f>IF(preçodiario[[#This Row],[entrada AV]]=0,AF177-(SUMIFS(estoque[quantidade],estoque[fornecedor],"saída",estoque[produto],preçodiario[[#Headers],[OVO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Row],[data]]))+AF177+preçodiario[[#This Row],[entrada AV]])</f>
        <v>0</v>
      </c>
      <c r="AG178" s="22">
        <f>SUMIFS(estoque[quantidade],estoque[fornecedor],"&lt;&gt;saída",estoque[produto],preçodiario[[#Headers],[OVO VERMELHO A]],estoque[data],preçodiario[[#This Row],[data]])</f>
        <v>0</v>
      </c>
      <c r="AH178" s="20">
        <f>SUMIFS(estoque[valor total],estoque[fornecedor],"&lt;&gt;saída",estoque[produto],preçodiario[[#Headers],[OVO VERMELHO A]],estoque[data],preçodiario[[#This Row],[data]])</f>
        <v>0</v>
      </c>
      <c r="AI178" s="20">
        <f>IFERROR(preçodiario[[#This Row],[OVO VERMELHO A]]*preçodiario[[#This Row],[estoque AV]],0)</f>
        <v>0</v>
      </c>
      <c r="AJ1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Row],[data]])),((AJ177*AK177)+SUMIFS(estoque[valor total],estoque[produto],preçodiario[[#Headers],[OVO VERMELHO B]],estoque[data],preçodiario[[#This Row],[data]],estoque[fornecedor],"&lt;&gt;saída"))/(AK177+(SUMIFS(estoque[quantidade],estoque[produto],preçodiario[[#Headers],[OVO VERMELHO B]],estoque[fornecedor],"&lt;&gt;saída",estoque[data],preçodiario[[#This Row],[data]])))))</f>
        <v/>
      </c>
      <c r="AK178" s="22">
        <f>IF(preçodiario[[#This Row],[entrada BV]]=0,AK177-(SUMIFS(estoque[quantidade],estoque[fornecedor],"saída",estoque[produto],preçodiario[[#Headers],[OVO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Row],[data]]))+AK177+preçodiario[[#This Row],[entrada BV]])</f>
        <v>0</v>
      </c>
      <c r="AL178" s="22">
        <f>SUMIFS(estoque[quantidade],estoque[fornecedor],"&lt;&gt;saída",estoque[produto],preçodiario[[#Headers],[OVO VERMELHO B]],estoque[data],preçodiario[[#This Row],[data]])</f>
        <v>0</v>
      </c>
      <c r="AM178" s="20">
        <f>SUMIFS(estoque[valor total],estoque[fornecedor],"&lt;&gt;saída",estoque[produto],preçodiario[[#Headers],[OVO VERMELHO B]],estoque[data],preçodiario[[#This Row],[data]])</f>
        <v>0</v>
      </c>
      <c r="AN178" s="20">
        <f>IFERROR(preçodiario[[#This Row],[OVO VERMELHO B]]*preçodiario[[#This Row],[estoque BV]],0)</f>
        <v>0</v>
      </c>
      <c r="AO1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Row],[data]])),((AO177*AP177)+SUMIFS(estoque[valor total],estoque[produto],preçodiario[[#Headers],[OVO VERMELHO C]],estoque[data],preçodiario[[#This Row],[data]],estoque[fornecedor],"&lt;&gt;saída"))/(AP177+(SUMIFS(estoque[quantidade],estoque[produto],preçodiario[[#Headers],[OVO VERMELHO C]],estoque[fornecedor],"&lt;&gt;saída",estoque[data],preçodiario[[#This Row],[data]])))))</f>
        <v/>
      </c>
      <c r="AP178" s="22">
        <f>IF(preçodiario[[#This Row],[entrada CV]]=0,AP177-(SUMIFS(estoque[quantidade],estoque[fornecedor],"saída",estoque[produto],preçodiario[[#Headers],[OVO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Row],[data]]))+AP177+preçodiario[[#This Row],[entrada CV]])</f>
        <v>0</v>
      </c>
      <c r="AQ178" s="22">
        <f>SUMIFS(estoque[quantidade],estoque[fornecedor],"&lt;&gt;saída",estoque[produto],preçodiario[[#Headers],[OVO VERMELHO C]],estoque[data],preçodiario[[#This Row],[data]])</f>
        <v>0</v>
      </c>
      <c r="AR178" s="20">
        <f>SUMIFS(estoque[valor total],estoque[fornecedor],"&lt;&gt;saída",estoque[produto],preçodiario[[#Headers],[OVO VERMELHO C]],estoque[data],preçodiario[[#This Row],[data]])</f>
        <v>0</v>
      </c>
      <c r="AS178" s="20">
        <f>IFERROR(preçodiario[[#This Row],[OVO VERMELHO C]]*preçodiario[[#This Row],[estoque CV]],0)</f>
        <v>0</v>
      </c>
      <c r="AT1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Row],[data]])),((AT177*AU177)+SUMIFS(estoque[valor total],estoque[produto],preçodiario[[#Headers],[OVO VERMELHO EXTRA]],estoque[data],preçodiario[[#This Row],[data]],estoque[fornecedor],"&lt;&gt;saída"))/(AU177+(SUMIFS(estoque[quantidade],estoque[produto],preçodiario[[#Headers],[OVO VERMELHO EXTRA]],estoque[fornecedor],"&lt;&gt;saída",estoque[data],preçodiario[[#This Row],[data]])))))</f>
        <v/>
      </c>
      <c r="AU178" s="22">
        <f>IF(preçodiario[[#This Row],[entrada EV]]=0,AU177-(SUMIFS(estoque[quantidade],estoque[fornecedor],"saída",estoque[produto],preçodiario[[#Headers],[OVO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Row],[data]]))+AU177+preçodiario[[#This Row],[entrada EV]])</f>
        <v>0</v>
      </c>
      <c r="AV178" s="22">
        <f>SUMIFS(estoque[quantidade],estoque[fornecedor],"&lt;&gt;saída",estoque[produto],preçodiario[[#Headers],[OVO VERMELHO EXTRA]],estoque[data],preçodiario[[#This Row],[data]])</f>
        <v>0</v>
      </c>
      <c r="AW178" s="20">
        <f>SUMIFS(estoque[valor total],estoque[fornecedor],"&lt;&gt;saída",estoque[produto],preçodiario[[#Headers],[OVO VERMELHO EXTRA]],estoque[data],preçodiario[[#This Row],[data]])</f>
        <v>0</v>
      </c>
      <c r="AX178" s="20">
        <f>IFERROR(preçodiario[[#This Row],[OVO VERMELHO EXTRA]]*preçodiario[[#This Row],[estoque EV]],0)</f>
        <v>0</v>
      </c>
      <c r="AY1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Row],[data]])),((AY177*AZ177)+SUMIFS(estoque[valor total],estoque[produto],preçodiario[[#Headers],[OVO VERMELHO JUMBO]],estoque[data],preçodiario[[#This Row],[data]],estoque[fornecedor],"&lt;&gt;saída"))/(AZ177+(SUMIFS(estoque[quantidade],estoque[produto],preçodiario[[#Headers],[OVO VERMELHO JUMBO]],estoque[fornecedor],"&lt;&gt;saída",estoque[data],preçodiario[[#This Row],[data]])))))</f>
        <v/>
      </c>
      <c r="AZ178" s="22">
        <f>IF(preçodiario[[#This Row],[entrada JV]]=0,AZ177-(SUMIFS(estoque[quantidade],estoque[fornecedor],"saída",estoque[produto],preçodiario[[#Headers],[OVO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Row],[data]]))+AZ177+preçodiario[[#This Row],[entrada JV]])</f>
        <v>0</v>
      </c>
      <c r="BA178" s="22">
        <f>SUMIFS(estoque[quantidade],estoque[fornecedor],"&lt;&gt;saída",estoque[produto],preçodiario[[#Headers],[OVO VERMELHO JUMBO]],estoque[data],preçodiario[[#This Row],[data]])</f>
        <v>0</v>
      </c>
      <c r="BB178" s="20">
        <f>SUMIFS(estoque[valor total],estoque[fornecedor],"&lt;&gt;saída",estoque[produto],preçodiario[[#Headers],[OVO VERMELHO JUMBO]],estoque[data],preçodiario[[#This Row],[data]])</f>
        <v>0</v>
      </c>
      <c r="BC178" s="20">
        <f>IFERROR(preçodiario[[#This Row],[OVO VERMELHO JUMBO]]*preçodiario[[#This Row],[estoque JV]],0)</f>
        <v>0</v>
      </c>
      <c r="BD178" t="str">
        <f>TEXT(vendaAno[[#This Row],[data]],"mmm")</f>
        <v>jun</v>
      </c>
      <c r="BE178" t="str">
        <f>TEXT(vendaAno[[#This Row],[data]],"ddd")</f>
        <v>sex</v>
      </c>
      <c r="BF178" s="82">
        <f>WEEKNUM(vendaAno[[#This Row],[data]],13)</f>
        <v>26</v>
      </c>
      <c r="BG178" s="27">
        <f>preçodiario[[#This Row],[data]]</f>
        <v>46199</v>
      </c>
      <c r="BH178" s="8">
        <f>IF(SUMIFS(estoque[valor total],estoque[fornecedor],"&lt;&gt;saída",estoque[data],vendaAno[[#This Row],[data]])=0,"",SUMIFS(estoque[valor total],estoque[fornecedor],"&lt;&gt;saída",estoque[data],vendaAno[[#This Row],[data]]))</f>
        <v>5315</v>
      </c>
      <c r="BI178" s="8">
        <f>IF(SUMIFS(estoque[valor total],estoque[fornecedor],"saída",estoque[data],vendaAno[[#This Row],[data]])=0,"",SUMIFS(estoque[valor total],estoque[fornecedor],"saída",estoque[data],vendaAno[[#This Row],[data]]))</f>
        <v>280</v>
      </c>
      <c r="BJ17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Row],[data]]))/12+BJ177,"")</f>
        <v>35.499999999999979</v>
      </c>
      <c r="BK178" s="79">
        <f ca="1">IF(TODAY()&gt;=vendaAno[[#This Row],[data]],IF(SUMIFS(estoque[quantidade],estoque[fornecedor],"saída",estoque[data],vendaAno[[#This Row],[data]])/12=0,AVERAGE(BK175:BK177),SUMIFS(estoque[quantidade],estoque[fornecedor],"saída",estoque[data],vendaAno[[#This Row],[data]])/12),"")</f>
        <v>1.3333333333333333</v>
      </c>
      <c r="BL178" s="8">
        <f ca="1">IF(vendaAno[[#This Row],[data]]&lt;=TODAY(),IF(SUMIFS(estoque[lucro],estoque[fornecedor],"saída",estoque[data],vendaAno[[#This Row],[data]])=0,AVERAGE(BL175:BL177),SUMIFS(estoque[lucro],estoque[fornecedor],"saída",estoque[data],vendaAno[[#This Row],[data]])),"")</f>
        <v>40.96</v>
      </c>
      <c r="BM178" s="10">
        <f ca="1">IFERROR(vendaAno[[#This Row],[lucro]]/vendaAno[[#This Row],[valor de venda]],"")</f>
        <v>0.1462857142857143</v>
      </c>
      <c r="BN17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6537.1895187719092</v>
      </c>
      <c r="BO178" s="8">
        <f ca="1">IF(TODAY()&gt;=vendaAno[[#This Row],[data]],IF(vendaAno[[#This Row],[N°]]=BF177,vendaAno[[#This Row],[lucro]]-173.33+BO177,vendaAno[[#This Row],[lucro]]-150),"")</f>
        <v>-212.64000000000004</v>
      </c>
      <c r="BP178" s="81">
        <f ca="1">IF(TODAY()&gt;=vendaAno[[#This Row],[data]],SUM(BK172:BK178)*12,"")</f>
        <v>260</v>
      </c>
      <c r="BQ178" s="7">
        <f ca="1">IFERROR(vendaAno[[#This Row],[lucro]]/(vendaAno[[#This Row],[venda]]*12),"")</f>
        <v>2.56</v>
      </c>
    </row>
    <row r="179" spans="1:69" x14ac:dyDescent="0.25">
      <c r="A1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79" s="18" t="str">
        <f>TEXT(preçodiario[[#This Row],[data]],"MMM")</f>
        <v>jun</v>
      </c>
      <c r="C179" s="18" t="str">
        <f>TEXT(preçodiario[[#This Row],[data]],"ddd")</f>
        <v>sáb</v>
      </c>
      <c r="D179" s="96">
        <f>WEEKNUM(preçodiario[[#This Row],[data]],13)</f>
        <v>26</v>
      </c>
      <c r="E179" s="37">
        <v>46200</v>
      </c>
      <c r="F1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Row],[data]])),((F178*G178)+SUMIFS(estoque[valor total],estoque[produto],preçodiario[[#Headers],[OVO BRANCO A]],estoque[data],preçodiario[[#This Row],[data]],estoque[fornecedor],"&lt;&gt;saída"))/(G178+(SUMIFS(estoque[quantidade],estoque[produto],preçodiario[[#Headers],[OVO BRANCO A]],estoque[fornecedor],"&lt;&gt;saída",estoque[data],preçodiario[[#This Row],[data]])))))</f>
        <v>15.416666666666666</v>
      </c>
      <c r="G179" s="22">
        <f>IF(preçodiario[[#This Row],[entrada A]]=0,G178-(SUMIFS(estoque[quantidade],estoque[fornecedor],"saída",estoque[produto],preçodiario[[#Headers],[OVO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Row],[data]]))+G178+preçodiario[[#This Row],[entrada A]])</f>
        <v>141</v>
      </c>
      <c r="H179" s="22">
        <f>SUMIFS(estoque[quantidade],estoque[fornecedor],"&lt;&gt;saída",estoque[produto],preçodiario[[#Headers],[OVO BRANCO A]],estoque[data],preçodiario[[#This Row],[data]])</f>
        <v>0</v>
      </c>
      <c r="I179" s="20">
        <f>SUMIFS(estoque[valor total],estoque[fornecedor],"&lt;&gt;saída",estoque[produto],preçodiario[[#Headers],[OVO BRANCO A]],estoque[data],preçodiario[[#This Row],[data]])</f>
        <v>0</v>
      </c>
      <c r="J179" s="20">
        <f>IFERROR(preçodiario[[#This Row],[estoque A]]*preçodiario[[#This Row],[OVO BRANCO A]],0)</f>
        <v>2173.75</v>
      </c>
      <c r="K1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Row],[data]])),((K178*L178)+SUMIFS(estoque[valor total],estoque[produto],preçodiario[[#Headers],[OVO BRANCO B]],estoque[data],preçodiario[[#This Row],[data]],estoque[fornecedor],"&lt;&gt;saída"))/(L178+(SUMIFS(estoque[quantidade],estoque[produto],preçodiario[[#Headers],[OVO BRANCO B]],estoque[fornecedor],"&lt;&gt;saída",estoque[data],preçodiario[[#This Row],[data]])))))</f>
        <v>14.585313803472694</v>
      </c>
      <c r="L179" s="22">
        <f>IF(preçodiario[[#This Row],[entrada B]]=0,L178-(SUMIFS(estoque[quantidade],estoque[fornecedor],"saída",estoque[produto],preçodiario[[#Headers],[OVO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Row],[data]]))+L178+preçodiario[[#This Row],[entrada B]])</f>
        <v>112</v>
      </c>
      <c r="M179" s="22">
        <f>SUMIFS(estoque[quantidade],estoque[fornecedor],"&lt;&gt;saída",estoque[produto],preçodiario[[#Headers],[OVO BRANCO B]],estoque[data],preçodiario[[#This Row],[data]])</f>
        <v>0</v>
      </c>
      <c r="N179" s="20">
        <f>SUMIFS(estoque[valor total],estoque[fornecedor],"&lt;&gt;saída",estoque[produto],preçodiario[[#Headers],[OVO BRANCO B]],estoque[data],preçodiario[[#This Row],[data]])</f>
        <v>0</v>
      </c>
      <c r="O179" s="20">
        <f>IFERROR(preçodiario[[#This Row],[OVO BRANCO B]]*preçodiario[[#This Row],[estoque B]],0)</f>
        <v>1633.5551459889416</v>
      </c>
      <c r="P1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Row],[data]])),((P178*Q178)+SUMIFS(estoque[valor total],estoque[produto],preçodiario[[#Headers],[OVO BRANCO C]],estoque[data],preçodiario[[#This Row],[data]],estoque[fornecedor],"&lt;&gt;saída"))/(Q178+(SUMIFS(estoque[quantidade],estoque[produto],preçodiario[[#Headers],[OVO BRANCO C]],estoque[fornecedor],"&lt;&gt;saída",estoque[data],preçodiario[[#This Row],[data]])))))</f>
        <v>13.833333333333339</v>
      </c>
      <c r="Q179" s="22">
        <f>IF(preçodiario[[#This Row],[entrada C]]=0,Q178-(SUMIFS(estoque[quantidade],estoque[fornecedor],"saída",estoque[produto],preçodiario[[#Headers],[OVO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Row],[data]]))+Q178+preçodiario[[#This Row],[entrada C]])</f>
        <v>9</v>
      </c>
      <c r="R179" s="22">
        <f>SUMIFS(estoque[quantidade],estoque[fornecedor],"&lt;&gt;saída",estoque[produto],preçodiario[[#Headers],[OVO BRANCO C]],estoque[data],preçodiario[[#This Row],[data]])</f>
        <v>0</v>
      </c>
      <c r="S179" s="20">
        <f>SUMIFS(estoque[valor total],estoque[fornecedor],"&lt;&gt;saída",estoque[produto],preçodiario[[#Headers],[OVO BRANCO C]],estoque[data],preçodiario[[#This Row],[data]])</f>
        <v>0</v>
      </c>
      <c r="T179" s="20">
        <f>IFERROR(preçodiario[[#This Row],[OVO BRANCO C]]*preçodiario[[#This Row],[estoque C]],0)</f>
        <v>124.50000000000006</v>
      </c>
      <c r="U1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Row],[data]])),((U178*V178)+SUMIFS(estoque[valor total],estoque[produto],preçodiario[[#Headers],[OVO BRANCO EXTRA]],estoque[data],preçodiario[[#This Row],[data]],estoque[fornecedor],"&lt;&gt;saída"))/(V178+(SUMIFS(estoque[quantidade],estoque[produto],preçodiario[[#Headers],[OVO BRANCO EXTRA]],estoque[fornecedor],"&lt;&gt;saída",estoque[data],preçodiario[[#This Row],[data]])))))</f>
        <v>15.833333333333334</v>
      </c>
      <c r="V179" s="22">
        <f>IF(preçodiario[[#This Row],[entrada E]]=0,V178-(SUMIFS(estoque[quantidade],estoque[fornecedor],"saída",estoque[produto],preçodiario[[#Headers],[OVO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Row],[data]]))+V178+preçodiario[[#This Row],[entrada E]])</f>
        <v>114</v>
      </c>
      <c r="W179" s="22">
        <f>SUMIFS(estoque[quantidade],estoque[fornecedor],"&lt;&gt;saída",estoque[produto],preçodiario[[#Headers],[OVO BRANCO EXTRA]],estoque[data],preçodiario[[#This Row],[data]])</f>
        <v>0</v>
      </c>
      <c r="X179" s="20">
        <f>SUMIFS(estoque[valor total],estoque[fornecedor],"&lt;&gt;saída",estoque[produto],preçodiario[[#Headers],[OVO BRANCO EXTRA]],estoque[data],preçodiario[[#This Row],[data]])</f>
        <v>0</v>
      </c>
      <c r="Y179" s="20">
        <f>IFERROR(preçodiario[[#This Row],[estoque E]]*preçodiario[[#This Row],[OVO BRANCO EXTRA]],0)</f>
        <v>1805</v>
      </c>
      <c r="Z17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Row],[data]])),((Z178*AA178)+SUMIFS(estoque[valor total],estoque[produto],preçodiario[[#Headers],[OVO BRANCO JUMBO]],estoque[data],preçodiario[[#This Row],[data]],estoque[fornecedor],"&lt;&gt;saída"))/(AA178+(SUMIFS(estoque[quantidade],estoque[produto],preçodiario[[#Headers],[OVO BRANCO JUMBO]],estoque[fornecedor],"&lt;&gt;saída",estoque[data],preçodiario[[#This Row],[data]])))))</f>
        <v>16.271568627450982</v>
      </c>
      <c r="AA179" s="22">
        <f>IF(preçodiario[[#This Row],[entrada J]]=0,AA178-(SUMIFS(estoque[quantidade],estoque[fornecedor],"saída",estoque[produto],preçodiario[[#Headers],[OVO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Row],[data]]))+AA178+preçodiario[[#This Row],[entrada J]])</f>
        <v>28</v>
      </c>
      <c r="AB179" s="22">
        <f>SUMIFS(estoque[quantidade],estoque[fornecedor],"&lt;&gt;saída",estoque[produto],preçodiario[[#Headers],[OVO BRANCO JUMBO]],estoque[data],preçodiario[[#This Row],[data]])</f>
        <v>0</v>
      </c>
      <c r="AC179" s="20">
        <f>SUMIFS(estoque[valor total],estoque[fornecedor],"&lt;&gt;saída",estoque[produto],preçodiario[[#Headers],[OVO BRANCO JUMBO]],estoque[data],preçodiario[[#This Row],[data]])</f>
        <v>0</v>
      </c>
      <c r="AD179" s="20">
        <f>IFERROR(preçodiario[[#This Row],[OVO BRANCO JUMBO]]*preçodiario[[#This Row],[estoque J]],0)</f>
        <v>455.60392156862747</v>
      </c>
      <c r="AE1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Row],[data]])),((AE178*AF178)+SUMIFS(estoque[valor total],estoque[produto],preçodiario[[#Headers],[OVO VERMELHO A]],estoque[data],preçodiario[[#This Row],[data]],estoque[fornecedor],"&lt;&gt;saída"))/(AF178+(SUMIFS(estoque[quantidade],estoque[produto],preçodiario[[#Headers],[OVO VERMELHO A]],estoque[fornecedor],"&lt;&gt;saída",estoque[data],preçodiario[[#This Row],[data]])))))</f>
        <v/>
      </c>
      <c r="AF179" s="22">
        <f>IF(preçodiario[[#This Row],[entrada AV]]=0,AF178-(SUMIFS(estoque[quantidade],estoque[fornecedor],"saída",estoque[produto],preçodiario[[#Headers],[OVO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Row],[data]]))+AF178+preçodiario[[#This Row],[entrada AV]])</f>
        <v>0</v>
      </c>
      <c r="AG179" s="22">
        <f>SUMIFS(estoque[quantidade],estoque[fornecedor],"&lt;&gt;saída",estoque[produto],preçodiario[[#Headers],[OVO VERMELHO A]],estoque[data],preçodiario[[#This Row],[data]])</f>
        <v>0</v>
      </c>
      <c r="AH179" s="20">
        <f>SUMIFS(estoque[valor total],estoque[fornecedor],"&lt;&gt;saída",estoque[produto],preçodiario[[#Headers],[OVO VERMELHO A]],estoque[data],preçodiario[[#This Row],[data]])</f>
        <v>0</v>
      </c>
      <c r="AI179" s="20">
        <f>IFERROR(preçodiario[[#This Row],[OVO VERMELHO A]]*preçodiario[[#This Row],[estoque AV]],0)</f>
        <v>0</v>
      </c>
      <c r="AJ1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Row],[data]])),((AJ178*AK178)+SUMIFS(estoque[valor total],estoque[produto],preçodiario[[#Headers],[OVO VERMELHO B]],estoque[data],preçodiario[[#This Row],[data]],estoque[fornecedor],"&lt;&gt;saída"))/(AK178+(SUMIFS(estoque[quantidade],estoque[produto],preçodiario[[#Headers],[OVO VERMELHO B]],estoque[fornecedor],"&lt;&gt;saída",estoque[data],preçodiario[[#This Row],[data]])))))</f>
        <v/>
      </c>
      <c r="AK179" s="22">
        <f>IF(preçodiario[[#This Row],[entrada BV]]=0,AK178-(SUMIFS(estoque[quantidade],estoque[fornecedor],"saída",estoque[produto],preçodiario[[#Headers],[OVO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Row],[data]]))+AK178+preçodiario[[#This Row],[entrada BV]])</f>
        <v>0</v>
      </c>
      <c r="AL179" s="22">
        <f>SUMIFS(estoque[quantidade],estoque[fornecedor],"&lt;&gt;saída",estoque[produto],preçodiario[[#Headers],[OVO VERMELHO B]],estoque[data],preçodiario[[#This Row],[data]])</f>
        <v>0</v>
      </c>
      <c r="AM179" s="20">
        <f>SUMIFS(estoque[valor total],estoque[fornecedor],"&lt;&gt;saída",estoque[produto],preçodiario[[#Headers],[OVO VERMELHO B]],estoque[data],preçodiario[[#This Row],[data]])</f>
        <v>0</v>
      </c>
      <c r="AN179" s="20">
        <f>IFERROR(preçodiario[[#This Row],[OVO VERMELHO B]]*preçodiario[[#This Row],[estoque BV]],0)</f>
        <v>0</v>
      </c>
      <c r="AO1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Row],[data]])),((AO178*AP178)+SUMIFS(estoque[valor total],estoque[produto],preçodiario[[#Headers],[OVO VERMELHO C]],estoque[data],preçodiario[[#This Row],[data]],estoque[fornecedor],"&lt;&gt;saída"))/(AP178+(SUMIFS(estoque[quantidade],estoque[produto],preçodiario[[#Headers],[OVO VERMELHO C]],estoque[fornecedor],"&lt;&gt;saída",estoque[data],preçodiario[[#This Row],[data]])))))</f>
        <v/>
      </c>
      <c r="AP179" s="22">
        <f>IF(preçodiario[[#This Row],[entrada CV]]=0,AP178-(SUMIFS(estoque[quantidade],estoque[fornecedor],"saída",estoque[produto],preçodiario[[#Headers],[OVO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Row],[data]]))+AP178+preçodiario[[#This Row],[entrada CV]])</f>
        <v>0</v>
      </c>
      <c r="AQ179" s="22">
        <f>SUMIFS(estoque[quantidade],estoque[fornecedor],"&lt;&gt;saída",estoque[produto],preçodiario[[#Headers],[OVO VERMELHO C]],estoque[data],preçodiario[[#This Row],[data]])</f>
        <v>0</v>
      </c>
      <c r="AR179" s="20">
        <f>SUMIFS(estoque[valor total],estoque[fornecedor],"&lt;&gt;saída",estoque[produto],preçodiario[[#Headers],[OVO VERMELHO C]],estoque[data],preçodiario[[#This Row],[data]])</f>
        <v>0</v>
      </c>
      <c r="AS179" s="20">
        <f>IFERROR(preçodiario[[#This Row],[OVO VERMELHO C]]*preçodiario[[#This Row],[estoque CV]],0)</f>
        <v>0</v>
      </c>
      <c r="AT1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Row],[data]])),((AT178*AU178)+SUMIFS(estoque[valor total],estoque[produto],preçodiario[[#Headers],[OVO VERMELHO EXTRA]],estoque[data],preçodiario[[#This Row],[data]],estoque[fornecedor],"&lt;&gt;saída"))/(AU178+(SUMIFS(estoque[quantidade],estoque[produto],preçodiario[[#Headers],[OVO VERMELHO EXTRA]],estoque[fornecedor],"&lt;&gt;saída",estoque[data],preçodiario[[#This Row],[data]])))))</f>
        <v/>
      </c>
      <c r="AU179" s="22">
        <f>IF(preçodiario[[#This Row],[entrada EV]]=0,AU178-(SUMIFS(estoque[quantidade],estoque[fornecedor],"saída",estoque[produto],preçodiario[[#Headers],[OVO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Row],[data]]))+AU178+preçodiario[[#This Row],[entrada EV]])</f>
        <v>0</v>
      </c>
      <c r="AV179" s="22">
        <f>SUMIFS(estoque[quantidade],estoque[fornecedor],"&lt;&gt;saída",estoque[produto],preçodiario[[#Headers],[OVO VERMELHO EXTRA]],estoque[data],preçodiario[[#This Row],[data]])</f>
        <v>0</v>
      </c>
      <c r="AW179" s="20">
        <f>SUMIFS(estoque[valor total],estoque[fornecedor],"&lt;&gt;saída",estoque[produto],preçodiario[[#Headers],[OVO VERMELHO EXTRA]],estoque[data],preçodiario[[#This Row],[data]])</f>
        <v>0</v>
      </c>
      <c r="AX179" s="20">
        <f>IFERROR(preçodiario[[#This Row],[OVO VERMELHO EXTRA]]*preçodiario[[#This Row],[estoque EV]],0)</f>
        <v>0</v>
      </c>
      <c r="AY1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Row],[data]])),((AY178*AZ178)+SUMIFS(estoque[valor total],estoque[produto],preçodiario[[#Headers],[OVO VERMELHO JUMBO]],estoque[data],preçodiario[[#This Row],[data]],estoque[fornecedor],"&lt;&gt;saída"))/(AZ178+(SUMIFS(estoque[quantidade],estoque[produto],preçodiario[[#Headers],[OVO VERMELHO JUMBO]],estoque[fornecedor],"&lt;&gt;saída",estoque[data],preçodiario[[#This Row],[data]])))))</f>
        <v/>
      </c>
      <c r="AZ179" s="22">
        <f>IF(preçodiario[[#This Row],[entrada JV]]=0,AZ178-(SUMIFS(estoque[quantidade],estoque[fornecedor],"saída",estoque[produto],preçodiario[[#Headers],[OVO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Row],[data]]))+AZ178+preçodiario[[#This Row],[entrada JV]])</f>
        <v>0</v>
      </c>
      <c r="BA179" s="22">
        <f>SUMIFS(estoque[quantidade],estoque[fornecedor],"&lt;&gt;saída",estoque[produto],preçodiario[[#Headers],[OVO VERMELHO JUMBO]],estoque[data],preçodiario[[#This Row],[data]])</f>
        <v>0</v>
      </c>
      <c r="BB179" s="20">
        <f>SUMIFS(estoque[valor total],estoque[fornecedor],"&lt;&gt;saída",estoque[produto],preçodiario[[#Headers],[OVO VERMELHO JUMBO]],estoque[data],preçodiario[[#This Row],[data]])</f>
        <v>0</v>
      </c>
      <c r="BC179" s="20">
        <f>IFERROR(preçodiario[[#This Row],[OVO VERMELHO JUMBO]]*preçodiario[[#This Row],[estoque JV]],0)</f>
        <v>0</v>
      </c>
      <c r="BD179" t="str">
        <f>TEXT(vendaAno[[#This Row],[data]],"mmm")</f>
        <v>jun</v>
      </c>
      <c r="BE179" t="str">
        <f>TEXT(vendaAno[[#This Row],[data]],"ddd")</f>
        <v>sáb</v>
      </c>
      <c r="BF179" s="82">
        <f>WEEKNUM(vendaAno[[#This Row],[data]],13)</f>
        <v>26</v>
      </c>
      <c r="BG179" s="27">
        <f>preçodiario[[#This Row],[data]]</f>
        <v>46200</v>
      </c>
      <c r="BH1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79" s="8">
        <f>IF(SUMIFS(estoque[valor total],estoque[fornecedor],"saída",estoque[data],vendaAno[[#This Row],[data]])=0,"",SUMIFS(estoque[valor total],estoque[fornecedor],"saída",estoque[data],vendaAno[[#This Row],[data]]))</f>
        <v>444</v>
      </c>
      <c r="BJ17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Row],[data]]))/12+BJ178,"")</f>
        <v>33.666666666666643</v>
      </c>
      <c r="BK179" s="79">
        <f ca="1">IF(TODAY()&gt;=vendaAno[[#This Row],[data]],IF(SUMIFS(estoque[quantidade],estoque[fornecedor],"saída",estoque[data],vendaAno[[#This Row],[data]])/12=0,AVERAGE(BK176:BK178),SUMIFS(estoque[quantidade],estoque[fornecedor],"saída",estoque[data],vendaAno[[#This Row],[data]])/12),"")</f>
        <v>1.8333333333333333</v>
      </c>
      <c r="BL179" s="8">
        <f ca="1">IF(vendaAno[[#This Row],[data]]&lt;=TODAY(),IF(SUMIFS(estoque[lucro],estoque[fornecedor],"saída",estoque[data],vendaAno[[#This Row],[data]])=0,AVERAGE(BL176:BL178),SUMIFS(estoque[lucro],estoque[fornecedor],"saída",estoque[data],vendaAno[[#This Row],[data]])),"")</f>
        <v>99.22</v>
      </c>
      <c r="BM179" s="10">
        <f ca="1">IFERROR(vendaAno[[#This Row],[lucro]]/vendaAno[[#This Row],[valor de venda]],"")</f>
        <v>0.22346846846846846</v>
      </c>
      <c r="BN17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6192.409067557569</v>
      </c>
      <c r="BO179" s="8">
        <f ca="1">IF(TODAY()&gt;=vendaAno[[#This Row],[data]],IF(vendaAno[[#This Row],[N°]]=BF178,vendaAno[[#This Row],[lucro]]-173.33+BO178,vendaAno[[#This Row],[lucro]]-150),"")</f>
        <v>-286.75000000000006</v>
      </c>
      <c r="BP179" s="81">
        <f ca="1">IF(TODAY()&gt;=vendaAno[[#This Row],[data]],SUM(BK173:BK179)*12,"")</f>
        <v>259</v>
      </c>
      <c r="BQ179" s="7">
        <f ca="1">IFERROR(vendaAno[[#This Row],[lucro]]/(vendaAno[[#This Row],[venda]]*12),"")</f>
        <v>4.51</v>
      </c>
    </row>
    <row r="180" spans="1:69" x14ac:dyDescent="0.25">
      <c r="A1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80" s="18" t="str">
        <f>TEXT(preçodiario[[#This Row],[data]],"MMM")</f>
        <v>jun</v>
      </c>
      <c r="C180" s="18" t="str">
        <f>TEXT(preçodiario[[#This Row],[data]],"ddd")</f>
        <v>dom</v>
      </c>
      <c r="D180" s="96">
        <f>WEEKNUM(preçodiario[[#This Row],[data]],13)</f>
        <v>26</v>
      </c>
      <c r="E180" s="37">
        <v>46201</v>
      </c>
      <c r="F1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Row],[data]])),((F179*G179)+SUMIFS(estoque[valor total],estoque[produto],preçodiario[[#Headers],[OVO BRANCO A]],estoque[data],preçodiario[[#This Row],[data]],estoque[fornecedor],"&lt;&gt;saída"))/(G179+(SUMIFS(estoque[quantidade],estoque[produto],preçodiario[[#Headers],[OVO BRANCO A]],estoque[fornecedor],"&lt;&gt;saída",estoque[data],preçodiario[[#This Row],[data]])))))</f>
        <v>15.416666666666666</v>
      </c>
      <c r="G180" s="22">
        <f>IF(preçodiario[[#This Row],[entrada A]]=0,G179-(SUMIFS(estoque[quantidade],estoque[fornecedor],"saída",estoque[produto],preçodiario[[#Headers],[OVO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Row],[data]]))+G179+preçodiario[[#This Row],[entrada A]])</f>
        <v>134</v>
      </c>
      <c r="H180" s="22">
        <f>SUMIFS(estoque[quantidade],estoque[fornecedor],"&lt;&gt;saída",estoque[produto],preçodiario[[#Headers],[OVO BRANCO A]],estoque[data],preçodiario[[#This Row],[data]])</f>
        <v>0</v>
      </c>
      <c r="I180" s="20">
        <f>SUMIFS(estoque[valor total],estoque[fornecedor],"&lt;&gt;saída",estoque[produto],preçodiario[[#Headers],[OVO BRANCO A]],estoque[data],preçodiario[[#This Row],[data]])</f>
        <v>0</v>
      </c>
      <c r="J180" s="20">
        <f>IFERROR(preçodiario[[#This Row],[estoque A]]*preçodiario[[#This Row],[OVO BRANCO A]],0)</f>
        <v>2065.833333333333</v>
      </c>
      <c r="K1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Row],[data]])),((K179*L179)+SUMIFS(estoque[valor total],estoque[produto],preçodiario[[#Headers],[OVO BRANCO B]],estoque[data],preçodiario[[#This Row],[data]],estoque[fornecedor],"&lt;&gt;saída"))/(L179+(SUMIFS(estoque[quantidade],estoque[produto],preçodiario[[#Headers],[OVO BRANCO B]],estoque[fornecedor],"&lt;&gt;saída",estoque[data],preçodiario[[#This Row],[data]])))))</f>
        <v>14.585313803472692</v>
      </c>
      <c r="L180" s="22">
        <f>IF(preçodiario[[#This Row],[entrada B]]=0,L179-(SUMIFS(estoque[quantidade],estoque[fornecedor],"saída",estoque[produto],preçodiario[[#Headers],[OVO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Row],[data]]))+L179+preçodiario[[#This Row],[entrada B]])</f>
        <v>109</v>
      </c>
      <c r="M180" s="22">
        <f>SUMIFS(estoque[quantidade],estoque[fornecedor],"&lt;&gt;saída",estoque[produto],preçodiario[[#Headers],[OVO BRANCO B]],estoque[data],preçodiario[[#This Row],[data]])</f>
        <v>0</v>
      </c>
      <c r="N180" s="20">
        <f>SUMIFS(estoque[valor total],estoque[fornecedor],"&lt;&gt;saída",estoque[produto],preçodiario[[#Headers],[OVO BRANCO B]],estoque[data],preçodiario[[#This Row],[data]])</f>
        <v>0</v>
      </c>
      <c r="O180" s="20">
        <f>IFERROR(preçodiario[[#This Row],[OVO BRANCO B]]*preçodiario[[#This Row],[estoque B]],0)</f>
        <v>1589.7992045785234</v>
      </c>
      <c r="P1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Row],[data]])),((P179*Q179)+SUMIFS(estoque[valor total],estoque[produto],preçodiario[[#Headers],[OVO BRANCO C]],estoque[data],preçodiario[[#This Row],[data]],estoque[fornecedor],"&lt;&gt;saída"))/(Q179+(SUMIFS(estoque[quantidade],estoque[produto],preçodiario[[#Headers],[OVO BRANCO C]],estoque[fornecedor],"&lt;&gt;saída",estoque[data],preçodiario[[#This Row],[data]])))))</f>
        <v>13.833333333333339</v>
      </c>
      <c r="Q180" s="22">
        <f>IF(preçodiario[[#This Row],[entrada C]]=0,Q179-(SUMIFS(estoque[quantidade],estoque[fornecedor],"saída",estoque[produto],preçodiario[[#Headers],[OVO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Row],[data]]))+Q179+preçodiario[[#This Row],[entrada C]])</f>
        <v>9</v>
      </c>
      <c r="R180" s="22">
        <f>SUMIFS(estoque[quantidade],estoque[fornecedor],"&lt;&gt;saída",estoque[produto],preçodiario[[#Headers],[OVO BRANCO C]],estoque[data],preçodiario[[#This Row],[data]])</f>
        <v>0</v>
      </c>
      <c r="S180" s="20">
        <f>SUMIFS(estoque[valor total],estoque[fornecedor],"&lt;&gt;saída",estoque[produto],preçodiario[[#Headers],[OVO BRANCO C]],estoque[data],preçodiario[[#This Row],[data]])</f>
        <v>0</v>
      </c>
      <c r="T180" s="20">
        <f>IFERROR(preçodiario[[#This Row],[OVO BRANCO C]]*preçodiario[[#This Row],[estoque C]],0)</f>
        <v>124.50000000000006</v>
      </c>
      <c r="U1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Row],[data]])),((U179*V179)+SUMIFS(estoque[valor total],estoque[produto],preçodiario[[#Headers],[OVO BRANCO EXTRA]],estoque[data],preçodiario[[#This Row],[data]],estoque[fornecedor],"&lt;&gt;saída"))/(V179+(SUMIFS(estoque[quantidade],estoque[produto],preçodiario[[#Headers],[OVO BRANCO EXTRA]],estoque[fornecedor],"&lt;&gt;saída",estoque[data],preçodiario[[#This Row],[data]])))))</f>
        <v>15.833333333333334</v>
      </c>
      <c r="V180" s="22">
        <f>IF(preçodiario[[#This Row],[entrada E]]=0,V179-(SUMIFS(estoque[quantidade],estoque[fornecedor],"saída",estoque[produto],preçodiario[[#Headers],[OVO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Row],[data]]))+V179+preçodiario[[#This Row],[entrada E]])</f>
        <v>105</v>
      </c>
      <c r="W180" s="22">
        <f>SUMIFS(estoque[quantidade],estoque[fornecedor],"&lt;&gt;saída",estoque[produto],preçodiario[[#Headers],[OVO BRANCO EXTRA]],estoque[data],preçodiario[[#This Row],[data]])</f>
        <v>0</v>
      </c>
      <c r="X180" s="20">
        <f>SUMIFS(estoque[valor total],estoque[fornecedor],"&lt;&gt;saída",estoque[produto],preçodiario[[#Headers],[OVO BRANCO EXTRA]],estoque[data],preçodiario[[#This Row],[data]])</f>
        <v>0</v>
      </c>
      <c r="Y180" s="20">
        <f>IFERROR(preçodiario[[#This Row],[estoque E]]*preçodiario[[#This Row],[OVO BRANCO EXTRA]],0)</f>
        <v>1662.5</v>
      </c>
      <c r="Z18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Row],[data]])),((Z179*AA179)+SUMIFS(estoque[valor total],estoque[produto],preçodiario[[#Headers],[OVO BRANCO JUMBO]],estoque[data],preçodiario[[#This Row],[data]],estoque[fornecedor],"&lt;&gt;saída"))/(AA179+(SUMIFS(estoque[quantidade],estoque[produto],preçodiario[[#Headers],[OVO BRANCO JUMBO]],estoque[fornecedor],"&lt;&gt;saída",estoque[data],preçodiario[[#This Row],[data]])))))</f>
        <v>16.271568627450982</v>
      </c>
      <c r="AA180" s="22">
        <f>IF(preçodiario[[#This Row],[entrada J]]=0,AA179-(SUMIFS(estoque[quantidade],estoque[fornecedor],"saída",estoque[produto],preçodiario[[#Headers],[OVO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Row],[data]]))+AA179+preçodiario[[#This Row],[entrada J]])</f>
        <v>22</v>
      </c>
      <c r="AB180" s="22">
        <f>SUMIFS(estoque[quantidade],estoque[fornecedor],"&lt;&gt;saída",estoque[produto],preçodiario[[#Headers],[OVO BRANCO JUMBO]],estoque[data],preçodiario[[#This Row],[data]])</f>
        <v>0</v>
      </c>
      <c r="AC180" s="20">
        <f>SUMIFS(estoque[valor total],estoque[fornecedor],"&lt;&gt;saída",estoque[produto],preçodiario[[#Headers],[OVO BRANCO JUMBO]],estoque[data],preçodiario[[#This Row],[data]])</f>
        <v>0</v>
      </c>
      <c r="AD180" s="20">
        <f>IFERROR(preçodiario[[#This Row],[OVO BRANCO JUMBO]]*preçodiario[[#This Row],[estoque J]],0)</f>
        <v>357.97450980392159</v>
      </c>
      <c r="AE1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Row],[data]])),((AE179*AF179)+SUMIFS(estoque[valor total],estoque[produto],preçodiario[[#Headers],[OVO VERMELHO A]],estoque[data],preçodiario[[#This Row],[data]],estoque[fornecedor],"&lt;&gt;saída"))/(AF179+(SUMIFS(estoque[quantidade],estoque[produto],preçodiario[[#Headers],[OVO VERMELHO A]],estoque[fornecedor],"&lt;&gt;saída",estoque[data],preçodiario[[#This Row],[data]])))))</f>
        <v/>
      </c>
      <c r="AF180" s="22">
        <f>IF(preçodiario[[#This Row],[entrada AV]]=0,AF179-(SUMIFS(estoque[quantidade],estoque[fornecedor],"saída",estoque[produto],preçodiario[[#Headers],[OVO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Row],[data]]))+AF179+preçodiario[[#This Row],[entrada AV]])</f>
        <v>0</v>
      </c>
      <c r="AG180" s="22">
        <f>SUMIFS(estoque[quantidade],estoque[fornecedor],"&lt;&gt;saída",estoque[produto],preçodiario[[#Headers],[OVO VERMELHO A]],estoque[data],preçodiario[[#This Row],[data]])</f>
        <v>0</v>
      </c>
      <c r="AH180" s="20">
        <f>SUMIFS(estoque[valor total],estoque[fornecedor],"&lt;&gt;saída",estoque[produto],preçodiario[[#Headers],[OVO VERMELHO A]],estoque[data],preçodiario[[#This Row],[data]])</f>
        <v>0</v>
      </c>
      <c r="AI180" s="20">
        <f>IFERROR(preçodiario[[#This Row],[OVO VERMELHO A]]*preçodiario[[#This Row],[estoque AV]],0)</f>
        <v>0</v>
      </c>
      <c r="AJ1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Row],[data]])),((AJ179*AK179)+SUMIFS(estoque[valor total],estoque[produto],preçodiario[[#Headers],[OVO VERMELHO B]],estoque[data],preçodiario[[#This Row],[data]],estoque[fornecedor],"&lt;&gt;saída"))/(AK179+(SUMIFS(estoque[quantidade],estoque[produto],preçodiario[[#Headers],[OVO VERMELHO B]],estoque[fornecedor],"&lt;&gt;saída",estoque[data],preçodiario[[#This Row],[data]])))))</f>
        <v/>
      </c>
      <c r="AK180" s="22">
        <f>IF(preçodiario[[#This Row],[entrada BV]]=0,AK179-(SUMIFS(estoque[quantidade],estoque[fornecedor],"saída",estoque[produto],preçodiario[[#Headers],[OVO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Row],[data]]))+AK179+preçodiario[[#This Row],[entrada BV]])</f>
        <v>0</v>
      </c>
      <c r="AL180" s="22">
        <f>SUMIFS(estoque[quantidade],estoque[fornecedor],"&lt;&gt;saída",estoque[produto],preçodiario[[#Headers],[OVO VERMELHO B]],estoque[data],preçodiario[[#This Row],[data]])</f>
        <v>0</v>
      </c>
      <c r="AM180" s="20">
        <f>SUMIFS(estoque[valor total],estoque[fornecedor],"&lt;&gt;saída",estoque[produto],preçodiario[[#Headers],[OVO VERMELHO B]],estoque[data],preçodiario[[#This Row],[data]])</f>
        <v>0</v>
      </c>
      <c r="AN180" s="20">
        <f>IFERROR(preçodiario[[#This Row],[OVO VERMELHO B]]*preçodiario[[#This Row],[estoque BV]],0)</f>
        <v>0</v>
      </c>
      <c r="AO1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Row],[data]])),((AO179*AP179)+SUMIFS(estoque[valor total],estoque[produto],preçodiario[[#Headers],[OVO VERMELHO C]],estoque[data],preçodiario[[#This Row],[data]],estoque[fornecedor],"&lt;&gt;saída"))/(AP179+(SUMIFS(estoque[quantidade],estoque[produto],preçodiario[[#Headers],[OVO VERMELHO C]],estoque[fornecedor],"&lt;&gt;saída",estoque[data],preçodiario[[#This Row],[data]])))))</f>
        <v/>
      </c>
      <c r="AP180" s="22">
        <f>IF(preçodiario[[#This Row],[entrada CV]]=0,AP179-(SUMIFS(estoque[quantidade],estoque[fornecedor],"saída",estoque[produto],preçodiario[[#Headers],[OVO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Row],[data]]))+AP179+preçodiario[[#This Row],[entrada CV]])</f>
        <v>0</v>
      </c>
      <c r="AQ180" s="22">
        <f>SUMIFS(estoque[quantidade],estoque[fornecedor],"&lt;&gt;saída",estoque[produto],preçodiario[[#Headers],[OVO VERMELHO C]],estoque[data],preçodiario[[#This Row],[data]])</f>
        <v>0</v>
      </c>
      <c r="AR180" s="20">
        <f>SUMIFS(estoque[valor total],estoque[fornecedor],"&lt;&gt;saída",estoque[produto],preçodiario[[#Headers],[OVO VERMELHO C]],estoque[data],preçodiario[[#This Row],[data]])</f>
        <v>0</v>
      </c>
      <c r="AS180" s="20">
        <f>IFERROR(preçodiario[[#This Row],[OVO VERMELHO C]]*preçodiario[[#This Row],[estoque CV]],0)</f>
        <v>0</v>
      </c>
      <c r="AT1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Row],[data]])),((AT179*AU179)+SUMIFS(estoque[valor total],estoque[produto],preçodiario[[#Headers],[OVO VERMELHO EXTRA]],estoque[data],preçodiario[[#This Row],[data]],estoque[fornecedor],"&lt;&gt;saída"))/(AU179+(SUMIFS(estoque[quantidade],estoque[produto],preçodiario[[#Headers],[OVO VERMELHO EXTRA]],estoque[fornecedor],"&lt;&gt;saída",estoque[data],preçodiario[[#This Row],[data]])))))</f>
        <v/>
      </c>
      <c r="AU180" s="22">
        <f>IF(preçodiario[[#This Row],[entrada EV]]=0,AU179-(SUMIFS(estoque[quantidade],estoque[fornecedor],"saída",estoque[produto],preçodiario[[#Headers],[OVO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Row],[data]]))+AU179+preçodiario[[#This Row],[entrada EV]])</f>
        <v>0</v>
      </c>
      <c r="AV180" s="22">
        <f>SUMIFS(estoque[quantidade],estoque[fornecedor],"&lt;&gt;saída",estoque[produto],preçodiario[[#Headers],[OVO VERMELHO EXTRA]],estoque[data],preçodiario[[#This Row],[data]])</f>
        <v>0</v>
      </c>
      <c r="AW180" s="20">
        <f>SUMIFS(estoque[valor total],estoque[fornecedor],"&lt;&gt;saída",estoque[produto],preçodiario[[#Headers],[OVO VERMELHO EXTRA]],estoque[data],preçodiario[[#This Row],[data]])</f>
        <v>0</v>
      </c>
      <c r="AX180" s="20">
        <f>IFERROR(preçodiario[[#This Row],[OVO VERMELHO EXTRA]]*preçodiario[[#This Row],[estoque EV]],0)</f>
        <v>0</v>
      </c>
      <c r="AY1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Row],[data]])),((AY179*AZ179)+SUMIFS(estoque[valor total],estoque[produto],preçodiario[[#Headers],[OVO VERMELHO JUMBO]],estoque[data],preçodiario[[#This Row],[data]],estoque[fornecedor],"&lt;&gt;saída"))/(AZ179+(SUMIFS(estoque[quantidade],estoque[produto],preçodiario[[#Headers],[OVO VERMELHO JUMBO]],estoque[fornecedor],"&lt;&gt;saída",estoque[data],preçodiario[[#This Row],[data]])))))</f>
        <v/>
      </c>
      <c r="AZ180" s="22">
        <f>IF(preçodiario[[#This Row],[entrada JV]]=0,AZ179-(SUMIFS(estoque[quantidade],estoque[fornecedor],"saída",estoque[produto],preçodiario[[#Headers],[OVO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Row],[data]]))+AZ179+preçodiario[[#This Row],[entrada JV]])</f>
        <v>0</v>
      </c>
      <c r="BA180" s="22">
        <f>SUMIFS(estoque[quantidade],estoque[fornecedor],"&lt;&gt;saída",estoque[produto],preçodiario[[#Headers],[OVO VERMELHO JUMBO]],estoque[data],preçodiario[[#This Row],[data]])</f>
        <v>0</v>
      </c>
      <c r="BB180" s="20">
        <f>SUMIFS(estoque[valor total],estoque[fornecedor],"&lt;&gt;saída",estoque[produto],preçodiario[[#Headers],[OVO VERMELHO JUMBO]],estoque[data],preçodiario[[#This Row],[data]])</f>
        <v>0</v>
      </c>
      <c r="BC180" s="20">
        <f>IFERROR(preçodiario[[#This Row],[OVO VERMELHO JUMBO]]*preçodiario[[#This Row],[estoque JV]],0)</f>
        <v>0</v>
      </c>
      <c r="BD180" t="str">
        <f>TEXT(vendaAno[[#This Row],[data]],"mmm")</f>
        <v>jun</v>
      </c>
      <c r="BE180" t="str">
        <f>TEXT(vendaAno[[#This Row],[data]],"ddd")</f>
        <v>dom</v>
      </c>
      <c r="BF180" s="82">
        <f>WEEKNUM(vendaAno[[#This Row],[data]],13)</f>
        <v>26</v>
      </c>
      <c r="BG180" s="27">
        <f>preçodiario[[#This Row],[data]]</f>
        <v>46201</v>
      </c>
      <c r="BH1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0" s="8">
        <f>IF(SUMIFS(estoque[valor total],estoque[fornecedor],"saída",estoque[data],vendaAno[[#This Row],[data]])=0,"",SUMIFS(estoque[valor total],estoque[fornecedor],"saída",estoque[data],vendaAno[[#This Row],[data]]))</f>
        <v>505</v>
      </c>
      <c r="BJ18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Row],[data]]))/12+BJ179,"")</f>
        <v>31.583333333333311</v>
      </c>
      <c r="BK180" s="79">
        <f ca="1">IF(TODAY()&gt;=vendaAno[[#This Row],[data]],IF(SUMIFS(estoque[quantidade],estoque[fornecedor],"saída",estoque[data],vendaAno[[#This Row],[data]])/12=0,AVERAGE(BK177:BK179),SUMIFS(estoque[quantidade],estoque[fornecedor],"saída",estoque[data],vendaAno[[#This Row],[data]])/12),"")</f>
        <v>2.0833333333333335</v>
      </c>
      <c r="BL180" s="8">
        <f ca="1">IF(vendaAno[[#This Row],[data]]&lt;=TODAY(),IF(SUMIFS(estoque[lucro],estoque[fornecedor],"saída",estoque[data],vendaAno[[#This Row],[data]])=0,AVERAGE(BL177:BL179),SUMIFS(estoque[lucro],estoque[fornecedor],"saída",estoque[data],vendaAno[[#This Row],[data]])),"")</f>
        <v>113.19</v>
      </c>
      <c r="BM180" s="10">
        <f ca="1">IFERROR(vendaAno[[#This Row],[lucro]]/vendaAno[[#This Row],[valor de venda]],"")</f>
        <v>0.22413861386138614</v>
      </c>
      <c r="BN18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5800.6070477157782</v>
      </c>
      <c r="BO180" s="8">
        <f ca="1">IF(TODAY()&gt;=vendaAno[[#This Row],[data]],IF(vendaAno[[#This Row],[N°]]=BF179,vendaAno[[#This Row],[lucro]]-173.33+BO179,vendaAno[[#This Row],[lucro]]-150),"")</f>
        <v>-346.8900000000001</v>
      </c>
      <c r="BP180" s="81">
        <f ca="1">IF(TODAY()&gt;=vendaAno[[#This Row],[data]],SUM(BK174:BK180)*12,"")</f>
        <v>243.99999999999994</v>
      </c>
      <c r="BQ180" s="7">
        <f ca="1">IFERROR(vendaAno[[#This Row],[lucro]]/(vendaAno[[#This Row],[venda]]*12),"")</f>
        <v>4.5275999999999996</v>
      </c>
    </row>
    <row r="181" spans="1:69" x14ac:dyDescent="0.25">
      <c r="A1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1" s="18" t="str">
        <f>TEXT(preçodiario[[#This Row],[data]],"MMM")</f>
        <v>jun</v>
      </c>
      <c r="C181" s="18" t="str">
        <f>TEXT(preçodiario[[#This Row],[data]],"ddd")</f>
        <v>seg</v>
      </c>
      <c r="D181" s="96">
        <f>WEEKNUM(preçodiario[[#This Row],[data]],13)</f>
        <v>26</v>
      </c>
      <c r="E181" s="37">
        <v>46202</v>
      </c>
      <c r="F1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Row],[data]])),((F180*G180)+SUMIFS(estoque[valor total],estoque[produto],preçodiario[[#Headers],[OVO BRANCO A]],estoque[data],preçodiario[[#This Row],[data]],estoque[fornecedor],"&lt;&gt;saída"))/(G180+(SUMIFS(estoque[quantidade],estoque[produto],preçodiario[[#Headers],[OVO BRANCO A]],estoque[fornecedor],"&lt;&gt;saída",estoque[data],preçodiario[[#This Row],[data]])))))</f>
        <v>15.416666666666664</v>
      </c>
      <c r="G181" s="22">
        <f>IF(preçodiario[[#This Row],[entrada A]]=0,G180-(SUMIFS(estoque[quantidade],estoque[fornecedor],"saída",estoque[produto],preçodiario[[#Headers],[OVO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Row],[data]]))+G180+preçodiario[[#This Row],[entrada A]])</f>
        <v>132</v>
      </c>
      <c r="H181" s="22">
        <f>SUMIFS(estoque[quantidade],estoque[fornecedor],"&lt;&gt;saída",estoque[produto],preçodiario[[#Headers],[OVO BRANCO A]],estoque[data],preçodiario[[#This Row],[data]])</f>
        <v>0</v>
      </c>
      <c r="I181" s="20">
        <f>SUMIFS(estoque[valor total],estoque[fornecedor],"&lt;&gt;saída",estoque[produto],preçodiario[[#Headers],[OVO BRANCO A]],estoque[data],preçodiario[[#This Row],[data]])</f>
        <v>0</v>
      </c>
      <c r="J181" s="20">
        <f>IFERROR(preçodiario[[#This Row],[estoque A]]*preçodiario[[#This Row],[OVO BRANCO A]],0)</f>
        <v>2034.9999999999998</v>
      </c>
      <c r="K1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Row],[data]])),((K180*L180)+SUMIFS(estoque[valor total],estoque[produto],preçodiario[[#Headers],[OVO BRANCO B]],estoque[data],preçodiario[[#This Row],[data]],estoque[fornecedor],"&lt;&gt;saída"))/(L180+(SUMIFS(estoque[quantidade],estoque[produto],preçodiario[[#Headers],[OVO BRANCO B]],estoque[fornecedor],"&lt;&gt;saída",estoque[data],preçodiario[[#This Row],[data]])))))</f>
        <v>14.585313803472692</v>
      </c>
      <c r="L181" s="22">
        <f>IF(preçodiario[[#This Row],[entrada B]]=0,L180-(SUMIFS(estoque[quantidade],estoque[fornecedor],"saída",estoque[produto],preçodiario[[#Headers],[OVO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Row],[data]]))+L180+preçodiario[[#This Row],[entrada B]])</f>
        <v>108</v>
      </c>
      <c r="M181" s="22">
        <f>SUMIFS(estoque[quantidade],estoque[fornecedor],"&lt;&gt;saída",estoque[produto],preçodiario[[#Headers],[OVO BRANCO B]],estoque[data],preçodiario[[#This Row],[data]])</f>
        <v>0</v>
      </c>
      <c r="N181" s="20">
        <f>SUMIFS(estoque[valor total],estoque[fornecedor],"&lt;&gt;saída",estoque[produto],preçodiario[[#Headers],[OVO BRANCO B]],estoque[data],preçodiario[[#This Row],[data]])</f>
        <v>0</v>
      </c>
      <c r="O181" s="20">
        <f>IFERROR(preçodiario[[#This Row],[OVO BRANCO B]]*preçodiario[[#This Row],[estoque B]],0)</f>
        <v>1575.2138907750507</v>
      </c>
      <c r="P1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Row],[data]])),((P180*Q180)+SUMIFS(estoque[valor total],estoque[produto],preçodiario[[#Headers],[OVO BRANCO C]],estoque[data],preçodiario[[#This Row],[data]],estoque[fornecedor],"&lt;&gt;saída"))/(Q180+(SUMIFS(estoque[quantidade],estoque[produto],preçodiario[[#Headers],[OVO BRANCO C]],estoque[fornecedor],"&lt;&gt;saída",estoque[data],preçodiario[[#This Row],[data]])))))</f>
        <v>13.833333333333339</v>
      </c>
      <c r="Q181" s="22">
        <f>IF(preçodiario[[#This Row],[entrada C]]=0,Q180-(SUMIFS(estoque[quantidade],estoque[fornecedor],"saída",estoque[produto],preçodiario[[#Headers],[OVO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Row],[data]]))+Q180+preçodiario[[#This Row],[entrada C]])</f>
        <v>8</v>
      </c>
      <c r="R181" s="22">
        <f>SUMIFS(estoque[quantidade],estoque[fornecedor],"&lt;&gt;saída",estoque[produto],preçodiario[[#Headers],[OVO BRANCO C]],estoque[data],preçodiario[[#This Row],[data]])</f>
        <v>0</v>
      </c>
      <c r="S181" s="20">
        <f>SUMIFS(estoque[valor total],estoque[fornecedor],"&lt;&gt;saída",estoque[produto],preçodiario[[#Headers],[OVO BRANCO C]],estoque[data],preçodiario[[#This Row],[data]])</f>
        <v>0</v>
      </c>
      <c r="T181" s="20">
        <f>IFERROR(preçodiario[[#This Row],[OVO BRANCO C]]*preçodiario[[#This Row],[estoque C]],0)</f>
        <v>110.66666666666671</v>
      </c>
      <c r="U1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Row],[data]])),((U180*V180)+SUMIFS(estoque[valor total],estoque[produto],preçodiario[[#Headers],[OVO BRANCO EXTRA]],estoque[data],preçodiario[[#This Row],[data]],estoque[fornecedor],"&lt;&gt;saída"))/(V180+(SUMIFS(estoque[quantidade],estoque[produto],preçodiario[[#Headers],[OVO BRANCO EXTRA]],estoque[fornecedor],"&lt;&gt;saída",estoque[data],preçodiario[[#This Row],[data]])))))</f>
        <v>15.833333333333334</v>
      </c>
      <c r="V181" s="22">
        <f>IF(preçodiario[[#This Row],[entrada E]]=0,V180-(SUMIFS(estoque[quantidade],estoque[fornecedor],"saída",estoque[produto],preçodiario[[#Headers],[OVO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Row],[data]]))+V180+preçodiario[[#This Row],[entrada E]])</f>
        <v>92</v>
      </c>
      <c r="W181" s="22">
        <f>SUMIFS(estoque[quantidade],estoque[fornecedor],"&lt;&gt;saída",estoque[produto],preçodiario[[#Headers],[OVO BRANCO EXTRA]],estoque[data],preçodiario[[#This Row],[data]])</f>
        <v>0</v>
      </c>
      <c r="X181" s="20">
        <f>SUMIFS(estoque[valor total],estoque[fornecedor],"&lt;&gt;saída",estoque[produto],preçodiario[[#Headers],[OVO BRANCO EXTRA]],estoque[data],preçodiario[[#This Row],[data]])</f>
        <v>0</v>
      </c>
      <c r="Y181" s="20">
        <f>IFERROR(preçodiario[[#This Row],[estoque E]]*preçodiario[[#This Row],[OVO BRANCO EXTRA]],0)</f>
        <v>1456.6666666666667</v>
      </c>
      <c r="Z18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Row],[data]])),((Z180*AA180)+SUMIFS(estoque[valor total],estoque[produto],preçodiario[[#Headers],[OVO BRANCO JUMBO]],estoque[data],preçodiario[[#This Row],[data]],estoque[fornecedor],"&lt;&gt;saída"))/(AA180+(SUMIFS(estoque[quantidade],estoque[produto],preçodiario[[#Headers],[OVO BRANCO JUMBO]],estoque[fornecedor],"&lt;&gt;saída",estoque[data],preçodiario[[#This Row],[data]])))))</f>
        <v>16.271568627450982</v>
      </c>
      <c r="AA181" s="22">
        <f>IF(preçodiario[[#This Row],[entrada J]]=0,AA180-(SUMIFS(estoque[quantidade],estoque[fornecedor],"saída",estoque[produto],preçodiario[[#Headers],[OVO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Row],[data]]))+AA180+preçodiario[[#This Row],[entrada J]])</f>
        <v>21</v>
      </c>
      <c r="AB181" s="22">
        <f>SUMIFS(estoque[quantidade],estoque[fornecedor],"&lt;&gt;saída",estoque[produto],preçodiario[[#Headers],[OVO BRANCO JUMBO]],estoque[data],preçodiario[[#This Row],[data]])</f>
        <v>0</v>
      </c>
      <c r="AC181" s="20">
        <f>SUMIFS(estoque[valor total],estoque[fornecedor],"&lt;&gt;saída",estoque[produto],preçodiario[[#Headers],[OVO BRANCO JUMBO]],estoque[data],preçodiario[[#This Row],[data]])</f>
        <v>0</v>
      </c>
      <c r="AD181" s="20">
        <f>IFERROR(preçodiario[[#This Row],[OVO BRANCO JUMBO]]*preçodiario[[#This Row],[estoque J]],0)</f>
        <v>341.70294117647063</v>
      </c>
      <c r="AE1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Row],[data]])),((AE180*AF180)+SUMIFS(estoque[valor total],estoque[produto],preçodiario[[#Headers],[OVO VERMELHO A]],estoque[data],preçodiario[[#This Row],[data]],estoque[fornecedor],"&lt;&gt;saída"))/(AF180+(SUMIFS(estoque[quantidade],estoque[produto],preçodiario[[#Headers],[OVO VERMELHO A]],estoque[fornecedor],"&lt;&gt;saída",estoque[data],preçodiario[[#This Row],[data]])))))</f>
        <v/>
      </c>
      <c r="AF181" s="22">
        <f>IF(preçodiario[[#This Row],[entrada AV]]=0,AF180-(SUMIFS(estoque[quantidade],estoque[fornecedor],"saída",estoque[produto],preçodiario[[#Headers],[OVO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Row],[data]]))+AF180+preçodiario[[#This Row],[entrada AV]])</f>
        <v>0</v>
      </c>
      <c r="AG181" s="22">
        <f>SUMIFS(estoque[quantidade],estoque[fornecedor],"&lt;&gt;saída",estoque[produto],preçodiario[[#Headers],[OVO VERMELHO A]],estoque[data],preçodiario[[#This Row],[data]])</f>
        <v>0</v>
      </c>
      <c r="AH181" s="20">
        <f>SUMIFS(estoque[valor total],estoque[fornecedor],"&lt;&gt;saída",estoque[produto],preçodiario[[#Headers],[OVO VERMELHO A]],estoque[data],preçodiario[[#This Row],[data]])</f>
        <v>0</v>
      </c>
      <c r="AI181" s="20">
        <f>IFERROR(preçodiario[[#This Row],[OVO VERMELHO A]]*preçodiario[[#This Row],[estoque AV]],0)</f>
        <v>0</v>
      </c>
      <c r="AJ1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Row],[data]])),((AJ180*AK180)+SUMIFS(estoque[valor total],estoque[produto],preçodiario[[#Headers],[OVO VERMELHO B]],estoque[data],preçodiario[[#This Row],[data]],estoque[fornecedor],"&lt;&gt;saída"))/(AK180+(SUMIFS(estoque[quantidade],estoque[produto],preçodiario[[#Headers],[OVO VERMELHO B]],estoque[fornecedor],"&lt;&gt;saída",estoque[data],preçodiario[[#This Row],[data]])))))</f>
        <v/>
      </c>
      <c r="AK181" s="22">
        <f>IF(preçodiario[[#This Row],[entrada BV]]=0,AK180-(SUMIFS(estoque[quantidade],estoque[fornecedor],"saída",estoque[produto],preçodiario[[#Headers],[OVO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Row],[data]]))+AK180+preçodiario[[#This Row],[entrada BV]])</f>
        <v>0</v>
      </c>
      <c r="AL181" s="22">
        <f>SUMIFS(estoque[quantidade],estoque[fornecedor],"&lt;&gt;saída",estoque[produto],preçodiario[[#Headers],[OVO VERMELHO B]],estoque[data],preçodiario[[#This Row],[data]])</f>
        <v>0</v>
      </c>
      <c r="AM181" s="20">
        <f>SUMIFS(estoque[valor total],estoque[fornecedor],"&lt;&gt;saída",estoque[produto],preçodiario[[#Headers],[OVO VERMELHO B]],estoque[data],preçodiario[[#This Row],[data]])</f>
        <v>0</v>
      </c>
      <c r="AN181" s="20">
        <f>IFERROR(preçodiario[[#This Row],[OVO VERMELHO B]]*preçodiario[[#This Row],[estoque BV]],0)</f>
        <v>0</v>
      </c>
      <c r="AO1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Row],[data]])),((AO180*AP180)+SUMIFS(estoque[valor total],estoque[produto],preçodiario[[#Headers],[OVO VERMELHO C]],estoque[data],preçodiario[[#This Row],[data]],estoque[fornecedor],"&lt;&gt;saída"))/(AP180+(SUMIFS(estoque[quantidade],estoque[produto],preçodiario[[#Headers],[OVO VERMELHO C]],estoque[fornecedor],"&lt;&gt;saída",estoque[data],preçodiario[[#This Row],[data]])))))</f>
        <v/>
      </c>
      <c r="AP181" s="22">
        <f>IF(preçodiario[[#This Row],[entrada CV]]=0,AP180-(SUMIFS(estoque[quantidade],estoque[fornecedor],"saída",estoque[produto],preçodiario[[#Headers],[OVO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Row],[data]]))+AP180+preçodiario[[#This Row],[entrada CV]])</f>
        <v>0</v>
      </c>
      <c r="AQ181" s="22">
        <f>SUMIFS(estoque[quantidade],estoque[fornecedor],"&lt;&gt;saída",estoque[produto],preçodiario[[#Headers],[OVO VERMELHO C]],estoque[data],preçodiario[[#This Row],[data]])</f>
        <v>0</v>
      </c>
      <c r="AR181" s="20">
        <f>SUMIFS(estoque[valor total],estoque[fornecedor],"&lt;&gt;saída",estoque[produto],preçodiario[[#Headers],[OVO VERMELHO C]],estoque[data],preçodiario[[#This Row],[data]])</f>
        <v>0</v>
      </c>
      <c r="AS181" s="20">
        <f>IFERROR(preçodiario[[#This Row],[OVO VERMELHO C]]*preçodiario[[#This Row],[estoque CV]],0)</f>
        <v>0</v>
      </c>
      <c r="AT1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Row],[data]])),((AT180*AU180)+SUMIFS(estoque[valor total],estoque[produto],preçodiario[[#Headers],[OVO VERMELHO EXTRA]],estoque[data],preçodiario[[#This Row],[data]],estoque[fornecedor],"&lt;&gt;saída"))/(AU180+(SUMIFS(estoque[quantidade],estoque[produto],preçodiario[[#Headers],[OVO VERMELHO EXTRA]],estoque[fornecedor],"&lt;&gt;saída",estoque[data],preçodiario[[#This Row],[data]])))))</f>
        <v/>
      </c>
      <c r="AU181" s="22">
        <f>IF(preçodiario[[#This Row],[entrada EV]]=0,AU180-(SUMIFS(estoque[quantidade],estoque[fornecedor],"saída",estoque[produto],preçodiario[[#Headers],[OVO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Row],[data]]))+AU180+preçodiario[[#This Row],[entrada EV]])</f>
        <v>0</v>
      </c>
      <c r="AV181" s="22">
        <f>SUMIFS(estoque[quantidade],estoque[fornecedor],"&lt;&gt;saída",estoque[produto],preçodiario[[#Headers],[OVO VERMELHO EXTRA]],estoque[data],preçodiario[[#This Row],[data]])</f>
        <v>0</v>
      </c>
      <c r="AW181" s="20">
        <f>SUMIFS(estoque[valor total],estoque[fornecedor],"&lt;&gt;saída",estoque[produto],preçodiario[[#Headers],[OVO VERMELHO EXTRA]],estoque[data],preçodiario[[#This Row],[data]])</f>
        <v>0</v>
      </c>
      <c r="AX181" s="20">
        <f>IFERROR(preçodiario[[#This Row],[OVO VERMELHO EXTRA]]*preçodiario[[#This Row],[estoque EV]],0)</f>
        <v>0</v>
      </c>
      <c r="AY1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Row],[data]])),((AY180*AZ180)+SUMIFS(estoque[valor total],estoque[produto],preçodiario[[#Headers],[OVO VERMELHO JUMBO]],estoque[data],preçodiario[[#This Row],[data]],estoque[fornecedor],"&lt;&gt;saída"))/(AZ180+(SUMIFS(estoque[quantidade],estoque[produto],preçodiario[[#Headers],[OVO VERMELHO JUMBO]],estoque[fornecedor],"&lt;&gt;saída",estoque[data],preçodiario[[#This Row],[data]])))))</f>
        <v/>
      </c>
      <c r="AZ181" s="22">
        <f>IF(preçodiario[[#This Row],[entrada JV]]=0,AZ180-(SUMIFS(estoque[quantidade],estoque[fornecedor],"saída",estoque[produto],preçodiario[[#Headers],[OVO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Row],[data]]))+AZ180+preçodiario[[#This Row],[entrada JV]])</f>
        <v>0</v>
      </c>
      <c r="BA181" s="22">
        <f>SUMIFS(estoque[quantidade],estoque[fornecedor],"&lt;&gt;saída",estoque[produto],preçodiario[[#Headers],[OVO VERMELHO JUMBO]],estoque[data],preçodiario[[#This Row],[data]])</f>
        <v>0</v>
      </c>
      <c r="BB181" s="20">
        <f>SUMIFS(estoque[valor total],estoque[fornecedor],"&lt;&gt;saída",estoque[produto],preçodiario[[#Headers],[OVO VERMELHO JUMBO]],estoque[data],preçodiario[[#This Row],[data]])</f>
        <v>0</v>
      </c>
      <c r="BC181" s="20">
        <f>IFERROR(preçodiario[[#This Row],[OVO VERMELHO JUMBO]]*preçodiario[[#This Row],[estoque JV]],0)</f>
        <v>0</v>
      </c>
      <c r="BD181" t="str">
        <f>TEXT(vendaAno[[#This Row],[data]],"mmm")</f>
        <v>jun</v>
      </c>
      <c r="BE181" t="str">
        <f>TEXT(vendaAno[[#This Row],[data]],"ddd")</f>
        <v>seg</v>
      </c>
      <c r="BF181" s="82">
        <f>WEEKNUM(vendaAno[[#This Row],[data]],13)</f>
        <v>26</v>
      </c>
      <c r="BG181" s="27">
        <f>preçodiario[[#This Row],[data]]</f>
        <v>46202</v>
      </c>
      <c r="BH1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1" s="8">
        <f>IF(SUMIFS(estoque[valor total],estoque[fornecedor],"saída",estoque[data],vendaAno[[#This Row],[data]])=0,"",SUMIFS(estoque[valor total],estoque[fornecedor],"saída",estoque[data],vendaAno[[#This Row],[data]]))</f>
        <v>354</v>
      </c>
      <c r="BJ18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Row],[data]]))/12+BJ180,"")</f>
        <v>30.083333333333311</v>
      </c>
      <c r="BK181" s="79">
        <f ca="1">IF(TODAY()&gt;=vendaAno[[#This Row],[data]],IF(SUMIFS(estoque[quantidade],estoque[fornecedor],"saída",estoque[data],vendaAno[[#This Row],[data]])/12=0,AVERAGE(BK178:BK180),SUMIFS(estoque[quantidade],estoque[fornecedor],"saída",estoque[data],vendaAno[[#This Row],[data]])/12),"")</f>
        <v>1.5</v>
      </c>
      <c r="BL181" s="8">
        <f ca="1">IF(vendaAno[[#This Row],[data]]&lt;=TODAY(),IF(SUMIFS(estoque[lucro],estoque[fornecedor],"saída",estoque[data],vendaAno[[#This Row],[data]])=0,AVERAGE(BL178:BL180),SUMIFS(estoque[lucro],estoque[fornecedor],"saída",estoque[data],vendaAno[[#This Row],[data]])),"")</f>
        <v>72.650000000000006</v>
      </c>
      <c r="BM181" s="10">
        <f ca="1">IFERROR(vendaAno[[#This Row],[lucro]]/vendaAno[[#This Row],[valor de venda]],"")</f>
        <v>0.20522598870056499</v>
      </c>
      <c r="BN18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5519.250165284855</v>
      </c>
      <c r="BO181" s="8">
        <f ca="1">IF(TODAY()&gt;=vendaAno[[#This Row],[data]],IF(vendaAno[[#This Row],[N°]]=BF180,vendaAno[[#This Row],[lucro]]-173.33+BO180,vendaAno[[#This Row],[lucro]]-150),"")</f>
        <v>-447.57000000000011</v>
      </c>
      <c r="BP181" s="81">
        <f ca="1">IF(TODAY()&gt;=vendaAno[[#This Row],[data]],SUM(BK175:BK181)*12,"")</f>
        <v>214</v>
      </c>
      <c r="BQ181" s="7">
        <f ca="1">IFERROR(vendaAno[[#This Row],[lucro]]/(vendaAno[[#This Row],[venda]]*12),"")</f>
        <v>4.0361111111111114</v>
      </c>
    </row>
    <row r="182" spans="1:69" x14ac:dyDescent="0.25">
      <c r="A1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2" s="18" t="str">
        <f>TEXT(preçodiario[[#This Row],[data]],"MMM")</f>
        <v>jun</v>
      </c>
      <c r="C182" s="18" t="str">
        <f>TEXT(preçodiario[[#This Row],[data]],"ddd")</f>
        <v>ter</v>
      </c>
      <c r="D182" s="96">
        <f>WEEKNUM(preçodiario[[#This Row],[data]],13)</f>
        <v>26</v>
      </c>
      <c r="E182" s="37">
        <v>46203</v>
      </c>
      <c r="F1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Row],[data]])),((F181*G181)+SUMIFS(estoque[valor total],estoque[produto],preçodiario[[#Headers],[OVO BRANCO A]],estoque[data],preçodiario[[#This Row],[data]],estoque[fornecedor],"&lt;&gt;saída"))/(G181+(SUMIFS(estoque[quantidade],estoque[produto],preçodiario[[#Headers],[OVO BRANCO A]],estoque[fornecedor],"&lt;&gt;saída",estoque[data],preçodiario[[#This Row],[data]])))))</f>
        <v>15.416666666666664</v>
      </c>
      <c r="G182" s="22">
        <f>IF(preçodiario[[#This Row],[entrada A]]=0,G181-(SUMIFS(estoque[quantidade],estoque[fornecedor],"saída",estoque[produto],preçodiario[[#Headers],[OVO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Row],[data]]))+G181+preçodiario[[#This Row],[entrada A]])</f>
        <v>125</v>
      </c>
      <c r="H182" s="22">
        <f>SUMIFS(estoque[quantidade],estoque[fornecedor],"&lt;&gt;saída",estoque[produto],preçodiario[[#Headers],[OVO BRANCO A]],estoque[data],preçodiario[[#This Row],[data]])</f>
        <v>0</v>
      </c>
      <c r="I182" s="20">
        <f>SUMIFS(estoque[valor total],estoque[fornecedor],"&lt;&gt;saída",estoque[produto],preçodiario[[#Headers],[OVO BRANCO A]],estoque[data],preçodiario[[#This Row],[data]])</f>
        <v>0</v>
      </c>
      <c r="J182" s="20">
        <f>IFERROR(preçodiario[[#This Row],[estoque A]]*preçodiario[[#This Row],[OVO BRANCO A]],0)</f>
        <v>1927.083333333333</v>
      </c>
      <c r="K1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Row],[data]])),((K181*L181)+SUMIFS(estoque[valor total],estoque[produto],preçodiario[[#Headers],[OVO BRANCO B]],estoque[data],preçodiario[[#This Row],[data]],estoque[fornecedor],"&lt;&gt;saída"))/(L181+(SUMIFS(estoque[quantidade],estoque[produto],preçodiario[[#Headers],[OVO BRANCO B]],estoque[fornecedor],"&lt;&gt;saída",estoque[data],preçodiario[[#This Row],[data]])))))</f>
        <v>14.585313803472692</v>
      </c>
      <c r="L182" s="22">
        <f>IF(preçodiario[[#This Row],[entrada B]]=0,L181-(SUMIFS(estoque[quantidade],estoque[fornecedor],"saída",estoque[produto],preçodiario[[#Headers],[OVO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Row],[data]]))+L181+preçodiario[[#This Row],[entrada B]])</f>
        <v>86</v>
      </c>
      <c r="M182" s="22">
        <f>SUMIFS(estoque[quantidade],estoque[fornecedor],"&lt;&gt;saída",estoque[produto],preçodiario[[#Headers],[OVO BRANCO B]],estoque[data],preçodiario[[#This Row],[data]])</f>
        <v>0</v>
      </c>
      <c r="N182" s="20">
        <f>SUMIFS(estoque[valor total],estoque[fornecedor],"&lt;&gt;saída",estoque[produto],preçodiario[[#Headers],[OVO BRANCO B]],estoque[data],preçodiario[[#This Row],[data]])</f>
        <v>0</v>
      </c>
      <c r="O182" s="20">
        <f>IFERROR(preçodiario[[#This Row],[OVO BRANCO B]]*preçodiario[[#This Row],[estoque B]],0)</f>
        <v>1254.3369870986514</v>
      </c>
      <c r="P1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Row],[data]])),((P181*Q181)+SUMIFS(estoque[valor total],estoque[produto],preçodiario[[#Headers],[OVO BRANCO C]],estoque[data],preçodiario[[#This Row],[data]],estoque[fornecedor],"&lt;&gt;saída"))/(Q181+(SUMIFS(estoque[quantidade],estoque[produto],preçodiario[[#Headers],[OVO BRANCO C]],estoque[fornecedor],"&lt;&gt;saída",estoque[data],preçodiario[[#This Row],[data]])))))</f>
        <v>13.833333333333339</v>
      </c>
      <c r="Q182" s="22">
        <f>IF(preçodiario[[#This Row],[entrada C]]=0,Q181-(SUMIFS(estoque[quantidade],estoque[fornecedor],"saída",estoque[produto],preçodiario[[#Headers],[OVO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Row],[data]]))+Q181+preçodiario[[#This Row],[entrada C]])</f>
        <v>7</v>
      </c>
      <c r="R182" s="22">
        <f>SUMIFS(estoque[quantidade],estoque[fornecedor],"&lt;&gt;saída",estoque[produto],preçodiario[[#Headers],[OVO BRANCO C]],estoque[data],preçodiario[[#This Row],[data]])</f>
        <v>0</v>
      </c>
      <c r="S182" s="20">
        <f>SUMIFS(estoque[valor total],estoque[fornecedor],"&lt;&gt;saída",estoque[produto],preçodiario[[#Headers],[OVO BRANCO C]],estoque[data],preçodiario[[#This Row],[data]])</f>
        <v>0</v>
      </c>
      <c r="T182" s="20">
        <f>IFERROR(preçodiario[[#This Row],[OVO BRANCO C]]*preçodiario[[#This Row],[estoque C]],0)</f>
        <v>96.833333333333371</v>
      </c>
      <c r="U1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Row],[data]])),((U181*V181)+SUMIFS(estoque[valor total],estoque[produto],preçodiario[[#Headers],[OVO BRANCO EXTRA]],estoque[data],preçodiario[[#This Row],[data]],estoque[fornecedor],"&lt;&gt;saída"))/(V181+(SUMIFS(estoque[quantidade],estoque[produto],preçodiario[[#Headers],[OVO BRANCO EXTRA]],estoque[fornecedor],"&lt;&gt;saída",estoque[data],preçodiario[[#This Row],[data]])))))</f>
        <v>15.833333333333334</v>
      </c>
      <c r="V182" s="22">
        <f>IF(preçodiario[[#This Row],[entrada E]]=0,V181-(SUMIFS(estoque[quantidade],estoque[fornecedor],"saída",estoque[produto],preçodiario[[#Headers],[OVO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Row],[data]]))+V181+preçodiario[[#This Row],[entrada E]])</f>
        <v>85</v>
      </c>
      <c r="W182" s="22">
        <f>SUMIFS(estoque[quantidade],estoque[fornecedor],"&lt;&gt;saída",estoque[produto],preçodiario[[#Headers],[OVO BRANCO EXTRA]],estoque[data],preçodiario[[#This Row],[data]])</f>
        <v>0</v>
      </c>
      <c r="X182" s="20">
        <f>SUMIFS(estoque[valor total],estoque[fornecedor],"&lt;&gt;saída",estoque[produto],preçodiario[[#Headers],[OVO BRANCO EXTRA]],estoque[data],preçodiario[[#This Row],[data]])</f>
        <v>0</v>
      </c>
      <c r="Y182" s="20">
        <f>IFERROR(preçodiario[[#This Row],[estoque E]]*preçodiario[[#This Row],[OVO BRANCO EXTRA]],0)</f>
        <v>1345.8333333333335</v>
      </c>
      <c r="Z18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Row],[data]])),((Z181*AA181)+SUMIFS(estoque[valor total],estoque[produto],preçodiario[[#Headers],[OVO BRANCO JUMBO]],estoque[data],preçodiario[[#This Row],[data]],estoque[fornecedor],"&lt;&gt;saída"))/(AA181+(SUMIFS(estoque[quantidade],estoque[produto],preçodiario[[#Headers],[OVO BRANCO JUMBO]],estoque[fornecedor],"&lt;&gt;saída",estoque[data],preçodiario[[#This Row],[data]])))))</f>
        <v>16.271568627450982</v>
      </c>
      <c r="AA182" s="22">
        <f>IF(preçodiario[[#This Row],[entrada J]]=0,AA181-(SUMIFS(estoque[quantidade],estoque[fornecedor],"saída",estoque[produto],preçodiario[[#Headers],[OVO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Row],[data]]))+AA181+preçodiario[[#This Row],[entrada J]])</f>
        <v>12</v>
      </c>
      <c r="AB182" s="22">
        <f>SUMIFS(estoque[quantidade],estoque[fornecedor],"&lt;&gt;saída",estoque[produto],preçodiario[[#Headers],[OVO BRANCO JUMBO]],estoque[data],preçodiario[[#This Row],[data]])</f>
        <v>0</v>
      </c>
      <c r="AC182" s="20">
        <f>SUMIFS(estoque[valor total],estoque[fornecedor],"&lt;&gt;saída",estoque[produto],preçodiario[[#Headers],[OVO BRANCO JUMBO]],estoque[data],preçodiario[[#This Row],[data]])</f>
        <v>0</v>
      </c>
      <c r="AD182" s="20">
        <f>IFERROR(preçodiario[[#This Row],[OVO BRANCO JUMBO]]*preçodiario[[#This Row],[estoque J]],0)</f>
        <v>195.25882352941179</v>
      </c>
      <c r="AE1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Row],[data]])),((AE181*AF181)+SUMIFS(estoque[valor total],estoque[produto],preçodiario[[#Headers],[OVO VERMELHO A]],estoque[data],preçodiario[[#This Row],[data]],estoque[fornecedor],"&lt;&gt;saída"))/(AF181+(SUMIFS(estoque[quantidade],estoque[produto],preçodiario[[#Headers],[OVO VERMELHO A]],estoque[fornecedor],"&lt;&gt;saída",estoque[data],preçodiario[[#This Row],[data]])))))</f>
        <v/>
      </c>
      <c r="AF182" s="22">
        <f>IF(preçodiario[[#This Row],[entrada AV]]=0,AF181-(SUMIFS(estoque[quantidade],estoque[fornecedor],"saída",estoque[produto],preçodiario[[#Headers],[OVO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Row],[data]]))+AF181+preçodiario[[#This Row],[entrada AV]])</f>
        <v>0</v>
      </c>
      <c r="AG182" s="22">
        <f>SUMIFS(estoque[quantidade],estoque[fornecedor],"&lt;&gt;saída",estoque[produto],preçodiario[[#Headers],[OVO VERMELHO A]],estoque[data],preçodiario[[#This Row],[data]])</f>
        <v>0</v>
      </c>
      <c r="AH182" s="20">
        <f>SUMIFS(estoque[valor total],estoque[fornecedor],"&lt;&gt;saída",estoque[produto],preçodiario[[#Headers],[OVO VERMELHO A]],estoque[data],preçodiario[[#This Row],[data]])</f>
        <v>0</v>
      </c>
      <c r="AI182" s="20">
        <f>IFERROR(preçodiario[[#This Row],[OVO VERMELHO A]]*preçodiario[[#This Row],[estoque AV]],0)</f>
        <v>0</v>
      </c>
      <c r="AJ1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Row],[data]])),((AJ181*AK181)+SUMIFS(estoque[valor total],estoque[produto],preçodiario[[#Headers],[OVO VERMELHO B]],estoque[data],preçodiario[[#This Row],[data]],estoque[fornecedor],"&lt;&gt;saída"))/(AK181+(SUMIFS(estoque[quantidade],estoque[produto],preçodiario[[#Headers],[OVO VERMELHO B]],estoque[fornecedor],"&lt;&gt;saída",estoque[data],preçodiario[[#This Row],[data]])))))</f>
        <v/>
      </c>
      <c r="AK182" s="22">
        <f>IF(preçodiario[[#This Row],[entrada BV]]=0,AK181-(SUMIFS(estoque[quantidade],estoque[fornecedor],"saída",estoque[produto],preçodiario[[#Headers],[OVO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Row],[data]]))+AK181+preçodiario[[#This Row],[entrada BV]])</f>
        <v>0</v>
      </c>
      <c r="AL182" s="22">
        <f>SUMIFS(estoque[quantidade],estoque[fornecedor],"&lt;&gt;saída",estoque[produto],preçodiario[[#Headers],[OVO VERMELHO B]],estoque[data],preçodiario[[#This Row],[data]])</f>
        <v>0</v>
      </c>
      <c r="AM182" s="20">
        <f>SUMIFS(estoque[valor total],estoque[fornecedor],"&lt;&gt;saída",estoque[produto],preçodiario[[#Headers],[OVO VERMELHO B]],estoque[data],preçodiario[[#This Row],[data]])</f>
        <v>0</v>
      </c>
      <c r="AN182" s="20">
        <f>IFERROR(preçodiario[[#This Row],[OVO VERMELHO B]]*preçodiario[[#This Row],[estoque BV]],0)</f>
        <v>0</v>
      </c>
      <c r="AO1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Row],[data]])),((AO181*AP181)+SUMIFS(estoque[valor total],estoque[produto],preçodiario[[#Headers],[OVO VERMELHO C]],estoque[data],preçodiario[[#This Row],[data]],estoque[fornecedor],"&lt;&gt;saída"))/(AP181+(SUMIFS(estoque[quantidade],estoque[produto],preçodiario[[#Headers],[OVO VERMELHO C]],estoque[fornecedor],"&lt;&gt;saída",estoque[data],preçodiario[[#This Row],[data]])))))</f>
        <v/>
      </c>
      <c r="AP182" s="22">
        <f>IF(preçodiario[[#This Row],[entrada CV]]=0,AP181-(SUMIFS(estoque[quantidade],estoque[fornecedor],"saída",estoque[produto],preçodiario[[#Headers],[OVO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Row],[data]]))+AP181+preçodiario[[#This Row],[entrada CV]])</f>
        <v>0</v>
      </c>
      <c r="AQ182" s="22">
        <f>SUMIFS(estoque[quantidade],estoque[fornecedor],"&lt;&gt;saída",estoque[produto],preçodiario[[#Headers],[OVO VERMELHO C]],estoque[data],preçodiario[[#This Row],[data]])</f>
        <v>0</v>
      </c>
      <c r="AR182" s="20">
        <f>SUMIFS(estoque[valor total],estoque[fornecedor],"&lt;&gt;saída",estoque[produto],preçodiario[[#Headers],[OVO VERMELHO C]],estoque[data],preçodiario[[#This Row],[data]])</f>
        <v>0</v>
      </c>
      <c r="AS182" s="20">
        <f>IFERROR(preçodiario[[#This Row],[OVO VERMELHO C]]*preçodiario[[#This Row],[estoque CV]],0)</f>
        <v>0</v>
      </c>
      <c r="AT1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Row],[data]])),((AT181*AU181)+SUMIFS(estoque[valor total],estoque[produto],preçodiario[[#Headers],[OVO VERMELHO EXTRA]],estoque[data],preçodiario[[#This Row],[data]],estoque[fornecedor],"&lt;&gt;saída"))/(AU181+(SUMIFS(estoque[quantidade],estoque[produto],preçodiario[[#Headers],[OVO VERMELHO EXTRA]],estoque[fornecedor],"&lt;&gt;saída",estoque[data],preçodiario[[#This Row],[data]])))))</f>
        <v/>
      </c>
      <c r="AU182" s="22">
        <f>IF(preçodiario[[#This Row],[entrada EV]]=0,AU181-(SUMIFS(estoque[quantidade],estoque[fornecedor],"saída",estoque[produto],preçodiario[[#Headers],[OVO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Row],[data]]))+AU181+preçodiario[[#This Row],[entrada EV]])</f>
        <v>0</v>
      </c>
      <c r="AV182" s="22">
        <f>SUMIFS(estoque[quantidade],estoque[fornecedor],"&lt;&gt;saída",estoque[produto],preçodiario[[#Headers],[OVO VERMELHO EXTRA]],estoque[data],preçodiario[[#This Row],[data]])</f>
        <v>0</v>
      </c>
      <c r="AW182" s="20">
        <f>SUMIFS(estoque[valor total],estoque[fornecedor],"&lt;&gt;saída",estoque[produto],preçodiario[[#Headers],[OVO VERMELHO EXTRA]],estoque[data],preçodiario[[#This Row],[data]])</f>
        <v>0</v>
      </c>
      <c r="AX182" s="20">
        <f>IFERROR(preçodiario[[#This Row],[OVO VERMELHO EXTRA]]*preçodiario[[#This Row],[estoque EV]],0)</f>
        <v>0</v>
      </c>
      <c r="AY1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Row],[data]])),((AY181*AZ181)+SUMIFS(estoque[valor total],estoque[produto],preçodiario[[#Headers],[OVO VERMELHO JUMBO]],estoque[data],preçodiario[[#This Row],[data]],estoque[fornecedor],"&lt;&gt;saída"))/(AZ181+(SUMIFS(estoque[quantidade],estoque[produto],preçodiario[[#Headers],[OVO VERMELHO JUMBO]],estoque[fornecedor],"&lt;&gt;saída",estoque[data],preçodiario[[#This Row],[data]])))))</f>
        <v/>
      </c>
      <c r="AZ182" s="22">
        <f>IF(preçodiario[[#This Row],[entrada JV]]=0,AZ181-(SUMIFS(estoque[quantidade],estoque[fornecedor],"saída",estoque[produto],preçodiario[[#Headers],[OVO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Row],[data]]))+AZ181+preçodiario[[#This Row],[entrada JV]])</f>
        <v>0</v>
      </c>
      <c r="BA182" s="22">
        <f>SUMIFS(estoque[quantidade],estoque[fornecedor],"&lt;&gt;saída",estoque[produto],preçodiario[[#Headers],[OVO VERMELHO JUMBO]],estoque[data],preçodiario[[#This Row],[data]])</f>
        <v>0</v>
      </c>
      <c r="BB182" s="20">
        <f>SUMIFS(estoque[valor total],estoque[fornecedor],"&lt;&gt;saída",estoque[produto],preçodiario[[#Headers],[OVO VERMELHO JUMBO]],estoque[data],preçodiario[[#This Row],[data]])</f>
        <v>0</v>
      </c>
      <c r="BC182" s="20">
        <f>IFERROR(preçodiario[[#This Row],[OVO VERMELHO JUMBO]]*preçodiario[[#This Row],[estoque JV]],0)</f>
        <v>0</v>
      </c>
      <c r="BD182" t="str">
        <f>TEXT(vendaAno[[#This Row],[data]],"mmm")</f>
        <v>jun</v>
      </c>
      <c r="BE182" t="str">
        <f>TEXT(vendaAno[[#This Row],[data]],"ddd")</f>
        <v>ter</v>
      </c>
      <c r="BF182" s="82">
        <f>WEEKNUM(vendaAno[[#This Row],[data]],13)</f>
        <v>26</v>
      </c>
      <c r="BG182" s="27">
        <f>preçodiario[[#This Row],[data]]</f>
        <v>46203</v>
      </c>
      <c r="BH1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2" s="8">
        <f>IF(SUMIFS(estoque[valor total],estoque[fornecedor],"saída",estoque[data],vendaAno[[#This Row],[data]])=0,"",SUMIFS(estoque[valor total],estoque[fornecedor],"saída",estoque[data],vendaAno[[#This Row],[data]]))</f>
        <v>879</v>
      </c>
      <c r="BJ18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Row],[data]]))/12+BJ181,"")</f>
        <v>26.249999999999979</v>
      </c>
      <c r="BK182" s="79">
        <f ca="1">IF(TODAY()&gt;=vendaAno[[#This Row],[data]],IF(SUMIFS(estoque[quantidade],estoque[fornecedor],"saída",estoque[data],vendaAno[[#This Row],[data]])/12=0,AVERAGE(BK179:BK181),SUMIFS(estoque[quantidade],estoque[fornecedor],"saída",estoque[data],vendaAno[[#This Row],[data]])/12),"")</f>
        <v>3.8333333333333335</v>
      </c>
      <c r="BL182" s="8">
        <f ca="1">IF(vendaAno[[#This Row],[data]]&lt;=TODAY(),IF(SUMIFS(estoque[lucro],estoque[fornecedor],"saída",estoque[data],vendaAno[[#This Row],[data]])=0,AVERAGE(BL179:BL181),SUMIFS(estoque[lucro],estoque[fornecedor],"saída",estoque[data],vendaAno[[#This Row],[data]])),"")</f>
        <v>179.10000000000002</v>
      </c>
      <c r="BM182" s="10">
        <f ca="1">IFERROR(vendaAno[[#This Row],[lucro]]/vendaAno[[#This Row],[valor de venda]],"")</f>
        <v>0.20375426621160411</v>
      </c>
      <c r="BN18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4819.3458106280632</v>
      </c>
      <c r="BO182" s="8">
        <f ca="1">IF(TODAY()&gt;=vendaAno[[#This Row],[data]],IF(vendaAno[[#This Row],[N°]]=BF181,vendaAno[[#This Row],[lucro]]-173.33+BO181,vendaAno[[#This Row],[lucro]]-150),"")</f>
        <v>-441.80000000000007</v>
      </c>
      <c r="BP182" s="81">
        <f ca="1">IF(TODAY()&gt;=vendaAno[[#This Row],[data]],SUM(BK176:BK182)*12,"")</f>
        <v>190</v>
      </c>
      <c r="BQ182" s="7">
        <f ca="1">IFERROR(vendaAno[[#This Row],[lucro]]/(vendaAno[[#This Row],[venda]]*12),"")</f>
        <v>3.8934782608695655</v>
      </c>
    </row>
    <row r="183" spans="1:69" x14ac:dyDescent="0.25">
      <c r="A1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3" s="18" t="str">
        <f>TEXT(preçodiario[[#This Row],[data]],"MMM")</f>
        <v>jul</v>
      </c>
      <c r="C183" s="18" t="str">
        <f>TEXT(preçodiario[[#This Row],[data]],"ddd")</f>
        <v>qua</v>
      </c>
      <c r="D183" s="96">
        <f>WEEKNUM(preçodiario[[#This Row],[data]],13)</f>
        <v>27</v>
      </c>
      <c r="E183" s="37">
        <v>46204</v>
      </c>
      <c r="F1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Row],[data]])),((F182*G182)+SUMIFS(estoque[valor total],estoque[produto],preçodiario[[#Headers],[OVO BRANCO A]],estoque[data],preçodiario[[#This Row],[data]],estoque[fornecedor],"&lt;&gt;saída"))/(G182+(SUMIFS(estoque[quantidade],estoque[produto],preçodiario[[#Headers],[OVO BRANCO A]],estoque[fornecedor],"&lt;&gt;saída",estoque[data],preçodiario[[#This Row],[data]])))))</f>
        <v>15.416666666666664</v>
      </c>
      <c r="G183" s="22">
        <f>IF(preçodiario[[#This Row],[entrada A]]=0,G182-(SUMIFS(estoque[quantidade],estoque[fornecedor],"saída",estoque[produto],preçodiario[[#Headers],[OVO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Row],[data]]))+G182+preçodiario[[#This Row],[entrada A]])</f>
        <v>105</v>
      </c>
      <c r="H183" s="22">
        <f>SUMIFS(estoque[quantidade],estoque[fornecedor],"&lt;&gt;saída",estoque[produto],preçodiario[[#Headers],[OVO BRANCO A]],estoque[data],preçodiario[[#This Row],[data]])</f>
        <v>0</v>
      </c>
      <c r="I183" s="20">
        <f>SUMIFS(estoque[valor total],estoque[fornecedor],"&lt;&gt;saída",estoque[produto],preçodiario[[#Headers],[OVO BRANCO A]],estoque[data],preçodiario[[#This Row],[data]])</f>
        <v>0</v>
      </c>
      <c r="J183" s="20">
        <f>IFERROR(preçodiario[[#This Row],[estoque A]]*preçodiario[[#This Row],[OVO BRANCO A]],0)</f>
        <v>1618.7499999999998</v>
      </c>
      <c r="K1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Row],[data]])),((K182*L182)+SUMIFS(estoque[valor total],estoque[produto],preçodiario[[#Headers],[OVO BRANCO B]],estoque[data],preçodiario[[#This Row],[data]],estoque[fornecedor],"&lt;&gt;saída"))/(L182+(SUMIFS(estoque[quantidade],estoque[produto],preçodiario[[#Headers],[OVO BRANCO B]],estoque[fornecedor],"&lt;&gt;saída",estoque[data],preçodiario[[#This Row],[data]])))))</f>
        <v>14.58531380347269</v>
      </c>
      <c r="L183" s="22">
        <f>IF(preçodiario[[#This Row],[entrada B]]=0,L182-(SUMIFS(estoque[quantidade],estoque[fornecedor],"saída",estoque[produto],preçodiario[[#Headers],[OVO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Row],[data]]))+L182+preçodiario[[#This Row],[entrada B]])</f>
        <v>81</v>
      </c>
      <c r="M183" s="22">
        <f>SUMIFS(estoque[quantidade],estoque[fornecedor],"&lt;&gt;saída",estoque[produto],preçodiario[[#Headers],[OVO BRANCO B]],estoque[data],preçodiario[[#This Row],[data]])</f>
        <v>0</v>
      </c>
      <c r="N183" s="20">
        <f>SUMIFS(estoque[valor total],estoque[fornecedor],"&lt;&gt;saída",estoque[produto],preçodiario[[#Headers],[OVO BRANCO B]],estoque[data],preçodiario[[#This Row],[data]])</f>
        <v>0</v>
      </c>
      <c r="O183" s="20">
        <f>IFERROR(preçodiario[[#This Row],[OVO BRANCO B]]*preçodiario[[#This Row],[estoque B]],0)</f>
        <v>1181.4104180812878</v>
      </c>
      <c r="P1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Row],[data]])),((P182*Q182)+SUMIFS(estoque[valor total],estoque[produto],preçodiario[[#Headers],[OVO BRANCO C]],estoque[data],preçodiario[[#This Row],[data]],estoque[fornecedor],"&lt;&gt;saída"))/(Q182+(SUMIFS(estoque[quantidade],estoque[produto],preçodiario[[#Headers],[OVO BRANCO C]],estoque[fornecedor],"&lt;&gt;saída",estoque[data],preçodiario[[#This Row],[data]])))))</f>
        <v>13.833333333333339</v>
      </c>
      <c r="Q183" s="22">
        <f>IF(preçodiario[[#This Row],[entrada C]]=0,Q182-(SUMIFS(estoque[quantidade],estoque[fornecedor],"saída",estoque[produto],preçodiario[[#Headers],[OVO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Row],[data]]))+Q182+preçodiario[[#This Row],[entrada C]])</f>
        <v>5</v>
      </c>
      <c r="R183" s="22">
        <f>SUMIFS(estoque[quantidade],estoque[fornecedor],"&lt;&gt;saída",estoque[produto],preçodiario[[#Headers],[OVO BRANCO C]],estoque[data],preçodiario[[#This Row],[data]])</f>
        <v>0</v>
      </c>
      <c r="S183" s="20">
        <f>SUMIFS(estoque[valor total],estoque[fornecedor],"&lt;&gt;saída",estoque[produto],preçodiario[[#Headers],[OVO BRANCO C]],estoque[data],preçodiario[[#This Row],[data]])</f>
        <v>0</v>
      </c>
      <c r="T183" s="20">
        <f>IFERROR(preçodiario[[#This Row],[OVO BRANCO C]]*preçodiario[[#This Row],[estoque C]],0)</f>
        <v>69.1666666666667</v>
      </c>
      <c r="U1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Row],[data]])),((U182*V182)+SUMIFS(estoque[valor total],estoque[produto],preçodiario[[#Headers],[OVO BRANCO EXTRA]],estoque[data],preçodiario[[#This Row],[data]],estoque[fornecedor],"&lt;&gt;saída"))/(V182+(SUMIFS(estoque[quantidade],estoque[produto],preçodiario[[#Headers],[OVO BRANCO EXTRA]],estoque[fornecedor],"&lt;&gt;saída",estoque[data],preçodiario[[#This Row],[data]])))))</f>
        <v>15.833333333333334</v>
      </c>
      <c r="V183" s="22">
        <f>IF(preçodiario[[#This Row],[entrada E]]=0,V182-(SUMIFS(estoque[quantidade],estoque[fornecedor],"saída",estoque[produto],preçodiario[[#Headers],[OVO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Row],[data]]))+V182+preçodiario[[#This Row],[entrada E]])</f>
        <v>135</v>
      </c>
      <c r="W183" s="22">
        <f>SUMIFS(estoque[quantidade],estoque[fornecedor],"&lt;&gt;saída",estoque[produto],preçodiario[[#Headers],[OVO BRANCO EXTRA]],estoque[data],preçodiario[[#This Row],[data]])</f>
        <v>60</v>
      </c>
      <c r="X183" s="20">
        <f>SUMIFS(estoque[valor total],estoque[fornecedor],"&lt;&gt;saída",estoque[produto],preçodiario[[#Headers],[OVO BRANCO EXTRA]],estoque[data],preçodiario[[#This Row],[data]])</f>
        <v>950</v>
      </c>
      <c r="Y183" s="20">
        <f>IFERROR(preçodiario[[#This Row],[estoque E]]*preçodiario[[#This Row],[OVO BRANCO EXTRA]],0)</f>
        <v>2137.5</v>
      </c>
      <c r="Z18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Row],[data]])),((Z182*AA182)+SUMIFS(estoque[valor total],estoque[produto],preçodiario[[#Headers],[OVO BRANCO JUMBO]],estoque[data],preçodiario[[#This Row],[data]],estoque[fornecedor],"&lt;&gt;saída"))/(AA182+(SUMIFS(estoque[quantidade],estoque[produto],preçodiario[[#Headers],[OVO BRANCO JUMBO]],estoque[fornecedor],"&lt;&gt;saída",estoque[data],preçodiario[[#This Row],[data]])))))</f>
        <v>16.251960784313727</v>
      </c>
      <c r="AA183" s="22">
        <f>IF(preçodiario[[#This Row],[entrada J]]=0,AA182-(SUMIFS(estoque[quantidade],estoque[fornecedor],"saída",estoque[produto],preçodiario[[#Headers],[OVO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Row],[data]]))+AA182+preçodiario[[#This Row],[entrada J]])</f>
        <v>128</v>
      </c>
      <c r="AB183" s="22">
        <f>SUMIFS(estoque[quantidade],estoque[fornecedor],"&lt;&gt;saída",estoque[produto],preçodiario[[#Headers],[OVO BRANCO JUMBO]],estoque[data],preçodiario[[#This Row],[data]])</f>
        <v>120</v>
      </c>
      <c r="AC183" s="20">
        <f>SUMIFS(estoque[valor total],estoque[fornecedor],"&lt;&gt;saída",estoque[produto],preçodiario[[#Headers],[OVO BRANCO JUMBO]],estoque[data],preçodiario[[#This Row],[data]])</f>
        <v>1950</v>
      </c>
      <c r="AD183" s="20">
        <f>IFERROR(preçodiario[[#This Row],[OVO BRANCO JUMBO]]*preçodiario[[#This Row],[estoque J]],0)</f>
        <v>2080.2509803921571</v>
      </c>
      <c r="AE1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Row],[data]])),((AE182*AF182)+SUMIFS(estoque[valor total],estoque[produto],preçodiario[[#Headers],[OVO VERMELHO A]],estoque[data],preçodiario[[#This Row],[data]],estoque[fornecedor],"&lt;&gt;saída"))/(AF182+(SUMIFS(estoque[quantidade],estoque[produto],preçodiario[[#Headers],[OVO VERMELHO A]],estoque[fornecedor],"&lt;&gt;saída",estoque[data],preçodiario[[#This Row],[data]])))))</f>
        <v/>
      </c>
      <c r="AF183" s="22">
        <f>IF(preçodiario[[#This Row],[entrada AV]]=0,AF182-(SUMIFS(estoque[quantidade],estoque[fornecedor],"saída",estoque[produto],preçodiario[[#Headers],[OVO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Row],[data]]))+AF182+preçodiario[[#This Row],[entrada AV]])</f>
        <v>0</v>
      </c>
      <c r="AG183" s="22">
        <f>SUMIFS(estoque[quantidade],estoque[fornecedor],"&lt;&gt;saída",estoque[produto],preçodiario[[#Headers],[OVO VERMELHO A]],estoque[data],preçodiario[[#This Row],[data]])</f>
        <v>0</v>
      </c>
      <c r="AH183" s="20">
        <f>SUMIFS(estoque[valor total],estoque[fornecedor],"&lt;&gt;saída",estoque[produto],preçodiario[[#Headers],[OVO VERMELHO A]],estoque[data],preçodiario[[#This Row],[data]])</f>
        <v>0</v>
      </c>
      <c r="AI183" s="20">
        <f>IFERROR(preçodiario[[#This Row],[OVO VERMELHO A]]*preçodiario[[#This Row],[estoque AV]],0)</f>
        <v>0</v>
      </c>
      <c r="AJ1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Row],[data]])),((AJ182*AK182)+SUMIFS(estoque[valor total],estoque[produto],preçodiario[[#Headers],[OVO VERMELHO B]],estoque[data],preçodiario[[#This Row],[data]],estoque[fornecedor],"&lt;&gt;saída"))/(AK182+(SUMIFS(estoque[quantidade],estoque[produto],preçodiario[[#Headers],[OVO VERMELHO B]],estoque[fornecedor],"&lt;&gt;saída",estoque[data],preçodiario[[#This Row],[data]])))))</f>
        <v/>
      </c>
      <c r="AK183" s="22">
        <f>IF(preçodiario[[#This Row],[entrada BV]]=0,AK182-(SUMIFS(estoque[quantidade],estoque[fornecedor],"saída",estoque[produto],preçodiario[[#Headers],[OVO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Row],[data]]))+AK182+preçodiario[[#This Row],[entrada BV]])</f>
        <v>0</v>
      </c>
      <c r="AL183" s="22">
        <f>SUMIFS(estoque[quantidade],estoque[fornecedor],"&lt;&gt;saída",estoque[produto],preçodiario[[#Headers],[OVO VERMELHO B]],estoque[data],preçodiario[[#This Row],[data]])</f>
        <v>0</v>
      </c>
      <c r="AM183" s="20">
        <f>SUMIFS(estoque[valor total],estoque[fornecedor],"&lt;&gt;saída",estoque[produto],preçodiario[[#Headers],[OVO VERMELHO B]],estoque[data],preçodiario[[#This Row],[data]])</f>
        <v>0</v>
      </c>
      <c r="AN183" s="20">
        <f>IFERROR(preçodiario[[#This Row],[OVO VERMELHO B]]*preçodiario[[#This Row],[estoque BV]],0)</f>
        <v>0</v>
      </c>
      <c r="AO1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Row],[data]])),((AO182*AP182)+SUMIFS(estoque[valor total],estoque[produto],preçodiario[[#Headers],[OVO VERMELHO C]],estoque[data],preçodiario[[#This Row],[data]],estoque[fornecedor],"&lt;&gt;saída"))/(AP182+(SUMIFS(estoque[quantidade],estoque[produto],preçodiario[[#Headers],[OVO VERMELHO C]],estoque[fornecedor],"&lt;&gt;saída",estoque[data],preçodiario[[#This Row],[data]])))))</f>
        <v/>
      </c>
      <c r="AP183" s="22">
        <f>IF(preçodiario[[#This Row],[entrada CV]]=0,AP182-(SUMIFS(estoque[quantidade],estoque[fornecedor],"saída",estoque[produto],preçodiario[[#Headers],[OVO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Row],[data]]))+AP182+preçodiario[[#This Row],[entrada CV]])</f>
        <v>0</v>
      </c>
      <c r="AQ183" s="22">
        <f>SUMIFS(estoque[quantidade],estoque[fornecedor],"&lt;&gt;saída",estoque[produto],preçodiario[[#Headers],[OVO VERMELHO C]],estoque[data],preçodiario[[#This Row],[data]])</f>
        <v>0</v>
      </c>
      <c r="AR183" s="20">
        <f>SUMIFS(estoque[valor total],estoque[fornecedor],"&lt;&gt;saída",estoque[produto],preçodiario[[#Headers],[OVO VERMELHO C]],estoque[data],preçodiario[[#This Row],[data]])</f>
        <v>0</v>
      </c>
      <c r="AS183" s="20">
        <f>IFERROR(preçodiario[[#This Row],[OVO VERMELHO C]]*preçodiario[[#This Row],[estoque CV]],0)</f>
        <v>0</v>
      </c>
      <c r="AT1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Row],[data]])),((AT182*AU182)+SUMIFS(estoque[valor total],estoque[produto],preçodiario[[#Headers],[OVO VERMELHO EXTRA]],estoque[data],preçodiario[[#This Row],[data]],estoque[fornecedor],"&lt;&gt;saída"))/(AU182+(SUMIFS(estoque[quantidade],estoque[produto],preçodiario[[#Headers],[OVO VERMELHO EXTRA]],estoque[fornecedor],"&lt;&gt;saída",estoque[data],preçodiario[[#This Row],[data]])))))</f>
        <v/>
      </c>
      <c r="AU183" s="22">
        <f>IF(preçodiario[[#This Row],[entrada EV]]=0,AU182-(SUMIFS(estoque[quantidade],estoque[fornecedor],"saída",estoque[produto],preçodiario[[#Headers],[OVO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Row],[data]]))+AU182+preçodiario[[#This Row],[entrada EV]])</f>
        <v>0</v>
      </c>
      <c r="AV183" s="22">
        <f>SUMIFS(estoque[quantidade],estoque[fornecedor],"&lt;&gt;saída",estoque[produto],preçodiario[[#Headers],[OVO VERMELHO EXTRA]],estoque[data],preçodiario[[#This Row],[data]])</f>
        <v>0</v>
      </c>
      <c r="AW183" s="20">
        <f>SUMIFS(estoque[valor total],estoque[fornecedor],"&lt;&gt;saída",estoque[produto],preçodiario[[#Headers],[OVO VERMELHO EXTRA]],estoque[data],preçodiario[[#This Row],[data]])</f>
        <v>0</v>
      </c>
      <c r="AX183" s="20">
        <f>IFERROR(preçodiario[[#This Row],[OVO VERMELHO EXTRA]]*preçodiario[[#This Row],[estoque EV]],0)</f>
        <v>0</v>
      </c>
      <c r="AY1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Row],[data]])),((AY182*AZ182)+SUMIFS(estoque[valor total],estoque[produto],preçodiario[[#Headers],[OVO VERMELHO JUMBO]],estoque[data],preçodiario[[#This Row],[data]],estoque[fornecedor],"&lt;&gt;saída"))/(AZ182+(SUMIFS(estoque[quantidade],estoque[produto],preçodiario[[#Headers],[OVO VERMELHO JUMBO]],estoque[fornecedor],"&lt;&gt;saída",estoque[data],preçodiario[[#This Row],[data]])))))</f>
        <v/>
      </c>
      <c r="AZ183" s="22">
        <f>IF(preçodiario[[#This Row],[entrada JV]]=0,AZ182-(SUMIFS(estoque[quantidade],estoque[fornecedor],"saída",estoque[produto],preçodiario[[#Headers],[OVO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Row],[data]]))+AZ182+preçodiario[[#This Row],[entrada JV]])</f>
        <v>0</v>
      </c>
      <c r="BA183" s="22">
        <f>SUMIFS(estoque[quantidade],estoque[fornecedor],"&lt;&gt;saída",estoque[produto],preçodiario[[#Headers],[OVO VERMELHO JUMBO]],estoque[data],preçodiario[[#This Row],[data]])</f>
        <v>0</v>
      </c>
      <c r="BB183" s="20">
        <f>SUMIFS(estoque[valor total],estoque[fornecedor],"&lt;&gt;saída",estoque[produto],preçodiario[[#Headers],[OVO VERMELHO JUMBO]],estoque[data],preçodiario[[#This Row],[data]])</f>
        <v>0</v>
      </c>
      <c r="BC183" s="20">
        <f>IFERROR(preçodiario[[#This Row],[OVO VERMELHO JUMBO]]*preçodiario[[#This Row],[estoque JV]],0)</f>
        <v>0</v>
      </c>
      <c r="BD183" t="str">
        <f>TEXT(vendaAno[[#This Row],[data]],"mmm")</f>
        <v>jul</v>
      </c>
      <c r="BE183" t="str">
        <f>TEXT(vendaAno[[#This Row],[data]],"ddd")</f>
        <v>qua</v>
      </c>
      <c r="BF183" s="82">
        <f>WEEKNUM(vendaAno[[#This Row],[data]],13)</f>
        <v>27</v>
      </c>
      <c r="BG183" s="27">
        <f>preçodiario[[#This Row],[data]]</f>
        <v>46204</v>
      </c>
      <c r="BH183" s="8">
        <f>IF(SUMIFS(estoque[valor total],estoque[fornecedor],"&lt;&gt;saída",estoque[data],vendaAno[[#This Row],[data]])=0,"",SUMIFS(estoque[valor total],estoque[fornecedor],"&lt;&gt;saída",estoque[data],vendaAno[[#This Row],[data]]))</f>
        <v>2900</v>
      </c>
      <c r="BI183" s="8">
        <f>IF(SUMIFS(estoque[valor total],estoque[fornecedor],"saída",estoque[data],vendaAno[[#This Row],[data]])=0,"",SUMIFS(estoque[valor total],estoque[fornecedor],"saída",estoque[data],vendaAno[[#This Row],[data]]))</f>
        <v>786</v>
      </c>
      <c r="BJ18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Row],[data]]))/12+BJ182,"")</f>
        <v>37.833333333333314</v>
      </c>
      <c r="BK183" s="79">
        <f ca="1">IF(TODAY()&gt;=vendaAno[[#This Row],[data]],IF(SUMIFS(estoque[quantidade],estoque[fornecedor],"saída",estoque[data],vendaAno[[#This Row],[data]])/12=0,AVERAGE(BK180:BK182),SUMIFS(estoque[quantidade],estoque[fornecedor],"saída",estoque[data],vendaAno[[#This Row],[data]])/12),"")</f>
        <v>3.4166666666666665</v>
      </c>
      <c r="BL183" s="8">
        <f ca="1">IF(vendaAno[[#This Row],[data]]&lt;=TODAY(),IF(SUMIFS(estoque[lucro],estoque[fornecedor],"saída",estoque[data],vendaAno[[#This Row],[data]])=0,AVERAGE(BL180:BL182),SUMIFS(estoque[lucro],estoque[fornecedor],"saída",estoque[data],vendaAno[[#This Row],[data]])),"")</f>
        <v>153.73000000000002</v>
      </c>
      <c r="BM183" s="10">
        <f ca="1">IFERROR(vendaAno[[#This Row],[lucro]]/vendaAno[[#This Row],[valor de venda]],"")</f>
        <v>0.19558524173027991</v>
      </c>
      <c r="BN18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7087.078065140111</v>
      </c>
      <c r="BO183" s="8">
        <f ca="1">IF(TODAY()&gt;=vendaAno[[#This Row],[data]],IF(vendaAno[[#This Row],[N°]]=BF182,vendaAno[[#This Row],[lucro]]-173.33+BO182,vendaAno[[#This Row],[lucro]]-150),"")</f>
        <v>3.7300000000000182</v>
      </c>
      <c r="BP183" s="81">
        <f ca="1">IF(TODAY()&gt;=vendaAno[[#This Row],[data]],SUM(BK177:BK183)*12,"")</f>
        <v>204</v>
      </c>
      <c r="BQ183" s="7">
        <f ca="1">IFERROR(vendaAno[[#This Row],[lucro]]/(vendaAno[[#This Row],[venda]]*12),"")</f>
        <v>3.7495121951219517</v>
      </c>
    </row>
    <row r="184" spans="1:69" x14ac:dyDescent="0.25">
      <c r="A1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4" s="18" t="str">
        <f>TEXT(preçodiario[[#This Row],[data]],"MMM")</f>
        <v>jul</v>
      </c>
      <c r="C184" s="18" t="str">
        <f>TEXT(preçodiario[[#This Row],[data]],"ddd")</f>
        <v>qui</v>
      </c>
      <c r="D184" s="96">
        <f>WEEKNUM(preçodiario[[#This Row],[data]],13)</f>
        <v>27</v>
      </c>
      <c r="E184" s="37">
        <v>46205</v>
      </c>
      <c r="F1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Row],[data]])),((F183*G183)+SUMIFS(estoque[valor total],estoque[produto],preçodiario[[#Headers],[OVO BRANCO A]],estoque[data],preçodiario[[#This Row],[data]],estoque[fornecedor],"&lt;&gt;saída"))/(G183+(SUMIFS(estoque[quantidade],estoque[produto],preçodiario[[#Headers],[OVO BRANCO A]],estoque[fornecedor],"&lt;&gt;saída",estoque[data],preçodiario[[#This Row],[data]])))))</f>
        <v>15.416666666666664</v>
      </c>
      <c r="G184" s="22">
        <f>IF(preçodiario[[#This Row],[entrada A]]=0,G183-(SUMIFS(estoque[quantidade],estoque[fornecedor],"saída",estoque[produto],preçodiario[[#Headers],[OVO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Row],[data]]))+G183+preçodiario[[#This Row],[entrada A]])</f>
        <v>97</v>
      </c>
      <c r="H184" s="22">
        <f>SUMIFS(estoque[quantidade],estoque[fornecedor],"&lt;&gt;saída",estoque[produto],preçodiario[[#Headers],[OVO BRANCO A]],estoque[data],preçodiario[[#This Row],[data]])</f>
        <v>0</v>
      </c>
      <c r="I184" s="20">
        <f>SUMIFS(estoque[valor total],estoque[fornecedor],"&lt;&gt;saída",estoque[produto],preçodiario[[#Headers],[OVO BRANCO A]],estoque[data],preçodiario[[#This Row],[data]])</f>
        <v>0</v>
      </c>
      <c r="J184" s="20">
        <f>IFERROR(preçodiario[[#This Row],[estoque A]]*preçodiario[[#This Row],[OVO BRANCO A]],0)</f>
        <v>1495.4166666666665</v>
      </c>
      <c r="K1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Row],[data]])),((K183*L183)+SUMIFS(estoque[valor total],estoque[produto],preçodiario[[#Headers],[OVO BRANCO B]],estoque[data],preçodiario[[#This Row],[data]],estoque[fornecedor],"&lt;&gt;saída"))/(L183+(SUMIFS(estoque[quantidade],estoque[produto],preçodiario[[#Headers],[OVO BRANCO B]],estoque[fornecedor],"&lt;&gt;saída",estoque[data],preçodiario[[#This Row],[data]])))))</f>
        <v>14.585313803472689</v>
      </c>
      <c r="L184" s="22">
        <f>IF(preçodiario[[#This Row],[entrada B]]=0,L183-(SUMIFS(estoque[quantidade],estoque[fornecedor],"saída",estoque[produto],preçodiario[[#Headers],[OVO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Row],[data]]))+L183+preçodiario[[#This Row],[entrada B]])</f>
        <v>78</v>
      </c>
      <c r="M184" s="22">
        <f>SUMIFS(estoque[quantidade],estoque[fornecedor],"&lt;&gt;saída",estoque[produto],preçodiario[[#Headers],[OVO BRANCO B]],estoque[data],preçodiario[[#This Row],[data]])</f>
        <v>0</v>
      </c>
      <c r="N184" s="20">
        <f>SUMIFS(estoque[valor total],estoque[fornecedor],"&lt;&gt;saída",estoque[produto],preçodiario[[#Headers],[OVO BRANCO B]],estoque[data],preçodiario[[#This Row],[data]])</f>
        <v>0</v>
      </c>
      <c r="O184" s="20">
        <f>IFERROR(preçodiario[[#This Row],[OVO BRANCO B]]*preçodiario[[#This Row],[estoque B]],0)</f>
        <v>1137.6544766708696</v>
      </c>
      <c r="P1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Row],[data]])),((P183*Q183)+SUMIFS(estoque[valor total],estoque[produto],preçodiario[[#Headers],[OVO BRANCO C]],estoque[data],preçodiario[[#This Row],[data]],estoque[fornecedor],"&lt;&gt;saída"))/(Q183+(SUMIFS(estoque[quantidade],estoque[produto],preçodiario[[#Headers],[OVO BRANCO C]],estoque[fornecedor],"&lt;&gt;saída",estoque[data],preçodiario[[#This Row],[data]])))))</f>
        <v>13.833333333333339</v>
      </c>
      <c r="Q184" s="22">
        <f>IF(preçodiario[[#This Row],[entrada C]]=0,Q183-(SUMIFS(estoque[quantidade],estoque[fornecedor],"saída",estoque[produto],preçodiario[[#Headers],[OVO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Row],[data]]))+Q183+preçodiario[[#This Row],[entrada C]])</f>
        <v>1</v>
      </c>
      <c r="R184" s="22">
        <f>SUMIFS(estoque[quantidade],estoque[fornecedor],"&lt;&gt;saída",estoque[produto],preçodiario[[#Headers],[OVO BRANCO C]],estoque[data],preçodiario[[#This Row],[data]])</f>
        <v>0</v>
      </c>
      <c r="S184" s="20">
        <f>SUMIFS(estoque[valor total],estoque[fornecedor],"&lt;&gt;saída",estoque[produto],preçodiario[[#Headers],[OVO BRANCO C]],estoque[data],preçodiario[[#This Row],[data]])</f>
        <v>0</v>
      </c>
      <c r="T184" s="20">
        <f>IFERROR(preçodiario[[#This Row],[OVO BRANCO C]]*preçodiario[[#This Row],[estoque C]],0)</f>
        <v>13.833333333333339</v>
      </c>
      <c r="U1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Row],[data]])),((U183*V183)+SUMIFS(estoque[valor total],estoque[produto],preçodiario[[#Headers],[OVO BRANCO EXTRA]],estoque[data],preçodiario[[#This Row],[data]],estoque[fornecedor],"&lt;&gt;saída"))/(V183+(SUMIFS(estoque[quantidade],estoque[produto],preçodiario[[#Headers],[OVO BRANCO EXTRA]],estoque[fornecedor],"&lt;&gt;saída",estoque[data],preçodiario[[#This Row],[data]])))))</f>
        <v>15.833333333333334</v>
      </c>
      <c r="V184" s="22">
        <f>IF(preçodiario[[#This Row],[entrada E]]=0,V183-(SUMIFS(estoque[quantidade],estoque[fornecedor],"saída",estoque[produto],preçodiario[[#Headers],[OVO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Row],[data]]))+V183+preçodiario[[#This Row],[entrada E]])</f>
        <v>114</v>
      </c>
      <c r="W184" s="22">
        <f>SUMIFS(estoque[quantidade],estoque[fornecedor],"&lt;&gt;saída",estoque[produto],preçodiario[[#Headers],[OVO BRANCO EXTRA]],estoque[data],preçodiario[[#This Row],[data]])</f>
        <v>0</v>
      </c>
      <c r="X184" s="20">
        <f>SUMIFS(estoque[valor total],estoque[fornecedor],"&lt;&gt;saída",estoque[produto],preçodiario[[#Headers],[OVO BRANCO EXTRA]],estoque[data],preçodiario[[#This Row],[data]])</f>
        <v>0</v>
      </c>
      <c r="Y184" s="20">
        <f>IFERROR(preçodiario[[#This Row],[estoque E]]*preçodiario[[#This Row],[OVO BRANCO EXTRA]],0)</f>
        <v>1805</v>
      </c>
      <c r="Z18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Row],[data]])),((Z183*AA183)+SUMIFS(estoque[valor total],estoque[produto],preçodiario[[#Headers],[OVO BRANCO JUMBO]],estoque[data],preçodiario[[#This Row],[data]],estoque[fornecedor],"&lt;&gt;saída"))/(AA183+(SUMIFS(estoque[quantidade],estoque[produto],preçodiario[[#Headers],[OVO BRANCO JUMBO]],estoque[fornecedor],"&lt;&gt;saída",estoque[data],preçodiario[[#This Row],[data]])))))</f>
        <v>16.251960784313727</v>
      </c>
      <c r="AA184" s="22">
        <f>IF(preçodiario[[#This Row],[entrada J]]=0,AA183-(SUMIFS(estoque[quantidade],estoque[fornecedor],"saída",estoque[produto],preçodiario[[#Headers],[OVO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Row],[data]]))+AA183+preçodiario[[#This Row],[entrada J]])</f>
        <v>119</v>
      </c>
      <c r="AB184" s="22">
        <f>SUMIFS(estoque[quantidade],estoque[fornecedor],"&lt;&gt;saída",estoque[produto],preçodiario[[#Headers],[OVO BRANCO JUMBO]],estoque[data],preçodiario[[#This Row],[data]])</f>
        <v>0</v>
      </c>
      <c r="AC184" s="20">
        <f>SUMIFS(estoque[valor total],estoque[fornecedor],"&lt;&gt;saída",estoque[produto],preçodiario[[#Headers],[OVO BRANCO JUMBO]],estoque[data],preçodiario[[#This Row],[data]])</f>
        <v>0</v>
      </c>
      <c r="AD184" s="20">
        <f>IFERROR(preçodiario[[#This Row],[OVO BRANCO JUMBO]]*preçodiario[[#This Row],[estoque J]],0)</f>
        <v>1933.9833333333336</v>
      </c>
      <c r="AE1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Row],[data]])),((AE183*AF183)+SUMIFS(estoque[valor total],estoque[produto],preçodiario[[#Headers],[OVO VERMELHO A]],estoque[data],preçodiario[[#This Row],[data]],estoque[fornecedor],"&lt;&gt;saída"))/(AF183+(SUMIFS(estoque[quantidade],estoque[produto],preçodiario[[#Headers],[OVO VERMELHO A]],estoque[fornecedor],"&lt;&gt;saída",estoque[data],preçodiario[[#This Row],[data]])))))</f>
        <v/>
      </c>
      <c r="AF184" s="22">
        <f>IF(preçodiario[[#This Row],[entrada AV]]=0,AF183-(SUMIFS(estoque[quantidade],estoque[fornecedor],"saída",estoque[produto],preçodiario[[#Headers],[OVO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Row],[data]]))+AF183+preçodiario[[#This Row],[entrada AV]])</f>
        <v>0</v>
      </c>
      <c r="AG184" s="22">
        <f>SUMIFS(estoque[quantidade],estoque[fornecedor],"&lt;&gt;saída",estoque[produto],preçodiario[[#Headers],[OVO VERMELHO A]],estoque[data],preçodiario[[#This Row],[data]])</f>
        <v>0</v>
      </c>
      <c r="AH184" s="20">
        <f>SUMIFS(estoque[valor total],estoque[fornecedor],"&lt;&gt;saída",estoque[produto],preçodiario[[#Headers],[OVO VERMELHO A]],estoque[data],preçodiario[[#This Row],[data]])</f>
        <v>0</v>
      </c>
      <c r="AI184" s="20">
        <f>IFERROR(preçodiario[[#This Row],[OVO VERMELHO A]]*preçodiario[[#This Row],[estoque AV]],0)</f>
        <v>0</v>
      </c>
      <c r="AJ1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Row],[data]])),((AJ183*AK183)+SUMIFS(estoque[valor total],estoque[produto],preçodiario[[#Headers],[OVO VERMELHO B]],estoque[data],preçodiario[[#This Row],[data]],estoque[fornecedor],"&lt;&gt;saída"))/(AK183+(SUMIFS(estoque[quantidade],estoque[produto],preçodiario[[#Headers],[OVO VERMELHO B]],estoque[fornecedor],"&lt;&gt;saída",estoque[data],preçodiario[[#This Row],[data]])))))</f>
        <v/>
      </c>
      <c r="AK184" s="22">
        <f>IF(preçodiario[[#This Row],[entrada BV]]=0,AK183-(SUMIFS(estoque[quantidade],estoque[fornecedor],"saída",estoque[produto],preçodiario[[#Headers],[OVO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Row],[data]]))+AK183+preçodiario[[#This Row],[entrada BV]])</f>
        <v>0</v>
      </c>
      <c r="AL184" s="22">
        <f>SUMIFS(estoque[quantidade],estoque[fornecedor],"&lt;&gt;saída",estoque[produto],preçodiario[[#Headers],[OVO VERMELHO B]],estoque[data],preçodiario[[#This Row],[data]])</f>
        <v>0</v>
      </c>
      <c r="AM184" s="20">
        <f>SUMIFS(estoque[valor total],estoque[fornecedor],"&lt;&gt;saída",estoque[produto],preçodiario[[#Headers],[OVO VERMELHO B]],estoque[data],preçodiario[[#This Row],[data]])</f>
        <v>0</v>
      </c>
      <c r="AN184" s="20">
        <f>IFERROR(preçodiario[[#This Row],[OVO VERMELHO B]]*preçodiario[[#This Row],[estoque BV]],0)</f>
        <v>0</v>
      </c>
      <c r="AO1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Row],[data]])),((AO183*AP183)+SUMIFS(estoque[valor total],estoque[produto],preçodiario[[#Headers],[OVO VERMELHO C]],estoque[data],preçodiario[[#This Row],[data]],estoque[fornecedor],"&lt;&gt;saída"))/(AP183+(SUMIFS(estoque[quantidade],estoque[produto],preçodiario[[#Headers],[OVO VERMELHO C]],estoque[fornecedor],"&lt;&gt;saída",estoque[data],preçodiario[[#This Row],[data]])))))</f>
        <v/>
      </c>
      <c r="AP184" s="22">
        <f>IF(preçodiario[[#This Row],[entrada CV]]=0,AP183-(SUMIFS(estoque[quantidade],estoque[fornecedor],"saída",estoque[produto],preçodiario[[#Headers],[OVO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Row],[data]]))+AP183+preçodiario[[#This Row],[entrada CV]])</f>
        <v>0</v>
      </c>
      <c r="AQ184" s="22">
        <f>SUMIFS(estoque[quantidade],estoque[fornecedor],"&lt;&gt;saída",estoque[produto],preçodiario[[#Headers],[OVO VERMELHO C]],estoque[data],preçodiario[[#This Row],[data]])</f>
        <v>0</v>
      </c>
      <c r="AR184" s="20">
        <f>SUMIFS(estoque[valor total],estoque[fornecedor],"&lt;&gt;saída",estoque[produto],preçodiario[[#Headers],[OVO VERMELHO C]],estoque[data],preçodiario[[#This Row],[data]])</f>
        <v>0</v>
      </c>
      <c r="AS184" s="20">
        <f>IFERROR(preçodiario[[#This Row],[OVO VERMELHO C]]*preçodiario[[#This Row],[estoque CV]],0)</f>
        <v>0</v>
      </c>
      <c r="AT1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Row],[data]])),((AT183*AU183)+SUMIFS(estoque[valor total],estoque[produto],preçodiario[[#Headers],[OVO VERMELHO EXTRA]],estoque[data],preçodiario[[#This Row],[data]],estoque[fornecedor],"&lt;&gt;saída"))/(AU183+(SUMIFS(estoque[quantidade],estoque[produto],preçodiario[[#Headers],[OVO VERMELHO EXTRA]],estoque[fornecedor],"&lt;&gt;saída",estoque[data],preçodiario[[#This Row],[data]])))))</f>
        <v/>
      </c>
      <c r="AU184" s="22">
        <f>IF(preçodiario[[#This Row],[entrada EV]]=0,AU183-(SUMIFS(estoque[quantidade],estoque[fornecedor],"saída",estoque[produto],preçodiario[[#Headers],[OVO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Row],[data]]))+AU183+preçodiario[[#This Row],[entrada EV]])</f>
        <v>0</v>
      </c>
      <c r="AV184" s="22">
        <f>SUMIFS(estoque[quantidade],estoque[fornecedor],"&lt;&gt;saída",estoque[produto],preçodiario[[#Headers],[OVO VERMELHO EXTRA]],estoque[data],preçodiario[[#This Row],[data]])</f>
        <v>0</v>
      </c>
      <c r="AW184" s="20">
        <f>SUMIFS(estoque[valor total],estoque[fornecedor],"&lt;&gt;saída",estoque[produto],preçodiario[[#Headers],[OVO VERMELHO EXTRA]],estoque[data],preçodiario[[#This Row],[data]])</f>
        <v>0</v>
      </c>
      <c r="AX184" s="20">
        <f>IFERROR(preçodiario[[#This Row],[OVO VERMELHO EXTRA]]*preçodiario[[#This Row],[estoque EV]],0)</f>
        <v>0</v>
      </c>
      <c r="AY1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Row],[data]])),((AY183*AZ183)+SUMIFS(estoque[valor total],estoque[produto],preçodiario[[#Headers],[OVO VERMELHO JUMBO]],estoque[data],preçodiario[[#This Row],[data]],estoque[fornecedor],"&lt;&gt;saída"))/(AZ183+(SUMIFS(estoque[quantidade],estoque[produto],preçodiario[[#Headers],[OVO VERMELHO JUMBO]],estoque[fornecedor],"&lt;&gt;saída",estoque[data],preçodiario[[#This Row],[data]])))))</f>
        <v/>
      </c>
      <c r="AZ184" s="22">
        <f>IF(preçodiario[[#This Row],[entrada JV]]=0,AZ183-(SUMIFS(estoque[quantidade],estoque[fornecedor],"saída",estoque[produto],preçodiario[[#Headers],[OVO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Row],[data]]))+AZ183+preçodiario[[#This Row],[entrada JV]])</f>
        <v>0</v>
      </c>
      <c r="BA184" s="22">
        <f>SUMIFS(estoque[quantidade],estoque[fornecedor],"&lt;&gt;saída",estoque[produto],preçodiario[[#Headers],[OVO VERMELHO JUMBO]],estoque[data],preçodiario[[#This Row],[data]])</f>
        <v>0</v>
      </c>
      <c r="BB184" s="20">
        <f>SUMIFS(estoque[valor total],estoque[fornecedor],"&lt;&gt;saída",estoque[produto],preçodiario[[#Headers],[OVO VERMELHO JUMBO]],estoque[data],preçodiario[[#This Row],[data]])</f>
        <v>0</v>
      </c>
      <c r="BC184" s="20">
        <f>IFERROR(preçodiario[[#This Row],[OVO VERMELHO JUMBO]]*preçodiario[[#This Row],[estoque JV]],0)</f>
        <v>0</v>
      </c>
      <c r="BD184" t="str">
        <f>TEXT(vendaAno[[#This Row],[data]],"mmm")</f>
        <v>jul</v>
      </c>
      <c r="BE184" t="str">
        <f>TEXT(vendaAno[[#This Row],[data]],"ddd")</f>
        <v>qui</v>
      </c>
      <c r="BF184" s="82">
        <f>WEEKNUM(vendaAno[[#This Row],[data]],13)</f>
        <v>27</v>
      </c>
      <c r="BG184" s="27">
        <f>preçodiario[[#This Row],[data]]</f>
        <v>46205</v>
      </c>
      <c r="BH1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4" s="8">
        <f>IF(SUMIFS(estoque[valor total],estoque[fornecedor],"saída",estoque[data],vendaAno[[#This Row],[data]])=0,"",SUMIFS(estoque[valor total],estoque[fornecedor],"saída",estoque[data],vendaAno[[#This Row],[data]]))</f>
        <v>887</v>
      </c>
      <c r="BJ18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Row],[data]]))/12+BJ183,"")</f>
        <v>34.083333333333314</v>
      </c>
      <c r="BK184" s="79">
        <f ca="1">IF(TODAY()&gt;=vendaAno[[#This Row],[data]],IF(SUMIFS(estoque[quantidade],estoque[fornecedor],"saída",estoque[data],vendaAno[[#This Row],[data]])/12=0,AVERAGE(BK181:BK183),SUMIFS(estoque[quantidade],estoque[fornecedor],"saída",estoque[data],vendaAno[[#This Row],[data]])/12),"")</f>
        <v>3.75</v>
      </c>
      <c r="BL184" s="8">
        <f ca="1">IF(vendaAno[[#This Row],[data]]&lt;=TODAY(),IF(SUMIFS(estoque[lucro],estoque[fornecedor],"saída",estoque[data],vendaAno[[#This Row],[data]])=0,AVERAGE(BL181:BL183),SUMIFS(estoque[lucro],estoque[fornecedor],"saída",estoque[data],vendaAno[[#This Row],[data]])),"")</f>
        <v>185.81</v>
      </c>
      <c r="BM184" s="10">
        <f ca="1">IFERROR(vendaAno[[#This Row],[lucro]]/vendaAno[[#This Row],[valor de venda]],"")</f>
        <v>0.20948139797068771</v>
      </c>
      <c r="BN18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6385.8878100042039</v>
      </c>
      <c r="BO184" s="8">
        <f ca="1">IF(TODAY()&gt;=vendaAno[[#This Row],[data]],IF(vendaAno[[#This Row],[N°]]=BF183,vendaAno[[#This Row],[lucro]]-173.33+BO183,vendaAno[[#This Row],[lucro]]-150),"")</f>
        <v>16.210000000000008</v>
      </c>
      <c r="BP184" s="81">
        <f ca="1">IF(TODAY()&gt;=vendaAno[[#This Row],[data]],SUM(BK178:BK184)*12,"")</f>
        <v>213</v>
      </c>
      <c r="BQ184" s="7">
        <f ca="1">IFERROR(vendaAno[[#This Row],[lucro]]/(vendaAno[[#This Row],[venda]]*12),"")</f>
        <v>4.1291111111111114</v>
      </c>
    </row>
    <row r="185" spans="1:69" x14ac:dyDescent="0.25">
      <c r="A1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5" s="18" t="str">
        <f>TEXT(preçodiario[[#This Row],[data]],"MMM")</f>
        <v>jul</v>
      </c>
      <c r="C185" s="18" t="str">
        <f>TEXT(preçodiario[[#This Row],[data]],"ddd")</f>
        <v>sex</v>
      </c>
      <c r="D185" s="96">
        <f>WEEKNUM(preçodiario[[#This Row],[data]],13)</f>
        <v>27</v>
      </c>
      <c r="E185" s="37">
        <v>46206</v>
      </c>
      <c r="F1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Row],[data]])),((F184*G184)+SUMIFS(estoque[valor total],estoque[produto],preçodiario[[#Headers],[OVO BRANCO A]],estoque[data],preçodiario[[#This Row],[data]],estoque[fornecedor],"&lt;&gt;saída"))/(G184+(SUMIFS(estoque[quantidade],estoque[produto],preçodiario[[#Headers],[OVO BRANCO A]],estoque[fornecedor],"&lt;&gt;saída",estoque[data],preçodiario[[#This Row],[data]])))))</f>
        <v>15.416666666666664</v>
      </c>
      <c r="G185" s="22">
        <f>IF(preçodiario[[#This Row],[entrada A]]=0,G184-(SUMIFS(estoque[quantidade],estoque[fornecedor],"saída",estoque[produto],preçodiario[[#Headers],[OVO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Row],[data]]))+G184+preçodiario[[#This Row],[entrada A]])</f>
        <v>84</v>
      </c>
      <c r="H185" s="22">
        <f>SUMIFS(estoque[quantidade],estoque[fornecedor],"&lt;&gt;saída",estoque[produto],preçodiario[[#Headers],[OVO BRANCO A]],estoque[data],preçodiario[[#This Row],[data]])</f>
        <v>0</v>
      </c>
      <c r="I185" s="20">
        <f>SUMIFS(estoque[valor total],estoque[fornecedor],"&lt;&gt;saída",estoque[produto],preçodiario[[#Headers],[OVO BRANCO A]],estoque[data],preçodiario[[#This Row],[data]])</f>
        <v>0</v>
      </c>
      <c r="J185" s="20">
        <f>IFERROR(preçodiario[[#This Row],[estoque A]]*preçodiario[[#This Row],[OVO BRANCO A]],0)</f>
        <v>1294.9999999999998</v>
      </c>
      <c r="K1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Row],[data]])),((K184*L184)+SUMIFS(estoque[valor total],estoque[produto],preçodiario[[#Headers],[OVO BRANCO B]],estoque[data],preçodiario[[#This Row],[data]],estoque[fornecedor],"&lt;&gt;saída"))/(L184+(SUMIFS(estoque[quantidade],estoque[produto],preçodiario[[#Headers],[OVO BRANCO B]],estoque[fornecedor],"&lt;&gt;saída",estoque[data],preçodiario[[#This Row],[data]])))))</f>
        <v>14.585313803472687</v>
      </c>
      <c r="L185" s="22">
        <f>IF(preçodiario[[#This Row],[entrada B]]=0,L184-(SUMIFS(estoque[quantidade],estoque[fornecedor],"saída",estoque[produto],preçodiario[[#Headers],[OVO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Row],[data]]))+L184+preçodiario[[#This Row],[entrada B]])</f>
        <v>71</v>
      </c>
      <c r="M185" s="22">
        <f>SUMIFS(estoque[quantidade],estoque[fornecedor],"&lt;&gt;saída",estoque[produto],preçodiario[[#Headers],[OVO BRANCO B]],estoque[data],preçodiario[[#This Row],[data]])</f>
        <v>0</v>
      </c>
      <c r="N185" s="20">
        <f>SUMIFS(estoque[valor total],estoque[fornecedor],"&lt;&gt;saída",estoque[produto],preçodiario[[#Headers],[OVO BRANCO B]],estoque[data],preçodiario[[#This Row],[data]])</f>
        <v>0</v>
      </c>
      <c r="O185" s="20">
        <f>IFERROR(preçodiario[[#This Row],[OVO BRANCO B]]*preçodiario[[#This Row],[estoque B]],0)</f>
        <v>1035.5572800465607</v>
      </c>
      <c r="P1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Row],[data]])),((P184*Q184)+SUMIFS(estoque[valor total],estoque[produto],preçodiario[[#Headers],[OVO BRANCO C]],estoque[data],preçodiario[[#This Row],[data]],estoque[fornecedor],"&lt;&gt;saída"))/(Q184+(SUMIFS(estoque[quantidade],estoque[produto],preçodiario[[#Headers],[OVO BRANCO C]],estoque[fornecedor],"&lt;&gt;saída",estoque[data],preçodiario[[#This Row],[data]])))))</f>
        <v>13.833333333333339</v>
      </c>
      <c r="Q185" s="22">
        <f>IF(preçodiario[[#This Row],[entrada C]]=0,Q184-(SUMIFS(estoque[quantidade],estoque[fornecedor],"saída",estoque[produto],preçodiario[[#Headers],[OVO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Row],[data]]))+Q184+preçodiario[[#This Row],[entrada C]])</f>
        <v>1</v>
      </c>
      <c r="R185" s="22">
        <f>SUMIFS(estoque[quantidade],estoque[fornecedor],"&lt;&gt;saída",estoque[produto],preçodiario[[#Headers],[OVO BRANCO C]],estoque[data],preçodiario[[#This Row],[data]])</f>
        <v>0</v>
      </c>
      <c r="S185" s="20">
        <f>SUMIFS(estoque[valor total],estoque[fornecedor],"&lt;&gt;saída",estoque[produto],preçodiario[[#Headers],[OVO BRANCO C]],estoque[data],preçodiario[[#This Row],[data]])</f>
        <v>0</v>
      </c>
      <c r="T185" s="20">
        <f>IFERROR(preçodiario[[#This Row],[OVO BRANCO C]]*preçodiario[[#This Row],[estoque C]],0)</f>
        <v>13.833333333333339</v>
      </c>
      <c r="U1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Row],[data]])),((U184*V184)+SUMIFS(estoque[valor total],estoque[produto],preçodiario[[#Headers],[OVO BRANCO EXTRA]],estoque[data],preçodiario[[#This Row],[data]],estoque[fornecedor],"&lt;&gt;saída"))/(V184+(SUMIFS(estoque[quantidade],estoque[produto],preçodiario[[#Headers],[OVO BRANCO EXTRA]],estoque[fornecedor],"&lt;&gt;saída",estoque[data],preçodiario[[#This Row],[data]])))))</f>
        <v>15.833333333333334</v>
      </c>
      <c r="V185" s="22">
        <f>IF(preçodiario[[#This Row],[entrada E]]=0,V184-(SUMIFS(estoque[quantidade],estoque[fornecedor],"saída",estoque[produto],preçodiario[[#Headers],[OVO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Row],[data]]))+V184+preçodiario[[#This Row],[entrada E]])</f>
        <v>110</v>
      </c>
      <c r="W185" s="22">
        <f>SUMIFS(estoque[quantidade],estoque[fornecedor],"&lt;&gt;saída",estoque[produto],preçodiario[[#Headers],[OVO BRANCO EXTRA]],estoque[data],preçodiario[[#This Row],[data]])</f>
        <v>0</v>
      </c>
      <c r="X185" s="20">
        <f>SUMIFS(estoque[valor total],estoque[fornecedor],"&lt;&gt;saída",estoque[produto],preçodiario[[#Headers],[OVO BRANCO EXTRA]],estoque[data],preçodiario[[#This Row],[data]])</f>
        <v>0</v>
      </c>
      <c r="Y185" s="20">
        <f>IFERROR(preçodiario[[#This Row],[estoque E]]*preçodiario[[#This Row],[OVO BRANCO EXTRA]],0)</f>
        <v>1741.6666666666667</v>
      </c>
      <c r="Z18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Row],[data]])),((Z184*AA184)+SUMIFS(estoque[valor total],estoque[produto],preçodiario[[#Headers],[OVO BRANCO JUMBO]],estoque[data],preçodiario[[#This Row],[data]],estoque[fornecedor],"&lt;&gt;saída"))/(AA184+(SUMIFS(estoque[quantidade],estoque[produto],preçodiario[[#Headers],[OVO BRANCO JUMBO]],estoque[fornecedor],"&lt;&gt;saída",estoque[data],preçodiario[[#This Row],[data]])))))</f>
        <v>16.251960784313727</v>
      </c>
      <c r="AA185" s="22">
        <f>IF(preçodiario[[#This Row],[entrada J]]=0,AA184-(SUMIFS(estoque[quantidade],estoque[fornecedor],"saída",estoque[produto],preçodiario[[#Headers],[OVO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Row],[data]]))+AA184+preçodiario[[#This Row],[entrada J]])</f>
        <v>110</v>
      </c>
      <c r="AB185" s="22">
        <f>SUMIFS(estoque[quantidade],estoque[fornecedor],"&lt;&gt;saída",estoque[produto],preçodiario[[#Headers],[OVO BRANCO JUMBO]],estoque[data],preçodiario[[#This Row],[data]])</f>
        <v>0</v>
      </c>
      <c r="AC185" s="20">
        <f>SUMIFS(estoque[valor total],estoque[fornecedor],"&lt;&gt;saída",estoque[produto],preçodiario[[#Headers],[OVO BRANCO JUMBO]],estoque[data],preçodiario[[#This Row],[data]])</f>
        <v>0</v>
      </c>
      <c r="AD185" s="20">
        <f>IFERROR(preçodiario[[#This Row],[OVO BRANCO JUMBO]]*preçodiario[[#This Row],[estoque J]],0)</f>
        <v>1787.7156862745101</v>
      </c>
      <c r="AE1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Row],[data]])),((AE184*AF184)+SUMIFS(estoque[valor total],estoque[produto],preçodiario[[#Headers],[OVO VERMELHO A]],estoque[data],preçodiario[[#This Row],[data]],estoque[fornecedor],"&lt;&gt;saída"))/(AF184+(SUMIFS(estoque[quantidade],estoque[produto],preçodiario[[#Headers],[OVO VERMELHO A]],estoque[fornecedor],"&lt;&gt;saída",estoque[data],preçodiario[[#This Row],[data]])))))</f>
        <v/>
      </c>
      <c r="AF185" s="22">
        <f>IF(preçodiario[[#This Row],[entrada AV]]=0,AF184-(SUMIFS(estoque[quantidade],estoque[fornecedor],"saída",estoque[produto],preçodiario[[#Headers],[OVO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Row],[data]]))+AF184+preçodiario[[#This Row],[entrada AV]])</f>
        <v>0</v>
      </c>
      <c r="AG185" s="22">
        <f>SUMIFS(estoque[quantidade],estoque[fornecedor],"&lt;&gt;saída",estoque[produto],preçodiario[[#Headers],[OVO VERMELHO A]],estoque[data],preçodiario[[#This Row],[data]])</f>
        <v>0</v>
      </c>
      <c r="AH185" s="20">
        <f>SUMIFS(estoque[valor total],estoque[fornecedor],"&lt;&gt;saída",estoque[produto],preçodiario[[#Headers],[OVO VERMELHO A]],estoque[data],preçodiario[[#This Row],[data]])</f>
        <v>0</v>
      </c>
      <c r="AI185" s="20">
        <f>IFERROR(preçodiario[[#This Row],[OVO VERMELHO A]]*preçodiario[[#This Row],[estoque AV]],0)</f>
        <v>0</v>
      </c>
      <c r="AJ1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Row],[data]])),((AJ184*AK184)+SUMIFS(estoque[valor total],estoque[produto],preçodiario[[#Headers],[OVO VERMELHO B]],estoque[data],preçodiario[[#This Row],[data]],estoque[fornecedor],"&lt;&gt;saída"))/(AK184+(SUMIFS(estoque[quantidade],estoque[produto],preçodiario[[#Headers],[OVO VERMELHO B]],estoque[fornecedor],"&lt;&gt;saída",estoque[data],preçodiario[[#This Row],[data]])))))</f>
        <v/>
      </c>
      <c r="AK185" s="22">
        <f>IF(preçodiario[[#This Row],[entrada BV]]=0,AK184-(SUMIFS(estoque[quantidade],estoque[fornecedor],"saída",estoque[produto],preçodiario[[#Headers],[OVO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Row],[data]]))+AK184+preçodiario[[#This Row],[entrada BV]])</f>
        <v>0</v>
      </c>
      <c r="AL185" s="22">
        <f>SUMIFS(estoque[quantidade],estoque[fornecedor],"&lt;&gt;saída",estoque[produto],preçodiario[[#Headers],[OVO VERMELHO B]],estoque[data],preçodiario[[#This Row],[data]])</f>
        <v>0</v>
      </c>
      <c r="AM185" s="20">
        <f>SUMIFS(estoque[valor total],estoque[fornecedor],"&lt;&gt;saída",estoque[produto],preçodiario[[#Headers],[OVO VERMELHO B]],estoque[data],preçodiario[[#This Row],[data]])</f>
        <v>0</v>
      </c>
      <c r="AN185" s="20">
        <f>IFERROR(preçodiario[[#This Row],[OVO VERMELHO B]]*preçodiario[[#This Row],[estoque BV]],0)</f>
        <v>0</v>
      </c>
      <c r="AO1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Row],[data]])),((AO184*AP184)+SUMIFS(estoque[valor total],estoque[produto],preçodiario[[#Headers],[OVO VERMELHO C]],estoque[data],preçodiario[[#This Row],[data]],estoque[fornecedor],"&lt;&gt;saída"))/(AP184+(SUMIFS(estoque[quantidade],estoque[produto],preçodiario[[#Headers],[OVO VERMELHO C]],estoque[fornecedor],"&lt;&gt;saída",estoque[data],preçodiario[[#This Row],[data]])))))</f>
        <v/>
      </c>
      <c r="AP185" s="22">
        <f>IF(preçodiario[[#This Row],[entrada CV]]=0,AP184-(SUMIFS(estoque[quantidade],estoque[fornecedor],"saída",estoque[produto],preçodiario[[#Headers],[OVO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Row],[data]]))+AP184+preçodiario[[#This Row],[entrada CV]])</f>
        <v>0</v>
      </c>
      <c r="AQ185" s="22">
        <f>SUMIFS(estoque[quantidade],estoque[fornecedor],"&lt;&gt;saída",estoque[produto],preçodiario[[#Headers],[OVO VERMELHO C]],estoque[data],preçodiario[[#This Row],[data]])</f>
        <v>0</v>
      </c>
      <c r="AR185" s="20">
        <f>SUMIFS(estoque[valor total],estoque[fornecedor],"&lt;&gt;saída",estoque[produto],preçodiario[[#Headers],[OVO VERMELHO C]],estoque[data],preçodiario[[#This Row],[data]])</f>
        <v>0</v>
      </c>
      <c r="AS185" s="20">
        <f>IFERROR(preçodiario[[#This Row],[OVO VERMELHO C]]*preçodiario[[#This Row],[estoque CV]],0)</f>
        <v>0</v>
      </c>
      <c r="AT1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Row],[data]])),((AT184*AU184)+SUMIFS(estoque[valor total],estoque[produto],preçodiario[[#Headers],[OVO VERMELHO EXTRA]],estoque[data],preçodiario[[#This Row],[data]],estoque[fornecedor],"&lt;&gt;saída"))/(AU184+(SUMIFS(estoque[quantidade],estoque[produto],preçodiario[[#Headers],[OVO VERMELHO EXTRA]],estoque[fornecedor],"&lt;&gt;saída",estoque[data],preçodiario[[#This Row],[data]])))))</f>
        <v/>
      </c>
      <c r="AU185" s="22">
        <f>IF(preçodiario[[#This Row],[entrada EV]]=0,AU184-(SUMIFS(estoque[quantidade],estoque[fornecedor],"saída",estoque[produto],preçodiario[[#Headers],[OVO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Row],[data]]))+AU184+preçodiario[[#This Row],[entrada EV]])</f>
        <v>0</v>
      </c>
      <c r="AV185" s="22">
        <f>SUMIFS(estoque[quantidade],estoque[fornecedor],"&lt;&gt;saída",estoque[produto],preçodiario[[#Headers],[OVO VERMELHO EXTRA]],estoque[data],preçodiario[[#This Row],[data]])</f>
        <v>0</v>
      </c>
      <c r="AW185" s="20">
        <f>SUMIFS(estoque[valor total],estoque[fornecedor],"&lt;&gt;saída",estoque[produto],preçodiario[[#Headers],[OVO VERMELHO EXTRA]],estoque[data],preçodiario[[#This Row],[data]])</f>
        <v>0</v>
      </c>
      <c r="AX185" s="20">
        <f>IFERROR(preçodiario[[#This Row],[OVO VERMELHO EXTRA]]*preçodiario[[#This Row],[estoque EV]],0)</f>
        <v>0</v>
      </c>
      <c r="AY1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Row],[data]])),((AY184*AZ184)+SUMIFS(estoque[valor total],estoque[produto],preçodiario[[#Headers],[OVO VERMELHO JUMBO]],estoque[data],preçodiario[[#This Row],[data]],estoque[fornecedor],"&lt;&gt;saída"))/(AZ184+(SUMIFS(estoque[quantidade],estoque[produto],preçodiario[[#Headers],[OVO VERMELHO JUMBO]],estoque[fornecedor],"&lt;&gt;saída",estoque[data],preçodiario[[#This Row],[data]])))))</f>
        <v/>
      </c>
      <c r="AZ185" s="22">
        <f>IF(preçodiario[[#This Row],[entrada JV]]=0,AZ184-(SUMIFS(estoque[quantidade],estoque[fornecedor],"saída",estoque[produto],preçodiario[[#Headers],[OVO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Row],[data]]))+AZ184+preçodiario[[#This Row],[entrada JV]])</f>
        <v>0</v>
      </c>
      <c r="BA185" s="22">
        <f>SUMIFS(estoque[quantidade],estoque[fornecedor],"&lt;&gt;saída",estoque[produto],preçodiario[[#Headers],[OVO VERMELHO JUMBO]],estoque[data],preçodiario[[#This Row],[data]])</f>
        <v>0</v>
      </c>
      <c r="BB185" s="20">
        <f>SUMIFS(estoque[valor total],estoque[fornecedor],"&lt;&gt;saída",estoque[produto],preçodiario[[#Headers],[OVO VERMELHO JUMBO]],estoque[data],preçodiario[[#This Row],[data]])</f>
        <v>0</v>
      </c>
      <c r="BC185" s="20">
        <f>IFERROR(preçodiario[[#This Row],[OVO VERMELHO JUMBO]]*preçodiario[[#This Row],[estoque JV]],0)</f>
        <v>0</v>
      </c>
      <c r="BD185" t="str">
        <f>TEXT(vendaAno[[#This Row],[data]],"mmm")</f>
        <v>jul</v>
      </c>
      <c r="BE185" t="str">
        <f>TEXT(vendaAno[[#This Row],[data]],"ddd")</f>
        <v>sex</v>
      </c>
      <c r="BF185" s="82">
        <f>WEEKNUM(vendaAno[[#This Row],[data]],13)</f>
        <v>27</v>
      </c>
      <c r="BG185" s="27">
        <f>preçodiario[[#This Row],[data]]</f>
        <v>46206</v>
      </c>
      <c r="BH1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5" s="8">
        <f>IF(SUMIFS(estoque[valor total],estoque[fornecedor],"saída",estoque[data],vendaAno[[#This Row],[data]])=0,"",SUMIFS(estoque[valor total],estoque[fornecedor],"saída",estoque[data],vendaAno[[#This Row],[data]]))</f>
        <v>648</v>
      </c>
      <c r="BJ18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Row],[data]]))/12+BJ184,"")</f>
        <v>31.333333333333314</v>
      </c>
      <c r="BK185" s="79">
        <f ca="1">IF(TODAY()&gt;=vendaAno[[#This Row],[data]],IF(SUMIFS(estoque[quantidade],estoque[fornecedor],"saída",estoque[data],vendaAno[[#This Row],[data]])/12=0,AVERAGE(BK182:BK184),SUMIFS(estoque[quantidade],estoque[fornecedor],"saída",estoque[data],vendaAno[[#This Row],[data]])/12),"")</f>
        <v>2.75</v>
      </c>
      <c r="BL185" s="8">
        <f ca="1">IF(vendaAno[[#This Row],[data]]&lt;=TODAY(),IF(SUMIFS(estoque[lucro],estoque[fornecedor],"saída",estoque[data],vendaAno[[#This Row],[data]])=0,AVERAGE(BL182:BL184),SUMIFS(estoque[lucro],estoque[fornecedor],"saída",estoque[data],vendaAno[[#This Row],[data]])),"")</f>
        <v>135.88</v>
      </c>
      <c r="BM185" s="10">
        <f ca="1">IFERROR(vendaAno[[#This Row],[lucro]]/vendaAno[[#This Row],[valor de venda]],"")</f>
        <v>0.20969135802469135</v>
      </c>
      <c r="BN18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5873.7729663210703</v>
      </c>
      <c r="BO185" s="8">
        <f ca="1">IF(TODAY()&gt;=vendaAno[[#This Row],[data]],IF(vendaAno[[#This Row],[N°]]=BF184,vendaAno[[#This Row],[lucro]]-173.33+BO184,vendaAno[[#This Row],[lucro]]-150),"")</f>
        <v>-21.240000000000009</v>
      </c>
      <c r="BP185" s="81">
        <f ca="1">IF(TODAY()&gt;=vendaAno[[#This Row],[data]],SUM(BK179:BK185)*12,"")</f>
        <v>229.99999999999997</v>
      </c>
      <c r="BQ185" s="7">
        <f ca="1">IFERROR(vendaAno[[#This Row],[lucro]]/(vendaAno[[#This Row],[venda]]*12),"")</f>
        <v>4.1175757575757572</v>
      </c>
    </row>
    <row r="186" spans="1:69" x14ac:dyDescent="0.25">
      <c r="A1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6" s="18" t="str">
        <f>TEXT(preçodiario[[#This Row],[data]],"MMM")</f>
        <v>jul</v>
      </c>
      <c r="C186" s="18" t="str">
        <f>TEXT(preçodiario[[#This Row],[data]],"ddd")</f>
        <v>sáb</v>
      </c>
      <c r="D186" s="96">
        <f>WEEKNUM(preçodiario[[#This Row],[data]],13)</f>
        <v>27</v>
      </c>
      <c r="E186" s="37">
        <v>46207</v>
      </c>
      <c r="F1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Row],[data]])),((F185*G185)+SUMIFS(estoque[valor total],estoque[produto],preçodiario[[#Headers],[OVO BRANCO A]],estoque[data],preçodiario[[#This Row],[data]],estoque[fornecedor],"&lt;&gt;saída"))/(G185+(SUMIFS(estoque[quantidade],estoque[produto],preçodiario[[#Headers],[OVO BRANCO A]],estoque[fornecedor],"&lt;&gt;saída",estoque[data],preçodiario[[#This Row],[data]])))))</f>
        <v>15.416666666666664</v>
      </c>
      <c r="G186" s="22">
        <f>IF(preçodiario[[#This Row],[entrada A]]=0,G185-(SUMIFS(estoque[quantidade],estoque[fornecedor],"saída",estoque[produto],preçodiario[[#Headers],[OVO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Row],[data]]))+G185+preçodiario[[#This Row],[entrada A]])</f>
        <v>58</v>
      </c>
      <c r="H186" s="22">
        <f>SUMIFS(estoque[quantidade],estoque[fornecedor],"&lt;&gt;saída",estoque[produto],preçodiario[[#Headers],[OVO BRANCO A]],estoque[data],preçodiario[[#This Row],[data]])</f>
        <v>0</v>
      </c>
      <c r="I186" s="20">
        <f>SUMIFS(estoque[valor total],estoque[fornecedor],"&lt;&gt;saída",estoque[produto],preçodiario[[#Headers],[OVO BRANCO A]],estoque[data],preçodiario[[#This Row],[data]])</f>
        <v>0</v>
      </c>
      <c r="J186" s="20">
        <f>IFERROR(preçodiario[[#This Row],[estoque A]]*preçodiario[[#This Row],[OVO BRANCO A]],0)</f>
        <v>894.16666666666652</v>
      </c>
      <c r="K1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Row],[data]])),((K185*L185)+SUMIFS(estoque[valor total],estoque[produto],preçodiario[[#Headers],[OVO BRANCO B]],estoque[data],preçodiario[[#This Row],[data]],estoque[fornecedor],"&lt;&gt;saída"))/(L185+(SUMIFS(estoque[quantidade],estoque[produto],preçodiario[[#Headers],[OVO BRANCO B]],estoque[fornecedor],"&lt;&gt;saída",estoque[data],preçodiario[[#This Row],[data]])))))</f>
        <v>14.585313803472685</v>
      </c>
      <c r="L186" s="22">
        <f>IF(preçodiario[[#This Row],[entrada B]]=0,L185-(SUMIFS(estoque[quantidade],estoque[fornecedor],"saída",estoque[produto],preçodiario[[#Headers],[OVO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Row],[data]]))+L185+preçodiario[[#This Row],[entrada B]])</f>
        <v>67</v>
      </c>
      <c r="M186" s="22">
        <f>SUMIFS(estoque[quantidade],estoque[fornecedor],"&lt;&gt;saída",estoque[produto],preçodiario[[#Headers],[OVO BRANCO B]],estoque[data],preçodiario[[#This Row],[data]])</f>
        <v>0</v>
      </c>
      <c r="N186" s="20">
        <f>SUMIFS(estoque[valor total],estoque[fornecedor],"&lt;&gt;saída",estoque[produto],preçodiario[[#Headers],[OVO BRANCO B]],estoque[data],preçodiario[[#This Row],[data]])</f>
        <v>0</v>
      </c>
      <c r="O186" s="20">
        <f>IFERROR(preçodiario[[#This Row],[OVO BRANCO B]]*preçodiario[[#This Row],[estoque B]],0)</f>
        <v>977.21602483266986</v>
      </c>
      <c r="P1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Row],[data]])),((P185*Q185)+SUMIFS(estoque[valor total],estoque[produto],preçodiario[[#Headers],[OVO BRANCO C]],estoque[data],preçodiario[[#This Row],[data]],estoque[fornecedor],"&lt;&gt;saída"))/(Q185+(SUMIFS(estoque[quantidade],estoque[produto],preçodiario[[#Headers],[OVO BRANCO C]],estoque[fornecedor],"&lt;&gt;saída",estoque[data],preçodiario[[#This Row],[data]])))))</f>
        <v>13.833333333333339</v>
      </c>
      <c r="Q186" s="22">
        <f>IF(preçodiario[[#This Row],[entrada C]]=0,Q185-(SUMIFS(estoque[quantidade],estoque[fornecedor],"saída",estoque[produto],preçodiario[[#Headers],[OVO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Row],[data]]))+Q185+preçodiario[[#This Row],[entrada C]])</f>
        <v>1</v>
      </c>
      <c r="R186" s="22">
        <f>SUMIFS(estoque[quantidade],estoque[fornecedor],"&lt;&gt;saída",estoque[produto],preçodiario[[#Headers],[OVO BRANCO C]],estoque[data],preçodiario[[#This Row],[data]])</f>
        <v>0</v>
      </c>
      <c r="S186" s="20">
        <f>SUMIFS(estoque[valor total],estoque[fornecedor],"&lt;&gt;saída",estoque[produto],preçodiario[[#Headers],[OVO BRANCO C]],estoque[data],preçodiario[[#This Row],[data]])</f>
        <v>0</v>
      </c>
      <c r="T186" s="20">
        <f>IFERROR(preçodiario[[#This Row],[OVO BRANCO C]]*preçodiario[[#This Row],[estoque C]],0)</f>
        <v>13.833333333333339</v>
      </c>
      <c r="U1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Row],[data]])),((U185*V185)+SUMIFS(estoque[valor total],estoque[produto],preçodiario[[#Headers],[OVO BRANCO EXTRA]],estoque[data],preçodiario[[#This Row],[data]],estoque[fornecedor],"&lt;&gt;saída"))/(V185+(SUMIFS(estoque[quantidade],estoque[produto],preçodiario[[#Headers],[OVO BRANCO EXTRA]],estoque[fornecedor],"&lt;&gt;saída",estoque[data],preçodiario[[#This Row],[data]])))))</f>
        <v>15.833333333333334</v>
      </c>
      <c r="V186" s="22">
        <f>IF(preçodiario[[#This Row],[entrada E]]=0,V185-(SUMIFS(estoque[quantidade],estoque[fornecedor],"saída",estoque[produto],preçodiario[[#Headers],[OVO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Row],[data]]))+V185+preçodiario[[#This Row],[entrada E]])</f>
        <v>100</v>
      </c>
      <c r="W186" s="22">
        <f>SUMIFS(estoque[quantidade],estoque[fornecedor],"&lt;&gt;saída",estoque[produto],preçodiario[[#Headers],[OVO BRANCO EXTRA]],estoque[data],preçodiario[[#This Row],[data]])</f>
        <v>0</v>
      </c>
      <c r="X186" s="20">
        <f>SUMIFS(estoque[valor total],estoque[fornecedor],"&lt;&gt;saída",estoque[produto],preçodiario[[#Headers],[OVO BRANCO EXTRA]],estoque[data],preçodiario[[#This Row],[data]])</f>
        <v>0</v>
      </c>
      <c r="Y186" s="20">
        <f>IFERROR(preçodiario[[#This Row],[estoque E]]*preçodiario[[#This Row],[OVO BRANCO EXTRA]],0)</f>
        <v>1583.3333333333335</v>
      </c>
      <c r="Z18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Row],[data]])),((Z185*AA185)+SUMIFS(estoque[valor total],estoque[produto],preçodiario[[#Headers],[OVO BRANCO JUMBO]],estoque[data],preçodiario[[#This Row],[data]],estoque[fornecedor],"&lt;&gt;saída"))/(AA185+(SUMIFS(estoque[quantidade],estoque[produto],preçodiario[[#Headers],[OVO BRANCO JUMBO]],estoque[fornecedor],"&lt;&gt;saída",estoque[data],preçodiario[[#This Row],[data]])))))</f>
        <v>16.251960784313727</v>
      </c>
      <c r="AA186" s="22">
        <f>IF(preçodiario[[#This Row],[entrada J]]=0,AA185-(SUMIFS(estoque[quantidade],estoque[fornecedor],"saída",estoque[produto],preçodiario[[#Headers],[OVO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Row],[data]]))+AA185+preçodiario[[#This Row],[entrada J]])</f>
        <v>103</v>
      </c>
      <c r="AB186" s="22">
        <f>SUMIFS(estoque[quantidade],estoque[fornecedor],"&lt;&gt;saída",estoque[produto],preçodiario[[#Headers],[OVO BRANCO JUMBO]],estoque[data],preçodiario[[#This Row],[data]])</f>
        <v>0</v>
      </c>
      <c r="AC186" s="20">
        <f>SUMIFS(estoque[valor total],estoque[fornecedor],"&lt;&gt;saída",estoque[produto],preçodiario[[#Headers],[OVO BRANCO JUMBO]],estoque[data],preçodiario[[#This Row],[data]])</f>
        <v>0</v>
      </c>
      <c r="AD186" s="20">
        <f>IFERROR(preçodiario[[#This Row],[OVO BRANCO JUMBO]]*preçodiario[[#This Row],[estoque J]],0)</f>
        <v>1673.951960784314</v>
      </c>
      <c r="AE1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Row],[data]])),((AE185*AF185)+SUMIFS(estoque[valor total],estoque[produto],preçodiario[[#Headers],[OVO VERMELHO A]],estoque[data],preçodiario[[#This Row],[data]],estoque[fornecedor],"&lt;&gt;saída"))/(AF185+(SUMIFS(estoque[quantidade],estoque[produto],preçodiario[[#Headers],[OVO VERMELHO A]],estoque[fornecedor],"&lt;&gt;saída",estoque[data],preçodiario[[#This Row],[data]])))))</f>
        <v/>
      </c>
      <c r="AF186" s="22">
        <f>IF(preçodiario[[#This Row],[entrada AV]]=0,AF185-(SUMIFS(estoque[quantidade],estoque[fornecedor],"saída",estoque[produto],preçodiario[[#Headers],[OVO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Row],[data]]))+AF185+preçodiario[[#This Row],[entrada AV]])</f>
        <v>0</v>
      </c>
      <c r="AG186" s="22">
        <f>SUMIFS(estoque[quantidade],estoque[fornecedor],"&lt;&gt;saída",estoque[produto],preçodiario[[#Headers],[OVO VERMELHO A]],estoque[data],preçodiario[[#This Row],[data]])</f>
        <v>0</v>
      </c>
      <c r="AH186" s="20">
        <f>SUMIFS(estoque[valor total],estoque[fornecedor],"&lt;&gt;saída",estoque[produto],preçodiario[[#Headers],[OVO VERMELHO A]],estoque[data],preçodiario[[#This Row],[data]])</f>
        <v>0</v>
      </c>
      <c r="AI186" s="20">
        <f>IFERROR(preçodiario[[#This Row],[OVO VERMELHO A]]*preçodiario[[#This Row],[estoque AV]],0)</f>
        <v>0</v>
      </c>
      <c r="AJ1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Row],[data]])),((AJ185*AK185)+SUMIFS(estoque[valor total],estoque[produto],preçodiario[[#Headers],[OVO VERMELHO B]],estoque[data],preçodiario[[#This Row],[data]],estoque[fornecedor],"&lt;&gt;saída"))/(AK185+(SUMIFS(estoque[quantidade],estoque[produto],preçodiario[[#Headers],[OVO VERMELHO B]],estoque[fornecedor],"&lt;&gt;saída",estoque[data],preçodiario[[#This Row],[data]])))))</f>
        <v/>
      </c>
      <c r="AK186" s="22">
        <f>IF(preçodiario[[#This Row],[entrada BV]]=0,AK185-(SUMIFS(estoque[quantidade],estoque[fornecedor],"saída",estoque[produto],preçodiario[[#Headers],[OVO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Row],[data]]))+AK185+preçodiario[[#This Row],[entrada BV]])</f>
        <v>0</v>
      </c>
      <c r="AL186" s="22">
        <f>SUMIFS(estoque[quantidade],estoque[fornecedor],"&lt;&gt;saída",estoque[produto],preçodiario[[#Headers],[OVO VERMELHO B]],estoque[data],preçodiario[[#This Row],[data]])</f>
        <v>0</v>
      </c>
      <c r="AM186" s="20">
        <f>SUMIFS(estoque[valor total],estoque[fornecedor],"&lt;&gt;saída",estoque[produto],preçodiario[[#Headers],[OVO VERMELHO B]],estoque[data],preçodiario[[#This Row],[data]])</f>
        <v>0</v>
      </c>
      <c r="AN186" s="20">
        <f>IFERROR(preçodiario[[#This Row],[OVO VERMELHO B]]*preçodiario[[#This Row],[estoque BV]],0)</f>
        <v>0</v>
      </c>
      <c r="AO1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Row],[data]])),((AO185*AP185)+SUMIFS(estoque[valor total],estoque[produto],preçodiario[[#Headers],[OVO VERMELHO C]],estoque[data],preçodiario[[#This Row],[data]],estoque[fornecedor],"&lt;&gt;saída"))/(AP185+(SUMIFS(estoque[quantidade],estoque[produto],preçodiario[[#Headers],[OVO VERMELHO C]],estoque[fornecedor],"&lt;&gt;saída",estoque[data],preçodiario[[#This Row],[data]])))))</f>
        <v/>
      </c>
      <c r="AP186" s="22">
        <f>IF(preçodiario[[#This Row],[entrada CV]]=0,AP185-(SUMIFS(estoque[quantidade],estoque[fornecedor],"saída",estoque[produto],preçodiario[[#Headers],[OVO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Row],[data]]))+AP185+preçodiario[[#This Row],[entrada CV]])</f>
        <v>0</v>
      </c>
      <c r="AQ186" s="22">
        <f>SUMIFS(estoque[quantidade],estoque[fornecedor],"&lt;&gt;saída",estoque[produto],preçodiario[[#Headers],[OVO VERMELHO C]],estoque[data],preçodiario[[#This Row],[data]])</f>
        <v>0</v>
      </c>
      <c r="AR186" s="20">
        <f>SUMIFS(estoque[valor total],estoque[fornecedor],"&lt;&gt;saída",estoque[produto],preçodiario[[#Headers],[OVO VERMELHO C]],estoque[data],preçodiario[[#This Row],[data]])</f>
        <v>0</v>
      </c>
      <c r="AS186" s="20">
        <f>IFERROR(preçodiario[[#This Row],[OVO VERMELHO C]]*preçodiario[[#This Row],[estoque CV]],0)</f>
        <v>0</v>
      </c>
      <c r="AT1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Row],[data]])),((AT185*AU185)+SUMIFS(estoque[valor total],estoque[produto],preçodiario[[#Headers],[OVO VERMELHO EXTRA]],estoque[data],preçodiario[[#This Row],[data]],estoque[fornecedor],"&lt;&gt;saída"))/(AU185+(SUMIFS(estoque[quantidade],estoque[produto],preçodiario[[#Headers],[OVO VERMELHO EXTRA]],estoque[fornecedor],"&lt;&gt;saída",estoque[data],preçodiario[[#This Row],[data]])))))</f>
        <v/>
      </c>
      <c r="AU186" s="22">
        <f>IF(preçodiario[[#This Row],[entrada EV]]=0,AU185-(SUMIFS(estoque[quantidade],estoque[fornecedor],"saída",estoque[produto],preçodiario[[#Headers],[OVO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Row],[data]]))+AU185+preçodiario[[#This Row],[entrada EV]])</f>
        <v>0</v>
      </c>
      <c r="AV186" s="22">
        <f>SUMIFS(estoque[quantidade],estoque[fornecedor],"&lt;&gt;saída",estoque[produto],preçodiario[[#Headers],[OVO VERMELHO EXTRA]],estoque[data],preçodiario[[#This Row],[data]])</f>
        <v>0</v>
      </c>
      <c r="AW186" s="20">
        <f>SUMIFS(estoque[valor total],estoque[fornecedor],"&lt;&gt;saída",estoque[produto],preçodiario[[#Headers],[OVO VERMELHO EXTRA]],estoque[data],preçodiario[[#This Row],[data]])</f>
        <v>0</v>
      </c>
      <c r="AX186" s="20">
        <f>IFERROR(preçodiario[[#This Row],[OVO VERMELHO EXTRA]]*preçodiario[[#This Row],[estoque EV]],0)</f>
        <v>0</v>
      </c>
      <c r="AY1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Row],[data]])),((AY185*AZ185)+SUMIFS(estoque[valor total],estoque[produto],preçodiario[[#Headers],[OVO VERMELHO JUMBO]],estoque[data],preçodiario[[#This Row],[data]],estoque[fornecedor],"&lt;&gt;saída"))/(AZ185+(SUMIFS(estoque[quantidade],estoque[produto],preçodiario[[#Headers],[OVO VERMELHO JUMBO]],estoque[fornecedor],"&lt;&gt;saída",estoque[data],preçodiario[[#This Row],[data]])))))</f>
        <v/>
      </c>
      <c r="AZ186" s="22">
        <f>IF(preçodiario[[#This Row],[entrada JV]]=0,AZ185-(SUMIFS(estoque[quantidade],estoque[fornecedor],"saída",estoque[produto],preçodiario[[#Headers],[OVO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Row],[data]]))+AZ185+preçodiario[[#This Row],[entrada JV]])</f>
        <v>0</v>
      </c>
      <c r="BA186" s="22">
        <f>SUMIFS(estoque[quantidade],estoque[fornecedor],"&lt;&gt;saída",estoque[produto],preçodiario[[#Headers],[OVO VERMELHO JUMBO]],estoque[data],preçodiario[[#This Row],[data]])</f>
        <v>0</v>
      </c>
      <c r="BB186" s="20">
        <f>SUMIFS(estoque[valor total],estoque[fornecedor],"&lt;&gt;saída",estoque[produto],preçodiario[[#Headers],[OVO VERMELHO JUMBO]],estoque[data],preçodiario[[#This Row],[data]])</f>
        <v>0</v>
      </c>
      <c r="BC186" s="20">
        <f>IFERROR(preçodiario[[#This Row],[OVO VERMELHO JUMBO]]*preçodiario[[#This Row],[estoque JV]],0)</f>
        <v>0</v>
      </c>
      <c r="BD186" t="str">
        <f>TEXT(vendaAno[[#This Row],[data]],"mmm")</f>
        <v>jul</v>
      </c>
      <c r="BE186" t="str">
        <f>TEXT(vendaAno[[#This Row],[data]],"ddd")</f>
        <v>sáb</v>
      </c>
      <c r="BF186" s="82">
        <f>WEEKNUM(vendaAno[[#This Row],[data]],13)</f>
        <v>27</v>
      </c>
      <c r="BG186" s="27">
        <f>preçodiario[[#This Row],[data]]</f>
        <v>46207</v>
      </c>
      <c r="BH1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6" s="8">
        <f>IF(SUMIFS(estoque[valor total],estoque[fornecedor],"saída",estoque[data],vendaAno[[#This Row],[data]])=0,"",SUMIFS(estoque[valor total],estoque[fornecedor],"saída",estoque[data],vendaAno[[#This Row],[data]]))</f>
        <v>921</v>
      </c>
      <c r="BJ18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Row],[data]]))/12+BJ185,"")</f>
        <v>27.416666666666647</v>
      </c>
      <c r="BK186" s="79">
        <f ca="1">IF(TODAY()&gt;=vendaAno[[#This Row],[data]],IF(SUMIFS(estoque[quantidade],estoque[fornecedor],"saída",estoque[data],vendaAno[[#This Row],[data]])/12=0,AVERAGE(BK183:BK185),SUMIFS(estoque[quantidade],estoque[fornecedor],"saída",estoque[data],vendaAno[[#This Row],[data]])/12),"")</f>
        <v>3.9166666666666665</v>
      </c>
      <c r="BL186" s="8">
        <f ca="1">IF(vendaAno[[#This Row],[data]]&lt;=TODAY(),IF(SUMIFS(estoque[lucro],estoque[fornecedor],"saída",estoque[data],vendaAno[[#This Row],[data]])=0,AVERAGE(BL183:BL185),SUMIFS(estoque[lucro],estoque[fornecedor],"saída",estoque[data],vendaAno[[#This Row],[data]])),"")</f>
        <v>189.74</v>
      </c>
      <c r="BM186" s="10">
        <f ca="1">IFERROR(vendaAno[[#This Row],[lucro]]/vendaAno[[#This Row],[valor de venda]],"")</f>
        <v>0.20601520086862107</v>
      </c>
      <c r="BN18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5142.501318950317</v>
      </c>
      <c r="BO186" s="8">
        <f ca="1">IF(TODAY()&gt;=vendaAno[[#This Row],[data]],IF(vendaAno[[#This Row],[N°]]=BF185,vendaAno[[#This Row],[lucro]]-173.33+BO185,vendaAno[[#This Row],[lucro]]-150),"")</f>
        <v>-4.8300000000000125</v>
      </c>
      <c r="BP186" s="81">
        <f ca="1">IF(TODAY()&gt;=vendaAno[[#This Row],[data]],SUM(BK180:BK186)*12,"")</f>
        <v>255.00000000000006</v>
      </c>
      <c r="BQ186" s="7">
        <f ca="1">IFERROR(vendaAno[[#This Row],[lucro]]/(vendaAno[[#This Row],[venda]]*12),"")</f>
        <v>4.0370212765957447</v>
      </c>
    </row>
    <row r="187" spans="1:69" x14ac:dyDescent="0.25">
      <c r="A1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7" s="18" t="str">
        <f>TEXT(preçodiario[[#This Row],[data]],"MMM")</f>
        <v>jul</v>
      </c>
      <c r="C187" s="18" t="str">
        <f>TEXT(preçodiario[[#This Row],[data]],"ddd")</f>
        <v>dom</v>
      </c>
      <c r="D187" s="96">
        <f>WEEKNUM(preçodiario[[#This Row],[data]],13)</f>
        <v>27</v>
      </c>
      <c r="E187" s="37">
        <v>46208</v>
      </c>
      <c r="F1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Row],[data]])),((F186*G186)+SUMIFS(estoque[valor total],estoque[produto],preçodiario[[#Headers],[OVO BRANCO A]],estoque[data],preçodiario[[#This Row],[data]],estoque[fornecedor],"&lt;&gt;saída"))/(G186+(SUMIFS(estoque[quantidade],estoque[produto],preçodiario[[#Headers],[OVO BRANCO A]],estoque[fornecedor],"&lt;&gt;saída",estoque[data],preçodiario[[#This Row],[data]])))))</f>
        <v>15.416666666666664</v>
      </c>
      <c r="G187" s="22">
        <f>IF(preçodiario[[#This Row],[entrada A]]=0,G186-(SUMIFS(estoque[quantidade],estoque[fornecedor],"saída",estoque[produto],preçodiario[[#Headers],[OVO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Row],[data]]))+G186+preçodiario[[#This Row],[entrada A]])</f>
        <v>55</v>
      </c>
      <c r="H187" s="22">
        <f>SUMIFS(estoque[quantidade],estoque[fornecedor],"&lt;&gt;saída",estoque[produto],preçodiario[[#Headers],[OVO BRANCO A]],estoque[data],preçodiario[[#This Row],[data]])</f>
        <v>0</v>
      </c>
      <c r="I187" s="20">
        <f>SUMIFS(estoque[valor total],estoque[fornecedor],"&lt;&gt;saída",estoque[produto],preçodiario[[#Headers],[OVO BRANCO A]],estoque[data],preçodiario[[#This Row],[data]])</f>
        <v>0</v>
      </c>
      <c r="J187" s="20">
        <f>IFERROR(preçodiario[[#This Row],[estoque A]]*preçodiario[[#This Row],[OVO BRANCO A]],0)</f>
        <v>847.91666666666652</v>
      </c>
      <c r="K1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Row],[data]])),((K186*L186)+SUMIFS(estoque[valor total],estoque[produto],preçodiario[[#Headers],[OVO BRANCO B]],estoque[data],preçodiario[[#This Row],[data]],estoque[fornecedor],"&lt;&gt;saída"))/(L186+(SUMIFS(estoque[quantidade],estoque[produto],preçodiario[[#Headers],[OVO BRANCO B]],estoque[fornecedor],"&lt;&gt;saída",estoque[data],preçodiario[[#This Row],[data]])))))</f>
        <v>14.585313803472685</v>
      </c>
      <c r="L187" s="22">
        <f>IF(preçodiario[[#This Row],[entrada B]]=0,L186-(SUMIFS(estoque[quantidade],estoque[fornecedor],"saída",estoque[produto],preçodiario[[#Headers],[OVO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Row],[data]]))+L186+preçodiario[[#This Row],[entrada B]])</f>
        <v>66</v>
      </c>
      <c r="M187" s="22">
        <f>SUMIFS(estoque[quantidade],estoque[fornecedor],"&lt;&gt;saída",estoque[produto],preçodiario[[#Headers],[OVO BRANCO B]],estoque[data],preçodiario[[#This Row],[data]])</f>
        <v>0</v>
      </c>
      <c r="N187" s="20">
        <f>SUMIFS(estoque[valor total],estoque[fornecedor],"&lt;&gt;saída",estoque[produto],preçodiario[[#Headers],[OVO BRANCO B]],estoque[data],preçodiario[[#This Row],[data]])</f>
        <v>0</v>
      </c>
      <c r="O187" s="20">
        <f>IFERROR(preçodiario[[#This Row],[OVO BRANCO B]]*preçodiario[[#This Row],[estoque B]],0)</f>
        <v>962.63071102919719</v>
      </c>
      <c r="P1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Row],[data]])),((P186*Q186)+SUMIFS(estoque[valor total],estoque[produto],preçodiario[[#Headers],[OVO BRANCO C]],estoque[data],preçodiario[[#This Row],[data]],estoque[fornecedor],"&lt;&gt;saída"))/(Q186+(SUMIFS(estoque[quantidade],estoque[produto],preçodiario[[#Headers],[OVO BRANCO C]],estoque[fornecedor],"&lt;&gt;saída",estoque[data],preçodiario[[#This Row],[data]])))))</f>
        <v>13.833333333333339</v>
      </c>
      <c r="Q187" s="22">
        <f>IF(preçodiario[[#This Row],[entrada C]]=0,Q186-(SUMIFS(estoque[quantidade],estoque[fornecedor],"saída",estoque[produto],preçodiario[[#Headers],[OVO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Row],[data]]))+Q186+preçodiario[[#This Row],[entrada C]])</f>
        <v>1</v>
      </c>
      <c r="R187" s="22">
        <f>SUMIFS(estoque[quantidade],estoque[fornecedor],"&lt;&gt;saída",estoque[produto],preçodiario[[#Headers],[OVO BRANCO C]],estoque[data],preçodiario[[#This Row],[data]])</f>
        <v>0</v>
      </c>
      <c r="S187" s="20">
        <f>SUMIFS(estoque[valor total],estoque[fornecedor],"&lt;&gt;saída",estoque[produto],preçodiario[[#Headers],[OVO BRANCO C]],estoque[data],preçodiario[[#This Row],[data]])</f>
        <v>0</v>
      </c>
      <c r="T187" s="20">
        <f>IFERROR(preçodiario[[#This Row],[OVO BRANCO C]]*preçodiario[[#This Row],[estoque C]],0)</f>
        <v>13.833333333333339</v>
      </c>
      <c r="U1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Row],[data]])),((U186*V186)+SUMIFS(estoque[valor total],estoque[produto],preçodiario[[#Headers],[OVO BRANCO EXTRA]],estoque[data],preçodiario[[#This Row],[data]],estoque[fornecedor],"&lt;&gt;saída"))/(V186+(SUMIFS(estoque[quantidade],estoque[produto],preçodiario[[#Headers],[OVO BRANCO EXTRA]],estoque[fornecedor],"&lt;&gt;saída",estoque[data],preçodiario[[#This Row],[data]])))))</f>
        <v>15.833333333333336</v>
      </c>
      <c r="V187" s="22">
        <f>IF(preçodiario[[#This Row],[entrada E]]=0,V186-(SUMIFS(estoque[quantidade],estoque[fornecedor],"saída",estoque[produto],preçodiario[[#Headers],[OVO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Row],[data]]))+V186+preçodiario[[#This Row],[entrada E]])</f>
        <v>89</v>
      </c>
      <c r="W187" s="22">
        <f>SUMIFS(estoque[quantidade],estoque[fornecedor],"&lt;&gt;saída",estoque[produto],preçodiario[[#Headers],[OVO BRANCO EXTRA]],estoque[data],preçodiario[[#This Row],[data]])</f>
        <v>0</v>
      </c>
      <c r="X187" s="20">
        <f>SUMIFS(estoque[valor total],estoque[fornecedor],"&lt;&gt;saída",estoque[produto],preçodiario[[#Headers],[OVO BRANCO EXTRA]],estoque[data],preçodiario[[#This Row],[data]])</f>
        <v>0</v>
      </c>
      <c r="Y187" s="20">
        <f>IFERROR(preçodiario[[#This Row],[estoque E]]*preçodiario[[#This Row],[OVO BRANCO EXTRA]],0)</f>
        <v>1409.166666666667</v>
      </c>
      <c r="Z18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Row],[data]])),((Z186*AA186)+SUMIFS(estoque[valor total],estoque[produto],preçodiario[[#Headers],[OVO BRANCO JUMBO]],estoque[data],preçodiario[[#This Row],[data]],estoque[fornecedor],"&lt;&gt;saída"))/(AA186+(SUMIFS(estoque[quantidade],estoque[produto],preçodiario[[#Headers],[OVO BRANCO JUMBO]],estoque[fornecedor],"&lt;&gt;saída",estoque[data],preçodiario[[#This Row],[data]])))))</f>
        <v>16.251960784313727</v>
      </c>
      <c r="AA187" s="22">
        <f>IF(preçodiario[[#This Row],[entrada J]]=0,AA186-(SUMIFS(estoque[quantidade],estoque[fornecedor],"saída",estoque[produto],preçodiario[[#Headers],[OVO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Row],[data]]))+AA186+preçodiario[[#This Row],[entrada J]])</f>
        <v>99</v>
      </c>
      <c r="AB187" s="22">
        <f>SUMIFS(estoque[quantidade],estoque[fornecedor],"&lt;&gt;saída",estoque[produto],preçodiario[[#Headers],[OVO BRANCO JUMBO]],estoque[data],preçodiario[[#This Row],[data]])</f>
        <v>0</v>
      </c>
      <c r="AC187" s="20">
        <f>SUMIFS(estoque[valor total],estoque[fornecedor],"&lt;&gt;saída",estoque[produto],preçodiario[[#Headers],[OVO BRANCO JUMBO]],estoque[data],preçodiario[[#This Row],[data]])</f>
        <v>0</v>
      </c>
      <c r="AD187" s="20">
        <f>IFERROR(preçodiario[[#This Row],[OVO BRANCO JUMBO]]*preçodiario[[#This Row],[estoque J]],0)</f>
        <v>1608.9441176470591</v>
      </c>
      <c r="AE1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Row],[data]])),((AE186*AF186)+SUMIFS(estoque[valor total],estoque[produto],preçodiario[[#Headers],[OVO VERMELHO A]],estoque[data],preçodiario[[#This Row],[data]],estoque[fornecedor],"&lt;&gt;saída"))/(AF186+(SUMIFS(estoque[quantidade],estoque[produto],preçodiario[[#Headers],[OVO VERMELHO A]],estoque[fornecedor],"&lt;&gt;saída",estoque[data],preçodiario[[#This Row],[data]])))))</f>
        <v/>
      </c>
      <c r="AF187" s="22">
        <f>IF(preçodiario[[#This Row],[entrada AV]]=0,AF186-(SUMIFS(estoque[quantidade],estoque[fornecedor],"saída",estoque[produto],preçodiario[[#Headers],[OVO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Row],[data]]))+AF186+preçodiario[[#This Row],[entrada AV]])</f>
        <v>0</v>
      </c>
      <c r="AG187" s="22">
        <f>SUMIFS(estoque[quantidade],estoque[fornecedor],"&lt;&gt;saída",estoque[produto],preçodiario[[#Headers],[OVO VERMELHO A]],estoque[data],preçodiario[[#This Row],[data]])</f>
        <v>0</v>
      </c>
      <c r="AH187" s="20">
        <f>SUMIFS(estoque[valor total],estoque[fornecedor],"&lt;&gt;saída",estoque[produto],preçodiario[[#Headers],[OVO VERMELHO A]],estoque[data],preçodiario[[#This Row],[data]])</f>
        <v>0</v>
      </c>
      <c r="AI187" s="20">
        <f>IFERROR(preçodiario[[#This Row],[OVO VERMELHO A]]*preçodiario[[#This Row],[estoque AV]],0)</f>
        <v>0</v>
      </c>
      <c r="AJ1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Row],[data]])),((AJ186*AK186)+SUMIFS(estoque[valor total],estoque[produto],preçodiario[[#Headers],[OVO VERMELHO B]],estoque[data],preçodiario[[#This Row],[data]],estoque[fornecedor],"&lt;&gt;saída"))/(AK186+(SUMIFS(estoque[quantidade],estoque[produto],preçodiario[[#Headers],[OVO VERMELHO B]],estoque[fornecedor],"&lt;&gt;saída",estoque[data],preçodiario[[#This Row],[data]])))))</f>
        <v/>
      </c>
      <c r="AK187" s="22">
        <f>IF(preçodiario[[#This Row],[entrada BV]]=0,AK186-(SUMIFS(estoque[quantidade],estoque[fornecedor],"saída",estoque[produto],preçodiario[[#Headers],[OVO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Row],[data]]))+AK186+preçodiario[[#This Row],[entrada BV]])</f>
        <v>0</v>
      </c>
      <c r="AL187" s="22">
        <f>SUMIFS(estoque[quantidade],estoque[fornecedor],"&lt;&gt;saída",estoque[produto],preçodiario[[#Headers],[OVO VERMELHO B]],estoque[data],preçodiario[[#This Row],[data]])</f>
        <v>0</v>
      </c>
      <c r="AM187" s="20">
        <f>SUMIFS(estoque[valor total],estoque[fornecedor],"&lt;&gt;saída",estoque[produto],preçodiario[[#Headers],[OVO VERMELHO B]],estoque[data],preçodiario[[#This Row],[data]])</f>
        <v>0</v>
      </c>
      <c r="AN187" s="20">
        <f>IFERROR(preçodiario[[#This Row],[OVO VERMELHO B]]*preçodiario[[#This Row],[estoque BV]],0)</f>
        <v>0</v>
      </c>
      <c r="AO1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Row],[data]])),((AO186*AP186)+SUMIFS(estoque[valor total],estoque[produto],preçodiario[[#Headers],[OVO VERMELHO C]],estoque[data],preçodiario[[#This Row],[data]],estoque[fornecedor],"&lt;&gt;saída"))/(AP186+(SUMIFS(estoque[quantidade],estoque[produto],preçodiario[[#Headers],[OVO VERMELHO C]],estoque[fornecedor],"&lt;&gt;saída",estoque[data],preçodiario[[#This Row],[data]])))))</f>
        <v/>
      </c>
      <c r="AP187" s="22">
        <f>IF(preçodiario[[#This Row],[entrada CV]]=0,AP186-(SUMIFS(estoque[quantidade],estoque[fornecedor],"saída",estoque[produto],preçodiario[[#Headers],[OVO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Row],[data]]))+AP186+preçodiario[[#This Row],[entrada CV]])</f>
        <v>0</v>
      </c>
      <c r="AQ187" s="22">
        <f>SUMIFS(estoque[quantidade],estoque[fornecedor],"&lt;&gt;saída",estoque[produto],preçodiario[[#Headers],[OVO VERMELHO C]],estoque[data],preçodiario[[#This Row],[data]])</f>
        <v>0</v>
      </c>
      <c r="AR187" s="20">
        <f>SUMIFS(estoque[valor total],estoque[fornecedor],"&lt;&gt;saída",estoque[produto],preçodiario[[#Headers],[OVO VERMELHO C]],estoque[data],preçodiario[[#This Row],[data]])</f>
        <v>0</v>
      </c>
      <c r="AS187" s="20">
        <f>IFERROR(preçodiario[[#This Row],[OVO VERMELHO C]]*preçodiario[[#This Row],[estoque CV]],0)</f>
        <v>0</v>
      </c>
      <c r="AT1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Row],[data]])),((AT186*AU186)+SUMIFS(estoque[valor total],estoque[produto],preçodiario[[#Headers],[OVO VERMELHO EXTRA]],estoque[data],preçodiario[[#This Row],[data]],estoque[fornecedor],"&lt;&gt;saída"))/(AU186+(SUMIFS(estoque[quantidade],estoque[produto],preçodiario[[#Headers],[OVO VERMELHO EXTRA]],estoque[fornecedor],"&lt;&gt;saída",estoque[data],preçodiario[[#This Row],[data]])))))</f>
        <v/>
      </c>
      <c r="AU187" s="22">
        <f>IF(preçodiario[[#This Row],[entrada EV]]=0,AU186-(SUMIFS(estoque[quantidade],estoque[fornecedor],"saída",estoque[produto],preçodiario[[#Headers],[OVO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Row],[data]]))+AU186+preçodiario[[#This Row],[entrada EV]])</f>
        <v>0</v>
      </c>
      <c r="AV187" s="22">
        <f>SUMIFS(estoque[quantidade],estoque[fornecedor],"&lt;&gt;saída",estoque[produto],preçodiario[[#Headers],[OVO VERMELHO EXTRA]],estoque[data],preçodiario[[#This Row],[data]])</f>
        <v>0</v>
      </c>
      <c r="AW187" s="20">
        <f>SUMIFS(estoque[valor total],estoque[fornecedor],"&lt;&gt;saída",estoque[produto],preçodiario[[#Headers],[OVO VERMELHO EXTRA]],estoque[data],preçodiario[[#This Row],[data]])</f>
        <v>0</v>
      </c>
      <c r="AX187" s="20">
        <f>IFERROR(preçodiario[[#This Row],[OVO VERMELHO EXTRA]]*preçodiario[[#This Row],[estoque EV]],0)</f>
        <v>0</v>
      </c>
      <c r="AY1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Row],[data]])),((AY186*AZ186)+SUMIFS(estoque[valor total],estoque[produto],preçodiario[[#Headers],[OVO VERMELHO JUMBO]],estoque[data],preçodiario[[#This Row],[data]],estoque[fornecedor],"&lt;&gt;saída"))/(AZ186+(SUMIFS(estoque[quantidade],estoque[produto],preçodiario[[#Headers],[OVO VERMELHO JUMBO]],estoque[fornecedor],"&lt;&gt;saída",estoque[data],preçodiario[[#This Row],[data]])))))</f>
        <v/>
      </c>
      <c r="AZ187" s="22">
        <f>IF(preçodiario[[#This Row],[entrada JV]]=0,AZ186-(SUMIFS(estoque[quantidade],estoque[fornecedor],"saída",estoque[produto],preçodiario[[#Headers],[OVO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Row],[data]]))+AZ186+preçodiario[[#This Row],[entrada JV]])</f>
        <v>0</v>
      </c>
      <c r="BA187" s="22">
        <f>SUMIFS(estoque[quantidade],estoque[fornecedor],"&lt;&gt;saída",estoque[produto],preçodiario[[#Headers],[OVO VERMELHO JUMBO]],estoque[data],preçodiario[[#This Row],[data]])</f>
        <v>0</v>
      </c>
      <c r="BB187" s="20">
        <f>SUMIFS(estoque[valor total],estoque[fornecedor],"&lt;&gt;saída",estoque[produto],preçodiario[[#Headers],[OVO VERMELHO JUMBO]],estoque[data],preçodiario[[#This Row],[data]])</f>
        <v>0</v>
      </c>
      <c r="BC187" s="20">
        <f>IFERROR(preçodiario[[#This Row],[OVO VERMELHO JUMBO]]*preçodiario[[#This Row],[estoque JV]],0)</f>
        <v>0</v>
      </c>
      <c r="BD187" t="str">
        <f>TEXT(vendaAno[[#This Row],[data]],"mmm")</f>
        <v>jul</v>
      </c>
      <c r="BE187" t="str">
        <f>TEXT(vendaAno[[#This Row],[data]],"ddd")</f>
        <v>dom</v>
      </c>
      <c r="BF187" s="82">
        <f>WEEKNUM(vendaAno[[#This Row],[data]],13)</f>
        <v>27</v>
      </c>
      <c r="BG187" s="27">
        <f>preçodiario[[#This Row],[data]]</f>
        <v>46208</v>
      </c>
      <c r="BH1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7" s="8">
        <f>IF(SUMIFS(estoque[valor total],estoque[fornecedor],"saída",estoque[data],vendaAno[[#This Row],[data]])=0,"",SUMIFS(estoque[valor total],estoque[fornecedor],"saída",estoque[data],vendaAno[[#This Row],[data]]))</f>
        <v>387</v>
      </c>
      <c r="BJ18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Row],[data]]))/12+BJ186,"")</f>
        <v>25.833333333333314</v>
      </c>
      <c r="BK187" s="79">
        <f ca="1">IF(TODAY()&gt;=vendaAno[[#This Row],[data]],IF(SUMIFS(estoque[quantidade],estoque[fornecedor],"saída",estoque[data],vendaAno[[#This Row],[data]])/12=0,AVERAGE(BK184:BK186),SUMIFS(estoque[quantidade],estoque[fornecedor],"saída",estoque[data],vendaAno[[#This Row],[data]])/12),"")</f>
        <v>1.5833333333333333</v>
      </c>
      <c r="BL187" s="8">
        <f ca="1">IF(vendaAno[[#This Row],[data]]&lt;=TODAY(),IF(SUMIFS(estoque[lucro],estoque[fornecedor],"saída",estoque[data],vendaAno[[#This Row],[data]])=0,AVERAGE(BL184:BL186),SUMIFS(estoque[lucro],estoque[fornecedor],"saída",estoque[data],vendaAno[[#This Row],[data]])),"")</f>
        <v>86.97999999999999</v>
      </c>
      <c r="BM187" s="10">
        <f ca="1">IFERROR(vendaAno[[#This Row],[lucro]]/vendaAno[[#This Row],[valor de venda]],"")</f>
        <v>0.22475452196382426</v>
      </c>
      <c r="BN18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4842.4914953429234</v>
      </c>
      <c r="BO187" s="8">
        <f ca="1">IF(TODAY()&gt;=vendaAno[[#This Row],[data]],IF(vendaAno[[#This Row],[N°]]=BF186,vendaAno[[#This Row],[lucro]]-173.33+BO186,vendaAno[[#This Row],[lucro]]-150),"")</f>
        <v>-91.180000000000035</v>
      </c>
      <c r="BP187" s="81">
        <f ca="1">IF(TODAY()&gt;=vendaAno[[#This Row],[data]],SUM(BK181:BK187)*12,"")</f>
        <v>249</v>
      </c>
      <c r="BQ187" s="7">
        <f ca="1">IFERROR(vendaAno[[#This Row],[lucro]]/(vendaAno[[#This Row],[venda]]*12),"")</f>
        <v>4.5778947368421044</v>
      </c>
    </row>
    <row r="188" spans="1:69" x14ac:dyDescent="0.25">
      <c r="A1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8" s="18" t="str">
        <f>TEXT(preçodiario[[#This Row],[data]],"MMM")</f>
        <v>jul</v>
      </c>
      <c r="C188" s="18" t="str">
        <f>TEXT(preçodiario[[#This Row],[data]],"ddd")</f>
        <v>seg</v>
      </c>
      <c r="D188" s="96">
        <f>WEEKNUM(preçodiario[[#This Row],[data]],13)</f>
        <v>27</v>
      </c>
      <c r="E188" s="37">
        <v>46209</v>
      </c>
      <c r="F1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Row],[data]])),((F187*G187)+SUMIFS(estoque[valor total],estoque[produto],preçodiario[[#Headers],[OVO BRANCO A]],estoque[data],preçodiario[[#This Row],[data]],estoque[fornecedor],"&lt;&gt;saída"))/(G187+(SUMIFS(estoque[quantidade],estoque[produto],preçodiario[[#Headers],[OVO BRANCO A]],estoque[fornecedor],"&lt;&gt;saída",estoque[data],preçodiario[[#This Row],[data]])))))</f>
        <v>15.416666666666664</v>
      </c>
      <c r="G188" s="22">
        <f>IF(preçodiario[[#This Row],[entrada A]]=0,G187-(SUMIFS(estoque[quantidade],estoque[fornecedor],"saída",estoque[produto],preçodiario[[#Headers],[OVO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Row],[data]]))+G187+preçodiario[[#This Row],[entrada A]])</f>
        <v>54</v>
      </c>
      <c r="H188" s="22">
        <f>SUMIFS(estoque[quantidade],estoque[fornecedor],"&lt;&gt;saída",estoque[produto],preçodiario[[#Headers],[OVO BRANCO A]],estoque[data],preçodiario[[#This Row],[data]])</f>
        <v>0</v>
      </c>
      <c r="I188" s="20">
        <f>SUMIFS(estoque[valor total],estoque[fornecedor],"&lt;&gt;saída",estoque[produto],preçodiario[[#Headers],[OVO BRANCO A]],estoque[data],preçodiario[[#This Row],[data]])</f>
        <v>0</v>
      </c>
      <c r="J188" s="20">
        <f>IFERROR(preçodiario[[#This Row],[estoque A]]*preçodiario[[#This Row],[OVO BRANCO A]],0)</f>
        <v>832.49999999999989</v>
      </c>
      <c r="K1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Row],[data]])),((K187*L187)+SUMIFS(estoque[valor total],estoque[produto],preçodiario[[#Headers],[OVO BRANCO B]],estoque[data],preçodiario[[#This Row],[data]],estoque[fornecedor],"&lt;&gt;saída"))/(L187+(SUMIFS(estoque[quantidade],estoque[produto],preçodiario[[#Headers],[OVO BRANCO B]],estoque[fornecedor],"&lt;&gt;saída",estoque[data],preçodiario[[#This Row],[data]])))))</f>
        <v>14.585313803472685</v>
      </c>
      <c r="L188" s="22">
        <f>IF(preçodiario[[#This Row],[entrada B]]=0,L187-(SUMIFS(estoque[quantidade],estoque[fornecedor],"saída",estoque[produto],preçodiario[[#Headers],[OVO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Row],[data]]))+L187+preçodiario[[#This Row],[entrada B]])</f>
        <v>66</v>
      </c>
      <c r="M188" s="22">
        <f>SUMIFS(estoque[quantidade],estoque[fornecedor],"&lt;&gt;saída",estoque[produto],preçodiario[[#Headers],[OVO BRANCO B]],estoque[data],preçodiario[[#This Row],[data]])</f>
        <v>0</v>
      </c>
      <c r="N188" s="20">
        <f>SUMIFS(estoque[valor total],estoque[fornecedor],"&lt;&gt;saída",estoque[produto],preçodiario[[#Headers],[OVO BRANCO B]],estoque[data],preçodiario[[#This Row],[data]])</f>
        <v>0</v>
      </c>
      <c r="O188" s="20">
        <f>IFERROR(preçodiario[[#This Row],[OVO BRANCO B]]*preçodiario[[#This Row],[estoque B]],0)</f>
        <v>962.63071102919719</v>
      </c>
      <c r="P1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Row],[data]])),((P187*Q187)+SUMIFS(estoque[valor total],estoque[produto],preçodiario[[#Headers],[OVO BRANCO C]],estoque[data],preçodiario[[#This Row],[data]],estoque[fornecedor],"&lt;&gt;saída"))/(Q187+(SUMIFS(estoque[quantidade],estoque[produto],preçodiario[[#Headers],[OVO BRANCO C]],estoque[fornecedor],"&lt;&gt;saída",estoque[data],preçodiario[[#This Row],[data]])))))</f>
        <v>13.833333333333339</v>
      </c>
      <c r="Q188" s="22">
        <f>IF(preçodiario[[#This Row],[entrada C]]=0,Q187-(SUMIFS(estoque[quantidade],estoque[fornecedor],"saída",estoque[produto],preçodiario[[#Headers],[OVO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Row],[data]]))+Q187+preçodiario[[#This Row],[entrada C]])</f>
        <v>1</v>
      </c>
      <c r="R188" s="22">
        <f>SUMIFS(estoque[quantidade],estoque[fornecedor],"&lt;&gt;saída",estoque[produto],preçodiario[[#Headers],[OVO BRANCO C]],estoque[data],preçodiario[[#This Row],[data]])</f>
        <v>0</v>
      </c>
      <c r="S188" s="20">
        <f>SUMIFS(estoque[valor total],estoque[fornecedor],"&lt;&gt;saída",estoque[produto],preçodiario[[#Headers],[OVO BRANCO C]],estoque[data],preçodiario[[#This Row],[data]])</f>
        <v>0</v>
      </c>
      <c r="T188" s="20">
        <f>IFERROR(preçodiario[[#This Row],[OVO BRANCO C]]*preçodiario[[#This Row],[estoque C]],0)</f>
        <v>13.833333333333339</v>
      </c>
      <c r="U1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Row],[data]])),((U187*V187)+SUMIFS(estoque[valor total],estoque[produto],preçodiario[[#Headers],[OVO BRANCO EXTRA]],estoque[data],preçodiario[[#This Row],[data]],estoque[fornecedor],"&lt;&gt;saída"))/(V187+(SUMIFS(estoque[quantidade],estoque[produto],preçodiario[[#Headers],[OVO BRANCO EXTRA]],estoque[fornecedor],"&lt;&gt;saída",estoque[data],preçodiario[[#This Row],[data]])))))</f>
        <v>15.833333333333337</v>
      </c>
      <c r="V188" s="22">
        <f>IF(preçodiario[[#This Row],[entrada E]]=0,V187-(SUMIFS(estoque[quantidade],estoque[fornecedor],"saída",estoque[produto],preçodiario[[#Headers],[OVO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Row],[data]]))+V187+preçodiario[[#This Row],[entrada E]])</f>
        <v>74</v>
      </c>
      <c r="W188" s="22">
        <f>SUMIFS(estoque[quantidade],estoque[fornecedor],"&lt;&gt;saída",estoque[produto],preçodiario[[#Headers],[OVO BRANCO EXTRA]],estoque[data],preçodiario[[#This Row],[data]])</f>
        <v>0</v>
      </c>
      <c r="X188" s="20">
        <f>SUMIFS(estoque[valor total],estoque[fornecedor],"&lt;&gt;saída",estoque[produto],preçodiario[[#Headers],[OVO BRANCO EXTRA]],estoque[data],preçodiario[[#This Row],[data]])</f>
        <v>0</v>
      </c>
      <c r="Y188" s="20">
        <f>IFERROR(preçodiario[[#This Row],[estoque E]]*preçodiario[[#This Row],[OVO BRANCO EXTRA]],0)</f>
        <v>1171.666666666667</v>
      </c>
      <c r="Z1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Row],[data]])),((Z187*AA187)+SUMIFS(estoque[valor total],estoque[produto],preçodiario[[#Headers],[OVO BRANCO JUMBO]],estoque[data],preçodiario[[#This Row],[data]],estoque[fornecedor],"&lt;&gt;saída"))/(AA187+(SUMIFS(estoque[quantidade],estoque[produto],preçodiario[[#Headers],[OVO BRANCO JUMBO]],estoque[fornecedor],"&lt;&gt;saída",estoque[data],preçodiario[[#This Row],[data]])))))</f>
        <v>16.251960784313727</v>
      </c>
      <c r="AA188" s="22">
        <f>IF(preçodiario[[#This Row],[entrada J]]=0,AA187-(SUMIFS(estoque[quantidade],estoque[fornecedor],"saída",estoque[produto],preçodiario[[#Headers],[OVO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Row],[data]]))+AA187+preçodiario[[#This Row],[entrada J]])</f>
        <v>89</v>
      </c>
      <c r="AB188" s="22">
        <f>SUMIFS(estoque[quantidade],estoque[fornecedor],"&lt;&gt;saída",estoque[produto],preçodiario[[#Headers],[OVO BRANCO JUMBO]],estoque[data],preçodiario[[#This Row],[data]])</f>
        <v>0</v>
      </c>
      <c r="AC188" s="20">
        <f>SUMIFS(estoque[valor total],estoque[fornecedor],"&lt;&gt;saída",estoque[produto],preçodiario[[#Headers],[OVO BRANCO JUMBO]],estoque[data],preçodiario[[#This Row],[data]])</f>
        <v>0</v>
      </c>
      <c r="AD188" s="20">
        <f>IFERROR(preçodiario[[#This Row],[OVO BRANCO JUMBO]]*preçodiario[[#This Row],[estoque J]],0)</f>
        <v>1446.4245098039216</v>
      </c>
      <c r="AE1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Row],[data]])),((AE187*AF187)+SUMIFS(estoque[valor total],estoque[produto],preçodiario[[#Headers],[OVO VERMELHO A]],estoque[data],preçodiario[[#This Row],[data]],estoque[fornecedor],"&lt;&gt;saída"))/(AF187+(SUMIFS(estoque[quantidade],estoque[produto],preçodiario[[#Headers],[OVO VERMELHO A]],estoque[fornecedor],"&lt;&gt;saída",estoque[data],preçodiario[[#This Row],[data]])))))</f>
        <v/>
      </c>
      <c r="AF188" s="22">
        <f>IF(preçodiario[[#This Row],[entrada AV]]=0,AF187-(SUMIFS(estoque[quantidade],estoque[fornecedor],"saída",estoque[produto],preçodiario[[#Headers],[OVO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Row],[data]]))+AF187+preçodiario[[#This Row],[entrada AV]])</f>
        <v>0</v>
      </c>
      <c r="AG188" s="22">
        <f>SUMIFS(estoque[quantidade],estoque[fornecedor],"&lt;&gt;saída",estoque[produto],preçodiario[[#Headers],[OVO VERMELHO A]],estoque[data],preçodiario[[#This Row],[data]])</f>
        <v>0</v>
      </c>
      <c r="AH188" s="20">
        <f>SUMIFS(estoque[valor total],estoque[fornecedor],"&lt;&gt;saída",estoque[produto],preçodiario[[#Headers],[OVO VERMELHO A]],estoque[data],preçodiario[[#This Row],[data]])</f>
        <v>0</v>
      </c>
      <c r="AI188" s="20">
        <f>IFERROR(preçodiario[[#This Row],[OVO VERMELHO A]]*preçodiario[[#This Row],[estoque AV]],0)</f>
        <v>0</v>
      </c>
      <c r="AJ1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Row],[data]])),((AJ187*AK187)+SUMIFS(estoque[valor total],estoque[produto],preçodiario[[#Headers],[OVO VERMELHO B]],estoque[data],preçodiario[[#This Row],[data]],estoque[fornecedor],"&lt;&gt;saída"))/(AK187+(SUMIFS(estoque[quantidade],estoque[produto],preçodiario[[#Headers],[OVO VERMELHO B]],estoque[fornecedor],"&lt;&gt;saída",estoque[data],preçodiario[[#This Row],[data]])))))</f>
        <v/>
      </c>
      <c r="AK188" s="22">
        <f>IF(preçodiario[[#This Row],[entrada BV]]=0,AK187-(SUMIFS(estoque[quantidade],estoque[fornecedor],"saída",estoque[produto],preçodiario[[#Headers],[OVO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Row],[data]]))+AK187+preçodiario[[#This Row],[entrada BV]])</f>
        <v>0</v>
      </c>
      <c r="AL188" s="22">
        <f>SUMIFS(estoque[quantidade],estoque[fornecedor],"&lt;&gt;saída",estoque[produto],preçodiario[[#Headers],[OVO VERMELHO B]],estoque[data],preçodiario[[#This Row],[data]])</f>
        <v>0</v>
      </c>
      <c r="AM188" s="20">
        <f>SUMIFS(estoque[valor total],estoque[fornecedor],"&lt;&gt;saída",estoque[produto],preçodiario[[#Headers],[OVO VERMELHO B]],estoque[data],preçodiario[[#This Row],[data]])</f>
        <v>0</v>
      </c>
      <c r="AN188" s="20">
        <f>IFERROR(preçodiario[[#This Row],[OVO VERMELHO B]]*preçodiario[[#This Row],[estoque BV]],0)</f>
        <v>0</v>
      </c>
      <c r="AO1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Row],[data]])),((AO187*AP187)+SUMIFS(estoque[valor total],estoque[produto],preçodiario[[#Headers],[OVO VERMELHO C]],estoque[data],preçodiario[[#This Row],[data]],estoque[fornecedor],"&lt;&gt;saída"))/(AP187+(SUMIFS(estoque[quantidade],estoque[produto],preçodiario[[#Headers],[OVO VERMELHO C]],estoque[fornecedor],"&lt;&gt;saída",estoque[data],preçodiario[[#This Row],[data]])))))</f>
        <v/>
      </c>
      <c r="AP188" s="22">
        <f>IF(preçodiario[[#This Row],[entrada CV]]=0,AP187-(SUMIFS(estoque[quantidade],estoque[fornecedor],"saída",estoque[produto],preçodiario[[#Headers],[OVO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Row],[data]]))+AP187+preçodiario[[#This Row],[entrada CV]])</f>
        <v>0</v>
      </c>
      <c r="AQ188" s="22">
        <f>SUMIFS(estoque[quantidade],estoque[fornecedor],"&lt;&gt;saída",estoque[produto],preçodiario[[#Headers],[OVO VERMELHO C]],estoque[data],preçodiario[[#This Row],[data]])</f>
        <v>0</v>
      </c>
      <c r="AR188" s="20">
        <f>SUMIFS(estoque[valor total],estoque[fornecedor],"&lt;&gt;saída",estoque[produto],preçodiario[[#Headers],[OVO VERMELHO C]],estoque[data],preçodiario[[#This Row],[data]])</f>
        <v>0</v>
      </c>
      <c r="AS188" s="20">
        <f>IFERROR(preçodiario[[#This Row],[OVO VERMELHO C]]*preçodiario[[#This Row],[estoque CV]],0)</f>
        <v>0</v>
      </c>
      <c r="AT1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Row],[data]])),((AT187*AU187)+SUMIFS(estoque[valor total],estoque[produto],preçodiario[[#Headers],[OVO VERMELHO EXTRA]],estoque[data],preçodiario[[#This Row],[data]],estoque[fornecedor],"&lt;&gt;saída"))/(AU187+(SUMIFS(estoque[quantidade],estoque[produto],preçodiario[[#Headers],[OVO VERMELHO EXTRA]],estoque[fornecedor],"&lt;&gt;saída",estoque[data],preçodiario[[#This Row],[data]])))))</f>
        <v/>
      </c>
      <c r="AU188" s="22">
        <f>IF(preçodiario[[#This Row],[entrada EV]]=0,AU187-(SUMIFS(estoque[quantidade],estoque[fornecedor],"saída",estoque[produto],preçodiario[[#Headers],[OVO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Row],[data]]))+AU187+preçodiario[[#This Row],[entrada EV]])</f>
        <v>0</v>
      </c>
      <c r="AV188" s="22">
        <f>SUMIFS(estoque[quantidade],estoque[fornecedor],"&lt;&gt;saída",estoque[produto],preçodiario[[#Headers],[OVO VERMELHO EXTRA]],estoque[data],preçodiario[[#This Row],[data]])</f>
        <v>0</v>
      </c>
      <c r="AW188" s="20">
        <f>SUMIFS(estoque[valor total],estoque[fornecedor],"&lt;&gt;saída",estoque[produto],preçodiario[[#Headers],[OVO VERMELHO EXTRA]],estoque[data],preçodiario[[#This Row],[data]])</f>
        <v>0</v>
      </c>
      <c r="AX188" s="20">
        <f>IFERROR(preçodiario[[#This Row],[OVO VERMELHO EXTRA]]*preçodiario[[#This Row],[estoque EV]],0)</f>
        <v>0</v>
      </c>
      <c r="AY1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Row],[data]])),((AY187*AZ187)+SUMIFS(estoque[valor total],estoque[produto],preçodiario[[#Headers],[OVO VERMELHO JUMBO]],estoque[data],preçodiario[[#This Row],[data]],estoque[fornecedor],"&lt;&gt;saída"))/(AZ187+(SUMIFS(estoque[quantidade],estoque[produto],preçodiario[[#Headers],[OVO VERMELHO JUMBO]],estoque[fornecedor],"&lt;&gt;saída",estoque[data],preçodiario[[#This Row],[data]])))))</f>
        <v/>
      </c>
      <c r="AZ188" s="22">
        <f>IF(preçodiario[[#This Row],[entrada JV]]=0,AZ187-(SUMIFS(estoque[quantidade],estoque[fornecedor],"saída",estoque[produto],preçodiario[[#Headers],[OVO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Row],[data]]))+AZ187+preçodiario[[#This Row],[entrada JV]])</f>
        <v>0</v>
      </c>
      <c r="BA188" s="22">
        <f>SUMIFS(estoque[quantidade],estoque[fornecedor],"&lt;&gt;saída",estoque[produto],preçodiario[[#Headers],[OVO VERMELHO JUMBO]],estoque[data],preçodiario[[#This Row],[data]])</f>
        <v>0</v>
      </c>
      <c r="BB188" s="20">
        <f>SUMIFS(estoque[valor total],estoque[fornecedor],"&lt;&gt;saída",estoque[produto],preçodiario[[#Headers],[OVO VERMELHO JUMBO]],estoque[data],preçodiario[[#This Row],[data]])</f>
        <v>0</v>
      </c>
      <c r="BC188" s="20">
        <f>IFERROR(preçodiario[[#This Row],[OVO VERMELHO JUMBO]]*preçodiario[[#This Row],[estoque JV]],0)</f>
        <v>0</v>
      </c>
      <c r="BD188" t="str">
        <f>TEXT(vendaAno[[#This Row],[data]],"mmm")</f>
        <v>jul</v>
      </c>
      <c r="BE188" t="str">
        <f>TEXT(vendaAno[[#This Row],[data]],"ddd")</f>
        <v>seg</v>
      </c>
      <c r="BF188" s="82">
        <f>WEEKNUM(vendaAno[[#This Row],[data]],13)</f>
        <v>27</v>
      </c>
      <c r="BG188" s="27">
        <f>preçodiario[[#This Row],[data]]</f>
        <v>46209</v>
      </c>
      <c r="BH18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8" s="8">
        <f>IF(SUMIFS(estoque[valor total],estoque[fornecedor],"saída",estoque[data],vendaAno[[#This Row],[data]])=0,"",SUMIFS(estoque[valor total],estoque[fornecedor],"saída",estoque[data],vendaAno[[#This Row],[data]]))</f>
        <v>549</v>
      </c>
      <c r="BJ18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Row],[data]]))/12+BJ187,"")</f>
        <v>23.666666666666647</v>
      </c>
      <c r="BK188" s="79">
        <f ca="1">IF(TODAY()&gt;=vendaAno[[#This Row],[data]],IF(SUMIFS(estoque[quantidade],estoque[fornecedor],"saída",estoque[data],vendaAno[[#This Row],[data]])/12=0,AVERAGE(BK185:BK187),SUMIFS(estoque[quantidade],estoque[fornecedor],"saída",estoque[data],vendaAno[[#This Row],[data]])/12),"")</f>
        <v>2.1666666666666665</v>
      </c>
      <c r="BL188" s="8">
        <f ca="1">IF(vendaAno[[#This Row],[data]]&lt;=TODAY(),IF(SUMIFS(estoque[lucro],estoque[fornecedor],"saída",estoque[data],vendaAno[[#This Row],[data]])=0,AVERAGE(BL185:BL187),SUMIFS(estoque[lucro],estoque[fornecedor],"saída",estoque[data],vendaAno[[#This Row],[data]])),"")</f>
        <v>133.56000000000003</v>
      </c>
      <c r="BM188" s="10">
        <f ca="1">IFERROR(vendaAno[[#This Row],[lucro]]/vendaAno[[#This Row],[valor de venda]],"")</f>
        <v>0.24327868852459023</v>
      </c>
      <c r="BN18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4427.0552208331192</v>
      </c>
      <c r="BO188" s="8">
        <f ca="1">IF(TODAY()&gt;=vendaAno[[#This Row],[data]],IF(vendaAno[[#This Row],[N°]]=BF187,vendaAno[[#This Row],[lucro]]-173.33+BO187,vendaAno[[#This Row],[lucro]]-150),"")</f>
        <v>-130.95000000000002</v>
      </c>
      <c r="BP188" s="81">
        <f ca="1">IF(TODAY()&gt;=vendaAno[[#This Row],[data]],SUM(BK182:BK188)*12,"")</f>
        <v>257</v>
      </c>
      <c r="BQ188" s="7">
        <f ca="1">IFERROR(vendaAno[[#This Row],[lucro]]/(vendaAno[[#This Row],[venda]]*12),"")</f>
        <v>5.136923076923078</v>
      </c>
    </row>
    <row r="189" spans="1:69" x14ac:dyDescent="0.25">
      <c r="A1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89" s="18" t="str">
        <f>TEXT(preçodiario[[#This Row],[data]],"MMM")</f>
        <v>jul</v>
      </c>
      <c r="C189" s="18" t="str">
        <f>TEXT(preçodiario[[#This Row],[data]],"ddd")</f>
        <v>ter</v>
      </c>
      <c r="D189" s="96">
        <f>WEEKNUM(preçodiario[[#This Row],[data]],13)</f>
        <v>27</v>
      </c>
      <c r="E189" s="37">
        <v>46210</v>
      </c>
      <c r="F1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Row],[data]])),((F188*G188)+SUMIFS(estoque[valor total],estoque[produto],preçodiario[[#Headers],[OVO BRANCO A]],estoque[data],preçodiario[[#This Row],[data]],estoque[fornecedor],"&lt;&gt;saída"))/(G188+(SUMIFS(estoque[quantidade],estoque[produto],preçodiario[[#Headers],[OVO BRANCO A]],estoque[fornecedor],"&lt;&gt;saída",estoque[data],preçodiario[[#This Row],[data]])))))</f>
        <v>15.416666666666664</v>
      </c>
      <c r="G189" s="22">
        <f>IF(preçodiario[[#This Row],[entrada A]]=0,G188-(SUMIFS(estoque[quantidade],estoque[fornecedor],"saída",estoque[produto],preçodiario[[#Headers],[OVO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Row],[data]]))+G188+preçodiario[[#This Row],[entrada A]])</f>
        <v>38</v>
      </c>
      <c r="H189" s="22">
        <f>SUMIFS(estoque[quantidade],estoque[fornecedor],"&lt;&gt;saída",estoque[produto],preçodiario[[#Headers],[OVO BRANCO A]],estoque[data],preçodiario[[#This Row],[data]])</f>
        <v>0</v>
      </c>
      <c r="I189" s="20">
        <f>SUMIFS(estoque[valor total],estoque[fornecedor],"&lt;&gt;saída",estoque[produto],preçodiario[[#Headers],[OVO BRANCO A]],estoque[data],preçodiario[[#This Row],[data]])</f>
        <v>0</v>
      </c>
      <c r="J189" s="20">
        <f>IFERROR(preçodiario[[#This Row],[estoque A]]*preçodiario[[#This Row],[OVO BRANCO A]],0)</f>
        <v>585.83333333333326</v>
      </c>
      <c r="K1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Row],[data]])),((K188*L188)+SUMIFS(estoque[valor total],estoque[produto],preçodiario[[#Headers],[OVO BRANCO B]],estoque[data],preçodiario[[#This Row],[data]],estoque[fornecedor],"&lt;&gt;saída"))/(L188+(SUMIFS(estoque[quantidade],estoque[produto],preçodiario[[#Headers],[OVO BRANCO B]],estoque[fornecedor],"&lt;&gt;saída",estoque[data],preçodiario[[#This Row],[data]])))))</f>
        <v>14.585313803472685</v>
      </c>
      <c r="L189" s="22">
        <f>IF(preçodiario[[#This Row],[entrada B]]=0,L188-(SUMIFS(estoque[quantidade],estoque[fornecedor],"saída",estoque[produto],preçodiario[[#Headers],[OVO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Row],[data]]))+L188+preçodiario[[#This Row],[entrada B]])</f>
        <v>61</v>
      </c>
      <c r="M189" s="22">
        <f>SUMIFS(estoque[quantidade],estoque[fornecedor],"&lt;&gt;saída",estoque[produto],preçodiario[[#Headers],[OVO BRANCO B]],estoque[data],preçodiario[[#This Row],[data]])</f>
        <v>0</v>
      </c>
      <c r="N189" s="20">
        <f>SUMIFS(estoque[valor total],estoque[fornecedor],"&lt;&gt;saída",estoque[produto],preçodiario[[#Headers],[OVO BRANCO B]],estoque[data],preçodiario[[#This Row],[data]])</f>
        <v>0</v>
      </c>
      <c r="O189" s="20">
        <f>IFERROR(preçodiario[[#This Row],[OVO BRANCO B]]*preçodiario[[#This Row],[estoque B]],0)</f>
        <v>889.70414201183382</v>
      </c>
      <c r="P1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Row],[data]])),((P188*Q188)+SUMIFS(estoque[valor total],estoque[produto],preçodiario[[#Headers],[OVO BRANCO C]],estoque[data],preçodiario[[#This Row],[data]],estoque[fornecedor],"&lt;&gt;saída"))/(Q188+(SUMIFS(estoque[quantidade],estoque[produto],preçodiario[[#Headers],[OVO BRANCO C]],estoque[fornecedor],"&lt;&gt;saída",estoque[data],preçodiario[[#This Row],[data]])))))</f>
        <v>13.833333333333339</v>
      </c>
      <c r="Q189" s="22">
        <f>IF(preçodiario[[#This Row],[entrada C]]=0,Q188-(SUMIFS(estoque[quantidade],estoque[fornecedor],"saída",estoque[produto],preçodiario[[#Headers],[OVO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Row],[data]]))+Q188+preçodiario[[#This Row],[entrada C]])</f>
        <v>1</v>
      </c>
      <c r="R189" s="22">
        <f>SUMIFS(estoque[quantidade],estoque[fornecedor],"&lt;&gt;saída",estoque[produto],preçodiario[[#Headers],[OVO BRANCO C]],estoque[data],preçodiario[[#This Row],[data]])</f>
        <v>0</v>
      </c>
      <c r="S189" s="20">
        <f>SUMIFS(estoque[valor total],estoque[fornecedor],"&lt;&gt;saída",estoque[produto],preçodiario[[#Headers],[OVO BRANCO C]],estoque[data],preçodiario[[#This Row],[data]])</f>
        <v>0</v>
      </c>
      <c r="T189" s="20">
        <f>IFERROR(preçodiario[[#This Row],[OVO BRANCO C]]*preçodiario[[#This Row],[estoque C]],0)</f>
        <v>13.833333333333339</v>
      </c>
      <c r="U1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Row],[data]])),((U188*V188)+SUMIFS(estoque[valor total],estoque[produto],preçodiario[[#Headers],[OVO BRANCO EXTRA]],estoque[data],preçodiario[[#This Row],[data]],estoque[fornecedor],"&lt;&gt;saída"))/(V188+(SUMIFS(estoque[quantidade],estoque[produto],preçodiario[[#Headers],[OVO BRANCO EXTRA]],estoque[fornecedor],"&lt;&gt;saída",estoque[data],preçodiario[[#This Row],[data]])))))</f>
        <v>15.833333333333337</v>
      </c>
      <c r="V189" s="22">
        <f>IF(preçodiario[[#This Row],[entrada E]]=0,V188-(SUMIFS(estoque[quantidade],estoque[fornecedor],"saída",estoque[produto],preçodiario[[#Headers],[OVO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Row],[data]]))+V188+preçodiario[[#This Row],[entrada E]])</f>
        <v>66</v>
      </c>
      <c r="W189" s="22">
        <f>SUMIFS(estoque[quantidade],estoque[fornecedor],"&lt;&gt;saída",estoque[produto],preçodiario[[#Headers],[OVO BRANCO EXTRA]],estoque[data],preçodiario[[#This Row],[data]])</f>
        <v>0</v>
      </c>
      <c r="X189" s="20">
        <f>SUMIFS(estoque[valor total],estoque[fornecedor],"&lt;&gt;saída",estoque[produto],preçodiario[[#Headers],[OVO BRANCO EXTRA]],estoque[data],preçodiario[[#This Row],[data]])</f>
        <v>0</v>
      </c>
      <c r="Y189" s="20">
        <f>IFERROR(preçodiario[[#This Row],[estoque E]]*preçodiario[[#This Row],[OVO BRANCO EXTRA]],0)</f>
        <v>1045.0000000000002</v>
      </c>
      <c r="Z1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Row],[data]])),((Z188*AA188)+SUMIFS(estoque[valor total],estoque[produto],preçodiario[[#Headers],[OVO BRANCO JUMBO]],estoque[data],preçodiario[[#This Row],[data]],estoque[fornecedor],"&lt;&gt;saída"))/(AA188+(SUMIFS(estoque[quantidade],estoque[produto],preçodiario[[#Headers],[OVO BRANCO JUMBO]],estoque[fornecedor],"&lt;&gt;saída",estoque[data],preçodiario[[#This Row],[data]])))))</f>
        <v>16.251960784313727</v>
      </c>
      <c r="AA189" s="22">
        <f>IF(preçodiario[[#This Row],[entrada J]]=0,AA188-(SUMIFS(estoque[quantidade],estoque[fornecedor],"saída",estoque[produto],preçodiario[[#Headers],[OVO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Row],[data]]))+AA188+preçodiario[[#This Row],[entrada J]])</f>
        <v>82</v>
      </c>
      <c r="AB189" s="22">
        <f>SUMIFS(estoque[quantidade],estoque[fornecedor],"&lt;&gt;saída",estoque[produto],preçodiario[[#Headers],[OVO BRANCO JUMBO]],estoque[data],preçodiario[[#This Row],[data]])</f>
        <v>0</v>
      </c>
      <c r="AC189" s="20">
        <f>SUMIFS(estoque[valor total],estoque[fornecedor],"&lt;&gt;saída",estoque[produto],preçodiario[[#Headers],[OVO BRANCO JUMBO]],estoque[data],preçodiario[[#This Row],[data]])</f>
        <v>0</v>
      </c>
      <c r="AD189" s="20">
        <f>IFERROR(preçodiario[[#This Row],[OVO BRANCO JUMBO]]*preçodiario[[#This Row],[estoque J]],0)</f>
        <v>1332.6607843137256</v>
      </c>
      <c r="AE1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Row],[data]])),((AE188*AF188)+SUMIFS(estoque[valor total],estoque[produto],preçodiario[[#Headers],[OVO VERMELHO A]],estoque[data],preçodiario[[#This Row],[data]],estoque[fornecedor],"&lt;&gt;saída"))/(AF188+(SUMIFS(estoque[quantidade],estoque[produto],preçodiario[[#Headers],[OVO VERMELHO A]],estoque[fornecedor],"&lt;&gt;saída",estoque[data],preçodiario[[#This Row],[data]])))))</f>
        <v/>
      </c>
      <c r="AF189" s="22">
        <f>IF(preçodiario[[#This Row],[entrada AV]]=0,AF188-(SUMIFS(estoque[quantidade],estoque[fornecedor],"saída",estoque[produto],preçodiario[[#Headers],[OVO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Row],[data]]))+AF188+preçodiario[[#This Row],[entrada AV]])</f>
        <v>0</v>
      </c>
      <c r="AG189" s="22">
        <f>SUMIFS(estoque[quantidade],estoque[fornecedor],"&lt;&gt;saída",estoque[produto],preçodiario[[#Headers],[OVO VERMELHO A]],estoque[data],preçodiario[[#This Row],[data]])</f>
        <v>0</v>
      </c>
      <c r="AH189" s="20">
        <f>SUMIFS(estoque[valor total],estoque[fornecedor],"&lt;&gt;saída",estoque[produto],preçodiario[[#Headers],[OVO VERMELHO A]],estoque[data],preçodiario[[#This Row],[data]])</f>
        <v>0</v>
      </c>
      <c r="AI189" s="20">
        <f>IFERROR(preçodiario[[#This Row],[OVO VERMELHO A]]*preçodiario[[#This Row],[estoque AV]],0)</f>
        <v>0</v>
      </c>
      <c r="AJ1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Row],[data]])),((AJ188*AK188)+SUMIFS(estoque[valor total],estoque[produto],preçodiario[[#Headers],[OVO VERMELHO B]],estoque[data],preçodiario[[#This Row],[data]],estoque[fornecedor],"&lt;&gt;saída"))/(AK188+(SUMIFS(estoque[quantidade],estoque[produto],preçodiario[[#Headers],[OVO VERMELHO B]],estoque[fornecedor],"&lt;&gt;saída",estoque[data],preçodiario[[#This Row],[data]])))))</f>
        <v/>
      </c>
      <c r="AK189" s="22">
        <f>IF(preçodiario[[#This Row],[entrada BV]]=0,AK188-(SUMIFS(estoque[quantidade],estoque[fornecedor],"saída",estoque[produto],preçodiario[[#Headers],[OVO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Row],[data]]))+AK188+preçodiario[[#This Row],[entrada BV]])</f>
        <v>0</v>
      </c>
      <c r="AL189" s="22">
        <f>SUMIFS(estoque[quantidade],estoque[fornecedor],"&lt;&gt;saída",estoque[produto],preçodiario[[#Headers],[OVO VERMELHO B]],estoque[data],preçodiario[[#This Row],[data]])</f>
        <v>0</v>
      </c>
      <c r="AM189" s="20">
        <f>SUMIFS(estoque[valor total],estoque[fornecedor],"&lt;&gt;saída",estoque[produto],preçodiario[[#Headers],[OVO VERMELHO B]],estoque[data],preçodiario[[#This Row],[data]])</f>
        <v>0</v>
      </c>
      <c r="AN189" s="20">
        <f>IFERROR(preçodiario[[#This Row],[OVO VERMELHO B]]*preçodiario[[#This Row],[estoque BV]],0)</f>
        <v>0</v>
      </c>
      <c r="AO1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Row],[data]])),((AO188*AP188)+SUMIFS(estoque[valor total],estoque[produto],preçodiario[[#Headers],[OVO VERMELHO C]],estoque[data],preçodiario[[#This Row],[data]],estoque[fornecedor],"&lt;&gt;saída"))/(AP188+(SUMIFS(estoque[quantidade],estoque[produto],preçodiario[[#Headers],[OVO VERMELHO C]],estoque[fornecedor],"&lt;&gt;saída",estoque[data],preçodiario[[#This Row],[data]])))))</f>
        <v/>
      </c>
      <c r="AP189" s="22">
        <f>IF(preçodiario[[#This Row],[entrada CV]]=0,AP188-(SUMIFS(estoque[quantidade],estoque[fornecedor],"saída",estoque[produto],preçodiario[[#Headers],[OVO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Row],[data]]))+AP188+preçodiario[[#This Row],[entrada CV]])</f>
        <v>0</v>
      </c>
      <c r="AQ189" s="22">
        <f>SUMIFS(estoque[quantidade],estoque[fornecedor],"&lt;&gt;saída",estoque[produto],preçodiario[[#Headers],[OVO VERMELHO C]],estoque[data],preçodiario[[#This Row],[data]])</f>
        <v>0</v>
      </c>
      <c r="AR189" s="20">
        <f>SUMIFS(estoque[valor total],estoque[fornecedor],"&lt;&gt;saída",estoque[produto],preçodiario[[#Headers],[OVO VERMELHO C]],estoque[data],preçodiario[[#This Row],[data]])</f>
        <v>0</v>
      </c>
      <c r="AS189" s="20">
        <f>IFERROR(preçodiario[[#This Row],[OVO VERMELHO C]]*preçodiario[[#This Row],[estoque CV]],0)</f>
        <v>0</v>
      </c>
      <c r="AT1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Row],[data]])),((AT188*AU188)+SUMIFS(estoque[valor total],estoque[produto],preçodiario[[#Headers],[OVO VERMELHO EXTRA]],estoque[data],preçodiario[[#This Row],[data]],estoque[fornecedor],"&lt;&gt;saída"))/(AU188+(SUMIFS(estoque[quantidade],estoque[produto],preçodiario[[#Headers],[OVO VERMELHO EXTRA]],estoque[fornecedor],"&lt;&gt;saída",estoque[data],preçodiario[[#This Row],[data]])))))</f>
        <v/>
      </c>
      <c r="AU189" s="22">
        <f>IF(preçodiario[[#This Row],[entrada EV]]=0,AU188-(SUMIFS(estoque[quantidade],estoque[fornecedor],"saída",estoque[produto],preçodiario[[#Headers],[OVO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Row],[data]]))+AU188+preçodiario[[#This Row],[entrada EV]])</f>
        <v>0</v>
      </c>
      <c r="AV189" s="22">
        <f>SUMIFS(estoque[quantidade],estoque[fornecedor],"&lt;&gt;saída",estoque[produto],preçodiario[[#Headers],[OVO VERMELHO EXTRA]],estoque[data],preçodiario[[#This Row],[data]])</f>
        <v>0</v>
      </c>
      <c r="AW189" s="20">
        <f>SUMIFS(estoque[valor total],estoque[fornecedor],"&lt;&gt;saída",estoque[produto],preçodiario[[#Headers],[OVO VERMELHO EXTRA]],estoque[data],preçodiario[[#This Row],[data]])</f>
        <v>0</v>
      </c>
      <c r="AX189" s="20">
        <f>IFERROR(preçodiario[[#This Row],[OVO VERMELHO EXTRA]]*preçodiario[[#This Row],[estoque EV]],0)</f>
        <v>0</v>
      </c>
      <c r="AY1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Row],[data]])),((AY188*AZ188)+SUMIFS(estoque[valor total],estoque[produto],preçodiario[[#Headers],[OVO VERMELHO JUMBO]],estoque[data],preçodiario[[#This Row],[data]],estoque[fornecedor],"&lt;&gt;saída"))/(AZ188+(SUMIFS(estoque[quantidade],estoque[produto],preçodiario[[#Headers],[OVO VERMELHO JUMBO]],estoque[fornecedor],"&lt;&gt;saída",estoque[data],preçodiario[[#This Row],[data]])))))</f>
        <v/>
      </c>
      <c r="AZ189" s="22">
        <f>IF(preçodiario[[#This Row],[entrada JV]]=0,AZ188-(SUMIFS(estoque[quantidade],estoque[fornecedor],"saída",estoque[produto],preçodiario[[#Headers],[OVO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Row],[data]]))+AZ188+preçodiario[[#This Row],[entrada JV]])</f>
        <v>0</v>
      </c>
      <c r="BA189" s="22">
        <f>SUMIFS(estoque[quantidade],estoque[fornecedor],"&lt;&gt;saída",estoque[produto],preçodiario[[#Headers],[OVO VERMELHO JUMBO]],estoque[data],preçodiario[[#This Row],[data]])</f>
        <v>0</v>
      </c>
      <c r="BB189" s="20">
        <f>SUMIFS(estoque[valor total],estoque[fornecedor],"&lt;&gt;saída",estoque[produto],preçodiario[[#Headers],[OVO VERMELHO JUMBO]],estoque[data],preçodiario[[#This Row],[data]])</f>
        <v>0</v>
      </c>
      <c r="BC189" s="20">
        <f>IFERROR(preçodiario[[#This Row],[OVO VERMELHO JUMBO]]*preçodiario[[#This Row],[estoque JV]],0)</f>
        <v>0</v>
      </c>
      <c r="BD189" t="str">
        <f>TEXT(vendaAno[[#This Row],[data]],"mmm")</f>
        <v>jul</v>
      </c>
      <c r="BE189" t="str">
        <f>TEXT(vendaAno[[#This Row],[data]],"ddd")</f>
        <v>ter</v>
      </c>
      <c r="BF189" s="82">
        <f>WEEKNUM(vendaAno[[#This Row],[data]],13)</f>
        <v>27</v>
      </c>
      <c r="BG189" s="27">
        <f>preçodiario[[#This Row],[data]]</f>
        <v>46210</v>
      </c>
      <c r="BH1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89" s="8">
        <f>IF(SUMIFS(estoque[valor total],estoque[fornecedor],"saída",estoque[data],vendaAno[[#This Row],[data]])=0,"",SUMIFS(estoque[valor total],estoque[fornecedor],"saída",estoque[data],vendaAno[[#This Row],[data]]))</f>
        <v>715</v>
      </c>
      <c r="BJ18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Row],[data]]))/12+BJ188,"")</f>
        <v>20.666666666666647</v>
      </c>
      <c r="BK189" s="79">
        <f ca="1">IF(TODAY()&gt;=vendaAno[[#This Row],[data]],IF(SUMIFS(estoque[quantidade],estoque[fornecedor],"saída",estoque[data],vendaAno[[#This Row],[data]])/12=0,AVERAGE(BK186:BK188),SUMIFS(estoque[quantidade],estoque[fornecedor],"saída",estoque[data],vendaAno[[#This Row],[data]])/12),"")</f>
        <v>3</v>
      </c>
      <c r="BL189" s="8">
        <f ca="1">IF(vendaAno[[#This Row],[data]]&lt;=TODAY(),IF(SUMIFS(estoque[lucro],estoque[fornecedor],"saída",estoque[data],vendaAno[[#This Row],[data]])=0,AVERAGE(BL186:BL188),SUMIFS(estoque[lucro],estoque[fornecedor],"saída",estoque[data],vendaAno[[#This Row],[data]])),"")</f>
        <v>154.96999999999997</v>
      </c>
      <c r="BM189" s="10">
        <f ca="1">IFERROR(vendaAno[[#This Row],[lucro]]/vendaAno[[#This Row],[valor de venda]],"")</f>
        <v>0.21674125874125871</v>
      </c>
      <c r="BN18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3867.0315929922263</v>
      </c>
      <c r="BO189" s="8">
        <f ca="1">IF(TODAY()&gt;=vendaAno[[#This Row],[data]],IF(vendaAno[[#This Row],[N°]]=BF188,vendaAno[[#This Row],[lucro]]-173.33+BO188,vendaAno[[#This Row],[lucro]]-150),"")</f>
        <v>-149.31000000000006</v>
      </c>
      <c r="BP189" s="81">
        <f ca="1">IF(TODAY()&gt;=vendaAno[[#This Row],[data]],SUM(BK183:BK189)*12,"")</f>
        <v>247</v>
      </c>
      <c r="BQ189" s="7">
        <f ca="1">IFERROR(vendaAno[[#This Row],[lucro]]/(vendaAno[[#This Row],[venda]]*12),"")</f>
        <v>4.304722222222221</v>
      </c>
    </row>
    <row r="190" spans="1:69" x14ac:dyDescent="0.25">
      <c r="A1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15.416666666666664</v>
      </c>
      <c r="B190" s="18" t="str">
        <f>TEXT(preçodiario[[#This Row],[data]],"MMM")</f>
        <v>jul</v>
      </c>
      <c r="C190" s="18" t="str">
        <f>TEXT(preçodiario[[#This Row],[data]],"ddd")</f>
        <v>qua</v>
      </c>
      <c r="D190" s="96">
        <f>WEEKNUM(preçodiario[[#This Row],[data]],13)</f>
        <v>28</v>
      </c>
      <c r="E190" s="37">
        <v>46211</v>
      </c>
      <c r="F1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Row],[data]])),((F189*G189)+SUMIFS(estoque[valor total],estoque[produto],preçodiario[[#Headers],[OVO BRANCO A]],estoque[data],preçodiario[[#This Row],[data]],estoque[fornecedor],"&lt;&gt;saída"))/(G189+(SUMIFS(estoque[quantidade],estoque[produto],preçodiario[[#Headers],[OVO BRANCO A]],estoque[fornecedor],"&lt;&gt;saída",estoque[data],preçodiario[[#This Row],[data]])))))</f>
        <v>15.416666666666664</v>
      </c>
      <c r="G190" s="22">
        <f>IF(preçodiario[[#This Row],[entrada A]]=0,G189-(SUMIFS(estoque[quantidade],estoque[fornecedor],"saída",estoque[produto],preçodiario[[#Headers],[OVO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Row],[data]]))+G189+preçodiario[[#This Row],[entrada A]])</f>
        <v>37</v>
      </c>
      <c r="H190" s="22">
        <f>SUMIFS(estoque[quantidade],estoque[fornecedor],"&lt;&gt;saída",estoque[produto],preçodiario[[#Headers],[OVO BRANCO A]],estoque[data],preçodiario[[#This Row],[data]])</f>
        <v>0</v>
      </c>
      <c r="I190" s="20">
        <f>SUMIFS(estoque[valor total],estoque[fornecedor],"&lt;&gt;saída",estoque[produto],preçodiario[[#Headers],[OVO BRANCO A]],estoque[data],preçodiario[[#This Row],[data]])</f>
        <v>0</v>
      </c>
      <c r="J190" s="20">
        <f>IFERROR(preçodiario[[#This Row],[estoque A]]*preçodiario[[#This Row],[OVO BRANCO A]],0)</f>
        <v>570.41666666666663</v>
      </c>
      <c r="K1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Row],[data]])),((K189*L189)+SUMIFS(estoque[valor total],estoque[produto],preçodiario[[#Headers],[OVO BRANCO B]],estoque[data],preçodiario[[#This Row],[data]],estoque[fornecedor],"&lt;&gt;saída"))/(L189+(SUMIFS(estoque[quantidade],estoque[produto],preçodiario[[#Headers],[OVO BRANCO B]],estoque[fornecedor],"&lt;&gt;saída",estoque[data],preçodiario[[#This Row],[data]])))))</f>
        <v>14.585313803472685</v>
      </c>
      <c r="L190" s="22">
        <f>IF(preçodiario[[#This Row],[entrada B]]=0,L189-(SUMIFS(estoque[quantidade],estoque[fornecedor],"saída",estoque[produto],preçodiario[[#Headers],[OVO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Row],[data]]))+L189+preçodiario[[#This Row],[entrada B]])</f>
        <v>61</v>
      </c>
      <c r="M190" s="22">
        <f>SUMIFS(estoque[quantidade],estoque[fornecedor],"&lt;&gt;saída",estoque[produto],preçodiario[[#Headers],[OVO BRANCO B]],estoque[data],preçodiario[[#This Row],[data]])</f>
        <v>0</v>
      </c>
      <c r="N190" s="20">
        <f>SUMIFS(estoque[valor total],estoque[fornecedor],"&lt;&gt;saída",estoque[produto],preçodiario[[#Headers],[OVO BRANCO B]],estoque[data],preçodiario[[#This Row],[data]])</f>
        <v>0</v>
      </c>
      <c r="O190" s="20">
        <f>IFERROR(preçodiario[[#This Row],[OVO BRANCO B]]*preçodiario[[#This Row],[estoque B]],0)</f>
        <v>889.70414201183382</v>
      </c>
      <c r="P1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Row],[data]])),((P189*Q189)+SUMIFS(estoque[valor total],estoque[produto],preçodiario[[#Headers],[OVO BRANCO C]],estoque[data],preçodiario[[#This Row],[data]],estoque[fornecedor],"&lt;&gt;saída"))/(Q189+(SUMIFS(estoque[quantidade],estoque[produto],preçodiario[[#Headers],[OVO BRANCO C]],estoque[fornecedor],"&lt;&gt;saída",estoque[data],preçodiario[[#This Row],[data]])))))</f>
        <v>13.833333333333339</v>
      </c>
      <c r="Q190" s="22">
        <f>IF(preçodiario[[#This Row],[entrada C]]=0,Q189-(SUMIFS(estoque[quantidade],estoque[fornecedor],"saída",estoque[produto],preçodiario[[#Headers],[OVO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Row],[data]]))+Q189+preçodiario[[#This Row],[entrada C]])</f>
        <v>1</v>
      </c>
      <c r="R190" s="22">
        <f>SUMIFS(estoque[quantidade],estoque[fornecedor],"&lt;&gt;saída",estoque[produto],preçodiario[[#Headers],[OVO BRANCO C]],estoque[data],preçodiario[[#This Row],[data]])</f>
        <v>0</v>
      </c>
      <c r="S190" s="20">
        <f>SUMIFS(estoque[valor total],estoque[fornecedor],"&lt;&gt;saída",estoque[produto],preçodiario[[#Headers],[OVO BRANCO C]],estoque[data],preçodiario[[#This Row],[data]])</f>
        <v>0</v>
      </c>
      <c r="T190" s="20">
        <f>IFERROR(preçodiario[[#This Row],[OVO BRANCO C]]*preçodiario[[#This Row],[estoque C]],0)</f>
        <v>13.833333333333339</v>
      </c>
      <c r="U1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Row],[data]])),((U189*V189)+SUMIFS(estoque[valor total],estoque[produto],preçodiario[[#Headers],[OVO BRANCO EXTRA]],estoque[data],preçodiario[[#This Row],[data]],estoque[fornecedor],"&lt;&gt;saída"))/(V189+(SUMIFS(estoque[quantidade],estoque[produto],preçodiario[[#Headers],[OVO BRANCO EXTRA]],estoque[fornecedor],"&lt;&gt;saída",estoque[data],preçodiario[[#This Row],[data]])))))</f>
        <v>15.833333333333337</v>
      </c>
      <c r="V190" s="22">
        <f>IF(preçodiario[[#This Row],[entrada E]]=0,V189-(SUMIFS(estoque[quantidade],estoque[fornecedor],"saída",estoque[produto],preçodiario[[#Headers],[OVO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Row],[data]]))+V189+preçodiario[[#This Row],[entrada E]])</f>
        <v>52</v>
      </c>
      <c r="W190" s="22">
        <f>SUMIFS(estoque[quantidade],estoque[fornecedor],"&lt;&gt;saída",estoque[produto],preçodiario[[#Headers],[OVO BRANCO EXTRA]],estoque[data],preçodiario[[#This Row],[data]])</f>
        <v>0</v>
      </c>
      <c r="X190" s="20">
        <f>SUMIFS(estoque[valor total],estoque[fornecedor],"&lt;&gt;saída",estoque[produto],preçodiario[[#Headers],[OVO BRANCO EXTRA]],estoque[data],preçodiario[[#This Row],[data]])</f>
        <v>0</v>
      </c>
      <c r="Y190" s="20">
        <f>IFERROR(preçodiario[[#This Row],[estoque E]]*preçodiario[[#This Row],[OVO BRANCO EXTRA]],0)</f>
        <v>823.3333333333336</v>
      </c>
      <c r="Z1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Row],[data]])),((Z189*AA189)+SUMIFS(estoque[valor total],estoque[produto],preçodiario[[#Headers],[OVO BRANCO JUMBO]],estoque[data],preçodiario[[#This Row],[data]],estoque[fornecedor],"&lt;&gt;saída"))/(AA189+(SUMIFS(estoque[quantidade],estoque[produto],preçodiario[[#Headers],[OVO BRANCO JUMBO]],estoque[fornecedor],"&lt;&gt;saída",estoque[data],preçodiario[[#This Row],[data]])))))</f>
        <v>16.251960784313727</v>
      </c>
      <c r="AA190" s="22">
        <f>IF(preçodiario[[#This Row],[entrada J]]=0,AA189-(SUMIFS(estoque[quantidade],estoque[fornecedor],"saída",estoque[produto],preçodiario[[#Headers],[OVO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Row],[data]]))+AA189+preçodiario[[#This Row],[entrada J]])</f>
        <v>76</v>
      </c>
      <c r="AB190" s="22">
        <f>SUMIFS(estoque[quantidade],estoque[fornecedor],"&lt;&gt;saída",estoque[produto],preçodiario[[#Headers],[OVO BRANCO JUMBO]],estoque[data],preçodiario[[#This Row],[data]])</f>
        <v>0</v>
      </c>
      <c r="AC190" s="20">
        <f>SUMIFS(estoque[valor total],estoque[fornecedor],"&lt;&gt;saída",estoque[produto],preçodiario[[#Headers],[OVO BRANCO JUMBO]],estoque[data],preçodiario[[#This Row],[data]])</f>
        <v>0</v>
      </c>
      <c r="AD190" s="20">
        <f>IFERROR(preçodiario[[#This Row],[OVO BRANCO JUMBO]]*preçodiario[[#This Row],[estoque J]],0)</f>
        <v>1235.1490196078432</v>
      </c>
      <c r="AE1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Row],[data]])),((AE189*AF189)+SUMIFS(estoque[valor total],estoque[produto],preçodiario[[#Headers],[OVO VERMELHO A]],estoque[data],preçodiario[[#This Row],[data]],estoque[fornecedor],"&lt;&gt;saída"))/(AF189+(SUMIFS(estoque[quantidade],estoque[produto],preçodiario[[#Headers],[OVO VERMELHO A]],estoque[fornecedor],"&lt;&gt;saída",estoque[data],preçodiario[[#This Row],[data]])))))</f>
        <v/>
      </c>
      <c r="AF190" s="22">
        <f>IF(preçodiario[[#This Row],[entrada AV]]=0,AF189-(SUMIFS(estoque[quantidade],estoque[fornecedor],"saída",estoque[produto],preçodiario[[#Headers],[OVO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Row],[data]]))+AF189+preçodiario[[#This Row],[entrada AV]])</f>
        <v>0</v>
      </c>
      <c r="AG190" s="22">
        <f>SUMIFS(estoque[quantidade],estoque[fornecedor],"&lt;&gt;saída",estoque[produto],preçodiario[[#Headers],[OVO VERMELHO A]],estoque[data],preçodiario[[#This Row],[data]])</f>
        <v>0</v>
      </c>
      <c r="AH190" s="20">
        <f>SUMIFS(estoque[valor total],estoque[fornecedor],"&lt;&gt;saída",estoque[produto],preçodiario[[#Headers],[OVO VERMELHO A]],estoque[data],preçodiario[[#This Row],[data]])</f>
        <v>0</v>
      </c>
      <c r="AI190" s="20">
        <f>IFERROR(preçodiario[[#This Row],[OVO VERMELHO A]]*preçodiario[[#This Row],[estoque AV]],0)</f>
        <v>0</v>
      </c>
      <c r="AJ1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Row],[data]])),((AJ189*AK189)+SUMIFS(estoque[valor total],estoque[produto],preçodiario[[#Headers],[OVO VERMELHO B]],estoque[data],preçodiario[[#This Row],[data]],estoque[fornecedor],"&lt;&gt;saída"))/(AK189+(SUMIFS(estoque[quantidade],estoque[produto],preçodiario[[#Headers],[OVO VERMELHO B]],estoque[fornecedor],"&lt;&gt;saída",estoque[data],preçodiario[[#This Row],[data]])))))</f>
        <v/>
      </c>
      <c r="AK190" s="22">
        <f>IF(preçodiario[[#This Row],[entrada BV]]=0,AK189-(SUMIFS(estoque[quantidade],estoque[fornecedor],"saída",estoque[produto],preçodiario[[#Headers],[OVO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Row],[data]]))+AK189+preçodiario[[#This Row],[entrada BV]])</f>
        <v>0</v>
      </c>
      <c r="AL190" s="22">
        <f>SUMIFS(estoque[quantidade],estoque[fornecedor],"&lt;&gt;saída",estoque[produto],preçodiario[[#Headers],[OVO VERMELHO B]],estoque[data],preçodiario[[#This Row],[data]])</f>
        <v>0</v>
      </c>
      <c r="AM190" s="20">
        <f>SUMIFS(estoque[valor total],estoque[fornecedor],"&lt;&gt;saída",estoque[produto],preçodiario[[#Headers],[OVO VERMELHO B]],estoque[data],preçodiario[[#This Row],[data]])</f>
        <v>0</v>
      </c>
      <c r="AN190" s="20">
        <f>IFERROR(preçodiario[[#This Row],[OVO VERMELHO B]]*preçodiario[[#This Row],[estoque BV]],0)</f>
        <v>0</v>
      </c>
      <c r="AO1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Row],[data]])),((AO189*AP189)+SUMIFS(estoque[valor total],estoque[produto],preçodiario[[#Headers],[OVO VERMELHO C]],estoque[data],preçodiario[[#This Row],[data]],estoque[fornecedor],"&lt;&gt;saída"))/(AP189+(SUMIFS(estoque[quantidade],estoque[produto],preçodiario[[#Headers],[OVO VERMELHO C]],estoque[fornecedor],"&lt;&gt;saída",estoque[data],preçodiario[[#This Row],[data]])))))</f>
        <v/>
      </c>
      <c r="AP190" s="22">
        <f>IF(preçodiario[[#This Row],[entrada CV]]=0,AP189-(SUMIFS(estoque[quantidade],estoque[fornecedor],"saída",estoque[produto],preçodiario[[#Headers],[OVO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Row],[data]]))+AP189+preçodiario[[#This Row],[entrada CV]])</f>
        <v>0</v>
      </c>
      <c r="AQ190" s="22">
        <f>SUMIFS(estoque[quantidade],estoque[fornecedor],"&lt;&gt;saída",estoque[produto],preçodiario[[#Headers],[OVO VERMELHO C]],estoque[data],preçodiario[[#This Row],[data]])</f>
        <v>0</v>
      </c>
      <c r="AR190" s="20">
        <f>SUMIFS(estoque[valor total],estoque[fornecedor],"&lt;&gt;saída",estoque[produto],preçodiario[[#Headers],[OVO VERMELHO C]],estoque[data],preçodiario[[#This Row],[data]])</f>
        <v>0</v>
      </c>
      <c r="AS190" s="20">
        <f>IFERROR(preçodiario[[#This Row],[OVO VERMELHO C]]*preçodiario[[#This Row],[estoque CV]],0)</f>
        <v>0</v>
      </c>
      <c r="AT1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Row],[data]])),((AT189*AU189)+SUMIFS(estoque[valor total],estoque[produto],preçodiario[[#Headers],[OVO VERMELHO EXTRA]],estoque[data],preçodiario[[#This Row],[data]],estoque[fornecedor],"&lt;&gt;saída"))/(AU189+(SUMIFS(estoque[quantidade],estoque[produto],preçodiario[[#Headers],[OVO VERMELHO EXTRA]],estoque[fornecedor],"&lt;&gt;saída",estoque[data],preçodiario[[#This Row],[data]])))))</f>
        <v/>
      </c>
      <c r="AU190" s="22">
        <f>IF(preçodiario[[#This Row],[entrada EV]]=0,AU189-(SUMIFS(estoque[quantidade],estoque[fornecedor],"saída",estoque[produto],preçodiario[[#Headers],[OVO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Row],[data]]))+AU189+preçodiario[[#This Row],[entrada EV]])</f>
        <v>0</v>
      </c>
      <c r="AV190" s="22">
        <f>SUMIFS(estoque[quantidade],estoque[fornecedor],"&lt;&gt;saída",estoque[produto],preçodiario[[#Headers],[OVO VERMELHO EXTRA]],estoque[data],preçodiario[[#This Row],[data]])</f>
        <v>0</v>
      </c>
      <c r="AW190" s="20">
        <f>SUMIFS(estoque[valor total],estoque[fornecedor],"&lt;&gt;saída",estoque[produto],preçodiario[[#Headers],[OVO VERMELHO EXTRA]],estoque[data],preçodiario[[#This Row],[data]])</f>
        <v>0</v>
      </c>
      <c r="AX190" s="20">
        <f>IFERROR(preçodiario[[#This Row],[OVO VERMELHO EXTRA]]*preçodiario[[#This Row],[estoque EV]],0)</f>
        <v>0</v>
      </c>
      <c r="AY1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Row],[data]])),((AY189*AZ189)+SUMIFS(estoque[valor total],estoque[produto],preçodiario[[#Headers],[OVO VERMELHO JUMBO]],estoque[data],preçodiario[[#This Row],[data]],estoque[fornecedor],"&lt;&gt;saída"))/(AZ189+(SUMIFS(estoque[quantidade],estoque[produto],preçodiario[[#Headers],[OVO VERMELHO JUMBO]],estoque[fornecedor],"&lt;&gt;saída",estoque[data],preçodiario[[#This Row],[data]])))))</f>
        <v/>
      </c>
      <c r="AZ190" s="22">
        <f>IF(preçodiario[[#This Row],[entrada JV]]=0,AZ189-(SUMIFS(estoque[quantidade],estoque[fornecedor],"saída",estoque[produto],preçodiario[[#Headers],[OVO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Row],[data]]))+AZ189+preçodiario[[#This Row],[entrada JV]])</f>
        <v>0</v>
      </c>
      <c r="BA190" s="22">
        <f>SUMIFS(estoque[quantidade],estoque[fornecedor],"&lt;&gt;saída",estoque[produto],preçodiario[[#Headers],[OVO VERMELHO JUMBO]],estoque[data],preçodiario[[#This Row],[data]])</f>
        <v>0</v>
      </c>
      <c r="BB190" s="20">
        <f>SUMIFS(estoque[valor total],estoque[fornecedor],"&lt;&gt;saída",estoque[produto],preçodiario[[#Headers],[OVO VERMELHO JUMBO]],estoque[data],preçodiario[[#This Row],[data]])</f>
        <v>0</v>
      </c>
      <c r="BC190" s="20">
        <f>IFERROR(preçodiario[[#This Row],[OVO VERMELHO JUMBO]]*preçodiario[[#This Row],[estoque JV]],0)</f>
        <v>0</v>
      </c>
      <c r="BD190" t="str">
        <f>TEXT(vendaAno[[#This Row],[data]],"mmm")</f>
        <v>jul</v>
      </c>
      <c r="BE190" t="str">
        <f>TEXT(vendaAno[[#This Row],[data]],"ddd")</f>
        <v>qua</v>
      </c>
      <c r="BF190" s="82">
        <f>WEEKNUM(vendaAno[[#This Row],[data]],13)</f>
        <v>28</v>
      </c>
      <c r="BG190" s="27">
        <f>preçodiario[[#This Row],[data]]</f>
        <v>46211</v>
      </c>
      <c r="BH1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0" s="8">
        <f>IF(SUMIFS(estoque[valor total],estoque[fornecedor],"saída",estoque[data],vendaAno[[#This Row],[data]])=0,"",SUMIFS(estoque[valor total],estoque[fornecedor],"saída",estoque[data],vendaAno[[#This Row],[data]]))</f>
        <v>431</v>
      </c>
      <c r="BJ19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Row],[data]]))/12+BJ189,"")</f>
        <v>18.916666666666647</v>
      </c>
      <c r="BK190" s="79">
        <f ca="1">IF(TODAY()&gt;=vendaAno[[#This Row],[data]],IF(SUMIFS(estoque[quantidade],estoque[fornecedor],"saída",estoque[data],vendaAno[[#This Row],[data]])/12=0,AVERAGE(BK187:BK189),SUMIFS(estoque[quantidade],estoque[fornecedor],"saída",estoque[data],vendaAno[[#This Row],[data]])/12),"")</f>
        <v>1.75</v>
      </c>
      <c r="BL190" s="8">
        <f ca="1">IF(vendaAno[[#This Row],[data]]&lt;=TODAY(),IF(SUMIFS(estoque[lucro],estoque[fornecedor],"saída",estoque[data],vendaAno[[#This Row],[data]])=0,AVERAGE(BL187:BL189),SUMIFS(estoque[lucro],estoque[fornecedor],"saída",estoque[data],vendaAno[[#This Row],[data]])),"")</f>
        <v>96.399999999999991</v>
      </c>
      <c r="BM190" s="10">
        <f ca="1">IFERROR(vendaAno[[#This Row],[lucro]]/vendaAno[[#This Row],[valor de venda]],"")</f>
        <v>0.22366589327146169</v>
      </c>
      <c r="BN19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3532.4364949530109</v>
      </c>
      <c r="BO190" s="8">
        <f ca="1">IF(TODAY()&gt;=vendaAno[[#This Row],[data]],IF(vendaAno[[#This Row],[N°]]=BF189,vendaAno[[#This Row],[lucro]]-173.33+BO189,vendaAno[[#This Row],[lucro]]-150),"")</f>
        <v>-53.600000000000009</v>
      </c>
      <c r="BP190" s="81">
        <f ca="1">IF(TODAY()&gt;=vendaAno[[#This Row],[data]],SUM(BK184:BK190)*12,"")</f>
        <v>226.99999999999997</v>
      </c>
      <c r="BQ190" s="7">
        <f ca="1">IFERROR(vendaAno[[#This Row],[lucro]]/(vendaAno[[#This Row],[venda]]*12),"")</f>
        <v>4.5904761904761902</v>
      </c>
    </row>
    <row r="191" spans="1:69" x14ac:dyDescent="0.25">
      <c r="A1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91" s="18" t="str">
        <f>TEXT(preçodiario[[#This Row],[data]],"MMM")</f>
        <v>jul</v>
      </c>
      <c r="C191" s="18" t="str">
        <f>TEXT(preçodiario[[#This Row],[data]],"ddd")</f>
        <v>qui</v>
      </c>
      <c r="D191" s="96">
        <f>WEEKNUM(preçodiario[[#This Row],[data]],13)</f>
        <v>28</v>
      </c>
      <c r="E191" s="37">
        <v>46212</v>
      </c>
      <c r="F1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Row],[data]])),((F190*G190)+SUMIFS(estoque[valor total],estoque[produto],preçodiario[[#Headers],[OVO BRANCO A]],estoque[data],preçodiario[[#This Row],[data]],estoque[fornecedor],"&lt;&gt;saída"))/(G190+(SUMIFS(estoque[quantidade],estoque[produto],preçodiario[[#Headers],[OVO BRANCO A]],estoque[fornecedor],"&lt;&gt;saída",estoque[data],preçodiario[[#This Row],[data]])))))</f>
        <v>15.416666666666666</v>
      </c>
      <c r="G191" s="22">
        <f>IF(preçodiario[[#This Row],[entrada A]]=0,G190-(SUMIFS(estoque[quantidade],estoque[fornecedor],"saída",estoque[produto],preçodiario[[#Headers],[OVO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Row],[data]]))+G190+preçodiario[[#This Row],[entrada A]])</f>
        <v>31</v>
      </c>
      <c r="H191" s="22">
        <f>SUMIFS(estoque[quantidade],estoque[fornecedor],"&lt;&gt;saída",estoque[produto],preçodiario[[#Headers],[OVO BRANCO A]],estoque[data],preçodiario[[#This Row],[data]])</f>
        <v>0</v>
      </c>
      <c r="I191" s="20">
        <f>SUMIFS(estoque[valor total],estoque[fornecedor],"&lt;&gt;saída",estoque[produto],preçodiario[[#Headers],[OVO BRANCO A]],estoque[data],preçodiario[[#This Row],[data]])</f>
        <v>0</v>
      </c>
      <c r="J191" s="20">
        <f>IFERROR(preçodiario[[#This Row],[estoque A]]*preçodiario[[#This Row],[OVO BRANCO A]],0)</f>
        <v>477.91666666666663</v>
      </c>
      <c r="K1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Row],[data]])),((K190*L190)+SUMIFS(estoque[valor total],estoque[produto],preçodiario[[#Headers],[OVO BRANCO B]],estoque[data],preçodiario[[#This Row],[data]],estoque[fornecedor],"&lt;&gt;saída"))/(L190+(SUMIFS(estoque[quantidade],estoque[produto],preçodiario[[#Headers],[OVO BRANCO B]],estoque[fornecedor],"&lt;&gt;saída",estoque[data],preçodiario[[#This Row],[data]])))))</f>
        <v>14.585313803472685</v>
      </c>
      <c r="L191" s="22">
        <f>IF(preçodiario[[#This Row],[entrada B]]=0,L190-(SUMIFS(estoque[quantidade],estoque[fornecedor],"saída",estoque[produto],preçodiario[[#Headers],[OVO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Row],[data]]))+L190+preçodiario[[#This Row],[entrada B]])</f>
        <v>53</v>
      </c>
      <c r="M191" s="22">
        <f>SUMIFS(estoque[quantidade],estoque[fornecedor],"&lt;&gt;saída",estoque[produto],preçodiario[[#Headers],[OVO BRANCO B]],estoque[data],preçodiario[[#This Row],[data]])</f>
        <v>0</v>
      </c>
      <c r="N191" s="20">
        <f>SUMIFS(estoque[valor total],estoque[fornecedor],"&lt;&gt;saída",estoque[produto],preçodiario[[#Headers],[OVO BRANCO B]],estoque[data],preçodiario[[#This Row],[data]])</f>
        <v>0</v>
      </c>
      <c r="O191" s="20">
        <f>IFERROR(preçodiario[[#This Row],[OVO BRANCO B]]*preçodiario[[#This Row],[estoque B]],0)</f>
        <v>773.02163158405233</v>
      </c>
      <c r="P1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Row],[data]])),((P190*Q190)+SUMIFS(estoque[valor total],estoque[produto],preçodiario[[#Headers],[OVO BRANCO C]],estoque[data],preçodiario[[#This Row],[data]],estoque[fornecedor],"&lt;&gt;saída"))/(Q190+(SUMIFS(estoque[quantidade],estoque[produto],preçodiario[[#Headers],[OVO BRANCO C]],estoque[fornecedor],"&lt;&gt;saída",estoque[data],preçodiario[[#This Row],[data]])))))</f>
        <v>13.833333333333339</v>
      </c>
      <c r="Q191" s="22">
        <f>IF(preçodiario[[#This Row],[entrada C]]=0,Q190-(SUMIFS(estoque[quantidade],estoque[fornecedor],"saída",estoque[produto],preçodiario[[#Headers],[OVO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Row],[data]]))+Q190+preçodiario[[#This Row],[entrada C]])</f>
        <v>1</v>
      </c>
      <c r="R191" s="22">
        <f>SUMIFS(estoque[quantidade],estoque[fornecedor],"&lt;&gt;saída",estoque[produto],preçodiario[[#Headers],[OVO BRANCO C]],estoque[data],preçodiario[[#This Row],[data]])</f>
        <v>0</v>
      </c>
      <c r="S191" s="20">
        <f>SUMIFS(estoque[valor total],estoque[fornecedor],"&lt;&gt;saída",estoque[produto],preçodiario[[#Headers],[OVO BRANCO C]],estoque[data],preçodiario[[#This Row],[data]])</f>
        <v>0</v>
      </c>
      <c r="T191" s="20">
        <f>IFERROR(preçodiario[[#This Row],[OVO BRANCO C]]*preçodiario[[#This Row],[estoque C]],0)</f>
        <v>13.833333333333339</v>
      </c>
      <c r="U1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Row],[data]])),((U190*V190)+SUMIFS(estoque[valor total],estoque[produto],preçodiario[[#Headers],[OVO BRANCO EXTRA]],estoque[data],preçodiario[[#This Row],[data]],estoque[fornecedor],"&lt;&gt;saída"))/(V190+(SUMIFS(estoque[quantidade],estoque[produto],preçodiario[[#Headers],[OVO BRANCO EXTRA]],estoque[fornecedor],"&lt;&gt;saída",estoque[data],preçodiario[[#This Row],[data]])))))</f>
        <v>15.833333333333339</v>
      </c>
      <c r="V191" s="22">
        <f>IF(preçodiario[[#This Row],[entrada E]]=0,V190-(SUMIFS(estoque[quantidade],estoque[fornecedor],"saída",estoque[produto],preçodiario[[#Headers],[OVO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Row],[data]]))+V190+preçodiario[[#This Row],[entrada E]])</f>
        <v>39</v>
      </c>
      <c r="W191" s="22">
        <f>SUMIFS(estoque[quantidade],estoque[fornecedor],"&lt;&gt;saída",estoque[produto],preçodiario[[#Headers],[OVO BRANCO EXTRA]],estoque[data],preçodiario[[#This Row],[data]])</f>
        <v>0</v>
      </c>
      <c r="X191" s="20">
        <f>SUMIFS(estoque[valor total],estoque[fornecedor],"&lt;&gt;saída",estoque[produto],preçodiario[[#Headers],[OVO BRANCO EXTRA]],estoque[data],preçodiario[[#This Row],[data]])</f>
        <v>0</v>
      </c>
      <c r="Y191" s="20">
        <f>IFERROR(preçodiario[[#This Row],[estoque E]]*preçodiario[[#This Row],[OVO BRANCO EXTRA]],0)</f>
        <v>617.50000000000023</v>
      </c>
      <c r="Z1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Row],[data]])),((Z190*AA190)+SUMIFS(estoque[valor total],estoque[produto],preçodiario[[#Headers],[OVO BRANCO JUMBO]],estoque[data],preçodiario[[#This Row],[data]],estoque[fornecedor],"&lt;&gt;saída"))/(AA190+(SUMIFS(estoque[quantidade],estoque[produto],preçodiario[[#Headers],[OVO BRANCO JUMBO]],estoque[fornecedor],"&lt;&gt;saída",estoque[data],preçodiario[[#This Row],[data]])))))</f>
        <v>16.251960784313727</v>
      </c>
      <c r="AA191" s="22">
        <f>IF(preçodiario[[#This Row],[entrada J]]=0,AA190-(SUMIFS(estoque[quantidade],estoque[fornecedor],"saída",estoque[produto],preçodiario[[#Headers],[OVO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Row],[data]]))+AA190+preçodiario[[#This Row],[entrada J]])</f>
        <v>70</v>
      </c>
      <c r="AB191" s="22">
        <f>SUMIFS(estoque[quantidade],estoque[fornecedor],"&lt;&gt;saída",estoque[produto],preçodiario[[#Headers],[OVO BRANCO JUMBO]],estoque[data],preçodiario[[#This Row],[data]])</f>
        <v>0</v>
      </c>
      <c r="AC191" s="20">
        <f>SUMIFS(estoque[valor total],estoque[fornecedor],"&lt;&gt;saída",estoque[produto],preçodiario[[#Headers],[OVO BRANCO JUMBO]],estoque[data],preçodiario[[#This Row],[data]])</f>
        <v>0</v>
      </c>
      <c r="AD191" s="20">
        <f>IFERROR(preçodiario[[#This Row],[OVO BRANCO JUMBO]]*preçodiario[[#This Row],[estoque J]],0)</f>
        <v>1137.6372549019609</v>
      </c>
      <c r="AE1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Row],[data]])),((AE190*AF190)+SUMIFS(estoque[valor total],estoque[produto],preçodiario[[#Headers],[OVO VERMELHO A]],estoque[data],preçodiario[[#This Row],[data]],estoque[fornecedor],"&lt;&gt;saída"))/(AF190+(SUMIFS(estoque[quantidade],estoque[produto],preçodiario[[#Headers],[OVO VERMELHO A]],estoque[fornecedor],"&lt;&gt;saída",estoque[data],preçodiario[[#This Row],[data]])))))</f>
        <v/>
      </c>
      <c r="AF191" s="22">
        <f>IF(preçodiario[[#This Row],[entrada AV]]=0,AF190-(SUMIFS(estoque[quantidade],estoque[fornecedor],"saída",estoque[produto],preçodiario[[#Headers],[OVO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Row],[data]]))+AF190+preçodiario[[#This Row],[entrada AV]])</f>
        <v>0</v>
      </c>
      <c r="AG191" s="22">
        <f>SUMIFS(estoque[quantidade],estoque[fornecedor],"&lt;&gt;saída",estoque[produto],preçodiario[[#Headers],[OVO VERMELHO A]],estoque[data],preçodiario[[#This Row],[data]])</f>
        <v>0</v>
      </c>
      <c r="AH191" s="20">
        <f>SUMIFS(estoque[valor total],estoque[fornecedor],"&lt;&gt;saída",estoque[produto],preçodiario[[#Headers],[OVO VERMELHO A]],estoque[data],preçodiario[[#This Row],[data]])</f>
        <v>0</v>
      </c>
      <c r="AI191" s="20">
        <f>IFERROR(preçodiario[[#This Row],[OVO VERMELHO A]]*preçodiario[[#This Row],[estoque AV]],0)</f>
        <v>0</v>
      </c>
      <c r="AJ1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Row],[data]])),((AJ190*AK190)+SUMIFS(estoque[valor total],estoque[produto],preçodiario[[#Headers],[OVO VERMELHO B]],estoque[data],preçodiario[[#This Row],[data]],estoque[fornecedor],"&lt;&gt;saída"))/(AK190+(SUMIFS(estoque[quantidade],estoque[produto],preçodiario[[#Headers],[OVO VERMELHO B]],estoque[fornecedor],"&lt;&gt;saída",estoque[data],preçodiario[[#This Row],[data]])))))</f>
        <v/>
      </c>
      <c r="AK191" s="22">
        <f>IF(preçodiario[[#This Row],[entrada BV]]=0,AK190-(SUMIFS(estoque[quantidade],estoque[fornecedor],"saída",estoque[produto],preçodiario[[#Headers],[OVO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Row],[data]]))+AK190+preçodiario[[#This Row],[entrada BV]])</f>
        <v>0</v>
      </c>
      <c r="AL191" s="22">
        <f>SUMIFS(estoque[quantidade],estoque[fornecedor],"&lt;&gt;saída",estoque[produto],preçodiario[[#Headers],[OVO VERMELHO B]],estoque[data],preçodiario[[#This Row],[data]])</f>
        <v>0</v>
      </c>
      <c r="AM191" s="20">
        <f>SUMIFS(estoque[valor total],estoque[fornecedor],"&lt;&gt;saída",estoque[produto],preçodiario[[#Headers],[OVO VERMELHO B]],estoque[data],preçodiario[[#This Row],[data]])</f>
        <v>0</v>
      </c>
      <c r="AN191" s="20">
        <f>IFERROR(preçodiario[[#This Row],[OVO VERMELHO B]]*preçodiario[[#This Row],[estoque BV]],0)</f>
        <v>0</v>
      </c>
      <c r="AO1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Row],[data]])),((AO190*AP190)+SUMIFS(estoque[valor total],estoque[produto],preçodiario[[#Headers],[OVO VERMELHO C]],estoque[data],preçodiario[[#This Row],[data]],estoque[fornecedor],"&lt;&gt;saída"))/(AP190+(SUMIFS(estoque[quantidade],estoque[produto],preçodiario[[#Headers],[OVO VERMELHO C]],estoque[fornecedor],"&lt;&gt;saída",estoque[data],preçodiario[[#This Row],[data]])))))</f>
        <v/>
      </c>
      <c r="AP191" s="22">
        <f>IF(preçodiario[[#This Row],[entrada CV]]=0,AP190-(SUMIFS(estoque[quantidade],estoque[fornecedor],"saída",estoque[produto],preçodiario[[#Headers],[OVO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Row],[data]]))+AP190+preçodiario[[#This Row],[entrada CV]])</f>
        <v>0</v>
      </c>
      <c r="AQ191" s="22">
        <f>SUMIFS(estoque[quantidade],estoque[fornecedor],"&lt;&gt;saída",estoque[produto],preçodiario[[#Headers],[OVO VERMELHO C]],estoque[data],preçodiario[[#This Row],[data]])</f>
        <v>0</v>
      </c>
      <c r="AR191" s="20">
        <f>SUMIFS(estoque[valor total],estoque[fornecedor],"&lt;&gt;saída",estoque[produto],preçodiario[[#Headers],[OVO VERMELHO C]],estoque[data],preçodiario[[#This Row],[data]])</f>
        <v>0</v>
      </c>
      <c r="AS191" s="20">
        <f>IFERROR(preçodiario[[#This Row],[OVO VERMELHO C]]*preçodiario[[#This Row],[estoque CV]],0)</f>
        <v>0</v>
      </c>
      <c r="AT1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Row],[data]])),((AT190*AU190)+SUMIFS(estoque[valor total],estoque[produto],preçodiario[[#Headers],[OVO VERMELHO EXTRA]],estoque[data],preçodiario[[#This Row],[data]],estoque[fornecedor],"&lt;&gt;saída"))/(AU190+(SUMIFS(estoque[quantidade],estoque[produto],preçodiario[[#Headers],[OVO VERMELHO EXTRA]],estoque[fornecedor],"&lt;&gt;saída",estoque[data],preçodiario[[#This Row],[data]])))))</f>
        <v/>
      </c>
      <c r="AU191" s="22">
        <f>IF(preçodiario[[#This Row],[entrada EV]]=0,AU190-(SUMIFS(estoque[quantidade],estoque[fornecedor],"saída",estoque[produto],preçodiario[[#Headers],[OVO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Row],[data]]))+AU190+preçodiario[[#This Row],[entrada EV]])</f>
        <v>0</v>
      </c>
      <c r="AV191" s="22">
        <f>SUMIFS(estoque[quantidade],estoque[fornecedor],"&lt;&gt;saída",estoque[produto],preçodiario[[#Headers],[OVO VERMELHO EXTRA]],estoque[data],preçodiario[[#This Row],[data]])</f>
        <v>0</v>
      </c>
      <c r="AW191" s="20">
        <f>SUMIFS(estoque[valor total],estoque[fornecedor],"&lt;&gt;saída",estoque[produto],preçodiario[[#Headers],[OVO VERMELHO EXTRA]],estoque[data],preçodiario[[#This Row],[data]])</f>
        <v>0</v>
      </c>
      <c r="AX191" s="20">
        <f>IFERROR(preçodiario[[#This Row],[OVO VERMELHO EXTRA]]*preçodiario[[#This Row],[estoque EV]],0)</f>
        <v>0</v>
      </c>
      <c r="AY1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Row],[data]])),((AY190*AZ190)+SUMIFS(estoque[valor total],estoque[produto],preçodiario[[#Headers],[OVO VERMELHO JUMBO]],estoque[data],preçodiario[[#This Row],[data]],estoque[fornecedor],"&lt;&gt;saída"))/(AZ190+(SUMIFS(estoque[quantidade],estoque[produto],preçodiario[[#Headers],[OVO VERMELHO JUMBO]],estoque[fornecedor],"&lt;&gt;saída",estoque[data],preçodiario[[#This Row],[data]])))))</f>
        <v/>
      </c>
      <c r="AZ191" s="22">
        <f>IF(preçodiario[[#This Row],[entrada JV]]=0,AZ190-(SUMIFS(estoque[quantidade],estoque[fornecedor],"saída",estoque[produto],preçodiario[[#Headers],[OVO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Row],[data]]))+AZ190+preçodiario[[#This Row],[entrada JV]])</f>
        <v>0</v>
      </c>
      <c r="BA191" s="22">
        <f>SUMIFS(estoque[quantidade],estoque[fornecedor],"&lt;&gt;saída",estoque[produto],preçodiario[[#Headers],[OVO VERMELHO JUMBO]],estoque[data],preçodiario[[#This Row],[data]])</f>
        <v>0</v>
      </c>
      <c r="BB191" s="20">
        <f>SUMIFS(estoque[valor total],estoque[fornecedor],"&lt;&gt;saída",estoque[produto],preçodiario[[#Headers],[OVO VERMELHO JUMBO]],estoque[data],preçodiario[[#This Row],[data]])</f>
        <v>0</v>
      </c>
      <c r="BC191" s="20">
        <f>IFERROR(preçodiario[[#This Row],[OVO VERMELHO JUMBO]]*preçodiario[[#This Row],[estoque JV]],0)</f>
        <v>0</v>
      </c>
      <c r="BD191" t="str">
        <f>TEXT(vendaAno[[#This Row],[data]],"mmm")</f>
        <v>jul</v>
      </c>
      <c r="BE191" t="str">
        <f>TEXT(vendaAno[[#This Row],[data]],"ddd")</f>
        <v>qui</v>
      </c>
      <c r="BF191" s="82">
        <f>WEEKNUM(vendaAno[[#This Row],[data]],13)</f>
        <v>28</v>
      </c>
      <c r="BG191" s="27">
        <f>preçodiario[[#This Row],[data]]</f>
        <v>46212</v>
      </c>
      <c r="BH1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1" s="8">
        <f>IF(SUMIFS(estoque[valor total],estoque[fornecedor],"saída",estoque[data],vendaAno[[#This Row],[data]])=0,"",SUMIFS(estoque[valor total],estoque[fornecedor],"saída",estoque[data],vendaAno[[#This Row],[data]]))</f>
        <v>656</v>
      </c>
      <c r="BJ19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Row],[data]]))/12+BJ190,"")</f>
        <v>16.166666666666647</v>
      </c>
      <c r="BK191" s="79">
        <f ca="1">IF(TODAY()&gt;=vendaAno[[#This Row],[data]],IF(SUMIFS(estoque[quantidade],estoque[fornecedor],"saída",estoque[data],vendaAno[[#This Row],[data]])/12=0,AVERAGE(BK188:BK190),SUMIFS(estoque[quantidade],estoque[fornecedor],"saída",estoque[data],vendaAno[[#This Row],[data]])/12),"")</f>
        <v>2.75</v>
      </c>
      <c r="BL191" s="8">
        <f ca="1">IF(vendaAno[[#This Row],[data]]&lt;=TODAY(),IF(SUMIFS(estoque[lucro],estoque[fornecedor],"saída",estoque[data],vendaAno[[#This Row],[data]])=0,AVERAGE(BL188:BL190),SUMIFS(estoque[lucro],estoque[fornecedor],"saída",estoque[data],vendaAno[[#This Row],[data]])),"")</f>
        <v>143.47999999999999</v>
      </c>
      <c r="BM191" s="10">
        <f ca="1">IFERROR(vendaAno[[#This Row],[lucro]]/vendaAno[[#This Row],[valor de venda]],"")</f>
        <v>0.21871951219512192</v>
      </c>
      <c r="BN19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3019.9088864860132</v>
      </c>
      <c r="BO191" s="8">
        <f ca="1">IF(TODAY()&gt;=vendaAno[[#This Row],[data]],IF(vendaAno[[#This Row],[N°]]=BF190,vendaAno[[#This Row],[lucro]]-173.33+BO190,vendaAno[[#This Row],[lucro]]-150),"")</f>
        <v>-83.450000000000031</v>
      </c>
      <c r="BP191" s="81">
        <f ca="1">IF(TODAY()&gt;=vendaAno[[#This Row],[data]],SUM(BK185:BK191)*12,"")</f>
        <v>214.99999999999997</v>
      </c>
      <c r="BQ191" s="7">
        <f ca="1">IFERROR(vendaAno[[#This Row],[lucro]]/(vendaAno[[#This Row],[venda]]*12),"")</f>
        <v>4.3478787878787877</v>
      </c>
    </row>
    <row r="192" spans="1:69" x14ac:dyDescent="0.25">
      <c r="A1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15.416666666666666</v>
      </c>
      <c r="B192" s="18" t="str">
        <f>TEXT(preçodiario[[#This Row],[data]],"MMM")</f>
        <v>jul</v>
      </c>
      <c r="C192" s="18" t="str">
        <f>TEXT(preçodiario[[#This Row],[data]],"ddd")</f>
        <v>sex</v>
      </c>
      <c r="D192" s="96">
        <f>WEEKNUM(preçodiario[[#This Row],[data]],13)</f>
        <v>28</v>
      </c>
      <c r="E192" s="37">
        <v>46213</v>
      </c>
      <c r="F1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Row],[data]])),((F191*G191)+SUMIFS(estoque[valor total],estoque[produto],preçodiario[[#Headers],[OVO BRANCO A]],estoque[data],preçodiario[[#This Row],[data]],estoque[fornecedor],"&lt;&gt;saída"))/(G191+(SUMIFS(estoque[quantidade],estoque[produto],preçodiario[[#Headers],[OVO BRANCO A]],estoque[fornecedor],"&lt;&gt;saída",estoque[data],preçodiario[[#This Row],[data]])))))</f>
        <v>15.416666666666666</v>
      </c>
      <c r="G192" s="22">
        <f>IF(preçodiario[[#This Row],[entrada A]]=0,G191-(SUMIFS(estoque[quantidade],estoque[fornecedor],"saída",estoque[produto],preçodiario[[#Headers],[OVO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Row],[data]]))+G191+preçodiario[[#This Row],[entrada A]])</f>
        <v>20</v>
      </c>
      <c r="H192" s="22">
        <f>SUMIFS(estoque[quantidade],estoque[fornecedor],"&lt;&gt;saída",estoque[produto],preçodiario[[#Headers],[OVO BRANCO A]],estoque[data],preçodiario[[#This Row],[data]])</f>
        <v>0</v>
      </c>
      <c r="I192" s="20">
        <f>SUMIFS(estoque[valor total],estoque[fornecedor],"&lt;&gt;saída",estoque[produto],preçodiario[[#Headers],[OVO BRANCO A]],estoque[data],preçodiario[[#This Row],[data]])</f>
        <v>0</v>
      </c>
      <c r="J192" s="20">
        <f>IFERROR(preçodiario[[#This Row],[estoque A]]*preçodiario[[#This Row],[OVO BRANCO A]],0)</f>
        <v>308.33333333333331</v>
      </c>
      <c r="K1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Row],[data]])),((K191*L191)+SUMIFS(estoque[valor total],estoque[produto],preçodiario[[#Headers],[OVO BRANCO B]],estoque[data],preçodiario[[#This Row],[data]],estoque[fornecedor],"&lt;&gt;saída"))/(L191+(SUMIFS(estoque[quantidade],estoque[produto],preçodiario[[#Headers],[OVO BRANCO B]],estoque[fornecedor],"&lt;&gt;saída",estoque[data],preçodiario[[#This Row],[data]])))))</f>
        <v>14.585313803472685</v>
      </c>
      <c r="L192" s="22">
        <f>IF(preçodiario[[#This Row],[entrada B]]=0,L191-(SUMIFS(estoque[quantidade],estoque[fornecedor],"saída",estoque[produto],preçodiario[[#Headers],[OVO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Row],[data]]))+L191+preçodiario[[#This Row],[entrada B]])</f>
        <v>52</v>
      </c>
      <c r="M192" s="22">
        <f>SUMIFS(estoque[quantidade],estoque[fornecedor],"&lt;&gt;saída",estoque[produto],preçodiario[[#Headers],[OVO BRANCO B]],estoque[data],preçodiario[[#This Row],[data]])</f>
        <v>0</v>
      </c>
      <c r="N192" s="20">
        <f>SUMIFS(estoque[valor total],estoque[fornecedor],"&lt;&gt;saída",estoque[produto],preçodiario[[#Headers],[OVO BRANCO B]],estoque[data],preçodiario[[#This Row],[data]])</f>
        <v>0</v>
      </c>
      <c r="O192" s="20">
        <f>IFERROR(preçodiario[[#This Row],[OVO BRANCO B]]*preçodiario[[#This Row],[estoque B]],0)</f>
        <v>758.43631778057966</v>
      </c>
      <c r="P19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Row],[data]])),((P191*Q191)+SUMIFS(estoque[valor total],estoque[produto],preçodiario[[#Headers],[OVO BRANCO C]],estoque[data],preçodiario[[#This Row],[data]],estoque[fornecedor],"&lt;&gt;saída"))/(Q191+(SUMIFS(estoque[quantidade],estoque[produto],preçodiario[[#Headers],[OVO BRANCO C]],estoque[fornecedor],"&lt;&gt;saída",estoque[data],preçodiario[[#This Row],[data]])))))</f>
        <v/>
      </c>
      <c r="Q192" s="22">
        <f>IF(preçodiario[[#This Row],[entrada C]]=0,Q191-(SUMIFS(estoque[quantidade],estoque[fornecedor],"saída",estoque[produto],preçodiario[[#Headers],[OVO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Row],[data]]))+Q191+preçodiario[[#This Row],[entrada C]])</f>
        <v>0</v>
      </c>
      <c r="R192" s="22">
        <f>SUMIFS(estoque[quantidade],estoque[fornecedor],"&lt;&gt;saída",estoque[produto],preçodiario[[#Headers],[OVO BRANCO C]],estoque[data],preçodiario[[#This Row],[data]])</f>
        <v>0</v>
      </c>
      <c r="S192" s="20">
        <f>SUMIFS(estoque[valor total],estoque[fornecedor],"&lt;&gt;saída",estoque[produto],preçodiario[[#Headers],[OVO BRANCO C]],estoque[data],preçodiario[[#This Row],[data]])</f>
        <v>0</v>
      </c>
      <c r="T192" s="20">
        <f>IFERROR(preçodiario[[#This Row],[OVO BRANCO C]]*preçodiario[[#This Row],[estoque C]],0)</f>
        <v>0</v>
      </c>
      <c r="U1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Row],[data]])),((U191*V191)+SUMIFS(estoque[valor total],estoque[produto],preçodiario[[#Headers],[OVO BRANCO EXTRA]],estoque[data],preçodiario[[#This Row],[data]],estoque[fornecedor],"&lt;&gt;saída"))/(V191+(SUMIFS(estoque[quantidade],estoque[produto],preçodiario[[#Headers],[OVO BRANCO EXTRA]],estoque[fornecedor],"&lt;&gt;saída",estoque[data],preçodiario[[#This Row],[data]])))))</f>
        <v>15.833333333333339</v>
      </c>
      <c r="V192" s="22">
        <f>IF(preçodiario[[#This Row],[entrada E]]=0,V191-(SUMIFS(estoque[quantidade],estoque[fornecedor],"saída",estoque[produto],preçodiario[[#Headers],[OVO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Row],[data]]))+V191+preçodiario[[#This Row],[entrada E]])</f>
        <v>31</v>
      </c>
      <c r="W192" s="22">
        <f>SUMIFS(estoque[quantidade],estoque[fornecedor],"&lt;&gt;saída",estoque[produto],preçodiario[[#Headers],[OVO BRANCO EXTRA]],estoque[data],preçodiario[[#This Row],[data]])</f>
        <v>0</v>
      </c>
      <c r="X192" s="20">
        <f>SUMIFS(estoque[valor total],estoque[fornecedor],"&lt;&gt;saída",estoque[produto],preçodiario[[#Headers],[OVO BRANCO EXTRA]],estoque[data],preçodiario[[#This Row],[data]])</f>
        <v>0</v>
      </c>
      <c r="Y192" s="20">
        <f>IFERROR(preçodiario[[#This Row],[estoque E]]*preçodiario[[#This Row],[OVO BRANCO EXTRA]],0)</f>
        <v>490.83333333333354</v>
      </c>
      <c r="Z1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Row],[data]])),((Z191*AA191)+SUMIFS(estoque[valor total],estoque[produto],preçodiario[[#Headers],[OVO BRANCO JUMBO]],estoque[data],preçodiario[[#This Row],[data]],estoque[fornecedor],"&lt;&gt;saída"))/(AA191+(SUMIFS(estoque[quantidade],estoque[produto],preçodiario[[#Headers],[OVO BRANCO JUMBO]],estoque[fornecedor],"&lt;&gt;saída",estoque[data],preçodiario[[#This Row],[data]])))))</f>
        <v>16.251960784313727</v>
      </c>
      <c r="AA192" s="22">
        <f>IF(preçodiario[[#This Row],[entrada J]]=0,AA191-(SUMIFS(estoque[quantidade],estoque[fornecedor],"saída",estoque[produto],preçodiario[[#Headers],[OVO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Row],[data]]))+AA191+preçodiario[[#This Row],[entrada J]])</f>
        <v>68</v>
      </c>
      <c r="AB192" s="22">
        <f>SUMIFS(estoque[quantidade],estoque[fornecedor],"&lt;&gt;saída",estoque[produto],preçodiario[[#Headers],[OVO BRANCO JUMBO]],estoque[data],preçodiario[[#This Row],[data]])</f>
        <v>0</v>
      </c>
      <c r="AC192" s="20">
        <f>SUMIFS(estoque[valor total],estoque[fornecedor],"&lt;&gt;saída",estoque[produto],preçodiario[[#Headers],[OVO BRANCO JUMBO]],estoque[data],preçodiario[[#This Row],[data]])</f>
        <v>0</v>
      </c>
      <c r="AD192" s="20">
        <f>IFERROR(preçodiario[[#This Row],[OVO BRANCO JUMBO]]*preçodiario[[#This Row],[estoque J]],0)</f>
        <v>1105.1333333333334</v>
      </c>
      <c r="AE1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Row],[data]])),((AE191*AF191)+SUMIFS(estoque[valor total],estoque[produto],preçodiario[[#Headers],[OVO VERMELHO A]],estoque[data],preçodiario[[#This Row],[data]],estoque[fornecedor],"&lt;&gt;saída"))/(AF191+(SUMIFS(estoque[quantidade],estoque[produto],preçodiario[[#Headers],[OVO VERMELHO A]],estoque[fornecedor],"&lt;&gt;saída",estoque[data],preçodiario[[#This Row],[data]])))))</f>
        <v/>
      </c>
      <c r="AF192" s="22">
        <f>IF(preçodiario[[#This Row],[entrada AV]]=0,AF191-(SUMIFS(estoque[quantidade],estoque[fornecedor],"saída",estoque[produto],preçodiario[[#Headers],[OVO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Row],[data]]))+AF191+preçodiario[[#This Row],[entrada AV]])</f>
        <v>0</v>
      </c>
      <c r="AG192" s="22">
        <f>SUMIFS(estoque[quantidade],estoque[fornecedor],"&lt;&gt;saída",estoque[produto],preçodiario[[#Headers],[OVO VERMELHO A]],estoque[data],preçodiario[[#This Row],[data]])</f>
        <v>0</v>
      </c>
      <c r="AH192" s="20">
        <f>SUMIFS(estoque[valor total],estoque[fornecedor],"&lt;&gt;saída",estoque[produto],preçodiario[[#Headers],[OVO VERMELHO A]],estoque[data],preçodiario[[#This Row],[data]])</f>
        <v>0</v>
      </c>
      <c r="AI192" s="20">
        <f>IFERROR(preçodiario[[#This Row],[OVO VERMELHO A]]*preçodiario[[#This Row],[estoque AV]],0)</f>
        <v>0</v>
      </c>
      <c r="AJ1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Row],[data]])),((AJ191*AK191)+SUMIFS(estoque[valor total],estoque[produto],preçodiario[[#Headers],[OVO VERMELHO B]],estoque[data],preçodiario[[#This Row],[data]],estoque[fornecedor],"&lt;&gt;saída"))/(AK191+(SUMIFS(estoque[quantidade],estoque[produto],preçodiario[[#Headers],[OVO VERMELHO B]],estoque[fornecedor],"&lt;&gt;saída",estoque[data],preçodiario[[#This Row],[data]])))))</f>
        <v/>
      </c>
      <c r="AK192" s="22">
        <f>IF(preçodiario[[#This Row],[entrada BV]]=0,AK191-(SUMIFS(estoque[quantidade],estoque[fornecedor],"saída",estoque[produto],preçodiario[[#Headers],[OVO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Row],[data]]))+AK191+preçodiario[[#This Row],[entrada BV]])</f>
        <v>0</v>
      </c>
      <c r="AL192" s="22">
        <f>SUMIFS(estoque[quantidade],estoque[fornecedor],"&lt;&gt;saída",estoque[produto],preçodiario[[#Headers],[OVO VERMELHO B]],estoque[data],preçodiario[[#This Row],[data]])</f>
        <v>0</v>
      </c>
      <c r="AM192" s="20">
        <f>SUMIFS(estoque[valor total],estoque[fornecedor],"&lt;&gt;saída",estoque[produto],preçodiario[[#Headers],[OVO VERMELHO B]],estoque[data],preçodiario[[#This Row],[data]])</f>
        <v>0</v>
      </c>
      <c r="AN192" s="20">
        <f>IFERROR(preçodiario[[#This Row],[OVO VERMELHO B]]*preçodiario[[#This Row],[estoque BV]],0)</f>
        <v>0</v>
      </c>
      <c r="AO1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Row],[data]])),((AO191*AP191)+SUMIFS(estoque[valor total],estoque[produto],preçodiario[[#Headers],[OVO VERMELHO C]],estoque[data],preçodiario[[#This Row],[data]],estoque[fornecedor],"&lt;&gt;saída"))/(AP191+(SUMIFS(estoque[quantidade],estoque[produto],preçodiario[[#Headers],[OVO VERMELHO C]],estoque[fornecedor],"&lt;&gt;saída",estoque[data],preçodiario[[#This Row],[data]])))))</f>
        <v/>
      </c>
      <c r="AP192" s="22">
        <f>IF(preçodiario[[#This Row],[entrada CV]]=0,AP191-(SUMIFS(estoque[quantidade],estoque[fornecedor],"saída",estoque[produto],preçodiario[[#Headers],[OVO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Row],[data]]))+AP191+preçodiario[[#This Row],[entrada CV]])</f>
        <v>0</v>
      </c>
      <c r="AQ192" s="22">
        <f>SUMIFS(estoque[quantidade],estoque[fornecedor],"&lt;&gt;saída",estoque[produto],preçodiario[[#Headers],[OVO VERMELHO C]],estoque[data],preçodiario[[#This Row],[data]])</f>
        <v>0</v>
      </c>
      <c r="AR192" s="20">
        <f>SUMIFS(estoque[valor total],estoque[fornecedor],"&lt;&gt;saída",estoque[produto],preçodiario[[#Headers],[OVO VERMELHO C]],estoque[data],preçodiario[[#This Row],[data]])</f>
        <v>0</v>
      </c>
      <c r="AS192" s="20">
        <f>IFERROR(preçodiario[[#This Row],[OVO VERMELHO C]]*preçodiario[[#This Row],[estoque CV]],0)</f>
        <v>0</v>
      </c>
      <c r="AT1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Row],[data]])),((AT191*AU191)+SUMIFS(estoque[valor total],estoque[produto],preçodiario[[#Headers],[OVO VERMELHO EXTRA]],estoque[data],preçodiario[[#This Row],[data]],estoque[fornecedor],"&lt;&gt;saída"))/(AU191+(SUMIFS(estoque[quantidade],estoque[produto],preçodiario[[#Headers],[OVO VERMELHO EXTRA]],estoque[fornecedor],"&lt;&gt;saída",estoque[data],preçodiario[[#This Row],[data]])))))</f>
        <v/>
      </c>
      <c r="AU192" s="22">
        <f>IF(preçodiario[[#This Row],[entrada EV]]=0,AU191-(SUMIFS(estoque[quantidade],estoque[fornecedor],"saída",estoque[produto],preçodiario[[#Headers],[OVO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Row],[data]]))+AU191+preçodiario[[#This Row],[entrada EV]])</f>
        <v>0</v>
      </c>
      <c r="AV192" s="22">
        <f>SUMIFS(estoque[quantidade],estoque[fornecedor],"&lt;&gt;saída",estoque[produto],preçodiario[[#Headers],[OVO VERMELHO EXTRA]],estoque[data],preçodiario[[#This Row],[data]])</f>
        <v>0</v>
      </c>
      <c r="AW192" s="20">
        <f>SUMIFS(estoque[valor total],estoque[fornecedor],"&lt;&gt;saída",estoque[produto],preçodiario[[#Headers],[OVO VERMELHO EXTRA]],estoque[data],preçodiario[[#This Row],[data]])</f>
        <v>0</v>
      </c>
      <c r="AX192" s="20">
        <f>IFERROR(preçodiario[[#This Row],[OVO VERMELHO EXTRA]]*preçodiario[[#This Row],[estoque EV]],0)</f>
        <v>0</v>
      </c>
      <c r="AY1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Row],[data]])),((AY191*AZ191)+SUMIFS(estoque[valor total],estoque[produto],preçodiario[[#Headers],[OVO VERMELHO JUMBO]],estoque[data],preçodiario[[#This Row],[data]],estoque[fornecedor],"&lt;&gt;saída"))/(AZ191+(SUMIFS(estoque[quantidade],estoque[produto],preçodiario[[#Headers],[OVO VERMELHO JUMBO]],estoque[fornecedor],"&lt;&gt;saída",estoque[data],preçodiario[[#This Row],[data]])))))</f>
        <v/>
      </c>
      <c r="AZ192" s="22">
        <f>IF(preçodiario[[#This Row],[entrada JV]]=0,AZ191-(SUMIFS(estoque[quantidade],estoque[fornecedor],"saída",estoque[produto],preçodiario[[#Headers],[OVO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Row],[data]]))+AZ191+preçodiario[[#This Row],[entrada JV]])</f>
        <v>0</v>
      </c>
      <c r="BA192" s="22">
        <f>SUMIFS(estoque[quantidade],estoque[fornecedor],"&lt;&gt;saída",estoque[produto],preçodiario[[#Headers],[OVO VERMELHO JUMBO]],estoque[data],preçodiario[[#This Row],[data]])</f>
        <v>0</v>
      </c>
      <c r="BB192" s="20">
        <f>SUMIFS(estoque[valor total],estoque[fornecedor],"&lt;&gt;saída",estoque[produto],preçodiario[[#Headers],[OVO VERMELHO JUMBO]],estoque[data],preçodiario[[#This Row],[data]])</f>
        <v>0</v>
      </c>
      <c r="BC192" s="20">
        <f>IFERROR(preçodiario[[#This Row],[OVO VERMELHO JUMBO]]*preçodiario[[#This Row],[estoque JV]],0)</f>
        <v>0</v>
      </c>
      <c r="BD192" t="str">
        <f>TEXT(vendaAno[[#This Row],[data]],"mmm")</f>
        <v>jul</v>
      </c>
      <c r="BE192" t="str">
        <f>TEXT(vendaAno[[#This Row],[data]],"ddd")</f>
        <v>sex</v>
      </c>
      <c r="BF192" s="82">
        <f>WEEKNUM(vendaAno[[#This Row],[data]],13)</f>
        <v>28</v>
      </c>
      <c r="BG192" s="27">
        <f>preçodiario[[#This Row],[data]]</f>
        <v>46213</v>
      </c>
      <c r="BH1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2" s="8">
        <f>IF(SUMIFS(estoque[valor total],estoque[fornecedor],"saída",estoque[data],vendaAno[[#This Row],[data]])=0,"",SUMIFS(estoque[valor total],estoque[fornecedor],"saída",estoque[data],vendaAno[[#This Row],[data]]))</f>
        <v>448</v>
      </c>
      <c r="BJ19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Row],[data]]))/12+BJ191,"")</f>
        <v>14.24999999999998</v>
      </c>
      <c r="BK192" s="79">
        <f ca="1">IF(TODAY()&gt;=vendaAno[[#This Row],[data]],IF(SUMIFS(estoque[quantidade],estoque[fornecedor],"saída",estoque[data],vendaAno[[#This Row],[data]])/12=0,AVERAGE(BK189:BK191),SUMIFS(estoque[quantidade],estoque[fornecedor],"saída",estoque[data],vendaAno[[#This Row],[data]])/12),"")</f>
        <v>1.9166666666666667</v>
      </c>
      <c r="BL192" s="8">
        <f ca="1">IF(vendaAno[[#This Row],[data]]&lt;=TODAY(),IF(SUMIFS(estoque[lucro],estoque[fornecedor],"saída",estoque[data],vendaAno[[#This Row],[data]])=0,AVERAGE(BL189:BL191),SUMIFS(estoque[lucro],estoque[fornecedor],"saída",estoque[data],vendaAno[[#This Row],[data]])),"")</f>
        <v>90.83</v>
      </c>
      <c r="BM192" s="10">
        <f ca="1">IFERROR(vendaAno[[#This Row],[lucro]]/vendaAno[[#This Row],[valor de venda]],"")</f>
        <v>0.20274553571428572</v>
      </c>
      <c r="BN19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2662.7363177805801</v>
      </c>
      <c r="BO192" s="8">
        <f ca="1">IF(TODAY()&gt;=vendaAno[[#This Row],[data]],IF(vendaAno[[#This Row],[N°]]=BF191,vendaAno[[#This Row],[lucro]]-173.33+BO191,vendaAno[[#This Row],[lucro]]-150),"")</f>
        <v>-165.95000000000005</v>
      </c>
      <c r="BP192" s="81">
        <f ca="1">IF(TODAY()&gt;=vendaAno[[#This Row],[data]],SUM(BK186:BK192)*12,"")</f>
        <v>205</v>
      </c>
      <c r="BQ192" s="7">
        <f ca="1">IFERROR(vendaAno[[#This Row],[lucro]]/(vendaAno[[#This Row],[venda]]*12),"")</f>
        <v>3.9491304347826088</v>
      </c>
    </row>
    <row r="193" spans="1:69" x14ac:dyDescent="0.25">
      <c r="A1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3" s="18" t="str">
        <f>TEXT(preçodiario[[#This Row],[data]],"MMM")</f>
        <v>jul</v>
      </c>
      <c r="C193" s="18" t="str">
        <f>TEXT(preçodiario[[#This Row],[data]],"ddd")</f>
        <v>sáb</v>
      </c>
      <c r="D193" s="96">
        <f>WEEKNUM(preçodiario[[#This Row],[data]],13)</f>
        <v>28</v>
      </c>
      <c r="E193" s="37">
        <v>46214</v>
      </c>
      <c r="F1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Row],[data]])),((F192*G192)+SUMIFS(estoque[valor total],estoque[produto],preçodiario[[#Headers],[OVO BRANCO A]],estoque[data],preçodiario[[#This Row],[data]],estoque[fornecedor],"&lt;&gt;saída"))/(G192+(SUMIFS(estoque[quantidade],estoque[produto],preçodiario[[#Headers],[OVO BRANCO A]],estoque[fornecedor],"&lt;&gt;saída",estoque[data],preçodiario[[#This Row],[data]])))))</f>
        <v>15.05952380952381</v>
      </c>
      <c r="G193" s="22">
        <f>IF(preçodiario[[#This Row],[entrada A]]=0,G192-(SUMIFS(estoque[quantidade],estoque[fornecedor],"saída",estoque[produto],preçodiario[[#Headers],[OVO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Row],[data]]))+G192+preçodiario[[#This Row],[entrada A]])</f>
        <v>140</v>
      </c>
      <c r="H193" s="22">
        <f>SUMIFS(estoque[quantidade],estoque[fornecedor],"&lt;&gt;saída",estoque[produto],preçodiario[[#Headers],[OVO BRANCO A]],estoque[data],preçodiario[[#This Row],[data]])</f>
        <v>120</v>
      </c>
      <c r="I193" s="20">
        <f>SUMIFS(estoque[valor total],estoque[fornecedor],"&lt;&gt;saída",estoque[produto],preçodiario[[#Headers],[OVO BRANCO A]],estoque[data],preçodiario[[#This Row],[data]])</f>
        <v>1800</v>
      </c>
      <c r="J193" s="20">
        <f>IFERROR(preçodiario[[#This Row],[estoque A]]*preçodiario[[#This Row],[OVO BRANCO A]],0)</f>
        <v>2108.3333333333335</v>
      </c>
      <c r="K1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Row],[data]])),((K192*L192)+SUMIFS(estoque[valor total],estoque[produto],preçodiario[[#Headers],[OVO BRANCO B]],estoque[data],preçodiario[[#This Row],[data]],estoque[fornecedor],"&lt;&gt;saída"))/(L192+(SUMIFS(estoque[quantidade],estoque[produto],preçodiario[[#Headers],[OVO BRANCO B]],estoque[fornecedor],"&lt;&gt;saída",estoque[data],preçodiario[[#This Row],[data]])))))</f>
        <v>14.584252837326604</v>
      </c>
      <c r="L193" s="22">
        <f>IF(preçodiario[[#This Row],[entrada B]]=0,L192-(SUMIFS(estoque[quantidade],estoque[fornecedor],"saída",estoque[produto],preçodiario[[#Headers],[OVO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Row],[data]]))+L192+preçodiario[[#This Row],[entrada B]])</f>
        <v>111</v>
      </c>
      <c r="M193" s="22">
        <f>SUMIFS(estoque[quantidade],estoque[fornecedor],"&lt;&gt;saída",estoque[produto],preçodiario[[#Headers],[OVO BRANCO B]],estoque[data],preçodiario[[#This Row],[data]])</f>
        <v>60</v>
      </c>
      <c r="N193" s="20">
        <f>SUMIFS(estoque[valor total],estoque[fornecedor],"&lt;&gt;saída",estoque[produto],preçodiario[[#Headers],[OVO BRANCO B]],estoque[data],preçodiario[[#This Row],[data]])</f>
        <v>875</v>
      </c>
      <c r="O193" s="20">
        <f>IFERROR(preçodiario[[#This Row],[OVO BRANCO B]]*preçodiario[[#This Row],[estoque B]],0)</f>
        <v>1618.852064943253</v>
      </c>
      <c r="P19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Row],[data]])),((P192*Q192)+SUMIFS(estoque[valor total],estoque[produto],preçodiario[[#Headers],[OVO BRANCO C]],estoque[data],preçodiario[[#This Row],[data]],estoque[fornecedor],"&lt;&gt;saída"))/(Q192+(SUMIFS(estoque[quantidade],estoque[produto],preçodiario[[#Headers],[OVO BRANCO C]],estoque[fornecedor],"&lt;&gt;saída",estoque[data],preçodiario[[#This Row],[data]])))))</f>
        <v/>
      </c>
      <c r="Q193" s="22">
        <f>IF(preçodiario[[#This Row],[entrada C]]=0,Q192-(SUMIFS(estoque[quantidade],estoque[fornecedor],"saída",estoque[produto],preçodiario[[#Headers],[OVO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Row],[data]]))+Q192+preçodiario[[#This Row],[entrada C]])</f>
        <v>0</v>
      </c>
      <c r="R193" s="22">
        <f>SUMIFS(estoque[quantidade],estoque[fornecedor],"&lt;&gt;saída",estoque[produto],preçodiario[[#Headers],[OVO BRANCO C]],estoque[data],preçodiario[[#This Row],[data]])</f>
        <v>0</v>
      </c>
      <c r="S193" s="20">
        <f>SUMIFS(estoque[valor total],estoque[fornecedor],"&lt;&gt;saída",estoque[produto],preçodiario[[#Headers],[OVO BRANCO C]],estoque[data],preçodiario[[#This Row],[data]])</f>
        <v>0</v>
      </c>
      <c r="T193" s="20">
        <f>IFERROR(preçodiario[[#This Row],[OVO BRANCO C]]*preçodiario[[#This Row],[estoque C]],0)</f>
        <v>0</v>
      </c>
      <c r="U1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Row],[data]])),((U192*V192)+SUMIFS(estoque[valor total],estoque[produto],preçodiario[[#Headers],[OVO BRANCO EXTRA]],estoque[data],preçodiario[[#This Row],[data]],estoque[fornecedor],"&lt;&gt;saída"))/(V192+(SUMIFS(estoque[quantidade],estoque[produto],preçodiario[[#Headers],[OVO BRANCO EXTRA]],estoque[fornecedor],"&lt;&gt;saída",estoque[data],preçodiario[[#This Row],[data]])))))</f>
        <v>15.502207505518765</v>
      </c>
      <c r="V193" s="22">
        <f>IF(preçodiario[[#This Row],[entrada E]]=0,V192-(SUMIFS(estoque[quantidade],estoque[fornecedor],"saída",estoque[produto],preçodiario[[#Headers],[OVO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Row],[data]]))+V192+preçodiario[[#This Row],[entrada E]])</f>
        <v>140</v>
      </c>
      <c r="W193" s="22">
        <f>SUMIFS(estoque[quantidade],estoque[fornecedor],"&lt;&gt;saída",estoque[produto],preçodiario[[#Headers],[OVO BRANCO EXTRA]],estoque[data],preçodiario[[#This Row],[data]])</f>
        <v>120</v>
      </c>
      <c r="X193" s="20">
        <f>SUMIFS(estoque[valor total],estoque[fornecedor],"&lt;&gt;saída",estoque[produto],preçodiario[[#Headers],[OVO BRANCO EXTRA]],estoque[data],preçodiario[[#This Row],[data]])</f>
        <v>1850</v>
      </c>
      <c r="Y193" s="20">
        <f>IFERROR(preçodiario[[#This Row],[estoque E]]*preçodiario[[#This Row],[OVO BRANCO EXTRA]],0)</f>
        <v>2170.309050772627</v>
      </c>
      <c r="Z1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Row],[data]])),((Z192*AA192)+SUMIFS(estoque[valor total],estoque[produto],preçodiario[[#Headers],[OVO BRANCO JUMBO]],estoque[data],preçodiario[[#This Row],[data]],estoque[fornecedor],"&lt;&gt;saída"))/(AA192+(SUMIFS(estoque[quantidade],estoque[produto],preçodiario[[#Headers],[OVO BRANCO JUMBO]],estoque[fornecedor],"&lt;&gt;saída",estoque[data],preçodiario[[#This Row],[data]])))))</f>
        <v>16.251041666666666</v>
      </c>
      <c r="AA193" s="22">
        <f>IF(preçodiario[[#This Row],[entrada J]]=0,AA192-(SUMIFS(estoque[quantidade],estoque[fornecedor],"saída",estoque[produto],preçodiario[[#Headers],[OVO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Row],[data]]))+AA192+preçodiario[[#This Row],[entrada J]])</f>
        <v>115</v>
      </c>
      <c r="AB193" s="22">
        <f>SUMIFS(estoque[quantidade],estoque[fornecedor],"&lt;&gt;saída",estoque[produto],preçodiario[[#Headers],[OVO BRANCO JUMBO]],estoque[data],preçodiario[[#This Row],[data]])</f>
        <v>60</v>
      </c>
      <c r="AC193" s="20">
        <f>SUMIFS(estoque[valor total],estoque[fornecedor],"&lt;&gt;saída",estoque[produto],preçodiario[[#Headers],[OVO BRANCO JUMBO]],estoque[data],preçodiario[[#This Row],[data]])</f>
        <v>975</v>
      </c>
      <c r="AD193" s="20">
        <f>IFERROR(preçodiario[[#This Row],[OVO BRANCO JUMBO]]*preçodiario[[#This Row],[estoque J]],0)</f>
        <v>1868.8697916666665</v>
      </c>
      <c r="AE1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Row],[data]])),((AE192*AF192)+SUMIFS(estoque[valor total],estoque[produto],preçodiario[[#Headers],[OVO VERMELHO A]],estoque[data],preçodiario[[#This Row],[data]],estoque[fornecedor],"&lt;&gt;saída"))/(AF192+(SUMIFS(estoque[quantidade],estoque[produto],preçodiario[[#Headers],[OVO VERMELHO A]],estoque[fornecedor],"&lt;&gt;saída",estoque[data],preçodiario[[#This Row],[data]])))))</f>
        <v/>
      </c>
      <c r="AF193" s="22">
        <f>IF(preçodiario[[#This Row],[entrada AV]]=0,AF192-(SUMIFS(estoque[quantidade],estoque[fornecedor],"saída",estoque[produto],preçodiario[[#Headers],[OVO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Row],[data]]))+AF192+preçodiario[[#This Row],[entrada AV]])</f>
        <v>0</v>
      </c>
      <c r="AG193" s="22">
        <f>SUMIFS(estoque[quantidade],estoque[fornecedor],"&lt;&gt;saída",estoque[produto],preçodiario[[#Headers],[OVO VERMELHO A]],estoque[data],preçodiario[[#This Row],[data]])</f>
        <v>0</v>
      </c>
      <c r="AH193" s="20">
        <f>SUMIFS(estoque[valor total],estoque[fornecedor],"&lt;&gt;saída",estoque[produto],preçodiario[[#Headers],[OVO VERMELHO A]],estoque[data],preçodiario[[#This Row],[data]])</f>
        <v>0</v>
      </c>
      <c r="AI193" s="20">
        <f>IFERROR(preçodiario[[#This Row],[OVO VERMELHO A]]*preçodiario[[#This Row],[estoque AV]],0)</f>
        <v>0</v>
      </c>
      <c r="AJ1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Row],[data]])),((AJ192*AK192)+SUMIFS(estoque[valor total],estoque[produto],preçodiario[[#Headers],[OVO VERMELHO B]],estoque[data],preçodiario[[#This Row],[data]],estoque[fornecedor],"&lt;&gt;saída"))/(AK192+(SUMIFS(estoque[quantidade],estoque[produto],preçodiario[[#Headers],[OVO VERMELHO B]],estoque[fornecedor],"&lt;&gt;saída",estoque[data],preçodiario[[#This Row],[data]])))))</f>
        <v/>
      </c>
      <c r="AK193" s="22">
        <f>IF(preçodiario[[#This Row],[entrada BV]]=0,AK192-(SUMIFS(estoque[quantidade],estoque[fornecedor],"saída",estoque[produto],preçodiario[[#Headers],[OVO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Row],[data]]))+AK192+preçodiario[[#This Row],[entrada BV]])</f>
        <v>0</v>
      </c>
      <c r="AL193" s="22">
        <f>SUMIFS(estoque[quantidade],estoque[fornecedor],"&lt;&gt;saída",estoque[produto],preçodiario[[#Headers],[OVO VERMELHO B]],estoque[data],preçodiario[[#This Row],[data]])</f>
        <v>0</v>
      </c>
      <c r="AM193" s="20">
        <f>SUMIFS(estoque[valor total],estoque[fornecedor],"&lt;&gt;saída",estoque[produto],preçodiario[[#Headers],[OVO VERMELHO B]],estoque[data],preçodiario[[#This Row],[data]])</f>
        <v>0</v>
      </c>
      <c r="AN193" s="20">
        <f>IFERROR(preçodiario[[#This Row],[OVO VERMELHO B]]*preçodiario[[#This Row],[estoque BV]],0)</f>
        <v>0</v>
      </c>
      <c r="AO1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Row],[data]])),((AO192*AP192)+SUMIFS(estoque[valor total],estoque[produto],preçodiario[[#Headers],[OVO VERMELHO C]],estoque[data],preçodiario[[#This Row],[data]],estoque[fornecedor],"&lt;&gt;saída"))/(AP192+(SUMIFS(estoque[quantidade],estoque[produto],preçodiario[[#Headers],[OVO VERMELHO C]],estoque[fornecedor],"&lt;&gt;saída",estoque[data],preçodiario[[#This Row],[data]])))))</f>
        <v/>
      </c>
      <c r="AP193" s="22">
        <f>IF(preçodiario[[#This Row],[entrada CV]]=0,AP192-(SUMIFS(estoque[quantidade],estoque[fornecedor],"saída",estoque[produto],preçodiario[[#Headers],[OVO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Row],[data]]))+AP192+preçodiario[[#This Row],[entrada CV]])</f>
        <v>0</v>
      </c>
      <c r="AQ193" s="22">
        <f>SUMIFS(estoque[quantidade],estoque[fornecedor],"&lt;&gt;saída",estoque[produto],preçodiario[[#Headers],[OVO VERMELHO C]],estoque[data],preçodiario[[#This Row],[data]])</f>
        <v>0</v>
      </c>
      <c r="AR193" s="20">
        <f>SUMIFS(estoque[valor total],estoque[fornecedor],"&lt;&gt;saída",estoque[produto],preçodiario[[#Headers],[OVO VERMELHO C]],estoque[data],preçodiario[[#This Row],[data]])</f>
        <v>0</v>
      </c>
      <c r="AS193" s="20">
        <f>IFERROR(preçodiario[[#This Row],[OVO VERMELHO C]]*preçodiario[[#This Row],[estoque CV]],0)</f>
        <v>0</v>
      </c>
      <c r="AT1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Row],[data]])),((AT192*AU192)+SUMIFS(estoque[valor total],estoque[produto],preçodiario[[#Headers],[OVO VERMELHO EXTRA]],estoque[data],preçodiario[[#This Row],[data]],estoque[fornecedor],"&lt;&gt;saída"))/(AU192+(SUMIFS(estoque[quantidade],estoque[produto],preçodiario[[#Headers],[OVO VERMELHO EXTRA]],estoque[fornecedor],"&lt;&gt;saída",estoque[data],preçodiario[[#This Row],[data]])))))</f>
        <v/>
      </c>
      <c r="AU193" s="22">
        <f>IF(preçodiario[[#This Row],[entrada EV]]=0,AU192-(SUMIFS(estoque[quantidade],estoque[fornecedor],"saída",estoque[produto],preçodiario[[#Headers],[OVO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Row],[data]]))+AU192+preçodiario[[#This Row],[entrada EV]])</f>
        <v>0</v>
      </c>
      <c r="AV193" s="22">
        <f>SUMIFS(estoque[quantidade],estoque[fornecedor],"&lt;&gt;saída",estoque[produto],preçodiario[[#Headers],[OVO VERMELHO EXTRA]],estoque[data],preçodiario[[#This Row],[data]])</f>
        <v>0</v>
      </c>
      <c r="AW193" s="20">
        <f>SUMIFS(estoque[valor total],estoque[fornecedor],"&lt;&gt;saída",estoque[produto],preçodiario[[#Headers],[OVO VERMELHO EXTRA]],estoque[data],preçodiario[[#This Row],[data]])</f>
        <v>0</v>
      </c>
      <c r="AX193" s="20">
        <f>IFERROR(preçodiario[[#This Row],[OVO VERMELHO EXTRA]]*preçodiario[[#This Row],[estoque EV]],0)</f>
        <v>0</v>
      </c>
      <c r="AY1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Row],[data]])),((AY192*AZ192)+SUMIFS(estoque[valor total],estoque[produto],preçodiario[[#Headers],[OVO VERMELHO JUMBO]],estoque[data],preçodiario[[#This Row],[data]],estoque[fornecedor],"&lt;&gt;saída"))/(AZ192+(SUMIFS(estoque[quantidade],estoque[produto],preçodiario[[#Headers],[OVO VERMELHO JUMBO]],estoque[fornecedor],"&lt;&gt;saída",estoque[data],preçodiario[[#This Row],[data]])))))</f>
        <v/>
      </c>
      <c r="AZ193" s="22">
        <f>IF(preçodiario[[#This Row],[entrada JV]]=0,AZ192-(SUMIFS(estoque[quantidade],estoque[fornecedor],"saída",estoque[produto],preçodiario[[#Headers],[OVO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Row],[data]]))+AZ192+preçodiario[[#This Row],[entrada JV]])</f>
        <v>0</v>
      </c>
      <c r="BA193" s="22">
        <f>SUMIFS(estoque[quantidade],estoque[fornecedor],"&lt;&gt;saída",estoque[produto],preçodiario[[#Headers],[OVO VERMELHO JUMBO]],estoque[data],preçodiario[[#This Row],[data]])</f>
        <v>0</v>
      </c>
      <c r="BB193" s="20">
        <f>SUMIFS(estoque[valor total],estoque[fornecedor],"&lt;&gt;saída",estoque[produto],preçodiario[[#Headers],[OVO VERMELHO JUMBO]],estoque[data],preçodiario[[#This Row],[data]])</f>
        <v>0</v>
      </c>
      <c r="BC193" s="20">
        <f>IFERROR(preçodiario[[#This Row],[OVO VERMELHO JUMBO]]*preçodiario[[#This Row],[estoque JV]],0)</f>
        <v>0</v>
      </c>
      <c r="BD193" t="str">
        <f>TEXT(vendaAno[[#This Row],[data]],"mmm")</f>
        <v>jul</v>
      </c>
      <c r="BE193" t="str">
        <f>TEXT(vendaAno[[#This Row],[data]],"ddd")</f>
        <v>sáb</v>
      </c>
      <c r="BF193" s="82">
        <f>WEEKNUM(vendaAno[[#This Row],[data]],13)</f>
        <v>28</v>
      </c>
      <c r="BG193" s="27">
        <f>preçodiario[[#This Row],[data]]</f>
        <v>46214</v>
      </c>
      <c r="BH193" s="8">
        <f>IF(SUMIFS(estoque[valor total],estoque[fornecedor],"&lt;&gt;saída",estoque[data],vendaAno[[#This Row],[data]])=0,"",SUMIFS(estoque[valor total],estoque[fornecedor],"&lt;&gt;saída",estoque[data],vendaAno[[#This Row],[data]]))</f>
        <v>5500</v>
      </c>
      <c r="BI193" s="8">
        <f>IF(SUMIFS(estoque[valor total],estoque[fornecedor],"saída",estoque[data],vendaAno[[#This Row],[data]])=0,"",SUMIFS(estoque[valor total],estoque[fornecedor],"saída",estoque[data],vendaAno[[#This Row],[data]]))</f>
        <v>537</v>
      </c>
      <c r="BJ19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Row],[data]]))/12+BJ192,"")</f>
        <v>42.16666666666665</v>
      </c>
      <c r="BK193" s="79">
        <f ca="1">IF(TODAY()&gt;=vendaAno[[#This Row],[data]],IF(SUMIFS(estoque[quantidade],estoque[fornecedor],"saída",estoque[data],vendaAno[[#This Row],[data]])/12=0,AVERAGE(BK190:BK192),SUMIFS(estoque[quantidade],estoque[fornecedor],"saída",estoque[data],vendaAno[[#This Row],[data]])/12),"")</f>
        <v>2.0833333333333335</v>
      </c>
      <c r="BL193" s="8">
        <f ca="1">IF(vendaAno[[#This Row],[data]]&lt;=TODAY(),IF(SUMIFS(estoque[lucro],estoque[fornecedor],"saída",estoque[data],vendaAno[[#This Row],[data]])=0,AVERAGE(BL190:BL192),SUMIFS(estoque[lucro],estoque[fornecedor],"saída",estoque[data],vendaAno[[#This Row],[data]])),"")</f>
        <v>140.63999999999999</v>
      </c>
      <c r="BM193" s="10">
        <f ca="1">IFERROR(vendaAno[[#This Row],[lucro]]/vendaAno[[#This Row],[valor de venda]],"")</f>
        <v>0.26189944134078208</v>
      </c>
      <c r="BN19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7766.3642407158804</v>
      </c>
      <c r="BO193" s="8">
        <f ca="1">IF(TODAY()&gt;=vendaAno[[#This Row],[data]],IF(vendaAno[[#This Row],[N°]]=BF192,vendaAno[[#This Row],[lucro]]-173.33+BO192,vendaAno[[#This Row],[lucro]]-150),"")</f>
        <v>-198.64000000000007</v>
      </c>
      <c r="BP193" s="81">
        <f ca="1">IF(TODAY()&gt;=vendaAno[[#This Row],[data]],SUM(BK187:BK193)*12,"")</f>
        <v>183</v>
      </c>
      <c r="BQ193" s="7">
        <f ca="1">IFERROR(vendaAno[[#This Row],[lucro]]/(vendaAno[[#This Row],[venda]]*12),"")</f>
        <v>5.6255999999999995</v>
      </c>
    </row>
    <row r="194" spans="1:69" x14ac:dyDescent="0.25">
      <c r="A1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4" s="18" t="str">
        <f>TEXT(preçodiario[[#This Row],[data]],"MMM")</f>
        <v>jul</v>
      </c>
      <c r="C194" s="18" t="str">
        <f>TEXT(preçodiario[[#This Row],[data]],"ddd")</f>
        <v>dom</v>
      </c>
      <c r="D194" s="96">
        <f>WEEKNUM(preçodiario[[#This Row],[data]],13)</f>
        <v>28</v>
      </c>
      <c r="E194" s="37">
        <v>46215</v>
      </c>
      <c r="F1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Row],[data]])),((F193*G193)+SUMIFS(estoque[valor total],estoque[produto],preçodiario[[#Headers],[OVO BRANCO A]],estoque[data],preçodiario[[#This Row],[data]],estoque[fornecedor],"&lt;&gt;saída"))/(G193+(SUMIFS(estoque[quantidade],estoque[produto],preçodiario[[#Headers],[OVO BRANCO A]],estoque[fornecedor],"&lt;&gt;saída",estoque[data],preçodiario[[#This Row],[data]])))))</f>
        <v>15.05952380952381</v>
      </c>
      <c r="G194" s="22">
        <f>IF(preçodiario[[#This Row],[entrada A]]=0,G193-(SUMIFS(estoque[quantidade],estoque[fornecedor],"saída",estoque[produto],preçodiario[[#Headers],[OVO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Row],[data]]))+G193+preçodiario[[#This Row],[entrada A]])</f>
        <v>126</v>
      </c>
      <c r="H194" s="22">
        <f>SUMIFS(estoque[quantidade],estoque[fornecedor],"&lt;&gt;saída",estoque[produto],preçodiario[[#Headers],[OVO BRANCO A]],estoque[data],preçodiario[[#This Row],[data]])</f>
        <v>0</v>
      </c>
      <c r="I194" s="20">
        <f>SUMIFS(estoque[valor total],estoque[fornecedor],"&lt;&gt;saída",estoque[produto],preçodiario[[#Headers],[OVO BRANCO A]],estoque[data],preçodiario[[#This Row],[data]])</f>
        <v>0</v>
      </c>
      <c r="J194" s="20">
        <f>IFERROR(preçodiario[[#This Row],[estoque A]]*preçodiario[[#This Row],[OVO BRANCO A]],0)</f>
        <v>1897.5</v>
      </c>
      <c r="K1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Row],[data]])),((K193*L193)+SUMIFS(estoque[valor total],estoque[produto],preçodiario[[#Headers],[OVO BRANCO B]],estoque[data],preçodiario[[#This Row],[data]],estoque[fornecedor],"&lt;&gt;saída"))/(L193+(SUMIFS(estoque[quantidade],estoque[produto],preçodiario[[#Headers],[OVO BRANCO B]],estoque[fornecedor],"&lt;&gt;saída",estoque[data],preçodiario[[#This Row],[data]])))))</f>
        <v>14.584252837326604</v>
      </c>
      <c r="L194" s="22">
        <f>IF(preçodiario[[#This Row],[entrada B]]=0,L193-(SUMIFS(estoque[quantidade],estoque[fornecedor],"saída",estoque[produto],preçodiario[[#Headers],[OVO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Row],[data]]))+L193+preçodiario[[#This Row],[entrada B]])</f>
        <v>101</v>
      </c>
      <c r="M194" s="22">
        <f>SUMIFS(estoque[quantidade],estoque[fornecedor],"&lt;&gt;saída",estoque[produto],preçodiario[[#Headers],[OVO BRANCO B]],estoque[data],preçodiario[[#This Row],[data]])</f>
        <v>0</v>
      </c>
      <c r="N194" s="20">
        <f>SUMIFS(estoque[valor total],estoque[fornecedor],"&lt;&gt;saída",estoque[produto],preçodiario[[#Headers],[OVO BRANCO B]],estoque[data],preçodiario[[#This Row],[data]])</f>
        <v>0</v>
      </c>
      <c r="O194" s="20">
        <f>IFERROR(preçodiario[[#This Row],[OVO BRANCO B]]*preçodiario[[#This Row],[estoque B]],0)</f>
        <v>1473.0095365699869</v>
      </c>
      <c r="P19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Row],[data]])),((P193*Q193)+SUMIFS(estoque[valor total],estoque[produto],preçodiario[[#Headers],[OVO BRANCO C]],estoque[data],preçodiario[[#This Row],[data]],estoque[fornecedor],"&lt;&gt;saída"))/(Q193+(SUMIFS(estoque[quantidade],estoque[produto],preçodiario[[#Headers],[OVO BRANCO C]],estoque[fornecedor],"&lt;&gt;saída",estoque[data],preçodiario[[#This Row],[data]])))))</f>
        <v/>
      </c>
      <c r="Q194" s="22">
        <f>IF(preçodiario[[#This Row],[entrada C]]=0,Q193-(SUMIFS(estoque[quantidade],estoque[fornecedor],"saída",estoque[produto],preçodiario[[#Headers],[OVO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Row],[data]]))+Q193+preçodiario[[#This Row],[entrada C]])</f>
        <v>0</v>
      </c>
      <c r="R194" s="22">
        <f>SUMIFS(estoque[quantidade],estoque[fornecedor],"&lt;&gt;saída",estoque[produto],preçodiario[[#Headers],[OVO BRANCO C]],estoque[data],preçodiario[[#This Row],[data]])</f>
        <v>0</v>
      </c>
      <c r="S194" s="20">
        <f>SUMIFS(estoque[valor total],estoque[fornecedor],"&lt;&gt;saída",estoque[produto],preçodiario[[#Headers],[OVO BRANCO C]],estoque[data],preçodiario[[#This Row],[data]])</f>
        <v>0</v>
      </c>
      <c r="T194" s="20">
        <f>IFERROR(preçodiario[[#This Row],[OVO BRANCO C]]*preçodiario[[#This Row],[estoque C]],0)</f>
        <v>0</v>
      </c>
      <c r="U1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Row],[data]])),((U193*V193)+SUMIFS(estoque[valor total],estoque[produto],preçodiario[[#Headers],[OVO BRANCO EXTRA]],estoque[data],preçodiario[[#This Row],[data]],estoque[fornecedor],"&lt;&gt;saída"))/(V193+(SUMIFS(estoque[quantidade],estoque[produto],preçodiario[[#Headers],[OVO BRANCO EXTRA]],estoque[fornecedor],"&lt;&gt;saída",estoque[data],preçodiario[[#This Row],[data]])))))</f>
        <v>15.502207505518763</v>
      </c>
      <c r="V194" s="22">
        <f>IF(preçodiario[[#This Row],[entrada E]]=0,V193-(SUMIFS(estoque[quantidade],estoque[fornecedor],"saída",estoque[produto],preçodiario[[#Headers],[OVO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Row],[data]]))+V193+preçodiario[[#This Row],[entrada E]])</f>
        <v>132</v>
      </c>
      <c r="W194" s="22">
        <f>SUMIFS(estoque[quantidade],estoque[fornecedor],"&lt;&gt;saída",estoque[produto],preçodiario[[#Headers],[OVO BRANCO EXTRA]],estoque[data],preçodiario[[#This Row],[data]])</f>
        <v>0</v>
      </c>
      <c r="X194" s="20">
        <f>SUMIFS(estoque[valor total],estoque[fornecedor],"&lt;&gt;saída",estoque[produto],preçodiario[[#Headers],[OVO BRANCO EXTRA]],estoque[data],preçodiario[[#This Row],[data]])</f>
        <v>0</v>
      </c>
      <c r="Y194" s="20">
        <f>IFERROR(preçodiario[[#This Row],[estoque E]]*preçodiario[[#This Row],[OVO BRANCO EXTRA]],0)</f>
        <v>2046.2913907284767</v>
      </c>
      <c r="Z1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Row],[data]])),((Z193*AA193)+SUMIFS(estoque[valor total],estoque[produto],preçodiario[[#Headers],[OVO BRANCO JUMBO]],estoque[data],preçodiario[[#This Row],[data]],estoque[fornecedor],"&lt;&gt;saída"))/(AA193+(SUMIFS(estoque[quantidade],estoque[produto],preçodiario[[#Headers],[OVO BRANCO JUMBO]],estoque[fornecedor],"&lt;&gt;saída",estoque[data],preçodiario[[#This Row],[data]])))))</f>
        <v>16.251041666666666</v>
      </c>
      <c r="AA194" s="22">
        <f>IF(preçodiario[[#This Row],[entrada J]]=0,AA193-(SUMIFS(estoque[quantidade],estoque[fornecedor],"saída",estoque[produto],preçodiario[[#Headers],[OVO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Row],[data]]))+AA193+preçodiario[[#This Row],[entrada J]])</f>
        <v>99</v>
      </c>
      <c r="AB194" s="22">
        <f>SUMIFS(estoque[quantidade],estoque[fornecedor],"&lt;&gt;saída",estoque[produto],preçodiario[[#Headers],[OVO BRANCO JUMBO]],estoque[data],preçodiario[[#This Row],[data]])</f>
        <v>0</v>
      </c>
      <c r="AC194" s="20">
        <f>SUMIFS(estoque[valor total],estoque[fornecedor],"&lt;&gt;saída",estoque[produto],preçodiario[[#Headers],[OVO BRANCO JUMBO]],estoque[data],preçodiario[[#This Row],[data]])</f>
        <v>0</v>
      </c>
      <c r="AD194" s="20">
        <f>IFERROR(preçodiario[[#This Row],[OVO BRANCO JUMBO]]*preçodiario[[#This Row],[estoque J]],0)</f>
        <v>1608.8531249999999</v>
      </c>
      <c r="AE1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Row],[data]])),((AE193*AF193)+SUMIFS(estoque[valor total],estoque[produto],preçodiario[[#Headers],[OVO VERMELHO A]],estoque[data],preçodiario[[#This Row],[data]],estoque[fornecedor],"&lt;&gt;saída"))/(AF193+(SUMIFS(estoque[quantidade],estoque[produto],preçodiario[[#Headers],[OVO VERMELHO A]],estoque[fornecedor],"&lt;&gt;saída",estoque[data],preçodiario[[#This Row],[data]])))))</f>
        <v/>
      </c>
      <c r="AF194" s="22">
        <f>IF(preçodiario[[#This Row],[entrada AV]]=0,AF193-(SUMIFS(estoque[quantidade],estoque[fornecedor],"saída",estoque[produto],preçodiario[[#Headers],[OVO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Row],[data]]))+AF193+preçodiario[[#This Row],[entrada AV]])</f>
        <v>0</v>
      </c>
      <c r="AG194" s="22">
        <f>SUMIFS(estoque[quantidade],estoque[fornecedor],"&lt;&gt;saída",estoque[produto],preçodiario[[#Headers],[OVO VERMELHO A]],estoque[data],preçodiario[[#This Row],[data]])</f>
        <v>0</v>
      </c>
      <c r="AH194" s="20">
        <f>SUMIFS(estoque[valor total],estoque[fornecedor],"&lt;&gt;saída",estoque[produto],preçodiario[[#Headers],[OVO VERMELHO A]],estoque[data],preçodiario[[#This Row],[data]])</f>
        <v>0</v>
      </c>
      <c r="AI194" s="20">
        <f>IFERROR(preçodiario[[#This Row],[OVO VERMELHO A]]*preçodiario[[#This Row],[estoque AV]],0)</f>
        <v>0</v>
      </c>
      <c r="AJ1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Row],[data]])),((AJ193*AK193)+SUMIFS(estoque[valor total],estoque[produto],preçodiario[[#Headers],[OVO VERMELHO B]],estoque[data],preçodiario[[#This Row],[data]],estoque[fornecedor],"&lt;&gt;saída"))/(AK193+(SUMIFS(estoque[quantidade],estoque[produto],preçodiario[[#Headers],[OVO VERMELHO B]],estoque[fornecedor],"&lt;&gt;saída",estoque[data],preçodiario[[#This Row],[data]])))))</f>
        <v/>
      </c>
      <c r="AK194" s="22">
        <f>IF(preçodiario[[#This Row],[entrada BV]]=0,AK193-(SUMIFS(estoque[quantidade],estoque[fornecedor],"saída",estoque[produto],preçodiario[[#Headers],[OVO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Row],[data]]))+AK193+preçodiario[[#This Row],[entrada BV]])</f>
        <v>0</v>
      </c>
      <c r="AL194" s="22">
        <f>SUMIFS(estoque[quantidade],estoque[fornecedor],"&lt;&gt;saída",estoque[produto],preçodiario[[#Headers],[OVO VERMELHO B]],estoque[data],preçodiario[[#This Row],[data]])</f>
        <v>0</v>
      </c>
      <c r="AM194" s="20">
        <f>SUMIFS(estoque[valor total],estoque[fornecedor],"&lt;&gt;saída",estoque[produto],preçodiario[[#Headers],[OVO VERMELHO B]],estoque[data],preçodiario[[#This Row],[data]])</f>
        <v>0</v>
      </c>
      <c r="AN194" s="20">
        <f>IFERROR(preçodiario[[#This Row],[OVO VERMELHO B]]*preçodiario[[#This Row],[estoque BV]],0)</f>
        <v>0</v>
      </c>
      <c r="AO1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Row],[data]])),((AO193*AP193)+SUMIFS(estoque[valor total],estoque[produto],preçodiario[[#Headers],[OVO VERMELHO C]],estoque[data],preçodiario[[#This Row],[data]],estoque[fornecedor],"&lt;&gt;saída"))/(AP193+(SUMIFS(estoque[quantidade],estoque[produto],preçodiario[[#Headers],[OVO VERMELHO C]],estoque[fornecedor],"&lt;&gt;saída",estoque[data],preçodiario[[#This Row],[data]])))))</f>
        <v/>
      </c>
      <c r="AP194" s="22">
        <f>IF(preçodiario[[#This Row],[entrada CV]]=0,AP193-(SUMIFS(estoque[quantidade],estoque[fornecedor],"saída",estoque[produto],preçodiario[[#Headers],[OVO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Row],[data]]))+AP193+preçodiario[[#This Row],[entrada CV]])</f>
        <v>0</v>
      </c>
      <c r="AQ194" s="22">
        <f>SUMIFS(estoque[quantidade],estoque[fornecedor],"&lt;&gt;saída",estoque[produto],preçodiario[[#Headers],[OVO VERMELHO C]],estoque[data],preçodiario[[#This Row],[data]])</f>
        <v>0</v>
      </c>
      <c r="AR194" s="20">
        <f>SUMIFS(estoque[valor total],estoque[fornecedor],"&lt;&gt;saída",estoque[produto],preçodiario[[#Headers],[OVO VERMELHO C]],estoque[data],preçodiario[[#This Row],[data]])</f>
        <v>0</v>
      </c>
      <c r="AS194" s="20">
        <f>IFERROR(preçodiario[[#This Row],[OVO VERMELHO C]]*preçodiario[[#This Row],[estoque CV]],0)</f>
        <v>0</v>
      </c>
      <c r="AT1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Row],[data]])),((AT193*AU193)+SUMIFS(estoque[valor total],estoque[produto],preçodiario[[#Headers],[OVO VERMELHO EXTRA]],estoque[data],preçodiario[[#This Row],[data]],estoque[fornecedor],"&lt;&gt;saída"))/(AU193+(SUMIFS(estoque[quantidade],estoque[produto],preçodiario[[#Headers],[OVO VERMELHO EXTRA]],estoque[fornecedor],"&lt;&gt;saída",estoque[data],preçodiario[[#This Row],[data]])))))</f>
        <v/>
      </c>
      <c r="AU194" s="22">
        <f>IF(preçodiario[[#This Row],[entrada EV]]=0,AU193-(SUMIFS(estoque[quantidade],estoque[fornecedor],"saída",estoque[produto],preçodiario[[#Headers],[OVO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Row],[data]]))+AU193+preçodiario[[#This Row],[entrada EV]])</f>
        <v>0</v>
      </c>
      <c r="AV194" s="22">
        <f>SUMIFS(estoque[quantidade],estoque[fornecedor],"&lt;&gt;saída",estoque[produto],preçodiario[[#Headers],[OVO VERMELHO EXTRA]],estoque[data],preçodiario[[#This Row],[data]])</f>
        <v>0</v>
      </c>
      <c r="AW194" s="20">
        <f>SUMIFS(estoque[valor total],estoque[fornecedor],"&lt;&gt;saída",estoque[produto],preçodiario[[#Headers],[OVO VERMELHO EXTRA]],estoque[data],preçodiario[[#This Row],[data]])</f>
        <v>0</v>
      </c>
      <c r="AX194" s="20">
        <f>IFERROR(preçodiario[[#This Row],[OVO VERMELHO EXTRA]]*preçodiario[[#This Row],[estoque EV]],0)</f>
        <v>0</v>
      </c>
      <c r="AY1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Row],[data]])),((AY193*AZ193)+SUMIFS(estoque[valor total],estoque[produto],preçodiario[[#Headers],[OVO VERMELHO JUMBO]],estoque[data],preçodiario[[#This Row],[data]],estoque[fornecedor],"&lt;&gt;saída"))/(AZ193+(SUMIFS(estoque[quantidade],estoque[produto],preçodiario[[#Headers],[OVO VERMELHO JUMBO]],estoque[fornecedor],"&lt;&gt;saída",estoque[data],preçodiario[[#This Row],[data]])))))</f>
        <v/>
      </c>
      <c r="AZ194" s="22">
        <f>IF(preçodiario[[#This Row],[entrada JV]]=0,AZ193-(SUMIFS(estoque[quantidade],estoque[fornecedor],"saída",estoque[produto],preçodiario[[#Headers],[OVO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Row],[data]]))+AZ193+preçodiario[[#This Row],[entrada JV]])</f>
        <v>0</v>
      </c>
      <c r="BA194" s="22">
        <f>SUMIFS(estoque[quantidade],estoque[fornecedor],"&lt;&gt;saída",estoque[produto],preçodiario[[#Headers],[OVO VERMELHO JUMBO]],estoque[data],preçodiario[[#This Row],[data]])</f>
        <v>0</v>
      </c>
      <c r="BB194" s="20">
        <f>SUMIFS(estoque[valor total],estoque[fornecedor],"&lt;&gt;saída",estoque[produto],preçodiario[[#Headers],[OVO VERMELHO JUMBO]],estoque[data],preçodiario[[#This Row],[data]])</f>
        <v>0</v>
      </c>
      <c r="BC194" s="20">
        <f>IFERROR(preçodiario[[#This Row],[OVO VERMELHO JUMBO]]*preçodiario[[#This Row],[estoque JV]],0)</f>
        <v>0</v>
      </c>
      <c r="BD194" t="str">
        <f>TEXT(vendaAno[[#This Row],[data]],"mmm")</f>
        <v>jul</v>
      </c>
      <c r="BE194" t="str">
        <f>TEXT(vendaAno[[#This Row],[data]],"ddd")</f>
        <v>dom</v>
      </c>
      <c r="BF194" s="82">
        <f>WEEKNUM(vendaAno[[#This Row],[data]],13)</f>
        <v>28</v>
      </c>
      <c r="BG194" s="27">
        <f>preçodiario[[#This Row],[data]]</f>
        <v>46215</v>
      </c>
      <c r="BH1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4" s="8">
        <f>IF(SUMIFS(estoque[valor total],estoque[fornecedor],"saída",estoque[data],vendaAno[[#This Row],[data]])=0,"",SUMIFS(estoque[valor total],estoque[fornecedor],"saída",estoque[data],vendaAno[[#This Row],[data]]))</f>
        <v>956</v>
      </c>
      <c r="BJ19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Row],[data]]))/12+BJ193,"")</f>
        <v>38.16666666666665</v>
      </c>
      <c r="BK194" s="79">
        <f ca="1">IF(TODAY()&gt;=vendaAno[[#This Row],[data]],IF(SUMIFS(estoque[quantidade],estoque[fornecedor],"saída",estoque[data],vendaAno[[#This Row],[data]])/12=0,AVERAGE(BK191:BK193),SUMIFS(estoque[quantidade],estoque[fornecedor],"saída",estoque[data],vendaAno[[#This Row],[data]])/12),"")</f>
        <v>4</v>
      </c>
      <c r="BL194" s="8">
        <f ca="1">IF(vendaAno[[#This Row],[data]]&lt;=TODAY(),IF(SUMIFS(estoque[lucro],estoque[fornecedor],"saída",estoque[data],vendaAno[[#This Row],[data]])=0,AVERAGE(BL191:BL193),SUMIFS(estoque[lucro],estoque[fornecedor],"saída",estoque[data],vendaAno[[#This Row],[data]])),"")</f>
        <v>215.29000000000002</v>
      </c>
      <c r="BM194" s="10">
        <f ca="1">IFERROR(vendaAno[[#This Row],[lucro]]/vendaAno[[#This Row],[valor de venda]],"")</f>
        <v>0.2251987447698745</v>
      </c>
      <c r="BN19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7025.6540522984633</v>
      </c>
      <c r="BO194" s="8">
        <f ca="1">IF(TODAY()&gt;=vendaAno[[#This Row],[data]],IF(vendaAno[[#This Row],[N°]]=BF193,vendaAno[[#This Row],[lucro]]-173.33+BO193,vendaAno[[#This Row],[lucro]]-150),"")</f>
        <v>-156.68000000000006</v>
      </c>
      <c r="BP194" s="81">
        <f ca="1">IF(TODAY()&gt;=vendaAno[[#This Row],[data]],SUM(BK188:BK194)*12,"")</f>
        <v>211.99999999999997</v>
      </c>
      <c r="BQ194" s="7">
        <f ca="1">IFERROR(vendaAno[[#This Row],[lucro]]/(vendaAno[[#This Row],[venda]]*12),"")</f>
        <v>4.4852083333333335</v>
      </c>
    </row>
    <row r="195" spans="1:69" x14ac:dyDescent="0.25">
      <c r="A1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5" s="18" t="str">
        <f>TEXT(preçodiario[[#This Row],[data]],"MMM")</f>
        <v>jul</v>
      </c>
      <c r="C195" s="18" t="str">
        <f>TEXT(preçodiario[[#This Row],[data]],"ddd")</f>
        <v>seg</v>
      </c>
      <c r="D195" s="96">
        <f>WEEKNUM(preçodiario[[#This Row],[data]],13)</f>
        <v>28</v>
      </c>
      <c r="E195" s="37">
        <v>46216</v>
      </c>
      <c r="F1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Row],[data]])),((F194*G194)+SUMIFS(estoque[valor total],estoque[produto],preçodiario[[#Headers],[OVO BRANCO A]],estoque[data],preçodiario[[#This Row],[data]],estoque[fornecedor],"&lt;&gt;saída"))/(G194+(SUMIFS(estoque[quantidade],estoque[produto],preçodiario[[#Headers],[OVO BRANCO A]],estoque[fornecedor],"&lt;&gt;saída",estoque[data],preçodiario[[#This Row],[data]])))))</f>
        <v>15.05952380952381</v>
      </c>
      <c r="G195" s="22">
        <f>IF(preçodiario[[#This Row],[entrada A]]=0,G194-(SUMIFS(estoque[quantidade],estoque[fornecedor],"saída",estoque[produto],preçodiario[[#Headers],[OVO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Row],[data]]))+G194+preçodiario[[#This Row],[entrada A]])</f>
        <v>116</v>
      </c>
      <c r="H195" s="22">
        <f>SUMIFS(estoque[quantidade],estoque[fornecedor],"&lt;&gt;saída",estoque[produto],preçodiario[[#Headers],[OVO BRANCO A]],estoque[data],preçodiario[[#This Row],[data]])</f>
        <v>0</v>
      </c>
      <c r="I195" s="20">
        <f>SUMIFS(estoque[valor total],estoque[fornecedor],"&lt;&gt;saída",estoque[produto],preçodiario[[#Headers],[OVO BRANCO A]],estoque[data],preçodiario[[#This Row],[data]])</f>
        <v>0</v>
      </c>
      <c r="J195" s="20">
        <f>IFERROR(preçodiario[[#This Row],[estoque A]]*preçodiario[[#This Row],[OVO BRANCO A]],0)</f>
        <v>1746.9047619047619</v>
      </c>
      <c r="K1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Row],[data]])),((K194*L194)+SUMIFS(estoque[valor total],estoque[produto],preçodiario[[#Headers],[OVO BRANCO B]],estoque[data],preçodiario[[#This Row],[data]],estoque[fornecedor],"&lt;&gt;saída"))/(L194+(SUMIFS(estoque[quantidade],estoque[produto],preçodiario[[#Headers],[OVO BRANCO B]],estoque[fornecedor],"&lt;&gt;saída",estoque[data],preçodiario[[#This Row],[data]])))))</f>
        <v>14.584252837326604</v>
      </c>
      <c r="L195" s="22">
        <f>IF(preçodiario[[#This Row],[entrada B]]=0,L194-(SUMIFS(estoque[quantidade],estoque[fornecedor],"saída",estoque[produto],preçodiario[[#Headers],[OVO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Row],[data]]))+L194+preçodiario[[#This Row],[entrada B]])</f>
        <v>86</v>
      </c>
      <c r="M195" s="22">
        <f>SUMIFS(estoque[quantidade],estoque[fornecedor],"&lt;&gt;saída",estoque[produto],preçodiario[[#Headers],[OVO BRANCO B]],estoque[data],preçodiario[[#This Row],[data]])</f>
        <v>0</v>
      </c>
      <c r="N195" s="20">
        <f>SUMIFS(estoque[valor total],estoque[fornecedor],"&lt;&gt;saída",estoque[produto],preçodiario[[#Headers],[OVO BRANCO B]],estoque[data],preçodiario[[#This Row],[data]])</f>
        <v>0</v>
      </c>
      <c r="O195" s="20">
        <f>IFERROR(preçodiario[[#This Row],[OVO BRANCO B]]*preçodiario[[#This Row],[estoque B]],0)</f>
        <v>1254.2457440100879</v>
      </c>
      <c r="P19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Row],[data]])),((P194*Q194)+SUMIFS(estoque[valor total],estoque[produto],preçodiario[[#Headers],[OVO BRANCO C]],estoque[data],preçodiario[[#This Row],[data]],estoque[fornecedor],"&lt;&gt;saída"))/(Q194+(SUMIFS(estoque[quantidade],estoque[produto],preçodiario[[#Headers],[OVO BRANCO C]],estoque[fornecedor],"&lt;&gt;saída",estoque[data],preçodiario[[#This Row],[data]])))))</f>
        <v/>
      </c>
      <c r="Q195" s="22">
        <f>IF(preçodiario[[#This Row],[entrada C]]=0,Q194-(SUMIFS(estoque[quantidade],estoque[fornecedor],"saída",estoque[produto],preçodiario[[#Headers],[OVO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Row],[data]]))+Q194+preçodiario[[#This Row],[entrada C]])</f>
        <v>0</v>
      </c>
      <c r="R195" s="22">
        <f>SUMIFS(estoque[quantidade],estoque[fornecedor],"&lt;&gt;saída",estoque[produto],preçodiario[[#Headers],[OVO BRANCO C]],estoque[data],preçodiario[[#This Row],[data]])</f>
        <v>0</v>
      </c>
      <c r="S195" s="20">
        <f>SUMIFS(estoque[valor total],estoque[fornecedor],"&lt;&gt;saída",estoque[produto],preçodiario[[#Headers],[OVO BRANCO C]],estoque[data],preçodiario[[#This Row],[data]])</f>
        <v>0</v>
      </c>
      <c r="T195" s="20">
        <f>IFERROR(preçodiario[[#This Row],[OVO BRANCO C]]*preçodiario[[#This Row],[estoque C]],0)</f>
        <v>0</v>
      </c>
      <c r="U1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Row],[data]])),((U194*V194)+SUMIFS(estoque[valor total],estoque[produto],preçodiario[[#Headers],[OVO BRANCO EXTRA]],estoque[data],preçodiario[[#This Row],[data]],estoque[fornecedor],"&lt;&gt;saída"))/(V194+(SUMIFS(estoque[quantidade],estoque[produto],preçodiario[[#Headers],[OVO BRANCO EXTRA]],estoque[fornecedor],"&lt;&gt;saída",estoque[data],preçodiario[[#This Row],[data]])))))</f>
        <v>15.502207505518763</v>
      </c>
      <c r="V195" s="22">
        <f>IF(preçodiario[[#This Row],[entrada E]]=0,V194-(SUMIFS(estoque[quantidade],estoque[fornecedor],"saída",estoque[produto],preçodiario[[#Headers],[OVO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Row],[data]]))+V194+preçodiario[[#This Row],[entrada E]])</f>
        <v>121</v>
      </c>
      <c r="W195" s="22">
        <f>SUMIFS(estoque[quantidade],estoque[fornecedor],"&lt;&gt;saída",estoque[produto],preçodiario[[#Headers],[OVO BRANCO EXTRA]],estoque[data],preçodiario[[#This Row],[data]])</f>
        <v>0</v>
      </c>
      <c r="X195" s="20">
        <f>SUMIFS(estoque[valor total],estoque[fornecedor],"&lt;&gt;saída",estoque[produto],preçodiario[[#Headers],[OVO BRANCO EXTRA]],estoque[data],preçodiario[[#This Row],[data]])</f>
        <v>0</v>
      </c>
      <c r="Y195" s="20">
        <f>IFERROR(preçodiario[[#This Row],[estoque E]]*preçodiario[[#This Row],[OVO BRANCO EXTRA]],0)</f>
        <v>1875.7671081677704</v>
      </c>
      <c r="Z1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Row],[data]])),((Z194*AA194)+SUMIFS(estoque[valor total],estoque[produto],preçodiario[[#Headers],[OVO BRANCO JUMBO]],estoque[data],preçodiario[[#This Row],[data]],estoque[fornecedor],"&lt;&gt;saída"))/(AA194+(SUMIFS(estoque[quantidade],estoque[produto],preçodiario[[#Headers],[OVO BRANCO JUMBO]],estoque[fornecedor],"&lt;&gt;saída",estoque[data],preçodiario[[#This Row],[data]])))))</f>
        <v>16.251041666666666</v>
      </c>
      <c r="AA195" s="22">
        <f>IF(preçodiario[[#This Row],[entrada J]]=0,AA194-(SUMIFS(estoque[quantidade],estoque[fornecedor],"saída",estoque[produto],preçodiario[[#Headers],[OVO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Row],[data]]))+AA194+preçodiario[[#This Row],[entrada J]])</f>
        <v>95</v>
      </c>
      <c r="AB195" s="22">
        <f>SUMIFS(estoque[quantidade],estoque[fornecedor],"&lt;&gt;saída",estoque[produto],preçodiario[[#Headers],[OVO BRANCO JUMBO]],estoque[data],preçodiario[[#This Row],[data]])</f>
        <v>0</v>
      </c>
      <c r="AC195" s="20">
        <f>SUMIFS(estoque[valor total],estoque[fornecedor],"&lt;&gt;saída",estoque[produto],preçodiario[[#Headers],[OVO BRANCO JUMBO]],estoque[data],preçodiario[[#This Row],[data]])</f>
        <v>0</v>
      </c>
      <c r="AD195" s="20">
        <f>IFERROR(preçodiario[[#This Row],[OVO BRANCO JUMBO]]*preçodiario[[#This Row],[estoque J]],0)</f>
        <v>1543.8489583333333</v>
      </c>
      <c r="AE1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Row],[data]])),((AE194*AF194)+SUMIFS(estoque[valor total],estoque[produto],preçodiario[[#Headers],[OVO VERMELHO A]],estoque[data],preçodiario[[#This Row],[data]],estoque[fornecedor],"&lt;&gt;saída"))/(AF194+(SUMIFS(estoque[quantidade],estoque[produto],preçodiario[[#Headers],[OVO VERMELHO A]],estoque[fornecedor],"&lt;&gt;saída",estoque[data],preçodiario[[#This Row],[data]])))))</f>
        <v/>
      </c>
      <c r="AF195" s="22">
        <f>IF(preçodiario[[#This Row],[entrada AV]]=0,AF194-(SUMIFS(estoque[quantidade],estoque[fornecedor],"saída",estoque[produto],preçodiario[[#Headers],[OVO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Row],[data]]))+AF194+preçodiario[[#This Row],[entrada AV]])</f>
        <v>0</v>
      </c>
      <c r="AG195" s="22">
        <f>SUMIFS(estoque[quantidade],estoque[fornecedor],"&lt;&gt;saída",estoque[produto],preçodiario[[#Headers],[OVO VERMELHO A]],estoque[data],preçodiario[[#This Row],[data]])</f>
        <v>0</v>
      </c>
      <c r="AH195" s="20">
        <f>SUMIFS(estoque[valor total],estoque[fornecedor],"&lt;&gt;saída",estoque[produto],preçodiario[[#Headers],[OVO VERMELHO A]],estoque[data],preçodiario[[#This Row],[data]])</f>
        <v>0</v>
      </c>
      <c r="AI195" s="20">
        <f>IFERROR(preçodiario[[#This Row],[OVO VERMELHO A]]*preçodiario[[#This Row],[estoque AV]],0)</f>
        <v>0</v>
      </c>
      <c r="AJ1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Row],[data]])),((AJ194*AK194)+SUMIFS(estoque[valor total],estoque[produto],preçodiario[[#Headers],[OVO VERMELHO B]],estoque[data],preçodiario[[#This Row],[data]],estoque[fornecedor],"&lt;&gt;saída"))/(AK194+(SUMIFS(estoque[quantidade],estoque[produto],preçodiario[[#Headers],[OVO VERMELHO B]],estoque[fornecedor],"&lt;&gt;saída",estoque[data],preçodiario[[#This Row],[data]])))))</f>
        <v/>
      </c>
      <c r="AK195" s="22">
        <f>IF(preçodiario[[#This Row],[entrada BV]]=0,AK194-(SUMIFS(estoque[quantidade],estoque[fornecedor],"saída",estoque[produto],preçodiario[[#Headers],[OVO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Row],[data]]))+AK194+preçodiario[[#This Row],[entrada BV]])</f>
        <v>0</v>
      </c>
      <c r="AL195" s="22">
        <f>SUMIFS(estoque[quantidade],estoque[fornecedor],"&lt;&gt;saída",estoque[produto],preçodiario[[#Headers],[OVO VERMELHO B]],estoque[data],preçodiario[[#This Row],[data]])</f>
        <v>0</v>
      </c>
      <c r="AM195" s="20">
        <f>SUMIFS(estoque[valor total],estoque[fornecedor],"&lt;&gt;saída",estoque[produto],preçodiario[[#Headers],[OVO VERMELHO B]],estoque[data],preçodiario[[#This Row],[data]])</f>
        <v>0</v>
      </c>
      <c r="AN195" s="20">
        <f>IFERROR(preçodiario[[#This Row],[OVO VERMELHO B]]*preçodiario[[#This Row],[estoque BV]],0)</f>
        <v>0</v>
      </c>
      <c r="AO1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Row],[data]])),((AO194*AP194)+SUMIFS(estoque[valor total],estoque[produto],preçodiario[[#Headers],[OVO VERMELHO C]],estoque[data],preçodiario[[#This Row],[data]],estoque[fornecedor],"&lt;&gt;saída"))/(AP194+(SUMIFS(estoque[quantidade],estoque[produto],preçodiario[[#Headers],[OVO VERMELHO C]],estoque[fornecedor],"&lt;&gt;saída",estoque[data],preçodiario[[#This Row],[data]])))))</f>
        <v/>
      </c>
      <c r="AP195" s="22">
        <f>IF(preçodiario[[#This Row],[entrada CV]]=0,AP194-(SUMIFS(estoque[quantidade],estoque[fornecedor],"saída",estoque[produto],preçodiario[[#Headers],[OVO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Row],[data]]))+AP194+preçodiario[[#This Row],[entrada CV]])</f>
        <v>0</v>
      </c>
      <c r="AQ195" s="22">
        <f>SUMIFS(estoque[quantidade],estoque[fornecedor],"&lt;&gt;saída",estoque[produto],preçodiario[[#Headers],[OVO VERMELHO C]],estoque[data],preçodiario[[#This Row],[data]])</f>
        <v>0</v>
      </c>
      <c r="AR195" s="20">
        <f>SUMIFS(estoque[valor total],estoque[fornecedor],"&lt;&gt;saída",estoque[produto],preçodiario[[#Headers],[OVO VERMELHO C]],estoque[data],preçodiario[[#This Row],[data]])</f>
        <v>0</v>
      </c>
      <c r="AS195" s="20">
        <f>IFERROR(preçodiario[[#This Row],[OVO VERMELHO C]]*preçodiario[[#This Row],[estoque CV]],0)</f>
        <v>0</v>
      </c>
      <c r="AT1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Row],[data]])),((AT194*AU194)+SUMIFS(estoque[valor total],estoque[produto],preçodiario[[#Headers],[OVO VERMELHO EXTRA]],estoque[data],preçodiario[[#This Row],[data]],estoque[fornecedor],"&lt;&gt;saída"))/(AU194+(SUMIFS(estoque[quantidade],estoque[produto],preçodiario[[#Headers],[OVO VERMELHO EXTRA]],estoque[fornecedor],"&lt;&gt;saída",estoque[data],preçodiario[[#This Row],[data]])))))</f>
        <v/>
      </c>
      <c r="AU195" s="22">
        <f>IF(preçodiario[[#This Row],[entrada EV]]=0,AU194-(SUMIFS(estoque[quantidade],estoque[fornecedor],"saída",estoque[produto],preçodiario[[#Headers],[OVO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Row],[data]]))+AU194+preçodiario[[#This Row],[entrada EV]])</f>
        <v>0</v>
      </c>
      <c r="AV195" s="22">
        <f>SUMIFS(estoque[quantidade],estoque[fornecedor],"&lt;&gt;saída",estoque[produto],preçodiario[[#Headers],[OVO VERMELHO EXTRA]],estoque[data],preçodiario[[#This Row],[data]])</f>
        <v>0</v>
      </c>
      <c r="AW195" s="20">
        <f>SUMIFS(estoque[valor total],estoque[fornecedor],"&lt;&gt;saída",estoque[produto],preçodiario[[#Headers],[OVO VERMELHO EXTRA]],estoque[data],preçodiario[[#This Row],[data]])</f>
        <v>0</v>
      </c>
      <c r="AX195" s="20">
        <f>IFERROR(preçodiario[[#This Row],[OVO VERMELHO EXTRA]]*preçodiario[[#This Row],[estoque EV]],0)</f>
        <v>0</v>
      </c>
      <c r="AY1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Row],[data]])),((AY194*AZ194)+SUMIFS(estoque[valor total],estoque[produto],preçodiario[[#Headers],[OVO VERMELHO JUMBO]],estoque[data],preçodiario[[#This Row],[data]],estoque[fornecedor],"&lt;&gt;saída"))/(AZ194+(SUMIFS(estoque[quantidade],estoque[produto],preçodiario[[#Headers],[OVO VERMELHO JUMBO]],estoque[fornecedor],"&lt;&gt;saída",estoque[data],preçodiario[[#This Row],[data]])))))</f>
        <v/>
      </c>
      <c r="AZ195" s="22">
        <f>IF(preçodiario[[#This Row],[entrada JV]]=0,AZ194-(SUMIFS(estoque[quantidade],estoque[fornecedor],"saída",estoque[produto],preçodiario[[#Headers],[OVO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Row],[data]]))+AZ194+preçodiario[[#This Row],[entrada JV]])</f>
        <v>0</v>
      </c>
      <c r="BA195" s="22">
        <f>SUMIFS(estoque[quantidade],estoque[fornecedor],"&lt;&gt;saída",estoque[produto],preçodiario[[#Headers],[OVO VERMELHO JUMBO]],estoque[data],preçodiario[[#This Row],[data]])</f>
        <v>0</v>
      </c>
      <c r="BB195" s="20">
        <f>SUMIFS(estoque[valor total],estoque[fornecedor],"&lt;&gt;saída",estoque[produto],preçodiario[[#Headers],[OVO VERMELHO JUMBO]],estoque[data],preçodiario[[#This Row],[data]])</f>
        <v>0</v>
      </c>
      <c r="BC195" s="20">
        <f>IFERROR(preçodiario[[#This Row],[OVO VERMELHO JUMBO]]*preçodiario[[#This Row],[estoque JV]],0)</f>
        <v>0</v>
      </c>
      <c r="BD195" t="str">
        <f>TEXT(vendaAno[[#This Row],[data]],"mmm")</f>
        <v>jul</v>
      </c>
      <c r="BE195" t="str">
        <f>TEXT(vendaAno[[#This Row],[data]],"ddd")</f>
        <v>seg</v>
      </c>
      <c r="BF195" s="82">
        <f>WEEKNUM(vendaAno[[#This Row],[data]],13)</f>
        <v>28</v>
      </c>
      <c r="BG195" s="27">
        <f>preçodiario[[#This Row],[data]]</f>
        <v>46216</v>
      </c>
      <c r="BH1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5" s="8">
        <f>IF(SUMIFS(estoque[valor total],estoque[fornecedor],"saída",estoque[data],vendaAno[[#This Row],[data]])=0,"",SUMIFS(estoque[valor total],estoque[fornecedor],"saída",estoque[data],vendaAno[[#This Row],[data]]))</f>
        <v>772</v>
      </c>
      <c r="BJ19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Row],[data]]))/12+BJ194,"")</f>
        <v>34.833333333333314</v>
      </c>
      <c r="BK195" s="79">
        <f ca="1">IF(TODAY()&gt;=vendaAno[[#This Row],[data]],IF(SUMIFS(estoque[quantidade],estoque[fornecedor],"saída",estoque[data],vendaAno[[#This Row],[data]])/12=0,AVERAGE(BK192:BK194),SUMIFS(estoque[quantidade],estoque[fornecedor],"saída",estoque[data],vendaAno[[#This Row],[data]])/12),"")</f>
        <v>3.3333333333333335</v>
      </c>
      <c r="BL195" s="8">
        <f ca="1">IF(vendaAno[[#This Row],[data]]&lt;=TODAY(),IF(SUMIFS(estoque[lucro],estoque[fornecedor],"saída",estoque[data],vendaAno[[#This Row],[data]])=0,AVERAGE(BL192:BL194),SUMIFS(estoque[lucro],estoque[fornecedor],"saída",estoque[data],vendaAno[[#This Row],[data]])),"")</f>
        <v>167.12</v>
      </c>
      <c r="BM195" s="10">
        <f ca="1">IFERROR(vendaAno[[#This Row],[lucro]]/vendaAno[[#This Row],[valor de venda]],"")</f>
        <v>0.21647668393782385</v>
      </c>
      <c r="BN19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6420.7665724159542</v>
      </c>
      <c r="BO195" s="8">
        <f ca="1">IF(TODAY()&gt;=vendaAno[[#This Row],[data]],IF(vendaAno[[#This Row],[N°]]=BF194,vendaAno[[#This Row],[lucro]]-173.33+BO194,vendaAno[[#This Row],[lucro]]-150),"")</f>
        <v>-162.89000000000007</v>
      </c>
      <c r="BP195" s="81">
        <f ca="1">IF(TODAY()&gt;=vendaAno[[#This Row],[data]],SUM(BK189:BK195)*12,"")</f>
        <v>226</v>
      </c>
      <c r="BQ195" s="7">
        <f ca="1">IFERROR(vendaAno[[#This Row],[lucro]]/(vendaAno[[#This Row],[venda]]*12),"")</f>
        <v>4.1779999999999999</v>
      </c>
    </row>
    <row r="196" spans="1:69" x14ac:dyDescent="0.25">
      <c r="A1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6" s="18" t="str">
        <f>TEXT(preçodiario[[#This Row],[data]],"MMM")</f>
        <v>jul</v>
      </c>
      <c r="C196" s="18" t="str">
        <f>TEXT(preçodiario[[#This Row],[data]],"ddd")</f>
        <v>ter</v>
      </c>
      <c r="D196" s="96">
        <f>WEEKNUM(preçodiario[[#This Row],[data]],13)</f>
        <v>28</v>
      </c>
      <c r="E196" s="37">
        <v>46217</v>
      </c>
      <c r="F1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Row],[data]])),((F195*G195)+SUMIFS(estoque[valor total],estoque[produto],preçodiario[[#Headers],[OVO BRANCO A]],estoque[data],preçodiario[[#This Row],[data]],estoque[fornecedor],"&lt;&gt;saída"))/(G195+(SUMIFS(estoque[quantidade],estoque[produto],preçodiario[[#Headers],[OVO BRANCO A]],estoque[fornecedor],"&lt;&gt;saída",estoque[data],preçodiario[[#This Row],[data]])))))</f>
        <v>15.05952380952381</v>
      </c>
      <c r="G196" s="22">
        <f>IF(preçodiario[[#This Row],[entrada A]]=0,G195-(SUMIFS(estoque[quantidade],estoque[fornecedor],"saída",estoque[produto],preçodiario[[#Headers],[OVO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Row],[data]]))+G195+preçodiario[[#This Row],[entrada A]])</f>
        <v>113</v>
      </c>
      <c r="H196" s="22">
        <f>SUMIFS(estoque[quantidade],estoque[fornecedor],"&lt;&gt;saída",estoque[produto],preçodiario[[#Headers],[OVO BRANCO A]],estoque[data],preçodiario[[#This Row],[data]])</f>
        <v>0</v>
      </c>
      <c r="I196" s="20">
        <f>SUMIFS(estoque[valor total],estoque[fornecedor],"&lt;&gt;saída",estoque[produto],preçodiario[[#Headers],[OVO BRANCO A]],estoque[data],preçodiario[[#This Row],[data]])</f>
        <v>0</v>
      </c>
      <c r="J196" s="20">
        <f>IFERROR(preçodiario[[#This Row],[estoque A]]*preçodiario[[#This Row],[OVO BRANCO A]],0)</f>
        <v>1701.7261904761906</v>
      </c>
      <c r="K1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Row],[data]])),((K195*L195)+SUMIFS(estoque[valor total],estoque[produto],preçodiario[[#Headers],[OVO BRANCO B]],estoque[data],preçodiario[[#This Row],[data]],estoque[fornecedor],"&lt;&gt;saída"))/(L195+(SUMIFS(estoque[quantidade],estoque[produto],preçodiario[[#Headers],[OVO BRANCO B]],estoque[fornecedor],"&lt;&gt;saída",estoque[data],preçodiario[[#This Row],[data]])))))</f>
        <v>14.584252837326604</v>
      </c>
      <c r="L196" s="22">
        <f>IF(preçodiario[[#This Row],[entrada B]]=0,L195-(SUMIFS(estoque[quantidade],estoque[fornecedor],"saída",estoque[produto],preçodiario[[#Headers],[OVO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Row],[data]]))+L195+preçodiario[[#This Row],[entrada B]])</f>
        <v>81</v>
      </c>
      <c r="M196" s="22">
        <f>SUMIFS(estoque[quantidade],estoque[fornecedor],"&lt;&gt;saída",estoque[produto],preçodiario[[#Headers],[OVO BRANCO B]],estoque[data],preçodiario[[#This Row],[data]])</f>
        <v>0</v>
      </c>
      <c r="N196" s="20">
        <f>SUMIFS(estoque[valor total],estoque[fornecedor],"&lt;&gt;saída",estoque[produto],preçodiario[[#Headers],[OVO BRANCO B]],estoque[data],preçodiario[[#This Row],[data]])</f>
        <v>0</v>
      </c>
      <c r="O196" s="20">
        <f>IFERROR(preçodiario[[#This Row],[OVO BRANCO B]]*preçodiario[[#This Row],[estoque B]],0)</f>
        <v>1181.324479823455</v>
      </c>
      <c r="P196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Row],[data]])),((P195*Q195)+SUMIFS(estoque[valor total],estoque[produto],preçodiario[[#Headers],[OVO BRANCO C]],estoque[data],preçodiario[[#This Row],[data]],estoque[fornecedor],"&lt;&gt;saída"))/(Q195+(SUMIFS(estoque[quantidade],estoque[produto],preçodiario[[#Headers],[OVO BRANCO C]],estoque[fornecedor],"&lt;&gt;saída",estoque[data],preçodiario[[#This Row],[data]])))))</f>
        <v/>
      </c>
      <c r="Q196" s="22">
        <f>IF(preçodiario[[#This Row],[entrada C]]=0,Q195-(SUMIFS(estoque[quantidade],estoque[fornecedor],"saída",estoque[produto],preçodiario[[#Headers],[OVO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Row],[data]]))+Q195+preçodiario[[#This Row],[entrada C]])</f>
        <v>0</v>
      </c>
      <c r="R196" s="22">
        <f>SUMIFS(estoque[quantidade],estoque[fornecedor],"&lt;&gt;saída",estoque[produto],preçodiario[[#Headers],[OVO BRANCO C]],estoque[data],preçodiario[[#This Row],[data]])</f>
        <v>0</v>
      </c>
      <c r="S196" s="20">
        <f>SUMIFS(estoque[valor total],estoque[fornecedor],"&lt;&gt;saída",estoque[produto],preçodiario[[#Headers],[OVO BRANCO C]],estoque[data],preçodiario[[#This Row],[data]])</f>
        <v>0</v>
      </c>
      <c r="T196" s="20">
        <f>IFERROR(preçodiario[[#This Row],[OVO BRANCO C]]*preçodiario[[#This Row],[estoque C]],0)</f>
        <v>0</v>
      </c>
      <c r="U1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Row],[data]])),((U195*V195)+SUMIFS(estoque[valor total],estoque[produto],preçodiario[[#Headers],[OVO BRANCO EXTRA]],estoque[data],preçodiario[[#This Row],[data]],estoque[fornecedor],"&lt;&gt;saída"))/(V195+(SUMIFS(estoque[quantidade],estoque[produto],preçodiario[[#Headers],[OVO BRANCO EXTRA]],estoque[fornecedor],"&lt;&gt;saída",estoque[data],preçodiario[[#This Row],[data]])))))</f>
        <v>15.502207505518763</v>
      </c>
      <c r="V196" s="22">
        <f>IF(preçodiario[[#This Row],[entrada E]]=0,V195-(SUMIFS(estoque[quantidade],estoque[fornecedor],"saída",estoque[produto],preçodiario[[#Headers],[OVO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Row],[data]]))+V195+preçodiario[[#This Row],[entrada E]])</f>
        <v>105</v>
      </c>
      <c r="W196" s="22">
        <f>SUMIFS(estoque[quantidade],estoque[fornecedor],"&lt;&gt;saída",estoque[produto],preçodiario[[#Headers],[OVO BRANCO EXTRA]],estoque[data],preçodiario[[#This Row],[data]])</f>
        <v>0</v>
      </c>
      <c r="X196" s="20">
        <f>SUMIFS(estoque[valor total],estoque[fornecedor],"&lt;&gt;saída",estoque[produto],preçodiario[[#Headers],[OVO BRANCO EXTRA]],estoque[data],preçodiario[[#This Row],[data]])</f>
        <v>0</v>
      </c>
      <c r="Y196" s="20">
        <f>IFERROR(preçodiario[[#This Row],[estoque E]]*preçodiario[[#This Row],[OVO BRANCO EXTRA]],0)</f>
        <v>1627.7317880794701</v>
      </c>
      <c r="Z1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Row],[data]])),((Z195*AA195)+SUMIFS(estoque[valor total],estoque[produto],preçodiario[[#Headers],[OVO BRANCO JUMBO]],estoque[data],preçodiario[[#This Row],[data]],estoque[fornecedor],"&lt;&gt;saída"))/(AA195+(SUMIFS(estoque[quantidade],estoque[produto],preçodiario[[#Headers],[OVO BRANCO JUMBO]],estoque[fornecedor],"&lt;&gt;saída",estoque[data],preçodiario[[#This Row],[data]])))))</f>
        <v>16.251041666666666</v>
      </c>
      <c r="AA196" s="22">
        <f>IF(preçodiario[[#This Row],[entrada J]]=0,AA195-(SUMIFS(estoque[quantidade],estoque[fornecedor],"saída",estoque[produto],preçodiario[[#Headers],[OVO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Row],[data]]))+AA195+preçodiario[[#This Row],[entrada J]])</f>
        <v>95</v>
      </c>
      <c r="AB196" s="22">
        <f>SUMIFS(estoque[quantidade],estoque[fornecedor],"&lt;&gt;saída",estoque[produto],preçodiario[[#Headers],[OVO BRANCO JUMBO]],estoque[data],preçodiario[[#This Row],[data]])</f>
        <v>0</v>
      </c>
      <c r="AC196" s="20">
        <f>SUMIFS(estoque[valor total],estoque[fornecedor],"&lt;&gt;saída",estoque[produto],preçodiario[[#Headers],[OVO BRANCO JUMBO]],estoque[data],preçodiario[[#This Row],[data]])</f>
        <v>0</v>
      </c>
      <c r="AD196" s="20">
        <f>IFERROR(preçodiario[[#This Row],[OVO BRANCO JUMBO]]*preçodiario[[#This Row],[estoque J]],0)</f>
        <v>1543.8489583333333</v>
      </c>
      <c r="AE1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Row],[data]])),((AE195*AF195)+SUMIFS(estoque[valor total],estoque[produto],preçodiario[[#Headers],[OVO VERMELHO A]],estoque[data],preçodiario[[#This Row],[data]],estoque[fornecedor],"&lt;&gt;saída"))/(AF195+(SUMIFS(estoque[quantidade],estoque[produto],preçodiario[[#Headers],[OVO VERMELHO A]],estoque[fornecedor],"&lt;&gt;saída",estoque[data],preçodiario[[#This Row],[data]])))))</f>
        <v/>
      </c>
      <c r="AF196" s="22">
        <f>IF(preçodiario[[#This Row],[entrada AV]]=0,AF195-(SUMIFS(estoque[quantidade],estoque[fornecedor],"saída",estoque[produto],preçodiario[[#Headers],[OVO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Row],[data]]))+AF195+preçodiario[[#This Row],[entrada AV]])</f>
        <v>0</v>
      </c>
      <c r="AG196" s="22">
        <f>SUMIFS(estoque[quantidade],estoque[fornecedor],"&lt;&gt;saída",estoque[produto],preçodiario[[#Headers],[OVO VERMELHO A]],estoque[data],preçodiario[[#This Row],[data]])</f>
        <v>0</v>
      </c>
      <c r="AH196" s="20">
        <f>SUMIFS(estoque[valor total],estoque[fornecedor],"&lt;&gt;saída",estoque[produto],preçodiario[[#Headers],[OVO VERMELHO A]],estoque[data],preçodiario[[#This Row],[data]])</f>
        <v>0</v>
      </c>
      <c r="AI196" s="20">
        <f>IFERROR(preçodiario[[#This Row],[OVO VERMELHO A]]*preçodiario[[#This Row],[estoque AV]],0)</f>
        <v>0</v>
      </c>
      <c r="AJ1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Row],[data]])),((AJ195*AK195)+SUMIFS(estoque[valor total],estoque[produto],preçodiario[[#Headers],[OVO VERMELHO B]],estoque[data],preçodiario[[#This Row],[data]],estoque[fornecedor],"&lt;&gt;saída"))/(AK195+(SUMIFS(estoque[quantidade],estoque[produto],preçodiario[[#Headers],[OVO VERMELHO B]],estoque[fornecedor],"&lt;&gt;saída",estoque[data],preçodiario[[#This Row],[data]])))))</f>
        <v/>
      </c>
      <c r="AK196" s="22">
        <f>IF(preçodiario[[#This Row],[entrada BV]]=0,AK195-(SUMIFS(estoque[quantidade],estoque[fornecedor],"saída",estoque[produto],preçodiario[[#Headers],[OVO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Row],[data]]))+AK195+preçodiario[[#This Row],[entrada BV]])</f>
        <v>0</v>
      </c>
      <c r="AL196" s="22">
        <f>SUMIFS(estoque[quantidade],estoque[fornecedor],"&lt;&gt;saída",estoque[produto],preçodiario[[#Headers],[OVO VERMELHO B]],estoque[data],preçodiario[[#This Row],[data]])</f>
        <v>0</v>
      </c>
      <c r="AM196" s="20">
        <f>SUMIFS(estoque[valor total],estoque[fornecedor],"&lt;&gt;saída",estoque[produto],preçodiario[[#Headers],[OVO VERMELHO B]],estoque[data],preçodiario[[#This Row],[data]])</f>
        <v>0</v>
      </c>
      <c r="AN196" s="20">
        <f>IFERROR(preçodiario[[#This Row],[OVO VERMELHO B]]*preçodiario[[#This Row],[estoque BV]],0)</f>
        <v>0</v>
      </c>
      <c r="AO1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Row],[data]])),((AO195*AP195)+SUMIFS(estoque[valor total],estoque[produto],preçodiario[[#Headers],[OVO VERMELHO C]],estoque[data],preçodiario[[#This Row],[data]],estoque[fornecedor],"&lt;&gt;saída"))/(AP195+(SUMIFS(estoque[quantidade],estoque[produto],preçodiario[[#Headers],[OVO VERMELHO C]],estoque[fornecedor],"&lt;&gt;saída",estoque[data],preçodiario[[#This Row],[data]])))))</f>
        <v/>
      </c>
      <c r="AP196" s="22">
        <f>IF(preçodiario[[#This Row],[entrada CV]]=0,AP195-(SUMIFS(estoque[quantidade],estoque[fornecedor],"saída",estoque[produto],preçodiario[[#Headers],[OVO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Row],[data]]))+AP195+preçodiario[[#This Row],[entrada CV]])</f>
        <v>0</v>
      </c>
      <c r="AQ196" s="22">
        <f>SUMIFS(estoque[quantidade],estoque[fornecedor],"&lt;&gt;saída",estoque[produto],preçodiario[[#Headers],[OVO VERMELHO C]],estoque[data],preçodiario[[#This Row],[data]])</f>
        <v>0</v>
      </c>
      <c r="AR196" s="20">
        <f>SUMIFS(estoque[valor total],estoque[fornecedor],"&lt;&gt;saída",estoque[produto],preçodiario[[#Headers],[OVO VERMELHO C]],estoque[data],preçodiario[[#This Row],[data]])</f>
        <v>0</v>
      </c>
      <c r="AS196" s="20">
        <f>IFERROR(preçodiario[[#This Row],[OVO VERMELHO C]]*preçodiario[[#This Row],[estoque CV]],0)</f>
        <v>0</v>
      </c>
      <c r="AT1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Row],[data]])),((AT195*AU195)+SUMIFS(estoque[valor total],estoque[produto],preçodiario[[#Headers],[OVO VERMELHO EXTRA]],estoque[data],preçodiario[[#This Row],[data]],estoque[fornecedor],"&lt;&gt;saída"))/(AU195+(SUMIFS(estoque[quantidade],estoque[produto],preçodiario[[#Headers],[OVO VERMELHO EXTRA]],estoque[fornecedor],"&lt;&gt;saída",estoque[data],preçodiario[[#This Row],[data]])))))</f>
        <v/>
      </c>
      <c r="AU196" s="22">
        <f>IF(preçodiario[[#This Row],[entrada EV]]=0,AU195-(SUMIFS(estoque[quantidade],estoque[fornecedor],"saída",estoque[produto],preçodiario[[#Headers],[OVO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Row],[data]]))+AU195+preçodiario[[#This Row],[entrada EV]])</f>
        <v>0</v>
      </c>
      <c r="AV196" s="22">
        <f>SUMIFS(estoque[quantidade],estoque[fornecedor],"&lt;&gt;saída",estoque[produto],preçodiario[[#Headers],[OVO VERMELHO EXTRA]],estoque[data],preçodiario[[#This Row],[data]])</f>
        <v>0</v>
      </c>
      <c r="AW196" s="20">
        <f>SUMIFS(estoque[valor total],estoque[fornecedor],"&lt;&gt;saída",estoque[produto],preçodiario[[#Headers],[OVO VERMELHO EXTRA]],estoque[data],preçodiario[[#This Row],[data]])</f>
        <v>0</v>
      </c>
      <c r="AX196" s="20">
        <f>IFERROR(preçodiario[[#This Row],[OVO VERMELHO EXTRA]]*preçodiario[[#This Row],[estoque EV]],0)</f>
        <v>0</v>
      </c>
      <c r="AY1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Row],[data]])),((AY195*AZ195)+SUMIFS(estoque[valor total],estoque[produto],preçodiario[[#Headers],[OVO VERMELHO JUMBO]],estoque[data],preçodiario[[#This Row],[data]],estoque[fornecedor],"&lt;&gt;saída"))/(AZ195+(SUMIFS(estoque[quantidade],estoque[produto],preçodiario[[#Headers],[OVO VERMELHO JUMBO]],estoque[fornecedor],"&lt;&gt;saída",estoque[data],preçodiario[[#This Row],[data]])))))</f>
        <v/>
      </c>
      <c r="AZ196" s="22">
        <f>IF(preçodiario[[#This Row],[entrada JV]]=0,AZ195-(SUMIFS(estoque[quantidade],estoque[fornecedor],"saída",estoque[produto],preçodiario[[#Headers],[OVO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Row],[data]]))+AZ195+preçodiario[[#This Row],[entrada JV]])</f>
        <v>0</v>
      </c>
      <c r="BA196" s="22">
        <f>SUMIFS(estoque[quantidade],estoque[fornecedor],"&lt;&gt;saída",estoque[produto],preçodiario[[#Headers],[OVO VERMELHO JUMBO]],estoque[data],preçodiario[[#This Row],[data]])</f>
        <v>0</v>
      </c>
      <c r="BB196" s="20">
        <f>SUMIFS(estoque[valor total],estoque[fornecedor],"&lt;&gt;saída",estoque[produto],preçodiario[[#Headers],[OVO VERMELHO JUMBO]],estoque[data],preçodiario[[#This Row],[data]])</f>
        <v>0</v>
      </c>
      <c r="BC196" s="20">
        <f>IFERROR(preçodiario[[#This Row],[OVO VERMELHO JUMBO]]*preçodiario[[#This Row],[estoque JV]],0)</f>
        <v>0</v>
      </c>
      <c r="BD196" t="str">
        <f>TEXT(vendaAno[[#This Row],[data]],"mmm")</f>
        <v>jul</v>
      </c>
      <c r="BE196" t="str">
        <f>TEXT(vendaAno[[#This Row],[data]],"ddd")</f>
        <v>ter</v>
      </c>
      <c r="BF196" s="82">
        <f>WEEKNUM(vendaAno[[#This Row],[data]],13)</f>
        <v>28</v>
      </c>
      <c r="BG196" s="27">
        <f>preçodiario[[#This Row],[data]]</f>
        <v>46217</v>
      </c>
      <c r="BH1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6" s="8">
        <f>IF(SUMIFS(estoque[valor total],estoque[fornecedor],"saída",estoque[data],vendaAno[[#This Row],[data]])=0,"",SUMIFS(estoque[valor total],estoque[fornecedor],"saída",estoque[data],vendaAno[[#This Row],[data]]))</f>
        <v>461</v>
      </c>
      <c r="BJ19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Row],[data]]))/12+BJ195,"")</f>
        <v>32.833333333333314</v>
      </c>
      <c r="BK196" s="79">
        <f ca="1">IF(TODAY()&gt;=vendaAno[[#This Row],[data]],IF(SUMIFS(estoque[quantidade],estoque[fornecedor],"saída",estoque[data],vendaAno[[#This Row],[data]])/12=0,AVERAGE(BK193:BK195),SUMIFS(estoque[quantidade],estoque[fornecedor],"saída",estoque[data],vendaAno[[#This Row],[data]])/12),"")</f>
        <v>2</v>
      </c>
      <c r="BL196" s="8">
        <f ca="1">IF(vendaAno[[#This Row],[data]]&lt;=TODAY(),IF(SUMIFS(estoque[lucro],estoque[fornecedor],"saída",estoque[data],vendaAno[[#This Row],[data]])=0,AVERAGE(BL193:BL195),SUMIFS(estoque[lucro],estoque[fornecedor],"saída",estoque[data],vendaAno[[#This Row],[data]])),"")</f>
        <v>94.859999999999985</v>
      </c>
      <c r="BM196" s="10">
        <f ca="1">IFERROR(vendaAno[[#This Row],[lucro]]/vendaAno[[#This Row],[valor de venda]],"")</f>
        <v>0.20577006507592188</v>
      </c>
      <c r="BN19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6054.6314167124492</v>
      </c>
      <c r="BO196" s="8">
        <f ca="1">IF(TODAY()&gt;=vendaAno[[#This Row],[data]],IF(vendaAno[[#This Row],[N°]]=BF195,vendaAno[[#This Row],[lucro]]-173.33+BO195,vendaAno[[#This Row],[lucro]]-150),"")</f>
        <v>-241.3600000000001</v>
      </c>
      <c r="BP196" s="81">
        <f ca="1">IF(TODAY()&gt;=vendaAno[[#This Row],[data]],SUM(BK190:BK196)*12,"")</f>
        <v>214.00000000000003</v>
      </c>
      <c r="BQ196" s="7">
        <f ca="1">IFERROR(vendaAno[[#This Row],[lucro]]/(vendaAno[[#This Row],[venda]]*12),"")</f>
        <v>3.9524999999999992</v>
      </c>
    </row>
    <row r="197" spans="1:69" x14ac:dyDescent="0.25">
      <c r="A1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7" s="18" t="str">
        <f>TEXT(preçodiario[[#This Row],[data]],"MMM")</f>
        <v>jul</v>
      </c>
      <c r="C197" s="18" t="str">
        <f>TEXT(preçodiario[[#This Row],[data]],"ddd")</f>
        <v>qua</v>
      </c>
      <c r="D197" s="96">
        <f>WEEKNUM(preçodiario[[#This Row],[data]],13)</f>
        <v>29</v>
      </c>
      <c r="E197" s="37">
        <v>46218</v>
      </c>
      <c r="F1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Row],[data]])),((F196*G196)+SUMIFS(estoque[valor total],estoque[produto],preçodiario[[#Headers],[OVO BRANCO A]],estoque[data],preçodiario[[#This Row],[data]],estoque[fornecedor],"&lt;&gt;saída"))/(G196+(SUMIFS(estoque[quantidade],estoque[produto],preçodiario[[#Headers],[OVO BRANCO A]],estoque[fornecedor],"&lt;&gt;saída",estoque[data],preçodiario[[#This Row],[data]])))))</f>
        <v>15.05952380952381</v>
      </c>
      <c r="G197" s="22">
        <f>IF(preçodiario[[#This Row],[entrada A]]=0,G196-(SUMIFS(estoque[quantidade],estoque[fornecedor],"saída",estoque[produto],preçodiario[[#Headers],[OVO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Row],[data]]))+G196+preçodiario[[#This Row],[entrada A]])</f>
        <v>110</v>
      </c>
      <c r="H197" s="22">
        <f>SUMIFS(estoque[quantidade],estoque[fornecedor],"&lt;&gt;saída",estoque[produto],preçodiario[[#Headers],[OVO BRANCO A]],estoque[data],preçodiario[[#This Row],[data]])</f>
        <v>0</v>
      </c>
      <c r="I197" s="20">
        <f>SUMIFS(estoque[valor total],estoque[fornecedor],"&lt;&gt;saída",estoque[produto],preçodiario[[#Headers],[OVO BRANCO A]],estoque[data],preçodiario[[#This Row],[data]])</f>
        <v>0</v>
      </c>
      <c r="J197" s="20">
        <f>IFERROR(preçodiario[[#This Row],[estoque A]]*preçodiario[[#This Row],[OVO BRANCO A]],0)</f>
        <v>1656.547619047619</v>
      </c>
      <c r="K1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Row],[data]])),((K196*L196)+SUMIFS(estoque[valor total],estoque[produto],preçodiario[[#Headers],[OVO BRANCO B]],estoque[data],preçodiario[[#This Row],[data]],estoque[fornecedor],"&lt;&gt;saída"))/(L196+(SUMIFS(estoque[quantidade],estoque[produto],preçodiario[[#Headers],[OVO BRANCO B]],estoque[fornecedor],"&lt;&gt;saída",estoque[data],preçodiario[[#This Row],[data]])))))</f>
        <v>14.584252837326606</v>
      </c>
      <c r="L197" s="22">
        <f>IF(preçodiario[[#This Row],[entrada B]]=0,L196-(SUMIFS(estoque[quantidade],estoque[fornecedor],"saída",estoque[produto],preçodiario[[#Headers],[OVO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Row],[data]]))+L196+preçodiario[[#This Row],[entrada B]])</f>
        <v>79</v>
      </c>
      <c r="M197" s="22">
        <f>SUMIFS(estoque[quantidade],estoque[fornecedor],"&lt;&gt;saída",estoque[produto],preçodiario[[#Headers],[OVO BRANCO B]],estoque[data],preçodiario[[#This Row],[data]])</f>
        <v>0</v>
      </c>
      <c r="N197" s="20">
        <f>SUMIFS(estoque[valor total],estoque[fornecedor],"&lt;&gt;saída",estoque[produto],preçodiario[[#Headers],[OVO BRANCO B]],estoque[data],preçodiario[[#This Row],[data]])</f>
        <v>0</v>
      </c>
      <c r="O197" s="20">
        <f>IFERROR(preçodiario[[#This Row],[OVO BRANCO B]]*preçodiario[[#This Row],[estoque B]],0)</f>
        <v>1152.1559741488018</v>
      </c>
      <c r="P197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Row],[data]])),((P196*Q196)+SUMIFS(estoque[valor total],estoque[produto],preçodiario[[#Headers],[OVO BRANCO C]],estoque[data],preçodiario[[#This Row],[data]],estoque[fornecedor],"&lt;&gt;saída"))/(Q196+(SUMIFS(estoque[quantidade],estoque[produto],preçodiario[[#Headers],[OVO BRANCO C]],estoque[fornecedor],"&lt;&gt;saída",estoque[data],preçodiario[[#This Row],[data]])))))</f>
        <v/>
      </c>
      <c r="Q197" s="22">
        <f>IF(preçodiario[[#This Row],[entrada C]]=0,Q196-(SUMIFS(estoque[quantidade],estoque[fornecedor],"saída",estoque[produto],preçodiario[[#Headers],[OVO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Row],[data]]))+Q196+preçodiario[[#This Row],[entrada C]])</f>
        <v>0</v>
      </c>
      <c r="R197" s="22">
        <f>SUMIFS(estoque[quantidade],estoque[fornecedor],"&lt;&gt;saída",estoque[produto],preçodiario[[#Headers],[OVO BRANCO C]],estoque[data],preçodiario[[#This Row],[data]])</f>
        <v>0</v>
      </c>
      <c r="S197" s="20">
        <f>SUMIFS(estoque[valor total],estoque[fornecedor],"&lt;&gt;saída",estoque[produto],preçodiario[[#Headers],[OVO BRANCO C]],estoque[data],preçodiario[[#This Row],[data]])</f>
        <v>0</v>
      </c>
      <c r="T197" s="20">
        <f>IFERROR(preçodiario[[#This Row],[OVO BRANCO C]]*preçodiario[[#This Row],[estoque C]],0)</f>
        <v>0</v>
      </c>
      <c r="U1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Row],[data]])),((U196*V196)+SUMIFS(estoque[valor total],estoque[produto],preçodiario[[#Headers],[OVO BRANCO EXTRA]],estoque[data],preçodiario[[#This Row],[data]],estoque[fornecedor],"&lt;&gt;saída"))/(V196+(SUMIFS(estoque[quantidade],estoque[produto],preçodiario[[#Headers],[OVO BRANCO EXTRA]],estoque[fornecedor],"&lt;&gt;saída",estoque[data],preçodiario[[#This Row],[data]])))))</f>
        <v>15.502207505518763</v>
      </c>
      <c r="V197" s="22">
        <f>IF(preçodiario[[#This Row],[entrada E]]=0,V196-(SUMIFS(estoque[quantidade],estoque[fornecedor],"saída",estoque[produto],preçodiario[[#Headers],[OVO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Row],[data]]))+V196+preçodiario[[#This Row],[entrada E]])</f>
        <v>98</v>
      </c>
      <c r="W197" s="22">
        <f>SUMIFS(estoque[quantidade],estoque[fornecedor],"&lt;&gt;saída",estoque[produto],preçodiario[[#Headers],[OVO BRANCO EXTRA]],estoque[data],preçodiario[[#This Row],[data]])</f>
        <v>0</v>
      </c>
      <c r="X197" s="20">
        <f>SUMIFS(estoque[valor total],estoque[fornecedor],"&lt;&gt;saída",estoque[produto],preçodiario[[#Headers],[OVO BRANCO EXTRA]],estoque[data],preçodiario[[#This Row],[data]])</f>
        <v>0</v>
      </c>
      <c r="Y197" s="20">
        <f>IFERROR(preçodiario[[#This Row],[estoque E]]*preçodiario[[#This Row],[OVO BRANCO EXTRA]],0)</f>
        <v>1519.2163355408388</v>
      </c>
      <c r="Z1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Row],[data]])),((Z196*AA196)+SUMIFS(estoque[valor total],estoque[produto],preçodiario[[#Headers],[OVO BRANCO JUMBO]],estoque[data],preçodiario[[#This Row],[data]],estoque[fornecedor],"&lt;&gt;saída"))/(AA196+(SUMIFS(estoque[quantidade],estoque[produto],preçodiario[[#Headers],[OVO BRANCO JUMBO]],estoque[fornecedor],"&lt;&gt;saída",estoque[data],preçodiario[[#This Row],[data]])))))</f>
        <v>16.251041666666666</v>
      </c>
      <c r="AA197" s="22">
        <f>IF(preçodiario[[#This Row],[entrada J]]=0,AA196-(SUMIFS(estoque[quantidade],estoque[fornecedor],"saída",estoque[produto],preçodiario[[#Headers],[OVO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Row],[data]]))+AA196+preçodiario[[#This Row],[entrada J]])</f>
        <v>94</v>
      </c>
      <c r="AB197" s="22">
        <f>SUMIFS(estoque[quantidade],estoque[fornecedor],"&lt;&gt;saída",estoque[produto],preçodiario[[#Headers],[OVO BRANCO JUMBO]],estoque[data],preçodiario[[#This Row],[data]])</f>
        <v>0</v>
      </c>
      <c r="AC197" s="20">
        <f>SUMIFS(estoque[valor total],estoque[fornecedor],"&lt;&gt;saída",estoque[produto],preçodiario[[#Headers],[OVO BRANCO JUMBO]],estoque[data],preçodiario[[#This Row],[data]])</f>
        <v>0</v>
      </c>
      <c r="AD197" s="20">
        <f>IFERROR(preçodiario[[#This Row],[OVO BRANCO JUMBO]]*preçodiario[[#This Row],[estoque J]],0)</f>
        <v>1527.5979166666666</v>
      </c>
      <c r="AE1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Row],[data]])),((AE196*AF196)+SUMIFS(estoque[valor total],estoque[produto],preçodiario[[#Headers],[OVO VERMELHO A]],estoque[data],preçodiario[[#This Row],[data]],estoque[fornecedor],"&lt;&gt;saída"))/(AF196+(SUMIFS(estoque[quantidade],estoque[produto],preçodiario[[#Headers],[OVO VERMELHO A]],estoque[fornecedor],"&lt;&gt;saída",estoque[data],preçodiario[[#This Row],[data]])))))</f>
        <v/>
      </c>
      <c r="AF197" s="22">
        <f>IF(preçodiario[[#This Row],[entrada AV]]=0,AF196-(SUMIFS(estoque[quantidade],estoque[fornecedor],"saída",estoque[produto],preçodiario[[#Headers],[OVO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Row],[data]]))+AF196+preçodiario[[#This Row],[entrada AV]])</f>
        <v>0</v>
      </c>
      <c r="AG197" s="22">
        <f>SUMIFS(estoque[quantidade],estoque[fornecedor],"&lt;&gt;saída",estoque[produto],preçodiario[[#Headers],[OVO VERMELHO A]],estoque[data],preçodiario[[#This Row],[data]])</f>
        <v>0</v>
      </c>
      <c r="AH197" s="20">
        <f>SUMIFS(estoque[valor total],estoque[fornecedor],"&lt;&gt;saída",estoque[produto],preçodiario[[#Headers],[OVO VERMELHO A]],estoque[data],preçodiario[[#This Row],[data]])</f>
        <v>0</v>
      </c>
      <c r="AI197" s="20">
        <f>IFERROR(preçodiario[[#This Row],[OVO VERMELHO A]]*preçodiario[[#This Row],[estoque AV]],0)</f>
        <v>0</v>
      </c>
      <c r="AJ1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Row],[data]])),((AJ196*AK196)+SUMIFS(estoque[valor total],estoque[produto],preçodiario[[#Headers],[OVO VERMELHO B]],estoque[data],preçodiario[[#This Row],[data]],estoque[fornecedor],"&lt;&gt;saída"))/(AK196+(SUMIFS(estoque[quantidade],estoque[produto],preçodiario[[#Headers],[OVO VERMELHO B]],estoque[fornecedor],"&lt;&gt;saída",estoque[data],preçodiario[[#This Row],[data]])))))</f>
        <v/>
      </c>
      <c r="AK197" s="22">
        <f>IF(preçodiario[[#This Row],[entrada BV]]=0,AK196-(SUMIFS(estoque[quantidade],estoque[fornecedor],"saída",estoque[produto],preçodiario[[#Headers],[OVO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Row],[data]]))+AK196+preçodiario[[#This Row],[entrada BV]])</f>
        <v>0</v>
      </c>
      <c r="AL197" s="22">
        <f>SUMIFS(estoque[quantidade],estoque[fornecedor],"&lt;&gt;saída",estoque[produto],preçodiario[[#Headers],[OVO VERMELHO B]],estoque[data],preçodiario[[#This Row],[data]])</f>
        <v>0</v>
      </c>
      <c r="AM197" s="20">
        <f>SUMIFS(estoque[valor total],estoque[fornecedor],"&lt;&gt;saída",estoque[produto],preçodiario[[#Headers],[OVO VERMELHO B]],estoque[data],preçodiario[[#This Row],[data]])</f>
        <v>0</v>
      </c>
      <c r="AN197" s="20">
        <f>IFERROR(preçodiario[[#This Row],[OVO VERMELHO B]]*preçodiario[[#This Row],[estoque BV]],0)</f>
        <v>0</v>
      </c>
      <c r="AO1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Row],[data]])),((AO196*AP196)+SUMIFS(estoque[valor total],estoque[produto],preçodiario[[#Headers],[OVO VERMELHO C]],estoque[data],preçodiario[[#This Row],[data]],estoque[fornecedor],"&lt;&gt;saída"))/(AP196+(SUMIFS(estoque[quantidade],estoque[produto],preçodiario[[#Headers],[OVO VERMELHO C]],estoque[fornecedor],"&lt;&gt;saída",estoque[data],preçodiario[[#This Row],[data]])))))</f>
        <v/>
      </c>
      <c r="AP197" s="22">
        <f>IF(preçodiario[[#This Row],[entrada CV]]=0,AP196-(SUMIFS(estoque[quantidade],estoque[fornecedor],"saída",estoque[produto],preçodiario[[#Headers],[OVO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Row],[data]]))+AP196+preçodiario[[#This Row],[entrada CV]])</f>
        <v>0</v>
      </c>
      <c r="AQ197" s="22">
        <f>SUMIFS(estoque[quantidade],estoque[fornecedor],"&lt;&gt;saída",estoque[produto],preçodiario[[#Headers],[OVO VERMELHO C]],estoque[data],preçodiario[[#This Row],[data]])</f>
        <v>0</v>
      </c>
      <c r="AR197" s="20">
        <f>SUMIFS(estoque[valor total],estoque[fornecedor],"&lt;&gt;saída",estoque[produto],preçodiario[[#Headers],[OVO VERMELHO C]],estoque[data],preçodiario[[#This Row],[data]])</f>
        <v>0</v>
      </c>
      <c r="AS197" s="20">
        <f>IFERROR(preçodiario[[#This Row],[OVO VERMELHO C]]*preçodiario[[#This Row],[estoque CV]],0)</f>
        <v>0</v>
      </c>
      <c r="AT1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Row],[data]])),((AT196*AU196)+SUMIFS(estoque[valor total],estoque[produto],preçodiario[[#Headers],[OVO VERMELHO EXTRA]],estoque[data],preçodiario[[#This Row],[data]],estoque[fornecedor],"&lt;&gt;saída"))/(AU196+(SUMIFS(estoque[quantidade],estoque[produto],preçodiario[[#Headers],[OVO VERMELHO EXTRA]],estoque[fornecedor],"&lt;&gt;saída",estoque[data],preçodiario[[#This Row],[data]])))))</f>
        <v/>
      </c>
      <c r="AU197" s="22">
        <f>IF(preçodiario[[#This Row],[entrada EV]]=0,AU196-(SUMIFS(estoque[quantidade],estoque[fornecedor],"saída",estoque[produto],preçodiario[[#Headers],[OVO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Row],[data]]))+AU196+preçodiario[[#This Row],[entrada EV]])</f>
        <v>0</v>
      </c>
      <c r="AV197" s="22">
        <f>SUMIFS(estoque[quantidade],estoque[fornecedor],"&lt;&gt;saída",estoque[produto],preçodiario[[#Headers],[OVO VERMELHO EXTRA]],estoque[data],preçodiario[[#This Row],[data]])</f>
        <v>0</v>
      </c>
      <c r="AW197" s="20">
        <f>SUMIFS(estoque[valor total],estoque[fornecedor],"&lt;&gt;saída",estoque[produto],preçodiario[[#Headers],[OVO VERMELHO EXTRA]],estoque[data],preçodiario[[#This Row],[data]])</f>
        <v>0</v>
      </c>
      <c r="AX197" s="20">
        <f>IFERROR(preçodiario[[#This Row],[OVO VERMELHO EXTRA]]*preçodiario[[#This Row],[estoque EV]],0)</f>
        <v>0</v>
      </c>
      <c r="AY1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Row],[data]])),((AY196*AZ196)+SUMIFS(estoque[valor total],estoque[produto],preçodiario[[#Headers],[OVO VERMELHO JUMBO]],estoque[data],preçodiario[[#This Row],[data]],estoque[fornecedor],"&lt;&gt;saída"))/(AZ196+(SUMIFS(estoque[quantidade],estoque[produto],preçodiario[[#Headers],[OVO VERMELHO JUMBO]],estoque[fornecedor],"&lt;&gt;saída",estoque[data],preçodiario[[#This Row],[data]])))))</f>
        <v/>
      </c>
      <c r="AZ197" s="22">
        <f>IF(preçodiario[[#This Row],[entrada JV]]=0,AZ196-(SUMIFS(estoque[quantidade],estoque[fornecedor],"saída",estoque[produto],preçodiario[[#Headers],[OVO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Row],[data]]))+AZ196+preçodiario[[#This Row],[entrada JV]])</f>
        <v>0</v>
      </c>
      <c r="BA197" s="22">
        <f>SUMIFS(estoque[quantidade],estoque[fornecedor],"&lt;&gt;saída",estoque[produto],preçodiario[[#Headers],[OVO VERMELHO JUMBO]],estoque[data],preçodiario[[#This Row],[data]])</f>
        <v>0</v>
      </c>
      <c r="BB197" s="20">
        <f>SUMIFS(estoque[valor total],estoque[fornecedor],"&lt;&gt;saída",estoque[produto],preçodiario[[#Headers],[OVO VERMELHO JUMBO]],estoque[data],preçodiario[[#This Row],[data]])</f>
        <v>0</v>
      </c>
      <c r="BC197" s="20">
        <f>IFERROR(preçodiario[[#This Row],[OVO VERMELHO JUMBO]]*preçodiario[[#This Row],[estoque JV]],0)</f>
        <v>0</v>
      </c>
      <c r="BD197" t="str">
        <f>TEXT(vendaAno[[#This Row],[data]],"mmm")</f>
        <v>jul</v>
      </c>
      <c r="BE197" t="str">
        <f>TEXT(vendaAno[[#This Row],[data]],"ddd")</f>
        <v>qua</v>
      </c>
      <c r="BF197" s="82">
        <f>WEEKNUM(vendaAno[[#This Row],[data]],13)</f>
        <v>29</v>
      </c>
      <c r="BG197" s="27">
        <f>preçodiario[[#This Row],[data]]</f>
        <v>46218</v>
      </c>
      <c r="BH1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7" s="8">
        <f>IF(SUMIFS(estoque[valor total],estoque[fornecedor],"saída",estoque[data],vendaAno[[#This Row],[data]])=0,"",SUMIFS(estoque[valor total],estoque[fornecedor],"saída",estoque[data],vendaAno[[#This Row],[data]]))</f>
        <v>256</v>
      </c>
      <c r="BJ19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Row],[data]]))/12+BJ196,"")</f>
        <v>31.749999999999982</v>
      </c>
      <c r="BK197" s="79">
        <f ca="1">IF(TODAY()&gt;=vendaAno[[#This Row],[data]],IF(SUMIFS(estoque[quantidade],estoque[fornecedor],"saída",estoque[data],vendaAno[[#This Row],[data]])/12=0,AVERAGE(BK194:BK196),SUMIFS(estoque[quantidade],estoque[fornecedor],"saída",estoque[data],vendaAno[[#This Row],[data]])/12),"")</f>
        <v>1.0833333333333333</v>
      </c>
      <c r="BL197" s="8">
        <f ca="1">IF(vendaAno[[#This Row],[data]]&lt;=TODAY(),IF(SUMIFS(estoque[lucro],estoque[fornecedor],"saída",estoque[data],vendaAno[[#This Row],[data]])=0,AVERAGE(BL194:BL196),SUMIFS(estoque[lucro],estoque[fornecedor],"saída",estoque[data],vendaAno[[#This Row],[data]])),"")</f>
        <v>56.879999999999995</v>
      </c>
      <c r="BM197" s="10">
        <f ca="1">IFERROR(vendaAno[[#This Row],[lucro]]/vendaAno[[#This Row],[valor de venda]],"")</f>
        <v>0.22218749999999998</v>
      </c>
      <c r="BN19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5855.517845403926</v>
      </c>
      <c r="BO197" s="8">
        <f ca="1">IF(TODAY()&gt;=vendaAno[[#This Row],[data]],IF(vendaAno[[#This Row],[N°]]=BF196,vendaAno[[#This Row],[lucro]]-173.33+BO196,vendaAno[[#This Row],[lucro]]-150),"")</f>
        <v>-93.12</v>
      </c>
      <c r="BP197" s="81">
        <f ca="1">IF(TODAY()&gt;=vendaAno[[#This Row],[data]],SUM(BK191:BK197)*12,"")</f>
        <v>206</v>
      </c>
      <c r="BQ197" s="7">
        <f ca="1">IFERROR(vendaAno[[#This Row],[lucro]]/(vendaAno[[#This Row],[venda]]*12),"")</f>
        <v>4.3753846153846148</v>
      </c>
    </row>
    <row r="198" spans="1:69" x14ac:dyDescent="0.25">
      <c r="A1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8" s="18" t="str">
        <f>TEXT(preçodiario[[#This Row],[data]],"MMM")</f>
        <v>jul</v>
      </c>
      <c r="C198" s="18" t="str">
        <f>TEXT(preçodiario[[#This Row],[data]],"ddd")</f>
        <v>qui</v>
      </c>
      <c r="D198" s="96">
        <f>WEEKNUM(preçodiario[[#This Row],[data]],13)</f>
        <v>29</v>
      </c>
      <c r="E198" s="37">
        <v>46219</v>
      </c>
      <c r="F1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Row],[data]])),((F197*G197)+SUMIFS(estoque[valor total],estoque[produto],preçodiario[[#Headers],[OVO BRANCO A]],estoque[data],preçodiario[[#This Row],[data]],estoque[fornecedor],"&lt;&gt;saída"))/(G197+(SUMIFS(estoque[quantidade],estoque[produto],preçodiario[[#Headers],[OVO BRANCO A]],estoque[fornecedor],"&lt;&gt;saída",estoque[data],preçodiario[[#This Row],[data]])))))</f>
        <v>15.05952380952381</v>
      </c>
      <c r="G198" s="22">
        <f>IF(preçodiario[[#This Row],[entrada A]]=0,G197-(SUMIFS(estoque[quantidade],estoque[fornecedor],"saída",estoque[produto],preçodiario[[#Headers],[OVO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Row],[data]]))+G197+preçodiario[[#This Row],[entrada A]])</f>
        <v>103</v>
      </c>
      <c r="H198" s="22">
        <f>SUMIFS(estoque[quantidade],estoque[fornecedor],"&lt;&gt;saída",estoque[produto],preçodiario[[#Headers],[OVO BRANCO A]],estoque[data],preçodiario[[#This Row],[data]])</f>
        <v>0</v>
      </c>
      <c r="I198" s="20">
        <f>SUMIFS(estoque[valor total],estoque[fornecedor],"&lt;&gt;saída",estoque[produto],preçodiario[[#Headers],[OVO BRANCO A]],estoque[data],preçodiario[[#This Row],[data]])</f>
        <v>0</v>
      </c>
      <c r="J198" s="20">
        <f>IFERROR(preçodiario[[#This Row],[estoque A]]*preçodiario[[#This Row],[OVO BRANCO A]],0)</f>
        <v>1551.1309523809525</v>
      </c>
      <c r="K1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Row],[data]])),((K197*L197)+SUMIFS(estoque[valor total],estoque[produto],preçodiario[[#Headers],[OVO BRANCO B]],estoque[data],preçodiario[[#This Row],[data]],estoque[fornecedor],"&lt;&gt;saída"))/(L197+(SUMIFS(estoque[quantidade],estoque[produto],preçodiario[[#Headers],[OVO BRANCO B]],estoque[fornecedor],"&lt;&gt;saída",estoque[data],preçodiario[[#This Row],[data]])))))</f>
        <v>14.584252837326604</v>
      </c>
      <c r="L198" s="22">
        <f>IF(preçodiario[[#This Row],[entrada B]]=0,L197-(SUMIFS(estoque[quantidade],estoque[fornecedor],"saída",estoque[produto],preçodiario[[#Headers],[OVO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Row],[data]]))+L197+preçodiario[[#This Row],[entrada B]])</f>
        <v>77</v>
      </c>
      <c r="M198" s="22">
        <f>SUMIFS(estoque[quantidade],estoque[fornecedor],"&lt;&gt;saída",estoque[produto],preçodiario[[#Headers],[OVO BRANCO B]],estoque[data],preçodiario[[#This Row],[data]])</f>
        <v>0</v>
      </c>
      <c r="N198" s="20">
        <f>SUMIFS(estoque[valor total],estoque[fornecedor],"&lt;&gt;saída",estoque[produto],preçodiario[[#Headers],[OVO BRANCO B]],estoque[data],preçodiario[[#This Row],[data]])</f>
        <v>0</v>
      </c>
      <c r="O198" s="20">
        <f>IFERROR(preçodiario[[#This Row],[OVO BRANCO B]]*preçodiario[[#This Row],[estoque B]],0)</f>
        <v>1122.9874684741485</v>
      </c>
      <c r="P198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Row],[data]])),((P197*Q197)+SUMIFS(estoque[valor total],estoque[produto],preçodiario[[#Headers],[OVO BRANCO C]],estoque[data],preçodiario[[#This Row],[data]],estoque[fornecedor],"&lt;&gt;saída"))/(Q197+(SUMIFS(estoque[quantidade],estoque[produto],preçodiario[[#Headers],[OVO BRANCO C]],estoque[fornecedor],"&lt;&gt;saída",estoque[data],preçodiario[[#This Row],[data]])))))</f>
        <v/>
      </c>
      <c r="Q198" s="22">
        <f>IF(preçodiario[[#This Row],[entrada C]]=0,Q197-(SUMIFS(estoque[quantidade],estoque[fornecedor],"saída",estoque[produto],preçodiario[[#Headers],[OVO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Row],[data]]))+Q197+preçodiario[[#This Row],[entrada C]])</f>
        <v>0</v>
      </c>
      <c r="R198" s="22">
        <f>SUMIFS(estoque[quantidade],estoque[fornecedor],"&lt;&gt;saída",estoque[produto],preçodiario[[#Headers],[OVO BRANCO C]],estoque[data],preçodiario[[#This Row],[data]])</f>
        <v>0</v>
      </c>
      <c r="S198" s="20">
        <f>SUMIFS(estoque[valor total],estoque[fornecedor],"&lt;&gt;saída",estoque[produto],preçodiario[[#Headers],[OVO BRANCO C]],estoque[data],preçodiario[[#This Row],[data]])</f>
        <v>0</v>
      </c>
      <c r="T198" s="20">
        <f>IFERROR(preçodiario[[#This Row],[OVO BRANCO C]]*preçodiario[[#This Row],[estoque C]],0)</f>
        <v>0</v>
      </c>
      <c r="U1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Row],[data]])),((U197*V197)+SUMIFS(estoque[valor total],estoque[produto],preçodiario[[#Headers],[OVO BRANCO EXTRA]],estoque[data],preçodiario[[#This Row],[data]],estoque[fornecedor],"&lt;&gt;saída"))/(V197+(SUMIFS(estoque[quantidade],estoque[produto],preçodiario[[#Headers],[OVO BRANCO EXTRA]],estoque[fornecedor],"&lt;&gt;saída",estoque[data],preçodiario[[#This Row],[data]])))))</f>
        <v>15.502207505518763</v>
      </c>
      <c r="V198" s="22">
        <f>IF(preçodiario[[#This Row],[entrada E]]=0,V197-(SUMIFS(estoque[quantidade],estoque[fornecedor],"saída",estoque[produto],preçodiario[[#Headers],[OVO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Row],[data]]))+V197+preçodiario[[#This Row],[entrada E]])</f>
        <v>83</v>
      </c>
      <c r="W198" s="22">
        <f>SUMIFS(estoque[quantidade],estoque[fornecedor],"&lt;&gt;saída",estoque[produto],preçodiario[[#Headers],[OVO BRANCO EXTRA]],estoque[data],preçodiario[[#This Row],[data]])</f>
        <v>0</v>
      </c>
      <c r="X198" s="20">
        <f>SUMIFS(estoque[valor total],estoque[fornecedor],"&lt;&gt;saída",estoque[produto],preçodiario[[#Headers],[OVO BRANCO EXTRA]],estoque[data],preçodiario[[#This Row],[data]])</f>
        <v>0</v>
      </c>
      <c r="Y198" s="20">
        <f>IFERROR(preçodiario[[#This Row],[estoque E]]*preçodiario[[#This Row],[OVO BRANCO EXTRA]],0)</f>
        <v>1286.6832229580573</v>
      </c>
      <c r="Z1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Row],[data]])),((Z197*AA197)+SUMIFS(estoque[valor total],estoque[produto],preçodiario[[#Headers],[OVO BRANCO JUMBO]],estoque[data],preçodiario[[#This Row],[data]],estoque[fornecedor],"&lt;&gt;saída"))/(AA197+(SUMIFS(estoque[quantidade],estoque[produto],preçodiario[[#Headers],[OVO BRANCO JUMBO]],estoque[fornecedor],"&lt;&gt;saída",estoque[data],preçodiario[[#This Row],[data]])))))</f>
        <v>16.251041666666666</v>
      </c>
      <c r="AA198" s="22">
        <f>IF(preçodiario[[#This Row],[entrada J]]=0,AA197-(SUMIFS(estoque[quantidade],estoque[fornecedor],"saída",estoque[produto],preçodiario[[#Headers],[OVO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Row],[data]]))+AA197+preçodiario[[#This Row],[entrada J]])</f>
        <v>84</v>
      </c>
      <c r="AB198" s="22">
        <f>SUMIFS(estoque[quantidade],estoque[fornecedor],"&lt;&gt;saída",estoque[produto],preçodiario[[#Headers],[OVO BRANCO JUMBO]],estoque[data],preçodiario[[#This Row],[data]])</f>
        <v>0</v>
      </c>
      <c r="AC198" s="20">
        <f>SUMIFS(estoque[valor total],estoque[fornecedor],"&lt;&gt;saída",estoque[produto],preçodiario[[#Headers],[OVO BRANCO JUMBO]],estoque[data],preçodiario[[#This Row],[data]])</f>
        <v>0</v>
      </c>
      <c r="AD198" s="20">
        <f>IFERROR(preçodiario[[#This Row],[OVO BRANCO JUMBO]]*preçodiario[[#This Row],[estoque J]],0)</f>
        <v>1365.0874999999999</v>
      </c>
      <c r="AE1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Row],[data]])),((AE197*AF197)+SUMIFS(estoque[valor total],estoque[produto],preçodiario[[#Headers],[OVO VERMELHO A]],estoque[data],preçodiario[[#This Row],[data]],estoque[fornecedor],"&lt;&gt;saída"))/(AF197+(SUMIFS(estoque[quantidade],estoque[produto],preçodiario[[#Headers],[OVO VERMELHO A]],estoque[fornecedor],"&lt;&gt;saída",estoque[data],preçodiario[[#This Row],[data]])))))</f>
        <v/>
      </c>
      <c r="AF198" s="22">
        <f>IF(preçodiario[[#This Row],[entrada AV]]=0,AF197-(SUMIFS(estoque[quantidade],estoque[fornecedor],"saída",estoque[produto],preçodiario[[#Headers],[OVO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Row],[data]]))+AF197+preçodiario[[#This Row],[entrada AV]])</f>
        <v>0</v>
      </c>
      <c r="AG198" s="22">
        <f>SUMIFS(estoque[quantidade],estoque[fornecedor],"&lt;&gt;saída",estoque[produto],preçodiario[[#Headers],[OVO VERMELHO A]],estoque[data],preçodiario[[#This Row],[data]])</f>
        <v>0</v>
      </c>
      <c r="AH198" s="20">
        <f>SUMIFS(estoque[valor total],estoque[fornecedor],"&lt;&gt;saída",estoque[produto],preçodiario[[#Headers],[OVO VERMELHO A]],estoque[data],preçodiario[[#This Row],[data]])</f>
        <v>0</v>
      </c>
      <c r="AI198" s="20">
        <f>IFERROR(preçodiario[[#This Row],[OVO VERMELHO A]]*preçodiario[[#This Row],[estoque AV]],0)</f>
        <v>0</v>
      </c>
      <c r="AJ1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Row],[data]])),((AJ197*AK197)+SUMIFS(estoque[valor total],estoque[produto],preçodiario[[#Headers],[OVO VERMELHO B]],estoque[data],preçodiario[[#This Row],[data]],estoque[fornecedor],"&lt;&gt;saída"))/(AK197+(SUMIFS(estoque[quantidade],estoque[produto],preçodiario[[#Headers],[OVO VERMELHO B]],estoque[fornecedor],"&lt;&gt;saída",estoque[data],preçodiario[[#This Row],[data]])))))</f>
        <v/>
      </c>
      <c r="AK198" s="22">
        <f>IF(preçodiario[[#This Row],[entrada BV]]=0,AK197-(SUMIFS(estoque[quantidade],estoque[fornecedor],"saída",estoque[produto],preçodiario[[#Headers],[OVO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Row],[data]]))+AK197+preçodiario[[#This Row],[entrada BV]])</f>
        <v>0</v>
      </c>
      <c r="AL198" s="22">
        <f>SUMIFS(estoque[quantidade],estoque[fornecedor],"&lt;&gt;saída",estoque[produto],preçodiario[[#Headers],[OVO VERMELHO B]],estoque[data],preçodiario[[#This Row],[data]])</f>
        <v>0</v>
      </c>
      <c r="AM198" s="20">
        <f>SUMIFS(estoque[valor total],estoque[fornecedor],"&lt;&gt;saída",estoque[produto],preçodiario[[#Headers],[OVO VERMELHO B]],estoque[data],preçodiario[[#This Row],[data]])</f>
        <v>0</v>
      </c>
      <c r="AN198" s="20">
        <f>IFERROR(preçodiario[[#This Row],[OVO VERMELHO B]]*preçodiario[[#This Row],[estoque BV]],0)</f>
        <v>0</v>
      </c>
      <c r="AO1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Row],[data]])),((AO197*AP197)+SUMIFS(estoque[valor total],estoque[produto],preçodiario[[#Headers],[OVO VERMELHO C]],estoque[data],preçodiario[[#This Row],[data]],estoque[fornecedor],"&lt;&gt;saída"))/(AP197+(SUMIFS(estoque[quantidade],estoque[produto],preçodiario[[#Headers],[OVO VERMELHO C]],estoque[fornecedor],"&lt;&gt;saída",estoque[data],preçodiario[[#This Row],[data]])))))</f>
        <v/>
      </c>
      <c r="AP198" s="22">
        <f>IF(preçodiario[[#This Row],[entrada CV]]=0,AP197-(SUMIFS(estoque[quantidade],estoque[fornecedor],"saída",estoque[produto],preçodiario[[#Headers],[OVO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Row],[data]]))+AP197+preçodiario[[#This Row],[entrada CV]])</f>
        <v>0</v>
      </c>
      <c r="AQ198" s="22">
        <f>SUMIFS(estoque[quantidade],estoque[fornecedor],"&lt;&gt;saída",estoque[produto],preçodiario[[#Headers],[OVO VERMELHO C]],estoque[data],preçodiario[[#This Row],[data]])</f>
        <v>0</v>
      </c>
      <c r="AR198" s="20">
        <f>SUMIFS(estoque[valor total],estoque[fornecedor],"&lt;&gt;saída",estoque[produto],preçodiario[[#Headers],[OVO VERMELHO C]],estoque[data],preçodiario[[#This Row],[data]])</f>
        <v>0</v>
      </c>
      <c r="AS198" s="20">
        <f>IFERROR(preçodiario[[#This Row],[OVO VERMELHO C]]*preçodiario[[#This Row],[estoque CV]],0)</f>
        <v>0</v>
      </c>
      <c r="AT1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Row],[data]])),((AT197*AU197)+SUMIFS(estoque[valor total],estoque[produto],preçodiario[[#Headers],[OVO VERMELHO EXTRA]],estoque[data],preçodiario[[#This Row],[data]],estoque[fornecedor],"&lt;&gt;saída"))/(AU197+(SUMIFS(estoque[quantidade],estoque[produto],preçodiario[[#Headers],[OVO VERMELHO EXTRA]],estoque[fornecedor],"&lt;&gt;saída",estoque[data],preçodiario[[#This Row],[data]])))))</f>
        <v/>
      </c>
      <c r="AU198" s="22">
        <f>IF(preçodiario[[#This Row],[entrada EV]]=0,AU197-(SUMIFS(estoque[quantidade],estoque[fornecedor],"saída",estoque[produto],preçodiario[[#Headers],[OVO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Row],[data]]))+AU197+preçodiario[[#This Row],[entrada EV]])</f>
        <v>0</v>
      </c>
      <c r="AV198" s="22">
        <f>SUMIFS(estoque[quantidade],estoque[fornecedor],"&lt;&gt;saída",estoque[produto],preçodiario[[#Headers],[OVO VERMELHO EXTRA]],estoque[data],preçodiario[[#This Row],[data]])</f>
        <v>0</v>
      </c>
      <c r="AW198" s="20">
        <f>SUMIFS(estoque[valor total],estoque[fornecedor],"&lt;&gt;saída",estoque[produto],preçodiario[[#Headers],[OVO VERMELHO EXTRA]],estoque[data],preçodiario[[#This Row],[data]])</f>
        <v>0</v>
      </c>
      <c r="AX198" s="20">
        <f>IFERROR(preçodiario[[#This Row],[OVO VERMELHO EXTRA]]*preçodiario[[#This Row],[estoque EV]],0)</f>
        <v>0</v>
      </c>
      <c r="AY1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Row],[data]])),((AY197*AZ197)+SUMIFS(estoque[valor total],estoque[produto],preçodiario[[#Headers],[OVO VERMELHO JUMBO]],estoque[data],preçodiario[[#This Row],[data]],estoque[fornecedor],"&lt;&gt;saída"))/(AZ197+(SUMIFS(estoque[quantidade],estoque[produto],preçodiario[[#Headers],[OVO VERMELHO JUMBO]],estoque[fornecedor],"&lt;&gt;saída",estoque[data],preçodiario[[#This Row],[data]])))))</f>
        <v/>
      </c>
      <c r="AZ198" s="22">
        <f>IF(preçodiario[[#This Row],[entrada JV]]=0,AZ197-(SUMIFS(estoque[quantidade],estoque[fornecedor],"saída",estoque[produto],preçodiario[[#Headers],[OVO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Row],[data]]))+AZ197+preçodiario[[#This Row],[entrada JV]])</f>
        <v>0</v>
      </c>
      <c r="BA198" s="22">
        <f>SUMIFS(estoque[quantidade],estoque[fornecedor],"&lt;&gt;saída",estoque[produto],preçodiario[[#Headers],[OVO VERMELHO JUMBO]],estoque[data],preçodiario[[#This Row],[data]])</f>
        <v>0</v>
      </c>
      <c r="BB198" s="20">
        <f>SUMIFS(estoque[valor total],estoque[fornecedor],"&lt;&gt;saída",estoque[produto],preçodiario[[#Headers],[OVO VERMELHO JUMBO]],estoque[data],preçodiario[[#This Row],[data]])</f>
        <v>0</v>
      </c>
      <c r="BC198" s="20">
        <f>IFERROR(preçodiario[[#This Row],[OVO VERMELHO JUMBO]]*preçodiario[[#This Row],[estoque JV]],0)</f>
        <v>0</v>
      </c>
      <c r="BD198" t="str">
        <f>TEXT(vendaAno[[#This Row],[data]],"mmm")</f>
        <v>jul</v>
      </c>
      <c r="BE198" t="str">
        <f>TEXT(vendaAno[[#This Row],[data]],"ddd")</f>
        <v>qui</v>
      </c>
      <c r="BF198" s="82">
        <f>WEEKNUM(vendaAno[[#This Row],[data]],13)</f>
        <v>29</v>
      </c>
      <c r="BG198" s="27">
        <f>preçodiario[[#This Row],[data]]</f>
        <v>46219</v>
      </c>
      <c r="BH1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8" s="8">
        <f>IF(SUMIFS(estoque[valor total],estoque[fornecedor],"saída",estoque[data],vendaAno[[#This Row],[data]])=0,"",SUMIFS(estoque[valor total],estoque[fornecedor],"saída",estoque[data],vendaAno[[#This Row],[data]]))</f>
        <v>676</v>
      </c>
      <c r="BJ19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Row],[data]]))/12+BJ197,"")</f>
        <v>28.91666666666665</v>
      </c>
      <c r="BK198" s="79">
        <f ca="1">IF(TODAY()&gt;=vendaAno[[#This Row],[data]],IF(SUMIFS(estoque[quantidade],estoque[fornecedor],"saída",estoque[data],vendaAno[[#This Row],[data]])/12=0,AVERAGE(BK195:BK197),SUMIFS(estoque[quantidade],estoque[fornecedor],"saída",estoque[data],vendaAno[[#This Row],[data]])/12),"")</f>
        <v>2.8333333333333335</v>
      </c>
      <c r="BL198" s="8">
        <f ca="1">IF(vendaAno[[#This Row],[data]]&lt;=TODAY(),IF(SUMIFS(estoque[lucro],estoque[fornecedor],"saída",estoque[data],vendaAno[[#This Row],[data]])=0,AVERAGE(BL195:BL197),SUMIFS(estoque[lucro],estoque[fornecedor],"saída",estoque[data],vendaAno[[#This Row],[data]])),"")</f>
        <v>146.37</v>
      </c>
      <c r="BM198" s="10">
        <f ca="1">IFERROR(vendaAno[[#This Row],[lucro]]/vendaAno[[#This Row],[valor de venda]],"")</f>
        <v>0.21652366863905326</v>
      </c>
      <c r="BN19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5325.8891438131586</v>
      </c>
      <c r="BO198" s="8">
        <f ca="1">IF(TODAY()&gt;=vendaAno[[#This Row],[data]],IF(vendaAno[[#This Row],[N°]]=BF197,vendaAno[[#This Row],[lucro]]-173.33+BO197,vendaAno[[#This Row],[lucro]]-150),"")</f>
        <v>-120.08000000000001</v>
      </c>
      <c r="BP198" s="81">
        <f ca="1">IF(TODAY()&gt;=vendaAno[[#This Row],[data]],SUM(BK192:BK198)*12,"")</f>
        <v>207</v>
      </c>
      <c r="BQ198" s="7">
        <f ca="1">IFERROR(vendaAno[[#This Row],[lucro]]/(vendaAno[[#This Row],[venda]]*12),"")</f>
        <v>4.3049999999999997</v>
      </c>
    </row>
    <row r="199" spans="1:69" x14ac:dyDescent="0.25">
      <c r="A1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199" s="18" t="str">
        <f>TEXT(preçodiario[[#This Row],[data]],"MMM")</f>
        <v>jul</v>
      </c>
      <c r="C199" s="18" t="str">
        <f>TEXT(preçodiario[[#This Row],[data]],"ddd")</f>
        <v>sex</v>
      </c>
      <c r="D199" s="96">
        <f>WEEKNUM(preçodiario[[#This Row],[data]],13)</f>
        <v>29</v>
      </c>
      <c r="E199" s="37">
        <v>46220</v>
      </c>
      <c r="F1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Row],[data]])),((F198*G198)+SUMIFS(estoque[valor total],estoque[produto],preçodiario[[#Headers],[OVO BRANCO A]],estoque[data],preçodiario[[#This Row],[data]],estoque[fornecedor],"&lt;&gt;saída"))/(G198+(SUMIFS(estoque[quantidade],estoque[produto],preçodiario[[#Headers],[OVO BRANCO A]],estoque[fornecedor],"&lt;&gt;saída",estoque[data],preçodiario[[#This Row],[data]])))))</f>
        <v>15.05952380952381</v>
      </c>
      <c r="G199" s="22">
        <f>IF(preçodiario[[#This Row],[entrada A]]=0,G198-(SUMIFS(estoque[quantidade],estoque[fornecedor],"saída",estoque[produto],preçodiario[[#Headers],[OVO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Row],[data]]))+G198+preçodiario[[#This Row],[entrada A]])</f>
        <v>101</v>
      </c>
      <c r="H199" s="22">
        <f>SUMIFS(estoque[quantidade],estoque[fornecedor],"&lt;&gt;saída",estoque[produto],preçodiario[[#Headers],[OVO BRANCO A]],estoque[data],preçodiario[[#This Row],[data]])</f>
        <v>0</v>
      </c>
      <c r="I199" s="20">
        <f>SUMIFS(estoque[valor total],estoque[fornecedor],"&lt;&gt;saída",estoque[produto],preçodiario[[#Headers],[OVO BRANCO A]],estoque[data],preçodiario[[#This Row],[data]])</f>
        <v>0</v>
      </c>
      <c r="J199" s="20">
        <f>IFERROR(preçodiario[[#This Row],[estoque A]]*preçodiario[[#This Row],[OVO BRANCO A]],0)</f>
        <v>1521.0119047619048</v>
      </c>
      <c r="K1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Row],[data]])),((K198*L198)+SUMIFS(estoque[valor total],estoque[produto],preçodiario[[#Headers],[OVO BRANCO B]],estoque[data],preçodiario[[#This Row],[data]],estoque[fornecedor],"&lt;&gt;saída"))/(L198+(SUMIFS(estoque[quantidade],estoque[produto],preçodiario[[#Headers],[OVO BRANCO B]],estoque[fornecedor],"&lt;&gt;saída",estoque[data],preçodiario[[#This Row],[data]])))))</f>
        <v>14.584252837326604</v>
      </c>
      <c r="L199" s="22">
        <f>IF(preçodiario[[#This Row],[entrada B]]=0,L198-(SUMIFS(estoque[quantidade],estoque[fornecedor],"saída",estoque[produto],preçodiario[[#Headers],[OVO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Row],[data]]))+L198+preçodiario[[#This Row],[entrada B]])</f>
        <v>77</v>
      </c>
      <c r="M199" s="22">
        <f>SUMIFS(estoque[quantidade],estoque[fornecedor],"&lt;&gt;saída",estoque[produto],preçodiario[[#Headers],[OVO BRANCO B]],estoque[data],preçodiario[[#This Row],[data]])</f>
        <v>0</v>
      </c>
      <c r="N199" s="20">
        <f>SUMIFS(estoque[valor total],estoque[fornecedor],"&lt;&gt;saída",estoque[produto],preçodiario[[#Headers],[OVO BRANCO B]],estoque[data],preçodiario[[#This Row],[data]])</f>
        <v>0</v>
      </c>
      <c r="O199" s="20">
        <f>IFERROR(preçodiario[[#This Row],[OVO BRANCO B]]*preçodiario[[#This Row],[estoque B]],0)</f>
        <v>1122.9874684741485</v>
      </c>
      <c r="P199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Row],[data]])),((P198*Q198)+SUMIFS(estoque[valor total],estoque[produto],preçodiario[[#Headers],[OVO BRANCO C]],estoque[data],preçodiario[[#This Row],[data]],estoque[fornecedor],"&lt;&gt;saída"))/(Q198+(SUMIFS(estoque[quantidade],estoque[produto],preçodiario[[#Headers],[OVO BRANCO C]],estoque[fornecedor],"&lt;&gt;saída",estoque[data],preçodiario[[#This Row],[data]])))))</f>
        <v/>
      </c>
      <c r="Q199" s="22">
        <f>IF(preçodiario[[#This Row],[entrada C]]=0,Q198-(SUMIFS(estoque[quantidade],estoque[fornecedor],"saída",estoque[produto],preçodiario[[#Headers],[OVO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Row],[data]]))+Q198+preçodiario[[#This Row],[entrada C]])</f>
        <v>0</v>
      </c>
      <c r="R199" s="22">
        <f>SUMIFS(estoque[quantidade],estoque[fornecedor],"&lt;&gt;saída",estoque[produto],preçodiario[[#Headers],[OVO BRANCO C]],estoque[data],preçodiario[[#This Row],[data]])</f>
        <v>0</v>
      </c>
      <c r="S199" s="20">
        <f>SUMIFS(estoque[valor total],estoque[fornecedor],"&lt;&gt;saída",estoque[produto],preçodiario[[#Headers],[OVO BRANCO C]],estoque[data],preçodiario[[#This Row],[data]])</f>
        <v>0</v>
      </c>
      <c r="T199" s="20">
        <f>IFERROR(preçodiario[[#This Row],[OVO BRANCO C]]*preçodiario[[#This Row],[estoque C]],0)</f>
        <v>0</v>
      </c>
      <c r="U1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Row],[data]])),((U198*V198)+SUMIFS(estoque[valor total],estoque[produto],preçodiario[[#Headers],[OVO BRANCO EXTRA]],estoque[data],preçodiario[[#This Row],[data]],estoque[fornecedor],"&lt;&gt;saída"))/(V198+(SUMIFS(estoque[quantidade],estoque[produto],preçodiario[[#Headers],[OVO BRANCO EXTRA]],estoque[fornecedor],"&lt;&gt;saída",estoque[data],preçodiario[[#This Row],[data]])))))</f>
        <v>15.502207505518763</v>
      </c>
      <c r="V199" s="22">
        <f>IF(preçodiario[[#This Row],[entrada E]]=0,V198-(SUMIFS(estoque[quantidade],estoque[fornecedor],"saída",estoque[produto],preçodiario[[#Headers],[OVO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Row],[data]]))+V198+preçodiario[[#This Row],[entrada E]])</f>
        <v>77</v>
      </c>
      <c r="W199" s="22">
        <f>SUMIFS(estoque[quantidade],estoque[fornecedor],"&lt;&gt;saída",estoque[produto],preçodiario[[#Headers],[OVO BRANCO EXTRA]],estoque[data],preçodiario[[#This Row],[data]])</f>
        <v>0</v>
      </c>
      <c r="X199" s="20">
        <f>SUMIFS(estoque[valor total],estoque[fornecedor],"&lt;&gt;saída",estoque[produto],preçodiario[[#Headers],[OVO BRANCO EXTRA]],estoque[data],preçodiario[[#This Row],[data]])</f>
        <v>0</v>
      </c>
      <c r="Y199" s="20">
        <f>IFERROR(preçodiario[[#This Row],[estoque E]]*preçodiario[[#This Row],[OVO BRANCO EXTRA]],0)</f>
        <v>1193.6699779249448</v>
      </c>
      <c r="Z1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Row],[data]])),((Z198*AA198)+SUMIFS(estoque[valor total],estoque[produto],preçodiario[[#Headers],[OVO BRANCO JUMBO]],estoque[data],preçodiario[[#This Row],[data]],estoque[fornecedor],"&lt;&gt;saída"))/(AA198+(SUMIFS(estoque[quantidade],estoque[produto],preçodiario[[#Headers],[OVO BRANCO JUMBO]],estoque[fornecedor],"&lt;&gt;saída",estoque[data],preçodiario[[#This Row],[data]])))))</f>
        <v>16.251041666666666</v>
      </c>
      <c r="AA199" s="22">
        <f>IF(preçodiario[[#This Row],[entrada J]]=0,AA198-(SUMIFS(estoque[quantidade],estoque[fornecedor],"saída",estoque[produto],preçodiario[[#Headers],[OVO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Row],[data]]))+AA198+preçodiario[[#This Row],[entrada J]])</f>
        <v>73</v>
      </c>
      <c r="AB199" s="22">
        <f>SUMIFS(estoque[quantidade],estoque[fornecedor],"&lt;&gt;saída",estoque[produto],preçodiario[[#Headers],[OVO BRANCO JUMBO]],estoque[data],preçodiario[[#This Row],[data]])</f>
        <v>0</v>
      </c>
      <c r="AC199" s="20">
        <f>SUMIFS(estoque[valor total],estoque[fornecedor],"&lt;&gt;saída",estoque[produto],preçodiario[[#Headers],[OVO BRANCO JUMBO]],estoque[data],preçodiario[[#This Row],[data]])</f>
        <v>0</v>
      </c>
      <c r="AD199" s="20">
        <f>IFERROR(preçodiario[[#This Row],[OVO BRANCO JUMBO]]*preçodiario[[#This Row],[estoque J]],0)</f>
        <v>1186.3260416666667</v>
      </c>
      <c r="AE1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Row],[data]])),((AE198*AF198)+SUMIFS(estoque[valor total],estoque[produto],preçodiario[[#Headers],[OVO VERMELHO A]],estoque[data],preçodiario[[#This Row],[data]],estoque[fornecedor],"&lt;&gt;saída"))/(AF198+(SUMIFS(estoque[quantidade],estoque[produto],preçodiario[[#Headers],[OVO VERMELHO A]],estoque[fornecedor],"&lt;&gt;saída",estoque[data],preçodiario[[#This Row],[data]])))))</f>
        <v/>
      </c>
      <c r="AF199" s="22">
        <f>IF(preçodiario[[#This Row],[entrada AV]]=0,AF198-(SUMIFS(estoque[quantidade],estoque[fornecedor],"saída",estoque[produto],preçodiario[[#Headers],[OVO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Row],[data]]))+AF198+preçodiario[[#This Row],[entrada AV]])</f>
        <v>0</v>
      </c>
      <c r="AG199" s="22">
        <f>SUMIFS(estoque[quantidade],estoque[fornecedor],"&lt;&gt;saída",estoque[produto],preçodiario[[#Headers],[OVO VERMELHO A]],estoque[data],preçodiario[[#This Row],[data]])</f>
        <v>0</v>
      </c>
      <c r="AH199" s="20">
        <f>SUMIFS(estoque[valor total],estoque[fornecedor],"&lt;&gt;saída",estoque[produto],preçodiario[[#Headers],[OVO VERMELHO A]],estoque[data],preçodiario[[#This Row],[data]])</f>
        <v>0</v>
      </c>
      <c r="AI199" s="20">
        <f>IFERROR(preçodiario[[#This Row],[OVO VERMELHO A]]*preçodiario[[#This Row],[estoque AV]],0)</f>
        <v>0</v>
      </c>
      <c r="AJ1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Row],[data]])),((AJ198*AK198)+SUMIFS(estoque[valor total],estoque[produto],preçodiario[[#Headers],[OVO VERMELHO B]],estoque[data],preçodiario[[#This Row],[data]],estoque[fornecedor],"&lt;&gt;saída"))/(AK198+(SUMIFS(estoque[quantidade],estoque[produto],preçodiario[[#Headers],[OVO VERMELHO B]],estoque[fornecedor],"&lt;&gt;saída",estoque[data],preçodiario[[#This Row],[data]])))))</f>
        <v/>
      </c>
      <c r="AK199" s="22">
        <f>IF(preçodiario[[#This Row],[entrada BV]]=0,AK198-(SUMIFS(estoque[quantidade],estoque[fornecedor],"saída",estoque[produto],preçodiario[[#Headers],[OVO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Row],[data]]))+AK198+preçodiario[[#This Row],[entrada BV]])</f>
        <v>0</v>
      </c>
      <c r="AL199" s="22">
        <f>SUMIFS(estoque[quantidade],estoque[fornecedor],"&lt;&gt;saída",estoque[produto],preçodiario[[#Headers],[OVO VERMELHO B]],estoque[data],preçodiario[[#This Row],[data]])</f>
        <v>0</v>
      </c>
      <c r="AM199" s="20">
        <f>SUMIFS(estoque[valor total],estoque[fornecedor],"&lt;&gt;saída",estoque[produto],preçodiario[[#Headers],[OVO VERMELHO B]],estoque[data],preçodiario[[#This Row],[data]])</f>
        <v>0</v>
      </c>
      <c r="AN199" s="20">
        <f>IFERROR(preçodiario[[#This Row],[OVO VERMELHO B]]*preçodiario[[#This Row],[estoque BV]],0)</f>
        <v>0</v>
      </c>
      <c r="AO1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Row],[data]])),((AO198*AP198)+SUMIFS(estoque[valor total],estoque[produto],preçodiario[[#Headers],[OVO VERMELHO C]],estoque[data],preçodiario[[#This Row],[data]],estoque[fornecedor],"&lt;&gt;saída"))/(AP198+(SUMIFS(estoque[quantidade],estoque[produto],preçodiario[[#Headers],[OVO VERMELHO C]],estoque[fornecedor],"&lt;&gt;saída",estoque[data],preçodiario[[#This Row],[data]])))))</f>
        <v/>
      </c>
      <c r="AP199" s="22">
        <f>IF(preçodiario[[#This Row],[entrada CV]]=0,AP198-(SUMIFS(estoque[quantidade],estoque[fornecedor],"saída",estoque[produto],preçodiario[[#Headers],[OVO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Row],[data]]))+AP198+preçodiario[[#This Row],[entrada CV]])</f>
        <v>0</v>
      </c>
      <c r="AQ199" s="22">
        <f>SUMIFS(estoque[quantidade],estoque[fornecedor],"&lt;&gt;saída",estoque[produto],preçodiario[[#Headers],[OVO VERMELHO C]],estoque[data],preçodiario[[#This Row],[data]])</f>
        <v>0</v>
      </c>
      <c r="AR199" s="20">
        <f>SUMIFS(estoque[valor total],estoque[fornecedor],"&lt;&gt;saída",estoque[produto],preçodiario[[#Headers],[OVO VERMELHO C]],estoque[data],preçodiario[[#This Row],[data]])</f>
        <v>0</v>
      </c>
      <c r="AS199" s="20">
        <f>IFERROR(preçodiario[[#This Row],[OVO VERMELHO C]]*preçodiario[[#This Row],[estoque CV]],0)</f>
        <v>0</v>
      </c>
      <c r="AT1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Row],[data]])),((AT198*AU198)+SUMIFS(estoque[valor total],estoque[produto],preçodiario[[#Headers],[OVO VERMELHO EXTRA]],estoque[data],preçodiario[[#This Row],[data]],estoque[fornecedor],"&lt;&gt;saída"))/(AU198+(SUMIFS(estoque[quantidade],estoque[produto],preçodiario[[#Headers],[OVO VERMELHO EXTRA]],estoque[fornecedor],"&lt;&gt;saída",estoque[data],preçodiario[[#This Row],[data]])))))</f>
        <v/>
      </c>
      <c r="AU199" s="22">
        <f>IF(preçodiario[[#This Row],[entrada EV]]=0,AU198-(SUMIFS(estoque[quantidade],estoque[fornecedor],"saída",estoque[produto],preçodiario[[#Headers],[OVO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Row],[data]]))+AU198+preçodiario[[#This Row],[entrada EV]])</f>
        <v>0</v>
      </c>
      <c r="AV199" s="22">
        <f>SUMIFS(estoque[quantidade],estoque[fornecedor],"&lt;&gt;saída",estoque[produto],preçodiario[[#Headers],[OVO VERMELHO EXTRA]],estoque[data],preçodiario[[#This Row],[data]])</f>
        <v>0</v>
      </c>
      <c r="AW199" s="20">
        <f>SUMIFS(estoque[valor total],estoque[fornecedor],"&lt;&gt;saída",estoque[produto],preçodiario[[#Headers],[OVO VERMELHO EXTRA]],estoque[data],preçodiario[[#This Row],[data]])</f>
        <v>0</v>
      </c>
      <c r="AX199" s="20">
        <f>IFERROR(preçodiario[[#This Row],[OVO VERMELHO EXTRA]]*preçodiario[[#This Row],[estoque EV]],0)</f>
        <v>0</v>
      </c>
      <c r="AY1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Row],[data]])),((AY198*AZ198)+SUMIFS(estoque[valor total],estoque[produto],preçodiario[[#Headers],[OVO VERMELHO JUMBO]],estoque[data],preçodiario[[#This Row],[data]],estoque[fornecedor],"&lt;&gt;saída"))/(AZ198+(SUMIFS(estoque[quantidade],estoque[produto],preçodiario[[#Headers],[OVO VERMELHO JUMBO]],estoque[fornecedor],"&lt;&gt;saída",estoque[data],preçodiario[[#This Row],[data]])))))</f>
        <v/>
      </c>
      <c r="AZ199" s="22">
        <f>IF(preçodiario[[#This Row],[entrada JV]]=0,AZ198-(SUMIFS(estoque[quantidade],estoque[fornecedor],"saída",estoque[produto],preçodiario[[#Headers],[OVO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Row],[data]]))+AZ198+preçodiario[[#This Row],[entrada JV]])</f>
        <v>0</v>
      </c>
      <c r="BA199" s="22">
        <f>SUMIFS(estoque[quantidade],estoque[fornecedor],"&lt;&gt;saída",estoque[produto],preçodiario[[#Headers],[OVO VERMELHO JUMBO]],estoque[data],preçodiario[[#This Row],[data]])</f>
        <v>0</v>
      </c>
      <c r="BB199" s="20">
        <f>SUMIFS(estoque[valor total],estoque[fornecedor],"&lt;&gt;saída",estoque[produto],preçodiario[[#Headers],[OVO VERMELHO JUMBO]],estoque[data],preçodiario[[#This Row],[data]])</f>
        <v>0</v>
      </c>
      <c r="BC199" s="20">
        <f>IFERROR(preçodiario[[#This Row],[OVO VERMELHO JUMBO]]*preçodiario[[#This Row],[estoque JV]],0)</f>
        <v>0</v>
      </c>
      <c r="BD199" t="str">
        <f>TEXT(vendaAno[[#This Row],[data]],"mmm")</f>
        <v>jul</v>
      </c>
      <c r="BE199" t="str">
        <f>TEXT(vendaAno[[#This Row],[data]],"ddd")</f>
        <v>sex</v>
      </c>
      <c r="BF199" s="82">
        <f>WEEKNUM(vendaAno[[#This Row],[data]],13)</f>
        <v>29</v>
      </c>
      <c r="BG199" s="27">
        <f>preçodiario[[#This Row],[data]]</f>
        <v>46220</v>
      </c>
      <c r="BH19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199" s="8">
        <f>IF(SUMIFS(estoque[valor total],estoque[fornecedor],"saída",estoque[data],vendaAno[[#This Row],[data]])=0,"",SUMIFS(estoque[valor total],estoque[fornecedor],"saída",estoque[data],vendaAno[[#This Row],[data]]))</f>
        <v>405</v>
      </c>
      <c r="BJ19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Row],[data]]))/12+BJ198,"")</f>
        <v>27.333333333333318</v>
      </c>
      <c r="BK199" s="79">
        <f ca="1">IF(TODAY()&gt;=vendaAno[[#This Row],[data]],IF(SUMIFS(estoque[quantidade],estoque[fornecedor],"saída",estoque[data],vendaAno[[#This Row],[data]])/12=0,AVERAGE(BK196:BK198),SUMIFS(estoque[quantidade],estoque[fornecedor],"saída",estoque[data],vendaAno[[#This Row],[data]])/12),"")</f>
        <v>1.5833333333333333</v>
      </c>
      <c r="BL199" s="8">
        <f ca="1">IF(vendaAno[[#This Row],[data]]&lt;=TODAY(),IF(SUMIFS(estoque[lucro],estoque[fornecedor],"saída",estoque[data],vendaAno[[#This Row],[data]])=0,AVERAGE(BL196:BL198),SUMIFS(estoque[lucro],estoque[fornecedor],"saída",estoque[data],vendaAno[[#This Row],[data]])),"")</f>
        <v>103.10999999999999</v>
      </c>
      <c r="BM199" s="10">
        <f ca="1">IFERROR(vendaAno[[#This Row],[lucro]]/vendaAno[[#This Row],[valor de venda]],"")</f>
        <v>0.25459259259259254</v>
      </c>
      <c r="BN19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5023.9953928276645</v>
      </c>
      <c r="BO199" s="8">
        <f ca="1">IF(TODAY()&gt;=vendaAno[[#This Row],[data]],IF(vendaAno[[#This Row],[N°]]=BF198,vendaAno[[#This Row],[lucro]]-173.33+BO198,vendaAno[[#This Row],[lucro]]-150),"")</f>
        <v>-190.30000000000004</v>
      </c>
      <c r="BP199" s="81">
        <f ca="1">IF(TODAY()&gt;=vendaAno[[#This Row],[data]],SUM(BK193:BK199)*12,"")</f>
        <v>203</v>
      </c>
      <c r="BQ199" s="7">
        <f ca="1">IFERROR(vendaAno[[#This Row],[lucro]]/(vendaAno[[#This Row],[venda]]*12),"")</f>
        <v>5.426842105263157</v>
      </c>
    </row>
    <row r="200" spans="1:69" x14ac:dyDescent="0.25">
      <c r="A2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Row],[data]]-1))*A199+SUMIFS(estoque[valor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0" s="18" t="str">
        <f>TEXT(preçodiario[[#This Row],[data]],"MMM")</f>
        <v>jul</v>
      </c>
      <c r="C200" s="18" t="str">
        <f>TEXT(preçodiario[[#This Row],[data]],"ddd")</f>
        <v>sáb</v>
      </c>
      <c r="D200" s="96">
        <f>WEEKNUM(preçodiario[[#This Row],[data]],13)</f>
        <v>29</v>
      </c>
      <c r="E200" s="37">
        <v>46221</v>
      </c>
      <c r="F2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Row],[data]]))),IF(G199=0,SUMIFS(estoque[valor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Row],[data]])),((F199*G199)+SUMIFS(estoque[valor total],estoque[produto],preçodiario[[#Headers],[OVO BRANCO A]],estoque[data],preçodiario[[#This Row],[data]],estoque[fornecedor],"&lt;&gt;saída"))/(G199+(SUMIFS(estoque[quantidade],estoque[produto],preçodiario[[#Headers],[OVO BRANCO A]],estoque[fornecedor],"&lt;&gt;saída",estoque[data],preçodiario[[#This Row],[data]])))))</f>
        <v>15.05952380952381</v>
      </c>
      <c r="G200" s="22">
        <f>IF(preçodiario[[#This Row],[entrada A]]=0,G199-(SUMIFS(estoque[quantidade],estoque[fornecedor],"saída",estoque[produto],preçodiario[[#Headers],[OVO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Row],[data]]))+G199+preçodiario[[#This Row],[entrada A]])</f>
        <v>96</v>
      </c>
      <c r="H200" s="22">
        <f>SUMIFS(estoque[quantidade],estoque[fornecedor],"&lt;&gt;saída",estoque[produto],preçodiario[[#Headers],[OVO BRANCO A]],estoque[data],preçodiario[[#This Row],[data]])</f>
        <v>0</v>
      </c>
      <c r="I200" s="20">
        <f>SUMIFS(estoque[valor total],estoque[fornecedor],"&lt;&gt;saída",estoque[produto],preçodiario[[#Headers],[OVO BRANCO A]],estoque[data],preçodiario[[#This Row],[data]])</f>
        <v>0</v>
      </c>
      <c r="J200" s="20">
        <f>IFERROR(preçodiario[[#This Row],[estoque A]]*preçodiario[[#This Row],[OVO BRANCO A]],0)</f>
        <v>1445.7142857142858</v>
      </c>
      <c r="K2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Row],[data]]))),IF(L199=0,SUMIFS(estoque[valor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Row],[data]])),((K199*L199)+SUMIFS(estoque[valor total],estoque[produto],preçodiario[[#Headers],[OVO BRANCO B]],estoque[data],preçodiario[[#This Row],[data]],estoque[fornecedor],"&lt;&gt;saída"))/(L199+(SUMIFS(estoque[quantidade],estoque[produto],preçodiario[[#Headers],[OVO BRANCO B]],estoque[fornecedor],"&lt;&gt;saída",estoque[data],preçodiario[[#This Row],[data]])))))</f>
        <v>14.584252837326604</v>
      </c>
      <c r="L200" s="22">
        <f>IF(preçodiario[[#This Row],[entrada B]]=0,L199-(SUMIFS(estoque[quantidade],estoque[fornecedor],"saída",estoque[produto],preçodiario[[#Headers],[OVO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Row],[data]]))+L199+preçodiario[[#This Row],[entrada B]])</f>
        <v>74</v>
      </c>
      <c r="M200" s="22">
        <f>SUMIFS(estoque[quantidade],estoque[fornecedor],"&lt;&gt;saída",estoque[produto],preçodiario[[#Headers],[OVO BRANCO B]],estoque[data],preçodiario[[#This Row],[data]])</f>
        <v>0</v>
      </c>
      <c r="N200" s="20">
        <f>SUMIFS(estoque[valor total],estoque[fornecedor],"&lt;&gt;saída",estoque[produto],preçodiario[[#Headers],[OVO BRANCO B]],estoque[data],preçodiario[[#This Row],[data]])</f>
        <v>0</v>
      </c>
      <c r="O200" s="20">
        <f>IFERROR(preçodiario[[#This Row],[OVO BRANCO B]]*preçodiario[[#This Row],[estoque B]],0)</f>
        <v>1079.2347099621686</v>
      </c>
      <c r="P200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Row],[data]]))),IF(Q199=0,SUMIFS(estoque[valor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Row],[data]])),((P199*Q199)+SUMIFS(estoque[valor total],estoque[produto],preçodiario[[#Headers],[OVO BRANCO C]],estoque[data],preçodiario[[#This Row],[data]],estoque[fornecedor],"&lt;&gt;saída"))/(Q199+(SUMIFS(estoque[quantidade],estoque[produto],preçodiario[[#Headers],[OVO BRANCO C]],estoque[fornecedor],"&lt;&gt;saída",estoque[data],preçodiario[[#This Row],[data]])))))</f>
        <v/>
      </c>
      <c r="Q200" s="22">
        <f>IF(preçodiario[[#This Row],[entrada C]]=0,Q199-(SUMIFS(estoque[quantidade],estoque[fornecedor],"saída",estoque[produto],preçodiario[[#Headers],[OVO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Row],[data]]))+Q199+preçodiario[[#This Row],[entrada C]])</f>
        <v>0</v>
      </c>
      <c r="R200" s="22">
        <f>SUMIFS(estoque[quantidade],estoque[fornecedor],"&lt;&gt;saída",estoque[produto],preçodiario[[#Headers],[OVO BRANCO C]],estoque[data],preçodiario[[#This Row],[data]])</f>
        <v>0</v>
      </c>
      <c r="S200" s="20">
        <f>SUMIFS(estoque[valor total],estoque[fornecedor],"&lt;&gt;saída",estoque[produto],preçodiario[[#Headers],[OVO BRANCO C]],estoque[data],preçodiario[[#This Row],[data]])</f>
        <v>0</v>
      </c>
      <c r="T200" s="20">
        <f>IFERROR(preçodiario[[#This Row],[OVO BRANCO C]]*preçodiario[[#This Row],[estoque C]],0)</f>
        <v>0</v>
      </c>
      <c r="U2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Row],[data]]))),IF(V199=0,SUMIFS(estoque[valor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Row],[data]])),((U199*V199)+SUMIFS(estoque[valor total],estoque[produto],preçodiario[[#Headers],[OVO BRANCO EXTRA]],estoque[data],preçodiario[[#This Row],[data]],estoque[fornecedor],"&lt;&gt;saída"))/(V199+(SUMIFS(estoque[quantidade],estoque[produto],preçodiario[[#Headers],[OVO BRANCO EXTRA]],estoque[fornecedor],"&lt;&gt;saída",estoque[data],preçodiario[[#This Row],[data]])))))</f>
        <v>15.502207505518763</v>
      </c>
      <c r="V200" s="22">
        <f>IF(preçodiario[[#This Row],[entrada E]]=0,V199-(SUMIFS(estoque[quantidade],estoque[fornecedor],"saída",estoque[produto],preçodiario[[#Headers],[OVO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Row],[data]]))+V199+preçodiario[[#This Row],[entrada E]])</f>
        <v>77</v>
      </c>
      <c r="W200" s="22">
        <f>SUMIFS(estoque[quantidade],estoque[fornecedor],"&lt;&gt;saída",estoque[produto],preçodiario[[#Headers],[OVO BRANCO EXTRA]],estoque[data],preçodiario[[#This Row],[data]])</f>
        <v>0</v>
      </c>
      <c r="X200" s="20">
        <f>SUMIFS(estoque[valor total],estoque[fornecedor],"&lt;&gt;saída",estoque[produto],preçodiario[[#Headers],[OVO BRANCO EXTRA]],estoque[data],preçodiario[[#This Row],[data]])</f>
        <v>0</v>
      </c>
      <c r="Y200" s="20">
        <f>IFERROR(preçodiario[[#This Row],[estoque E]]*preçodiario[[#This Row],[OVO BRANCO EXTRA]],0)</f>
        <v>1193.6699779249448</v>
      </c>
      <c r="Z2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Row],[data]]))),IF(AA199=0,SUMIFS(estoque[valor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Row],[data]])),((Z199*AA199)+SUMIFS(estoque[valor total],estoque[produto],preçodiario[[#Headers],[OVO BRANCO JUMBO]],estoque[data],preçodiario[[#This Row],[data]],estoque[fornecedor],"&lt;&gt;saída"))/(AA199+(SUMIFS(estoque[quantidade],estoque[produto],preçodiario[[#Headers],[OVO BRANCO JUMBO]],estoque[fornecedor],"&lt;&gt;saída",estoque[data],preçodiario[[#This Row],[data]])))))</f>
        <v>16.251041666666666</v>
      </c>
      <c r="AA200" s="22">
        <f>IF(preçodiario[[#This Row],[entrada J]]=0,AA199-(SUMIFS(estoque[quantidade],estoque[fornecedor],"saída",estoque[produto],preçodiario[[#Headers],[OVO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Row],[data]]))+AA199+preçodiario[[#This Row],[entrada J]])</f>
        <v>67</v>
      </c>
      <c r="AB200" s="22">
        <f>SUMIFS(estoque[quantidade],estoque[fornecedor],"&lt;&gt;saída",estoque[produto],preçodiario[[#Headers],[OVO BRANCO JUMBO]],estoque[data],preçodiario[[#This Row],[data]])</f>
        <v>0</v>
      </c>
      <c r="AC200" s="20">
        <f>SUMIFS(estoque[valor total],estoque[fornecedor],"&lt;&gt;saída",estoque[produto],preçodiario[[#Headers],[OVO BRANCO JUMBO]],estoque[data],preçodiario[[#This Row],[data]])</f>
        <v>0</v>
      </c>
      <c r="AD200" s="20">
        <f>IFERROR(preçodiario[[#This Row],[OVO BRANCO JUMBO]]*preçodiario[[#This Row],[estoque J]],0)</f>
        <v>1088.8197916666666</v>
      </c>
      <c r="AE2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Row],[data]]))),IF(AF199=0,SUMIFS(estoque[valor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Row],[data]])),((AE199*AF199)+SUMIFS(estoque[valor total],estoque[produto],preçodiario[[#Headers],[OVO VERMELHO A]],estoque[data],preçodiario[[#This Row],[data]],estoque[fornecedor],"&lt;&gt;saída"))/(AF199+(SUMIFS(estoque[quantidade],estoque[produto],preçodiario[[#Headers],[OVO VERMELHO A]],estoque[fornecedor],"&lt;&gt;saída",estoque[data],preçodiario[[#This Row],[data]])))))</f>
        <v/>
      </c>
      <c r="AF200" s="22">
        <f>IF(preçodiario[[#This Row],[entrada AV]]=0,AF199-(SUMIFS(estoque[quantidade],estoque[fornecedor],"saída",estoque[produto],preçodiario[[#Headers],[OVO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Row],[data]]))+AF199+preçodiario[[#This Row],[entrada AV]])</f>
        <v>0</v>
      </c>
      <c r="AG200" s="22">
        <f>SUMIFS(estoque[quantidade],estoque[fornecedor],"&lt;&gt;saída",estoque[produto],preçodiario[[#Headers],[OVO VERMELHO A]],estoque[data],preçodiario[[#This Row],[data]])</f>
        <v>0</v>
      </c>
      <c r="AH200" s="20">
        <f>SUMIFS(estoque[valor total],estoque[fornecedor],"&lt;&gt;saída",estoque[produto],preçodiario[[#Headers],[OVO VERMELHO A]],estoque[data],preçodiario[[#This Row],[data]])</f>
        <v>0</v>
      </c>
      <c r="AI200" s="20">
        <f>IFERROR(preçodiario[[#This Row],[OVO VERMELHO A]]*preçodiario[[#This Row],[estoque AV]],0)</f>
        <v>0</v>
      </c>
      <c r="AJ2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Row],[data]]))),IF(AK199=0,SUMIFS(estoque[valor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Row],[data]])),((AJ199*AK199)+SUMIFS(estoque[valor total],estoque[produto],preçodiario[[#Headers],[OVO VERMELHO B]],estoque[data],preçodiario[[#This Row],[data]],estoque[fornecedor],"&lt;&gt;saída"))/(AK199+(SUMIFS(estoque[quantidade],estoque[produto],preçodiario[[#Headers],[OVO VERMELHO B]],estoque[fornecedor],"&lt;&gt;saída",estoque[data],preçodiario[[#This Row],[data]])))))</f>
        <v/>
      </c>
      <c r="AK200" s="22">
        <f>IF(preçodiario[[#This Row],[entrada BV]]=0,AK199-(SUMIFS(estoque[quantidade],estoque[fornecedor],"saída",estoque[produto],preçodiario[[#Headers],[OVO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Row],[data]]))+AK199+preçodiario[[#This Row],[entrada BV]])</f>
        <v>0</v>
      </c>
      <c r="AL200" s="22">
        <f>SUMIFS(estoque[quantidade],estoque[fornecedor],"&lt;&gt;saída",estoque[produto],preçodiario[[#Headers],[OVO VERMELHO B]],estoque[data],preçodiario[[#This Row],[data]])</f>
        <v>0</v>
      </c>
      <c r="AM200" s="20">
        <f>SUMIFS(estoque[valor total],estoque[fornecedor],"&lt;&gt;saída",estoque[produto],preçodiario[[#Headers],[OVO VERMELHO B]],estoque[data],preçodiario[[#This Row],[data]])</f>
        <v>0</v>
      </c>
      <c r="AN200" s="20">
        <f>IFERROR(preçodiario[[#This Row],[OVO VERMELHO B]]*preçodiario[[#This Row],[estoque BV]],0)</f>
        <v>0</v>
      </c>
      <c r="AO2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Row],[data]]))),IF(AP199=0,SUMIFS(estoque[valor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Row],[data]])),((AO199*AP199)+SUMIFS(estoque[valor total],estoque[produto],preçodiario[[#Headers],[OVO VERMELHO C]],estoque[data],preçodiario[[#This Row],[data]],estoque[fornecedor],"&lt;&gt;saída"))/(AP199+(SUMIFS(estoque[quantidade],estoque[produto],preçodiario[[#Headers],[OVO VERMELHO C]],estoque[fornecedor],"&lt;&gt;saída",estoque[data],preçodiario[[#This Row],[data]])))))</f>
        <v/>
      </c>
      <c r="AP200" s="22">
        <f>IF(preçodiario[[#This Row],[entrada CV]]=0,AP199-(SUMIFS(estoque[quantidade],estoque[fornecedor],"saída",estoque[produto],preçodiario[[#Headers],[OVO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Row],[data]]))+AP199+preçodiario[[#This Row],[entrada CV]])</f>
        <v>0</v>
      </c>
      <c r="AQ200" s="22">
        <f>SUMIFS(estoque[quantidade],estoque[fornecedor],"&lt;&gt;saída",estoque[produto],preçodiario[[#Headers],[OVO VERMELHO C]],estoque[data],preçodiario[[#This Row],[data]])</f>
        <v>0</v>
      </c>
      <c r="AR200" s="20">
        <f>SUMIFS(estoque[valor total],estoque[fornecedor],"&lt;&gt;saída",estoque[produto],preçodiario[[#Headers],[OVO VERMELHO C]],estoque[data],preçodiario[[#This Row],[data]])</f>
        <v>0</v>
      </c>
      <c r="AS200" s="20">
        <f>IFERROR(preçodiario[[#This Row],[OVO VERMELHO C]]*preçodiario[[#This Row],[estoque CV]],0)</f>
        <v>0</v>
      </c>
      <c r="AT2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Row],[data]]))),IF(AU199=0,SUMIFS(estoque[valor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Row],[data]])),((AT199*AU199)+SUMIFS(estoque[valor total],estoque[produto],preçodiario[[#Headers],[OVO VERMELHO EXTRA]],estoque[data],preçodiario[[#This Row],[data]],estoque[fornecedor],"&lt;&gt;saída"))/(AU199+(SUMIFS(estoque[quantidade],estoque[produto],preçodiario[[#Headers],[OVO VERMELHO EXTRA]],estoque[fornecedor],"&lt;&gt;saída",estoque[data],preçodiario[[#This Row],[data]])))))</f>
        <v/>
      </c>
      <c r="AU200" s="22">
        <f>IF(preçodiario[[#This Row],[entrada EV]]=0,AU199-(SUMIFS(estoque[quantidade],estoque[fornecedor],"saída",estoque[produto],preçodiario[[#Headers],[OVO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Row],[data]]))+AU199+preçodiario[[#This Row],[entrada EV]])</f>
        <v>0</v>
      </c>
      <c r="AV200" s="22">
        <f>SUMIFS(estoque[quantidade],estoque[fornecedor],"&lt;&gt;saída",estoque[produto],preçodiario[[#Headers],[OVO VERMELHO EXTRA]],estoque[data],preçodiario[[#This Row],[data]])</f>
        <v>0</v>
      </c>
      <c r="AW200" s="20">
        <f>SUMIFS(estoque[valor total],estoque[fornecedor],"&lt;&gt;saída",estoque[produto],preçodiario[[#Headers],[OVO VERMELHO EXTRA]],estoque[data],preçodiario[[#This Row],[data]])</f>
        <v>0</v>
      </c>
      <c r="AX200" s="20">
        <f>IFERROR(preçodiario[[#This Row],[OVO VERMELHO EXTRA]]*preçodiario[[#This Row],[estoque EV]],0)</f>
        <v>0</v>
      </c>
      <c r="AY2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Row],[data]]))),IF(AZ199=0,SUMIFS(estoque[valor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Row],[data]])),((AY199*AZ199)+SUMIFS(estoque[valor total],estoque[produto],preçodiario[[#Headers],[OVO VERMELHO JUMBO]],estoque[data],preçodiario[[#This Row],[data]],estoque[fornecedor],"&lt;&gt;saída"))/(AZ199+(SUMIFS(estoque[quantidade],estoque[produto],preçodiario[[#Headers],[OVO VERMELHO JUMBO]],estoque[fornecedor],"&lt;&gt;saída",estoque[data],preçodiario[[#This Row],[data]])))))</f>
        <v/>
      </c>
      <c r="AZ200" s="22">
        <f>IF(preçodiario[[#This Row],[entrada JV]]=0,AZ199-(SUMIFS(estoque[quantidade],estoque[fornecedor],"saída",estoque[produto],preçodiario[[#Headers],[OVO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Row],[data]]))+AZ199+preçodiario[[#This Row],[entrada JV]])</f>
        <v>0</v>
      </c>
      <c r="BA200" s="22">
        <f>SUMIFS(estoque[quantidade],estoque[fornecedor],"&lt;&gt;saída",estoque[produto],preçodiario[[#Headers],[OVO VERMELHO JUMBO]],estoque[data],preçodiario[[#This Row],[data]])</f>
        <v>0</v>
      </c>
      <c r="BB200" s="20">
        <f>SUMIFS(estoque[valor total],estoque[fornecedor],"&lt;&gt;saída",estoque[produto],preçodiario[[#Headers],[OVO VERMELHO JUMBO]],estoque[data],preçodiario[[#This Row],[data]])</f>
        <v>0</v>
      </c>
      <c r="BC200" s="20">
        <f>IFERROR(preçodiario[[#This Row],[OVO VERMELHO JUMBO]]*preçodiario[[#This Row],[estoque JV]],0)</f>
        <v>0</v>
      </c>
      <c r="BD200" t="str">
        <f>TEXT(vendaAno[[#This Row],[data]],"mmm")</f>
        <v>jul</v>
      </c>
      <c r="BE200" t="str">
        <f>TEXT(vendaAno[[#This Row],[data]],"ddd")</f>
        <v>sáb</v>
      </c>
      <c r="BF200" s="82">
        <f>WEEKNUM(vendaAno[[#This Row],[data]],13)</f>
        <v>29</v>
      </c>
      <c r="BG200" s="27">
        <f>preçodiario[[#This Row],[data]]</f>
        <v>46221</v>
      </c>
      <c r="BH2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0" s="8">
        <f>IF(SUMIFS(estoque[valor total],estoque[fornecedor],"saída",estoque[data],vendaAno[[#This Row],[data]])=0,"",SUMIFS(estoque[valor total],estoque[fornecedor],"saída",estoque[data],vendaAno[[#This Row],[data]]))</f>
        <v>287</v>
      </c>
      <c r="BJ20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Row],[data]]))/12+BJ199,"")</f>
        <v>26.16666666666665</v>
      </c>
      <c r="BK200" s="79">
        <f ca="1">IF(TODAY()&gt;=vendaAno[[#This Row],[data]],IF(SUMIFS(estoque[quantidade],estoque[fornecedor],"saída",estoque[data],vendaAno[[#This Row],[data]])/12=0,AVERAGE(BK197:BK199),SUMIFS(estoque[quantidade],estoque[fornecedor],"saída",estoque[data],vendaAno[[#This Row],[data]])/12),"")</f>
        <v>1.1666666666666667</v>
      </c>
      <c r="BL200" s="8">
        <f ca="1">IF(vendaAno[[#This Row],[data]]&lt;=TODAY(),IF(SUMIFS(estoque[lucro],estoque[fornecedor],"saída",estoque[data],vendaAno[[#This Row],[data]])=0,AVERAGE(BL197:BL199),SUMIFS(estoque[lucro],estoque[fornecedor],"saída",estoque[data],vendaAno[[#This Row],[data]])),"")</f>
        <v>70.44</v>
      </c>
      <c r="BM200" s="10">
        <f ca="1">IFERROR(vendaAno[[#This Row],[lucro]]/vendaAno[[#This Row],[valor de venda]],"")</f>
        <v>0.2454355400696864</v>
      </c>
      <c r="BN20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4807.4387652680653</v>
      </c>
      <c r="BO200" s="8">
        <f ca="1">IF(TODAY()&gt;=vendaAno[[#This Row],[data]],IF(vendaAno[[#This Row],[N°]]=BF199,vendaAno[[#This Row],[lucro]]-173.33+BO199,vendaAno[[#This Row],[lucro]]-150),"")</f>
        <v>-293.19000000000005</v>
      </c>
      <c r="BP200" s="81">
        <f ca="1">IF(TODAY()&gt;=vendaAno[[#This Row],[data]],SUM(BK194:BK200)*12,"")</f>
        <v>192.00000000000006</v>
      </c>
      <c r="BQ200" s="7">
        <f ca="1">IFERROR(vendaAno[[#This Row],[lucro]]/(vendaAno[[#This Row],[venda]]*12),"")</f>
        <v>5.0314285714285711</v>
      </c>
    </row>
    <row r="201" spans="1:69" x14ac:dyDescent="0.25">
      <c r="A2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1" s="18" t="str">
        <f>TEXT(preçodiario[[#This Row],[data]],"MMM")</f>
        <v>jul</v>
      </c>
      <c r="C201" s="18" t="str">
        <f>TEXT(preçodiario[[#This Row],[data]],"ddd")</f>
        <v>dom</v>
      </c>
      <c r="D201" s="96">
        <f>WEEKNUM(preçodiario[[#This Row],[data]],13)</f>
        <v>29</v>
      </c>
      <c r="E201" s="37">
        <v>46222</v>
      </c>
      <c r="F2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Row],[data]])),((F200*G200)+SUMIFS(estoque[valor total],estoque[produto],preçodiario[[#Headers],[OVO BRANCO A]],estoque[data],preçodiario[[#This Row],[data]],estoque[fornecedor],"&lt;&gt;saída"))/(G200+(SUMIFS(estoque[quantidade],estoque[produto],preçodiario[[#Headers],[OVO BRANCO A]],estoque[fornecedor],"&lt;&gt;saída",estoque[data],preçodiario[[#This Row],[data]])))))</f>
        <v>15.05952380952381</v>
      </c>
      <c r="G201" s="22">
        <f>IF(preçodiario[[#This Row],[entrada A]]=0,G200-(SUMIFS(estoque[quantidade],estoque[fornecedor],"saída",estoque[produto],preçodiario[[#Headers],[OVO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Row],[data]]))+G200+preçodiario[[#This Row],[entrada A]])</f>
        <v>91</v>
      </c>
      <c r="H201" s="22">
        <f>SUMIFS(estoque[quantidade],estoque[fornecedor],"&lt;&gt;saída",estoque[produto],preçodiario[[#Headers],[OVO BRANCO A]],estoque[data],preçodiario[[#This Row],[data]])</f>
        <v>0</v>
      </c>
      <c r="I201" s="20">
        <f>SUMIFS(estoque[valor total],estoque[fornecedor],"&lt;&gt;saída",estoque[produto],preçodiario[[#Headers],[OVO BRANCO A]],estoque[data],preçodiario[[#This Row],[data]])</f>
        <v>0</v>
      </c>
      <c r="J201" s="20">
        <f>IFERROR(preçodiario[[#This Row],[estoque A]]*preçodiario[[#This Row],[OVO BRANCO A]],0)</f>
        <v>1370.4166666666667</v>
      </c>
      <c r="K2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Row],[data]])),((K200*L200)+SUMIFS(estoque[valor total],estoque[produto],preçodiario[[#Headers],[OVO BRANCO B]],estoque[data],preçodiario[[#This Row],[data]],estoque[fornecedor],"&lt;&gt;saída"))/(L200+(SUMIFS(estoque[quantidade],estoque[produto],preçodiario[[#Headers],[OVO BRANCO B]],estoque[fornecedor],"&lt;&gt;saída",estoque[data],preçodiario[[#This Row],[data]])))))</f>
        <v>14.584252837326602</v>
      </c>
      <c r="L201" s="22">
        <f>IF(preçodiario[[#This Row],[entrada B]]=0,L200-(SUMIFS(estoque[quantidade],estoque[fornecedor],"saída",estoque[produto],preçodiario[[#Headers],[OVO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Row],[data]]))+L200+preçodiario[[#This Row],[entrada B]])</f>
        <v>74</v>
      </c>
      <c r="M201" s="22">
        <f>SUMIFS(estoque[quantidade],estoque[fornecedor],"&lt;&gt;saída",estoque[produto],preçodiario[[#Headers],[OVO BRANCO B]],estoque[data],preçodiario[[#This Row],[data]])</f>
        <v>0</v>
      </c>
      <c r="N201" s="20">
        <f>SUMIFS(estoque[valor total],estoque[fornecedor],"&lt;&gt;saída",estoque[produto],preçodiario[[#Headers],[OVO BRANCO B]],estoque[data],preçodiario[[#This Row],[data]])</f>
        <v>0</v>
      </c>
      <c r="O201" s="20">
        <f>IFERROR(preçodiario[[#This Row],[OVO BRANCO B]]*preçodiario[[#This Row],[estoque B]],0)</f>
        <v>1079.2347099621686</v>
      </c>
      <c r="P201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Row],[data]])),((P200*Q200)+SUMIFS(estoque[valor total],estoque[produto],preçodiario[[#Headers],[OVO BRANCO C]],estoque[data],preçodiario[[#This Row],[data]],estoque[fornecedor],"&lt;&gt;saída"))/(Q200+(SUMIFS(estoque[quantidade],estoque[produto],preçodiario[[#Headers],[OVO BRANCO C]],estoque[fornecedor],"&lt;&gt;saída",estoque[data],preçodiario[[#This Row],[data]])))))</f>
        <v/>
      </c>
      <c r="Q201" s="22">
        <f>IF(preçodiario[[#This Row],[entrada C]]=0,Q200-(SUMIFS(estoque[quantidade],estoque[fornecedor],"saída",estoque[produto],preçodiario[[#Headers],[OVO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Row],[data]]))+Q200+preçodiario[[#This Row],[entrada C]])</f>
        <v>0</v>
      </c>
      <c r="R201" s="22">
        <f>SUMIFS(estoque[quantidade],estoque[fornecedor],"&lt;&gt;saída",estoque[produto],preçodiario[[#Headers],[OVO BRANCO C]],estoque[data],preçodiario[[#This Row],[data]])</f>
        <v>0</v>
      </c>
      <c r="S201" s="20">
        <f>SUMIFS(estoque[valor total],estoque[fornecedor],"&lt;&gt;saída",estoque[produto],preçodiario[[#Headers],[OVO BRANCO C]],estoque[data],preçodiario[[#This Row],[data]])</f>
        <v>0</v>
      </c>
      <c r="T201" s="20">
        <f>IFERROR(preçodiario[[#This Row],[OVO BRANCO C]]*preçodiario[[#This Row],[estoque C]],0)</f>
        <v>0</v>
      </c>
      <c r="U2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Row],[data]])),((U200*V200)+SUMIFS(estoque[valor total],estoque[produto],preçodiario[[#Headers],[OVO BRANCO EXTRA]],estoque[data],preçodiario[[#This Row],[data]],estoque[fornecedor],"&lt;&gt;saída"))/(V200+(SUMIFS(estoque[quantidade],estoque[produto],preçodiario[[#Headers],[OVO BRANCO EXTRA]],estoque[fornecedor],"&lt;&gt;saída",estoque[data],preçodiario[[#This Row],[data]])))))</f>
        <v>15.502207505518763</v>
      </c>
      <c r="V201" s="22">
        <f>IF(preçodiario[[#This Row],[entrada E]]=0,V200-(SUMIFS(estoque[quantidade],estoque[fornecedor],"saída",estoque[produto],preçodiario[[#Headers],[OVO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Row],[data]]))+V200+preçodiario[[#This Row],[entrada E]])</f>
        <v>72</v>
      </c>
      <c r="W201" s="22">
        <f>SUMIFS(estoque[quantidade],estoque[fornecedor],"&lt;&gt;saída",estoque[produto],preçodiario[[#Headers],[OVO BRANCO EXTRA]],estoque[data],preçodiario[[#This Row],[data]])</f>
        <v>0</v>
      </c>
      <c r="X201" s="20">
        <f>SUMIFS(estoque[valor total],estoque[fornecedor],"&lt;&gt;saída",estoque[produto],preçodiario[[#Headers],[OVO BRANCO EXTRA]],estoque[data],preçodiario[[#This Row],[data]])</f>
        <v>0</v>
      </c>
      <c r="Y201" s="20">
        <f>IFERROR(preçodiario[[#This Row],[estoque E]]*preçodiario[[#This Row],[OVO BRANCO EXTRA]],0)</f>
        <v>1116.158940397351</v>
      </c>
      <c r="Z2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Row],[data]])),((Z200*AA200)+SUMIFS(estoque[valor total],estoque[produto],preçodiario[[#Headers],[OVO BRANCO JUMBO]],estoque[data],preçodiario[[#This Row],[data]],estoque[fornecedor],"&lt;&gt;saída"))/(AA200+(SUMIFS(estoque[quantidade],estoque[produto],preçodiario[[#Headers],[OVO BRANCO JUMBO]],estoque[fornecedor],"&lt;&gt;saída",estoque[data],preçodiario[[#This Row],[data]])))))</f>
        <v>16.251041666666666</v>
      </c>
      <c r="AA201" s="22">
        <f>IF(preçodiario[[#This Row],[entrada J]]=0,AA200-(SUMIFS(estoque[quantidade],estoque[fornecedor],"saída",estoque[produto],preçodiario[[#Headers],[OVO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Row],[data]]))+AA200+preçodiario[[#This Row],[entrada J]])</f>
        <v>61</v>
      </c>
      <c r="AB201" s="22">
        <f>SUMIFS(estoque[quantidade],estoque[fornecedor],"&lt;&gt;saída",estoque[produto],preçodiario[[#Headers],[OVO BRANCO JUMBO]],estoque[data],preçodiario[[#This Row],[data]])</f>
        <v>0</v>
      </c>
      <c r="AC201" s="20">
        <f>SUMIFS(estoque[valor total],estoque[fornecedor],"&lt;&gt;saída",estoque[produto],preçodiario[[#Headers],[OVO BRANCO JUMBO]],estoque[data],preçodiario[[#This Row],[data]])</f>
        <v>0</v>
      </c>
      <c r="AD201" s="20">
        <f>IFERROR(preçodiario[[#This Row],[OVO BRANCO JUMBO]]*preçodiario[[#This Row],[estoque J]],0)</f>
        <v>991.31354166666665</v>
      </c>
      <c r="AE2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Row],[data]])),((AE200*AF200)+SUMIFS(estoque[valor total],estoque[produto],preçodiario[[#Headers],[OVO VERMELHO A]],estoque[data],preçodiario[[#This Row],[data]],estoque[fornecedor],"&lt;&gt;saída"))/(AF200+(SUMIFS(estoque[quantidade],estoque[produto],preçodiario[[#Headers],[OVO VERMELHO A]],estoque[fornecedor],"&lt;&gt;saída",estoque[data],preçodiario[[#This Row],[data]])))))</f>
        <v/>
      </c>
      <c r="AF201" s="22">
        <f>IF(preçodiario[[#This Row],[entrada AV]]=0,AF200-(SUMIFS(estoque[quantidade],estoque[fornecedor],"saída",estoque[produto],preçodiario[[#Headers],[OVO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Row],[data]]))+AF200+preçodiario[[#This Row],[entrada AV]])</f>
        <v>0</v>
      </c>
      <c r="AG201" s="22">
        <f>SUMIFS(estoque[quantidade],estoque[fornecedor],"&lt;&gt;saída",estoque[produto],preçodiario[[#Headers],[OVO VERMELHO A]],estoque[data],preçodiario[[#This Row],[data]])</f>
        <v>0</v>
      </c>
      <c r="AH201" s="20">
        <f>SUMIFS(estoque[valor total],estoque[fornecedor],"&lt;&gt;saída",estoque[produto],preçodiario[[#Headers],[OVO VERMELHO A]],estoque[data],preçodiario[[#This Row],[data]])</f>
        <v>0</v>
      </c>
      <c r="AI201" s="20">
        <f>IFERROR(preçodiario[[#This Row],[OVO VERMELHO A]]*preçodiario[[#This Row],[estoque AV]],0)</f>
        <v>0</v>
      </c>
      <c r="AJ2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Row],[data]])),((AJ200*AK200)+SUMIFS(estoque[valor total],estoque[produto],preçodiario[[#Headers],[OVO VERMELHO B]],estoque[data],preçodiario[[#This Row],[data]],estoque[fornecedor],"&lt;&gt;saída"))/(AK200+(SUMIFS(estoque[quantidade],estoque[produto],preçodiario[[#Headers],[OVO VERMELHO B]],estoque[fornecedor],"&lt;&gt;saída",estoque[data],preçodiario[[#This Row],[data]])))))</f>
        <v/>
      </c>
      <c r="AK201" s="22">
        <f>IF(preçodiario[[#This Row],[entrada BV]]=0,AK200-(SUMIFS(estoque[quantidade],estoque[fornecedor],"saída",estoque[produto],preçodiario[[#Headers],[OVO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Row],[data]]))+AK200+preçodiario[[#This Row],[entrada BV]])</f>
        <v>0</v>
      </c>
      <c r="AL201" s="22">
        <f>SUMIFS(estoque[quantidade],estoque[fornecedor],"&lt;&gt;saída",estoque[produto],preçodiario[[#Headers],[OVO VERMELHO B]],estoque[data],preçodiario[[#This Row],[data]])</f>
        <v>0</v>
      </c>
      <c r="AM201" s="20">
        <f>SUMIFS(estoque[valor total],estoque[fornecedor],"&lt;&gt;saída",estoque[produto],preçodiario[[#Headers],[OVO VERMELHO B]],estoque[data],preçodiario[[#This Row],[data]])</f>
        <v>0</v>
      </c>
      <c r="AN201" s="20">
        <f>IFERROR(preçodiario[[#This Row],[OVO VERMELHO B]]*preçodiario[[#This Row],[estoque BV]],0)</f>
        <v>0</v>
      </c>
      <c r="AO2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Row],[data]])),((AO200*AP200)+SUMIFS(estoque[valor total],estoque[produto],preçodiario[[#Headers],[OVO VERMELHO C]],estoque[data],preçodiario[[#This Row],[data]],estoque[fornecedor],"&lt;&gt;saída"))/(AP200+(SUMIFS(estoque[quantidade],estoque[produto],preçodiario[[#Headers],[OVO VERMELHO C]],estoque[fornecedor],"&lt;&gt;saída",estoque[data],preçodiario[[#This Row],[data]])))))</f>
        <v/>
      </c>
      <c r="AP201" s="22">
        <f>IF(preçodiario[[#This Row],[entrada CV]]=0,AP200-(SUMIFS(estoque[quantidade],estoque[fornecedor],"saída",estoque[produto],preçodiario[[#Headers],[OVO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Row],[data]]))+AP200+preçodiario[[#This Row],[entrada CV]])</f>
        <v>0</v>
      </c>
      <c r="AQ201" s="22">
        <f>SUMIFS(estoque[quantidade],estoque[fornecedor],"&lt;&gt;saída",estoque[produto],preçodiario[[#Headers],[OVO VERMELHO C]],estoque[data],preçodiario[[#This Row],[data]])</f>
        <v>0</v>
      </c>
      <c r="AR201" s="20">
        <f>SUMIFS(estoque[valor total],estoque[fornecedor],"&lt;&gt;saída",estoque[produto],preçodiario[[#Headers],[OVO VERMELHO C]],estoque[data],preçodiario[[#This Row],[data]])</f>
        <v>0</v>
      </c>
      <c r="AS201" s="20">
        <f>IFERROR(preçodiario[[#This Row],[OVO VERMELHO C]]*preçodiario[[#This Row],[estoque CV]],0)</f>
        <v>0</v>
      </c>
      <c r="AT2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Row],[data]])),((AT200*AU200)+SUMIFS(estoque[valor total],estoque[produto],preçodiario[[#Headers],[OVO VERMELHO EXTRA]],estoque[data],preçodiario[[#This Row],[data]],estoque[fornecedor],"&lt;&gt;saída"))/(AU200+(SUMIFS(estoque[quantidade],estoque[produto],preçodiario[[#Headers],[OVO VERMELHO EXTRA]],estoque[fornecedor],"&lt;&gt;saída",estoque[data],preçodiario[[#This Row],[data]])))))</f>
        <v/>
      </c>
      <c r="AU201" s="22">
        <f>IF(preçodiario[[#This Row],[entrada EV]]=0,AU200-(SUMIFS(estoque[quantidade],estoque[fornecedor],"saída",estoque[produto],preçodiario[[#Headers],[OVO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Row],[data]]))+AU200+preçodiario[[#This Row],[entrada EV]])</f>
        <v>0</v>
      </c>
      <c r="AV201" s="22">
        <f>SUMIFS(estoque[quantidade],estoque[fornecedor],"&lt;&gt;saída",estoque[produto],preçodiario[[#Headers],[OVO VERMELHO EXTRA]],estoque[data],preçodiario[[#This Row],[data]])</f>
        <v>0</v>
      </c>
      <c r="AW201" s="20">
        <f>SUMIFS(estoque[valor total],estoque[fornecedor],"&lt;&gt;saída",estoque[produto],preçodiario[[#Headers],[OVO VERMELHO EXTRA]],estoque[data],preçodiario[[#This Row],[data]])</f>
        <v>0</v>
      </c>
      <c r="AX201" s="20">
        <f>IFERROR(preçodiario[[#This Row],[OVO VERMELHO EXTRA]]*preçodiario[[#This Row],[estoque EV]],0)</f>
        <v>0</v>
      </c>
      <c r="AY2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Row],[data]])),((AY200*AZ200)+SUMIFS(estoque[valor total],estoque[produto],preçodiario[[#Headers],[OVO VERMELHO JUMBO]],estoque[data],preçodiario[[#This Row],[data]],estoque[fornecedor],"&lt;&gt;saída"))/(AZ200+(SUMIFS(estoque[quantidade],estoque[produto],preçodiario[[#Headers],[OVO VERMELHO JUMBO]],estoque[fornecedor],"&lt;&gt;saída",estoque[data],preçodiario[[#This Row],[data]])))))</f>
        <v/>
      </c>
      <c r="AZ201" s="22">
        <f>IF(preçodiario[[#This Row],[entrada JV]]=0,AZ200-(SUMIFS(estoque[quantidade],estoque[fornecedor],"saída",estoque[produto],preçodiario[[#Headers],[OVO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Row],[data]]))+AZ200+preçodiario[[#This Row],[entrada JV]])</f>
        <v>0</v>
      </c>
      <c r="BA201" s="22">
        <f>SUMIFS(estoque[quantidade],estoque[fornecedor],"&lt;&gt;saída",estoque[produto],preçodiario[[#Headers],[OVO VERMELHO JUMBO]],estoque[data],preçodiario[[#This Row],[data]])</f>
        <v>0</v>
      </c>
      <c r="BB201" s="20">
        <f>SUMIFS(estoque[valor total],estoque[fornecedor],"&lt;&gt;saída",estoque[produto],preçodiario[[#Headers],[OVO VERMELHO JUMBO]],estoque[data],preçodiario[[#This Row],[data]])</f>
        <v>0</v>
      </c>
      <c r="BC201" s="20">
        <f>IFERROR(preçodiario[[#This Row],[OVO VERMELHO JUMBO]]*preçodiario[[#This Row],[estoque JV]],0)</f>
        <v>0</v>
      </c>
      <c r="BD201" t="str">
        <f>TEXT(vendaAno[[#This Row],[data]],"mmm")</f>
        <v>jul</v>
      </c>
      <c r="BE201" t="str">
        <f>TEXT(vendaAno[[#This Row],[data]],"ddd")</f>
        <v>dom</v>
      </c>
      <c r="BF201" s="82">
        <f>WEEKNUM(vendaAno[[#This Row],[data]],13)</f>
        <v>29</v>
      </c>
      <c r="BG201" s="27">
        <f>preçodiario[[#This Row],[data]]</f>
        <v>46222</v>
      </c>
      <c r="BH2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1" s="8">
        <f>IF(SUMIFS(estoque[valor total],estoque[fornecedor],"saída",estoque[data],vendaAno[[#This Row],[data]])=0,"",SUMIFS(estoque[valor total],estoque[fornecedor],"saída",estoque[data],vendaAno[[#This Row],[data]]))</f>
        <v>333</v>
      </c>
      <c r="BJ20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Row],[data]]))/12+BJ200,"")</f>
        <v>24.833333333333318</v>
      </c>
      <c r="BK201" s="79">
        <f ca="1">IF(TODAY()&gt;=vendaAno[[#This Row],[data]],IF(SUMIFS(estoque[quantidade],estoque[fornecedor],"saída",estoque[data],vendaAno[[#This Row],[data]])/12=0,AVERAGE(BK198:BK200),SUMIFS(estoque[quantidade],estoque[fornecedor],"saída",estoque[data],vendaAno[[#This Row],[data]])/12),"")</f>
        <v>1.3333333333333333</v>
      </c>
      <c r="BL201" s="8">
        <f ca="1">IF(vendaAno[[#This Row],[data]]&lt;=TODAY(),IF(SUMIFS(estoque[lucro],estoque[fornecedor],"saída",estoque[data],vendaAno[[#This Row],[data]])=0,AVERAGE(BL198:BL200),SUMIFS(estoque[lucro],estoque[fornecedor],"saída",estoque[data],vendaAno[[#This Row],[data]])),"")</f>
        <v>82.68</v>
      </c>
      <c r="BM201" s="10">
        <f ca="1">IFERROR(vendaAno[[#This Row],[lucro]]/vendaAno[[#This Row],[valor de venda]],"")</f>
        <v>0.24828828828828831</v>
      </c>
      <c r="BN20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4557.123858692853</v>
      </c>
      <c r="BO201" s="8">
        <f ca="1">IF(TODAY()&gt;=vendaAno[[#This Row],[data]],IF(vendaAno[[#This Row],[N°]]=BF200,vendaAno[[#This Row],[lucro]]-173.33+BO200,vendaAno[[#This Row],[lucro]]-150),"")</f>
        <v>-383.84000000000003</v>
      </c>
      <c r="BP201" s="81">
        <f ca="1">IF(TODAY()&gt;=vendaAno[[#This Row],[data]],SUM(BK195:BK201)*12,"")</f>
        <v>160</v>
      </c>
      <c r="BQ201" s="7">
        <f ca="1">IFERROR(vendaAno[[#This Row],[lucro]]/(vendaAno[[#This Row],[venda]]*12),"")</f>
        <v>5.1675000000000004</v>
      </c>
    </row>
    <row r="202" spans="1:69" x14ac:dyDescent="0.25">
      <c r="A2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</v>
      </c>
      <c r="B202" s="18" t="str">
        <f>TEXT(preçodiario[[#This Row],[data]],"MMM")</f>
        <v>jul</v>
      </c>
      <c r="C202" s="18" t="str">
        <f>TEXT(preçodiario[[#This Row],[data]],"ddd")</f>
        <v>seg</v>
      </c>
      <c r="D202" s="96">
        <f>WEEKNUM(preçodiario[[#This Row],[data]],13)</f>
        <v>29</v>
      </c>
      <c r="E202" s="37">
        <v>46223</v>
      </c>
      <c r="F2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Row],[data]])),((F201*G201)+SUMIFS(estoque[valor total],estoque[produto],preçodiario[[#Headers],[OVO BRANCO A]],estoque[data],preçodiario[[#This Row],[data]],estoque[fornecedor],"&lt;&gt;saída"))/(G201+(SUMIFS(estoque[quantidade],estoque[produto],preçodiario[[#Headers],[OVO BRANCO A]],estoque[fornecedor],"&lt;&gt;saída",estoque[data],preçodiario[[#This Row],[data]])))))</f>
        <v>15.05952380952381</v>
      </c>
      <c r="G202" s="22">
        <f>IF(preçodiario[[#This Row],[entrada A]]=0,G201-(SUMIFS(estoque[quantidade],estoque[fornecedor],"saída",estoque[produto],preçodiario[[#Headers],[OVO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Row],[data]]))+G201+preçodiario[[#This Row],[entrada A]])</f>
        <v>88</v>
      </c>
      <c r="H202" s="22">
        <f>SUMIFS(estoque[quantidade],estoque[fornecedor],"&lt;&gt;saída",estoque[produto],preçodiario[[#Headers],[OVO BRANCO A]],estoque[data],preçodiario[[#This Row],[data]])</f>
        <v>0</v>
      </c>
      <c r="I202" s="20">
        <f>SUMIFS(estoque[valor total],estoque[fornecedor],"&lt;&gt;saída",estoque[produto],preçodiario[[#Headers],[OVO BRANCO A]],estoque[data],preçodiario[[#This Row],[data]])</f>
        <v>0</v>
      </c>
      <c r="J202" s="20">
        <f>IFERROR(preçodiario[[#This Row],[estoque A]]*preçodiario[[#This Row],[OVO BRANCO A]],0)</f>
        <v>1325.2380952380954</v>
      </c>
      <c r="K2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Row],[data]])),((K201*L201)+SUMIFS(estoque[valor total],estoque[produto],preçodiario[[#Headers],[OVO BRANCO B]],estoque[data],preçodiario[[#This Row],[data]],estoque[fornecedor],"&lt;&gt;saída"))/(L201+(SUMIFS(estoque[quantidade],estoque[produto],preçodiario[[#Headers],[OVO BRANCO B]],estoque[fornecedor],"&lt;&gt;saída",estoque[data],preçodiario[[#This Row],[data]])))))</f>
        <v>14.584252837326602</v>
      </c>
      <c r="L202" s="22">
        <f>IF(preçodiario[[#This Row],[entrada B]]=0,L201-(SUMIFS(estoque[quantidade],estoque[fornecedor],"saída",estoque[produto],preçodiario[[#Headers],[OVO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Row],[data]]))+L201+preçodiario[[#This Row],[entrada B]])</f>
        <v>69</v>
      </c>
      <c r="M202" s="22">
        <f>SUMIFS(estoque[quantidade],estoque[fornecedor],"&lt;&gt;saída",estoque[produto],preçodiario[[#Headers],[OVO BRANCO B]],estoque[data],preçodiario[[#This Row],[data]])</f>
        <v>0</v>
      </c>
      <c r="N202" s="20">
        <f>SUMIFS(estoque[valor total],estoque[fornecedor],"&lt;&gt;saída",estoque[produto],preçodiario[[#Headers],[OVO BRANCO B]],estoque[data],preçodiario[[#This Row],[data]])</f>
        <v>0</v>
      </c>
      <c r="O202" s="20">
        <f>IFERROR(preçodiario[[#This Row],[OVO BRANCO B]]*preçodiario[[#This Row],[estoque B]],0)</f>
        <v>1006.3134457755356</v>
      </c>
      <c r="P202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Row],[data]])),((P201*Q201)+SUMIFS(estoque[valor total],estoque[produto],preçodiario[[#Headers],[OVO BRANCO C]],estoque[data],preçodiario[[#This Row],[data]],estoque[fornecedor],"&lt;&gt;saída"))/(Q201+(SUMIFS(estoque[quantidade],estoque[produto],preçodiario[[#Headers],[OVO BRANCO C]],estoque[fornecedor],"&lt;&gt;saída",estoque[data],preçodiario[[#This Row],[data]])))))</f>
        <v/>
      </c>
      <c r="Q202" s="22">
        <f>IF(preçodiario[[#This Row],[entrada C]]=0,Q201-(SUMIFS(estoque[quantidade],estoque[fornecedor],"saída",estoque[produto],preçodiario[[#Headers],[OVO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Row],[data]]))+Q201+preçodiario[[#This Row],[entrada C]])</f>
        <v>0</v>
      </c>
      <c r="R202" s="22">
        <f>SUMIFS(estoque[quantidade],estoque[fornecedor],"&lt;&gt;saída",estoque[produto],preçodiario[[#Headers],[OVO BRANCO C]],estoque[data],preçodiario[[#This Row],[data]])</f>
        <v>0</v>
      </c>
      <c r="S202" s="20">
        <f>SUMIFS(estoque[valor total],estoque[fornecedor],"&lt;&gt;saída",estoque[produto],preçodiario[[#Headers],[OVO BRANCO C]],estoque[data],preçodiario[[#This Row],[data]])</f>
        <v>0</v>
      </c>
      <c r="T202" s="20">
        <f>IFERROR(preçodiario[[#This Row],[OVO BRANCO C]]*preçodiario[[#This Row],[estoque C]],0)</f>
        <v>0</v>
      </c>
      <c r="U2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Row],[data]])),((U201*V201)+SUMIFS(estoque[valor total],estoque[produto],preçodiario[[#Headers],[OVO BRANCO EXTRA]],estoque[data],preçodiario[[#This Row],[data]],estoque[fornecedor],"&lt;&gt;saída"))/(V201+(SUMIFS(estoque[quantidade],estoque[produto],preçodiario[[#Headers],[OVO BRANCO EXTRA]],estoque[fornecedor],"&lt;&gt;saída",estoque[data],preçodiario[[#This Row],[data]])))))</f>
        <v>15.502207505518763</v>
      </c>
      <c r="V202" s="22">
        <f>IF(preçodiario[[#This Row],[entrada E]]=0,V201-(SUMIFS(estoque[quantidade],estoque[fornecedor],"saída",estoque[produto],preçodiario[[#Headers],[OVO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Row],[data]]))+V201+preçodiario[[#This Row],[entrada E]])</f>
        <v>60</v>
      </c>
      <c r="W202" s="22">
        <f>SUMIFS(estoque[quantidade],estoque[fornecedor],"&lt;&gt;saída",estoque[produto],preçodiario[[#Headers],[OVO BRANCO EXTRA]],estoque[data],preçodiario[[#This Row],[data]])</f>
        <v>0</v>
      </c>
      <c r="X202" s="20">
        <f>SUMIFS(estoque[valor total],estoque[fornecedor],"&lt;&gt;saída",estoque[produto],preçodiario[[#Headers],[OVO BRANCO EXTRA]],estoque[data],preçodiario[[#This Row],[data]])</f>
        <v>0</v>
      </c>
      <c r="Y202" s="20">
        <f>IFERROR(preçodiario[[#This Row],[estoque E]]*preçodiario[[#This Row],[OVO BRANCO EXTRA]],0)</f>
        <v>930.13245033112582</v>
      </c>
      <c r="Z2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Row],[data]])),((Z201*AA201)+SUMIFS(estoque[valor total],estoque[produto],preçodiario[[#Headers],[OVO BRANCO JUMBO]],estoque[data],preçodiario[[#This Row],[data]],estoque[fornecedor],"&lt;&gt;saída"))/(AA201+(SUMIFS(estoque[quantidade],estoque[produto],preçodiario[[#Headers],[OVO BRANCO JUMBO]],estoque[fornecedor],"&lt;&gt;saída",estoque[data],preçodiario[[#This Row],[data]])))))</f>
        <v>16.251041666666666</v>
      </c>
      <c r="AA202" s="22">
        <f>IF(preçodiario[[#This Row],[entrada J]]=0,AA201-(SUMIFS(estoque[quantidade],estoque[fornecedor],"saída",estoque[produto],preçodiario[[#Headers],[OVO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Row],[data]]))+AA201+preçodiario[[#This Row],[entrada J]])</f>
        <v>56</v>
      </c>
      <c r="AB202" s="22">
        <f>SUMIFS(estoque[quantidade],estoque[fornecedor],"&lt;&gt;saída",estoque[produto],preçodiario[[#Headers],[OVO BRANCO JUMBO]],estoque[data],preçodiario[[#This Row],[data]])</f>
        <v>0</v>
      </c>
      <c r="AC202" s="20">
        <f>SUMIFS(estoque[valor total],estoque[fornecedor],"&lt;&gt;saída",estoque[produto],preçodiario[[#Headers],[OVO BRANCO JUMBO]],estoque[data],preçodiario[[#This Row],[data]])</f>
        <v>0</v>
      </c>
      <c r="AD202" s="20">
        <f>IFERROR(preçodiario[[#This Row],[OVO BRANCO JUMBO]]*preçodiario[[#This Row],[estoque J]],0)</f>
        <v>910.05833333333328</v>
      </c>
      <c r="AE2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Row],[data]])),((AE201*AF201)+SUMIFS(estoque[valor total],estoque[produto],preçodiario[[#Headers],[OVO VERMELHO A]],estoque[data],preçodiario[[#This Row],[data]],estoque[fornecedor],"&lt;&gt;saída"))/(AF201+(SUMIFS(estoque[quantidade],estoque[produto],preçodiario[[#Headers],[OVO VERMELHO A]],estoque[fornecedor],"&lt;&gt;saída",estoque[data],preçodiario[[#This Row],[data]])))))</f>
        <v/>
      </c>
      <c r="AF202" s="22">
        <f>IF(preçodiario[[#This Row],[entrada AV]]=0,AF201-(SUMIFS(estoque[quantidade],estoque[fornecedor],"saída",estoque[produto],preçodiario[[#Headers],[OVO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Row],[data]]))+AF201+preçodiario[[#This Row],[entrada AV]])</f>
        <v>0</v>
      </c>
      <c r="AG202" s="22">
        <f>SUMIFS(estoque[quantidade],estoque[fornecedor],"&lt;&gt;saída",estoque[produto],preçodiario[[#Headers],[OVO VERMELHO A]],estoque[data],preçodiario[[#This Row],[data]])</f>
        <v>0</v>
      </c>
      <c r="AH202" s="20">
        <f>SUMIFS(estoque[valor total],estoque[fornecedor],"&lt;&gt;saída",estoque[produto],preçodiario[[#Headers],[OVO VERMELHO A]],estoque[data],preçodiario[[#This Row],[data]])</f>
        <v>0</v>
      </c>
      <c r="AI202" s="20">
        <f>IFERROR(preçodiario[[#This Row],[OVO VERMELHO A]]*preçodiario[[#This Row],[estoque AV]],0)</f>
        <v>0</v>
      </c>
      <c r="AJ2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Row],[data]])),((AJ201*AK201)+SUMIFS(estoque[valor total],estoque[produto],preçodiario[[#Headers],[OVO VERMELHO B]],estoque[data],preçodiario[[#This Row],[data]],estoque[fornecedor],"&lt;&gt;saída"))/(AK201+(SUMIFS(estoque[quantidade],estoque[produto],preçodiario[[#Headers],[OVO VERMELHO B]],estoque[fornecedor],"&lt;&gt;saída",estoque[data],preçodiario[[#This Row],[data]])))))</f>
        <v/>
      </c>
      <c r="AK202" s="22">
        <f>IF(preçodiario[[#This Row],[entrada BV]]=0,AK201-(SUMIFS(estoque[quantidade],estoque[fornecedor],"saída",estoque[produto],preçodiario[[#Headers],[OVO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Row],[data]]))+AK201+preçodiario[[#This Row],[entrada BV]])</f>
        <v>0</v>
      </c>
      <c r="AL202" s="22">
        <f>SUMIFS(estoque[quantidade],estoque[fornecedor],"&lt;&gt;saída",estoque[produto],preçodiario[[#Headers],[OVO VERMELHO B]],estoque[data],preçodiario[[#This Row],[data]])</f>
        <v>0</v>
      </c>
      <c r="AM202" s="20">
        <f>SUMIFS(estoque[valor total],estoque[fornecedor],"&lt;&gt;saída",estoque[produto],preçodiario[[#Headers],[OVO VERMELHO B]],estoque[data],preçodiario[[#This Row],[data]])</f>
        <v>0</v>
      </c>
      <c r="AN202" s="20">
        <f>IFERROR(preçodiario[[#This Row],[OVO VERMELHO B]]*preçodiario[[#This Row],[estoque BV]],0)</f>
        <v>0</v>
      </c>
      <c r="AO2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Row],[data]])),((AO201*AP201)+SUMIFS(estoque[valor total],estoque[produto],preçodiario[[#Headers],[OVO VERMELHO C]],estoque[data],preçodiario[[#This Row],[data]],estoque[fornecedor],"&lt;&gt;saída"))/(AP201+(SUMIFS(estoque[quantidade],estoque[produto],preçodiario[[#Headers],[OVO VERMELHO C]],estoque[fornecedor],"&lt;&gt;saída",estoque[data],preçodiario[[#This Row],[data]])))))</f>
        <v/>
      </c>
      <c r="AP202" s="22">
        <f>IF(preçodiario[[#This Row],[entrada CV]]=0,AP201-(SUMIFS(estoque[quantidade],estoque[fornecedor],"saída",estoque[produto],preçodiario[[#Headers],[OVO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Row],[data]]))+AP201+preçodiario[[#This Row],[entrada CV]])</f>
        <v>0</v>
      </c>
      <c r="AQ202" s="22">
        <f>SUMIFS(estoque[quantidade],estoque[fornecedor],"&lt;&gt;saída",estoque[produto],preçodiario[[#Headers],[OVO VERMELHO C]],estoque[data],preçodiario[[#This Row],[data]])</f>
        <v>0</v>
      </c>
      <c r="AR202" s="20">
        <f>SUMIFS(estoque[valor total],estoque[fornecedor],"&lt;&gt;saída",estoque[produto],preçodiario[[#Headers],[OVO VERMELHO C]],estoque[data],preçodiario[[#This Row],[data]])</f>
        <v>0</v>
      </c>
      <c r="AS202" s="20">
        <f>IFERROR(preçodiario[[#This Row],[OVO VERMELHO C]]*preçodiario[[#This Row],[estoque CV]],0)</f>
        <v>0</v>
      </c>
      <c r="AT2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Row],[data]])),((AT201*AU201)+SUMIFS(estoque[valor total],estoque[produto],preçodiario[[#Headers],[OVO VERMELHO EXTRA]],estoque[data],preçodiario[[#This Row],[data]],estoque[fornecedor],"&lt;&gt;saída"))/(AU201+(SUMIFS(estoque[quantidade],estoque[produto],preçodiario[[#Headers],[OVO VERMELHO EXTRA]],estoque[fornecedor],"&lt;&gt;saída",estoque[data],preçodiario[[#This Row],[data]])))))</f>
        <v/>
      </c>
      <c r="AU202" s="22">
        <f>IF(preçodiario[[#This Row],[entrada EV]]=0,AU201-(SUMIFS(estoque[quantidade],estoque[fornecedor],"saída",estoque[produto],preçodiario[[#Headers],[OVO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Row],[data]]))+AU201+preçodiario[[#This Row],[entrada EV]])</f>
        <v>0</v>
      </c>
      <c r="AV202" s="22">
        <f>SUMIFS(estoque[quantidade],estoque[fornecedor],"&lt;&gt;saída",estoque[produto],preçodiario[[#Headers],[OVO VERMELHO EXTRA]],estoque[data],preçodiario[[#This Row],[data]])</f>
        <v>0</v>
      </c>
      <c r="AW202" s="20">
        <f>SUMIFS(estoque[valor total],estoque[fornecedor],"&lt;&gt;saída",estoque[produto],preçodiario[[#Headers],[OVO VERMELHO EXTRA]],estoque[data],preçodiario[[#This Row],[data]])</f>
        <v>0</v>
      </c>
      <c r="AX202" s="20">
        <f>IFERROR(preçodiario[[#This Row],[OVO VERMELHO EXTRA]]*preçodiario[[#This Row],[estoque EV]],0)</f>
        <v>0</v>
      </c>
      <c r="AY2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Row],[data]])),((AY201*AZ201)+SUMIFS(estoque[valor total],estoque[produto],preçodiario[[#Headers],[OVO VERMELHO JUMBO]],estoque[data],preçodiario[[#This Row],[data]],estoque[fornecedor],"&lt;&gt;saída"))/(AZ201+(SUMIFS(estoque[quantidade],estoque[produto],preçodiario[[#Headers],[OVO VERMELHO JUMBO]],estoque[fornecedor],"&lt;&gt;saída",estoque[data],preçodiario[[#This Row],[data]])))))</f>
        <v/>
      </c>
      <c r="AZ202" s="22">
        <f>IF(preçodiario[[#This Row],[entrada JV]]=0,AZ201-(SUMIFS(estoque[quantidade],estoque[fornecedor],"saída",estoque[produto],preçodiario[[#Headers],[OVO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Row],[data]]))+AZ201+preçodiario[[#This Row],[entrada JV]])</f>
        <v>0</v>
      </c>
      <c r="BA202" s="22">
        <f>SUMIFS(estoque[quantidade],estoque[fornecedor],"&lt;&gt;saída",estoque[produto],preçodiario[[#Headers],[OVO VERMELHO JUMBO]],estoque[data],preçodiario[[#This Row],[data]])</f>
        <v>0</v>
      </c>
      <c r="BB202" s="20">
        <f>SUMIFS(estoque[valor total],estoque[fornecedor],"&lt;&gt;saída",estoque[produto],preçodiario[[#Headers],[OVO VERMELHO JUMBO]],estoque[data],preçodiario[[#This Row],[data]])</f>
        <v>0</v>
      </c>
      <c r="BC202" s="20">
        <f>IFERROR(preçodiario[[#This Row],[OVO VERMELHO JUMBO]]*preçodiario[[#This Row],[estoque JV]],0)</f>
        <v>0</v>
      </c>
      <c r="BD202" t="str">
        <f>TEXT(vendaAno[[#This Row],[data]],"mmm")</f>
        <v>jul</v>
      </c>
      <c r="BE202" t="str">
        <f>TEXT(vendaAno[[#This Row],[data]],"ddd")</f>
        <v>seg</v>
      </c>
      <c r="BF202" s="82">
        <f>WEEKNUM(vendaAno[[#This Row],[data]],13)</f>
        <v>29</v>
      </c>
      <c r="BG202" s="27">
        <f>preçodiario[[#This Row],[data]]</f>
        <v>46223</v>
      </c>
      <c r="BH2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2" s="8">
        <f>IF(SUMIFS(estoque[valor total],estoque[fornecedor],"saída",estoque[data],vendaAno[[#This Row],[data]])=0,"",SUMIFS(estoque[valor total],estoque[fornecedor],"saída",estoque[data],vendaAno[[#This Row],[data]]))</f>
        <v>479</v>
      </c>
      <c r="BJ20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Row],[data]]))/12+BJ201,"")</f>
        <v>22.749999999999986</v>
      </c>
      <c r="BK202" s="79">
        <f ca="1">IF(TODAY()&gt;=vendaAno[[#This Row],[data]],IF(SUMIFS(estoque[quantidade],estoque[fornecedor],"saída",estoque[data],vendaAno[[#This Row],[data]])/12=0,AVERAGE(BK199:BK201),SUMIFS(estoque[quantidade],estoque[fornecedor],"saída",estoque[data],vendaAno[[#This Row],[data]])/12),"")</f>
        <v>2.0833333333333335</v>
      </c>
      <c r="BL202" s="8">
        <f ca="1">IF(vendaAno[[#This Row],[data]]&lt;=TODAY(),IF(SUMIFS(estoque[lucro],estoque[fornecedor],"saída",estoque[data],vendaAno[[#This Row],[data]])=0,AVERAGE(BL199:BL201),SUMIFS(estoque[lucro],estoque[fornecedor],"saída",estoque[data],vendaAno[[#This Row],[data]])),"")</f>
        <v>93.62</v>
      </c>
      <c r="BM202" s="10">
        <f ca="1">IFERROR(vendaAno[[#This Row],[lucro]]/vendaAno[[#This Row],[valor de venda]],"")</f>
        <v>0.19544885177453028</v>
      </c>
      <c r="BN20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4171.74232467809</v>
      </c>
      <c r="BO202" s="8">
        <f ca="1">IF(TODAY()&gt;=vendaAno[[#This Row],[data]],IF(vendaAno[[#This Row],[N°]]=BF201,vendaAno[[#This Row],[lucro]]-173.33+BO201,vendaAno[[#This Row],[lucro]]-150),"")</f>
        <v>-463.55000000000007</v>
      </c>
      <c r="BP202" s="81">
        <f ca="1">IF(TODAY()&gt;=vendaAno[[#This Row],[data]],SUM(BK196:BK202)*12,"")</f>
        <v>145</v>
      </c>
      <c r="BQ202" s="7">
        <f ca="1">IFERROR(vendaAno[[#This Row],[lucro]]/(vendaAno[[#This Row],[venda]]*12),"")</f>
        <v>3.7448000000000001</v>
      </c>
    </row>
    <row r="203" spans="1:69" x14ac:dyDescent="0.25">
      <c r="A2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15.059523809523812</v>
      </c>
      <c r="B203" s="18" t="str">
        <f>TEXT(preçodiario[[#This Row],[data]],"MMM")</f>
        <v>jul</v>
      </c>
      <c r="C203" s="18" t="str">
        <f>TEXT(preçodiario[[#This Row],[data]],"ddd")</f>
        <v>ter</v>
      </c>
      <c r="D203" s="96">
        <f>WEEKNUM(preçodiario[[#This Row],[data]],13)</f>
        <v>29</v>
      </c>
      <c r="E203" s="37">
        <v>46224</v>
      </c>
      <c r="F2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Row],[data]])),((F202*G202)+SUMIFS(estoque[valor total],estoque[produto],preçodiario[[#Headers],[OVO BRANCO A]],estoque[data],preçodiario[[#This Row],[data]],estoque[fornecedor],"&lt;&gt;saída"))/(G202+(SUMIFS(estoque[quantidade],estoque[produto],preçodiario[[#Headers],[OVO BRANCO A]],estoque[fornecedor],"&lt;&gt;saída",estoque[data],preçodiario[[#This Row],[data]])))))</f>
        <v>15.059523809523812</v>
      </c>
      <c r="G203" s="22">
        <f>IF(preçodiario[[#This Row],[entrada A]]=0,G202-(SUMIFS(estoque[quantidade],estoque[fornecedor],"saída",estoque[produto],preçodiario[[#Headers],[OVO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Row],[data]]))+G202+preçodiario[[#This Row],[entrada A]])</f>
        <v>82</v>
      </c>
      <c r="H203" s="22">
        <f>SUMIFS(estoque[quantidade],estoque[fornecedor],"&lt;&gt;saída",estoque[produto],preçodiario[[#Headers],[OVO BRANCO A]],estoque[data],preçodiario[[#This Row],[data]])</f>
        <v>0</v>
      </c>
      <c r="I203" s="20">
        <f>SUMIFS(estoque[valor total],estoque[fornecedor],"&lt;&gt;saída",estoque[produto],preçodiario[[#Headers],[OVO BRANCO A]],estoque[data],preçodiario[[#This Row],[data]])</f>
        <v>0</v>
      </c>
      <c r="J203" s="20">
        <f>IFERROR(preçodiario[[#This Row],[estoque A]]*preçodiario[[#This Row],[OVO BRANCO A]],0)</f>
        <v>1234.8809523809525</v>
      </c>
      <c r="K2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Row],[data]])),((K202*L202)+SUMIFS(estoque[valor total],estoque[produto],preçodiario[[#Headers],[OVO BRANCO B]],estoque[data],preçodiario[[#This Row],[data]],estoque[fornecedor],"&lt;&gt;saída"))/(L202+(SUMIFS(estoque[quantidade],estoque[produto],preçodiario[[#Headers],[OVO BRANCO B]],estoque[fornecedor],"&lt;&gt;saída",estoque[data],preçodiario[[#This Row],[data]])))))</f>
        <v>14.584252837326602</v>
      </c>
      <c r="L203" s="22">
        <f>IF(preçodiario[[#This Row],[entrada B]]=0,L202-(SUMIFS(estoque[quantidade],estoque[fornecedor],"saída",estoque[produto],preçodiario[[#Headers],[OVO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Row],[data]]))+L202+preçodiario[[#This Row],[entrada B]])</f>
        <v>66</v>
      </c>
      <c r="M203" s="22">
        <f>SUMIFS(estoque[quantidade],estoque[fornecedor],"&lt;&gt;saída",estoque[produto],preçodiario[[#Headers],[OVO BRANCO B]],estoque[data],preçodiario[[#This Row],[data]])</f>
        <v>0</v>
      </c>
      <c r="N203" s="20">
        <f>SUMIFS(estoque[valor total],estoque[fornecedor],"&lt;&gt;saída",estoque[produto],preçodiario[[#Headers],[OVO BRANCO B]],estoque[data],preçodiario[[#This Row],[data]])</f>
        <v>0</v>
      </c>
      <c r="O203" s="20">
        <f>IFERROR(preçodiario[[#This Row],[OVO BRANCO B]]*preçodiario[[#This Row],[estoque B]],0)</f>
        <v>962.56068726355579</v>
      </c>
      <c r="P203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Row],[data]])),((P202*Q202)+SUMIFS(estoque[valor total],estoque[produto],preçodiario[[#Headers],[OVO BRANCO C]],estoque[data],preçodiario[[#This Row],[data]],estoque[fornecedor],"&lt;&gt;saída"))/(Q202+(SUMIFS(estoque[quantidade],estoque[produto],preçodiario[[#Headers],[OVO BRANCO C]],estoque[fornecedor],"&lt;&gt;saída",estoque[data],preçodiario[[#This Row],[data]])))))</f>
        <v/>
      </c>
      <c r="Q203" s="22">
        <f>IF(preçodiario[[#This Row],[entrada C]]=0,Q202-(SUMIFS(estoque[quantidade],estoque[fornecedor],"saída",estoque[produto],preçodiario[[#Headers],[OVO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Row],[data]]))+Q202+preçodiario[[#This Row],[entrada C]])</f>
        <v>0</v>
      </c>
      <c r="R203" s="22">
        <f>SUMIFS(estoque[quantidade],estoque[fornecedor],"&lt;&gt;saída",estoque[produto],preçodiario[[#Headers],[OVO BRANCO C]],estoque[data],preçodiario[[#This Row],[data]])</f>
        <v>0</v>
      </c>
      <c r="S203" s="20">
        <f>SUMIFS(estoque[valor total],estoque[fornecedor],"&lt;&gt;saída",estoque[produto],preçodiario[[#Headers],[OVO BRANCO C]],estoque[data],preçodiario[[#This Row],[data]])</f>
        <v>0</v>
      </c>
      <c r="T203" s="20">
        <f>IFERROR(preçodiario[[#This Row],[OVO BRANCO C]]*preçodiario[[#This Row],[estoque C]],0)</f>
        <v>0</v>
      </c>
      <c r="U2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Row],[data]])),((U202*V202)+SUMIFS(estoque[valor total],estoque[produto],preçodiario[[#Headers],[OVO BRANCO EXTRA]],estoque[data],preçodiario[[#This Row],[data]],estoque[fornecedor],"&lt;&gt;saída"))/(V202+(SUMIFS(estoque[quantidade],estoque[produto],preçodiario[[#Headers],[OVO BRANCO EXTRA]],estoque[fornecedor],"&lt;&gt;saída",estoque[data],preçodiario[[#This Row],[data]])))))</f>
        <v>15.502207505518763</v>
      </c>
      <c r="V203" s="22">
        <f>IF(preçodiario[[#This Row],[entrada E]]=0,V202-(SUMIFS(estoque[quantidade],estoque[fornecedor],"saída",estoque[produto],preçodiario[[#Headers],[OVO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Row],[data]]))+V202+preçodiario[[#This Row],[entrada E]])</f>
        <v>46</v>
      </c>
      <c r="W203" s="22">
        <f>SUMIFS(estoque[quantidade],estoque[fornecedor],"&lt;&gt;saída",estoque[produto],preçodiario[[#Headers],[OVO BRANCO EXTRA]],estoque[data],preçodiario[[#This Row],[data]])</f>
        <v>0</v>
      </c>
      <c r="X203" s="20">
        <f>SUMIFS(estoque[valor total],estoque[fornecedor],"&lt;&gt;saída",estoque[produto],preçodiario[[#Headers],[OVO BRANCO EXTRA]],estoque[data],preçodiario[[#This Row],[data]])</f>
        <v>0</v>
      </c>
      <c r="Y203" s="20">
        <f>IFERROR(preçodiario[[#This Row],[estoque E]]*preçodiario[[#This Row],[OVO BRANCO EXTRA]],0)</f>
        <v>713.10154525386315</v>
      </c>
      <c r="Z2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Row],[data]])),((Z202*AA202)+SUMIFS(estoque[valor total],estoque[produto],preçodiario[[#Headers],[OVO BRANCO JUMBO]],estoque[data],preçodiario[[#This Row],[data]],estoque[fornecedor],"&lt;&gt;saída"))/(AA202+(SUMIFS(estoque[quantidade],estoque[produto],preçodiario[[#Headers],[OVO BRANCO JUMBO]],estoque[fornecedor],"&lt;&gt;saída",estoque[data],preçodiario[[#This Row],[data]])))))</f>
        <v>16.251041666666666</v>
      </c>
      <c r="AA203" s="22">
        <f>IF(preçodiario[[#This Row],[entrada J]]=0,AA202-(SUMIFS(estoque[quantidade],estoque[fornecedor],"saída",estoque[produto],preçodiario[[#Headers],[OVO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Row],[data]]))+AA202+preçodiario[[#This Row],[entrada J]])</f>
        <v>44</v>
      </c>
      <c r="AB203" s="22">
        <f>SUMIFS(estoque[quantidade],estoque[fornecedor],"&lt;&gt;saída",estoque[produto],preçodiario[[#Headers],[OVO BRANCO JUMBO]],estoque[data],preçodiario[[#This Row],[data]])</f>
        <v>0</v>
      </c>
      <c r="AC203" s="20">
        <f>SUMIFS(estoque[valor total],estoque[fornecedor],"&lt;&gt;saída",estoque[produto],preçodiario[[#Headers],[OVO BRANCO JUMBO]],estoque[data],preçodiario[[#This Row],[data]])</f>
        <v>0</v>
      </c>
      <c r="AD203" s="20">
        <f>IFERROR(preçodiario[[#This Row],[OVO BRANCO JUMBO]]*preçodiario[[#This Row],[estoque J]],0)</f>
        <v>715.04583333333335</v>
      </c>
      <c r="AE2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Row],[data]])),((AE202*AF202)+SUMIFS(estoque[valor total],estoque[produto],preçodiario[[#Headers],[OVO VERMELHO A]],estoque[data],preçodiario[[#This Row],[data]],estoque[fornecedor],"&lt;&gt;saída"))/(AF202+(SUMIFS(estoque[quantidade],estoque[produto],preçodiario[[#Headers],[OVO VERMELHO A]],estoque[fornecedor],"&lt;&gt;saída",estoque[data],preçodiario[[#This Row],[data]])))))</f>
        <v/>
      </c>
      <c r="AF203" s="22">
        <f>IF(preçodiario[[#This Row],[entrada AV]]=0,AF202-(SUMIFS(estoque[quantidade],estoque[fornecedor],"saída",estoque[produto],preçodiario[[#Headers],[OVO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Row],[data]]))+AF202+preçodiario[[#This Row],[entrada AV]])</f>
        <v>0</v>
      </c>
      <c r="AG203" s="22">
        <f>SUMIFS(estoque[quantidade],estoque[fornecedor],"&lt;&gt;saída",estoque[produto],preçodiario[[#Headers],[OVO VERMELHO A]],estoque[data],preçodiario[[#This Row],[data]])</f>
        <v>0</v>
      </c>
      <c r="AH203" s="20">
        <f>SUMIFS(estoque[valor total],estoque[fornecedor],"&lt;&gt;saída",estoque[produto],preçodiario[[#Headers],[OVO VERMELHO A]],estoque[data],preçodiario[[#This Row],[data]])</f>
        <v>0</v>
      </c>
      <c r="AI203" s="20">
        <f>IFERROR(preçodiario[[#This Row],[OVO VERMELHO A]]*preçodiario[[#This Row],[estoque AV]],0)</f>
        <v>0</v>
      </c>
      <c r="AJ2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Row],[data]])),((AJ202*AK202)+SUMIFS(estoque[valor total],estoque[produto],preçodiario[[#Headers],[OVO VERMELHO B]],estoque[data],preçodiario[[#This Row],[data]],estoque[fornecedor],"&lt;&gt;saída"))/(AK202+(SUMIFS(estoque[quantidade],estoque[produto],preçodiario[[#Headers],[OVO VERMELHO B]],estoque[fornecedor],"&lt;&gt;saída",estoque[data],preçodiario[[#This Row],[data]])))))</f>
        <v/>
      </c>
      <c r="AK203" s="22">
        <f>IF(preçodiario[[#This Row],[entrada BV]]=0,AK202-(SUMIFS(estoque[quantidade],estoque[fornecedor],"saída",estoque[produto],preçodiario[[#Headers],[OVO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Row],[data]]))+AK202+preçodiario[[#This Row],[entrada BV]])</f>
        <v>0</v>
      </c>
      <c r="AL203" s="22">
        <f>SUMIFS(estoque[quantidade],estoque[fornecedor],"&lt;&gt;saída",estoque[produto],preçodiario[[#Headers],[OVO VERMELHO B]],estoque[data],preçodiario[[#This Row],[data]])</f>
        <v>0</v>
      </c>
      <c r="AM203" s="20">
        <f>SUMIFS(estoque[valor total],estoque[fornecedor],"&lt;&gt;saída",estoque[produto],preçodiario[[#Headers],[OVO VERMELHO B]],estoque[data],preçodiario[[#This Row],[data]])</f>
        <v>0</v>
      </c>
      <c r="AN203" s="20">
        <f>IFERROR(preçodiario[[#This Row],[OVO VERMELHO B]]*preçodiario[[#This Row],[estoque BV]],0)</f>
        <v>0</v>
      </c>
      <c r="AO2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Row],[data]])),((AO202*AP202)+SUMIFS(estoque[valor total],estoque[produto],preçodiario[[#Headers],[OVO VERMELHO C]],estoque[data],preçodiario[[#This Row],[data]],estoque[fornecedor],"&lt;&gt;saída"))/(AP202+(SUMIFS(estoque[quantidade],estoque[produto],preçodiario[[#Headers],[OVO VERMELHO C]],estoque[fornecedor],"&lt;&gt;saída",estoque[data],preçodiario[[#This Row],[data]])))))</f>
        <v/>
      </c>
      <c r="AP203" s="22">
        <f>IF(preçodiario[[#This Row],[entrada CV]]=0,AP202-(SUMIFS(estoque[quantidade],estoque[fornecedor],"saída",estoque[produto],preçodiario[[#Headers],[OVO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Row],[data]]))+AP202+preçodiario[[#This Row],[entrada CV]])</f>
        <v>0</v>
      </c>
      <c r="AQ203" s="22">
        <f>SUMIFS(estoque[quantidade],estoque[fornecedor],"&lt;&gt;saída",estoque[produto],preçodiario[[#Headers],[OVO VERMELHO C]],estoque[data],preçodiario[[#This Row],[data]])</f>
        <v>0</v>
      </c>
      <c r="AR203" s="20">
        <f>SUMIFS(estoque[valor total],estoque[fornecedor],"&lt;&gt;saída",estoque[produto],preçodiario[[#Headers],[OVO VERMELHO C]],estoque[data],preçodiario[[#This Row],[data]])</f>
        <v>0</v>
      </c>
      <c r="AS203" s="20">
        <f>IFERROR(preçodiario[[#This Row],[OVO VERMELHO C]]*preçodiario[[#This Row],[estoque CV]],0)</f>
        <v>0</v>
      </c>
      <c r="AT2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Row],[data]])),((AT202*AU202)+SUMIFS(estoque[valor total],estoque[produto],preçodiario[[#Headers],[OVO VERMELHO EXTRA]],estoque[data],preçodiario[[#This Row],[data]],estoque[fornecedor],"&lt;&gt;saída"))/(AU202+(SUMIFS(estoque[quantidade],estoque[produto],preçodiario[[#Headers],[OVO VERMELHO EXTRA]],estoque[fornecedor],"&lt;&gt;saída",estoque[data],preçodiario[[#This Row],[data]])))))</f>
        <v/>
      </c>
      <c r="AU203" s="22">
        <f>IF(preçodiario[[#This Row],[entrada EV]]=0,AU202-(SUMIFS(estoque[quantidade],estoque[fornecedor],"saída",estoque[produto],preçodiario[[#Headers],[OVO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Row],[data]]))+AU202+preçodiario[[#This Row],[entrada EV]])</f>
        <v>0</v>
      </c>
      <c r="AV203" s="22">
        <f>SUMIFS(estoque[quantidade],estoque[fornecedor],"&lt;&gt;saída",estoque[produto],preçodiario[[#Headers],[OVO VERMELHO EXTRA]],estoque[data],preçodiario[[#This Row],[data]])</f>
        <v>0</v>
      </c>
      <c r="AW203" s="20">
        <f>SUMIFS(estoque[valor total],estoque[fornecedor],"&lt;&gt;saída",estoque[produto],preçodiario[[#Headers],[OVO VERMELHO EXTRA]],estoque[data],preçodiario[[#This Row],[data]])</f>
        <v>0</v>
      </c>
      <c r="AX203" s="20">
        <f>IFERROR(preçodiario[[#This Row],[OVO VERMELHO EXTRA]]*preçodiario[[#This Row],[estoque EV]],0)</f>
        <v>0</v>
      </c>
      <c r="AY2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Row],[data]])),((AY202*AZ202)+SUMIFS(estoque[valor total],estoque[produto],preçodiario[[#Headers],[OVO VERMELHO JUMBO]],estoque[data],preçodiario[[#This Row],[data]],estoque[fornecedor],"&lt;&gt;saída"))/(AZ202+(SUMIFS(estoque[quantidade],estoque[produto],preçodiario[[#Headers],[OVO VERMELHO JUMBO]],estoque[fornecedor],"&lt;&gt;saída",estoque[data],preçodiario[[#This Row],[data]])))))</f>
        <v/>
      </c>
      <c r="AZ203" s="22">
        <f>IF(preçodiario[[#This Row],[entrada JV]]=0,AZ202-(SUMIFS(estoque[quantidade],estoque[fornecedor],"saída",estoque[produto],preçodiario[[#Headers],[OVO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Row],[data]]))+AZ202+preçodiario[[#This Row],[entrada JV]])</f>
        <v>0</v>
      </c>
      <c r="BA203" s="22">
        <f>SUMIFS(estoque[quantidade],estoque[fornecedor],"&lt;&gt;saída",estoque[produto],preçodiario[[#Headers],[OVO VERMELHO JUMBO]],estoque[data],preçodiario[[#This Row],[data]])</f>
        <v>0</v>
      </c>
      <c r="BB203" s="20">
        <f>SUMIFS(estoque[valor total],estoque[fornecedor],"&lt;&gt;saída",estoque[produto],preçodiario[[#Headers],[OVO VERMELHO JUMBO]],estoque[data],preçodiario[[#This Row],[data]])</f>
        <v>0</v>
      </c>
      <c r="BC203" s="20">
        <f>IFERROR(preçodiario[[#This Row],[OVO VERMELHO JUMBO]]*preçodiario[[#This Row],[estoque JV]],0)</f>
        <v>0</v>
      </c>
      <c r="BD203" t="str">
        <f>TEXT(vendaAno[[#This Row],[data]],"mmm")</f>
        <v>jul</v>
      </c>
      <c r="BE203" t="str">
        <f>TEXT(vendaAno[[#This Row],[data]],"ddd")</f>
        <v>ter</v>
      </c>
      <c r="BF203" s="82">
        <f>WEEKNUM(vendaAno[[#This Row],[data]],13)</f>
        <v>29</v>
      </c>
      <c r="BG203" s="27">
        <f>preçodiario[[#This Row],[data]]</f>
        <v>46224</v>
      </c>
      <c r="BH2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3" s="8">
        <f>IF(SUMIFS(estoque[valor total],estoque[fornecedor],"saída",estoque[data],vendaAno[[#This Row],[data]])=0,"",SUMIFS(estoque[valor total],estoque[fornecedor],"saída",estoque[data],vendaAno[[#This Row],[data]]))</f>
        <v>718</v>
      </c>
      <c r="BJ203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Row],[data]]))/12+BJ202,"")</f>
        <v>19.833333333333318</v>
      </c>
      <c r="BK203" s="79">
        <f ca="1">IF(TODAY()&gt;=vendaAno[[#This Row],[data]],IF(SUMIFS(estoque[quantidade],estoque[fornecedor],"saída",estoque[data],vendaAno[[#This Row],[data]])/12=0,AVERAGE(BK200:BK202),SUMIFS(estoque[quantidade],estoque[fornecedor],"saída",estoque[data],vendaAno[[#This Row],[data]])/12),"")</f>
        <v>2.9166666666666665</v>
      </c>
      <c r="BL203" s="8">
        <f ca="1">IF(vendaAno[[#This Row],[data]]&lt;=TODAY(),IF(SUMIFS(estoque[lucro],estoque[fornecedor],"saída",estoque[data],vendaAno[[#This Row],[data]])=0,AVERAGE(BL200:BL202),SUMIFS(estoque[lucro],estoque[fornecedor],"saída",estoque[data],vendaAno[[#This Row],[data]])),"")</f>
        <v>171.84999999999997</v>
      </c>
      <c r="BM203" s="10">
        <f ca="1">IFERROR(vendaAno[[#This Row],[lucro]]/vendaAno[[#This Row],[valor de venda]],"")</f>
        <v>0.23934540389972139</v>
      </c>
      <c r="BN203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3625.5890182317044</v>
      </c>
      <c r="BO203" s="8">
        <f ca="1">IF(TODAY()&gt;=vendaAno[[#This Row],[data]],IF(vendaAno[[#This Row],[N°]]=BF202,vendaAno[[#This Row],[lucro]]-173.33+BO202,vendaAno[[#This Row],[lucro]]-150),"")</f>
        <v>-465.03000000000009</v>
      </c>
      <c r="BP203" s="81">
        <f ca="1">IF(TODAY()&gt;=vendaAno[[#This Row],[data]],SUM(BK197:BK203)*12,"")</f>
        <v>156</v>
      </c>
      <c r="BQ203" s="7">
        <f ca="1">IFERROR(vendaAno[[#This Row],[lucro]]/(vendaAno[[#This Row],[venda]]*12),"")</f>
        <v>4.9099999999999993</v>
      </c>
    </row>
    <row r="204" spans="1:69" x14ac:dyDescent="0.25">
      <c r="A2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15.059523809523812</v>
      </c>
      <c r="B204" s="18" t="str">
        <f>TEXT(preçodiario[[#This Row],[data]],"MMM")</f>
        <v>jul</v>
      </c>
      <c r="C204" s="18" t="str">
        <f>TEXT(preçodiario[[#This Row],[data]],"ddd")</f>
        <v>qua</v>
      </c>
      <c r="D204" s="96">
        <f>WEEKNUM(preçodiario[[#This Row],[data]],13)</f>
        <v>30</v>
      </c>
      <c r="E204" s="37">
        <v>46225</v>
      </c>
      <c r="F2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Row],[data]])),((F203*G203)+SUMIFS(estoque[valor total],estoque[produto],preçodiario[[#Headers],[OVO BRANCO A]],estoque[data],preçodiario[[#This Row],[data]],estoque[fornecedor],"&lt;&gt;saída"))/(G203+(SUMIFS(estoque[quantidade],estoque[produto],preçodiario[[#Headers],[OVO BRANCO A]],estoque[fornecedor],"&lt;&gt;saída",estoque[data],preçodiario[[#This Row],[data]])))))</f>
        <v>15.059523809523812</v>
      </c>
      <c r="G204" s="22">
        <f>IF(preçodiario[[#This Row],[entrada A]]=0,G203-(SUMIFS(estoque[quantidade],estoque[fornecedor],"saída",estoque[produto],preçodiario[[#Headers],[OVO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Row],[data]]))+G203+preçodiario[[#This Row],[entrada A]])</f>
        <v>80</v>
      </c>
      <c r="H204" s="22">
        <f>SUMIFS(estoque[quantidade],estoque[fornecedor],"&lt;&gt;saída",estoque[produto],preçodiario[[#Headers],[OVO BRANCO A]],estoque[data],preçodiario[[#This Row],[data]])</f>
        <v>0</v>
      </c>
      <c r="I204" s="20">
        <f>SUMIFS(estoque[valor total],estoque[fornecedor],"&lt;&gt;saída",estoque[produto],preçodiario[[#Headers],[OVO BRANCO A]],estoque[data],preçodiario[[#This Row],[data]])</f>
        <v>0</v>
      </c>
      <c r="J204" s="20">
        <f>IFERROR(preçodiario[[#This Row],[estoque A]]*preçodiario[[#This Row],[OVO BRANCO A]],0)</f>
        <v>1204.761904761905</v>
      </c>
      <c r="K2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Row],[data]])),((K203*L203)+SUMIFS(estoque[valor total],estoque[produto],preçodiario[[#Headers],[OVO BRANCO B]],estoque[data],preçodiario[[#This Row],[data]],estoque[fornecedor],"&lt;&gt;saída"))/(L203+(SUMIFS(estoque[quantidade],estoque[produto],preçodiario[[#Headers],[OVO BRANCO B]],estoque[fornecedor],"&lt;&gt;saída",estoque[data],preçodiario[[#This Row],[data]])))))</f>
        <v>14.584252837326602</v>
      </c>
      <c r="L204" s="22">
        <f>IF(preçodiario[[#This Row],[entrada B]]=0,L203-(SUMIFS(estoque[quantidade],estoque[fornecedor],"saída",estoque[produto],preçodiario[[#Headers],[OVO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Row],[data]]))+L203+preçodiario[[#This Row],[entrada B]])</f>
        <v>51</v>
      </c>
      <c r="M204" s="22">
        <f>SUMIFS(estoque[quantidade],estoque[fornecedor],"&lt;&gt;saída",estoque[produto],preçodiario[[#Headers],[OVO BRANCO B]],estoque[data],preçodiario[[#This Row],[data]])</f>
        <v>0</v>
      </c>
      <c r="N204" s="20">
        <f>SUMIFS(estoque[valor total],estoque[fornecedor],"&lt;&gt;saída",estoque[produto],preçodiario[[#Headers],[OVO BRANCO B]],estoque[data],preçodiario[[#This Row],[data]])</f>
        <v>0</v>
      </c>
      <c r="O204" s="20">
        <f>IFERROR(preçodiario[[#This Row],[OVO BRANCO B]]*preçodiario[[#This Row],[estoque B]],0)</f>
        <v>743.79689470365668</v>
      </c>
      <c r="P204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Row],[data]])),((P203*Q203)+SUMIFS(estoque[valor total],estoque[produto],preçodiario[[#Headers],[OVO BRANCO C]],estoque[data],preçodiario[[#This Row],[data]],estoque[fornecedor],"&lt;&gt;saída"))/(Q203+(SUMIFS(estoque[quantidade],estoque[produto],preçodiario[[#Headers],[OVO BRANCO C]],estoque[fornecedor],"&lt;&gt;saída",estoque[data],preçodiario[[#This Row],[data]])))))</f>
        <v/>
      </c>
      <c r="Q204" s="22">
        <f>IF(preçodiario[[#This Row],[entrada C]]=0,Q203-(SUMIFS(estoque[quantidade],estoque[fornecedor],"saída",estoque[produto],preçodiario[[#Headers],[OVO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Row],[data]]))+Q203+preçodiario[[#This Row],[entrada C]])</f>
        <v>0</v>
      </c>
      <c r="R204" s="22">
        <f>SUMIFS(estoque[quantidade],estoque[fornecedor],"&lt;&gt;saída",estoque[produto],preçodiario[[#Headers],[OVO BRANCO C]],estoque[data],preçodiario[[#This Row],[data]])</f>
        <v>0</v>
      </c>
      <c r="S204" s="20">
        <f>SUMIFS(estoque[valor total],estoque[fornecedor],"&lt;&gt;saída",estoque[produto],preçodiario[[#Headers],[OVO BRANCO C]],estoque[data],preçodiario[[#This Row],[data]])</f>
        <v>0</v>
      </c>
      <c r="T204" s="20">
        <f>IFERROR(preçodiario[[#This Row],[OVO BRANCO C]]*preçodiario[[#This Row],[estoque C]],0)</f>
        <v>0</v>
      </c>
      <c r="U2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Row],[data]])),((U203*V203)+SUMIFS(estoque[valor total],estoque[produto],preçodiario[[#Headers],[OVO BRANCO EXTRA]],estoque[data],preçodiario[[#This Row],[data]],estoque[fornecedor],"&lt;&gt;saída"))/(V203+(SUMIFS(estoque[quantidade],estoque[produto],preçodiario[[#Headers],[OVO BRANCO EXTRA]],estoque[fornecedor],"&lt;&gt;saída",estoque[data],preçodiario[[#This Row],[data]])))))</f>
        <v>15.502207505518765</v>
      </c>
      <c r="V204" s="22">
        <f>IF(preçodiario[[#This Row],[entrada E]]=0,V203-(SUMIFS(estoque[quantidade],estoque[fornecedor],"saída",estoque[produto],preçodiario[[#Headers],[OVO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Row],[data]]))+V203+preçodiario[[#This Row],[entrada E]])</f>
        <v>37</v>
      </c>
      <c r="W204" s="22">
        <f>SUMIFS(estoque[quantidade],estoque[fornecedor],"&lt;&gt;saída",estoque[produto],preçodiario[[#Headers],[OVO BRANCO EXTRA]],estoque[data],preçodiario[[#This Row],[data]])</f>
        <v>0</v>
      </c>
      <c r="X204" s="20">
        <f>SUMIFS(estoque[valor total],estoque[fornecedor],"&lt;&gt;saída",estoque[produto],preçodiario[[#Headers],[OVO BRANCO EXTRA]],estoque[data],preçodiario[[#This Row],[data]])</f>
        <v>0</v>
      </c>
      <c r="Y204" s="20">
        <f>IFERROR(preçodiario[[#This Row],[estoque E]]*preçodiario[[#This Row],[OVO BRANCO EXTRA]],0)</f>
        <v>573.58167770419425</v>
      </c>
      <c r="Z2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Row],[data]])),((Z203*AA203)+SUMIFS(estoque[valor total],estoque[produto],preçodiario[[#Headers],[OVO BRANCO JUMBO]],estoque[data],preçodiario[[#This Row],[data]],estoque[fornecedor],"&lt;&gt;saída"))/(AA203+(SUMIFS(estoque[quantidade],estoque[produto],preçodiario[[#Headers],[OVO BRANCO JUMBO]],estoque[fornecedor],"&lt;&gt;saída",estoque[data],preçodiario[[#This Row],[data]])))))</f>
        <v>16.251041666666666</v>
      </c>
      <c r="AA204" s="22">
        <f>IF(preçodiario[[#This Row],[entrada J]]=0,AA203-(SUMIFS(estoque[quantidade],estoque[fornecedor],"saída",estoque[produto],preçodiario[[#Headers],[OVO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Row],[data]]))+AA203+preçodiario[[#This Row],[entrada J]])</f>
        <v>42</v>
      </c>
      <c r="AB204" s="22">
        <f>SUMIFS(estoque[quantidade],estoque[fornecedor],"&lt;&gt;saída",estoque[produto],preçodiario[[#Headers],[OVO BRANCO JUMBO]],estoque[data],preçodiario[[#This Row],[data]])</f>
        <v>0</v>
      </c>
      <c r="AC204" s="20">
        <f>SUMIFS(estoque[valor total],estoque[fornecedor],"&lt;&gt;saída",estoque[produto],preçodiario[[#Headers],[OVO BRANCO JUMBO]],estoque[data],preçodiario[[#This Row],[data]])</f>
        <v>0</v>
      </c>
      <c r="AD204" s="20">
        <f>IFERROR(preçodiario[[#This Row],[OVO BRANCO JUMBO]]*preçodiario[[#This Row],[estoque J]],0)</f>
        <v>682.54374999999993</v>
      </c>
      <c r="AE2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Row],[data]])),((AE203*AF203)+SUMIFS(estoque[valor total],estoque[produto],preçodiario[[#Headers],[OVO VERMELHO A]],estoque[data],preçodiario[[#This Row],[data]],estoque[fornecedor],"&lt;&gt;saída"))/(AF203+(SUMIFS(estoque[quantidade],estoque[produto],preçodiario[[#Headers],[OVO VERMELHO A]],estoque[fornecedor],"&lt;&gt;saída",estoque[data],preçodiario[[#This Row],[data]])))))</f>
        <v/>
      </c>
      <c r="AF204" s="22">
        <f>IF(preçodiario[[#This Row],[entrada AV]]=0,AF203-(SUMIFS(estoque[quantidade],estoque[fornecedor],"saída",estoque[produto],preçodiario[[#Headers],[OVO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Row],[data]]))+AF203+preçodiario[[#This Row],[entrada AV]])</f>
        <v>0</v>
      </c>
      <c r="AG204" s="22">
        <f>SUMIFS(estoque[quantidade],estoque[fornecedor],"&lt;&gt;saída",estoque[produto],preçodiario[[#Headers],[OVO VERMELHO A]],estoque[data],preçodiario[[#This Row],[data]])</f>
        <v>0</v>
      </c>
      <c r="AH204" s="20">
        <f>SUMIFS(estoque[valor total],estoque[fornecedor],"&lt;&gt;saída",estoque[produto],preçodiario[[#Headers],[OVO VERMELHO A]],estoque[data],preçodiario[[#This Row],[data]])</f>
        <v>0</v>
      </c>
      <c r="AI204" s="20">
        <f>IFERROR(preçodiario[[#This Row],[OVO VERMELHO A]]*preçodiario[[#This Row],[estoque AV]],0)</f>
        <v>0</v>
      </c>
      <c r="AJ2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Row],[data]])),((AJ203*AK203)+SUMIFS(estoque[valor total],estoque[produto],preçodiario[[#Headers],[OVO VERMELHO B]],estoque[data],preçodiario[[#This Row],[data]],estoque[fornecedor],"&lt;&gt;saída"))/(AK203+(SUMIFS(estoque[quantidade],estoque[produto],preçodiario[[#Headers],[OVO VERMELHO B]],estoque[fornecedor],"&lt;&gt;saída",estoque[data],preçodiario[[#This Row],[data]])))))</f>
        <v/>
      </c>
      <c r="AK204" s="22">
        <f>IF(preçodiario[[#This Row],[entrada BV]]=0,AK203-(SUMIFS(estoque[quantidade],estoque[fornecedor],"saída",estoque[produto],preçodiario[[#Headers],[OVO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Row],[data]]))+AK203+preçodiario[[#This Row],[entrada BV]])</f>
        <v>0</v>
      </c>
      <c r="AL204" s="22">
        <f>SUMIFS(estoque[quantidade],estoque[fornecedor],"&lt;&gt;saída",estoque[produto],preçodiario[[#Headers],[OVO VERMELHO B]],estoque[data],preçodiario[[#This Row],[data]])</f>
        <v>0</v>
      </c>
      <c r="AM204" s="20">
        <f>SUMIFS(estoque[valor total],estoque[fornecedor],"&lt;&gt;saída",estoque[produto],preçodiario[[#Headers],[OVO VERMELHO B]],estoque[data],preçodiario[[#This Row],[data]])</f>
        <v>0</v>
      </c>
      <c r="AN204" s="20">
        <f>IFERROR(preçodiario[[#This Row],[OVO VERMELHO B]]*preçodiario[[#This Row],[estoque BV]],0)</f>
        <v>0</v>
      </c>
      <c r="AO2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Row],[data]])),((AO203*AP203)+SUMIFS(estoque[valor total],estoque[produto],preçodiario[[#Headers],[OVO VERMELHO C]],estoque[data],preçodiario[[#This Row],[data]],estoque[fornecedor],"&lt;&gt;saída"))/(AP203+(SUMIFS(estoque[quantidade],estoque[produto],preçodiario[[#Headers],[OVO VERMELHO C]],estoque[fornecedor],"&lt;&gt;saída",estoque[data],preçodiario[[#This Row],[data]])))))</f>
        <v/>
      </c>
      <c r="AP204" s="22">
        <f>IF(preçodiario[[#This Row],[entrada CV]]=0,AP203-(SUMIFS(estoque[quantidade],estoque[fornecedor],"saída",estoque[produto],preçodiario[[#Headers],[OVO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Row],[data]]))+AP203+preçodiario[[#This Row],[entrada CV]])</f>
        <v>0</v>
      </c>
      <c r="AQ204" s="22">
        <f>SUMIFS(estoque[quantidade],estoque[fornecedor],"&lt;&gt;saída",estoque[produto],preçodiario[[#Headers],[OVO VERMELHO C]],estoque[data],preçodiario[[#This Row],[data]])</f>
        <v>0</v>
      </c>
      <c r="AR204" s="20">
        <f>SUMIFS(estoque[valor total],estoque[fornecedor],"&lt;&gt;saída",estoque[produto],preçodiario[[#Headers],[OVO VERMELHO C]],estoque[data],preçodiario[[#This Row],[data]])</f>
        <v>0</v>
      </c>
      <c r="AS204" s="20">
        <f>IFERROR(preçodiario[[#This Row],[OVO VERMELHO C]]*preçodiario[[#This Row],[estoque CV]],0)</f>
        <v>0</v>
      </c>
      <c r="AT2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Row],[data]])),((AT203*AU203)+SUMIFS(estoque[valor total],estoque[produto],preçodiario[[#Headers],[OVO VERMELHO EXTRA]],estoque[data],preçodiario[[#This Row],[data]],estoque[fornecedor],"&lt;&gt;saída"))/(AU203+(SUMIFS(estoque[quantidade],estoque[produto],preçodiario[[#Headers],[OVO VERMELHO EXTRA]],estoque[fornecedor],"&lt;&gt;saída",estoque[data],preçodiario[[#This Row],[data]])))))</f>
        <v/>
      </c>
      <c r="AU204" s="22">
        <f>IF(preçodiario[[#This Row],[entrada EV]]=0,AU203-(SUMIFS(estoque[quantidade],estoque[fornecedor],"saída",estoque[produto],preçodiario[[#Headers],[OVO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Row],[data]]))+AU203+preçodiario[[#This Row],[entrada EV]])</f>
        <v>0</v>
      </c>
      <c r="AV204" s="22">
        <f>SUMIFS(estoque[quantidade],estoque[fornecedor],"&lt;&gt;saída",estoque[produto],preçodiario[[#Headers],[OVO VERMELHO EXTRA]],estoque[data],preçodiario[[#This Row],[data]])</f>
        <v>0</v>
      </c>
      <c r="AW204" s="20">
        <f>SUMIFS(estoque[valor total],estoque[fornecedor],"&lt;&gt;saída",estoque[produto],preçodiario[[#Headers],[OVO VERMELHO EXTRA]],estoque[data],preçodiario[[#This Row],[data]])</f>
        <v>0</v>
      </c>
      <c r="AX204" s="20">
        <f>IFERROR(preçodiario[[#This Row],[OVO VERMELHO EXTRA]]*preçodiario[[#This Row],[estoque EV]],0)</f>
        <v>0</v>
      </c>
      <c r="AY2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Row],[data]])),((AY203*AZ203)+SUMIFS(estoque[valor total],estoque[produto],preçodiario[[#Headers],[OVO VERMELHO JUMBO]],estoque[data],preçodiario[[#This Row],[data]],estoque[fornecedor],"&lt;&gt;saída"))/(AZ203+(SUMIFS(estoque[quantidade],estoque[produto],preçodiario[[#Headers],[OVO VERMELHO JUMBO]],estoque[fornecedor],"&lt;&gt;saída",estoque[data],preçodiario[[#This Row],[data]])))))</f>
        <v/>
      </c>
      <c r="AZ204" s="22">
        <f>IF(preçodiario[[#This Row],[entrada JV]]=0,AZ203-(SUMIFS(estoque[quantidade],estoque[fornecedor],"saída",estoque[produto],preçodiario[[#Headers],[OVO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Row],[data]]))+AZ203+preçodiario[[#This Row],[entrada JV]])</f>
        <v>0</v>
      </c>
      <c r="BA204" s="22">
        <f>SUMIFS(estoque[quantidade],estoque[fornecedor],"&lt;&gt;saída",estoque[produto],preçodiario[[#Headers],[OVO VERMELHO JUMBO]],estoque[data],preçodiario[[#This Row],[data]])</f>
        <v>0</v>
      </c>
      <c r="BB204" s="20">
        <f>SUMIFS(estoque[valor total],estoque[fornecedor],"&lt;&gt;saída",estoque[produto],preçodiario[[#Headers],[OVO VERMELHO JUMBO]],estoque[data],preçodiario[[#This Row],[data]])</f>
        <v>0</v>
      </c>
      <c r="BC204" s="20">
        <f>IFERROR(preçodiario[[#This Row],[OVO VERMELHO JUMBO]]*preçodiario[[#This Row],[estoque JV]],0)</f>
        <v>0</v>
      </c>
      <c r="BD204" t="str">
        <f>TEXT(vendaAno[[#This Row],[data]],"mmm")</f>
        <v>jul</v>
      </c>
      <c r="BE204" t="str">
        <f>TEXT(vendaAno[[#This Row],[data]],"ddd")</f>
        <v>qua</v>
      </c>
      <c r="BF204" s="82">
        <f>WEEKNUM(vendaAno[[#This Row],[data]],13)</f>
        <v>30</v>
      </c>
      <c r="BG204" s="27">
        <f>preçodiario[[#This Row],[data]]</f>
        <v>46225</v>
      </c>
      <c r="BH2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4" s="8">
        <f>IF(SUMIFS(estoque[valor total],estoque[fornecedor],"saída",estoque[data],vendaAno[[#This Row],[data]])=0,"",SUMIFS(estoque[valor total],estoque[fornecedor],"saída",estoque[data],vendaAno[[#This Row],[data]]))</f>
        <v>507</v>
      </c>
      <c r="BJ204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Row],[data]]))/12+BJ203,"")</f>
        <v>17.499999999999986</v>
      </c>
      <c r="BK204" s="79">
        <f ca="1">IF(TODAY()&gt;=vendaAno[[#This Row],[data]],IF(SUMIFS(estoque[quantidade],estoque[fornecedor],"saída",estoque[data],vendaAno[[#This Row],[data]])/12=0,AVERAGE(BK201:BK203),SUMIFS(estoque[quantidade],estoque[fornecedor],"saída",estoque[data],vendaAno[[#This Row],[data]])/12),"")</f>
        <v>2.3333333333333335</v>
      </c>
      <c r="BL204" s="8">
        <f ca="1">IF(vendaAno[[#This Row],[data]]&lt;=TODAY(),IF(SUMIFS(estoque[lucro],estoque[fornecedor],"saída",estoque[data],vendaAno[[#This Row],[data]])=0,AVERAGE(BL201:BL203),SUMIFS(estoque[lucro],estoque[fornecedor],"saída",estoque[data],vendaAno[[#This Row],[data]])),"")</f>
        <v>86.1</v>
      </c>
      <c r="BM204" s="10">
        <f ca="1">IFERROR(vendaAno[[#This Row],[lucro]]/vendaAno[[#This Row],[valor de venda]],"")</f>
        <v>0.16982248520710058</v>
      </c>
      <c r="BN204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3204.684227169756</v>
      </c>
      <c r="BO204" s="8">
        <f ca="1">IF(TODAY()&gt;=vendaAno[[#This Row],[data]],IF(vendaAno[[#This Row],[N°]]=BF203,vendaAno[[#This Row],[lucro]]-173.33+BO203,vendaAno[[#This Row],[lucro]]-150),"")</f>
        <v>-63.900000000000006</v>
      </c>
      <c r="BP204" s="81">
        <f ca="1">IF(TODAY()&gt;=vendaAno[[#This Row],[data]],SUM(BK198:BK204)*12,"")</f>
        <v>171</v>
      </c>
      <c r="BQ204" s="7">
        <f ca="1">IFERROR(vendaAno[[#This Row],[lucro]]/(vendaAno[[#This Row],[venda]]*12),"")</f>
        <v>3.0749999999999997</v>
      </c>
    </row>
    <row r="205" spans="1:69" x14ac:dyDescent="0.25">
      <c r="A2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15.059523809523814</v>
      </c>
      <c r="B205" s="18" t="str">
        <f>TEXT(preçodiario[[#This Row],[data]],"MMM")</f>
        <v>jul</v>
      </c>
      <c r="C205" s="18" t="str">
        <f>TEXT(preçodiario[[#This Row],[data]],"ddd")</f>
        <v>qui</v>
      </c>
      <c r="D205" s="96">
        <f>WEEKNUM(preçodiario[[#This Row],[data]],13)</f>
        <v>30</v>
      </c>
      <c r="E205" s="37">
        <v>46226</v>
      </c>
      <c r="F2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Row],[data]])),((F204*G204)+SUMIFS(estoque[valor total],estoque[produto],preçodiario[[#Headers],[OVO BRANCO A]],estoque[data],preçodiario[[#This Row],[data]],estoque[fornecedor],"&lt;&gt;saída"))/(G204+(SUMIFS(estoque[quantidade],estoque[produto],preçodiario[[#Headers],[OVO BRANCO A]],estoque[fornecedor],"&lt;&gt;saída",estoque[data],preçodiario[[#This Row],[data]])))))</f>
        <v>15.059523809523814</v>
      </c>
      <c r="G205" s="22">
        <f>IF(preçodiario[[#This Row],[entrada A]]=0,G204-(SUMIFS(estoque[quantidade],estoque[fornecedor],"saída",estoque[produto],preçodiario[[#Headers],[OVO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Row],[data]]))+G204+preçodiario[[#This Row],[entrada A]])</f>
        <v>76</v>
      </c>
      <c r="H205" s="22">
        <f>SUMIFS(estoque[quantidade],estoque[fornecedor],"&lt;&gt;saída",estoque[produto],preçodiario[[#Headers],[OVO BRANCO A]],estoque[data],preçodiario[[#This Row],[data]])</f>
        <v>0</v>
      </c>
      <c r="I205" s="20">
        <f>SUMIFS(estoque[valor total],estoque[fornecedor],"&lt;&gt;saída",estoque[produto],preçodiario[[#Headers],[OVO BRANCO A]],estoque[data],preçodiario[[#This Row],[data]])</f>
        <v>0</v>
      </c>
      <c r="J205" s="20">
        <f>IFERROR(preçodiario[[#This Row],[estoque A]]*preçodiario[[#This Row],[OVO BRANCO A]],0)</f>
        <v>1144.5238095238099</v>
      </c>
      <c r="K2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Row],[data]])),((K204*L204)+SUMIFS(estoque[valor total],estoque[produto],preçodiario[[#Headers],[OVO BRANCO B]],estoque[data],preçodiario[[#This Row],[data]],estoque[fornecedor],"&lt;&gt;saída"))/(L204+(SUMIFS(estoque[quantidade],estoque[produto],preçodiario[[#Headers],[OVO BRANCO B]],estoque[fornecedor],"&lt;&gt;saída",estoque[data],preçodiario[[#This Row],[data]])))))</f>
        <v>14.584252837326602</v>
      </c>
      <c r="L205" s="22">
        <f>IF(preçodiario[[#This Row],[entrada B]]=0,L204-(SUMIFS(estoque[quantidade],estoque[fornecedor],"saída",estoque[produto],preçodiario[[#Headers],[OVO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Row],[data]]))+L204+preçodiario[[#This Row],[entrada B]])</f>
        <v>47</v>
      </c>
      <c r="M205" s="22">
        <f>SUMIFS(estoque[quantidade],estoque[fornecedor],"&lt;&gt;saída",estoque[produto],preçodiario[[#Headers],[OVO BRANCO B]],estoque[data],preçodiario[[#This Row],[data]])</f>
        <v>0</v>
      </c>
      <c r="N205" s="20">
        <f>SUMIFS(estoque[valor total],estoque[fornecedor],"&lt;&gt;saída",estoque[produto],preçodiario[[#Headers],[OVO BRANCO B]],estoque[data],preçodiario[[#This Row],[data]])</f>
        <v>0</v>
      </c>
      <c r="O205" s="20">
        <f>IFERROR(preçodiario[[#This Row],[OVO BRANCO B]]*preçodiario[[#This Row],[estoque B]],0)</f>
        <v>685.45988335435027</v>
      </c>
      <c r="P205" s="19" t="str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Row],[data]])),((P204*Q204)+SUMIFS(estoque[valor total],estoque[produto],preçodiario[[#Headers],[OVO BRANCO C]],estoque[data],preçodiario[[#This Row],[data]],estoque[fornecedor],"&lt;&gt;saída"))/(Q204+(SUMIFS(estoque[quantidade],estoque[produto],preçodiario[[#Headers],[OVO BRANCO C]],estoque[fornecedor],"&lt;&gt;saída",estoque[data],preçodiario[[#This Row],[data]])))))</f>
        <v/>
      </c>
      <c r="Q205" s="22">
        <f>IF(preçodiario[[#This Row],[entrada C]]=0,Q204-(SUMIFS(estoque[quantidade],estoque[fornecedor],"saída",estoque[produto],preçodiario[[#Headers],[OVO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Row],[data]]))+Q204+preçodiario[[#This Row],[entrada C]])</f>
        <v>0</v>
      </c>
      <c r="R205" s="22">
        <f>SUMIFS(estoque[quantidade],estoque[fornecedor],"&lt;&gt;saída",estoque[produto],preçodiario[[#Headers],[OVO BRANCO C]],estoque[data],preçodiario[[#This Row],[data]])</f>
        <v>0</v>
      </c>
      <c r="S205" s="20">
        <f>SUMIFS(estoque[valor total],estoque[fornecedor],"&lt;&gt;saída",estoque[produto],preçodiario[[#Headers],[OVO BRANCO C]],estoque[data],preçodiario[[#This Row],[data]])</f>
        <v>0</v>
      </c>
      <c r="T205" s="20">
        <f>IFERROR(preçodiario[[#This Row],[OVO BRANCO C]]*preçodiario[[#This Row],[estoque C]],0)</f>
        <v>0</v>
      </c>
      <c r="U2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Row],[data]])),((U204*V204)+SUMIFS(estoque[valor total],estoque[produto],preçodiario[[#Headers],[OVO BRANCO EXTRA]],estoque[data],preçodiario[[#This Row],[data]],estoque[fornecedor],"&lt;&gt;saída"))/(V204+(SUMIFS(estoque[quantidade],estoque[produto],preçodiario[[#Headers],[OVO BRANCO EXTRA]],estoque[fornecedor],"&lt;&gt;saída",estoque[data],preçodiario[[#This Row],[data]])))))</f>
        <v>15.502207505518763</v>
      </c>
      <c r="V205" s="22">
        <f>IF(preçodiario[[#This Row],[entrada E]]=0,V204-(SUMIFS(estoque[quantidade],estoque[fornecedor],"saída",estoque[produto],preçodiario[[#Headers],[OVO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Row],[data]]))+V204+preçodiario[[#This Row],[entrada E]])</f>
        <v>29</v>
      </c>
      <c r="W205" s="22">
        <f>SUMIFS(estoque[quantidade],estoque[fornecedor],"&lt;&gt;saída",estoque[produto],preçodiario[[#Headers],[OVO BRANCO EXTRA]],estoque[data],preçodiario[[#This Row],[data]])</f>
        <v>0</v>
      </c>
      <c r="X205" s="20">
        <f>SUMIFS(estoque[valor total],estoque[fornecedor],"&lt;&gt;saída",estoque[produto],preçodiario[[#Headers],[OVO BRANCO EXTRA]],estoque[data],preçodiario[[#This Row],[data]])</f>
        <v>0</v>
      </c>
      <c r="Y205" s="20">
        <f>IFERROR(preçodiario[[#This Row],[estoque E]]*preçodiario[[#This Row],[OVO BRANCO EXTRA]],0)</f>
        <v>449.56401766004416</v>
      </c>
      <c r="Z2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Row],[data]])),((Z204*AA204)+SUMIFS(estoque[valor total],estoque[produto],preçodiario[[#Headers],[OVO BRANCO JUMBO]],estoque[data],preçodiario[[#This Row],[data]],estoque[fornecedor],"&lt;&gt;saída"))/(AA204+(SUMIFS(estoque[quantidade],estoque[produto],preçodiario[[#Headers],[OVO BRANCO JUMBO]],estoque[fornecedor],"&lt;&gt;saída",estoque[data],preçodiario[[#This Row],[data]])))))</f>
        <v>16.251041666666666</v>
      </c>
      <c r="AA205" s="22">
        <f>IF(preçodiario[[#This Row],[entrada J]]=0,AA204-(SUMIFS(estoque[quantidade],estoque[fornecedor],"saída",estoque[produto],preçodiario[[#Headers],[OVO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Row],[data]]))+AA204+preçodiario[[#This Row],[entrada J]])</f>
        <v>38</v>
      </c>
      <c r="AB205" s="22">
        <f>SUMIFS(estoque[quantidade],estoque[fornecedor],"&lt;&gt;saída",estoque[produto],preçodiario[[#Headers],[OVO BRANCO JUMBO]],estoque[data],preçodiario[[#This Row],[data]])</f>
        <v>0</v>
      </c>
      <c r="AC205" s="20">
        <f>SUMIFS(estoque[valor total],estoque[fornecedor],"&lt;&gt;saída",estoque[produto],preçodiario[[#Headers],[OVO BRANCO JUMBO]],estoque[data],preçodiario[[#This Row],[data]])</f>
        <v>0</v>
      </c>
      <c r="AD205" s="20">
        <f>IFERROR(preçodiario[[#This Row],[OVO BRANCO JUMBO]]*preçodiario[[#This Row],[estoque J]],0)</f>
        <v>617.53958333333333</v>
      </c>
      <c r="AE2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Row],[data]])),((AE204*AF204)+SUMIFS(estoque[valor total],estoque[produto],preçodiario[[#Headers],[OVO VERMELHO A]],estoque[data],preçodiario[[#This Row],[data]],estoque[fornecedor],"&lt;&gt;saída"))/(AF204+(SUMIFS(estoque[quantidade],estoque[produto],preçodiario[[#Headers],[OVO VERMELHO A]],estoque[fornecedor],"&lt;&gt;saída",estoque[data],preçodiario[[#This Row],[data]])))))</f>
        <v/>
      </c>
      <c r="AF205" s="22">
        <f>IF(preçodiario[[#This Row],[entrada AV]]=0,AF204-(SUMIFS(estoque[quantidade],estoque[fornecedor],"saída",estoque[produto],preçodiario[[#Headers],[OVO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Row],[data]]))+AF204+preçodiario[[#This Row],[entrada AV]])</f>
        <v>0</v>
      </c>
      <c r="AG205" s="22">
        <f>SUMIFS(estoque[quantidade],estoque[fornecedor],"&lt;&gt;saída",estoque[produto],preçodiario[[#Headers],[OVO VERMELHO A]],estoque[data],preçodiario[[#This Row],[data]])</f>
        <v>0</v>
      </c>
      <c r="AH205" s="20">
        <f>SUMIFS(estoque[valor total],estoque[fornecedor],"&lt;&gt;saída",estoque[produto],preçodiario[[#Headers],[OVO VERMELHO A]],estoque[data],preçodiario[[#This Row],[data]])</f>
        <v>0</v>
      </c>
      <c r="AI205" s="20">
        <f>IFERROR(preçodiario[[#This Row],[OVO VERMELHO A]]*preçodiario[[#This Row],[estoque AV]],0)</f>
        <v>0</v>
      </c>
      <c r="AJ2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Row],[data]])),((AJ204*AK204)+SUMIFS(estoque[valor total],estoque[produto],preçodiario[[#Headers],[OVO VERMELHO B]],estoque[data],preçodiario[[#This Row],[data]],estoque[fornecedor],"&lt;&gt;saída"))/(AK204+(SUMIFS(estoque[quantidade],estoque[produto],preçodiario[[#Headers],[OVO VERMELHO B]],estoque[fornecedor],"&lt;&gt;saída",estoque[data],preçodiario[[#This Row],[data]])))))</f>
        <v/>
      </c>
      <c r="AK205" s="22">
        <f>IF(preçodiario[[#This Row],[entrada BV]]=0,AK204-(SUMIFS(estoque[quantidade],estoque[fornecedor],"saída",estoque[produto],preçodiario[[#Headers],[OVO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Row],[data]]))+AK204+preçodiario[[#This Row],[entrada BV]])</f>
        <v>0</v>
      </c>
      <c r="AL205" s="22">
        <f>SUMIFS(estoque[quantidade],estoque[fornecedor],"&lt;&gt;saída",estoque[produto],preçodiario[[#Headers],[OVO VERMELHO B]],estoque[data],preçodiario[[#This Row],[data]])</f>
        <v>0</v>
      </c>
      <c r="AM205" s="20">
        <f>SUMIFS(estoque[valor total],estoque[fornecedor],"&lt;&gt;saída",estoque[produto],preçodiario[[#Headers],[OVO VERMELHO B]],estoque[data],preçodiario[[#This Row],[data]])</f>
        <v>0</v>
      </c>
      <c r="AN205" s="20">
        <f>IFERROR(preçodiario[[#This Row],[OVO VERMELHO B]]*preçodiario[[#This Row],[estoque BV]],0)</f>
        <v>0</v>
      </c>
      <c r="AO2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Row],[data]])),((AO204*AP204)+SUMIFS(estoque[valor total],estoque[produto],preçodiario[[#Headers],[OVO VERMELHO C]],estoque[data],preçodiario[[#This Row],[data]],estoque[fornecedor],"&lt;&gt;saída"))/(AP204+(SUMIFS(estoque[quantidade],estoque[produto],preçodiario[[#Headers],[OVO VERMELHO C]],estoque[fornecedor],"&lt;&gt;saída",estoque[data],preçodiario[[#This Row],[data]])))))</f>
        <v/>
      </c>
      <c r="AP205" s="22">
        <f>IF(preçodiario[[#This Row],[entrada CV]]=0,AP204-(SUMIFS(estoque[quantidade],estoque[fornecedor],"saída",estoque[produto],preçodiario[[#Headers],[OVO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Row],[data]]))+AP204+preçodiario[[#This Row],[entrada CV]])</f>
        <v>0</v>
      </c>
      <c r="AQ205" s="22">
        <f>SUMIFS(estoque[quantidade],estoque[fornecedor],"&lt;&gt;saída",estoque[produto],preçodiario[[#Headers],[OVO VERMELHO C]],estoque[data],preçodiario[[#This Row],[data]])</f>
        <v>0</v>
      </c>
      <c r="AR205" s="20">
        <f>SUMIFS(estoque[valor total],estoque[fornecedor],"&lt;&gt;saída",estoque[produto],preçodiario[[#Headers],[OVO VERMELHO C]],estoque[data],preçodiario[[#This Row],[data]])</f>
        <v>0</v>
      </c>
      <c r="AS205" s="20">
        <f>IFERROR(preçodiario[[#This Row],[OVO VERMELHO C]]*preçodiario[[#This Row],[estoque CV]],0)</f>
        <v>0</v>
      </c>
      <c r="AT2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Row],[data]])),((AT204*AU204)+SUMIFS(estoque[valor total],estoque[produto],preçodiario[[#Headers],[OVO VERMELHO EXTRA]],estoque[data],preçodiario[[#This Row],[data]],estoque[fornecedor],"&lt;&gt;saída"))/(AU204+(SUMIFS(estoque[quantidade],estoque[produto],preçodiario[[#Headers],[OVO VERMELHO EXTRA]],estoque[fornecedor],"&lt;&gt;saída",estoque[data],preçodiario[[#This Row],[data]])))))</f>
        <v/>
      </c>
      <c r="AU205" s="22">
        <f>IF(preçodiario[[#This Row],[entrada EV]]=0,AU204-(SUMIFS(estoque[quantidade],estoque[fornecedor],"saída",estoque[produto],preçodiario[[#Headers],[OVO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Row],[data]]))+AU204+preçodiario[[#This Row],[entrada EV]])</f>
        <v>0</v>
      </c>
      <c r="AV205" s="22">
        <f>SUMIFS(estoque[quantidade],estoque[fornecedor],"&lt;&gt;saída",estoque[produto],preçodiario[[#Headers],[OVO VERMELHO EXTRA]],estoque[data],preçodiario[[#This Row],[data]])</f>
        <v>0</v>
      </c>
      <c r="AW205" s="20">
        <f>SUMIFS(estoque[valor total],estoque[fornecedor],"&lt;&gt;saída",estoque[produto],preçodiario[[#Headers],[OVO VERMELHO EXTRA]],estoque[data],preçodiario[[#This Row],[data]])</f>
        <v>0</v>
      </c>
      <c r="AX205" s="20">
        <f>IFERROR(preçodiario[[#This Row],[OVO VERMELHO EXTRA]]*preçodiario[[#This Row],[estoque EV]],0)</f>
        <v>0</v>
      </c>
      <c r="AY2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Row],[data]])),((AY204*AZ204)+SUMIFS(estoque[valor total],estoque[produto],preçodiario[[#Headers],[OVO VERMELHO JUMBO]],estoque[data],preçodiario[[#This Row],[data]],estoque[fornecedor],"&lt;&gt;saída"))/(AZ204+(SUMIFS(estoque[quantidade],estoque[produto],preçodiario[[#Headers],[OVO VERMELHO JUMBO]],estoque[fornecedor],"&lt;&gt;saída",estoque[data],preçodiario[[#This Row],[data]])))))</f>
        <v/>
      </c>
      <c r="AZ205" s="22">
        <f>IF(preçodiario[[#This Row],[entrada JV]]=0,AZ204-(SUMIFS(estoque[quantidade],estoque[fornecedor],"saída",estoque[produto],preçodiario[[#Headers],[OVO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Row],[data]]))+AZ204+preçodiario[[#This Row],[entrada JV]])</f>
        <v>0</v>
      </c>
      <c r="BA205" s="22">
        <f>SUMIFS(estoque[quantidade],estoque[fornecedor],"&lt;&gt;saída",estoque[produto],preçodiario[[#Headers],[OVO VERMELHO JUMBO]],estoque[data],preçodiario[[#This Row],[data]])</f>
        <v>0</v>
      </c>
      <c r="BB205" s="20">
        <f>SUMIFS(estoque[valor total],estoque[fornecedor],"&lt;&gt;saída",estoque[produto],preçodiario[[#Headers],[OVO VERMELHO JUMBO]],estoque[data],preçodiario[[#This Row],[data]])</f>
        <v>0</v>
      </c>
      <c r="BC205" s="20">
        <f>IFERROR(preçodiario[[#This Row],[OVO VERMELHO JUMBO]]*preçodiario[[#This Row],[estoque JV]],0)</f>
        <v>0</v>
      </c>
      <c r="BD205" t="str">
        <f>TEXT(vendaAno[[#This Row],[data]],"mmm")</f>
        <v>jul</v>
      </c>
      <c r="BE205" t="str">
        <f>TEXT(vendaAno[[#This Row],[data]],"ddd")</f>
        <v>qui</v>
      </c>
      <c r="BF205" s="82">
        <f>WEEKNUM(vendaAno[[#This Row],[data]],13)</f>
        <v>30</v>
      </c>
      <c r="BG205" s="27">
        <f>preçodiario[[#This Row],[data]]</f>
        <v>46226</v>
      </c>
      <c r="BH2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5" s="8">
        <f>IF(SUMIFS(estoque[valor total],estoque[fornecedor],"saída",estoque[data],vendaAno[[#This Row],[data]])=0,"",SUMIFS(estoque[valor total],estoque[fornecedor],"saída",estoque[data],vendaAno[[#This Row],[data]]))</f>
        <v>400</v>
      </c>
      <c r="BJ205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Row],[data]]))/12+BJ204,"")</f>
        <v>15.83333333333332</v>
      </c>
      <c r="BK205" s="79">
        <f ca="1">IF(TODAY()&gt;=vendaAno[[#This Row],[data]],IF(SUMIFS(estoque[quantidade],estoque[fornecedor],"saída",estoque[data],vendaAno[[#This Row],[data]])/12=0,AVERAGE(BK202:BK204),SUMIFS(estoque[quantidade],estoque[fornecedor],"saída",estoque[data],vendaAno[[#This Row],[data]])/12),"")</f>
        <v>1.6666666666666667</v>
      </c>
      <c r="BL205" s="8">
        <f ca="1">IF(vendaAno[[#This Row],[data]]&lt;=TODAY(),IF(SUMIFS(estoque[lucro],estoque[fornecedor],"saída",estoque[data],vendaAno[[#This Row],[data]])=0,AVERAGE(BL202:BL204),SUMIFS(estoque[lucro],estoque[fornecedor],"saída",estoque[data],vendaAno[[#This Row],[data]])),"")</f>
        <v>92.4</v>
      </c>
      <c r="BM205" s="10">
        <f ca="1">IFERROR(vendaAno[[#This Row],[lucro]]/vendaAno[[#This Row],[valor de venda]],"")</f>
        <v>0.23100000000000001</v>
      </c>
      <c r="BN205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2897.0872938715374</v>
      </c>
      <c r="BO205" s="8">
        <f ca="1">IF(TODAY()&gt;=vendaAno[[#This Row],[data]],IF(vendaAno[[#This Row],[N°]]=BF204,vendaAno[[#This Row],[lucro]]-173.33+BO204,vendaAno[[#This Row],[lucro]]-150),"")</f>
        <v>-144.83000000000001</v>
      </c>
      <c r="BP205" s="81">
        <f ca="1">IF(TODAY()&gt;=vendaAno[[#This Row],[data]],SUM(BK199:BK205)*12,"")</f>
        <v>157</v>
      </c>
      <c r="BQ205" s="7">
        <f ca="1">IFERROR(vendaAno[[#This Row],[lucro]]/(vendaAno[[#This Row],[venda]]*12),"")</f>
        <v>4.62</v>
      </c>
    </row>
    <row r="206" spans="1:69" x14ac:dyDescent="0.25">
      <c r="A2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6" s="18" t="str">
        <f>TEXT(preçodiario[[#This Row],[data]],"MMM")</f>
        <v>jul</v>
      </c>
      <c r="C206" s="18" t="str">
        <f>TEXT(preçodiario[[#This Row],[data]],"ddd")</f>
        <v>sex</v>
      </c>
      <c r="D206" s="96">
        <f>WEEKNUM(preçodiario[[#This Row],[data]],13)</f>
        <v>30</v>
      </c>
      <c r="E206" s="37">
        <v>46227</v>
      </c>
      <c r="F2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Row],[data]])),((F205*G205)+SUMIFS(estoque[valor total],estoque[produto],preçodiario[[#Headers],[OVO BRANCO A]],estoque[data],preçodiario[[#This Row],[data]],estoque[fornecedor],"&lt;&gt;saída"))/(G205+(SUMIFS(estoque[quantidade],estoque[produto],preçodiario[[#Headers],[OVO BRANCO A]],estoque[fornecedor],"&lt;&gt;saída",estoque[data],preçodiario[[#This Row],[data]])))))</f>
        <v>15.278182701652092</v>
      </c>
      <c r="G206" s="22">
        <f>IF(preçodiario[[#This Row],[entrada A]]=0,G205-(SUMIFS(estoque[quantidade],estoque[fornecedor],"saída",estoque[produto],preçodiario[[#Headers],[OVO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Row],[data]]))+G205+preçodiario[[#This Row],[entrada A]])</f>
        <v>193</v>
      </c>
      <c r="H206" s="22">
        <f>SUMIFS(estoque[quantidade],estoque[fornecedor],"&lt;&gt;saída",estoque[produto],preçodiario[[#Headers],[OVO BRANCO A]],estoque[data],preçodiario[[#This Row],[data]])</f>
        <v>120</v>
      </c>
      <c r="I206" s="20">
        <f>SUMIFS(estoque[valor total],estoque[fornecedor],"&lt;&gt;saída",estoque[produto],preçodiario[[#Headers],[OVO BRANCO A]],estoque[data],preçodiario[[#This Row],[data]])</f>
        <v>1850</v>
      </c>
      <c r="J206" s="20">
        <f>IFERROR(preçodiario[[#This Row],[estoque A]]*preçodiario[[#This Row],[OVO BRANCO A]],0)</f>
        <v>2948.6892614188537</v>
      </c>
      <c r="K2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Row],[data]])),((K205*L205)+SUMIFS(estoque[valor total],estoque[produto],preçodiario[[#Headers],[OVO BRANCO B]],estoque[data],preçodiario[[#This Row],[data]],estoque[fornecedor],"&lt;&gt;saída"))/(L205+(SUMIFS(estoque[quantidade],estoque[produto],preçodiario[[#Headers],[OVO BRANCO B]],estoque[fornecedor],"&lt;&gt;saída",estoque[data],preçodiario[[#This Row],[data]])))))</f>
        <v>14.584252837326602</v>
      </c>
      <c r="L206" s="22">
        <f>IF(preçodiario[[#This Row],[entrada B]]=0,L205-(SUMIFS(estoque[quantidade],estoque[fornecedor],"saída",estoque[produto],preçodiario[[#Headers],[OVO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Row],[data]]))+L205+preçodiario[[#This Row],[entrada B]])</f>
        <v>40</v>
      </c>
      <c r="M206" s="22">
        <f>SUMIFS(estoque[quantidade],estoque[fornecedor],"&lt;&gt;saída",estoque[produto],preçodiario[[#Headers],[OVO BRANCO B]],estoque[data],preçodiario[[#This Row],[data]])</f>
        <v>0</v>
      </c>
      <c r="N206" s="20">
        <f>SUMIFS(estoque[valor total],estoque[fornecedor],"&lt;&gt;saída",estoque[produto],preçodiario[[#Headers],[OVO BRANCO B]],estoque[data],preçodiario[[#This Row],[data]])</f>
        <v>0</v>
      </c>
      <c r="O206" s="20">
        <f>IFERROR(preçodiario[[#This Row],[OVO BRANCO B]]*preçodiario[[#This Row],[estoque B]],0)</f>
        <v>583.37011349306408</v>
      </c>
      <c r="P20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Row],[data]])),((P205*Q205)+SUMIFS(estoque[valor total],estoque[produto],preçodiario[[#Headers],[OVO BRANCO C]],estoque[data],preçodiario[[#This Row],[data]],estoque[fornecedor],"&lt;&gt;saída"))/(Q205+(SUMIFS(estoque[quantidade],estoque[produto],preçodiario[[#Headers],[OVO BRANCO C]],estoque[fornecedor],"&lt;&gt;saída",estoque[data],preçodiario[[#This Row],[data]])))))</f>
        <v>12.5</v>
      </c>
      <c r="Q206" s="22">
        <f>IF(preçodiario[[#This Row],[entrada C]]=0,Q205-(SUMIFS(estoque[quantidade],estoque[fornecedor],"saída",estoque[produto],preçodiario[[#Headers],[OVO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Row],[data]]))+Q205+preçodiario[[#This Row],[entrada C]])</f>
        <v>60</v>
      </c>
      <c r="R206" s="22">
        <f>SUMIFS(estoque[quantidade],estoque[fornecedor],"&lt;&gt;saída",estoque[produto],preçodiario[[#Headers],[OVO BRANCO C]],estoque[data],preçodiario[[#This Row],[data]])</f>
        <v>60</v>
      </c>
      <c r="S206" s="20">
        <f>SUMIFS(estoque[valor total],estoque[fornecedor],"&lt;&gt;saída",estoque[produto],preçodiario[[#Headers],[OVO BRANCO C]],estoque[data],preçodiario[[#This Row],[data]])</f>
        <v>750</v>
      </c>
      <c r="T206" s="20">
        <f>IFERROR(preçodiario[[#This Row],[OVO BRANCO C]]*preçodiario[[#This Row],[estoque C]],0)</f>
        <v>750</v>
      </c>
      <c r="U2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Row],[data]])),((U205*V205)+SUMIFS(estoque[valor total],estoque[produto],preçodiario[[#Headers],[OVO BRANCO EXTRA]],estoque[data],preçodiario[[#This Row],[data]],estoque[fornecedor],"&lt;&gt;saída"))/(V205+(SUMIFS(estoque[quantidade],estoque[produto],preçodiario[[#Headers],[OVO BRANCO EXTRA]],estoque[fornecedor],"&lt;&gt;saída",estoque[data],preçodiario[[#This Row],[data]])))))</f>
        <v>15.725438400674653</v>
      </c>
      <c r="V206" s="22">
        <f>IF(preçodiario[[#This Row],[entrada E]]=0,V205-(SUMIFS(estoque[quantidade],estoque[fornecedor],"saída",estoque[produto],preçodiario[[#Headers],[OVO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Row],[data]]))+V205+preçodiario[[#This Row],[entrada E]])</f>
        <v>71</v>
      </c>
      <c r="W206" s="22">
        <f>SUMIFS(estoque[quantidade],estoque[fornecedor],"&lt;&gt;saída",estoque[produto],preçodiario[[#Headers],[OVO BRANCO EXTRA]],estoque[data],preçodiario[[#This Row],[data]])</f>
        <v>60</v>
      </c>
      <c r="X206" s="20">
        <f>SUMIFS(estoque[valor total],estoque[fornecedor],"&lt;&gt;saída",estoque[produto],preçodiario[[#Headers],[OVO BRANCO EXTRA]],estoque[data],preçodiario[[#This Row],[data]])</f>
        <v>950</v>
      </c>
      <c r="Y206" s="20">
        <f>IFERROR(preçodiario[[#This Row],[estoque E]]*preçodiario[[#This Row],[OVO BRANCO EXTRA]],0)</f>
        <v>1116.5061264479004</v>
      </c>
      <c r="Z2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Row],[data]])),((Z205*AA205)+SUMIFS(estoque[valor total],estoque[produto],preçodiario[[#Headers],[OVO BRANCO JUMBO]],estoque[data],preçodiario[[#This Row],[data]],estoque[fornecedor],"&lt;&gt;saída"))/(AA205+(SUMIFS(estoque[quantidade],estoque[produto],preçodiario[[#Headers],[OVO BRANCO JUMBO]],estoque[fornecedor],"&lt;&gt;saída",estoque[data],preçodiario[[#This Row],[data]])))))</f>
        <v>16.50550595238095</v>
      </c>
      <c r="AA206" s="22">
        <f>IF(preçodiario[[#This Row],[entrada J]]=0,AA205-(SUMIFS(estoque[quantidade],estoque[fornecedor],"saída",estoque[produto],preçodiario[[#Headers],[OVO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Row],[data]]))+AA205+preçodiario[[#This Row],[entrada J]])</f>
        <v>88</v>
      </c>
      <c r="AB206" s="22">
        <f>SUMIFS(estoque[quantidade],estoque[fornecedor],"&lt;&gt;saída",estoque[produto],preçodiario[[#Headers],[OVO BRANCO JUMBO]],estoque[data],preçodiario[[#This Row],[data]])</f>
        <v>60</v>
      </c>
      <c r="AC206" s="20">
        <f>SUMIFS(estoque[valor total],estoque[fornecedor],"&lt;&gt;saída",estoque[produto],preçodiario[[#Headers],[OVO BRANCO JUMBO]],estoque[data],preçodiario[[#This Row],[data]])</f>
        <v>1000</v>
      </c>
      <c r="AD206" s="20">
        <f>IFERROR(preçodiario[[#This Row],[OVO BRANCO JUMBO]]*preçodiario[[#This Row],[estoque J]],0)</f>
        <v>1452.4845238095236</v>
      </c>
      <c r="AE2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Row],[data]])),((AE205*AF205)+SUMIFS(estoque[valor total],estoque[produto],preçodiario[[#Headers],[OVO VERMELHO A]],estoque[data],preçodiario[[#This Row],[data]],estoque[fornecedor],"&lt;&gt;saída"))/(AF205+(SUMIFS(estoque[quantidade],estoque[produto],preçodiario[[#Headers],[OVO VERMELHO A]],estoque[fornecedor],"&lt;&gt;saída",estoque[data],preçodiario[[#This Row],[data]])))))</f>
        <v/>
      </c>
      <c r="AF206" s="22">
        <f>IF(preçodiario[[#This Row],[entrada AV]]=0,AF205-(SUMIFS(estoque[quantidade],estoque[fornecedor],"saída",estoque[produto],preçodiario[[#Headers],[OVO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Row],[data]]))+AF205+preçodiario[[#This Row],[entrada AV]])</f>
        <v>0</v>
      </c>
      <c r="AG206" s="22">
        <f>SUMIFS(estoque[quantidade],estoque[fornecedor],"&lt;&gt;saída",estoque[produto],preçodiario[[#Headers],[OVO VERMELHO A]],estoque[data],preçodiario[[#This Row],[data]])</f>
        <v>0</v>
      </c>
      <c r="AH206" s="20">
        <f>SUMIFS(estoque[valor total],estoque[fornecedor],"&lt;&gt;saída",estoque[produto],preçodiario[[#Headers],[OVO VERMELHO A]],estoque[data],preçodiario[[#This Row],[data]])</f>
        <v>0</v>
      </c>
      <c r="AI206" s="20">
        <f>IFERROR(preçodiario[[#This Row],[OVO VERMELHO A]]*preçodiario[[#This Row],[estoque AV]],0)</f>
        <v>0</v>
      </c>
      <c r="AJ2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Row],[data]])),((AJ205*AK205)+SUMIFS(estoque[valor total],estoque[produto],preçodiario[[#Headers],[OVO VERMELHO B]],estoque[data],preçodiario[[#This Row],[data]],estoque[fornecedor],"&lt;&gt;saída"))/(AK205+(SUMIFS(estoque[quantidade],estoque[produto],preçodiario[[#Headers],[OVO VERMELHO B]],estoque[fornecedor],"&lt;&gt;saída",estoque[data],preçodiario[[#This Row],[data]])))))</f>
        <v/>
      </c>
      <c r="AK206" s="22">
        <f>IF(preçodiario[[#This Row],[entrada BV]]=0,AK205-(SUMIFS(estoque[quantidade],estoque[fornecedor],"saída",estoque[produto],preçodiario[[#Headers],[OVO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Row],[data]]))+AK205+preçodiario[[#This Row],[entrada BV]])</f>
        <v>0</v>
      </c>
      <c r="AL206" s="22">
        <f>SUMIFS(estoque[quantidade],estoque[fornecedor],"&lt;&gt;saída",estoque[produto],preçodiario[[#Headers],[OVO VERMELHO B]],estoque[data],preçodiario[[#This Row],[data]])</f>
        <v>0</v>
      </c>
      <c r="AM206" s="20">
        <f>SUMIFS(estoque[valor total],estoque[fornecedor],"&lt;&gt;saída",estoque[produto],preçodiario[[#Headers],[OVO VERMELHO B]],estoque[data],preçodiario[[#This Row],[data]])</f>
        <v>0</v>
      </c>
      <c r="AN206" s="20">
        <f>IFERROR(preçodiario[[#This Row],[OVO VERMELHO B]]*preçodiario[[#This Row],[estoque BV]],0)</f>
        <v>0</v>
      </c>
      <c r="AO2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Row],[data]])),((AO205*AP205)+SUMIFS(estoque[valor total],estoque[produto],preçodiario[[#Headers],[OVO VERMELHO C]],estoque[data],preçodiario[[#This Row],[data]],estoque[fornecedor],"&lt;&gt;saída"))/(AP205+(SUMIFS(estoque[quantidade],estoque[produto],preçodiario[[#Headers],[OVO VERMELHO C]],estoque[fornecedor],"&lt;&gt;saída",estoque[data],preçodiario[[#This Row],[data]])))))</f>
        <v/>
      </c>
      <c r="AP206" s="22">
        <f>IF(preçodiario[[#This Row],[entrada CV]]=0,AP205-(SUMIFS(estoque[quantidade],estoque[fornecedor],"saída",estoque[produto],preçodiario[[#Headers],[OVO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Row],[data]]))+AP205+preçodiario[[#This Row],[entrada CV]])</f>
        <v>0</v>
      </c>
      <c r="AQ206" s="22">
        <f>SUMIFS(estoque[quantidade],estoque[fornecedor],"&lt;&gt;saída",estoque[produto],preçodiario[[#Headers],[OVO VERMELHO C]],estoque[data],preçodiario[[#This Row],[data]])</f>
        <v>0</v>
      </c>
      <c r="AR206" s="20">
        <f>SUMIFS(estoque[valor total],estoque[fornecedor],"&lt;&gt;saída",estoque[produto],preçodiario[[#Headers],[OVO VERMELHO C]],estoque[data],preçodiario[[#This Row],[data]])</f>
        <v>0</v>
      </c>
      <c r="AS206" s="20">
        <f>IFERROR(preçodiario[[#This Row],[OVO VERMELHO C]]*preçodiario[[#This Row],[estoque CV]],0)</f>
        <v>0</v>
      </c>
      <c r="AT2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Row],[data]])),((AT205*AU205)+SUMIFS(estoque[valor total],estoque[produto],preçodiario[[#Headers],[OVO VERMELHO EXTRA]],estoque[data],preçodiario[[#This Row],[data]],estoque[fornecedor],"&lt;&gt;saída"))/(AU205+(SUMIFS(estoque[quantidade],estoque[produto],preçodiario[[#Headers],[OVO VERMELHO EXTRA]],estoque[fornecedor],"&lt;&gt;saída",estoque[data],preçodiario[[#This Row],[data]])))))</f>
        <v/>
      </c>
      <c r="AU206" s="22">
        <f>IF(preçodiario[[#This Row],[entrada EV]]=0,AU205-(SUMIFS(estoque[quantidade],estoque[fornecedor],"saída",estoque[produto],preçodiario[[#Headers],[OVO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Row],[data]]))+AU205+preçodiario[[#This Row],[entrada EV]])</f>
        <v>0</v>
      </c>
      <c r="AV206" s="22">
        <f>SUMIFS(estoque[quantidade],estoque[fornecedor],"&lt;&gt;saída",estoque[produto],preçodiario[[#Headers],[OVO VERMELHO EXTRA]],estoque[data],preçodiario[[#This Row],[data]])</f>
        <v>0</v>
      </c>
      <c r="AW206" s="20">
        <f>SUMIFS(estoque[valor total],estoque[fornecedor],"&lt;&gt;saída",estoque[produto],preçodiario[[#Headers],[OVO VERMELHO EXTRA]],estoque[data],preçodiario[[#This Row],[data]])</f>
        <v>0</v>
      </c>
      <c r="AX206" s="20">
        <f>IFERROR(preçodiario[[#This Row],[OVO VERMELHO EXTRA]]*preçodiario[[#This Row],[estoque EV]],0)</f>
        <v>0</v>
      </c>
      <c r="AY2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Row],[data]])),((AY205*AZ205)+SUMIFS(estoque[valor total],estoque[produto],preçodiario[[#Headers],[OVO VERMELHO JUMBO]],estoque[data],preçodiario[[#This Row],[data]],estoque[fornecedor],"&lt;&gt;saída"))/(AZ205+(SUMIFS(estoque[quantidade],estoque[produto],preçodiario[[#Headers],[OVO VERMELHO JUMBO]],estoque[fornecedor],"&lt;&gt;saída",estoque[data],preçodiario[[#This Row],[data]])))))</f>
        <v/>
      </c>
      <c r="AZ206" s="22">
        <f>IF(preçodiario[[#This Row],[entrada JV]]=0,AZ205-(SUMIFS(estoque[quantidade],estoque[fornecedor],"saída",estoque[produto],preçodiario[[#Headers],[OVO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Row],[data]]))+AZ205+preçodiario[[#This Row],[entrada JV]])</f>
        <v>0</v>
      </c>
      <c r="BA206" s="22">
        <f>SUMIFS(estoque[quantidade],estoque[fornecedor],"&lt;&gt;saída",estoque[produto],preçodiario[[#Headers],[OVO VERMELHO JUMBO]],estoque[data],preçodiario[[#This Row],[data]])</f>
        <v>0</v>
      </c>
      <c r="BB206" s="20">
        <f>SUMIFS(estoque[valor total],estoque[fornecedor],"&lt;&gt;saída",estoque[produto],preçodiario[[#Headers],[OVO VERMELHO JUMBO]],estoque[data],preçodiario[[#This Row],[data]])</f>
        <v>0</v>
      </c>
      <c r="BC206" s="20">
        <f>IFERROR(preçodiario[[#This Row],[OVO VERMELHO JUMBO]]*preçodiario[[#This Row],[estoque JV]],0)</f>
        <v>0</v>
      </c>
      <c r="BD206" t="str">
        <f>TEXT(vendaAno[[#This Row],[data]],"mmm")</f>
        <v>jul</v>
      </c>
      <c r="BE206" t="str">
        <f>TEXT(vendaAno[[#This Row],[data]],"ddd")</f>
        <v>sex</v>
      </c>
      <c r="BF206" s="82">
        <f>WEEKNUM(vendaAno[[#This Row],[data]],13)</f>
        <v>30</v>
      </c>
      <c r="BG206" s="27">
        <f>preçodiario[[#This Row],[data]]</f>
        <v>46227</v>
      </c>
      <c r="BH206" s="8">
        <f>IF(SUMIFS(estoque[valor total],estoque[fornecedor],"&lt;&gt;saída",estoque[data],vendaAno[[#This Row],[data]])=0,"",SUMIFS(estoque[valor total],estoque[fornecedor],"&lt;&gt;saída",estoque[data],vendaAno[[#This Row],[data]]))</f>
        <v>4550</v>
      </c>
      <c r="BI206" s="8">
        <f>IF(SUMIFS(estoque[valor total],estoque[fornecedor],"saída",estoque[data],vendaAno[[#This Row],[data]])=0,"",SUMIFS(estoque[valor total],estoque[fornecedor],"saída",estoque[data],vendaAno[[#This Row],[data]]))</f>
        <v>767</v>
      </c>
      <c r="BJ206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Row],[data]]))/12+BJ205,"")</f>
        <v>37.66666666666665</v>
      </c>
      <c r="BK206" s="79">
        <f ca="1">IF(TODAY()&gt;=vendaAno[[#This Row],[data]],IF(SUMIFS(estoque[quantidade],estoque[fornecedor],"saída",estoque[data],vendaAno[[#This Row],[data]])/12=0,AVERAGE(BK203:BK205),SUMIFS(estoque[quantidade],estoque[fornecedor],"saída",estoque[data],vendaAno[[#This Row],[data]])/12),"")</f>
        <v>3.1666666666666665</v>
      </c>
      <c r="BL206" s="8">
        <f ca="1">IF(vendaAno[[#This Row],[data]]&lt;=TODAY(),IF(SUMIFS(estoque[lucro],estoque[fornecedor],"saída",estoque[data],vendaAno[[#This Row],[data]])=0,AVERAGE(BL203:BL205),SUMIFS(estoque[lucro],estoque[fornecedor],"saída",estoque[data],vendaAno[[#This Row],[data]])),"")</f>
        <v>178.17999999999998</v>
      </c>
      <c r="BM206" s="10">
        <f ca="1">IFERROR(vendaAno[[#This Row],[lucro]]/vendaAno[[#This Row],[valor de venda]],"")</f>
        <v>0.23230769230769227</v>
      </c>
      <c r="BN206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6851.050025169342</v>
      </c>
      <c r="BO206" s="8">
        <f ca="1">IF(TODAY()&gt;=vendaAno[[#This Row],[data]],IF(vendaAno[[#This Row],[N°]]=BF205,vendaAno[[#This Row],[lucro]]-173.33+BO205,vendaAno[[#This Row],[lucro]]-150),"")</f>
        <v>-139.98000000000005</v>
      </c>
      <c r="BP206" s="81">
        <f ca="1">IF(TODAY()&gt;=vendaAno[[#This Row],[data]],SUM(BK200:BK206)*12,"")</f>
        <v>176</v>
      </c>
      <c r="BQ206" s="7">
        <f ca="1">IFERROR(vendaAno[[#This Row],[lucro]]/(vendaAno[[#This Row],[venda]]*12),"")</f>
        <v>4.6889473684210516</v>
      </c>
    </row>
    <row r="207" spans="1:69" x14ac:dyDescent="0.25">
      <c r="A2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7" s="18" t="str">
        <f>TEXT(preçodiario[[#This Row],[data]],"MMM")</f>
        <v>jul</v>
      </c>
      <c r="C207" s="18" t="str">
        <f>TEXT(preçodiario[[#This Row],[data]],"ddd")</f>
        <v>sáb</v>
      </c>
      <c r="D207" s="96">
        <f>WEEKNUM(preçodiario[[#This Row],[data]],13)</f>
        <v>30</v>
      </c>
      <c r="E207" s="37">
        <v>46228</v>
      </c>
      <c r="F2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Row],[data]])),((F206*G206)+SUMIFS(estoque[valor total],estoque[produto],preçodiario[[#Headers],[OVO BRANCO A]],estoque[data],preçodiario[[#This Row],[data]],estoque[fornecedor],"&lt;&gt;saída"))/(G206+(SUMIFS(estoque[quantidade],estoque[produto],preçodiario[[#Headers],[OVO BRANCO A]],estoque[fornecedor],"&lt;&gt;saída",estoque[data],preçodiario[[#This Row],[data]])))))</f>
        <v>15.278182701652092</v>
      </c>
      <c r="G207" s="22">
        <f>IF(preçodiario[[#This Row],[entrada A]]=0,G206-(SUMIFS(estoque[quantidade],estoque[fornecedor],"saída",estoque[produto],preçodiario[[#Headers],[OVO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Row],[data]]))+G206+preçodiario[[#This Row],[entrada A]])</f>
        <v>192</v>
      </c>
      <c r="H207" s="22">
        <f>SUMIFS(estoque[quantidade],estoque[fornecedor],"&lt;&gt;saída",estoque[produto],preçodiario[[#Headers],[OVO BRANCO A]],estoque[data],preçodiario[[#This Row],[data]])</f>
        <v>0</v>
      </c>
      <c r="I207" s="20">
        <f>SUMIFS(estoque[valor total],estoque[fornecedor],"&lt;&gt;saída",estoque[produto],preçodiario[[#Headers],[OVO BRANCO A]],estoque[data],preçodiario[[#This Row],[data]])</f>
        <v>0</v>
      </c>
      <c r="J207" s="20">
        <f>IFERROR(preçodiario[[#This Row],[estoque A]]*preçodiario[[#This Row],[OVO BRANCO A]],0)</f>
        <v>2933.4110787172017</v>
      </c>
      <c r="K2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Row],[data]])),((K206*L206)+SUMIFS(estoque[valor total],estoque[produto],preçodiario[[#Headers],[OVO BRANCO B]],estoque[data],preçodiario[[#This Row],[data]],estoque[fornecedor],"&lt;&gt;saída"))/(L206+(SUMIFS(estoque[quantidade],estoque[produto],preçodiario[[#Headers],[OVO BRANCO B]],estoque[fornecedor],"&lt;&gt;saída",estoque[data],preçodiario[[#This Row],[data]])))))</f>
        <v>14.584252837326602</v>
      </c>
      <c r="L207" s="22">
        <f>IF(preçodiario[[#This Row],[entrada B]]=0,L206-(SUMIFS(estoque[quantidade],estoque[fornecedor],"saída",estoque[produto],preçodiario[[#Headers],[OVO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Row],[data]]))+L206+preçodiario[[#This Row],[entrada B]])</f>
        <v>40</v>
      </c>
      <c r="M207" s="22">
        <f>SUMIFS(estoque[quantidade],estoque[fornecedor],"&lt;&gt;saída",estoque[produto],preçodiario[[#Headers],[OVO BRANCO B]],estoque[data],preçodiario[[#This Row],[data]])</f>
        <v>0</v>
      </c>
      <c r="N207" s="20">
        <f>SUMIFS(estoque[valor total],estoque[fornecedor],"&lt;&gt;saída",estoque[produto],preçodiario[[#Headers],[OVO BRANCO B]],estoque[data],preçodiario[[#This Row],[data]])</f>
        <v>0</v>
      </c>
      <c r="O207" s="20">
        <f>IFERROR(preçodiario[[#This Row],[OVO BRANCO B]]*preçodiario[[#This Row],[estoque B]],0)</f>
        <v>583.37011349306408</v>
      </c>
      <c r="P20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Row],[data]])),((P206*Q206)+SUMIFS(estoque[valor total],estoque[produto],preçodiario[[#Headers],[OVO BRANCO C]],estoque[data],preçodiario[[#This Row],[data]],estoque[fornecedor],"&lt;&gt;saída"))/(Q206+(SUMIFS(estoque[quantidade],estoque[produto],preçodiario[[#Headers],[OVO BRANCO C]],estoque[fornecedor],"&lt;&gt;saída",estoque[data],preçodiario[[#This Row],[data]])))))</f>
        <v>12.5</v>
      </c>
      <c r="Q207" s="22">
        <f>IF(preçodiario[[#This Row],[entrada C]]=0,Q206-(SUMIFS(estoque[quantidade],estoque[fornecedor],"saída",estoque[produto],preçodiario[[#Headers],[OVO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Row],[data]]))+Q206+preçodiario[[#This Row],[entrada C]])</f>
        <v>60</v>
      </c>
      <c r="R207" s="22">
        <f>SUMIFS(estoque[quantidade],estoque[fornecedor],"&lt;&gt;saída",estoque[produto],preçodiario[[#Headers],[OVO BRANCO C]],estoque[data],preçodiario[[#This Row],[data]])</f>
        <v>0</v>
      </c>
      <c r="S207" s="20">
        <f>SUMIFS(estoque[valor total],estoque[fornecedor],"&lt;&gt;saída",estoque[produto],preçodiario[[#Headers],[OVO BRANCO C]],estoque[data],preçodiario[[#This Row],[data]])</f>
        <v>0</v>
      </c>
      <c r="T207" s="20">
        <f>IFERROR(preçodiario[[#This Row],[OVO BRANCO C]]*preçodiario[[#This Row],[estoque C]],0)</f>
        <v>750</v>
      </c>
      <c r="U2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Row],[data]])),((U206*V206)+SUMIFS(estoque[valor total],estoque[produto],preçodiario[[#Headers],[OVO BRANCO EXTRA]],estoque[data],preçodiario[[#This Row],[data]],estoque[fornecedor],"&lt;&gt;saída"))/(V206+(SUMIFS(estoque[quantidade],estoque[produto],preçodiario[[#Headers],[OVO BRANCO EXTRA]],estoque[fornecedor],"&lt;&gt;saída",estoque[data],preçodiario[[#This Row],[data]])))))</f>
        <v>15.725438400674655</v>
      </c>
      <c r="V207" s="22">
        <f>IF(preçodiario[[#This Row],[entrada E]]=0,V206-(SUMIFS(estoque[quantidade],estoque[fornecedor],"saída",estoque[produto],preçodiario[[#Headers],[OVO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Row],[data]]))+V206+preçodiario[[#This Row],[entrada E]])</f>
        <v>68</v>
      </c>
      <c r="W207" s="22">
        <f>SUMIFS(estoque[quantidade],estoque[fornecedor],"&lt;&gt;saída",estoque[produto],preçodiario[[#Headers],[OVO BRANCO EXTRA]],estoque[data],preçodiario[[#This Row],[data]])</f>
        <v>0</v>
      </c>
      <c r="X207" s="20">
        <f>SUMIFS(estoque[valor total],estoque[fornecedor],"&lt;&gt;saída",estoque[produto],preçodiario[[#Headers],[OVO BRANCO EXTRA]],estoque[data],preçodiario[[#This Row],[data]])</f>
        <v>0</v>
      </c>
      <c r="Y207" s="20">
        <f>IFERROR(preçodiario[[#This Row],[estoque E]]*preçodiario[[#This Row],[OVO BRANCO EXTRA]],0)</f>
        <v>1069.3298112458765</v>
      </c>
      <c r="Z20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Row],[data]])),((Z206*AA206)+SUMIFS(estoque[valor total],estoque[produto],preçodiario[[#Headers],[OVO BRANCO JUMBO]],estoque[data],preçodiario[[#This Row],[data]],estoque[fornecedor],"&lt;&gt;saída"))/(AA206+(SUMIFS(estoque[quantidade],estoque[produto],preçodiario[[#Headers],[OVO BRANCO JUMBO]],estoque[fornecedor],"&lt;&gt;saída",estoque[data],preçodiario[[#This Row],[data]])))))</f>
        <v>16.50550595238095</v>
      </c>
      <c r="AA207" s="22">
        <f>IF(preçodiario[[#This Row],[entrada J]]=0,AA206-(SUMIFS(estoque[quantidade],estoque[fornecedor],"saída",estoque[produto],preçodiario[[#Headers],[OVO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Row],[data]]))+AA206+preçodiario[[#This Row],[entrada J]])</f>
        <v>84</v>
      </c>
      <c r="AB207" s="22">
        <f>SUMIFS(estoque[quantidade],estoque[fornecedor],"&lt;&gt;saída",estoque[produto],preçodiario[[#Headers],[OVO BRANCO JUMBO]],estoque[data],preçodiario[[#This Row],[data]])</f>
        <v>0</v>
      </c>
      <c r="AC207" s="20">
        <f>SUMIFS(estoque[valor total],estoque[fornecedor],"&lt;&gt;saída",estoque[produto],preçodiario[[#Headers],[OVO BRANCO JUMBO]],estoque[data],preçodiario[[#This Row],[data]])</f>
        <v>0</v>
      </c>
      <c r="AD207" s="20">
        <f>IFERROR(preçodiario[[#This Row],[OVO BRANCO JUMBO]]*preçodiario[[#This Row],[estoque J]],0)</f>
        <v>1386.4624999999999</v>
      </c>
      <c r="AE2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Row],[data]])),((AE206*AF206)+SUMIFS(estoque[valor total],estoque[produto],preçodiario[[#Headers],[OVO VERMELHO A]],estoque[data],preçodiario[[#This Row],[data]],estoque[fornecedor],"&lt;&gt;saída"))/(AF206+(SUMIFS(estoque[quantidade],estoque[produto],preçodiario[[#Headers],[OVO VERMELHO A]],estoque[fornecedor],"&lt;&gt;saída",estoque[data],preçodiario[[#This Row],[data]])))))</f>
        <v/>
      </c>
      <c r="AF207" s="22">
        <f>IF(preçodiario[[#This Row],[entrada AV]]=0,AF206-(SUMIFS(estoque[quantidade],estoque[fornecedor],"saída",estoque[produto],preçodiario[[#Headers],[OVO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Row],[data]]))+AF206+preçodiario[[#This Row],[entrada AV]])</f>
        <v>0</v>
      </c>
      <c r="AG207" s="22">
        <f>SUMIFS(estoque[quantidade],estoque[fornecedor],"&lt;&gt;saída",estoque[produto],preçodiario[[#Headers],[OVO VERMELHO A]],estoque[data],preçodiario[[#This Row],[data]])</f>
        <v>0</v>
      </c>
      <c r="AH207" s="20">
        <f>SUMIFS(estoque[valor total],estoque[fornecedor],"&lt;&gt;saída",estoque[produto],preçodiario[[#Headers],[OVO VERMELHO A]],estoque[data],preçodiario[[#This Row],[data]])</f>
        <v>0</v>
      </c>
      <c r="AI207" s="20">
        <f>IFERROR(preçodiario[[#This Row],[OVO VERMELHO A]]*preçodiario[[#This Row],[estoque AV]],0)</f>
        <v>0</v>
      </c>
      <c r="AJ2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Row],[data]])),((AJ206*AK206)+SUMIFS(estoque[valor total],estoque[produto],preçodiario[[#Headers],[OVO VERMELHO B]],estoque[data],preçodiario[[#This Row],[data]],estoque[fornecedor],"&lt;&gt;saída"))/(AK206+(SUMIFS(estoque[quantidade],estoque[produto],preçodiario[[#Headers],[OVO VERMELHO B]],estoque[fornecedor],"&lt;&gt;saída",estoque[data],preçodiario[[#This Row],[data]])))))</f>
        <v/>
      </c>
      <c r="AK207" s="22">
        <f>IF(preçodiario[[#This Row],[entrada BV]]=0,AK206-(SUMIFS(estoque[quantidade],estoque[fornecedor],"saída",estoque[produto],preçodiario[[#Headers],[OVO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Row],[data]]))+AK206+preçodiario[[#This Row],[entrada BV]])</f>
        <v>0</v>
      </c>
      <c r="AL207" s="22">
        <f>SUMIFS(estoque[quantidade],estoque[fornecedor],"&lt;&gt;saída",estoque[produto],preçodiario[[#Headers],[OVO VERMELHO B]],estoque[data],preçodiario[[#This Row],[data]])</f>
        <v>0</v>
      </c>
      <c r="AM207" s="20">
        <f>SUMIFS(estoque[valor total],estoque[fornecedor],"&lt;&gt;saída",estoque[produto],preçodiario[[#Headers],[OVO VERMELHO B]],estoque[data],preçodiario[[#This Row],[data]])</f>
        <v>0</v>
      </c>
      <c r="AN207" s="20">
        <f>IFERROR(preçodiario[[#This Row],[OVO VERMELHO B]]*preçodiario[[#This Row],[estoque BV]],0)</f>
        <v>0</v>
      </c>
      <c r="AO2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Row],[data]])),((AO206*AP206)+SUMIFS(estoque[valor total],estoque[produto],preçodiario[[#Headers],[OVO VERMELHO C]],estoque[data],preçodiario[[#This Row],[data]],estoque[fornecedor],"&lt;&gt;saída"))/(AP206+(SUMIFS(estoque[quantidade],estoque[produto],preçodiario[[#Headers],[OVO VERMELHO C]],estoque[fornecedor],"&lt;&gt;saída",estoque[data],preçodiario[[#This Row],[data]])))))</f>
        <v/>
      </c>
      <c r="AP207" s="22">
        <f>IF(preçodiario[[#This Row],[entrada CV]]=0,AP206-(SUMIFS(estoque[quantidade],estoque[fornecedor],"saída",estoque[produto],preçodiario[[#Headers],[OVO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Row],[data]]))+AP206+preçodiario[[#This Row],[entrada CV]])</f>
        <v>0</v>
      </c>
      <c r="AQ207" s="22">
        <f>SUMIFS(estoque[quantidade],estoque[fornecedor],"&lt;&gt;saída",estoque[produto],preçodiario[[#Headers],[OVO VERMELHO C]],estoque[data],preçodiario[[#This Row],[data]])</f>
        <v>0</v>
      </c>
      <c r="AR207" s="20">
        <f>SUMIFS(estoque[valor total],estoque[fornecedor],"&lt;&gt;saída",estoque[produto],preçodiario[[#Headers],[OVO VERMELHO C]],estoque[data],preçodiario[[#This Row],[data]])</f>
        <v>0</v>
      </c>
      <c r="AS207" s="20">
        <f>IFERROR(preçodiario[[#This Row],[OVO VERMELHO C]]*preçodiario[[#This Row],[estoque CV]],0)</f>
        <v>0</v>
      </c>
      <c r="AT2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Row],[data]])),((AT206*AU206)+SUMIFS(estoque[valor total],estoque[produto],preçodiario[[#Headers],[OVO VERMELHO EXTRA]],estoque[data],preçodiario[[#This Row],[data]],estoque[fornecedor],"&lt;&gt;saída"))/(AU206+(SUMIFS(estoque[quantidade],estoque[produto],preçodiario[[#Headers],[OVO VERMELHO EXTRA]],estoque[fornecedor],"&lt;&gt;saída",estoque[data],preçodiario[[#This Row],[data]])))))</f>
        <v/>
      </c>
      <c r="AU207" s="22">
        <f>IF(preçodiario[[#This Row],[entrada EV]]=0,AU206-(SUMIFS(estoque[quantidade],estoque[fornecedor],"saída",estoque[produto],preçodiario[[#Headers],[OVO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Row],[data]]))+AU206+preçodiario[[#This Row],[entrada EV]])</f>
        <v>0</v>
      </c>
      <c r="AV207" s="22">
        <f>SUMIFS(estoque[quantidade],estoque[fornecedor],"&lt;&gt;saída",estoque[produto],preçodiario[[#Headers],[OVO VERMELHO EXTRA]],estoque[data],preçodiario[[#This Row],[data]])</f>
        <v>0</v>
      </c>
      <c r="AW207" s="20">
        <f>SUMIFS(estoque[valor total],estoque[fornecedor],"&lt;&gt;saída",estoque[produto],preçodiario[[#Headers],[OVO VERMELHO EXTRA]],estoque[data],preçodiario[[#This Row],[data]])</f>
        <v>0</v>
      </c>
      <c r="AX207" s="20">
        <f>IFERROR(preçodiario[[#This Row],[OVO VERMELHO EXTRA]]*preçodiario[[#This Row],[estoque EV]],0)</f>
        <v>0</v>
      </c>
      <c r="AY2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Row],[data]])),((AY206*AZ206)+SUMIFS(estoque[valor total],estoque[produto],preçodiario[[#Headers],[OVO VERMELHO JUMBO]],estoque[data],preçodiario[[#This Row],[data]],estoque[fornecedor],"&lt;&gt;saída"))/(AZ206+(SUMIFS(estoque[quantidade],estoque[produto],preçodiario[[#Headers],[OVO VERMELHO JUMBO]],estoque[fornecedor],"&lt;&gt;saída",estoque[data],preçodiario[[#This Row],[data]])))))</f>
        <v/>
      </c>
      <c r="AZ207" s="22">
        <f>IF(preçodiario[[#This Row],[entrada JV]]=0,AZ206-(SUMIFS(estoque[quantidade],estoque[fornecedor],"saída",estoque[produto],preçodiario[[#Headers],[OVO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Row],[data]]))+AZ206+preçodiario[[#This Row],[entrada JV]])</f>
        <v>0</v>
      </c>
      <c r="BA207" s="22">
        <f>SUMIFS(estoque[quantidade],estoque[fornecedor],"&lt;&gt;saída",estoque[produto],preçodiario[[#Headers],[OVO VERMELHO JUMBO]],estoque[data],preçodiario[[#This Row],[data]])</f>
        <v>0</v>
      </c>
      <c r="BB207" s="20">
        <f>SUMIFS(estoque[valor total],estoque[fornecedor],"&lt;&gt;saída",estoque[produto],preçodiario[[#Headers],[OVO VERMELHO JUMBO]],estoque[data],preçodiario[[#This Row],[data]])</f>
        <v>0</v>
      </c>
      <c r="BC207" s="20">
        <f>IFERROR(preçodiario[[#This Row],[OVO VERMELHO JUMBO]]*preçodiario[[#This Row],[estoque JV]],0)</f>
        <v>0</v>
      </c>
      <c r="BD207" t="str">
        <f>TEXT(vendaAno[[#This Row],[data]],"mmm")</f>
        <v>jul</v>
      </c>
      <c r="BE207" t="str">
        <f>TEXT(vendaAno[[#This Row],[data]],"ddd")</f>
        <v>sáb</v>
      </c>
      <c r="BF207" s="82">
        <f>WEEKNUM(vendaAno[[#This Row],[data]],13)</f>
        <v>30</v>
      </c>
      <c r="BG207" s="27">
        <f>preçodiario[[#This Row],[data]]</f>
        <v>46228</v>
      </c>
      <c r="BH2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7" s="8">
        <f>IF(SUMIFS(estoque[valor total],estoque[fornecedor],"saída",estoque[data],vendaAno[[#This Row],[data]])=0,"",SUMIFS(estoque[valor total],estoque[fornecedor],"saída",estoque[data],vendaAno[[#This Row],[data]]))</f>
        <v>171</v>
      </c>
      <c r="BJ207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Row],[data]]))/12+BJ206,"")</f>
        <v>36.999999999999986</v>
      </c>
      <c r="BK207" s="79">
        <f ca="1">IF(TODAY()&gt;=vendaAno[[#This Row],[data]],IF(SUMIFS(estoque[quantidade],estoque[fornecedor],"saída",estoque[data],vendaAno[[#This Row],[data]])/12=0,AVERAGE(BK204:BK206),SUMIFS(estoque[quantidade],estoque[fornecedor],"saída",estoque[data],vendaAno[[#This Row],[data]])/12),"")</f>
        <v>0.66666666666666663</v>
      </c>
      <c r="BL207" s="8">
        <f ca="1">IF(vendaAno[[#This Row],[data]]&lt;=TODAY(),IF(SUMIFS(estoque[lucro],estoque[fornecedor],"saída",estoque[data],vendaAno[[#This Row],[data]])=0,AVERAGE(BL204:BL206),SUMIFS(estoque[lucro],estoque[fornecedor],"saída",estoque[data],vendaAno[[#This Row],[data]])),"")</f>
        <v>44.43</v>
      </c>
      <c r="BM207" s="10">
        <f ca="1">IFERROR(vendaAno[[#This Row],[lucro]]/vendaAno[[#This Row],[valor de venda]],"")</f>
        <v>0.25982456140350879</v>
      </c>
      <c r="BN207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6722.5735034561421</v>
      </c>
      <c r="BO207" s="8">
        <f ca="1">IF(TODAY()&gt;=vendaAno[[#This Row],[data]],IF(vendaAno[[#This Row],[N°]]=BF206,vendaAno[[#This Row],[lucro]]-173.33+BO206,vendaAno[[#This Row],[lucro]]-150),"")</f>
        <v>-268.88000000000005</v>
      </c>
      <c r="BP207" s="81">
        <f ca="1">IF(TODAY()&gt;=vendaAno[[#This Row],[data]],SUM(BK201:BK207)*12,"")</f>
        <v>170</v>
      </c>
      <c r="BQ207" s="7">
        <f ca="1">IFERROR(vendaAno[[#This Row],[lucro]]/(vendaAno[[#This Row],[venda]]*12),"")</f>
        <v>5.55375</v>
      </c>
    </row>
    <row r="208" spans="1:69" x14ac:dyDescent="0.25">
      <c r="A2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15.278182701652092</v>
      </c>
      <c r="B208" s="18" t="str">
        <f>TEXT(preçodiario[[#This Row],[data]],"MMM")</f>
        <v>jul</v>
      </c>
      <c r="C208" s="18" t="str">
        <f>TEXT(preçodiario[[#This Row],[data]],"ddd")</f>
        <v>dom</v>
      </c>
      <c r="D208" s="96">
        <f>WEEKNUM(preçodiario[[#This Row],[data]],13)</f>
        <v>30</v>
      </c>
      <c r="E208" s="37">
        <v>46229</v>
      </c>
      <c r="F2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Row],[data]])),((F207*G207)+SUMIFS(estoque[valor total],estoque[produto],preçodiario[[#Headers],[OVO BRANCO A]],estoque[data],preçodiario[[#This Row],[data]],estoque[fornecedor],"&lt;&gt;saída"))/(G207+(SUMIFS(estoque[quantidade],estoque[produto],preçodiario[[#Headers],[OVO BRANCO A]],estoque[fornecedor],"&lt;&gt;saída",estoque[data],preçodiario[[#This Row],[data]])))))</f>
        <v>15.278182701652092</v>
      </c>
      <c r="G208" s="22">
        <f>IF(preçodiario[[#This Row],[entrada A]]=0,G207-(SUMIFS(estoque[quantidade],estoque[fornecedor],"saída",estoque[produto],preçodiario[[#Headers],[OVO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Row],[data]]))+G207+preçodiario[[#This Row],[entrada A]])</f>
        <v>168</v>
      </c>
      <c r="H208" s="22">
        <f>SUMIFS(estoque[quantidade],estoque[fornecedor],"&lt;&gt;saída",estoque[produto],preçodiario[[#Headers],[OVO BRANCO A]],estoque[data],preçodiario[[#This Row],[data]])</f>
        <v>0</v>
      </c>
      <c r="I208" s="20">
        <f>SUMIFS(estoque[valor total],estoque[fornecedor],"&lt;&gt;saída",estoque[produto],preçodiario[[#Headers],[OVO BRANCO A]],estoque[data],preçodiario[[#This Row],[data]])</f>
        <v>0</v>
      </c>
      <c r="J208" s="20">
        <f>IFERROR(preçodiario[[#This Row],[estoque A]]*preçodiario[[#This Row],[OVO BRANCO A]],0)</f>
        <v>2566.7346938775513</v>
      </c>
      <c r="K2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Row],[data]])),((K207*L207)+SUMIFS(estoque[valor total],estoque[produto],preçodiario[[#Headers],[OVO BRANCO B]],estoque[data],preçodiario[[#This Row],[data]],estoque[fornecedor],"&lt;&gt;saída"))/(L207+(SUMIFS(estoque[quantidade],estoque[produto],preçodiario[[#Headers],[OVO BRANCO B]],estoque[fornecedor],"&lt;&gt;saída",estoque[data],preçodiario[[#This Row],[data]])))))</f>
        <v>14.584252837326602</v>
      </c>
      <c r="L208" s="22">
        <f>IF(preçodiario[[#This Row],[entrada B]]=0,L207-(SUMIFS(estoque[quantidade],estoque[fornecedor],"saída",estoque[produto],preçodiario[[#Headers],[OVO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Row],[data]]))+L207+preçodiario[[#This Row],[entrada B]])</f>
        <v>37</v>
      </c>
      <c r="M208" s="22">
        <f>SUMIFS(estoque[quantidade],estoque[fornecedor],"&lt;&gt;saída",estoque[produto],preçodiario[[#Headers],[OVO BRANCO B]],estoque[data],preçodiario[[#This Row],[data]])</f>
        <v>0</v>
      </c>
      <c r="N208" s="20">
        <f>SUMIFS(estoque[valor total],estoque[fornecedor],"&lt;&gt;saída",estoque[produto],preçodiario[[#Headers],[OVO BRANCO B]],estoque[data],preçodiario[[#This Row],[data]])</f>
        <v>0</v>
      </c>
      <c r="O208" s="20">
        <f>IFERROR(preçodiario[[#This Row],[OVO BRANCO B]]*preçodiario[[#This Row],[estoque B]],0)</f>
        <v>539.6173549810843</v>
      </c>
      <c r="P20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Row],[data]])),((P207*Q207)+SUMIFS(estoque[valor total],estoque[produto],preçodiario[[#Headers],[OVO BRANCO C]],estoque[data],preçodiario[[#This Row],[data]],estoque[fornecedor],"&lt;&gt;saída"))/(Q207+(SUMIFS(estoque[quantidade],estoque[produto],preçodiario[[#Headers],[OVO BRANCO C]],estoque[fornecedor],"&lt;&gt;saída",estoque[data],preçodiario[[#This Row],[data]])))))</f>
        <v>12.5</v>
      </c>
      <c r="Q208" s="22">
        <f>IF(preçodiario[[#This Row],[entrada C]]=0,Q207-(SUMIFS(estoque[quantidade],estoque[fornecedor],"saída",estoque[produto],preçodiario[[#Headers],[OVO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Row],[data]]))+Q207+preçodiario[[#This Row],[entrada C]])</f>
        <v>60</v>
      </c>
      <c r="R208" s="22">
        <f>SUMIFS(estoque[quantidade],estoque[fornecedor],"&lt;&gt;saída",estoque[produto],preçodiario[[#Headers],[OVO BRANCO C]],estoque[data],preçodiario[[#This Row],[data]])</f>
        <v>0</v>
      </c>
      <c r="S208" s="20">
        <f>SUMIFS(estoque[valor total],estoque[fornecedor],"&lt;&gt;saída",estoque[produto],preçodiario[[#Headers],[OVO BRANCO C]],estoque[data],preçodiario[[#This Row],[data]])</f>
        <v>0</v>
      </c>
      <c r="T208" s="20">
        <f>IFERROR(preçodiario[[#This Row],[OVO BRANCO C]]*preçodiario[[#This Row],[estoque C]],0)</f>
        <v>750</v>
      </c>
      <c r="U2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Row],[data]])),((U207*V207)+SUMIFS(estoque[valor total],estoque[produto],preçodiario[[#Headers],[OVO BRANCO EXTRA]],estoque[data],preçodiario[[#This Row],[data]],estoque[fornecedor],"&lt;&gt;saída"))/(V207+(SUMIFS(estoque[quantidade],estoque[produto],preçodiario[[#Headers],[OVO BRANCO EXTRA]],estoque[fornecedor],"&lt;&gt;saída",estoque[data],preçodiario[[#This Row],[data]])))))</f>
        <v>15.725438400674655</v>
      </c>
      <c r="V208" s="22">
        <f>IF(preçodiario[[#This Row],[entrada E]]=0,V207-(SUMIFS(estoque[quantidade],estoque[fornecedor],"saída",estoque[produto],preçodiario[[#Headers],[OVO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Row],[data]]))+V207+preçodiario[[#This Row],[entrada E]])</f>
        <v>60</v>
      </c>
      <c r="W208" s="22">
        <f>SUMIFS(estoque[quantidade],estoque[fornecedor],"&lt;&gt;saída",estoque[produto],preçodiario[[#Headers],[OVO BRANCO EXTRA]],estoque[data],preçodiario[[#This Row],[data]])</f>
        <v>0</v>
      </c>
      <c r="X208" s="20">
        <f>SUMIFS(estoque[valor total],estoque[fornecedor],"&lt;&gt;saída",estoque[produto],preçodiario[[#Headers],[OVO BRANCO EXTRA]],estoque[data],preçodiario[[#This Row],[data]])</f>
        <v>0</v>
      </c>
      <c r="Y208" s="20">
        <f>IFERROR(preçodiario[[#This Row],[estoque E]]*preçodiario[[#This Row],[OVO BRANCO EXTRA]],0)</f>
        <v>943.52630404047932</v>
      </c>
      <c r="Z20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Row],[data]])),((Z207*AA207)+SUMIFS(estoque[valor total],estoque[produto],preçodiario[[#Headers],[OVO BRANCO JUMBO]],estoque[data],preçodiario[[#This Row],[data]],estoque[fornecedor],"&lt;&gt;saída"))/(AA207+(SUMIFS(estoque[quantidade],estoque[produto],preçodiario[[#Headers],[OVO BRANCO JUMBO]],estoque[fornecedor],"&lt;&gt;saída",estoque[data],preçodiario[[#This Row],[data]])))))</f>
        <v>16.50550595238095</v>
      </c>
      <c r="AA208" s="22">
        <f>IF(preçodiario[[#This Row],[entrada J]]=0,AA207-(SUMIFS(estoque[quantidade],estoque[fornecedor],"saída",estoque[produto],preçodiario[[#Headers],[OVO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Row],[data]]))+AA207+preçodiario[[#This Row],[entrada J]])</f>
        <v>84</v>
      </c>
      <c r="AB208" s="22">
        <f>SUMIFS(estoque[quantidade],estoque[fornecedor],"&lt;&gt;saída",estoque[produto],preçodiario[[#Headers],[OVO BRANCO JUMBO]],estoque[data],preçodiario[[#This Row],[data]])</f>
        <v>0</v>
      </c>
      <c r="AC208" s="20">
        <f>SUMIFS(estoque[valor total],estoque[fornecedor],"&lt;&gt;saída",estoque[produto],preçodiario[[#Headers],[OVO BRANCO JUMBO]],estoque[data],preçodiario[[#This Row],[data]])</f>
        <v>0</v>
      </c>
      <c r="AD208" s="20">
        <f>IFERROR(preçodiario[[#This Row],[OVO BRANCO JUMBO]]*preçodiario[[#This Row],[estoque J]],0)</f>
        <v>1386.4624999999999</v>
      </c>
      <c r="AE2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Row],[data]])),((AE207*AF207)+SUMIFS(estoque[valor total],estoque[produto],preçodiario[[#Headers],[OVO VERMELHO A]],estoque[data],preçodiario[[#This Row],[data]],estoque[fornecedor],"&lt;&gt;saída"))/(AF207+(SUMIFS(estoque[quantidade],estoque[produto],preçodiario[[#Headers],[OVO VERMELHO A]],estoque[fornecedor],"&lt;&gt;saída",estoque[data],preçodiario[[#This Row],[data]])))))</f>
        <v/>
      </c>
      <c r="AF208" s="22">
        <f>IF(preçodiario[[#This Row],[entrada AV]]=0,AF207-(SUMIFS(estoque[quantidade],estoque[fornecedor],"saída",estoque[produto],preçodiario[[#Headers],[OVO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Row],[data]]))+AF207+preçodiario[[#This Row],[entrada AV]])</f>
        <v>0</v>
      </c>
      <c r="AG208" s="22">
        <f>SUMIFS(estoque[quantidade],estoque[fornecedor],"&lt;&gt;saída",estoque[produto],preçodiario[[#Headers],[OVO VERMELHO A]],estoque[data],preçodiario[[#This Row],[data]])</f>
        <v>0</v>
      </c>
      <c r="AH208" s="20">
        <f>SUMIFS(estoque[valor total],estoque[fornecedor],"&lt;&gt;saída",estoque[produto],preçodiario[[#Headers],[OVO VERMELHO A]],estoque[data],preçodiario[[#This Row],[data]])</f>
        <v>0</v>
      </c>
      <c r="AI208" s="20">
        <f>IFERROR(preçodiario[[#This Row],[OVO VERMELHO A]]*preçodiario[[#This Row],[estoque AV]],0)</f>
        <v>0</v>
      </c>
      <c r="AJ2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Row],[data]])),((AJ207*AK207)+SUMIFS(estoque[valor total],estoque[produto],preçodiario[[#Headers],[OVO VERMELHO B]],estoque[data],preçodiario[[#This Row],[data]],estoque[fornecedor],"&lt;&gt;saída"))/(AK207+(SUMIFS(estoque[quantidade],estoque[produto],preçodiario[[#Headers],[OVO VERMELHO B]],estoque[fornecedor],"&lt;&gt;saída",estoque[data],preçodiario[[#This Row],[data]])))))</f>
        <v/>
      </c>
      <c r="AK208" s="22">
        <f>IF(preçodiario[[#This Row],[entrada BV]]=0,AK207-(SUMIFS(estoque[quantidade],estoque[fornecedor],"saída",estoque[produto],preçodiario[[#Headers],[OVO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Row],[data]]))+AK207+preçodiario[[#This Row],[entrada BV]])</f>
        <v>0</v>
      </c>
      <c r="AL208" s="22">
        <f>SUMIFS(estoque[quantidade],estoque[fornecedor],"&lt;&gt;saída",estoque[produto],preçodiario[[#Headers],[OVO VERMELHO B]],estoque[data],preçodiario[[#This Row],[data]])</f>
        <v>0</v>
      </c>
      <c r="AM208" s="20">
        <f>SUMIFS(estoque[valor total],estoque[fornecedor],"&lt;&gt;saída",estoque[produto],preçodiario[[#Headers],[OVO VERMELHO B]],estoque[data],preçodiario[[#This Row],[data]])</f>
        <v>0</v>
      </c>
      <c r="AN208" s="20">
        <f>IFERROR(preçodiario[[#This Row],[OVO VERMELHO B]]*preçodiario[[#This Row],[estoque BV]],0)</f>
        <v>0</v>
      </c>
      <c r="AO2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Row],[data]])),((AO207*AP207)+SUMIFS(estoque[valor total],estoque[produto],preçodiario[[#Headers],[OVO VERMELHO C]],estoque[data],preçodiario[[#This Row],[data]],estoque[fornecedor],"&lt;&gt;saída"))/(AP207+(SUMIFS(estoque[quantidade],estoque[produto],preçodiario[[#Headers],[OVO VERMELHO C]],estoque[fornecedor],"&lt;&gt;saída",estoque[data],preçodiario[[#This Row],[data]])))))</f>
        <v/>
      </c>
      <c r="AP208" s="22">
        <f>IF(preçodiario[[#This Row],[entrada CV]]=0,AP207-(SUMIFS(estoque[quantidade],estoque[fornecedor],"saída",estoque[produto],preçodiario[[#Headers],[OVO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Row],[data]]))+AP207+preçodiario[[#This Row],[entrada CV]])</f>
        <v>0</v>
      </c>
      <c r="AQ208" s="22">
        <f>SUMIFS(estoque[quantidade],estoque[fornecedor],"&lt;&gt;saída",estoque[produto],preçodiario[[#Headers],[OVO VERMELHO C]],estoque[data],preçodiario[[#This Row],[data]])</f>
        <v>0</v>
      </c>
      <c r="AR208" s="20">
        <f>SUMIFS(estoque[valor total],estoque[fornecedor],"&lt;&gt;saída",estoque[produto],preçodiario[[#Headers],[OVO VERMELHO C]],estoque[data],preçodiario[[#This Row],[data]])</f>
        <v>0</v>
      </c>
      <c r="AS208" s="20">
        <f>IFERROR(preçodiario[[#This Row],[OVO VERMELHO C]]*preçodiario[[#This Row],[estoque CV]],0)</f>
        <v>0</v>
      </c>
      <c r="AT2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Row],[data]])),((AT207*AU207)+SUMIFS(estoque[valor total],estoque[produto],preçodiario[[#Headers],[OVO VERMELHO EXTRA]],estoque[data],preçodiario[[#This Row],[data]],estoque[fornecedor],"&lt;&gt;saída"))/(AU207+(SUMIFS(estoque[quantidade],estoque[produto],preçodiario[[#Headers],[OVO VERMELHO EXTRA]],estoque[fornecedor],"&lt;&gt;saída",estoque[data],preçodiario[[#This Row],[data]])))))</f>
        <v/>
      </c>
      <c r="AU208" s="22">
        <f>IF(preçodiario[[#This Row],[entrada EV]]=0,AU207-(SUMIFS(estoque[quantidade],estoque[fornecedor],"saída",estoque[produto],preçodiario[[#Headers],[OVO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Row],[data]]))+AU207+preçodiario[[#This Row],[entrada EV]])</f>
        <v>0</v>
      </c>
      <c r="AV208" s="22">
        <f>SUMIFS(estoque[quantidade],estoque[fornecedor],"&lt;&gt;saída",estoque[produto],preçodiario[[#Headers],[OVO VERMELHO EXTRA]],estoque[data],preçodiario[[#This Row],[data]])</f>
        <v>0</v>
      </c>
      <c r="AW208" s="20">
        <f>SUMIFS(estoque[valor total],estoque[fornecedor],"&lt;&gt;saída",estoque[produto],preçodiario[[#Headers],[OVO VERMELHO EXTRA]],estoque[data],preçodiario[[#This Row],[data]])</f>
        <v>0</v>
      </c>
      <c r="AX208" s="20">
        <f>IFERROR(preçodiario[[#This Row],[OVO VERMELHO EXTRA]]*preçodiario[[#This Row],[estoque EV]],0)</f>
        <v>0</v>
      </c>
      <c r="AY2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Row],[data]])),((AY207*AZ207)+SUMIFS(estoque[valor total],estoque[produto],preçodiario[[#Headers],[OVO VERMELHO JUMBO]],estoque[data],preçodiario[[#This Row],[data]],estoque[fornecedor],"&lt;&gt;saída"))/(AZ207+(SUMIFS(estoque[quantidade],estoque[produto],preçodiario[[#Headers],[OVO VERMELHO JUMBO]],estoque[fornecedor],"&lt;&gt;saída",estoque[data],preçodiario[[#This Row],[data]])))))</f>
        <v/>
      </c>
      <c r="AZ208" s="22">
        <f>IF(preçodiario[[#This Row],[entrada JV]]=0,AZ207-(SUMIFS(estoque[quantidade],estoque[fornecedor],"saída",estoque[produto],preçodiario[[#Headers],[OVO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Row],[data]]))+AZ207+preçodiario[[#This Row],[entrada JV]])</f>
        <v>0</v>
      </c>
      <c r="BA208" s="22">
        <f>SUMIFS(estoque[quantidade],estoque[fornecedor],"&lt;&gt;saída",estoque[produto],preçodiario[[#Headers],[OVO VERMELHO JUMBO]],estoque[data],preçodiario[[#This Row],[data]])</f>
        <v>0</v>
      </c>
      <c r="BB208" s="20">
        <f>SUMIFS(estoque[valor total],estoque[fornecedor],"&lt;&gt;saída",estoque[produto],preçodiario[[#Headers],[OVO VERMELHO JUMBO]],estoque[data],preçodiario[[#This Row],[data]])</f>
        <v>0</v>
      </c>
      <c r="BC208" s="20">
        <f>IFERROR(preçodiario[[#This Row],[OVO VERMELHO JUMBO]]*preçodiario[[#This Row],[estoque JV]],0)</f>
        <v>0</v>
      </c>
      <c r="BD208" t="str">
        <f>TEXT(vendaAno[[#This Row],[data]],"mmm")</f>
        <v>jul</v>
      </c>
      <c r="BE208" t="str">
        <f>TEXT(vendaAno[[#This Row],[data]],"ddd")</f>
        <v>dom</v>
      </c>
      <c r="BF208" s="82">
        <f>WEEKNUM(vendaAno[[#This Row],[data]],13)</f>
        <v>30</v>
      </c>
      <c r="BG208" s="27">
        <f>preçodiario[[#This Row],[data]]</f>
        <v>46229</v>
      </c>
      <c r="BH2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8" s="8">
        <f>IF(SUMIFS(estoque[valor total],estoque[fornecedor],"saída",estoque[data],vendaAno[[#This Row],[data]])=0,"",SUMIFS(estoque[valor total],estoque[fornecedor],"saída",estoque[data],vendaAno[[#This Row],[data]]))</f>
        <v>659</v>
      </c>
      <c r="BJ208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Row],[data]]))/12+BJ207,"")</f>
        <v>34.083333333333321</v>
      </c>
      <c r="BK208" s="79">
        <f ca="1">IF(TODAY()&gt;=vendaAno[[#This Row],[data]],IF(SUMIFS(estoque[quantidade],estoque[fornecedor],"saída",estoque[data],vendaAno[[#This Row],[data]])/12=0,AVERAGE(BK205:BK207),SUMIFS(estoque[quantidade],estoque[fornecedor],"saída",estoque[data],vendaAno[[#This Row],[data]])/12),"")</f>
        <v>2.9166666666666665</v>
      </c>
      <c r="BL208" s="8">
        <f ca="1">IF(vendaAno[[#This Row],[data]]&lt;=TODAY(),IF(SUMIFS(estoque[lucro],estoque[fornecedor],"saída",estoque[data],vendaAno[[#This Row],[data]])=0,AVERAGE(BL205:BL207),SUMIFS(estoque[lucro],estoque[fornecedor],"saída",estoque[data],vendaAno[[#This Row],[data]])),"")</f>
        <v>122.77</v>
      </c>
      <c r="BM208" s="10">
        <f ca="1">IFERROR(vendaAno[[#This Row],[lucro]]/vendaAno[[#This Row],[valor de venda]],"")</f>
        <v>0.18629742033383914</v>
      </c>
      <c r="BN208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6186.3408528991149</v>
      </c>
      <c r="BO208" s="8">
        <f ca="1">IF(TODAY()&gt;=vendaAno[[#This Row],[data]],IF(vendaAno[[#This Row],[N°]]=BF207,vendaAno[[#This Row],[lucro]]-173.33+BO207,vendaAno[[#This Row],[lucro]]-150),"")</f>
        <v>-319.44000000000005</v>
      </c>
      <c r="BP208" s="81">
        <f ca="1">IF(TODAY()&gt;=vendaAno[[#This Row],[data]],SUM(BK202:BK208)*12,"")</f>
        <v>188.99999999999997</v>
      </c>
      <c r="BQ208" s="7">
        <f ca="1">IFERROR(vendaAno[[#This Row],[lucro]]/(vendaAno[[#This Row],[venda]]*12),"")</f>
        <v>3.5077142857142856</v>
      </c>
    </row>
    <row r="209" spans="1:71" x14ac:dyDescent="0.25">
      <c r="A2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15.27818270165209</v>
      </c>
      <c r="B209" s="18" t="str">
        <f>TEXT(preçodiario[[#This Row],[data]],"MMM")</f>
        <v>jul</v>
      </c>
      <c r="C209" s="18" t="str">
        <f>TEXT(preçodiario[[#This Row],[data]],"ddd")</f>
        <v>seg</v>
      </c>
      <c r="D209" s="96">
        <f>WEEKNUM(preçodiario[[#This Row],[data]],13)</f>
        <v>30</v>
      </c>
      <c r="E209" s="37">
        <v>46230</v>
      </c>
      <c r="F2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Row],[data]])),((F208*G208)+SUMIFS(estoque[valor total],estoque[produto],preçodiario[[#Headers],[OVO BRANCO A]],estoque[data],preçodiario[[#This Row],[data]],estoque[fornecedor],"&lt;&gt;saída"))/(G208+(SUMIFS(estoque[quantidade],estoque[produto],preçodiario[[#Headers],[OVO BRANCO A]],estoque[fornecedor],"&lt;&gt;saída",estoque[data],preçodiario[[#This Row],[data]])))))</f>
        <v>15.27818270165209</v>
      </c>
      <c r="G209" s="22">
        <f>IF(preçodiario[[#This Row],[entrada A]]=0,G208-(SUMIFS(estoque[quantidade],estoque[fornecedor],"saída",estoque[produto],preçodiario[[#Headers],[OVO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Row],[data]]))+G208+preçodiario[[#This Row],[entrada A]])</f>
        <v>154</v>
      </c>
      <c r="H209" s="22">
        <f>SUMIFS(estoque[quantidade],estoque[fornecedor],"&lt;&gt;saída",estoque[produto],preçodiario[[#Headers],[OVO BRANCO A]],estoque[data],preçodiario[[#This Row],[data]])</f>
        <v>0</v>
      </c>
      <c r="I209" s="20">
        <f>SUMIFS(estoque[valor total],estoque[fornecedor],"&lt;&gt;saída",estoque[produto],preçodiario[[#Headers],[OVO BRANCO A]],estoque[data],preçodiario[[#This Row],[data]])</f>
        <v>0</v>
      </c>
      <c r="J209" s="20">
        <f>IFERROR(preçodiario[[#This Row],[estoque A]]*preçodiario[[#This Row],[OVO BRANCO A]],0)</f>
        <v>2352.8401360544217</v>
      </c>
      <c r="K2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Row],[data]])),((K208*L208)+SUMIFS(estoque[valor total],estoque[produto],preçodiario[[#Headers],[OVO BRANCO B]],estoque[data],preçodiario[[#This Row],[data]],estoque[fornecedor],"&lt;&gt;saída"))/(L208+(SUMIFS(estoque[quantidade],estoque[produto],preçodiario[[#Headers],[OVO BRANCO B]],estoque[fornecedor],"&lt;&gt;saída",estoque[data],preçodiario[[#This Row],[data]])))))</f>
        <v>14.584252837326602</v>
      </c>
      <c r="L209" s="22">
        <f>IF(preçodiario[[#This Row],[entrada B]]=0,L208-(SUMIFS(estoque[quantidade],estoque[fornecedor],"saída",estoque[produto],preçodiario[[#Headers],[OVO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Row],[data]]))+L208+preçodiario[[#This Row],[entrada B]])</f>
        <v>25</v>
      </c>
      <c r="M209" s="22">
        <f>SUMIFS(estoque[quantidade],estoque[fornecedor],"&lt;&gt;saída",estoque[produto],preçodiario[[#Headers],[OVO BRANCO B]],estoque[data],preçodiario[[#This Row],[data]])</f>
        <v>0</v>
      </c>
      <c r="N209" s="20">
        <f>SUMIFS(estoque[valor total],estoque[fornecedor],"&lt;&gt;saída",estoque[produto],preçodiario[[#Headers],[OVO BRANCO B]],estoque[data],preçodiario[[#This Row],[data]])</f>
        <v>0</v>
      </c>
      <c r="O209" s="20">
        <f>IFERROR(preçodiario[[#This Row],[OVO BRANCO B]]*preçodiario[[#This Row],[estoque B]],0)</f>
        <v>364.60632093316508</v>
      </c>
      <c r="P20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Row],[data]])),((P208*Q208)+SUMIFS(estoque[valor total],estoque[produto],preçodiario[[#Headers],[OVO BRANCO C]],estoque[data],preçodiario[[#This Row],[data]],estoque[fornecedor],"&lt;&gt;saída"))/(Q208+(SUMIFS(estoque[quantidade],estoque[produto],preçodiario[[#Headers],[OVO BRANCO C]],estoque[fornecedor],"&lt;&gt;saída",estoque[data],preçodiario[[#This Row],[data]])))))</f>
        <v>12.5</v>
      </c>
      <c r="Q209" s="22">
        <f>IF(preçodiario[[#This Row],[entrada C]]=0,Q208-(SUMIFS(estoque[quantidade],estoque[fornecedor],"saída",estoque[produto],preçodiario[[#Headers],[OVO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Row],[data]]))+Q208+preçodiario[[#This Row],[entrada C]])</f>
        <v>60</v>
      </c>
      <c r="R209" s="22">
        <f>SUMIFS(estoque[quantidade],estoque[fornecedor],"&lt;&gt;saída",estoque[produto],preçodiario[[#Headers],[OVO BRANCO C]],estoque[data],preçodiario[[#This Row],[data]])</f>
        <v>0</v>
      </c>
      <c r="S209" s="20">
        <f>SUMIFS(estoque[valor total],estoque[fornecedor],"&lt;&gt;saída",estoque[produto],preçodiario[[#Headers],[OVO BRANCO C]],estoque[data],preçodiario[[#This Row],[data]])</f>
        <v>0</v>
      </c>
      <c r="T209" s="20">
        <f>IFERROR(preçodiario[[#This Row],[OVO BRANCO C]]*preçodiario[[#This Row],[estoque C]],0)</f>
        <v>750</v>
      </c>
      <c r="U2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Row],[data]])),((U208*V208)+SUMIFS(estoque[valor total],estoque[produto],preçodiario[[#Headers],[OVO BRANCO EXTRA]],estoque[data],preçodiario[[#This Row],[data]],estoque[fornecedor],"&lt;&gt;saída"))/(V208+(SUMIFS(estoque[quantidade],estoque[produto],preçodiario[[#Headers],[OVO BRANCO EXTRA]],estoque[fornecedor],"&lt;&gt;saída",estoque[data],preçodiario[[#This Row],[data]])))))</f>
        <v>15.725438400674655</v>
      </c>
      <c r="V209" s="22">
        <f>IF(preçodiario[[#This Row],[entrada E]]=0,V208-(SUMIFS(estoque[quantidade],estoque[fornecedor],"saída",estoque[produto],preçodiario[[#Headers],[OVO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Row],[data]]))+V208+preçodiario[[#This Row],[entrada E]])</f>
        <v>53</v>
      </c>
      <c r="W209" s="22">
        <f>SUMIFS(estoque[quantidade],estoque[fornecedor],"&lt;&gt;saída",estoque[produto],preçodiario[[#Headers],[OVO BRANCO EXTRA]],estoque[data],preçodiario[[#This Row],[data]])</f>
        <v>0</v>
      </c>
      <c r="X209" s="20">
        <f>SUMIFS(estoque[valor total],estoque[fornecedor],"&lt;&gt;saída",estoque[produto],preçodiario[[#Headers],[OVO BRANCO EXTRA]],estoque[data],preçodiario[[#This Row],[data]])</f>
        <v>0</v>
      </c>
      <c r="Y209" s="20">
        <f>IFERROR(preçodiario[[#This Row],[estoque E]]*preçodiario[[#This Row],[OVO BRANCO EXTRA]],0)</f>
        <v>833.44823523575667</v>
      </c>
      <c r="Z20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Row],[data]])),((Z208*AA208)+SUMIFS(estoque[valor total],estoque[produto],preçodiario[[#Headers],[OVO BRANCO JUMBO]],estoque[data],preçodiario[[#This Row],[data]],estoque[fornecedor],"&lt;&gt;saída"))/(AA208+(SUMIFS(estoque[quantidade],estoque[produto],preçodiario[[#Headers],[OVO BRANCO JUMBO]],estoque[fornecedor],"&lt;&gt;saída",estoque[data],preçodiario[[#This Row],[data]])))))</f>
        <v>16.50550595238095</v>
      </c>
      <c r="AA209" s="22">
        <f>IF(preçodiario[[#This Row],[entrada J]]=0,AA208-(SUMIFS(estoque[quantidade],estoque[fornecedor],"saída",estoque[produto],preçodiario[[#Headers],[OVO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Row],[data]]))+AA208+preçodiario[[#This Row],[entrada J]])</f>
        <v>81</v>
      </c>
      <c r="AB209" s="22">
        <f>SUMIFS(estoque[quantidade],estoque[fornecedor],"&lt;&gt;saída",estoque[produto],preçodiario[[#Headers],[OVO BRANCO JUMBO]],estoque[data],preçodiario[[#This Row],[data]])</f>
        <v>0</v>
      </c>
      <c r="AC209" s="20">
        <f>SUMIFS(estoque[valor total],estoque[fornecedor],"&lt;&gt;saída",estoque[produto],preçodiario[[#Headers],[OVO BRANCO JUMBO]],estoque[data],preçodiario[[#This Row],[data]])</f>
        <v>0</v>
      </c>
      <c r="AD209" s="20">
        <f>IFERROR(preçodiario[[#This Row],[OVO BRANCO JUMBO]]*preçodiario[[#This Row],[estoque J]],0)</f>
        <v>1336.945982142857</v>
      </c>
      <c r="AE2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Row],[data]])),((AE208*AF208)+SUMIFS(estoque[valor total],estoque[produto],preçodiario[[#Headers],[OVO VERMELHO A]],estoque[data],preçodiario[[#This Row],[data]],estoque[fornecedor],"&lt;&gt;saída"))/(AF208+(SUMIFS(estoque[quantidade],estoque[produto],preçodiario[[#Headers],[OVO VERMELHO A]],estoque[fornecedor],"&lt;&gt;saída",estoque[data],preçodiario[[#This Row],[data]])))))</f>
        <v/>
      </c>
      <c r="AF209" s="22">
        <f>IF(preçodiario[[#This Row],[entrada AV]]=0,AF208-(SUMIFS(estoque[quantidade],estoque[fornecedor],"saída",estoque[produto],preçodiario[[#Headers],[OVO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Row],[data]]))+AF208+preçodiario[[#This Row],[entrada AV]])</f>
        <v>0</v>
      </c>
      <c r="AG209" s="22">
        <f>SUMIFS(estoque[quantidade],estoque[fornecedor],"&lt;&gt;saída",estoque[produto],preçodiario[[#Headers],[OVO VERMELHO A]],estoque[data],preçodiario[[#This Row],[data]])</f>
        <v>0</v>
      </c>
      <c r="AH209" s="20">
        <f>SUMIFS(estoque[valor total],estoque[fornecedor],"&lt;&gt;saída",estoque[produto],preçodiario[[#Headers],[OVO VERMELHO A]],estoque[data],preçodiario[[#This Row],[data]])</f>
        <v>0</v>
      </c>
      <c r="AI209" s="20">
        <f>IFERROR(preçodiario[[#This Row],[OVO VERMELHO A]]*preçodiario[[#This Row],[estoque AV]],0)</f>
        <v>0</v>
      </c>
      <c r="AJ2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Row],[data]])),((AJ208*AK208)+SUMIFS(estoque[valor total],estoque[produto],preçodiario[[#Headers],[OVO VERMELHO B]],estoque[data],preçodiario[[#This Row],[data]],estoque[fornecedor],"&lt;&gt;saída"))/(AK208+(SUMIFS(estoque[quantidade],estoque[produto],preçodiario[[#Headers],[OVO VERMELHO B]],estoque[fornecedor],"&lt;&gt;saída",estoque[data],preçodiario[[#This Row],[data]])))))</f>
        <v/>
      </c>
      <c r="AK209" s="22">
        <f>IF(preçodiario[[#This Row],[entrada BV]]=0,AK208-(SUMIFS(estoque[quantidade],estoque[fornecedor],"saída",estoque[produto],preçodiario[[#Headers],[OVO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Row],[data]]))+AK208+preçodiario[[#This Row],[entrada BV]])</f>
        <v>0</v>
      </c>
      <c r="AL209" s="22">
        <f>SUMIFS(estoque[quantidade],estoque[fornecedor],"&lt;&gt;saída",estoque[produto],preçodiario[[#Headers],[OVO VERMELHO B]],estoque[data],preçodiario[[#This Row],[data]])</f>
        <v>0</v>
      </c>
      <c r="AM209" s="20">
        <f>SUMIFS(estoque[valor total],estoque[fornecedor],"&lt;&gt;saída",estoque[produto],preçodiario[[#Headers],[OVO VERMELHO B]],estoque[data],preçodiario[[#This Row],[data]])</f>
        <v>0</v>
      </c>
      <c r="AN209" s="20">
        <f>IFERROR(preçodiario[[#This Row],[OVO VERMELHO B]]*preçodiario[[#This Row],[estoque BV]],0)</f>
        <v>0</v>
      </c>
      <c r="AO2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Row],[data]])),((AO208*AP208)+SUMIFS(estoque[valor total],estoque[produto],preçodiario[[#Headers],[OVO VERMELHO C]],estoque[data],preçodiario[[#This Row],[data]],estoque[fornecedor],"&lt;&gt;saída"))/(AP208+(SUMIFS(estoque[quantidade],estoque[produto],preçodiario[[#Headers],[OVO VERMELHO C]],estoque[fornecedor],"&lt;&gt;saída",estoque[data],preçodiario[[#This Row],[data]])))))</f>
        <v/>
      </c>
      <c r="AP209" s="22">
        <f>IF(preçodiario[[#This Row],[entrada CV]]=0,AP208-(SUMIFS(estoque[quantidade],estoque[fornecedor],"saída",estoque[produto],preçodiario[[#Headers],[OVO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Row],[data]]))+AP208+preçodiario[[#This Row],[entrada CV]])</f>
        <v>0</v>
      </c>
      <c r="AQ209" s="22">
        <f>SUMIFS(estoque[quantidade],estoque[fornecedor],"&lt;&gt;saída",estoque[produto],preçodiario[[#Headers],[OVO VERMELHO C]],estoque[data],preçodiario[[#This Row],[data]])</f>
        <v>0</v>
      </c>
      <c r="AR209" s="20">
        <f>SUMIFS(estoque[valor total],estoque[fornecedor],"&lt;&gt;saída",estoque[produto],preçodiario[[#Headers],[OVO VERMELHO C]],estoque[data],preçodiario[[#This Row],[data]])</f>
        <v>0</v>
      </c>
      <c r="AS209" s="20">
        <f>IFERROR(preçodiario[[#This Row],[OVO VERMELHO C]]*preçodiario[[#This Row],[estoque CV]],0)</f>
        <v>0</v>
      </c>
      <c r="AT2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Row],[data]])),((AT208*AU208)+SUMIFS(estoque[valor total],estoque[produto],preçodiario[[#Headers],[OVO VERMELHO EXTRA]],estoque[data],preçodiario[[#This Row],[data]],estoque[fornecedor],"&lt;&gt;saída"))/(AU208+(SUMIFS(estoque[quantidade],estoque[produto],preçodiario[[#Headers],[OVO VERMELHO EXTRA]],estoque[fornecedor],"&lt;&gt;saída",estoque[data],preçodiario[[#This Row],[data]])))))</f>
        <v/>
      </c>
      <c r="AU209" s="22">
        <f>IF(preçodiario[[#This Row],[entrada EV]]=0,AU208-(SUMIFS(estoque[quantidade],estoque[fornecedor],"saída",estoque[produto],preçodiario[[#Headers],[OVO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Row],[data]]))+AU208+preçodiario[[#This Row],[entrada EV]])</f>
        <v>0</v>
      </c>
      <c r="AV209" s="22">
        <f>SUMIFS(estoque[quantidade],estoque[fornecedor],"&lt;&gt;saída",estoque[produto],preçodiario[[#Headers],[OVO VERMELHO EXTRA]],estoque[data],preçodiario[[#This Row],[data]])</f>
        <v>0</v>
      </c>
      <c r="AW209" s="20">
        <f>SUMIFS(estoque[valor total],estoque[fornecedor],"&lt;&gt;saída",estoque[produto],preçodiario[[#Headers],[OVO VERMELHO EXTRA]],estoque[data],preçodiario[[#This Row],[data]])</f>
        <v>0</v>
      </c>
      <c r="AX209" s="20">
        <f>IFERROR(preçodiario[[#This Row],[OVO VERMELHO EXTRA]]*preçodiario[[#This Row],[estoque EV]],0)</f>
        <v>0</v>
      </c>
      <c r="AY2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Row],[data]])),((AY208*AZ208)+SUMIFS(estoque[valor total],estoque[produto],preçodiario[[#Headers],[OVO VERMELHO JUMBO]],estoque[data],preçodiario[[#This Row],[data]],estoque[fornecedor],"&lt;&gt;saída"))/(AZ208+(SUMIFS(estoque[quantidade],estoque[produto],preçodiario[[#Headers],[OVO VERMELHO JUMBO]],estoque[fornecedor],"&lt;&gt;saída",estoque[data],preçodiario[[#This Row],[data]])))))</f>
        <v/>
      </c>
      <c r="AZ209" s="22">
        <f>IF(preçodiario[[#This Row],[entrada JV]]=0,AZ208-(SUMIFS(estoque[quantidade],estoque[fornecedor],"saída",estoque[produto],preçodiario[[#Headers],[OVO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Row],[data]]))+AZ208+preçodiario[[#This Row],[entrada JV]])</f>
        <v>0</v>
      </c>
      <c r="BA209" s="22">
        <f>SUMIFS(estoque[quantidade],estoque[fornecedor],"&lt;&gt;saída",estoque[produto],preçodiario[[#Headers],[OVO VERMELHO JUMBO]],estoque[data],preçodiario[[#This Row],[data]])</f>
        <v>0</v>
      </c>
      <c r="BB209" s="20">
        <f>SUMIFS(estoque[valor total],estoque[fornecedor],"&lt;&gt;saída",estoque[produto],preçodiario[[#Headers],[OVO VERMELHO JUMBO]],estoque[data],preçodiario[[#This Row],[data]])</f>
        <v>0</v>
      </c>
      <c r="BC209" s="20">
        <f>IFERROR(preçodiario[[#This Row],[OVO VERMELHO JUMBO]]*preçodiario[[#This Row],[estoque JV]],0)</f>
        <v>0</v>
      </c>
      <c r="BD209" t="str">
        <f>TEXT(vendaAno[[#This Row],[data]],"mmm")</f>
        <v>jul</v>
      </c>
      <c r="BE209" t="str">
        <f>TEXT(vendaAno[[#This Row],[data]],"ddd")</f>
        <v>seg</v>
      </c>
      <c r="BF209" s="82">
        <f>WEEKNUM(vendaAno[[#This Row],[data]],13)</f>
        <v>30</v>
      </c>
      <c r="BG209" s="27">
        <f>preçodiario[[#This Row],[data]]</f>
        <v>46230</v>
      </c>
      <c r="BH2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09" s="8">
        <f>IF(SUMIFS(estoque[valor total],estoque[fornecedor],"saída",estoque[data],vendaAno[[#This Row],[data]])=0,"",SUMIFS(estoque[valor total],estoque[fornecedor],"saída",estoque[data],vendaAno[[#This Row],[data]]))</f>
        <v>679</v>
      </c>
      <c r="BJ209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Row],[data]]))/12+BJ208,"")</f>
        <v>31.083333333333321</v>
      </c>
      <c r="BK209" s="79">
        <f ca="1">IF(TODAY()&gt;=vendaAno[[#This Row],[data]],IF(SUMIFS(estoque[quantidade],estoque[fornecedor],"saída",estoque[data],vendaAno[[#This Row],[data]])/12=0,AVERAGE(BK206:BK208),SUMIFS(estoque[quantidade],estoque[fornecedor],"saída",estoque[data],vendaAno[[#This Row],[data]])/12),"")</f>
        <v>3</v>
      </c>
      <c r="BL209" s="8">
        <f ca="1">IF(vendaAno[[#This Row],[data]]&lt;=TODAY(),IF(SUMIFS(estoque[lucro],estoque[fornecedor],"saída",estoque[data],vendaAno[[#This Row],[data]])=0,AVERAGE(BL206:BL208),SUMIFS(estoque[lucro],estoque[fornecedor],"saída",estoque[data],vendaAno[[#This Row],[data]])),"")</f>
        <v>130.5</v>
      </c>
      <c r="BM209" s="10">
        <f ca="1">IFERROR(vendaAno[[#This Row],[lucro]]/vendaAno[[#This Row],[valor de venda]],"")</f>
        <v>0.19219440353460973</v>
      </c>
      <c r="BN209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5637.8406743661999</v>
      </c>
      <c r="BO209" s="8">
        <f ca="1">IF(TODAY()&gt;=vendaAno[[#This Row],[data]],IF(vendaAno[[#This Row],[N°]]=BF208,vendaAno[[#This Row],[lucro]]-173.33+BO208,vendaAno[[#This Row],[lucro]]-150),"")</f>
        <v>-362.2700000000001</v>
      </c>
      <c r="BP209" s="81">
        <f ca="1">IF(TODAY()&gt;=vendaAno[[#This Row],[data]],SUM(BK203:BK209)*12,"")</f>
        <v>199.99999999999997</v>
      </c>
      <c r="BQ209" s="7">
        <f ca="1">IFERROR(vendaAno[[#This Row],[lucro]]/(vendaAno[[#This Row],[venda]]*12),"")</f>
        <v>3.625</v>
      </c>
    </row>
    <row r="210" spans="1:71" x14ac:dyDescent="0.25">
      <c r="A2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0" s="18" t="str">
        <f>TEXT(preçodiario[[#This Row],[data]],"MMM")</f>
        <v>jul</v>
      </c>
      <c r="C210" s="18" t="str">
        <f>TEXT(preçodiario[[#This Row],[data]],"ddd")</f>
        <v>ter</v>
      </c>
      <c r="D210" s="96">
        <f>WEEKNUM(preçodiario[[#This Row],[data]],13)</f>
        <v>30</v>
      </c>
      <c r="E210" s="37">
        <v>46231</v>
      </c>
      <c r="F2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Row],[data]])),((F209*G209)+SUMIFS(estoque[valor total],estoque[produto],preçodiario[[#Headers],[OVO BRANCO A]],estoque[data],preçodiario[[#This Row],[data]],estoque[fornecedor],"&lt;&gt;saída"))/(G209+(SUMIFS(estoque[quantidade],estoque[produto],preçodiario[[#Headers],[OVO BRANCO A]],estoque[fornecedor],"&lt;&gt;saída",estoque[data],preçodiario[[#This Row],[data]])))))</f>
        <v>15.278182701652089</v>
      </c>
      <c r="G210" s="22">
        <f>IF(preçodiario[[#This Row],[entrada A]]=0,G209-(SUMIFS(estoque[quantidade],estoque[fornecedor],"saída",estoque[produto],preçodiario[[#Headers],[OVO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Row],[data]]))+G209+preçodiario[[#This Row],[entrada A]])</f>
        <v>145</v>
      </c>
      <c r="H210" s="22">
        <f>SUMIFS(estoque[quantidade],estoque[fornecedor],"&lt;&gt;saída",estoque[produto],preçodiario[[#Headers],[OVO BRANCO A]],estoque[data],preçodiario[[#This Row],[data]])</f>
        <v>0</v>
      </c>
      <c r="I210" s="20">
        <f>SUMIFS(estoque[valor total],estoque[fornecedor],"&lt;&gt;saída",estoque[produto],preçodiario[[#Headers],[OVO BRANCO A]],estoque[data],preçodiario[[#This Row],[data]])</f>
        <v>0</v>
      </c>
      <c r="J210" s="20">
        <f>IFERROR(preçodiario[[#This Row],[estoque A]]*preçodiario[[#This Row],[OVO BRANCO A]],0)</f>
        <v>2215.3364917395529</v>
      </c>
      <c r="K2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Row],[data]])),((K209*L209)+SUMIFS(estoque[valor total],estoque[produto],preçodiario[[#Headers],[OVO BRANCO B]],estoque[data],preçodiario[[#This Row],[data]],estoque[fornecedor],"&lt;&gt;saída"))/(L209+(SUMIFS(estoque[quantidade],estoque[produto],preçodiario[[#Headers],[OVO BRANCO B]],estoque[fornecedor],"&lt;&gt;saída",estoque[data],preçodiario[[#This Row],[data]])))))</f>
        <v>14.584252837326604</v>
      </c>
      <c r="L210" s="22">
        <f>IF(preçodiario[[#This Row],[entrada B]]=0,L209-(SUMIFS(estoque[quantidade],estoque[fornecedor],"saída",estoque[produto],preçodiario[[#Headers],[OVO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Row],[data]]))+L209+preçodiario[[#This Row],[entrada B]])</f>
        <v>25</v>
      </c>
      <c r="M210" s="22">
        <f>SUMIFS(estoque[quantidade],estoque[fornecedor],"&lt;&gt;saída",estoque[produto],preçodiario[[#Headers],[OVO BRANCO B]],estoque[data],preçodiario[[#This Row],[data]])</f>
        <v>0</v>
      </c>
      <c r="N210" s="20">
        <f>SUMIFS(estoque[valor total],estoque[fornecedor],"&lt;&gt;saída",estoque[produto],preçodiario[[#Headers],[OVO BRANCO B]],estoque[data],preçodiario[[#This Row],[data]])</f>
        <v>0</v>
      </c>
      <c r="O210" s="20">
        <f>IFERROR(preçodiario[[#This Row],[OVO BRANCO B]]*preçodiario[[#This Row],[estoque B]],0)</f>
        <v>364.60632093316508</v>
      </c>
      <c r="P2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Row],[data]])),((P209*Q209)+SUMIFS(estoque[valor total],estoque[produto],preçodiario[[#Headers],[OVO BRANCO C]],estoque[data],preçodiario[[#This Row],[data]],estoque[fornecedor],"&lt;&gt;saída"))/(Q209+(SUMIFS(estoque[quantidade],estoque[produto],preçodiario[[#Headers],[OVO BRANCO C]],estoque[fornecedor],"&lt;&gt;saída",estoque[data],preçodiario[[#This Row],[data]])))))</f>
        <v>12.5</v>
      </c>
      <c r="Q210" s="22">
        <f>IF(preçodiario[[#This Row],[entrada C]]=0,Q209-(SUMIFS(estoque[quantidade],estoque[fornecedor],"saída",estoque[produto],preçodiario[[#Headers],[OVO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Row],[data]]))+Q209+preçodiario[[#This Row],[entrada C]])</f>
        <v>60</v>
      </c>
      <c r="R210" s="22">
        <f>SUMIFS(estoque[quantidade],estoque[fornecedor],"&lt;&gt;saída",estoque[produto],preçodiario[[#Headers],[OVO BRANCO C]],estoque[data],preçodiario[[#This Row],[data]])</f>
        <v>0</v>
      </c>
      <c r="S210" s="20">
        <f>SUMIFS(estoque[valor total],estoque[fornecedor],"&lt;&gt;saída",estoque[produto],preçodiario[[#Headers],[OVO BRANCO C]],estoque[data],preçodiario[[#This Row],[data]])</f>
        <v>0</v>
      </c>
      <c r="T210" s="20">
        <f>IFERROR(preçodiario[[#This Row],[OVO BRANCO C]]*preçodiario[[#This Row],[estoque C]],0)</f>
        <v>750</v>
      </c>
      <c r="U2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Row],[data]])),((U209*V209)+SUMIFS(estoque[valor total],estoque[produto],preçodiario[[#Headers],[OVO BRANCO EXTRA]],estoque[data],preçodiario[[#This Row],[data]],estoque[fornecedor],"&lt;&gt;saída"))/(V209+(SUMIFS(estoque[quantidade],estoque[produto],preçodiario[[#Headers],[OVO BRANCO EXTRA]],estoque[fornecedor],"&lt;&gt;saída",estoque[data],preçodiario[[#This Row],[data]])))))</f>
        <v>15.725438400674655</v>
      </c>
      <c r="V210" s="22">
        <f>IF(preçodiario[[#This Row],[entrada E]]=0,V209-(SUMIFS(estoque[quantidade],estoque[fornecedor],"saída",estoque[produto],preçodiario[[#Headers],[OVO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Row],[data]]))+V209+preçodiario[[#This Row],[entrada E]])</f>
        <v>50</v>
      </c>
      <c r="W210" s="22">
        <f>SUMIFS(estoque[quantidade],estoque[fornecedor],"&lt;&gt;saída",estoque[produto],preçodiario[[#Headers],[OVO BRANCO EXTRA]],estoque[data],preçodiario[[#This Row],[data]])</f>
        <v>0</v>
      </c>
      <c r="X210" s="20">
        <f>SUMIFS(estoque[valor total],estoque[fornecedor],"&lt;&gt;saída",estoque[produto],preçodiario[[#Headers],[OVO BRANCO EXTRA]],estoque[data],preçodiario[[#This Row],[data]])</f>
        <v>0</v>
      </c>
      <c r="Y210" s="20">
        <f>IFERROR(preçodiario[[#This Row],[estoque E]]*preçodiario[[#This Row],[OVO BRANCO EXTRA]],0)</f>
        <v>786.27192003373273</v>
      </c>
      <c r="Z2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Row],[data]])),((Z209*AA209)+SUMIFS(estoque[valor total],estoque[produto],preçodiario[[#Headers],[OVO BRANCO JUMBO]],estoque[data],preçodiario[[#This Row],[data]],estoque[fornecedor],"&lt;&gt;saída"))/(AA209+(SUMIFS(estoque[quantidade],estoque[produto],preçodiario[[#Headers],[OVO BRANCO JUMBO]],estoque[fornecedor],"&lt;&gt;saída",estoque[data],preçodiario[[#This Row],[data]])))))</f>
        <v>16.50550595238095</v>
      </c>
      <c r="AA210" s="22">
        <f>IF(preçodiario[[#This Row],[entrada J]]=0,AA209-(SUMIFS(estoque[quantidade],estoque[fornecedor],"saída",estoque[produto],preçodiario[[#Headers],[OVO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Row],[data]]))+AA209+preçodiario[[#This Row],[entrada J]])</f>
        <v>78</v>
      </c>
      <c r="AB210" s="22">
        <f>SUMIFS(estoque[quantidade],estoque[fornecedor],"&lt;&gt;saída",estoque[produto],preçodiario[[#Headers],[OVO BRANCO JUMBO]],estoque[data],preçodiario[[#This Row],[data]])</f>
        <v>0</v>
      </c>
      <c r="AC210" s="20">
        <f>SUMIFS(estoque[valor total],estoque[fornecedor],"&lt;&gt;saída",estoque[produto],preçodiario[[#Headers],[OVO BRANCO JUMBO]],estoque[data],preçodiario[[#This Row],[data]])</f>
        <v>0</v>
      </c>
      <c r="AD210" s="20">
        <f>IFERROR(preçodiario[[#This Row],[OVO BRANCO JUMBO]]*preçodiario[[#This Row],[estoque J]],0)</f>
        <v>1287.4294642857142</v>
      </c>
      <c r="AE2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Row],[data]])),((AE209*AF209)+SUMIFS(estoque[valor total],estoque[produto],preçodiario[[#Headers],[OVO VERMELHO A]],estoque[data],preçodiario[[#This Row],[data]],estoque[fornecedor],"&lt;&gt;saída"))/(AF209+(SUMIFS(estoque[quantidade],estoque[produto],preçodiario[[#Headers],[OVO VERMELHO A]],estoque[fornecedor],"&lt;&gt;saída",estoque[data],preçodiario[[#This Row],[data]])))))</f>
        <v/>
      </c>
      <c r="AF210" s="22">
        <f>IF(preçodiario[[#This Row],[entrada AV]]=0,AF209-(SUMIFS(estoque[quantidade],estoque[fornecedor],"saída",estoque[produto],preçodiario[[#Headers],[OVO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Row],[data]]))+AF209+preçodiario[[#This Row],[entrada AV]])</f>
        <v>0</v>
      </c>
      <c r="AG210" s="22">
        <f>SUMIFS(estoque[quantidade],estoque[fornecedor],"&lt;&gt;saída",estoque[produto],preçodiario[[#Headers],[OVO VERMELHO A]],estoque[data],preçodiario[[#This Row],[data]])</f>
        <v>0</v>
      </c>
      <c r="AH210" s="20">
        <f>SUMIFS(estoque[valor total],estoque[fornecedor],"&lt;&gt;saída",estoque[produto],preçodiario[[#Headers],[OVO VERMELHO A]],estoque[data],preçodiario[[#This Row],[data]])</f>
        <v>0</v>
      </c>
      <c r="AI210" s="20">
        <f>IFERROR(preçodiario[[#This Row],[OVO VERMELHO A]]*preçodiario[[#This Row],[estoque AV]],0)</f>
        <v>0</v>
      </c>
      <c r="AJ2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Row],[data]])),((AJ209*AK209)+SUMIFS(estoque[valor total],estoque[produto],preçodiario[[#Headers],[OVO VERMELHO B]],estoque[data],preçodiario[[#This Row],[data]],estoque[fornecedor],"&lt;&gt;saída"))/(AK209+(SUMIFS(estoque[quantidade],estoque[produto],preçodiario[[#Headers],[OVO VERMELHO B]],estoque[fornecedor],"&lt;&gt;saída",estoque[data],preçodiario[[#This Row],[data]])))))</f>
        <v/>
      </c>
      <c r="AK210" s="22">
        <f>IF(preçodiario[[#This Row],[entrada BV]]=0,AK209-(SUMIFS(estoque[quantidade],estoque[fornecedor],"saída",estoque[produto],preçodiario[[#Headers],[OVO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Row],[data]]))+AK209+preçodiario[[#This Row],[entrada BV]])</f>
        <v>0</v>
      </c>
      <c r="AL210" s="22">
        <f>SUMIFS(estoque[quantidade],estoque[fornecedor],"&lt;&gt;saída",estoque[produto],preçodiario[[#Headers],[OVO VERMELHO B]],estoque[data],preçodiario[[#This Row],[data]])</f>
        <v>0</v>
      </c>
      <c r="AM210" s="20">
        <f>SUMIFS(estoque[valor total],estoque[fornecedor],"&lt;&gt;saída",estoque[produto],preçodiario[[#Headers],[OVO VERMELHO B]],estoque[data],preçodiario[[#This Row],[data]])</f>
        <v>0</v>
      </c>
      <c r="AN210" s="20">
        <f>IFERROR(preçodiario[[#This Row],[OVO VERMELHO B]]*preçodiario[[#This Row],[estoque BV]],0)</f>
        <v>0</v>
      </c>
      <c r="AO2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Row],[data]])),((AO209*AP209)+SUMIFS(estoque[valor total],estoque[produto],preçodiario[[#Headers],[OVO VERMELHO C]],estoque[data],preçodiario[[#This Row],[data]],estoque[fornecedor],"&lt;&gt;saída"))/(AP209+(SUMIFS(estoque[quantidade],estoque[produto],preçodiario[[#Headers],[OVO VERMELHO C]],estoque[fornecedor],"&lt;&gt;saída",estoque[data],preçodiario[[#This Row],[data]])))))</f>
        <v/>
      </c>
      <c r="AP210" s="22">
        <f>IF(preçodiario[[#This Row],[entrada CV]]=0,AP209-(SUMIFS(estoque[quantidade],estoque[fornecedor],"saída",estoque[produto],preçodiario[[#Headers],[OVO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Row],[data]]))+AP209+preçodiario[[#This Row],[entrada CV]])</f>
        <v>0</v>
      </c>
      <c r="AQ210" s="22">
        <f>SUMIFS(estoque[quantidade],estoque[fornecedor],"&lt;&gt;saída",estoque[produto],preçodiario[[#Headers],[OVO VERMELHO C]],estoque[data],preçodiario[[#This Row],[data]])</f>
        <v>0</v>
      </c>
      <c r="AR210" s="20">
        <f>SUMIFS(estoque[valor total],estoque[fornecedor],"&lt;&gt;saída",estoque[produto],preçodiario[[#Headers],[OVO VERMELHO C]],estoque[data],preçodiario[[#This Row],[data]])</f>
        <v>0</v>
      </c>
      <c r="AS210" s="20">
        <f>IFERROR(preçodiario[[#This Row],[OVO VERMELHO C]]*preçodiario[[#This Row],[estoque CV]],0)</f>
        <v>0</v>
      </c>
      <c r="AT2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Row],[data]])),((AT209*AU209)+SUMIFS(estoque[valor total],estoque[produto],preçodiario[[#Headers],[OVO VERMELHO EXTRA]],estoque[data],preçodiario[[#This Row],[data]],estoque[fornecedor],"&lt;&gt;saída"))/(AU209+(SUMIFS(estoque[quantidade],estoque[produto],preçodiario[[#Headers],[OVO VERMELHO EXTRA]],estoque[fornecedor],"&lt;&gt;saída",estoque[data],preçodiario[[#This Row],[data]])))))</f>
        <v/>
      </c>
      <c r="AU210" s="22">
        <f>IF(preçodiario[[#This Row],[entrada EV]]=0,AU209-(SUMIFS(estoque[quantidade],estoque[fornecedor],"saída",estoque[produto],preçodiario[[#Headers],[OVO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Row],[data]]))+AU209+preçodiario[[#This Row],[entrada EV]])</f>
        <v>0</v>
      </c>
      <c r="AV210" s="22">
        <f>SUMIFS(estoque[quantidade],estoque[fornecedor],"&lt;&gt;saída",estoque[produto],preçodiario[[#Headers],[OVO VERMELHO EXTRA]],estoque[data],preçodiario[[#This Row],[data]])</f>
        <v>0</v>
      </c>
      <c r="AW210" s="20">
        <f>SUMIFS(estoque[valor total],estoque[fornecedor],"&lt;&gt;saída",estoque[produto],preçodiario[[#Headers],[OVO VERMELHO EXTRA]],estoque[data],preçodiario[[#This Row],[data]])</f>
        <v>0</v>
      </c>
      <c r="AX210" s="20">
        <f>IFERROR(preçodiario[[#This Row],[OVO VERMELHO EXTRA]]*preçodiario[[#This Row],[estoque EV]],0)</f>
        <v>0</v>
      </c>
      <c r="AY2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Row],[data]])),((AY209*AZ209)+SUMIFS(estoque[valor total],estoque[produto],preçodiario[[#Headers],[OVO VERMELHO JUMBO]],estoque[data],preçodiario[[#This Row],[data]],estoque[fornecedor],"&lt;&gt;saída"))/(AZ209+(SUMIFS(estoque[quantidade],estoque[produto],preçodiario[[#Headers],[OVO VERMELHO JUMBO]],estoque[fornecedor],"&lt;&gt;saída",estoque[data],preçodiario[[#This Row],[data]])))))</f>
        <v/>
      </c>
      <c r="AZ210" s="22">
        <f>IF(preçodiario[[#This Row],[entrada JV]]=0,AZ209-(SUMIFS(estoque[quantidade],estoque[fornecedor],"saída",estoque[produto],preçodiario[[#Headers],[OVO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Row],[data]]))+AZ209+preçodiario[[#This Row],[entrada JV]])</f>
        <v>0</v>
      </c>
      <c r="BA210" s="22">
        <f>SUMIFS(estoque[quantidade],estoque[fornecedor],"&lt;&gt;saída",estoque[produto],preçodiario[[#Headers],[OVO VERMELHO JUMBO]],estoque[data],preçodiario[[#This Row],[data]])</f>
        <v>0</v>
      </c>
      <c r="BB210" s="20">
        <f>SUMIFS(estoque[valor total],estoque[fornecedor],"&lt;&gt;saída",estoque[produto],preçodiario[[#Headers],[OVO VERMELHO JUMBO]],estoque[data],preçodiario[[#This Row],[data]])</f>
        <v>0</v>
      </c>
      <c r="BC210" s="20">
        <f>IFERROR(preçodiario[[#This Row],[OVO VERMELHO JUMBO]]*preçodiario[[#This Row],[estoque JV]],0)</f>
        <v>0</v>
      </c>
      <c r="BD210" t="str">
        <f>TEXT(vendaAno[[#This Row],[data]],"mmm")</f>
        <v>jul</v>
      </c>
      <c r="BE210" t="str">
        <f>TEXT(vendaAno[[#This Row],[data]],"ddd")</f>
        <v>ter</v>
      </c>
      <c r="BF210" s="82">
        <f>WEEKNUM(vendaAno[[#This Row],[data]],13)</f>
        <v>30</v>
      </c>
      <c r="BG210" s="27">
        <f>preçodiario[[#This Row],[data]]</f>
        <v>46231</v>
      </c>
      <c r="BH2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0" s="8">
        <f>IF(SUMIFS(estoque[valor total],estoque[fornecedor],"saída",estoque[data],vendaAno[[#This Row],[data]])=0,"",SUMIFS(estoque[valor total],estoque[fornecedor],"saída",estoque[data],vendaAno[[#This Row],[data]]))</f>
        <v>297</v>
      </c>
      <c r="BJ210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Row],[data]]))/12+BJ209,"")</f>
        <v>29.833333333333321</v>
      </c>
      <c r="BK210" s="79">
        <f ca="1">IF(TODAY()&gt;=vendaAno[[#This Row],[data]],IF(SUMIFS(estoque[quantidade],estoque[fornecedor],"saída",estoque[data],vendaAno[[#This Row],[data]])/12=0,AVERAGE(BK207:BK209),SUMIFS(estoque[quantidade],estoque[fornecedor],"saída",estoque[data],vendaAno[[#This Row],[data]])/12),"")</f>
        <v>1.25</v>
      </c>
      <c r="BL210" s="8">
        <f ca="1">IF(vendaAno[[#This Row],[data]]&lt;=TODAY(),IF(SUMIFS(estoque[lucro],estoque[fornecedor],"saída",estoque[data],vendaAno[[#This Row],[data]])=0,AVERAGE(BL207:BL209),SUMIFS(estoque[lucro],estoque[fornecedor],"saída",estoque[data],vendaAno[[#This Row],[data]])),"")</f>
        <v>62.8</v>
      </c>
      <c r="BM210" s="10">
        <f ca="1">IFERROR(vendaAno[[#This Row],[lucro]]/vendaAno[[#This Row],[valor de venda]],"")</f>
        <v>0.21144781144781144</v>
      </c>
      <c r="BN210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5403.6441969921652</v>
      </c>
      <c r="BO210" s="8">
        <f ca="1">IF(TODAY()&gt;=vendaAno[[#This Row],[data]],IF(vendaAno[[#This Row],[N°]]=BF209,vendaAno[[#This Row],[lucro]]-173.33+BO209,vendaAno[[#This Row],[lucro]]-150),"")</f>
        <v>-472.80000000000013</v>
      </c>
      <c r="BP210" s="81">
        <f ca="1">IF(TODAY()&gt;=vendaAno[[#This Row],[data]],SUM(BK204:BK210)*12,"")</f>
        <v>180</v>
      </c>
      <c r="BQ210" s="7">
        <f ca="1">IFERROR(vendaAno[[#This Row],[lucro]]/(vendaAno[[#This Row],[venda]]*12),"")</f>
        <v>4.1866666666666665</v>
      </c>
    </row>
    <row r="211" spans="1:71" x14ac:dyDescent="0.25">
      <c r="A2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1" s="18" t="str">
        <f>TEXT(preçodiario[[#This Row],[data]],"MMM")</f>
        <v>jul</v>
      </c>
      <c r="C211" s="18" t="str">
        <f>TEXT(preçodiario[[#This Row],[data]],"ddd")</f>
        <v>qua</v>
      </c>
      <c r="D211" s="96">
        <f>WEEKNUM(preçodiario[[#This Row],[data]],13)</f>
        <v>31</v>
      </c>
      <c r="E211" s="37">
        <v>46232</v>
      </c>
      <c r="F2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Row],[data]])),((F210*G210)+SUMIFS(estoque[valor total],estoque[produto],preçodiario[[#Headers],[OVO BRANCO A]],estoque[data],preçodiario[[#This Row],[data]],estoque[fornecedor],"&lt;&gt;saída"))/(G210+(SUMIFS(estoque[quantidade],estoque[produto],preçodiario[[#Headers],[OVO BRANCO A]],estoque[fornecedor],"&lt;&gt;saída",estoque[data],preçodiario[[#This Row],[data]])))))</f>
        <v>15.278182701652089</v>
      </c>
      <c r="G211" s="22">
        <f>IF(preçodiario[[#This Row],[entrada A]]=0,G210-(SUMIFS(estoque[quantidade],estoque[fornecedor],"saída",estoque[produto],preçodiario[[#Headers],[OVO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Row],[data]]))+G210+preçodiario[[#This Row],[entrada A]])</f>
        <v>133</v>
      </c>
      <c r="H211" s="22">
        <f>SUMIFS(estoque[quantidade],estoque[fornecedor],"&lt;&gt;saída",estoque[produto],preçodiario[[#Headers],[OVO BRANCO A]],estoque[data],preçodiario[[#This Row],[data]])</f>
        <v>0</v>
      </c>
      <c r="I211" s="20">
        <f>SUMIFS(estoque[valor total],estoque[fornecedor],"&lt;&gt;saída",estoque[produto],preçodiario[[#Headers],[OVO BRANCO A]],estoque[data],preçodiario[[#This Row],[data]])</f>
        <v>0</v>
      </c>
      <c r="J211" s="20">
        <f>IFERROR(preçodiario[[#This Row],[estoque A]]*preçodiario[[#This Row],[OVO BRANCO A]],0)</f>
        <v>2031.9982993197277</v>
      </c>
      <c r="K2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Row],[data]])),((K210*L210)+SUMIFS(estoque[valor total],estoque[produto],preçodiario[[#Headers],[OVO BRANCO B]],estoque[data],preçodiario[[#This Row],[data]],estoque[fornecedor],"&lt;&gt;saída"))/(L210+(SUMIFS(estoque[quantidade],estoque[produto],preçodiario[[#Headers],[OVO BRANCO B]],estoque[fornecedor],"&lt;&gt;saída",estoque[data],preçodiario[[#This Row],[data]])))))</f>
        <v>14.584252837326604</v>
      </c>
      <c r="L211" s="22">
        <f>IF(preçodiario[[#This Row],[entrada B]]=0,L210-(SUMIFS(estoque[quantidade],estoque[fornecedor],"saída",estoque[produto],preçodiario[[#Headers],[OVO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Row],[data]]))+L210+preçodiario[[#This Row],[entrada B]])</f>
        <v>16</v>
      </c>
      <c r="M211" s="22">
        <f>SUMIFS(estoque[quantidade],estoque[fornecedor],"&lt;&gt;saída",estoque[produto],preçodiario[[#Headers],[OVO BRANCO B]],estoque[data],preçodiario[[#This Row],[data]])</f>
        <v>0</v>
      </c>
      <c r="N211" s="20">
        <f>SUMIFS(estoque[valor total],estoque[fornecedor],"&lt;&gt;saída",estoque[produto],preçodiario[[#Headers],[OVO BRANCO B]],estoque[data],preçodiario[[#This Row],[data]])</f>
        <v>0</v>
      </c>
      <c r="O211" s="20">
        <f>IFERROR(preçodiario[[#This Row],[OVO BRANCO B]]*preçodiario[[#This Row],[estoque B]],0)</f>
        <v>233.34804539722566</v>
      </c>
      <c r="P2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Row],[data]])),((P210*Q210)+SUMIFS(estoque[valor total],estoque[produto],preçodiario[[#Headers],[OVO BRANCO C]],estoque[data],preçodiario[[#This Row],[data]],estoque[fornecedor],"&lt;&gt;saída"))/(Q210+(SUMIFS(estoque[quantidade],estoque[produto],preçodiario[[#Headers],[OVO BRANCO C]],estoque[fornecedor],"&lt;&gt;saída",estoque[data],preçodiario[[#This Row],[data]])))))</f>
        <v>12.5</v>
      </c>
      <c r="Q211" s="22">
        <f>IF(preçodiario[[#This Row],[entrada C]]=0,Q210-(SUMIFS(estoque[quantidade],estoque[fornecedor],"saída",estoque[produto],preçodiario[[#Headers],[OVO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Row],[data]]))+Q210+preçodiario[[#This Row],[entrada C]])</f>
        <v>60</v>
      </c>
      <c r="R211" s="22">
        <f>SUMIFS(estoque[quantidade],estoque[fornecedor],"&lt;&gt;saída",estoque[produto],preçodiario[[#Headers],[OVO BRANCO C]],estoque[data],preçodiario[[#This Row],[data]])</f>
        <v>0</v>
      </c>
      <c r="S211" s="20">
        <f>SUMIFS(estoque[valor total],estoque[fornecedor],"&lt;&gt;saída",estoque[produto],preçodiario[[#Headers],[OVO BRANCO C]],estoque[data],preçodiario[[#This Row],[data]])</f>
        <v>0</v>
      </c>
      <c r="T211" s="20">
        <f>IFERROR(preçodiario[[#This Row],[OVO BRANCO C]]*preçodiario[[#This Row],[estoque C]],0)</f>
        <v>750</v>
      </c>
      <c r="U2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Row],[data]])),((U210*V210)+SUMIFS(estoque[valor total],estoque[produto],preçodiario[[#Headers],[OVO BRANCO EXTRA]],estoque[data],preçodiario[[#This Row],[data]],estoque[fornecedor],"&lt;&gt;saída"))/(V210+(SUMIFS(estoque[quantidade],estoque[produto],preçodiario[[#Headers],[OVO BRANCO EXTRA]],estoque[fornecedor],"&lt;&gt;saída",estoque[data],preçodiario[[#This Row],[data]])))))</f>
        <v>15.725438400674655</v>
      </c>
      <c r="V211" s="22">
        <f>IF(preçodiario[[#This Row],[entrada E]]=0,V210-(SUMIFS(estoque[quantidade],estoque[fornecedor],"saída",estoque[produto],preçodiario[[#Headers],[OVO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Row],[data]]))+V210+preçodiario[[#This Row],[entrada E]])</f>
        <v>46</v>
      </c>
      <c r="W211" s="22">
        <f>SUMIFS(estoque[quantidade],estoque[fornecedor],"&lt;&gt;saída",estoque[produto],preçodiario[[#Headers],[OVO BRANCO EXTRA]],estoque[data],preçodiario[[#This Row],[data]])</f>
        <v>0</v>
      </c>
      <c r="X211" s="20">
        <f>SUMIFS(estoque[valor total],estoque[fornecedor],"&lt;&gt;saída",estoque[produto],preçodiario[[#Headers],[OVO BRANCO EXTRA]],estoque[data],preçodiario[[#This Row],[data]])</f>
        <v>0</v>
      </c>
      <c r="Y211" s="20">
        <f>IFERROR(preçodiario[[#This Row],[estoque E]]*preçodiario[[#This Row],[OVO BRANCO EXTRA]],0)</f>
        <v>723.37016643103414</v>
      </c>
      <c r="Z21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Row],[data]])),((Z210*AA210)+SUMIFS(estoque[valor total],estoque[produto],preçodiario[[#Headers],[OVO BRANCO JUMBO]],estoque[data],preçodiario[[#This Row],[data]],estoque[fornecedor],"&lt;&gt;saída"))/(AA210+(SUMIFS(estoque[quantidade],estoque[produto],preçodiario[[#Headers],[OVO BRANCO JUMBO]],estoque[fornecedor],"&lt;&gt;saída",estoque[data],preçodiario[[#This Row],[data]])))))</f>
        <v>16.50550595238095</v>
      </c>
      <c r="AA211" s="22">
        <f>IF(preçodiario[[#This Row],[entrada J]]=0,AA210-(SUMIFS(estoque[quantidade],estoque[fornecedor],"saída",estoque[produto],preçodiario[[#Headers],[OVO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Row],[data]]))+AA210+preçodiario[[#This Row],[entrada J]])</f>
        <v>75</v>
      </c>
      <c r="AB211" s="22">
        <f>SUMIFS(estoque[quantidade],estoque[fornecedor],"&lt;&gt;saída",estoque[produto],preçodiario[[#Headers],[OVO BRANCO JUMBO]],estoque[data],preçodiario[[#This Row],[data]])</f>
        <v>0</v>
      </c>
      <c r="AC211" s="20">
        <f>SUMIFS(estoque[valor total],estoque[fornecedor],"&lt;&gt;saída",estoque[produto],preçodiario[[#Headers],[OVO BRANCO JUMBO]],estoque[data],preçodiario[[#This Row],[data]])</f>
        <v>0</v>
      </c>
      <c r="AD211" s="20">
        <f>IFERROR(preçodiario[[#This Row],[OVO BRANCO JUMBO]]*preçodiario[[#This Row],[estoque J]],0)</f>
        <v>1237.9129464285713</v>
      </c>
      <c r="AE2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Row],[data]])),((AE210*AF210)+SUMIFS(estoque[valor total],estoque[produto],preçodiario[[#Headers],[OVO VERMELHO A]],estoque[data],preçodiario[[#This Row],[data]],estoque[fornecedor],"&lt;&gt;saída"))/(AF210+(SUMIFS(estoque[quantidade],estoque[produto],preçodiario[[#Headers],[OVO VERMELHO A]],estoque[fornecedor],"&lt;&gt;saída",estoque[data],preçodiario[[#This Row],[data]])))))</f>
        <v/>
      </c>
      <c r="AF211" s="22">
        <f>IF(preçodiario[[#This Row],[entrada AV]]=0,AF210-(SUMIFS(estoque[quantidade],estoque[fornecedor],"saída",estoque[produto],preçodiario[[#Headers],[OVO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Row],[data]]))+AF210+preçodiario[[#This Row],[entrada AV]])</f>
        <v>0</v>
      </c>
      <c r="AG211" s="22">
        <f>SUMIFS(estoque[quantidade],estoque[fornecedor],"&lt;&gt;saída",estoque[produto],preçodiario[[#Headers],[OVO VERMELHO A]],estoque[data],preçodiario[[#This Row],[data]])</f>
        <v>0</v>
      </c>
      <c r="AH211" s="20">
        <f>SUMIFS(estoque[valor total],estoque[fornecedor],"&lt;&gt;saída",estoque[produto],preçodiario[[#Headers],[OVO VERMELHO A]],estoque[data],preçodiario[[#This Row],[data]])</f>
        <v>0</v>
      </c>
      <c r="AI211" s="20">
        <f>IFERROR(preçodiario[[#This Row],[OVO VERMELHO A]]*preçodiario[[#This Row],[estoque AV]],0)</f>
        <v>0</v>
      </c>
      <c r="AJ2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Row],[data]])),((AJ210*AK210)+SUMIFS(estoque[valor total],estoque[produto],preçodiario[[#Headers],[OVO VERMELHO B]],estoque[data],preçodiario[[#This Row],[data]],estoque[fornecedor],"&lt;&gt;saída"))/(AK210+(SUMIFS(estoque[quantidade],estoque[produto],preçodiario[[#Headers],[OVO VERMELHO B]],estoque[fornecedor],"&lt;&gt;saída",estoque[data],preçodiario[[#This Row],[data]])))))</f>
        <v/>
      </c>
      <c r="AK211" s="22">
        <f>IF(preçodiario[[#This Row],[entrada BV]]=0,AK210-(SUMIFS(estoque[quantidade],estoque[fornecedor],"saída",estoque[produto],preçodiario[[#Headers],[OVO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Row],[data]]))+AK210+preçodiario[[#This Row],[entrada BV]])</f>
        <v>0</v>
      </c>
      <c r="AL211" s="22">
        <f>SUMIFS(estoque[quantidade],estoque[fornecedor],"&lt;&gt;saída",estoque[produto],preçodiario[[#Headers],[OVO VERMELHO B]],estoque[data],preçodiario[[#This Row],[data]])</f>
        <v>0</v>
      </c>
      <c r="AM211" s="20">
        <f>SUMIFS(estoque[valor total],estoque[fornecedor],"&lt;&gt;saída",estoque[produto],preçodiario[[#Headers],[OVO VERMELHO B]],estoque[data],preçodiario[[#This Row],[data]])</f>
        <v>0</v>
      </c>
      <c r="AN211" s="20">
        <f>IFERROR(preçodiario[[#This Row],[OVO VERMELHO B]]*preçodiario[[#This Row],[estoque BV]],0)</f>
        <v>0</v>
      </c>
      <c r="AO2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Row],[data]])),((AO210*AP210)+SUMIFS(estoque[valor total],estoque[produto],preçodiario[[#Headers],[OVO VERMELHO C]],estoque[data],preçodiario[[#This Row],[data]],estoque[fornecedor],"&lt;&gt;saída"))/(AP210+(SUMIFS(estoque[quantidade],estoque[produto],preçodiario[[#Headers],[OVO VERMELHO C]],estoque[fornecedor],"&lt;&gt;saída",estoque[data],preçodiario[[#This Row],[data]])))))</f>
        <v/>
      </c>
      <c r="AP211" s="22">
        <f>IF(preçodiario[[#This Row],[entrada CV]]=0,AP210-(SUMIFS(estoque[quantidade],estoque[fornecedor],"saída",estoque[produto],preçodiario[[#Headers],[OVO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Row],[data]]))+AP210+preçodiario[[#This Row],[entrada CV]])</f>
        <v>0</v>
      </c>
      <c r="AQ211" s="22">
        <f>SUMIFS(estoque[quantidade],estoque[fornecedor],"&lt;&gt;saída",estoque[produto],preçodiario[[#Headers],[OVO VERMELHO C]],estoque[data],preçodiario[[#This Row],[data]])</f>
        <v>0</v>
      </c>
      <c r="AR211" s="20">
        <f>SUMIFS(estoque[valor total],estoque[fornecedor],"&lt;&gt;saída",estoque[produto],preçodiario[[#Headers],[OVO VERMELHO C]],estoque[data],preçodiario[[#This Row],[data]])</f>
        <v>0</v>
      </c>
      <c r="AS211" s="20">
        <f>IFERROR(preçodiario[[#This Row],[OVO VERMELHO C]]*preçodiario[[#This Row],[estoque CV]],0)</f>
        <v>0</v>
      </c>
      <c r="AT2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Row],[data]])),((AT210*AU210)+SUMIFS(estoque[valor total],estoque[produto],preçodiario[[#Headers],[OVO VERMELHO EXTRA]],estoque[data],preçodiario[[#This Row],[data]],estoque[fornecedor],"&lt;&gt;saída"))/(AU210+(SUMIFS(estoque[quantidade],estoque[produto],preçodiario[[#Headers],[OVO VERMELHO EXTRA]],estoque[fornecedor],"&lt;&gt;saída",estoque[data],preçodiario[[#This Row],[data]])))))</f>
        <v/>
      </c>
      <c r="AU211" s="22">
        <f>IF(preçodiario[[#This Row],[entrada EV]]=0,AU210-(SUMIFS(estoque[quantidade],estoque[fornecedor],"saída",estoque[produto],preçodiario[[#Headers],[OVO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Row],[data]]))+AU210+preçodiario[[#This Row],[entrada EV]])</f>
        <v>0</v>
      </c>
      <c r="AV211" s="22">
        <f>SUMIFS(estoque[quantidade],estoque[fornecedor],"&lt;&gt;saída",estoque[produto],preçodiario[[#Headers],[OVO VERMELHO EXTRA]],estoque[data],preçodiario[[#This Row],[data]])</f>
        <v>0</v>
      </c>
      <c r="AW211" s="20">
        <f>SUMIFS(estoque[valor total],estoque[fornecedor],"&lt;&gt;saída",estoque[produto],preçodiario[[#Headers],[OVO VERMELHO EXTRA]],estoque[data],preçodiario[[#This Row],[data]])</f>
        <v>0</v>
      </c>
      <c r="AX211" s="20">
        <f>IFERROR(preçodiario[[#This Row],[OVO VERMELHO EXTRA]]*preçodiario[[#This Row],[estoque EV]],0)</f>
        <v>0</v>
      </c>
      <c r="AY2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Row],[data]])),((AY210*AZ210)+SUMIFS(estoque[valor total],estoque[produto],preçodiario[[#Headers],[OVO VERMELHO JUMBO]],estoque[data],preçodiario[[#This Row],[data]],estoque[fornecedor],"&lt;&gt;saída"))/(AZ210+(SUMIFS(estoque[quantidade],estoque[produto],preçodiario[[#Headers],[OVO VERMELHO JUMBO]],estoque[fornecedor],"&lt;&gt;saída",estoque[data],preçodiario[[#This Row],[data]])))))</f>
        <v/>
      </c>
      <c r="AZ211" s="22">
        <f>IF(preçodiario[[#This Row],[entrada JV]]=0,AZ210-(SUMIFS(estoque[quantidade],estoque[fornecedor],"saída",estoque[produto],preçodiario[[#Headers],[OVO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Row],[data]]))+AZ210+preçodiario[[#This Row],[entrada JV]])</f>
        <v>0</v>
      </c>
      <c r="BA211" s="22">
        <f>SUMIFS(estoque[quantidade],estoque[fornecedor],"&lt;&gt;saída",estoque[produto],preçodiario[[#Headers],[OVO VERMELHO JUMBO]],estoque[data],preçodiario[[#This Row],[data]])</f>
        <v>0</v>
      </c>
      <c r="BB211" s="20">
        <f>SUMIFS(estoque[valor total],estoque[fornecedor],"&lt;&gt;saída",estoque[produto],preçodiario[[#Headers],[OVO VERMELHO JUMBO]],estoque[data],preçodiario[[#This Row],[data]])</f>
        <v>0</v>
      </c>
      <c r="BC211" s="20">
        <f>IFERROR(preçodiario[[#This Row],[OVO VERMELHO JUMBO]]*preçodiario[[#This Row],[estoque JV]],0)</f>
        <v>0</v>
      </c>
      <c r="BD211" t="str">
        <f>TEXT(vendaAno[[#This Row],[data]],"mmm")</f>
        <v>jul</v>
      </c>
      <c r="BE211" t="str">
        <f>TEXT(vendaAno[[#This Row],[data]],"ddd")</f>
        <v>qua</v>
      </c>
      <c r="BF211" s="82">
        <f>WEEKNUM(vendaAno[[#This Row],[data]],13)</f>
        <v>31</v>
      </c>
      <c r="BG211" s="27">
        <f>preçodiario[[#This Row],[data]]</f>
        <v>46232</v>
      </c>
      <c r="BH2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1" s="8">
        <f>IF(SUMIFS(estoque[valor total],estoque[fornecedor],"saída",estoque[data],vendaAno[[#This Row],[data]])=0,"",SUMIFS(estoque[valor total],estoque[fornecedor],"saída",estoque[data],vendaAno[[#This Row],[data]]))</f>
        <v>514</v>
      </c>
      <c r="BJ211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Row],[data]]))/12+BJ210,"")</f>
        <v>27.499999999999989</v>
      </c>
      <c r="BK211" s="79">
        <f ca="1">IF(TODAY()&gt;=vendaAno[[#This Row],[data]],IF(SUMIFS(estoque[quantidade],estoque[fornecedor],"saída",estoque[data],vendaAno[[#This Row],[data]])/12=0,AVERAGE(BK208:BK210),SUMIFS(estoque[quantidade],estoque[fornecedor],"saída",estoque[data],vendaAno[[#This Row],[data]])/12),"")</f>
        <v>2.3333333333333335</v>
      </c>
      <c r="BL211" s="8">
        <f ca="1">IF(vendaAno[[#This Row],[data]]&lt;=TODAY(),IF(SUMIFS(estoque[lucro],estoque[fornecedor],"saída",estoque[data],vendaAno[[#This Row],[data]])=0,AVERAGE(BL208:BL210),SUMIFS(estoque[lucro],estoque[fornecedor],"saída",estoque[data],vendaAno[[#This Row],[data]])),"")</f>
        <v>86.98</v>
      </c>
      <c r="BM211" s="10">
        <f ca="1">IFERROR(vendaAno[[#This Row],[lucro]]/vendaAno[[#This Row],[valor de venda]],"")</f>
        <v>0.1692217898832685</v>
      </c>
      <c r="BN211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4976.6294575765587</v>
      </c>
      <c r="BO211" s="8">
        <f ca="1">IF(TODAY()&gt;=vendaAno[[#This Row],[data]],IF(vendaAno[[#This Row],[N°]]=BF210,vendaAno[[#This Row],[lucro]]-173.33+BO210,vendaAno[[#This Row],[lucro]]-150),"")</f>
        <v>-63.019999999999996</v>
      </c>
      <c r="BP211" s="81">
        <f ca="1">IF(TODAY()&gt;=vendaAno[[#This Row],[data]],SUM(BK205:BK211)*12,"")</f>
        <v>180</v>
      </c>
      <c r="BQ211" s="7">
        <f ca="1">IFERROR(vendaAno[[#This Row],[lucro]]/(vendaAno[[#This Row],[venda]]*12),"")</f>
        <v>3.1064285714285718</v>
      </c>
    </row>
    <row r="212" spans="1:71" x14ac:dyDescent="0.25">
      <c r="A2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2" s="18" t="str">
        <f>TEXT(preçodiario[[#This Row],[data]],"MMM")</f>
        <v>jul</v>
      </c>
      <c r="C212" s="18" t="str">
        <f>TEXT(preçodiario[[#This Row],[data]],"ddd")</f>
        <v>qui</v>
      </c>
      <c r="D212" s="96">
        <f>WEEKNUM(preçodiario[[#This Row],[data]],13)</f>
        <v>31</v>
      </c>
      <c r="E212" s="37">
        <v>46233</v>
      </c>
      <c r="F2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Row],[data]])),((F211*G211)+SUMIFS(estoque[valor total],estoque[produto],preçodiario[[#Headers],[OVO BRANCO A]],estoque[data],preçodiario[[#This Row],[data]],estoque[fornecedor],"&lt;&gt;saída"))/(G211+(SUMIFS(estoque[quantidade],estoque[produto],preçodiario[[#Headers],[OVO BRANCO A]],estoque[fornecedor],"&lt;&gt;saída",estoque[data],preçodiario[[#This Row],[data]])))))</f>
        <v>15.278182701652089</v>
      </c>
      <c r="G212" s="22">
        <f>IF(preçodiario[[#This Row],[entrada A]]=0,G211-(SUMIFS(estoque[quantidade],estoque[fornecedor],"saída",estoque[produto],preçodiario[[#Headers],[OVO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Row],[data]]))+G211+preçodiario[[#This Row],[entrada A]])</f>
        <v>133</v>
      </c>
      <c r="H212" s="22">
        <f>SUMIFS(estoque[quantidade],estoque[fornecedor],"&lt;&gt;saída",estoque[produto],preçodiario[[#Headers],[OVO BRANCO A]],estoque[data],preçodiario[[#This Row],[data]])</f>
        <v>0</v>
      </c>
      <c r="I212" s="20">
        <f>SUMIFS(estoque[valor total],estoque[fornecedor],"&lt;&gt;saída",estoque[produto],preçodiario[[#Headers],[OVO BRANCO A]],estoque[data],preçodiario[[#This Row],[data]])</f>
        <v>0</v>
      </c>
      <c r="J212" s="20">
        <f>IFERROR(preçodiario[[#This Row],[estoque A]]*preçodiario[[#This Row],[OVO BRANCO A]],0)</f>
        <v>2031.9982993197277</v>
      </c>
      <c r="K2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Row],[data]])),((K211*L211)+SUMIFS(estoque[valor total],estoque[produto],preçodiario[[#Headers],[OVO BRANCO B]],estoque[data],preçodiario[[#This Row],[data]],estoque[fornecedor],"&lt;&gt;saída"))/(L211+(SUMIFS(estoque[quantidade],estoque[produto],preçodiario[[#Headers],[OVO BRANCO B]],estoque[fornecedor],"&lt;&gt;saída",estoque[data],preçodiario[[#This Row],[data]])))))</f>
        <v>14.584252837326604</v>
      </c>
      <c r="L212" s="22">
        <f>IF(preçodiario[[#This Row],[entrada B]]=0,L211-(SUMIFS(estoque[quantidade],estoque[fornecedor],"saída",estoque[produto],preçodiario[[#Headers],[OVO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Row],[data]]))+L211+preçodiario[[#This Row],[entrada B]])</f>
        <v>16</v>
      </c>
      <c r="M212" s="22">
        <f>SUMIFS(estoque[quantidade],estoque[fornecedor],"&lt;&gt;saída",estoque[produto],preçodiario[[#Headers],[OVO BRANCO B]],estoque[data],preçodiario[[#This Row],[data]])</f>
        <v>0</v>
      </c>
      <c r="N212" s="20">
        <f>SUMIFS(estoque[valor total],estoque[fornecedor],"&lt;&gt;saída",estoque[produto],preçodiario[[#Headers],[OVO BRANCO B]],estoque[data],preçodiario[[#This Row],[data]])</f>
        <v>0</v>
      </c>
      <c r="O212" s="20">
        <f>IFERROR(preçodiario[[#This Row],[OVO BRANCO B]]*preçodiario[[#This Row],[estoque B]],0)</f>
        <v>233.34804539722566</v>
      </c>
      <c r="P2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Row],[data]])),((P211*Q211)+SUMIFS(estoque[valor total],estoque[produto],preçodiario[[#Headers],[OVO BRANCO C]],estoque[data],preçodiario[[#This Row],[data]],estoque[fornecedor],"&lt;&gt;saída"))/(Q211+(SUMIFS(estoque[quantidade],estoque[produto],preçodiario[[#Headers],[OVO BRANCO C]],estoque[fornecedor],"&lt;&gt;saída",estoque[data],preçodiario[[#This Row],[data]])))))</f>
        <v>12.5</v>
      </c>
      <c r="Q212" s="22">
        <f>IF(preçodiario[[#This Row],[entrada C]]=0,Q211-(SUMIFS(estoque[quantidade],estoque[fornecedor],"saída",estoque[produto],preçodiario[[#Headers],[OVO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Row],[data]]))+Q211+preçodiario[[#This Row],[entrada C]])</f>
        <v>60</v>
      </c>
      <c r="R212" s="22">
        <f>SUMIFS(estoque[quantidade],estoque[fornecedor],"&lt;&gt;saída",estoque[produto],preçodiario[[#Headers],[OVO BRANCO C]],estoque[data],preçodiario[[#This Row],[data]])</f>
        <v>0</v>
      </c>
      <c r="S212" s="20">
        <f>SUMIFS(estoque[valor total],estoque[fornecedor],"&lt;&gt;saída",estoque[produto],preçodiario[[#Headers],[OVO BRANCO C]],estoque[data],preçodiario[[#This Row],[data]])</f>
        <v>0</v>
      </c>
      <c r="T212" s="20">
        <f>IFERROR(preçodiario[[#This Row],[OVO BRANCO C]]*preçodiario[[#This Row],[estoque C]],0)</f>
        <v>750</v>
      </c>
      <c r="U2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Row],[data]])),((U211*V211)+SUMIFS(estoque[valor total],estoque[produto],preçodiario[[#Headers],[OVO BRANCO EXTRA]],estoque[data],preçodiario[[#This Row],[data]],estoque[fornecedor],"&lt;&gt;saída"))/(V211+(SUMIFS(estoque[quantidade],estoque[produto],preçodiario[[#Headers],[OVO BRANCO EXTRA]],estoque[fornecedor],"&lt;&gt;saída",estoque[data],preçodiario[[#This Row],[data]])))))</f>
        <v>15.725438400674655</v>
      </c>
      <c r="V212" s="22">
        <f>IF(preçodiario[[#This Row],[entrada E]]=0,V211-(SUMIFS(estoque[quantidade],estoque[fornecedor],"saída",estoque[produto],preçodiario[[#Headers],[OVO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Row],[data]]))+V211+preçodiario[[#This Row],[entrada E]])</f>
        <v>46</v>
      </c>
      <c r="W212" s="22">
        <f>SUMIFS(estoque[quantidade],estoque[fornecedor],"&lt;&gt;saída",estoque[produto],preçodiario[[#Headers],[OVO BRANCO EXTRA]],estoque[data],preçodiario[[#This Row],[data]])</f>
        <v>0</v>
      </c>
      <c r="X212" s="20">
        <f>SUMIFS(estoque[valor total],estoque[fornecedor],"&lt;&gt;saída",estoque[produto],preçodiario[[#Headers],[OVO BRANCO EXTRA]],estoque[data],preçodiario[[#This Row],[data]])</f>
        <v>0</v>
      </c>
      <c r="Y212" s="20">
        <f>IFERROR(preçodiario[[#This Row],[estoque E]]*preçodiario[[#This Row],[OVO BRANCO EXTRA]],0)</f>
        <v>723.37016643103414</v>
      </c>
      <c r="Z2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Row],[data]])),((Z211*AA211)+SUMIFS(estoque[valor total],estoque[produto],preçodiario[[#Headers],[OVO BRANCO JUMBO]],estoque[data],preçodiario[[#This Row],[data]],estoque[fornecedor],"&lt;&gt;saída"))/(AA211+(SUMIFS(estoque[quantidade],estoque[produto],preçodiario[[#Headers],[OVO BRANCO JUMBO]],estoque[fornecedor],"&lt;&gt;saída",estoque[data],preçodiario[[#This Row],[data]])))))</f>
        <v>16.50550595238095</v>
      </c>
      <c r="AA212" s="22">
        <f>IF(preçodiario[[#This Row],[entrada J]]=0,AA211-(SUMIFS(estoque[quantidade],estoque[fornecedor],"saída",estoque[produto],preçodiario[[#Headers],[OVO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Row],[data]]))+AA211+preçodiario[[#This Row],[entrada J]])</f>
        <v>75</v>
      </c>
      <c r="AB212" s="22">
        <f>SUMIFS(estoque[quantidade],estoque[fornecedor],"&lt;&gt;saída",estoque[produto],preçodiario[[#Headers],[OVO BRANCO JUMBO]],estoque[data],preçodiario[[#This Row],[data]])</f>
        <v>0</v>
      </c>
      <c r="AC212" s="20">
        <f>SUMIFS(estoque[valor total],estoque[fornecedor],"&lt;&gt;saída",estoque[produto],preçodiario[[#Headers],[OVO BRANCO JUMBO]],estoque[data],preçodiario[[#This Row],[data]])</f>
        <v>0</v>
      </c>
      <c r="AD212" s="20">
        <f>IFERROR(preçodiario[[#This Row],[OVO BRANCO JUMBO]]*preçodiario[[#This Row],[estoque J]],0)</f>
        <v>1237.9129464285713</v>
      </c>
      <c r="AE2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Row],[data]])),((AE211*AF211)+SUMIFS(estoque[valor total],estoque[produto],preçodiario[[#Headers],[OVO VERMELHO A]],estoque[data],preçodiario[[#This Row],[data]],estoque[fornecedor],"&lt;&gt;saída"))/(AF211+(SUMIFS(estoque[quantidade],estoque[produto],preçodiario[[#Headers],[OVO VERMELHO A]],estoque[fornecedor],"&lt;&gt;saída",estoque[data],preçodiario[[#This Row],[data]])))))</f>
        <v/>
      </c>
      <c r="AF212" s="22">
        <f>IF(preçodiario[[#This Row],[entrada AV]]=0,AF211-(SUMIFS(estoque[quantidade],estoque[fornecedor],"saída",estoque[produto],preçodiario[[#Headers],[OVO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Row],[data]]))+AF211+preçodiario[[#This Row],[entrada AV]])</f>
        <v>0</v>
      </c>
      <c r="AG212" s="22">
        <f>SUMIFS(estoque[quantidade],estoque[fornecedor],"&lt;&gt;saída",estoque[produto],preçodiario[[#Headers],[OVO VERMELHO A]],estoque[data],preçodiario[[#This Row],[data]])</f>
        <v>0</v>
      </c>
      <c r="AH212" s="20">
        <f>SUMIFS(estoque[valor total],estoque[fornecedor],"&lt;&gt;saída",estoque[produto],preçodiario[[#Headers],[OVO VERMELHO A]],estoque[data],preçodiario[[#This Row],[data]])</f>
        <v>0</v>
      </c>
      <c r="AI212" s="20">
        <f>IFERROR(preçodiario[[#This Row],[OVO VERMELHO A]]*preçodiario[[#This Row],[estoque AV]],0)</f>
        <v>0</v>
      </c>
      <c r="AJ2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Row],[data]])),((AJ211*AK211)+SUMIFS(estoque[valor total],estoque[produto],preçodiario[[#Headers],[OVO VERMELHO B]],estoque[data],preçodiario[[#This Row],[data]],estoque[fornecedor],"&lt;&gt;saída"))/(AK211+(SUMIFS(estoque[quantidade],estoque[produto],preçodiario[[#Headers],[OVO VERMELHO B]],estoque[fornecedor],"&lt;&gt;saída",estoque[data],preçodiario[[#This Row],[data]])))))</f>
        <v/>
      </c>
      <c r="AK212" s="22">
        <f>IF(preçodiario[[#This Row],[entrada BV]]=0,AK211-(SUMIFS(estoque[quantidade],estoque[fornecedor],"saída",estoque[produto],preçodiario[[#Headers],[OVO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Row],[data]]))+AK211+preçodiario[[#This Row],[entrada BV]])</f>
        <v>0</v>
      </c>
      <c r="AL212" s="22">
        <f>SUMIFS(estoque[quantidade],estoque[fornecedor],"&lt;&gt;saída",estoque[produto],preçodiario[[#Headers],[OVO VERMELHO B]],estoque[data],preçodiario[[#This Row],[data]])</f>
        <v>0</v>
      </c>
      <c r="AM212" s="20">
        <f>SUMIFS(estoque[valor total],estoque[fornecedor],"&lt;&gt;saída",estoque[produto],preçodiario[[#Headers],[OVO VERMELHO B]],estoque[data],preçodiario[[#This Row],[data]])</f>
        <v>0</v>
      </c>
      <c r="AN212" s="20">
        <f>IFERROR(preçodiario[[#This Row],[OVO VERMELHO B]]*preçodiario[[#This Row],[estoque BV]],0)</f>
        <v>0</v>
      </c>
      <c r="AO2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Row],[data]])),((AO211*AP211)+SUMIFS(estoque[valor total],estoque[produto],preçodiario[[#Headers],[OVO VERMELHO C]],estoque[data],preçodiario[[#This Row],[data]],estoque[fornecedor],"&lt;&gt;saída"))/(AP211+(SUMIFS(estoque[quantidade],estoque[produto],preçodiario[[#Headers],[OVO VERMELHO C]],estoque[fornecedor],"&lt;&gt;saída",estoque[data],preçodiario[[#This Row],[data]])))))</f>
        <v/>
      </c>
      <c r="AP212" s="22">
        <f>IF(preçodiario[[#This Row],[entrada CV]]=0,AP211-(SUMIFS(estoque[quantidade],estoque[fornecedor],"saída",estoque[produto],preçodiario[[#Headers],[OVO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Row],[data]]))+AP211+preçodiario[[#This Row],[entrada CV]])</f>
        <v>0</v>
      </c>
      <c r="AQ212" s="22">
        <f>SUMIFS(estoque[quantidade],estoque[fornecedor],"&lt;&gt;saída",estoque[produto],preçodiario[[#Headers],[OVO VERMELHO C]],estoque[data],preçodiario[[#This Row],[data]])</f>
        <v>0</v>
      </c>
      <c r="AR212" s="20">
        <f>SUMIFS(estoque[valor total],estoque[fornecedor],"&lt;&gt;saída",estoque[produto],preçodiario[[#Headers],[OVO VERMELHO C]],estoque[data],preçodiario[[#This Row],[data]])</f>
        <v>0</v>
      </c>
      <c r="AS212" s="20">
        <f>IFERROR(preçodiario[[#This Row],[OVO VERMELHO C]]*preçodiario[[#This Row],[estoque CV]],0)</f>
        <v>0</v>
      </c>
      <c r="AT2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Row],[data]])),((AT211*AU211)+SUMIFS(estoque[valor total],estoque[produto],preçodiario[[#Headers],[OVO VERMELHO EXTRA]],estoque[data],preçodiario[[#This Row],[data]],estoque[fornecedor],"&lt;&gt;saída"))/(AU211+(SUMIFS(estoque[quantidade],estoque[produto],preçodiario[[#Headers],[OVO VERMELHO EXTRA]],estoque[fornecedor],"&lt;&gt;saída",estoque[data],preçodiario[[#This Row],[data]])))))</f>
        <v/>
      </c>
      <c r="AU212" s="22">
        <f>IF(preçodiario[[#This Row],[entrada EV]]=0,AU211-(SUMIFS(estoque[quantidade],estoque[fornecedor],"saída",estoque[produto],preçodiario[[#Headers],[OVO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Row],[data]]))+AU211+preçodiario[[#This Row],[entrada EV]])</f>
        <v>0</v>
      </c>
      <c r="AV212" s="22">
        <f>SUMIFS(estoque[quantidade],estoque[fornecedor],"&lt;&gt;saída",estoque[produto],preçodiario[[#Headers],[OVO VERMELHO EXTRA]],estoque[data],preçodiario[[#This Row],[data]])</f>
        <v>0</v>
      </c>
      <c r="AW212" s="20">
        <f>SUMIFS(estoque[valor total],estoque[fornecedor],"&lt;&gt;saída",estoque[produto],preçodiario[[#Headers],[OVO VERMELHO EXTRA]],estoque[data],preçodiario[[#This Row],[data]])</f>
        <v>0</v>
      </c>
      <c r="AX212" s="20">
        <f>IFERROR(preçodiario[[#This Row],[OVO VERMELHO EXTRA]]*preçodiario[[#This Row],[estoque EV]],0)</f>
        <v>0</v>
      </c>
      <c r="AY2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Row],[data]])),((AY211*AZ211)+SUMIFS(estoque[valor total],estoque[produto],preçodiario[[#Headers],[OVO VERMELHO JUMBO]],estoque[data],preçodiario[[#This Row],[data]],estoque[fornecedor],"&lt;&gt;saída"))/(AZ211+(SUMIFS(estoque[quantidade],estoque[produto],preçodiario[[#Headers],[OVO VERMELHO JUMBO]],estoque[fornecedor],"&lt;&gt;saída",estoque[data],preçodiario[[#This Row],[data]])))))</f>
        <v/>
      </c>
      <c r="AZ212" s="22">
        <f>IF(preçodiario[[#This Row],[entrada JV]]=0,AZ211-(SUMIFS(estoque[quantidade],estoque[fornecedor],"saída",estoque[produto],preçodiario[[#Headers],[OVO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Row],[data]]))+AZ211+preçodiario[[#This Row],[entrada JV]])</f>
        <v>0</v>
      </c>
      <c r="BA212" s="22">
        <f>SUMIFS(estoque[quantidade],estoque[fornecedor],"&lt;&gt;saída",estoque[produto],preçodiario[[#Headers],[OVO VERMELHO JUMBO]],estoque[data],preçodiario[[#This Row],[data]])</f>
        <v>0</v>
      </c>
      <c r="BB212" s="20">
        <f>SUMIFS(estoque[valor total],estoque[fornecedor],"&lt;&gt;saída",estoque[produto],preçodiario[[#Headers],[OVO VERMELHO JUMBO]],estoque[data],preçodiario[[#This Row],[data]])</f>
        <v>0</v>
      </c>
      <c r="BC212" s="20">
        <f>IFERROR(preçodiario[[#This Row],[OVO VERMELHO JUMBO]]*preçodiario[[#This Row],[estoque JV]],0)</f>
        <v>0</v>
      </c>
      <c r="BD212" t="str">
        <f>TEXT(vendaAno[[#This Row],[data]],"mmm")</f>
        <v>jul</v>
      </c>
      <c r="BE212" t="str">
        <f>TEXT(vendaAno[[#This Row],[data]],"ddd")</f>
        <v>qui</v>
      </c>
      <c r="BF212" s="82">
        <f>WEEKNUM(vendaAno[[#This Row],[data]],13)</f>
        <v>31</v>
      </c>
      <c r="BG212" s="27">
        <f>preçodiario[[#This Row],[data]]</f>
        <v>46233</v>
      </c>
      <c r="BH2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2" s="79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Row],[data]]))/12+BJ211,"")</f>
        <v>27.499999999999989</v>
      </c>
      <c r="BK212" s="79">
        <f ca="1">IF(TODAY()&gt;=vendaAno[[#This Row],[data]],IF(SUMIFS(estoque[quantidade],estoque[fornecedor],"saída",estoque[data],vendaAno[[#This Row],[data]])/12=0,AVERAGE(BK209:BK211),SUMIFS(estoque[quantidade],estoque[fornecedor],"saída",estoque[data],vendaAno[[#This Row],[data]])/12),"")</f>
        <v>2.1944444444444446</v>
      </c>
      <c r="BL212" s="8">
        <f ca="1">IF(vendaAno[[#This Row],[data]]&lt;=TODAY(),IF(SUMIFS(estoque[lucro],estoque[fornecedor],"saída",estoque[data],vendaAno[[#This Row],[data]])=0,AVERAGE(BL209:BL211),SUMIFS(estoque[lucro],estoque[fornecedor],"saída",estoque[data],vendaAno[[#This Row],[data]])),"")</f>
        <v>93.426666666666677</v>
      </c>
      <c r="BM212" s="10" t="str">
        <f ca="1">IFERROR(vendaAno[[#This Row],[lucro]]/vendaAno[[#This Row],[valor de venda]],"")</f>
        <v/>
      </c>
      <c r="BN212" s="11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>4976.6294575765587</v>
      </c>
      <c r="BO212" s="8">
        <f ca="1">IF(TODAY()&gt;=vendaAno[[#This Row],[data]],IF(vendaAno[[#This Row],[N°]]=BF211,vendaAno[[#This Row],[lucro]]-173.33+BO211,vendaAno[[#This Row],[lucro]]-150),"")</f>
        <v>-142.92333333333335</v>
      </c>
      <c r="BP212" s="81">
        <f ca="1">IF(TODAY()&gt;=vendaAno[[#This Row],[data]],SUM(BK206:BK212)*12,"")</f>
        <v>186.33333333333334</v>
      </c>
      <c r="BQ212" s="7">
        <f ca="1">IFERROR(vendaAno[[#This Row],[lucro]]/(vendaAno[[#This Row],[venda]]*12),"")</f>
        <v>3.547848101265823</v>
      </c>
    </row>
    <row r="213" spans="1:71" x14ac:dyDescent="0.25">
      <c r="A2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3" s="18" t="str">
        <f>TEXT(preçodiario[[#This Row],[data]],"MMM")</f>
        <v>jul</v>
      </c>
      <c r="C213" s="18" t="str">
        <f>TEXT(preçodiario[[#This Row],[data]],"ddd")</f>
        <v>sex</v>
      </c>
      <c r="D213" s="96">
        <f>WEEKNUM(preçodiario[[#This Row],[data]],13)</f>
        <v>31</v>
      </c>
      <c r="E213" s="37">
        <v>46234</v>
      </c>
      <c r="F2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Row],[data]])),((F212*G212)+SUMIFS(estoque[valor total],estoque[produto],preçodiario[[#Headers],[OVO BRANCO A]],estoque[data],preçodiario[[#This Row],[data]],estoque[fornecedor],"&lt;&gt;saída"))/(G212+(SUMIFS(estoque[quantidade],estoque[produto],preçodiario[[#Headers],[OVO BRANCO A]],estoque[fornecedor],"&lt;&gt;saída",estoque[data],preçodiario[[#This Row],[data]])))))</f>
        <v>15.278182701652089</v>
      </c>
      <c r="G213" s="22">
        <f>IF(preçodiario[[#This Row],[entrada A]]=0,G212-(SUMIFS(estoque[quantidade],estoque[fornecedor],"saída",estoque[produto],preçodiario[[#Headers],[OVO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Row],[data]]))+G212+preçodiario[[#This Row],[entrada A]])</f>
        <v>133</v>
      </c>
      <c r="H213" s="22">
        <f>SUMIFS(estoque[quantidade],estoque[fornecedor],"&lt;&gt;saída",estoque[produto],preçodiario[[#Headers],[OVO BRANCO A]],estoque[data],preçodiario[[#This Row],[data]])</f>
        <v>0</v>
      </c>
      <c r="I213" s="20">
        <f>SUMIFS(estoque[valor total],estoque[fornecedor],"&lt;&gt;saída",estoque[produto],preçodiario[[#Headers],[OVO BRANCO A]],estoque[data],preçodiario[[#This Row],[data]])</f>
        <v>0</v>
      </c>
      <c r="J213" s="20">
        <f>IFERROR(preçodiario[[#This Row],[estoque A]]*preçodiario[[#This Row],[OVO BRANCO A]],0)</f>
        <v>2031.9982993197277</v>
      </c>
      <c r="K2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Row],[data]])),((K212*L212)+SUMIFS(estoque[valor total],estoque[produto],preçodiario[[#Headers],[OVO BRANCO B]],estoque[data],preçodiario[[#This Row],[data]],estoque[fornecedor],"&lt;&gt;saída"))/(L212+(SUMIFS(estoque[quantidade],estoque[produto],preçodiario[[#Headers],[OVO BRANCO B]],estoque[fornecedor],"&lt;&gt;saída",estoque[data],preçodiario[[#This Row],[data]])))))</f>
        <v>14.584252837326604</v>
      </c>
      <c r="L213" s="22">
        <f>IF(preçodiario[[#This Row],[entrada B]]=0,L212-(SUMIFS(estoque[quantidade],estoque[fornecedor],"saída",estoque[produto],preçodiario[[#Headers],[OVO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Row],[data]]))+L212+preçodiario[[#This Row],[entrada B]])</f>
        <v>16</v>
      </c>
      <c r="M213" s="22">
        <f>SUMIFS(estoque[quantidade],estoque[fornecedor],"&lt;&gt;saída",estoque[produto],preçodiario[[#Headers],[OVO BRANCO B]],estoque[data],preçodiario[[#This Row],[data]])</f>
        <v>0</v>
      </c>
      <c r="N213" s="20">
        <f>SUMIFS(estoque[valor total],estoque[fornecedor],"&lt;&gt;saída",estoque[produto],preçodiario[[#Headers],[OVO BRANCO B]],estoque[data],preçodiario[[#This Row],[data]])</f>
        <v>0</v>
      </c>
      <c r="O213" s="20">
        <f>IFERROR(preçodiario[[#This Row],[OVO BRANCO B]]*preçodiario[[#This Row],[estoque B]],0)</f>
        <v>233.34804539722566</v>
      </c>
      <c r="P2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Row],[data]])),((P212*Q212)+SUMIFS(estoque[valor total],estoque[produto],preçodiario[[#Headers],[OVO BRANCO C]],estoque[data],preçodiario[[#This Row],[data]],estoque[fornecedor],"&lt;&gt;saída"))/(Q212+(SUMIFS(estoque[quantidade],estoque[produto],preçodiario[[#Headers],[OVO BRANCO C]],estoque[fornecedor],"&lt;&gt;saída",estoque[data],preçodiario[[#This Row],[data]])))))</f>
        <v>12.5</v>
      </c>
      <c r="Q213" s="22">
        <f>IF(preçodiario[[#This Row],[entrada C]]=0,Q212-(SUMIFS(estoque[quantidade],estoque[fornecedor],"saída",estoque[produto],preçodiario[[#Headers],[OVO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Row],[data]]))+Q212+preçodiario[[#This Row],[entrada C]])</f>
        <v>60</v>
      </c>
      <c r="R213" s="22">
        <f>SUMIFS(estoque[quantidade],estoque[fornecedor],"&lt;&gt;saída",estoque[produto],preçodiario[[#Headers],[OVO BRANCO C]],estoque[data],preçodiario[[#This Row],[data]])</f>
        <v>0</v>
      </c>
      <c r="S213" s="20">
        <f>SUMIFS(estoque[valor total],estoque[fornecedor],"&lt;&gt;saída",estoque[produto],preçodiario[[#Headers],[OVO BRANCO C]],estoque[data],preçodiario[[#This Row],[data]])</f>
        <v>0</v>
      </c>
      <c r="T213" s="20">
        <f>IFERROR(preçodiario[[#This Row],[OVO BRANCO C]]*preçodiario[[#This Row],[estoque C]],0)</f>
        <v>750</v>
      </c>
      <c r="U2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Row],[data]])),((U212*V212)+SUMIFS(estoque[valor total],estoque[produto],preçodiario[[#Headers],[OVO BRANCO EXTRA]],estoque[data],preçodiario[[#This Row],[data]],estoque[fornecedor],"&lt;&gt;saída"))/(V212+(SUMIFS(estoque[quantidade],estoque[produto],preçodiario[[#Headers],[OVO BRANCO EXTRA]],estoque[fornecedor],"&lt;&gt;saída",estoque[data],preçodiario[[#This Row],[data]])))))</f>
        <v>15.725438400674655</v>
      </c>
      <c r="V213" s="22">
        <f>IF(preçodiario[[#This Row],[entrada E]]=0,V212-(SUMIFS(estoque[quantidade],estoque[fornecedor],"saída",estoque[produto],preçodiario[[#Headers],[OVO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Row],[data]]))+V212+preçodiario[[#This Row],[entrada E]])</f>
        <v>46</v>
      </c>
      <c r="W213" s="22">
        <f>SUMIFS(estoque[quantidade],estoque[fornecedor],"&lt;&gt;saída",estoque[produto],preçodiario[[#Headers],[OVO BRANCO EXTRA]],estoque[data],preçodiario[[#This Row],[data]])</f>
        <v>0</v>
      </c>
      <c r="X213" s="20">
        <f>SUMIFS(estoque[valor total],estoque[fornecedor],"&lt;&gt;saída",estoque[produto],preçodiario[[#Headers],[OVO BRANCO EXTRA]],estoque[data],preçodiario[[#This Row],[data]])</f>
        <v>0</v>
      </c>
      <c r="Y213" s="20">
        <f>IFERROR(preçodiario[[#This Row],[estoque E]]*preçodiario[[#This Row],[OVO BRANCO EXTRA]],0)</f>
        <v>723.37016643103414</v>
      </c>
      <c r="Z2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Row],[data]])),((Z212*AA212)+SUMIFS(estoque[valor total],estoque[produto],preçodiario[[#Headers],[OVO BRANCO JUMBO]],estoque[data],preçodiario[[#This Row],[data]],estoque[fornecedor],"&lt;&gt;saída"))/(AA212+(SUMIFS(estoque[quantidade],estoque[produto],preçodiario[[#Headers],[OVO BRANCO JUMBO]],estoque[fornecedor],"&lt;&gt;saída",estoque[data],preçodiario[[#This Row],[data]])))))</f>
        <v>16.50550595238095</v>
      </c>
      <c r="AA213" s="22">
        <f>IF(preçodiario[[#This Row],[entrada J]]=0,AA212-(SUMIFS(estoque[quantidade],estoque[fornecedor],"saída",estoque[produto],preçodiario[[#Headers],[OVO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Row],[data]]))+AA212+preçodiario[[#This Row],[entrada J]])</f>
        <v>75</v>
      </c>
      <c r="AB213" s="22">
        <f>SUMIFS(estoque[quantidade],estoque[fornecedor],"&lt;&gt;saída",estoque[produto],preçodiario[[#Headers],[OVO BRANCO JUMBO]],estoque[data],preçodiario[[#This Row],[data]])</f>
        <v>0</v>
      </c>
      <c r="AC213" s="20">
        <f>SUMIFS(estoque[valor total],estoque[fornecedor],"&lt;&gt;saída",estoque[produto],preçodiario[[#Headers],[OVO BRANCO JUMBO]],estoque[data],preçodiario[[#This Row],[data]])</f>
        <v>0</v>
      </c>
      <c r="AD213" s="20">
        <f>IFERROR(preçodiario[[#This Row],[OVO BRANCO JUMBO]]*preçodiario[[#This Row],[estoque J]],0)</f>
        <v>1237.9129464285713</v>
      </c>
      <c r="AE2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Row],[data]])),((AE212*AF212)+SUMIFS(estoque[valor total],estoque[produto],preçodiario[[#Headers],[OVO VERMELHO A]],estoque[data],preçodiario[[#This Row],[data]],estoque[fornecedor],"&lt;&gt;saída"))/(AF212+(SUMIFS(estoque[quantidade],estoque[produto],preçodiario[[#Headers],[OVO VERMELHO A]],estoque[fornecedor],"&lt;&gt;saída",estoque[data],preçodiario[[#This Row],[data]])))))</f>
        <v/>
      </c>
      <c r="AF213" s="22">
        <f>IF(preçodiario[[#This Row],[entrada AV]]=0,AF212-(SUMIFS(estoque[quantidade],estoque[fornecedor],"saída",estoque[produto],preçodiario[[#Headers],[OVO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Row],[data]]))+AF212+preçodiario[[#This Row],[entrada AV]])</f>
        <v>0</v>
      </c>
      <c r="AG213" s="22">
        <f>SUMIFS(estoque[quantidade],estoque[fornecedor],"&lt;&gt;saída",estoque[produto],preçodiario[[#Headers],[OVO VERMELHO A]],estoque[data],preçodiario[[#This Row],[data]])</f>
        <v>0</v>
      </c>
      <c r="AH213" s="20">
        <f>SUMIFS(estoque[valor total],estoque[fornecedor],"&lt;&gt;saída",estoque[produto],preçodiario[[#Headers],[OVO VERMELHO A]],estoque[data],preçodiario[[#This Row],[data]])</f>
        <v>0</v>
      </c>
      <c r="AI213" s="20">
        <f>IFERROR(preçodiario[[#This Row],[OVO VERMELHO A]]*preçodiario[[#This Row],[estoque AV]],0)</f>
        <v>0</v>
      </c>
      <c r="AJ2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Row],[data]])),((AJ212*AK212)+SUMIFS(estoque[valor total],estoque[produto],preçodiario[[#Headers],[OVO VERMELHO B]],estoque[data],preçodiario[[#This Row],[data]],estoque[fornecedor],"&lt;&gt;saída"))/(AK212+(SUMIFS(estoque[quantidade],estoque[produto],preçodiario[[#Headers],[OVO VERMELHO B]],estoque[fornecedor],"&lt;&gt;saída",estoque[data],preçodiario[[#This Row],[data]])))))</f>
        <v/>
      </c>
      <c r="AK213" s="22">
        <f>IF(preçodiario[[#This Row],[entrada BV]]=0,AK212-(SUMIFS(estoque[quantidade],estoque[fornecedor],"saída",estoque[produto],preçodiario[[#Headers],[OVO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Row],[data]]))+AK212+preçodiario[[#This Row],[entrada BV]])</f>
        <v>0</v>
      </c>
      <c r="AL213" s="22">
        <f>SUMIFS(estoque[quantidade],estoque[fornecedor],"&lt;&gt;saída",estoque[produto],preçodiario[[#Headers],[OVO VERMELHO B]],estoque[data],preçodiario[[#This Row],[data]])</f>
        <v>0</v>
      </c>
      <c r="AM213" s="20">
        <f>SUMIFS(estoque[valor total],estoque[fornecedor],"&lt;&gt;saída",estoque[produto],preçodiario[[#Headers],[OVO VERMELHO B]],estoque[data],preçodiario[[#This Row],[data]])</f>
        <v>0</v>
      </c>
      <c r="AN213" s="20">
        <f>IFERROR(preçodiario[[#This Row],[OVO VERMELHO B]]*preçodiario[[#This Row],[estoque BV]],0)</f>
        <v>0</v>
      </c>
      <c r="AO2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Row],[data]])),((AO212*AP212)+SUMIFS(estoque[valor total],estoque[produto],preçodiario[[#Headers],[OVO VERMELHO C]],estoque[data],preçodiario[[#This Row],[data]],estoque[fornecedor],"&lt;&gt;saída"))/(AP212+(SUMIFS(estoque[quantidade],estoque[produto],preçodiario[[#Headers],[OVO VERMELHO C]],estoque[fornecedor],"&lt;&gt;saída",estoque[data],preçodiario[[#This Row],[data]])))))</f>
        <v/>
      </c>
      <c r="AP213" s="22">
        <f>IF(preçodiario[[#This Row],[entrada CV]]=0,AP212-(SUMIFS(estoque[quantidade],estoque[fornecedor],"saída",estoque[produto],preçodiario[[#Headers],[OVO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Row],[data]]))+AP212+preçodiario[[#This Row],[entrada CV]])</f>
        <v>0</v>
      </c>
      <c r="AQ213" s="22">
        <f>SUMIFS(estoque[quantidade],estoque[fornecedor],"&lt;&gt;saída",estoque[produto],preçodiario[[#Headers],[OVO VERMELHO C]],estoque[data],preçodiario[[#This Row],[data]])</f>
        <v>0</v>
      </c>
      <c r="AR213" s="20">
        <f>SUMIFS(estoque[valor total],estoque[fornecedor],"&lt;&gt;saída",estoque[produto],preçodiario[[#Headers],[OVO VERMELHO C]],estoque[data],preçodiario[[#This Row],[data]])</f>
        <v>0</v>
      </c>
      <c r="AS213" s="20">
        <f>IFERROR(preçodiario[[#This Row],[OVO VERMELHO C]]*preçodiario[[#This Row],[estoque CV]],0)</f>
        <v>0</v>
      </c>
      <c r="AT2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Row],[data]])),((AT212*AU212)+SUMIFS(estoque[valor total],estoque[produto],preçodiario[[#Headers],[OVO VERMELHO EXTRA]],estoque[data],preçodiario[[#This Row],[data]],estoque[fornecedor],"&lt;&gt;saída"))/(AU212+(SUMIFS(estoque[quantidade],estoque[produto],preçodiario[[#Headers],[OVO VERMELHO EXTRA]],estoque[fornecedor],"&lt;&gt;saída",estoque[data],preçodiario[[#This Row],[data]])))))</f>
        <v/>
      </c>
      <c r="AU213" s="22">
        <f>IF(preçodiario[[#This Row],[entrada EV]]=0,AU212-(SUMIFS(estoque[quantidade],estoque[fornecedor],"saída",estoque[produto],preçodiario[[#Headers],[OVO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Row],[data]]))+AU212+preçodiario[[#This Row],[entrada EV]])</f>
        <v>0</v>
      </c>
      <c r="AV213" s="22">
        <f>SUMIFS(estoque[quantidade],estoque[fornecedor],"&lt;&gt;saída",estoque[produto],preçodiario[[#Headers],[OVO VERMELHO EXTRA]],estoque[data],preçodiario[[#This Row],[data]])</f>
        <v>0</v>
      </c>
      <c r="AW213" s="20">
        <f>SUMIFS(estoque[valor total],estoque[fornecedor],"&lt;&gt;saída",estoque[produto],preçodiario[[#Headers],[OVO VERMELHO EXTRA]],estoque[data],preçodiario[[#This Row],[data]])</f>
        <v>0</v>
      </c>
      <c r="AX213" s="20">
        <f>IFERROR(preçodiario[[#This Row],[OVO VERMELHO EXTRA]]*preçodiario[[#This Row],[estoque EV]],0)</f>
        <v>0</v>
      </c>
      <c r="AY2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Row],[data]])),((AY212*AZ212)+SUMIFS(estoque[valor total],estoque[produto],preçodiario[[#Headers],[OVO VERMELHO JUMBO]],estoque[data],preçodiario[[#This Row],[data]],estoque[fornecedor],"&lt;&gt;saída"))/(AZ212+(SUMIFS(estoque[quantidade],estoque[produto],preçodiario[[#Headers],[OVO VERMELHO JUMBO]],estoque[fornecedor],"&lt;&gt;saída",estoque[data],preçodiario[[#This Row],[data]])))))</f>
        <v/>
      </c>
      <c r="AZ213" s="22">
        <f>IF(preçodiario[[#This Row],[entrada JV]]=0,AZ212-(SUMIFS(estoque[quantidade],estoque[fornecedor],"saída",estoque[produto],preçodiario[[#Headers],[OVO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Row],[data]]))+AZ212+preçodiario[[#This Row],[entrada JV]])</f>
        <v>0</v>
      </c>
      <c r="BA213" s="22">
        <f>SUMIFS(estoque[quantidade],estoque[fornecedor],"&lt;&gt;saída",estoque[produto],preçodiario[[#Headers],[OVO VERMELHO JUMBO]],estoque[data],preçodiario[[#This Row],[data]])</f>
        <v>0</v>
      </c>
      <c r="BB213" s="20">
        <f>SUMIFS(estoque[valor total],estoque[fornecedor],"&lt;&gt;saída",estoque[produto],preçodiario[[#Headers],[OVO VERMELHO JUMBO]],estoque[data],preçodiario[[#This Row],[data]])</f>
        <v>0</v>
      </c>
      <c r="BC213" s="20">
        <f>IFERROR(preçodiario[[#This Row],[OVO VERMELHO JUMBO]]*preçodiario[[#This Row],[estoque JV]],0)</f>
        <v>0</v>
      </c>
      <c r="BD213" t="str">
        <f>TEXT(vendaAno[[#This Row],[data]],"mmm")</f>
        <v>jul</v>
      </c>
      <c r="BE213" t="str">
        <f>TEXT(vendaAno[[#This Row],[data]],"ddd")</f>
        <v>sex</v>
      </c>
      <c r="BF213" s="82">
        <f>WEEKNUM(vendaAno[[#This Row],[data]],13)</f>
        <v>31</v>
      </c>
      <c r="BG213" s="27">
        <f>preçodiario[[#This Row],[data]]</f>
        <v>46234</v>
      </c>
      <c r="BH2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Row],[data]]))/12+BJ212,"")</f>
        <v/>
      </c>
      <c r="BK213" s="79" t="str">
        <f ca="1">IF(TODAY()&gt;=vendaAno[[#This Row],[data]],IF(SUMIFS(estoque[quantidade],estoque[fornecedor],"saída",estoque[data],vendaAno[[#This Row],[data]])/12=0,AVERAGE(BK210:BK212),SUMIFS(estoque[quantidade],estoque[fornecedor],"saída",estoque[data],vendaAno[[#This Row],[data]])/12),"")</f>
        <v/>
      </c>
      <c r="BL213" s="8" t="str">
        <f ca="1">IF(vendaAno[[#This Row],[data]]&lt;=TODAY(),IF(SUMIFS(estoque[lucro],estoque[fornecedor],"saída",estoque[data],vendaAno[[#This Row],[data]])=0,AVERAGE(BL210:BL212),SUMIFS(estoque[lucro],estoque[fornecedor],"saída",estoque[data],vendaAno[[#This Row],[data]])),"")</f>
        <v/>
      </c>
      <c r="BM213" s="10" t="str">
        <f ca="1">IFERROR(vendaAno[[#This Row],[lucro]]/vendaAno[[#This Row],[valor de venda]],"")</f>
        <v/>
      </c>
      <c r="BN21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3" s="8" t="str">
        <f ca="1">IF(TODAY()&gt;=vendaAno[[#This Row],[data]],IF(vendaAno[[#This Row],[N°]]=BF212,vendaAno[[#This Row],[lucro]]-173.33+BO212,vendaAno[[#This Row],[lucro]]-150),"")</f>
        <v/>
      </c>
      <c r="BP213" s="81" t="str">
        <f ca="1">IF(TODAY()&gt;=vendaAno[[#This Row],[data]],SUM(BK207:BK213)*12,"")</f>
        <v/>
      </c>
      <c r="BQ213" s="7" t="str">
        <f ca="1">IFERROR(vendaAno[[#This Row],[lucro]]/(vendaAno[[#This Row],[venda]]*12),"")</f>
        <v/>
      </c>
    </row>
    <row r="214" spans="1:71" x14ac:dyDescent="0.25">
      <c r="A2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4" s="18" t="str">
        <f>TEXT(preçodiario[[#This Row],[data]],"MMM")</f>
        <v>ago</v>
      </c>
      <c r="C214" s="18" t="str">
        <f>TEXT(preçodiario[[#This Row],[data]],"ddd")</f>
        <v>sáb</v>
      </c>
      <c r="D214" s="96">
        <f>WEEKNUM(preçodiario[[#This Row],[data]],13)</f>
        <v>31</v>
      </c>
      <c r="E214" s="37">
        <v>46235</v>
      </c>
      <c r="F2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Row],[data]])),((F213*G213)+SUMIFS(estoque[valor total],estoque[produto],preçodiario[[#Headers],[OVO BRANCO A]],estoque[data],preçodiario[[#This Row],[data]],estoque[fornecedor],"&lt;&gt;saída"))/(G213+(SUMIFS(estoque[quantidade],estoque[produto],preçodiario[[#Headers],[OVO BRANCO A]],estoque[fornecedor],"&lt;&gt;saída",estoque[data],preçodiario[[#This Row],[data]])))))</f>
        <v>15.278182701652089</v>
      </c>
      <c r="G214" s="22">
        <f>IF(preçodiario[[#This Row],[entrada A]]=0,G213-(SUMIFS(estoque[quantidade],estoque[fornecedor],"saída",estoque[produto],preçodiario[[#Headers],[OVO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Row],[data]]))+G213+preçodiario[[#This Row],[entrada A]])</f>
        <v>133</v>
      </c>
      <c r="H214" s="22">
        <f>SUMIFS(estoque[quantidade],estoque[fornecedor],"&lt;&gt;saída",estoque[produto],preçodiario[[#Headers],[OVO BRANCO A]],estoque[data],preçodiario[[#This Row],[data]])</f>
        <v>0</v>
      </c>
      <c r="I214" s="20">
        <f>SUMIFS(estoque[valor total],estoque[fornecedor],"&lt;&gt;saída",estoque[produto],preçodiario[[#Headers],[OVO BRANCO A]],estoque[data],preçodiario[[#This Row],[data]])</f>
        <v>0</v>
      </c>
      <c r="J214" s="20">
        <f>IFERROR(preçodiario[[#This Row],[estoque A]]*preçodiario[[#This Row],[OVO BRANCO A]],0)</f>
        <v>2031.9982993197277</v>
      </c>
      <c r="K2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Row],[data]])),((K213*L213)+SUMIFS(estoque[valor total],estoque[produto],preçodiario[[#Headers],[OVO BRANCO B]],estoque[data],preçodiario[[#This Row],[data]],estoque[fornecedor],"&lt;&gt;saída"))/(L213+(SUMIFS(estoque[quantidade],estoque[produto],preçodiario[[#Headers],[OVO BRANCO B]],estoque[fornecedor],"&lt;&gt;saída",estoque[data],preçodiario[[#This Row],[data]])))))</f>
        <v>14.584252837326604</v>
      </c>
      <c r="L214" s="22">
        <f>IF(preçodiario[[#This Row],[entrada B]]=0,L213-(SUMIFS(estoque[quantidade],estoque[fornecedor],"saída",estoque[produto],preçodiario[[#Headers],[OVO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Row],[data]]))+L213+preçodiario[[#This Row],[entrada B]])</f>
        <v>16</v>
      </c>
      <c r="M214" s="22">
        <f>SUMIFS(estoque[quantidade],estoque[fornecedor],"&lt;&gt;saída",estoque[produto],preçodiario[[#Headers],[OVO BRANCO B]],estoque[data],preçodiario[[#This Row],[data]])</f>
        <v>0</v>
      </c>
      <c r="N214" s="20">
        <f>SUMIFS(estoque[valor total],estoque[fornecedor],"&lt;&gt;saída",estoque[produto],preçodiario[[#Headers],[OVO BRANCO B]],estoque[data],preçodiario[[#This Row],[data]])</f>
        <v>0</v>
      </c>
      <c r="O214" s="20">
        <f>IFERROR(preçodiario[[#This Row],[OVO BRANCO B]]*preçodiario[[#This Row],[estoque B]],0)</f>
        <v>233.34804539722566</v>
      </c>
      <c r="P2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Row],[data]])),((P213*Q213)+SUMIFS(estoque[valor total],estoque[produto],preçodiario[[#Headers],[OVO BRANCO C]],estoque[data],preçodiario[[#This Row],[data]],estoque[fornecedor],"&lt;&gt;saída"))/(Q213+(SUMIFS(estoque[quantidade],estoque[produto],preçodiario[[#Headers],[OVO BRANCO C]],estoque[fornecedor],"&lt;&gt;saída",estoque[data],preçodiario[[#This Row],[data]])))))</f>
        <v>12.5</v>
      </c>
      <c r="Q214" s="22">
        <f>IF(preçodiario[[#This Row],[entrada C]]=0,Q213-(SUMIFS(estoque[quantidade],estoque[fornecedor],"saída",estoque[produto],preçodiario[[#Headers],[OVO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Row],[data]]))+Q213+preçodiario[[#This Row],[entrada C]])</f>
        <v>60</v>
      </c>
      <c r="R214" s="22">
        <f>SUMIFS(estoque[quantidade],estoque[fornecedor],"&lt;&gt;saída",estoque[produto],preçodiario[[#Headers],[OVO BRANCO C]],estoque[data],preçodiario[[#This Row],[data]])</f>
        <v>0</v>
      </c>
      <c r="S214" s="20">
        <f>SUMIFS(estoque[valor total],estoque[fornecedor],"&lt;&gt;saída",estoque[produto],preçodiario[[#Headers],[OVO BRANCO C]],estoque[data],preçodiario[[#This Row],[data]])</f>
        <v>0</v>
      </c>
      <c r="T214" s="20">
        <f>IFERROR(preçodiario[[#This Row],[OVO BRANCO C]]*preçodiario[[#This Row],[estoque C]],0)</f>
        <v>750</v>
      </c>
      <c r="U2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Row],[data]])),((U213*V213)+SUMIFS(estoque[valor total],estoque[produto],preçodiario[[#Headers],[OVO BRANCO EXTRA]],estoque[data],preçodiario[[#This Row],[data]],estoque[fornecedor],"&lt;&gt;saída"))/(V213+(SUMIFS(estoque[quantidade],estoque[produto],preçodiario[[#Headers],[OVO BRANCO EXTRA]],estoque[fornecedor],"&lt;&gt;saída",estoque[data],preçodiario[[#This Row],[data]])))))</f>
        <v>15.725438400674655</v>
      </c>
      <c r="V214" s="22">
        <f>IF(preçodiario[[#This Row],[entrada E]]=0,V213-(SUMIFS(estoque[quantidade],estoque[fornecedor],"saída",estoque[produto],preçodiario[[#Headers],[OVO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Row],[data]]))+V213+preçodiario[[#This Row],[entrada E]])</f>
        <v>46</v>
      </c>
      <c r="W214" s="22">
        <f>SUMIFS(estoque[quantidade],estoque[fornecedor],"&lt;&gt;saída",estoque[produto],preçodiario[[#Headers],[OVO BRANCO EXTRA]],estoque[data],preçodiario[[#This Row],[data]])</f>
        <v>0</v>
      </c>
      <c r="X214" s="20">
        <f>SUMIFS(estoque[valor total],estoque[fornecedor],"&lt;&gt;saída",estoque[produto],preçodiario[[#Headers],[OVO BRANCO EXTRA]],estoque[data],preçodiario[[#This Row],[data]])</f>
        <v>0</v>
      </c>
      <c r="Y214" s="20">
        <f>IFERROR(preçodiario[[#This Row],[estoque E]]*preçodiario[[#This Row],[OVO BRANCO EXTRA]],0)</f>
        <v>723.37016643103414</v>
      </c>
      <c r="Z2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Row],[data]])),((Z213*AA213)+SUMIFS(estoque[valor total],estoque[produto],preçodiario[[#Headers],[OVO BRANCO JUMBO]],estoque[data],preçodiario[[#This Row],[data]],estoque[fornecedor],"&lt;&gt;saída"))/(AA213+(SUMIFS(estoque[quantidade],estoque[produto],preçodiario[[#Headers],[OVO BRANCO JUMBO]],estoque[fornecedor],"&lt;&gt;saída",estoque[data],preçodiario[[#This Row],[data]])))))</f>
        <v>16.50550595238095</v>
      </c>
      <c r="AA214" s="22">
        <f>IF(preçodiario[[#This Row],[entrada J]]=0,AA213-(SUMIFS(estoque[quantidade],estoque[fornecedor],"saída",estoque[produto],preçodiario[[#Headers],[OVO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Row],[data]]))+AA213+preçodiario[[#This Row],[entrada J]])</f>
        <v>75</v>
      </c>
      <c r="AB214" s="22">
        <f>SUMIFS(estoque[quantidade],estoque[fornecedor],"&lt;&gt;saída",estoque[produto],preçodiario[[#Headers],[OVO BRANCO JUMBO]],estoque[data],preçodiario[[#This Row],[data]])</f>
        <v>0</v>
      </c>
      <c r="AC214" s="20">
        <f>SUMIFS(estoque[valor total],estoque[fornecedor],"&lt;&gt;saída",estoque[produto],preçodiario[[#Headers],[OVO BRANCO JUMBO]],estoque[data],preçodiario[[#This Row],[data]])</f>
        <v>0</v>
      </c>
      <c r="AD214" s="20">
        <f>IFERROR(preçodiario[[#This Row],[OVO BRANCO JUMBO]]*preçodiario[[#This Row],[estoque J]],0)</f>
        <v>1237.9129464285713</v>
      </c>
      <c r="AE2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Row],[data]])),((AE213*AF213)+SUMIFS(estoque[valor total],estoque[produto],preçodiario[[#Headers],[OVO VERMELHO A]],estoque[data],preçodiario[[#This Row],[data]],estoque[fornecedor],"&lt;&gt;saída"))/(AF213+(SUMIFS(estoque[quantidade],estoque[produto],preçodiario[[#Headers],[OVO VERMELHO A]],estoque[fornecedor],"&lt;&gt;saída",estoque[data],preçodiario[[#This Row],[data]])))))</f>
        <v/>
      </c>
      <c r="AF214" s="22">
        <f>IF(preçodiario[[#This Row],[entrada AV]]=0,AF213-(SUMIFS(estoque[quantidade],estoque[fornecedor],"saída",estoque[produto],preçodiario[[#Headers],[OVO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Row],[data]]))+AF213+preçodiario[[#This Row],[entrada AV]])</f>
        <v>0</v>
      </c>
      <c r="AG214" s="22">
        <f>SUMIFS(estoque[quantidade],estoque[fornecedor],"&lt;&gt;saída",estoque[produto],preçodiario[[#Headers],[OVO VERMELHO A]],estoque[data],preçodiario[[#This Row],[data]])</f>
        <v>0</v>
      </c>
      <c r="AH214" s="20">
        <f>SUMIFS(estoque[valor total],estoque[fornecedor],"&lt;&gt;saída",estoque[produto],preçodiario[[#Headers],[OVO VERMELHO A]],estoque[data],preçodiario[[#This Row],[data]])</f>
        <v>0</v>
      </c>
      <c r="AI214" s="20">
        <f>IFERROR(preçodiario[[#This Row],[OVO VERMELHO A]]*preçodiario[[#This Row],[estoque AV]],0)</f>
        <v>0</v>
      </c>
      <c r="AJ2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Row],[data]])),((AJ213*AK213)+SUMIFS(estoque[valor total],estoque[produto],preçodiario[[#Headers],[OVO VERMELHO B]],estoque[data],preçodiario[[#This Row],[data]],estoque[fornecedor],"&lt;&gt;saída"))/(AK213+(SUMIFS(estoque[quantidade],estoque[produto],preçodiario[[#Headers],[OVO VERMELHO B]],estoque[fornecedor],"&lt;&gt;saída",estoque[data],preçodiario[[#This Row],[data]])))))</f>
        <v/>
      </c>
      <c r="AK214" s="22">
        <f>IF(preçodiario[[#This Row],[entrada BV]]=0,AK213-(SUMIFS(estoque[quantidade],estoque[fornecedor],"saída",estoque[produto],preçodiario[[#Headers],[OVO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Row],[data]]))+AK213+preçodiario[[#This Row],[entrada BV]])</f>
        <v>0</v>
      </c>
      <c r="AL214" s="22">
        <f>SUMIFS(estoque[quantidade],estoque[fornecedor],"&lt;&gt;saída",estoque[produto],preçodiario[[#Headers],[OVO VERMELHO B]],estoque[data],preçodiario[[#This Row],[data]])</f>
        <v>0</v>
      </c>
      <c r="AM214" s="20">
        <f>SUMIFS(estoque[valor total],estoque[fornecedor],"&lt;&gt;saída",estoque[produto],preçodiario[[#Headers],[OVO VERMELHO B]],estoque[data],preçodiario[[#This Row],[data]])</f>
        <v>0</v>
      </c>
      <c r="AN214" s="20">
        <f>IFERROR(preçodiario[[#This Row],[OVO VERMELHO B]]*preçodiario[[#This Row],[estoque BV]],0)</f>
        <v>0</v>
      </c>
      <c r="AO2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Row],[data]])),((AO213*AP213)+SUMIFS(estoque[valor total],estoque[produto],preçodiario[[#Headers],[OVO VERMELHO C]],estoque[data],preçodiario[[#This Row],[data]],estoque[fornecedor],"&lt;&gt;saída"))/(AP213+(SUMIFS(estoque[quantidade],estoque[produto],preçodiario[[#Headers],[OVO VERMELHO C]],estoque[fornecedor],"&lt;&gt;saída",estoque[data],preçodiario[[#This Row],[data]])))))</f>
        <v/>
      </c>
      <c r="AP214" s="22">
        <f>IF(preçodiario[[#This Row],[entrada CV]]=0,AP213-(SUMIFS(estoque[quantidade],estoque[fornecedor],"saída",estoque[produto],preçodiario[[#Headers],[OVO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Row],[data]]))+AP213+preçodiario[[#This Row],[entrada CV]])</f>
        <v>0</v>
      </c>
      <c r="AQ214" s="22">
        <f>SUMIFS(estoque[quantidade],estoque[fornecedor],"&lt;&gt;saída",estoque[produto],preçodiario[[#Headers],[OVO VERMELHO C]],estoque[data],preçodiario[[#This Row],[data]])</f>
        <v>0</v>
      </c>
      <c r="AR214" s="20">
        <f>SUMIFS(estoque[valor total],estoque[fornecedor],"&lt;&gt;saída",estoque[produto],preçodiario[[#Headers],[OVO VERMELHO C]],estoque[data],preçodiario[[#This Row],[data]])</f>
        <v>0</v>
      </c>
      <c r="AS214" s="20">
        <f>IFERROR(preçodiario[[#This Row],[OVO VERMELHO C]]*preçodiario[[#This Row],[estoque CV]],0)</f>
        <v>0</v>
      </c>
      <c r="AT2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Row],[data]])),((AT213*AU213)+SUMIFS(estoque[valor total],estoque[produto],preçodiario[[#Headers],[OVO VERMELHO EXTRA]],estoque[data],preçodiario[[#This Row],[data]],estoque[fornecedor],"&lt;&gt;saída"))/(AU213+(SUMIFS(estoque[quantidade],estoque[produto],preçodiario[[#Headers],[OVO VERMELHO EXTRA]],estoque[fornecedor],"&lt;&gt;saída",estoque[data],preçodiario[[#This Row],[data]])))))</f>
        <v/>
      </c>
      <c r="AU214" s="22">
        <f>IF(preçodiario[[#This Row],[entrada EV]]=0,AU213-(SUMIFS(estoque[quantidade],estoque[fornecedor],"saída",estoque[produto],preçodiario[[#Headers],[OVO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Row],[data]]))+AU213+preçodiario[[#This Row],[entrada EV]])</f>
        <v>0</v>
      </c>
      <c r="AV214" s="22">
        <f>SUMIFS(estoque[quantidade],estoque[fornecedor],"&lt;&gt;saída",estoque[produto],preçodiario[[#Headers],[OVO VERMELHO EXTRA]],estoque[data],preçodiario[[#This Row],[data]])</f>
        <v>0</v>
      </c>
      <c r="AW214" s="20">
        <f>SUMIFS(estoque[valor total],estoque[fornecedor],"&lt;&gt;saída",estoque[produto],preçodiario[[#Headers],[OVO VERMELHO EXTRA]],estoque[data],preçodiario[[#This Row],[data]])</f>
        <v>0</v>
      </c>
      <c r="AX214" s="20">
        <f>IFERROR(preçodiario[[#This Row],[OVO VERMELHO EXTRA]]*preçodiario[[#This Row],[estoque EV]],0)</f>
        <v>0</v>
      </c>
      <c r="AY2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Row],[data]])),((AY213*AZ213)+SUMIFS(estoque[valor total],estoque[produto],preçodiario[[#Headers],[OVO VERMELHO JUMBO]],estoque[data],preçodiario[[#This Row],[data]],estoque[fornecedor],"&lt;&gt;saída"))/(AZ213+(SUMIFS(estoque[quantidade],estoque[produto],preçodiario[[#Headers],[OVO VERMELHO JUMBO]],estoque[fornecedor],"&lt;&gt;saída",estoque[data],preçodiario[[#This Row],[data]])))))</f>
        <v/>
      </c>
      <c r="AZ214" s="22">
        <f>IF(preçodiario[[#This Row],[entrada JV]]=0,AZ213-(SUMIFS(estoque[quantidade],estoque[fornecedor],"saída",estoque[produto],preçodiario[[#Headers],[OVO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Row],[data]]))+AZ213+preçodiario[[#This Row],[entrada JV]])</f>
        <v>0</v>
      </c>
      <c r="BA214" s="22">
        <f>SUMIFS(estoque[quantidade],estoque[fornecedor],"&lt;&gt;saída",estoque[produto],preçodiario[[#Headers],[OVO VERMELHO JUMBO]],estoque[data],preçodiario[[#This Row],[data]])</f>
        <v>0</v>
      </c>
      <c r="BB214" s="20">
        <f>SUMIFS(estoque[valor total],estoque[fornecedor],"&lt;&gt;saída",estoque[produto],preçodiario[[#Headers],[OVO VERMELHO JUMBO]],estoque[data],preçodiario[[#This Row],[data]])</f>
        <v>0</v>
      </c>
      <c r="BC214" s="20">
        <f>IFERROR(preçodiario[[#This Row],[OVO VERMELHO JUMBO]]*preçodiario[[#This Row],[estoque JV]],0)</f>
        <v>0</v>
      </c>
      <c r="BD214" t="str">
        <f>TEXT(vendaAno[[#This Row],[data]],"mmm")</f>
        <v>ago</v>
      </c>
      <c r="BE214" t="str">
        <f>TEXT(vendaAno[[#This Row],[data]],"ddd")</f>
        <v>sáb</v>
      </c>
      <c r="BF214" s="82">
        <f>WEEKNUM(vendaAno[[#This Row],[data]],13)</f>
        <v>31</v>
      </c>
      <c r="BG214" s="27">
        <f>preçodiario[[#This Row],[data]]</f>
        <v>46235</v>
      </c>
      <c r="BH2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Row],[data]]))/12+BJ213,"")</f>
        <v/>
      </c>
      <c r="BK214" s="79" t="str">
        <f ca="1">IF(TODAY()&gt;=vendaAno[[#This Row],[data]],IF(SUMIFS(estoque[quantidade],estoque[fornecedor],"saída",estoque[data],vendaAno[[#This Row],[data]])/12=0,AVERAGE(BK211:BK213),SUMIFS(estoque[quantidade],estoque[fornecedor],"saída",estoque[data],vendaAno[[#This Row],[data]])/12),"")</f>
        <v/>
      </c>
      <c r="BL214" s="8" t="str">
        <f ca="1">IF(vendaAno[[#This Row],[data]]&lt;=TODAY(),IF(SUMIFS(estoque[lucro],estoque[fornecedor],"saída",estoque[data],vendaAno[[#This Row],[data]])=0,AVERAGE(BL211:BL213),SUMIFS(estoque[lucro],estoque[fornecedor],"saída",estoque[data],vendaAno[[#This Row],[data]])),"")</f>
        <v/>
      </c>
      <c r="BM214" s="10" t="str">
        <f ca="1">IFERROR(vendaAno[[#This Row],[lucro]]/vendaAno[[#This Row],[valor de venda]],"")</f>
        <v/>
      </c>
      <c r="BN21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4" s="8" t="str">
        <f ca="1">IF(TODAY()&gt;=vendaAno[[#This Row],[data]],IF(vendaAno[[#This Row],[N°]]=BF213,vendaAno[[#This Row],[lucro]]-173.33+BO213,vendaAno[[#This Row],[lucro]]-150),"")</f>
        <v/>
      </c>
      <c r="BP214" s="81" t="str">
        <f ca="1">IF(TODAY()&gt;=vendaAno[[#This Row],[data]],SUM(BK208:BK214)*12,"")</f>
        <v/>
      </c>
      <c r="BQ214" s="7" t="str">
        <f ca="1">IFERROR(vendaAno[[#This Row],[lucro]]/(vendaAno[[#This Row],[venda]]*12),"")</f>
        <v/>
      </c>
    </row>
    <row r="215" spans="1:71" x14ac:dyDescent="0.25">
      <c r="A2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5" s="18" t="str">
        <f>TEXT(preçodiario[[#This Row],[data]],"MMM")</f>
        <v>ago</v>
      </c>
      <c r="C215" s="18" t="str">
        <f>TEXT(preçodiario[[#This Row],[data]],"ddd")</f>
        <v>dom</v>
      </c>
      <c r="D215" s="96">
        <f>WEEKNUM(preçodiario[[#This Row],[data]],13)</f>
        <v>31</v>
      </c>
      <c r="E215" s="37">
        <v>46236</v>
      </c>
      <c r="F2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Row],[data]])),((F214*G214)+SUMIFS(estoque[valor total],estoque[produto],preçodiario[[#Headers],[OVO BRANCO A]],estoque[data],preçodiario[[#This Row],[data]],estoque[fornecedor],"&lt;&gt;saída"))/(G214+(SUMIFS(estoque[quantidade],estoque[produto],preçodiario[[#Headers],[OVO BRANCO A]],estoque[fornecedor],"&lt;&gt;saída",estoque[data],preçodiario[[#This Row],[data]])))))</f>
        <v>15.278182701652089</v>
      </c>
      <c r="G215" s="22">
        <f>IF(preçodiario[[#This Row],[entrada A]]=0,G214-(SUMIFS(estoque[quantidade],estoque[fornecedor],"saída",estoque[produto],preçodiario[[#Headers],[OVO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Row],[data]]))+G214+preçodiario[[#This Row],[entrada A]])</f>
        <v>133</v>
      </c>
      <c r="H215" s="22">
        <f>SUMIFS(estoque[quantidade],estoque[fornecedor],"&lt;&gt;saída",estoque[produto],preçodiario[[#Headers],[OVO BRANCO A]],estoque[data],preçodiario[[#This Row],[data]])</f>
        <v>0</v>
      </c>
      <c r="I215" s="20">
        <f>SUMIFS(estoque[valor total],estoque[fornecedor],"&lt;&gt;saída",estoque[produto],preçodiario[[#Headers],[OVO BRANCO A]],estoque[data],preçodiario[[#This Row],[data]])</f>
        <v>0</v>
      </c>
      <c r="J215" s="20">
        <f>IFERROR(preçodiario[[#This Row],[estoque A]]*preçodiario[[#This Row],[OVO BRANCO A]],0)</f>
        <v>2031.9982993197277</v>
      </c>
      <c r="K2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Row],[data]])),((K214*L214)+SUMIFS(estoque[valor total],estoque[produto],preçodiario[[#Headers],[OVO BRANCO B]],estoque[data],preçodiario[[#This Row],[data]],estoque[fornecedor],"&lt;&gt;saída"))/(L214+(SUMIFS(estoque[quantidade],estoque[produto],preçodiario[[#Headers],[OVO BRANCO B]],estoque[fornecedor],"&lt;&gt;saída",estoque[data],preçodiario[[#This Row],[data]])))))</f>
        <v>14.584252837326604</v>
      </c>
      <c r="L215" s="22">
        <f>IF(preçodiario[[#This Row],[entrada B]]=0,L214-(SUMIFS(estoque[quantidade],estoque[fornecedor],"saída",estoque[produto],preçodiario[[#Headers],[OVO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Row],[data]]))+L214+preçodiario[[#This Row],[entrada B]])</f>
        <v>16</v>
      </c>
      <c r="M215" s="22">
        <f>SUMIFS(estoque[quantidade],estoque[fornecedor],"&lt;&gt;saída",estoque[produto],preçodiario[[#Headers],[OVO BRANCO B]],estoque[data],preçodiario[[#This Row],[data]])</f>
        <v>0</v>
      </c>
      <c r="N215" s="20">
        <f>SUMIFS(estoque[valor total],estoque[fornecedor],"&lt;&gt;saída",estoque[produto],preçodiario[[#Headers],[OVO BRANCO B]],estoque[data],preçodiario[[#This Row],[data]])</f>
        <v>0</v>
      </c>
      <c r="O215" s="20">
        <f>IFERROR(preçodiario[[#This Row],[OVO BRANCO B]]*preçodiario[[#This Row],[estoque B]],0)</f>
        <v>233.34804539722566</v>
      </c>
      <c r="P2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Row],[data]])),((P214*Q214)+SUMIFS(estoque[valor total],estoque[produto],preçodiario[[#Headers],[OVO BRANCO C]],estoque[data],preçodiario[[#This Row],[data]],estoque[fornecedor],"&lt;&gt;saída"))/(Q214+(SUMIFS(estoque[quantidade],estoque[produto],preçodiario[[#Headers],[OVO BRANCO C]],estoque[fornecedor],"&lt;&gt;saída",estoque[data],preçodiario[[#This Row],[data]])))))</f>
        <v>12.5</v>
      </c>
      <c r="Q215" s="22">
        <f>IF(preçodiario[[#This Row],[entrada C]]=0,Q214-(SUMIFS(estoque[quantidade],estoque[fornecedor],"saída",estoque[produto],preçodiario[[#Headers],[OVO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Row],[data]]))+Q214+preçodiario[[#This Row],[entrada C]])</f>
        <v>60</v>
      </c>
      <c r="R215" s="22">
        <f>SUMIFS(estoque[quantidade],estoque[fornecedor],"&lt;&gt;saída",estoque[produto],preçodiario[[#Headers],[OVO BRANCO C]],estoque[data],preçodiario[[#This Row],[data]])</f>
        <v>0</v>
      </c>
      <c r="S215" s="20">
        <f>SUMIFS(estoque[valor total],estoque[fornecedor],"&lt;&gt;saída",estoque[produto],preçodiario[[#Headers],[OVO BRANCO C]],estoque[data],preçodiario[[#This Row],[data]])</f>
        <v>0</v>
      </c>
      <c r="T215" s="20">
        <f>IFERROR(preçodiario[[#This Row],[OVO BRANCO C]]*preçodiario[[#This Row],[estoque C]],0)</f>
        <v>750</v>
      </c>
      <c r="U2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Row],[data]])),((U214*V214)+SUMIFS(estoque[valor total],estoque[produto],preçodiario[[#Headers],[OVO BRANCO EXTRA]],estoque[data],preçodiario[[#This Row],[data]],estoque[fornecedor],"&lt;&gt;saída"))/(V214+(SUMIFS(estoque[quantidade],estoque[produto],preçodiario[[#Headers],[OVO BRANCO EXTRA]],estoque[fornecedor],"&lt;&gt;saída",estoque[data],preçodiario[[#This Row],[data]])))))</f>
        <v>15.725438400674655</v>
      </c>
      <c r="V215" s="22">
        <f>IF(preçodiario[[#This Row],[entrada E]]=0,V214-(SUMIFS(estoque[quantidade],estoque[fornecedor],"saída",estoque[produto],preçodiario[[#Headers],[OVO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Row],[data]]))+V214+preçodiario[[#This Row],[entrada E]])</f>
        <v>46</v>
      </c>
      <c r="W215" s="22">
        <f>SUMIFS(estoque[quantidade],estoque[fornecedor],"&lt;&gt;saída",estoque[produto],preçodiario[[#Headers],[OVO BRANCO EXTRA]],estoque[data],preçodiario[[#This Row],[data]])</f>
        <v>0</v>
      </c>
      <c r="X215" s="20">
        <f>SUMIFS(estoque[valor total],estoque[fornecedor],"&lt;&gt;saída",estoque[produto],preçodiario[[#Headers],[OVO BRANCO EXTRA]],estoque[data],preçodiario[[#This Row],[data]])</f>
        <v>0</v>
      </c>
      <c r="Y215" s="20">
        <f>IFERROR(preçodiario[[#This Row],[estoque E]]*preçodiario[[#This Row],[OVO BRANCO EXTRA]],0)</f>
        <v>723.37016643103414</v>
      </c>
      <c r="Z2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Row],[data]])),((Z214*AA214)+SUMIFS(estoque[valor total],estoque[produto],preçodiario[[#Headers],[OVO BRANCO JUMBO]],estoque[data],preçodiario[[#This Row],[data]],estoque[fornecedor],"&lt;&gt;saída"))/(AA214+(SUMIFS(estoque[quantidade],estoque[produto],preçodiario[[#Headers],[OVO BRANCO JUMBO]],estoque[fornecedor],"&lt;&gt;saída",estoque[data],preçodiario[[#This Row],[data]])))))</f>
        <v>16.50550595238095</v>
      </c>
      <c r="AA215" s="22">
        <f>IF(preçodiario[[#This Row],[entrada J]]=0,AA214-(SUMIFS(estoque[quantidade],estoque[fornecedor],"saída",estoque[produto],preçodiario[[#Headers],[OVO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Row],[data]]))+AA214+preçodiario[[#This Row],[entrada J]])</f>
        <v>75</v>
      </c>
      <c r="AB215" s="22">
        <f>SUMIFS(estoque[quantidade],estoque[fornecedor],"&lt;&gt;saída",estoque[produto],preçodiario[[#Headers],[OVO BRANCO JUMBO]],estoque[data],preçodiario[[#This Row],[data]])</f>
        <v>0</v>
      </c>
      <c r="AC215" s="20">
        <f>SUMIFS(estoque[valor total],estoque[fornecedor],"&lt;&gt;saída",estoque[produto],preçodiario[[#Headers],[OVO BRANCO JUMBO]],estoque[data],preçodiario[[#This Row],[data]])</f>
        <v>0</v>
      </c>
      <c r="AD215" s="20">
        <f>IFERROR(preçodiario[[#This Row],[OVO BRANCO JUMBO]]*preçodiario[[#This Row],[estoque J]],0)</f>
        <v>1237.9129464285713</v>
      </c>
      <c r="AE2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Row],[data]])),((AE214*AF214)+SUMIFS(estoque[valor total],estoque[produto],preçodiario[[#Headers],[OVO VERMELHO A]],estoque[data],preçodiario[[#This Row],[data]],estoque[fornecedor],"&lt;&gt;saída"))/(AF214+(SUMIFS(estoque[quantidade],estoque[produto],preçodiario[[#Headers],[OVO VERMELHO A]],estoque[fornecedor],"&lt;&gt;saída",estoque[data],preçodiario[[#This Row],[data]])))))</f>
        <v/>
      </c>
      <c r="AF215" s="22">
        <f>IF(preçodiario[[#This Row],[entrada AV]]=0,AF214-(SUMIFS(estoque[quantidade],estoque[fornecedor],"saída",estoque[produto],preçodiario[[#Headers],[OVO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Row],[data]]))+AF214+preçodiario[[#This Row],[entrada AV]])</f>
        <v>0</v>
      </c>
      <c r="AG215" s="22">
        <f>SUMIFS(estoque[quantidade],estoque[fornecedor],"&lt;&gt;saída",estoque[produto],preçodiario[[#Headers],[OVO VERMELHO A]],estoque[data],preçodiario[[#This Row],[data]])</f>
        <v>0</v>
      </c>
      <c r="AH215" s="20">
        <f>SUMIFS(estoque[valor total],estoque[fornecedor],"&lt;&gt;saída",estoque[produto],preçodiario[[#Headers],[OVO VERMELHO A]],estoque[data],preçodiario[[#This Row],[data]])</f>
        <v>0</v>
      </c>
      <c r="AI215" s="20">
        <f>IFERROR(preçodiario[[#This Row],[OVO VERMELHO A]]*preçodiario[[#This Row],[estoque AV]],0)</f>
        <v>0</v>
      </c>
      <c r="AJ2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Row],[data]])),((AJ214*AK214)+SUMIFS(estoque[valor total],estoque[produto],preçodiario[[#Headers],[OVO VERMELHO B]],estoque[data],preçodiario[[#This Row],[data]],estoque[fornecedor],"&lt;&gt;saída"))/(AK214+(SUMIFS(estoque[quantidade],estoque[produto],preçodiario[[#Headers],[OVO VERMELHO B]],estoque[fornecedor],"&lt;&gt;saída",estoque[data],preçodiario[[#This Row],[data]])))))</f>
        <v/>
      </c>
      <c r="AK215" s="22">
        <f>IF(preçodiario[[#This Row],[entrada BV]]=0,AK214-(SUMIFS(estoque[quantidade],estoque[fornecedor],"saída",estoque[produto],preçodiario[[#Headers],[OVO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Row],[data]]))+AK214+preçodiario[[#This Row],[entrada BV]])</f>
        <v>0</v>
      </c>
      <c r="AL215" s="22">
        <f>SUMIFS(estoque[quantidade],estoque[fornecedor],"&lt;&gt;saída",estoque[produto],preçodiario[[#Headers],[OVO VERMELHO B]],estoque[data],preçodiario[[#This Row],[data]])</f>
        <v>0</v>
      </c>
      <c r="AM215" s="20">
        <f>SUMIFS(estoque[valor total],estoque[fornecedor],"&lt;&gt;saída",estoque[produto],preçodiario[[#Headers],[OVO VERMELHO B]],estoque[data],preçodiario[[#This Row],[data]])</f>
        <v>0</v>
      </c>
      <c r="AN215" s="20">
        <f>IFERROR(preçodiario[[#This Row],[OVO VERMELHO B]]*preçodiario[[#This Row],[estoque BV]],0)</f>
        <v>0</v>
      </c>
      <c r="AO2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Row],[data]])),((AO214*AP214)+SUMIFS(estoque[valor total],estoque[produto],preçodiario[[#Headers],[OVO VERMELHO C]],estoque[data],preçodiario[[#This Row],[data]],estoque[fornecedor],"&lt;&gt;saída"))/(AP214+(SUMIFS(estoque[quantidade],estoque[produto],preçodiario[[#Headers],[OVO VERMELHO C]],estoque[fornecedor],"&lt;&gt;saída",estoque[data],preçodiario[[#This Row],[data]])))))</f>
        <v/>
      </c>
      <c r="AP215" s="22">
        <f>IF(preçodiario[[#This Row],[entrada CV]]=0,AP214-(SUMIFS(estoque[quantidade],estoque[fornecedor],"saída",estoque[produto],preçodiario[[#Headers],[OVO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Row],[data]]))+AP214+preçodiario[[#This Row],[entrada CV]])</f>
        <v>0</v>
      </c>
      <c r="AQ215" s="22">
        <f>SUMIFS(estoque[quantidade],estoque[fornecedor],"&lt;&gt;saída",estoque[produto],preçodiario[[#Headers],[OVO VERMELHO C]],estoque[data],preçodiario[[#This Row],[data]])</f>
        <v>0</v>
      </c>
      <c r="AR215" s="20">
        <f>SUMIFS(estoque[valor total],estoque[fornecedor],"&lt;&gt;saída",estoque[produto],preçodiario[[#Headers],[OVO VERMELHO C]],estoque[data],preçodiario[[#This Row],[data]])</f>
        <v>0</v>
      </c>
      <c r="AS215" s="20">
        <f>IFERROR(preçodiario[[#This Row],[OVO VERMELHO C]]*preçodiario[[#This Row],[estoque CV]],0)</f>
        <v>0</v>
      </c>
      <c r="AT2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Row],[data]])),((AT214*AU214)+SUMIFS(estoque[valor total],estoque[produto],preçodiario[[#Headers],[OVO VERMELHO EXTRA]],estoque[data],preçodiario[[#This Row],[data]],estoque[fornecedor],"&lt;&gt;saída"))/(AU214+(SUMIFS(estoque[quantidade],estoque[produto],preçodiario[[#Headers],[OVO VERMELHO EXTRA]],estoque[fornecedor],"&lt;&gt;saída",estoque[data],preçodiario[[#This Row],[data]])))))</f>
        <v/>
      </c>
      <c r="AU215" s="22">
        <f>IF(preçodiario[[#This Row],[entrada EV]]=0,AU214-(SUMIFS(estoque[quantidade],estoque[fornecedor],"saída",estoque[produto],preçodiario[[#Headers],[OVO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Row],[data]]))+AU214+preçodiario[[#This Row],[entrada EV]])</f>
        <v>0</v>
      </c>
      <c r="AV215" s="22">
        <f>SUMIFS(estoque[quantidade],estoque[fornecedor],"&lt;&gt;saída",estoque[produto],preçodiario[[#Headers],[OVO VERMELHO EXTRA]],estoque[data],preçodiario[[#This Row],[data]])</f>
        <v>0</v>
      </c>
      <c r="AW215" s="20">
        <f>SUMIFS(estoque[valor total],estoque[fornecedor],"&lt;&gt;saída",estoque[produto],preçodiario[[#Headers],[OVO VERMELHO EXTRA]],estoque[data],preçodiario[[#This Row],[data]])</f>
        <v>0</v>
      </c>
      <c r="AX215" s="20">
        <f>IFERROR(preçodiario[[#This Row],[OVO VERMELHO EXTRA]]*preçodiario[[#This Row],[estoque EV]],0)</f>
        <v>0</v>
      </c>
      <c r="AY2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Row],[data]])),((AY214*AZ214)+SUMIFS(estoque[valor total],estoque[produto],preçodiario[[#Headers],[OVO VERMELHO JUMBO]],estoque[data],preçodiario[[#This Row],[data]],estoque[fornecedor],"&lt;&gt;saída"))/(AZ214+(SUMIFS(estoque[quantidade],estoque[produto],preçodiario[[#Headers],[OVO VERMELHO JUMBO]],estoque[fornecedor],"&lt;&gt;saída",estoque[data],preçodiario[[#This Row],[data]])))))</f>
        <v/>
      </c>
      <c r="AZ215" s="22">
        <f>IF(preçodiario[[#This Row],[entrada JV]]=0,AZ214-(SUMIFS(estoque[quantidade],estoque[fornecedor],"saída",estoque[produto],preçodiario[[#Headers],[OVO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Row],[data]]))+AZ214+preçodiario[[#This Row],[entrada JV]])</f>
        <v>0</v>
      </c>
      <c r="BA215" s="22">
        <f>SUMIFS(estoque[quantidade],estoque[fornecedor],"&lt;&gt;saída",estoque[produto],preçodiario[[#Headers],[OVO VERMELHO JUMBO]],estoque[data],preçodiario[[#This Row],[data]])</f>
        <v>0</v>
      </c>
      <c r="BB215" s="20">
        <f>SUMIFS(estoque[valor total],estoque[fornecedor],"&lt;&gt;saída",estoque[produto],preçodiario[[#Headers],[OVO VERMELHO JUMBO]],estoque[data],preçodiario[[#This Row],[data]])</f>
        <v>0</v>
      </c>
      <c r="BC215" s="20">
        <f>IFERROR(preçodiario[[#This Row],[OVO VERMELHO JUMBO]]*preçodiario[[#This Row],[estoque JV]],0)</f>
        <v>0</v>
      </c>
      <c r="BD215" t="str">
        <f>TEXT(vendaAno[[#This Row],[data]],"mmm")</f>
        <v>ago</v>
      </c>
      <c r="BE215" t="str">
        <f>TEXT(vendaAno[[#This Row],[data]],"ddd")</f>
        <v>dom</v>
      </c>
      <c r="BF215" s="82">
        <f>WEEKNUM(vendaAno[[#This Row],[data]],13)</f>
        <v>31</v>
      </c>
      <c r="BG215" s="27">
        <f>preçodiario[[#This Row],[data]]</f>
        <v>46236</v>
      </c>
      <c r="BH2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Row],[data]]))/12+BJ214,"")</f>
        <v/>
      </c>
      <c r="BK215" s="79" t="str">
        <f ca="1">IF(TODAY()&gt;=vendaAno[[#This Row],[data]],IF(SUMIFS(estoque[quantidade],estoque[fornecedor],"saída",estoque[data],vendaAno[[#This Row],[data]])/12=0,AVERAGE(BK212:BK214),SUMIFS(estoque[quantidade],estoque[fornecedor],"saída",estoque[data],vendaAno[[#This Row],[data]])/12),"")</f>
        <v/>
      </c>
      <c r="BL215" s="8" t="str">
        <f ca="1">IF(vendaAno[[#This Row],[data]]&lt;=TODAY(),IF(SUMIFS(estoque[lucro],estoque[fornecedor],"saída",estoque[data],vendaAno[[#This Row],[data]])=0,AVERAGE(BL212:BL214),SUMIFS(estoque[lucro],estoque[fornecedor],"saída",estoque[data],vendaAno[[#This Row],[data]])),"")</f>
        <v/>
      </c>
      <c r="BM215" s="10" t="str">
        <f ca="1">IFERROR(vendaAno[[#This Row],[lucro]]/vendaAno[[#This Row],[valor de venda]],"")</f>
        <v/>
      </c>
      <c r="BN21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5" s="8" t="str">
        <f ca="1">IF(TODAY()&gt;=vendaAno[[#This Row],[data]],IF(vendaAno[[#This Row],[N°]]=BF214,vendaAno[[#This Row],[lucro]]-173.33+BO214,vendaAno[[#This Row],[lucro]]-150),"")</f>
        <v/>
      </c>
      <c r="BP215" s="81" t="str">
        <f ca="1">IF(TODAY()&gt;=vendaAno[[#This Row],[data]],SUM(BK209:BK215)*12,"")</f>
        <v/>
      </c>
      <c r="BQ215" s="7" t="str">
        <f ca="1">IFERROR(vendaAno[[#This Row],[lucro]]/(vendaAno[[#This Row],[venda]]*12),"")</f>
        <v/>
      </c>
    </row>
    <row r="216" spans="1:71" x14ac:dyDescent="0.25">
      <c r="A2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6" s="18" t="str">
        <f>TEXT(preçodiario[[#This Row],[data]],"MMM")</f>
        <v>ago</v>
      </c>
      <c r="C216" s="18" t="str">
        <f>TEXT(preçodiario[[#This Row],[data]],"ddd")</f>
        <v>seg</v>
      </c>
      <c r="D216" s="96">
        <f>WEEKNUM(preçodiario[[#This Row],[data]],13)</f>
        <v>31</v>
      </c>
      <c r="E216" s="37">
        <v>46237</v>
      </c>
      <c r="F2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Row],[data]])),((F215*G215)+SUMIFS(estoque[valor total],estoque[produto],preçodiario[[#Headers],[OVO BRANCO A]],estoque[data],preçodiario[[#This Row],[data]],estoque[fornecedor],"&lt;&gt;saída"))/(G215+(SUMIFS(estoque[quantidade],estoque[produto],preçodiario[[#Headers],[OVO BRANCO A]],estoque[fornecedor],"&lt;&gt;saída",estoque[data],preçodiario[[#This Row],[data]])))))</f>
        <v>15.278182701652089</v>
      </c>
      <c r="G216" s="22">
        <f>IF(preçodiario[[#This Row],[entrada A]]=0,G215-(SUMIFS(estoque[quantidade],estoque[fornecedor],"saída",estoque[produto],preçodiario[[#Headers],[OVO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Row],[data]]))+G215+preçodiario[[#This Row],[entrada A]])</f>
        <v>133</v>
      </c>
      <c r="H216" s="22">
        <f>SUMIFS(estoque[quantidade],estoque[fornecedor],"&lt;&gt;saída",estoque[produto],preçodiario[[#Headers],[OVO BRANCO A]],estoque[data],preçodiario[[#This Row],[data]])</f>
        <v>0</v>
      </c>
      <c r="I216" s="20">
        <f>SUMIFS(estoque[valor total],estoque[fornecedor],"&lt;&gt;saída",estoque[produto],preçodiario[[#Headers],[OVO BRANCO A]],estoque[data],preçodiario[[#This Row],[data]])</f>
        <v>0</v>
      </c>
      <c r="J216" s="20">
        <f>IFERROR(preçodiario[[#This Row],[estoque A]]*preçodiario[[#This Row],[OVO BRANCO A]],0)</f>
        <v>2031.9982993197277</v>
      </c>
      <c r="K2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Row],[data]])),((K215*L215)+SUMIFS(estoque[valor total],estoque[produto],preçodiario[[#Headers],[OVO BRANCO B]],estoque[data],preçodiario[[#This Row],[data]],estoque[fornecedor],"&lt;&gt;saída"))/(L215+(SUMIFS(estoque[quantidade],estoque[produto],preçodiario[[#Headers],[OVO BRANCO B]],estoque[fornecedor],"&lt;&gt;saída",estoque[data],preçodiario[[#This Row],[data]])))))</f>
        <v>14.584252837326604</v>
      </c>
      <c r="L216" s="22">
        <f>IF(preçodiario[[#This Row],[entrada B]]=0,L215-(SUMIFS(estoque[quantidade],estoque[fornecedor],"saída",estoque[produto],preçodiario[[#Headers],[OVO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Row],[data]]))+L215+preçodiario[[#This Row],[entrada B]])</f>
        <v>16</v>
      </c>
      <c r="M216" s="22">
        <f>SUMIFS(estoque[quantidade],estoque[fornecedor],"&lt;&gt;saída",estoque[produto],preçodiario[[#Headers],[OVO BRANCO B]],estoque[data],preçodiario[[#This Row],[data]])</f>
        <v>0</v>
      </c>
      <c r="N216" s="20">
        <f>SUMIFS(estoque[valor total],estoque[fornecedor],"&lt;&gt;saída",estoque[produto],preçodiario[[#Headers],[OVO BRANCO B]],estoque[data],preçodiario[[#This Row],[data]])</f>
        <v>0</v>
      </c>
      <c r="O216" s="20">
        <f>IFERROR(preçodiario[[#This Row],[OVO BRANCO B]]*preçodiario[[#This Row],[estoque B]],0)</f>
        <v>233.34804539722566</v>
      </c>
      <c r="P2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Row],[data]])),((P215*Q215)+SUMIFS(estoque[valor total],estoque[produto],preçodiario[[#Headers],[OVO BRANCO C]],estoque[data],preçodiario[[#This Row],[data]],estoque[fornecedor],"&lt;&gt;saída"))/(Q215+(SUMIFS(estoque[quantidade],estoque[produto],preçodiario[[#Headers],[OVO BRANCO C]],estoque[fornecedor],"&lt;&gt;saída",estoque[data],preçodiario[[#This Row],[data]])))))</f>
        <v>12.5</v>
      </c>
      <c r="Q216" s="22">
        <f>IF(preçodiario[[#This Row],[entrada C]]=0,Q215-(SUMIFS(estoque[quantidade],estoque[fornecedor],"saída",estoque[produto],preçodiario[[#Headers],[OVO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Row],[data]]))+Q215+preçodiario[[#This Row],[entrada C]])</f>
        <v>60</v>
      </c>
      <c r="R216" s="22">
        <f>SUMIFS(estoque[quantidade],estoque[fornecedor],"&lt;&gt;saída",estoque[produto],preçodiario[[#Headers],[OVO BRANCO C]],estoque[data],preçodiario[[#This Row],[data]])</f>
        <v>0</v>
      </c>
      <c r="S216" s="20">
        <f>SUMIFS(estoque[valor total],estoque[fornecedor],"&lt;&gt;saída",estoque[produto],preçodiario[[#Headers],[OVO BRANCO C]],estoque[data],preçodiario[[#This Row],[data]])</f>
        <v>0</v>
      </c>
      <c r="T216" s="20">
        <f>IFERROR(preçodiario[[#This Row],[OVO BRANCO C]]*preçodiario[[#This Row],[estoque C]],0)</f>
        <v>750</v>
      </c>
      <c r="U2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Row],[data]])),((U215*V215)+SUMIFS(estoque[valor total],estoque[produto],preçodiario[[#Headers],[OVO BRANCO EXTRA]],estoque[data],preçodiario[[#This Row],[data]],estoque[fornecedor],"&lt;&gt;saída"))/(V215+(SUMIFS(estoque[quantidade],estoque[produto],preçodiario[[#Headers],[OVO BRANCO EXTRA]],estoque[fornecedor],"&lt;&gt;saída",estoque[data],preçodiario[[#This Row],[data]])))))</f>
        <v>15.725438400674655</v>
      </c>
      <c r="V216" s="22">
        <f>IF(preçodiario[[#This Row],[entrada E]]=0,V215-(SUMIFS(estoque[quantidade],estoque[fornecedor],"saída",estoque[produto],preçodiario[[#Headers],[OVO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Row],[data]]))+V215+preçodiario[[#This Row],[entrada E]])</f>
        <v>46</v>
      </c>
      <c r="W216" s="22">
        <f>SUMIFS(estoque[quantidade],estoque[fornecedor],"&lt;&gt;saída",estoque[produto],preçodiario[[#Headers],[OVO BRANCO EXTRA]],estoque[data],preçodiario[[#This Row],[data]])</f>
        <v>0</v>
      </c>
      <c r="X216" s="20">
        <f>SUMIFS(estoque[valor total],estoque[fornecedor],"&lt;&gt;saída",estoque[produto],preçodiario[[#Headers],[OVO BRANCO EXTRA]],estoque[data],preçodiario[[#This Row],[data]])</f>
        <v>0</v>
      </c>
      <c r="Y216" s="20">
        <f>IFERROR(preçodiario[[#This Row],[estoque E]]*preçodiario[[#This Row],[OVO BRANCO EXTRA]],0)</f>
        <v>723.37016643103414</v>
      </c>
      <c r="Z2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Row],[data]])),((Z215*AA215)+SUMIFS(estoque[valor total],estoque[produto],preçodiario[[#Headers],[OVO BRANCO JUMBO]],estoque[data],preçodiario[[#This Row],[data]],estoque[fornecedor],"&lt;&gt;saída"))/(AA215+(SUMIFS(estoque[quantidade],estoque[produto],preçodiario[[#Headers],[OVO BRANCO JUMBO]],estoque[fornecedor],"&lt;&gt;saída",estoque[data],preçodiario[[#This Row],[data]])))))</f>
        <v>16.50550595238095</v>
      </c>
      <c r="AA216" s="22">
        <f>IF(preçodiario[[#This Row],[entrada J]]=0,AA215-(SUMIFS(estoque[quantidade],estoque[fornecedor],"saída",estoque[produto],preçodiario[[#Headers],[OVO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Row],[data]]))+AA215+preçodiario[[#This Row],[entrada J]])</f>
        <v>75</v>
      </c>
      <c r="AB216" s="22">
        <f>SUMIFS(estoque[quantidade],estoque[fornecedor],"&lt;&gt;saída",estoque[produto],preçodiario[[#Headers],[OVO BRANCO JUMBO]],estoque[data],preçodiario[[#This Row],[data]])</f>
        <v>0</v>
      </c>
      <c r="AC216" s="20">
        <f>SUMIFS(estoque[valor total],estoque[fornecedor],"&lt;&gt;saída",estoque[produto],preçodiario[[#Headers],[OVO BRANCO JUMBO]],estoque[data],preçodiario[[#This Row],[data]])</f>
        <v>0</v>
      </c>
      <c r="AD216" s="20">
        <f>IFERROR(preçodiario[[#This Row],[OVO BRANCO JUMBO]]*preçodiario[[#This Row],[estoque J]],0)</f>
        <v>1237.9129464285713</v>
      </c>
      <c r="AE2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Row],[data]])),((AE215*AF215)+SUMIFS(estoque[valor total],estoque[produto],preçodiario[[#Headers],[OVO VERMELHO A]],estoque[data],preçodiario[[#This Row],[data]],estoque[fornecedor],"&lt;&gt;saída"))/(AF215+(SUMIFS(estoque[quantidade],estoque[produto],preçodiario[[#Headers],[OVO VERMELHO A]],estoque[fornecedor],"&lt;&gt;saída",estoque[data],preçodiario[[#This Row],[data]])))))</f>
        <v/>
      </c>
      <c r="AF216" s="22">
        <f>IF(preçodiario[[#This Row],[entrada AV]]=0,AF215-(SUMIFS(estoque[quantidade],estoque[fornecedor],"saída",estoque[produto],preçodiario[[#Headers],[OVO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Row],[data]]))+AF215+preçodiario[[#This Row],[entrada AV]])</f>
        <v>0</v>
      </c>
      <c r="AG216" s="22">
        <f>SUMIFS(estoque[quantidade],estoque[fornecedor],"&lt;&gt;saída",estoque[produto],preçodiario[[#Headers],[OVO VERMELHO A]],estoque[data],preçodiario[[#This Row],[data]])</f>
        <v>0</v>
      </c>
      <c r="AH216" s="20">
        <f>SUMIFS(estoque[valor total],estoque[fornecedor],"&lt;&gt;saída",estoque[produto],preçodiario[[#Headers],[OVO VERMELHO A]],estoque[data],preçodiario[[#This Row],[data]])</f>
        <v>0</v>
      </c>
      <c r="AI216" s="20">
        <f>IFERROR(preçodiario[[#This Row],[OVO VERMELHO A]]*preçodiario[[#This Row],[estoque AV]],0)</f>
        <v>0</v>
      </c>
      <c r="AJ2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Row],[data]])),((AJ215*AK215)+SUMIFS(estoque[valor total],estoque[produto],preçodiario[[#Headers],[OVO VERMELHO B]],estoque[data],preçodiario[[#This Row],[data]],estoque[fornecedor],"&lt;&gt;saída"))/(AK215+(SUMIFS(estoque[quantidade],estoque[produto],preçodiario[[#Headers],[OVO VERMELHO B]],estoque[fornecedor],"&lt;&gt;saída",estoque[data],preçodiario[[#This Row],[data]])))))</f>
        <v/>
      </c>
      <c r="AK216" s="22">
        <f>IF(preçodiario[[#This Row],[entrada BV]]=0,AK215-(SUMIFS(estoque[quantidade],estoque[fornecedor],"saída",estoque[produto],preçodiario[[#Headers],[OVO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Row],[data]]))+AK215+preçodiario[[#This Row],[entrada BV]])</f>
        <v>0</v>
      </c>
      <c r="AL216" s="22">
        <f>SUMIFS(estoque[quantidade],estoque[fornecedor],"&lt;&gt;saída",estoque[produto],preçodiario[[#Headers],[OVO VERMELHO B]],estoque[data],preçodiario[[#This Row],[data]])</f>
        <v>0</v>
      </c>
      <c r="AM216" s="20">
        <f>SUMIFS(estoque[valor total],estoque[fornecedor],"&lt;&gt;saída",estoque[produto],preçodiario[[#Headers],[OVO VERMELHO B]],estoque[data],preçodiario[[#This Row],[data]])</f>
        <v>0</v>
      </c>
      <c r="AN216" s="20">
        <f>IFERROR(preçodiario[[#This Row],[OVO VERMELHO B]]*preçodiario[[#This Row],[estoque BV]],0)</f>
        <v>0</v>
      </c>
      <c r="AO2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Row],[data]])),((AO215*AP215)+SUMIFS(estoque[valor total],estoque[produto],preçodiario[[#Headers],[OVO VERMELHO C]],estoque[data],preçodiario[[#This Row],[data]],estoque[fornecedor],"&lt;&gt;saída"))/(AP215+(SUMIFS(estoque[quantidade],estoque[produto],preçodiario[[#Headers],[OVO VERMELHO C]],estoque[fornecedor],"&lt;&gt;saída",estoque[data],preçodiario[[#This Row],[data]])))))</f>
        <v/>
      </c>
      <c r="AP216" s="22">
        <f>IF(preçodiario[[#This Row],[entrada CV]]=0,AP215-(SUMIFS(estoque[quantidade],estoque[fornecedor],"saída",estoque[produto],preçodiario[[#Headers],[OVO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Row],[data]]))+AP215+preçodiario[[#This Row],[entrada CV]])</f>
        <v>0</v>
      </c>
      <c r="AQ216" s="22">
        <f>SUMIFS(estoque[quantidade],estoque[fornecedor],"&lt;&gt;saída",estoque[produto],preçodiario[[#Headers],[OVO VERMELHO C]],estoque[data],preçodiario[[#This Row],[data]])</f>
        <v>0</v>
      </c>
      <c r="AR216" s="20">
        <f>SUMIFS(estoque[valor total],estoque[fornecedor],"&lt;&gt;saída",estoque[produto],preçodiario[[#Headers],[OVO VERMELHO C]],estoque[data],preçodiario[[#This Row],[data]])</f>
        <v>0</v>
      </c>
      <c r="AS216" s="20">
        <f>IFERROR(preçodiario[[#This Row],[OVO VERMELHO C]]*preçodiario[[#This Row],[estoque CV]],0)</f>
        <v>0</v>
      </c>
      <c r="AT2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Row],[data]])),((AT215*AU215)+SUMIFS(estoque[valor total],estoque[produto],preçodiario[[#Headers],[OVO VERMELHO EXTRA]],estoque[data],preçodiario[[#This Row],[data]],estoque[fornecedor],"&lt;&gt;saída"))/(AU215+(SUMIFS(estoque[quantidade],estoque[produto],preçodiario[[#Headers],[OVO VERMELHO EXTRA]],estoque[fornecedor],"&lt;&gt;saída",estoque[data],preçodiario[[#This Row],[data]])))))</f>
        <v/>
      </c>
      <c r="AU216" s="22">
        <f>IF(preçodiario[[#This Row],[entrada EV]]=0,AU215-(SUMIFS(estoque[quantidade],estoque[fornecedor],"saída",estoque[produto],preçodiario[[#Headers],[OVO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Row],[data]]))+AU215+preçodiario[[#This Row],[entrada EV]])</f>
        <v>0</v>
      </c>
      <c r="AV216" s="22">
        <f>SUMIFS(estoque[quantidade],estoque[fornecedor],"&lt;&gt;saída",estoque[produto],preçodiario[[#Headers],[OVO VERMELHO EXTRA]],estoque[data],preçodiario[[#This Row],[data]])</f>
        <v>0</v>
      </c>
      <c r="AW216" s="20">
        <f>SUMIFS(estoque[valor total],estoque[fornecedor],"&lt;&gt;saída",estoque[produto],preçodiario[[#Headers],[OVO VERMELHO EXTRA]],estoque[data],preçodiario[[#This Row],[data]])</f>
        <v>0</v>
      </c>
      <c r="AX216" s="20">
        <f>IFERROR(preçodiario[[#This Row],[OVO VERMELHO EXTRA]]*preçodiario[[#This Row],[estoque EV]],0)</f>
        <v>0</v>
      </c>
      <c r="AY2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Row],[data]])),((AY215*AZ215)+SUMIFS(estoque[valor total],estoque[produto],preçodiario[[#Headers],[OVO VERMELHO JUMBO]],estoque[data],preçodiario[[#This Row],[data]],estoque[fornecedor],"&lt;&gt;saída"))/(AZ215+(SUMIFS(estoque[quantidade],estoque[produto],preçodiario[[#Headers],[OVO VERMELHO JUMBO]],estoque[fornecedor],"&lt;&gt;saída",estoque[data],preçodiario[[#This Row],[data]])))))</f>
        <v/>
      </c>
      <c r="AZ216" s="22">
        <f>IF(preçodiario[[#This Row],[entrada JV]]=0,AZ215-(SUMIFS(estoque[quantidade],estoque[fornecedor],"saída",estoque[produto],preçodiario[[#Headers],[OVO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Row],[data]]))+AZ215+preçodiario[[#This Row],[entrada JV]])</f>
        <v>0</v>
      </c>
      <c r="BA216" s="22">
        <f>SUMIFS(estoque[quantidade],estoque[fornecedor],"&lt;&gt;saída",estoque[produto],preçodiario[[#Headers],[OVO VERMELHO JUMBO]],estoque[data],preçodiario[[#This Row],[data]])</f>
        <v>0</v>
      </c>
      <c r="BB216" s="20">
        <f>SUMIFS(estoque[valor total],estoque[fornecedor],"&lt;&gt;saída",estoque[produto],preçodiario[[#Headers],[OVO VERMELHO JUMBO]],estoque[data],preçodiario[[#This Row],[data]])</f>
        <v>0</v>
      </c>
      <c r="BC216" s="20">
        <f>IFERROR(preçodiario[[#This Row],[OVO VERMELHO JUMBO]]*preçodiario[[#This Row],[estoque JV]],0)</f>
        <v>0</v>
      </c>
      <c r="BD216" t="str">
        <f>TEXT(vendaAno[[#This Row],[data]],"mmm")</f>
        <v>ago</v>
      </c>
      <c r="BE216" t="str">
        <f>TEXT(vendaAno[[#This Row],[data]],"ddd")</f>
        <v>seg</v>
      </c>
      <c r="BF216" s="82">
        <f>WEEKNUM(vendaAno[[#This Row],[data]],13)</f>
        <v>31</v>
      </c>
      <c r="BG216" s="27">
        <f>preçodiario[[#This Row],[data]]</f>
        <v>46237</v>
      </c>
      <c r="BH2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Row],[data]]))/12+BJ215,"")</f>
        <v/>
      </c>
      <c r="BK216" s="79" t="str">
        <f ca="1">IF(TODAY()&gt;=vendaAno[[#This Row],[data]],IF(SUMIFS(estoque[quantidade],estoque[fornecedor],"saída",estoque[data],vendaAno[[#This Row],[data]])/12=0,AVERAGE(BK213:BK215),SUMIFS(estoque[quantidade],estoque[fornecedor],"saída",estoque[data],vendaAno[[#This Row],[data]])/12),"")</f>
        <v/>
      </c>
      <c r="BL216" s="8" t="str">
        <f ca="1">IF(vendaAno[[#This Row],[data]]&lt;=TODAY(),IF(SUMIFS(estoque[lucro],estoque[fornecedor],"saída",estoque[data],vendaAno[[#This Row],[data]])=0,AVERAGE(BL213:BL215),SUMIFS(estoque[lucro],estoque[fornecedor],"saída",estoque[data],vendaAno[[#This Row],[data]])),"")</f>
        <v/>
      </c>
      <c r="BM216" s="10" t="str">
        <f ca="1">IFERROR(vendaAno[[#This Row],[lucro]]/vendaAno[[#This Row],[valor de venda]],"")</f>
        <v/>
      </c>
      <c r="BN21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6" s="8" t="str">
        <f ca="1">IF(TODAY()&gt;=vendaAno[[#This Row],[data]],IF(vendaAno[[#This Row],[N°]]=BF215,vendaAno[[#This Row],[lucro]]-173.33+BO215,vendaAno[[#This Row],[lucro]]-150),"")</f>
        <v/>
      </c>
      <c r="BP216" s="81" t="str">
        <f ca="1">IF(TODAY()&gt;=vendaAno[[#This Row],[data]],SUM(BK210:BK216)*12,"")</f>
        <v/>
      </c>
      <c r="BQ216" s="7" t="str">
        <f ca="1">IFERROR(vendaAno[[#This Row],[lucro]]/(vendaAno[[#This Row],[venda]]*12),"")</f>
        <v/>
      </c>
    </row>
    <row r="217" spans="1:71" x14ac:dyDescent="0.25">
      <c r="A2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7" s="18" t="str">
        <f>TEXT(preçodiario[[#This Row],[data]],"MMM")</f>
        <v>ago</v>
      </c>
      <c r="C217" s="18" t="str">
        <f>TEXT(preçodiario[[#This Row],[data]],"ddd")</f>
        <v>ter</v>
      </c>
      <c r="D217" s="96">
        <f>WEEKNUM(preçodiario[[#This Row],[data]],13)</f>
        <v>31</v>
      </c>
      <c r="E217" s="37">
        <v>46238</v>
      </c>
      <c r="F2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Row],[data]])),((F216*G216)+SUMIFS(estoque[valor total],estoque[produto],preçodiario[[#Headers],[OVO BRANCO A]],estoque[data],preçodiario[[#This Row],[data]],estoque[fornecedor],"&lt;&gt;saída"))/(G216+(SUMIFS(estoque[quantidade],estoque[produto],preçodiario[[#Headers],[OVO BRANCO A]],estoque[fornecedor],"&lt;&gt;saída",estoque[data],preçodiario[[#This Row],[data]])))))</f>
        <v>15.278182701652089</v>
      </c>
      <c r="G217" s="22">
        <f>IF(preçodiario[[#This Row],[entrada A]]=0,G216-(SUMIFS(estoque[quantidade],estoque[fornecedor],"saída",estoque[produto],preçodiario[[#Headers],[OVO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Row],[data]]))+G216+preçodiario[[#This Row],[entrada A]])</f>
        <v>133</v>
      </c>
      <c r="H217" s="22">
        <f>SUMIFS(estoque[quantidade],estoque[fornecedor],"&lt;&gt;saída",estoque[produto],preçodiario[[#Headers],[OVO BRANCO A]],estoque[data],preçodiario[[#This Row],[data]])</f>
        <v>0</v>
      </c>
      <c r="I217" s="20">
        <f>SUMIFS(estoque[valor total],estoque[fornecedor],"&lt;&gt;saída",estoque[produto],preçodiario[[#Headers],[OVO BRANCO A]],estoque[data],preçodiario[[#This Row],[data]])</f>
        <v>0</v>
      </c>
      <c r="J217" s="20">
        <f>IFERROR(preçodiario[[#This Row],[estoque A]]*preçodiario[[#This Row],[OVO BRANCO A]],0)</f>
        <v>2031.9982993197277</v>
      </c>
      <c r="K2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Row],[data]])),((K216*L216)+SUMIFS(estoque[valor total],estoque[produto],preçodiario[[#Headers],[OVO BRANCO B]],estoque[data],preçodiario[[#This Row],[data]],estoque[fornecedor],"&lt;&gt;saída"))/(L216+(SUMIFS(estoque[quantidade],estoque[produto],preçodiario[[#Headers],[OVO BRANCO B]],estoque[fornecedor],"&lt;&gt;saída",estoque[data],preçodiario[[#This Row],[data]])))))</f>
        <v>14.584252837326604</v>
      </c>
      <c r="L217" s="22">
        <f>IF(preçodiario[[#This Row],[entrada B]]=0,L216-(SUMIFS(estoque[quantidade],estoque[fornecedor],"saída",estoque[produto],preçodiario[[#Headers],[OVO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Row],[data]]))+L216+preçodiario[[#This Row],[entrada B]])</f>
        <v>16</v>
      </c>
      <c r="M217" s="22">
        <f>SUMIFS(estoque[quantidade],estoque[fornecedor],"&lt;&gt;saída",estoque[produto],preçodiario[[#Headers],[OVO BRANCO B]],estoque[data],preçodiario[[#This Row],[data]])</f>
        <v>0</v>
      </c>
      <c r="N217" s="20">
        <f>SUMIFS(estoque[valor total],estoque[fornecedor],"&lt;&gt;saída",estoque[produto],preçodiario[[#Headers],[OVO BRANCO B]],estoque[data],preçodiario[[#This Row],[data]])</f>
        <v>0</v>
      </c>
      <c r="O217" s="20">
        <f>IFERROR(preçodiario[[#This Row],[OVO BRANCO B]]*preçodiario[[#This Row],[estoque B]],0)</f>
        <v>233.34804539722566</v>
      </c>
      <c r="P2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Row],[data]])),((P216*Q216)+SUMIFS(estoque[valor total],estoque[produto],preçodiario[[#Headers],[OVO BRANCO C]],estoque[data],preçodiario[[#This Row],[data]],estoque[fornecedor],"&lt;&gt;saída"))/(Q216+(SUMIFS(estoque[quantidade],estoque[produto],preçodiario[[#Headers],[OVO BRANCO C]],estoque[fornecedor],"&lt;&gt;saída",estoque[data],preçodiario[[#This Row],[data]])))))</f>
        <v>12.5</v>
      </c>
      <c r="Q217" s="22">
        <f>IF(preçodiario[[#This Row],[entrada C]]=0,Q216-(SUMIFS(estoque[quantidade],estoque[fornecedor],"saída",estoque[produto],preçodiario[[#Headers],[OVO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Row],[data]]))+Q216+preçodiario[[#This Row],[entrada C]])</f>
        <v>60</v>
      </c>
      <c r="R217" s="22">
        <f>SUMIFS(estoque[quantidade],estoque[fornecedor],"&lt;&gt;saída",estoque[produto],preçodiario[[#Headers],[OVO BRANCO C]],estoque[data],preçodiario[[#This Row],[data]])</f>
        <v>0</v>
      </c>
      <c r="S217" s="20">
        <f>SUMIFS(estoque[valor total],estoque[fornecedor],"&lt;&gt;saída",estoque[produto],preçodiario[[#Headers],[OVO BRANCO C]],estoque[data],preçodiario[[#This Row],[data]])</f>
        <v>0</v>
      </c>
      <c r="T217" s="20">
        <f>IFERROR(preçodiario[[#This Row],[OVO BRANCO C]]*preçodiario[[#This Row],[estoque C]],0)</f>
        <v>750</v>
      </c>
      <c r="U2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Row],[data]])),((U216*V216)+SUMIFS(estoque[valor total],estoque[produto],preçodiario[[#Headers],[OVO BRANCO EXTRA]],estoque[data],preçodiario[[#This Row],[data]],estoque[fornecedor],"&lt;&gt;saída"))/(V216+(SUMIFS(estoque[quantidade],estoque[produto],preçodiario[[#Headers],[OVO BRANCO EXTRA]],estoque[fornecedor],"&lt;&gt;saída",estoque[data],preçodiario[[#This Row],[data]])))))</f>
        <v>15.725438400674655</v>
      </c>
      <c r="V217" s="22">
        <f>IF(preçodiario[[#This Row],[entrada E]]=0,V216-(SUMIFS(estoque[quantidade],estoque[fornecedor],"saída",estoque[produto],preçodiario[[#Headers],[OVO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Row],[data]]))+V216+preçodiario[[#This Row],[entrada E]])</f>
        <v>46</v>
      </c>
      <c r="W217" s="22">
        <f>SUMIFS(estoque[quantidade],estoque[fornecedor],"&lt;&gt;saída",estoque[produto],preçodiario[[#Headers],[OVO BRANCO EXTRA]],estoque[data],preçodiario[[#This Row],[data]])</f>
        <v>0</v>
      </c>
      <c r="X217" s="20">
        <f>SUMIFS(estoque[valor total],estoque[fornecedor],"&lt;&gt;saída",estoque[produto],preçodiario[[#Headers],[OVO BRANCO EXTRA]],estoque[data],preçodiario[[#This Row],[data]])</f>
        <v>0</v>
      </c>
      <c r="Y217" s="20">
        <f>IFERROR(preçodiario[[#This Row],[estoque E]]*preçodiario[[#This Row],[OVO BRANCO EXTRA]],0)</f>
        <v>723.37016643103414</v>
      </c>
      <c r="Z2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Row],[data]])),((Z216*AA216)+SUMIFS(estoque[valor total],estoque[produto],preçodiario[[#Headers],[OVO BRANCO JUMBO]],estoque[data],preçodiario[[#This Row],[data]],estoque[fornecedor],"&lt;&gt;saída"))/(AA216+(SUMIFS(estoque[quantidade],estoque[produto],preçodiario[[#Headers],[OVO BRANCO JUMBO]],estoque[fornecedor],"&lt;&gt;saída",estoque[data],preçodiario[[#This Row],[data]])))))</f>
        <v>16.50550595238095</v>
      </c>
      <c r="AA217" s="22">
        <f>IF(preçodiario[[#This Row],[entrada J]]=0,AA216-(SUMIFS(estoque[quantidade],estoque[fornecedor],"saída",estoque[produto],preçodiario[[#Headers],[OVO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Row],[data]]))+AA216+preçodiario[[#This Row],[entrada J]])</f>
        <v>75</v>
      </c>
      <c r="AB217" s="22">
        <f>SUMIFS(estoque[quantidade],estoque[fornecedor],"&lt;&gt;saída",estoque[produto],preçodiario[[#Headers],[OVO BRANCO JUMBO]],estoque[data],preçodiario[[#This Row],[data]])</f>
        <v>0</v>
      </c>
      <c r="AC217" s="20">
        <f>SUMIFS(estoque[valor total],estoque[fornecedor],"&lt;&gt;saída",estoque[produto],preçodiario[[#Headers],[OVO BRANCO JUMBO]],estoque[data],preçodiario[[#This Row],[data]])</f>
        <v>0</v>
      </c>
      <c r="AD217" s="20">
        <f>IFERROR(preçodiario[[#This Row],[OVO BRANCO JUMBO]]*preçodiario[[#This Row],[estoque J]],0)</f>
        <v>1237.9129464285713</v>
      </c>
      <c r="AE2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Row],[data]])),((AE216*AF216)+SUMIFS(estoque[valor total],estoque[produto],preçodiario[[#Headers],[OVO VERMELHO A]],estoque[data],preçodiario[[#This Row],[data]],estoque[fornecedor],"&lt;&gt;saída"))/(AF216+(SUMIFS(estoque[quantidade],estoque[produto],preçodiario[[#Headers],[OVO VERMELHO A]],estoque[fornecedor],"&lt;&gt;saída",estoque[data],preçodiario[[#This Row],[data]])))))</f>
        <v/>
      </c>
      <c r="AF217" s="22">
        <f>IF(preçodiario[[#This Row],[entrada AV]]=0,AF216-(SUMIFS(estoque[quantidade],estoque[fornecedor],"saída",estoque[produto],preçodiario[[#Headers],[OVO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Row],[data]]))+AF216+preçodiario[[#This Row],[entrada AV]])</f>
        <v>0</v>
      </c>
      <c r="AG217" s="22">
        <f>SUMIFS(estoque[quantidade],estoque[fornecedor],"&lt;&gt;saída",estoque[produto],preçodiario[[#Headers],[OVO VERMELHO A]],estoque[data],preçodiario[[#This Row],[data]])</f>
        <v>0</v>
      </c>
      <c r="AH217" s="20">
        <f>SUMIFS(estoque[valor total],estoque[fornecedor],"&lt;&gt;saída",estoque[produto],preçodiario[[#Headers],[OVO VERMELHO A]],estoque[data],preçodiario[[#This Row],[data]])</f>
        <v>0</v>
      </c>
      <c r="AI217" s="20">
        <f>IFERROR(preçodiario[[#This Row],[OVO VERMELHO A]]*preçodiario[[#This Row],[estoque AV]],0)</f>
        <v>0</v>
      </c>
      <c r="AJ2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Row],[data]])),((AJ216*AK216)+SUMIFS(estoque[valor total],estoque[produto],preçodiario[[#Headers],[OVO VERMELHO B]],estoque[data],preçodiario[[#This Row],[data]],estoque[fornecedor],"&lt;&gt;saída"))/(AK216+(SUMIFS(estoque[quantidade],estoque[produto],preçodiario[[#Headers],[OVO VERMELHO B]],estoque[fornecedor],"&lt;&gt;saída",estoque[data],preçodiario[[#This Row],[data]])))))</f>
        <v/>
      </c>
      <c r="AK217" s="22">
        <f>IF(preçodiario[[#This Row],[entrada BV]]=0,AK216-(SUMIFS(estoque[quantidade],estoque[fornecedor],"saída",estoque[produto],preçodiario[[#Headers],[OVO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Row],[data]]))+AK216+preçodiario[[#This Row],[entrada BV]])</f>
        <v>0</v>
      </c>
      <c r="AL217" s="22">
        <f>SUMIFS(estoque[quantidade],estoque[fornecedor],"&lt;&gt;saída",estoque[produto],preçodiario[[#Headers],[OVO VERMELHO B]],estoque[data],preçodiario[[#This Row],[data]])</f>
        <v>0</v>
      </c>
      <c r="AM217" s="20">
        <f>SUMIFS(estoque[valor total],estoque[fornecedor],"&lt;&gt;saída",estoque[produto],preçodiario[[#Headers],[OVO VERMELHO B]],estoque[data],preçodiario[[#This Row],[data]])</f>
        <v>0</v>
      </c>
      <c r="AN217" s="20">
        <f>IFERROR(preçodiario[[#This Row],[OVO VERMELHO B]]*preçodiario[[#This Row],[estoque BV]],0)</f>
        <v>0</v>
      </c>
      <c r="AO2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Row],[data]])),((AO216*AP216)+SUMIFS(estoque[valor total],estoque[produto],preçodiario[[#Headers],[OVO VERMELHO C]],estoque[data],preçodiario[[#This Row],[data]],estoque[fornecedor],"&lt;&gt;saída"))/(AP216+(SUMIFS(estoque[quantidade],estoque[produto],preçodiario[[#Headers],[OVO VERMELHO C]],estoque[fornecedor],"&lt;&gt;saída",estoque[data],preçodiario[[#This Row],[data]])))))</f>
        <v/>
      </c>
      <c r="AP217" s="22">
        <f>IF(preçodiario[[#This Row],[entrada CV]]=0,AP216-(SUMIFS(estoque[quantidade],estoque[fornecedor],"saída",estoque[produto],preçodiario[[#Headers],[OVO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Row],[data]]))+AP216+preçodiario[[#This Row],[entrada CV]])</f>
        <v>0</v>
      </c>
      <c r="AQ217" s="22">
        <f>SUMIFS(estoque[quantidade],estoque[fornecedor],"&lt;&gt;saída",estoque[produto],preçodiario[[#Headers],[OVO VERMELHO C]],estoque[data],preçodiario[[#This Row],[data]])</f>
        <v>0</v>
      </c>
      <c r="AR217" s="20">
        <f>SUMIFS(estoque[valor total],estoque[fornecedor],"&lt;&gt;saída",estoque[produto],preçodiario[[#Headers],[OVO VERMELHO C]],estoque[data],preçodiario[[#This Row],[data]])</f>
        <v>0</v>
      </c>
      <c r="AS217" s="20">
        <f>IFERROR(preçodiario[[#This Row],[OVO VERMELHO C]]*preçodiario[[#This Row],[estoque CV]],0)</f>
        <v>0</v>
      </c>
      <c r="AT2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Row],[data]])),((AT216*AU216)+SUMIFS(estoque[valor total],estoque[produto],preçodiario[[#Headers],[OVO VERMELHO EXTRA]],estoque[data],preçodiario[[#This Row],[data]],estoque[fornecedor],"&lt;&gt;saída"))/(AU216+(SUMIFS(estoque[quantidade],estoque[produto],preçodiario[[#Headers],[OVO VERMELHO EXTRA]],estoque[fornecedor],"&lt;&gt;saída",estoque[data],preçodiario[[#This Row],[data]])))))</f>
        <v/>
      </c>
      <c r="AU217" s="22">
        <f>IF(preçodiario[[#This Row],[entrada EV]]=0,AU216-(SUMIFS(estoque[quantidade],estoque[fornecedor],"saída",estoque[produto],preçodiario[[#Headers],[OVO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Row],[data]]))+AU216+preçodiario[[#This Row],[entrada EV]])</f>
        <v>0</v>
      </c>
      <c r="AV217" s="22">
        <f>SUMIFS(estoque[quantidade],estoque[fornecedor],"&lt;&gt;saída",estoque[produto],preçodiario[[#Headers],[OVO VERMELHO EXTRA]],estoque[data],preçodiario[[#This Row],[data]])</f>
        <v>0</v>
      </c>
      <c r="AW217" s="20">
        <f>SUMIFS(estoque[valor total],estoque[fornecedor],"&lt;&gt;saída",estoque[produto],preçodiario[[#Headers],[OVO VERMELHO EXTRA]],estoque[data],preçodiario[[#This Row],[data]])</f>
        <v>0</v>
      </c>
      <c r="AX217" s="20">
        <f>IFERROR(preçodiario[[#This Row],[OVO VERMELHO EXTRA]]*preçodiario[[#This Row],[estoque EV]],0)</f>
        <v>0</v>
      </c>
      <c r="AY2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Row],[data]])),((AY216*AZ216)+SUMIFS(estoque[valor total],estoque[produto],preçodiario[[#Headers],[OVO VERMELHO JUMBO]],estoque[data],preçodiario[[#This Row],[data]],estoque[fornecedor],"&lt;&gt;saída"))/(AZ216+(SUMIFS(estoque[quantidade],estoque[produto],preçodiario[[#Headers],[OVO VERMELHO JUMBO]],estoque[fornecedor],"&lt;&gt;saída",estoque[data],preçodiario[[#This Row],[data]])))))</f>
        <v/>
      </c>
      <c r="AZ217" s="22">
        <f>IF(preçodiario[[#This Row],[entrada JV]]=0,AZ216-(SUMIFS(estoque[quantidade],estoque[fornecedor],"saída",estoque[produto],preçodiario[[#Headers],[OVO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Row],[data]]))+AZ216+preçodiario[[#This Row],[entrada JV]])</f>
        <v>0</v>
      </c>
      <c r="BA217" s="22">
        <f>SUMIFS(estoque[quantidade],estoque[fornecedor],"&lt;&gt;saída",estoque[produto],preçodiario[[#Headers],[OVO VERMELHO JUMBO]],estoque[data],preçodiario[[#This Row],[data]])</f>
        <v>0</v>
      </c>
      <c r="BB217" s="20">
        <f>SUMIFS(estoque[valor total],estoque[fornecedor],"&lt;&gt;saída",estoque[produto],preçodiario[[#Headers],[OVO VERMELHO JUMBO]],estoque[data],preçodiario[[#This Row],[data]])</f>
        <v>0</v>
      </c>
      <c r="BC217" s="20">
        <f>IFERROR(preçodiario[[#This Row],[OVO VERMELHO JUMBO]]*preçodiario[[#This Row],[estoque JV]],0)</f>
        <v>0</v>
      </c>
      <c r="BD217" t="str">
        <f>TEXT(vendaAno[[#This Row],[data]],"mmm")</f>
        <v>ago</v>
      </c>
      <c r="BE217" t="str">
        <f>TEXT(vendaAno[[#This Row],[data]],"ddd")</f>
        <v>ter</v>
      </c>
      <c r="BF217" s="82">
        <f>WEEKNUM(vendaAno[[#This Row],[data]],13)</f>
        <v>31</v>
      </c>
      <c r="BG217" s="27">
        <f>preçodiario[[#This Row],[data]]</f>
        <v>46238</v>
      </c>
      <c r="BH2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Row],[data]]))/12+BJ216,"")</f>
        <v/>
      </c>
      <c r="BK217" s="79" t="str">
        <f ca="1">IF(TODAY()&gt;=vendaAno[[#This Row],[data]],IF(SUMIFS(estoque[quantidade],estoque[fornecedor],"saída",estoque[data],vendaAno[[#This Row],[data]])/12=0,AVERAGE(BK214:BK216),SUMIFS(estoque[quantidade],estoque[fornecedor],"saída",estoque[data],vendaAno[[#This Row],[data]])/12),"")</f>
        <v/>
      </c>
      <c r="BL217" s="8" t="str">
        <f ca="1">IF(vendaAno[[#This Row],[data]]&lt;=TODAY(),IF(SUMIFS(estoque[lucro],estoque[fornecedor],"saída",estoque[data],vendaAno[[#This Row],[data]])=0,AVERAGE(BL214:BL216),SUMIFS(estoque[lucro],estoque[fornecedor],"saída",estoque[data],vendaAno[[#This Row],[data]])),"")</f>
        <v/>
      </c>
      <c r="BM217" s="10" t="str">
        <f ca="1">IFERROR(vendaAno[[#This Row],[lucro]]/vendaAno[[#This Row],[valor de venda]],"")</f>
        <v/>
      </c>
      <c r="BN21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7" s="8" t="str">
        <f ca="1">IF(TODAY()&gt;=vendaAno[[#This Row],[data]],IF(vendaAno[[#This Row],[N°]]=BF216,vendaAno[[#This Row],[lucro]]-173.33+BO216,vendaAno[[#This Row],[lucro]]-150),"")</f>
        <v/>
      </c>
      <c r="BP217" s="81" t="str">
        <f ca="1">IF(TODAY()&gt;=vendaAno[[#This Row],[data]],SUM(BK211:BK217)*12,"")</f>
        <v/>
      </c>
      <c r="BQ217" s="7" t="str">
        <f ca="1">IFERROR(vendaAno[[#This Row],[lucro]]/(vendaAno[[#This Row],[venda]]*12),"")</f>
        <v/>
      </c>
    </row>
    <row r="218" spans="1:71" x14ac:dyDescent="0.25">
      <c r="A2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8" s="18" t="str">
        <f>TEXT(preçodiario[[#This Row],[data]],"MMM")</f>
        <v>ago</v>
      </c>
      <c r="C218" s="18" t="str">
        <f>TEXT(preçodiario[[#This Row],[data]],"ddd")</f>
        <v>qua</v>
      </c>
      <c r="D218" s="96">
        <f>WEEKNUM(preçodiario[[#This Row],[data]],13)</f>
        <v>32</v>
      </c>
      <c r="E218" s="37">
        <v>46239</v>
      </c>
      <c r="F2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Row],[data]])),((F217*G217)+SUMIFS(estoque[valor total],estoque[produto],preçodiario[[#Headers],[OVO BRANCO A]],estoque[data],preçodiario[[#This Row],[data]],estoque[fornecedor],"&lt;&gt;saída"))/(G217+(SUMIFS(estoque[quantidade],estoque[produto],preçodiario[[#Headers],[OVO BRANCO A]],estoque[fornecedor],"&lt;&gt;saída",estoque[data],preçodiario[[#This Row],[data]])))))</f>
        <v>15.278182701652089</v>
      </c>
      <c r="G218" s="22">
        <f>IF(preçodiario[[#This Row],[entrada A]]=0,G217-(SUMIFS(estoque[quantidade],estoque[fornecedor],"saída",estoque[produto],preçodiario[[#Headers],[OVO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Row],[data]]))+G217+preçodiario[[#This Row],[entrada A]])</f>
        <v>133</v>
      </c>
      <c r="H218" s="22">
        <f>SUMIFS(estoque[quantidade],estoque[fornecedor],"&lt;&gt;saída",estoque[produto],preçodiario[[#Headers],[OVO BRANCO A]],estoque[data],preçodiario[[#This Row],[data]])</f>
        <v>0</v>
      </c>
      <c r="I218" s="20">
        <f>SUMIFS(estoque[valor total],estoque[fornecedor],"&lt;&gt;saída",estoque[produto],preçodiario[[#Headers],[OVO BRANCO A]],estoque[data],preçodiario[[#This Row],[data]])</f>
        <v>0</v>
      </c>
      <c r="J218" s="20">
        <f>IFERROR(preçodiario[[#This Row],[estoque A]]*preçodiario[[#This Row],[OVO BRANCO A]],0)</f>
        <v>2031.9982993197277</v>
      </c>
      <c r="K2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Row],[data]])),((K217*L217)+SUMIFS(estoque[valor total],estoque[produto],preçodiario[[#Headers],[OVO BRANCO B]],estoque[data],preçodiario[[#This Row],[data]],estoque[fornecedor],"&lt;&gt;saída"))/(L217+(SUMIFS(estoque[quantidade],estoque[produto],preçodiario[[#Headers],[OVO BRANCO B]],estoque[fornecedor],"&lt;&gt;saída",estoque[data],preçodiario[[#This Row],[data]])))))</f>
        <v>14.584252837326604</v>
      </c>
      <c r="L218" s="22">
        <f>IF(preçodiario[[#This Row],[entrada B]]=0,L217-(SUMIFS(estoque[quantidade],estoque[fornecedor],"saída",estoque[produto],preçodiario[[#Headers],[OVO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Row],[data]]))+L217+preçodiario[[#This Row],[entrada B]])</f>
        <v>16</v>
      </c>
      <c r="M218" s="22">
        <f>SUMIFS(estoque[quantidade],estoque[fornecedor],"&lt;&gt;saída",estoque[produto],preçodiario[[#Headers],[OVO BRANCO B]],estoque[data],preçodiario[[#This Row],[data]])</f>
        <v>0</v>
      </c>
      <c r="N218" s="20">
        <f>SUMIFS(estoque[valor total],estoque[fornecedor],"&lt;&gt;saída",estoque[produto],preçodiario[[#Headers],[OVO BRANCO B]],estoque[data],preçodiario[[#This Row],[data]])</f>
        <v>0</v>
      </c>
      <c r="O218" s="20">
        <f>IFERROR(preçodiario[[#This Row],[OVO BRANCO B]]*preçodiario[[#This Row],[estoque B]],0)</f>
        <v>233.34804539722566</v>
      </c>
      <c r="P2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Row],[data]])),((P217*Q217)+SUMIFS(estoque[valor total],estoque[produto],preçodiario[[#Headers],[OVO BRANCO C]],estoque[data],preçodiario[[#This Row],[data]],estoque[fornecedor],"&lt;&gt;saída"))/(Q217+(SUMIFS(estoque[quantidade],estoque[produto],preçodiario[[#Headers],[OVO BRANCO C]],estoque[fornecedor],"&lt;&gt;saída",estoque[data],preçodiario[[#This Row],[data]])))))</f>
        <v>12.5</v>
      </c>
      <c r="Q218" s="22">
        <f>IF(preçodiario[[#This Row],[entrada C]]=0,Q217-(SUMIFS(estoque[quantidade],estoque[fornecedor],"saída",estoque[produto],preçodiario[[#Headers],[OVO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Row],[data]]))+Q217+preçodiario[[#This Row],[entrada C]])</f>
        <v>60</v>
      </c>
      <c r="R218" s="22">
        <f>SUMIFS(estoque[quantidade],estoque[fornecedor],"&lt;&gt;saída",estoque[produto],preçodiario[[#Headers],[OVO BRANCO C]],estoque[data],preçodiario[[#This Row],[data]])</f>
        <v>0</v>
      </c>
      <c r="S218" s="20">
        <f>SUMIFS(estoque[valor total],estoque[fornecedor],"&lt;&gt;saída",estoque[produto],preçodiario[[#Headers],[OVO BRANCO C]],estoque[data],preçodiario[[#This Row],[data]])</f>
        <v>0</v>
      </c>
      <c r="T218" s="20">
        <f>IFERROR(preçodiario[[#This Row],[OVO BRANCO C]]*preçodiario[[#This Row],[estoque C]],0)</f>
        <v>750</v>
      </c>
      <c r="U2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Row],[data]])),((U217*V217)+SUMIFS(estoque[valor total],estoque[produto],preçodiario[[#Headers],[OVO BRANCO EXTRA]],estoque[data],preçodiario[[#This Row],[data]],estoque[fornecedor],"&lt;&gt;saída"))/(V217+(SUMIFS(estoque[quantidade],estoque[produto],preçodiario[[#Headers],[OVO BRANCO EXTRA]],estoque[fornecedor],"&lt;&gt;saída",estoque[data],preçodiario[[#This Row],[data]])))))</f>
        <v>15.725438400674655</v>
      </c>
      <c r="V218" s="22">
        <f>IF(preçodiario[[#This Row],[entrada E]]=0,V217-(SUMIFS(estoque[quantidade],estoque[fornecedor],"saída",estoque[produto],preçodiario[[#Headers],[OVO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Row],[data]]))+V217+preçodiario[[#This Row],[entrada E]])</f>
        <v>46</v>
      </c>
      <c r="W218" s="22">
        <f>SUMIFS(estoque[quantidade],estoque[fornecedor],"&lt;&gt;saída",estoque[produto],preçodiario[[#Headers],[OVO BRANCO EXTRA]],estoque[data],preçodiario[[#This Row],[data]])</f>
        <v>0</v>
      </c>
      <c r="X218" s="20">
        <f>SUMIFS(estoque[valor total],estoque[fornecedor],"&lt;&gt;saída",estoque[produto],preçodiario[[#Headers],[OVO BRANCO EXTRA]],estoque[data],preçodiario[[#This Row],[data]])</f>
        <v>0</v>
      </c>
      <c r="Y218" s="20">
        <f>IFERROR(preçodiario[[#This Row],[estoque E]]*preçodiario[[#This Row],[OVO BRANCO EXTRA]],0)</f>
        <v>723.37016643103414</v>
      </c>
      <c r="Z2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Row],[data]])),((Z217*AA217)+SUMIFS(estoque[valor total],estoque[produto],preçodiario[[#Headers],[OVO BRANCO JUMBO]],estoque[data],preçodiario[[#This Row],[data]],estoque[fornecedor],"&lt;&gt;saída"))/(AA217+(SUMIFS(estoque[quantidade],estoque[produto],preçodiario[[#Headers],[OVO BRANCO JUMBO]],estoque[fornecedor],"&lt;&gt;saída",estoque[data],preçodiario[[#This Row],[data]])))))</f>
        <v>16.50550595238095</v>
      </c>
      <c r="AA218" s="22">
        <f>IF(preçodiario[[#This Row],[entrada J]]=0,AA217-(SUMIFS(estoque[quantidade],estoque[fornecedor],"saída",estoque[produto],preçodiario[[#Headers],[OVO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Row],[data]]))+AA217+preçodiario[[#This Row],[entrada J]])</f>
        <v>75</v>
      </c>
      <c r="AB218" s="22">
        <f>SUMIFS(estoque[quantidade],estoque[fornecedor],"&lt;&gt;saída",estoque[produto],preçodiario[[#Headers],[OVO BRANCO JUMBO]],estoque[data],preçodiario[[#This Row],[data]])</f>
        <v>0</v>
      </c>
      <c r="AC218" s="20">
        <f>SUMIFS(estoque[valor total],estoque[fornecedor],"&lt;&gt;saída",estoque[produto],preçodiario[[#Headers],[OVO BRANCO JUMBO]],estoque[data],preçodiario[[#This Row],[data]])</f>
        <v>0</v>
      </c>
      <c r="AD218" s="20">
        <f>IFERROR(preçodiario[[#This Row],[OVO BRANCO JUMBO]]*preçodiario[[#This Row],[estoque J]],0)</f>
        <v>1237.9129464285713</v>
      </c>
      <c r="AE2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Row],[data]])),((AE217*AF217)+SUMIFS(estoque[valor total],estoque[produto],preçodiario[[#Headers],[OVO VERMELHO A]],estoque[data],preçodiario[[#This Row],[data]],estoque[fornecedor],"&lt;&gt;saída"))/(AF217+(SUMIFS(estoque[quantidade],estoque[produto],preçodiario[[#Headers],[OVO VERMELHO A]],estoque[fornecedor],"&lt;&gt;saída",estoque[data],preçodiario[[#This Row],[data]])))))</f>
        <v/>
      </c>
      <c r="AF218" s="22">
        <f>IF(preçodiario[[#This Row],[entrada AV]]=0,AF217-(SUMIFS(estoque[quantidade],estoque[fornecedor],"saída",estoque[produto],preçodiario[[#Headers],[OVO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Row],[data]]))+AF217+preçodiario[[#This Row],[entrada AV]])</f>
        <v>0</v>
      </c>
      <c r="AG218" s="22">
        <f>SUMIFS(estoque[quantidade],estoque[fornecedor],"&lt;&gt;saída",estoque[produto],preçodiario[[#Headers],[OVO VERMELHO A]],estoque[data],preçodiario[[#This Row],[data]])</f>
        <v>0</v>
      </c>
      <c r="AH218" s="20">
        <f>SUMIFS(estoque[valor total],estoque[fornecedor],"&lt;&gt;saída",estoque[produto],preçodiario[[#Headers],[OVO VERMELHO A]],estoque[data],preçodiario[[#This Row],[data]])</f>
        <v>0</v>
      </c>
      <c r="AI218" s="20">
        <f>IFERROR(preçodiario[[#This Row],[OVO VERMELHO A]]*preçodiario[[#This Row],[estoque AV]],0)</f>
        <v>0</v>
      </c>
      <c r="AJ2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Row],[data]])),((AJ217*AK217)+SUMIFS(estoque[valor total],estoque[produto],preçodiario[[#Headers],[OVO VERMELHO B]],estoque[data],preçodiario[[#This Row],[data]],estoque[fornecedor],"&lt;&gt;saída"))/(AK217+(SUMIFS(estoque[quantidade],estoque[produto],preçodiario[[#Headers],[OVO VERMELHO B]],estoque[fornecedor],"&lt;&gt;saída",estoque[data],preçodiario[[#This Row],[data]])))))</f>
        <v/>
      </c>
      <c r="AK218" s="22">
        <f>IF(preçodiario[[#This Row],[entrada BV]]=0,AK217-(SUMIFS(estoque[quantidade],estoque[fornecedor],"saída",estoque[produto],preçodiario[[#Headers],[OVO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Row],[data]]))+AK217+preçodiario[[#This Row],[entrada BV]])</f>
        <v>0</v>
      </c>
      <c r="AL218" s="22">
        <f>SUMIFS(estoque[quantidade],estoque[fornecedor],"&lt;&gt;saída",estoque[produto],preçodiario[[#Headers],[OVO VERMELHO B]],estoque[data],preçodiario[[#This Row],[data]])</f>
        <v>0</v>
      </c>
      <c r="AM218" s="20">
        <f>SUMIFS(estoque[valor total],estoque[fornecedor],"&lt;&gt;saída",estoque[produto],preçodiario[[#Headers],[OVO VERMELHO B]],estoque[data],preçodiario[[#This Row],[data]])</f>
        <v>0</v>
      </c>
      <c r="AN218" s="20">
        <f>IFERROR(preçodiario[[#This Row],[OVO VERMELHO B]]*preçodiario[[#This Row],[estoque BV]],0)</f>
        <v>0</v>
      </c>
      <c r="AO2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Row],[data]])),((AO217*AP217)+SUMIFS(estoque[valor total],estoque[produto],preçodiario[[#Headers],[OVO VERMELHO C]],estoque[data],preçodiario[[#This Row],[data]],estoque[fornecedor],"&lt;&gt;saída"))/(AP217+(SUMIFS(estoque[quantidade],estoque[produto],preçodiario[[#Headers],[OVO VERMELHO C]],estoque[fornecedor],"&lt;&gt;saída",estoque[data],preçodiario[[#This Row],[data]])))))</f>
        <v/>
      </c>
      <c r="AP218" s="22">
        <f>IF(preçodiario[[#This Row],[entrada CV]]=0,AP217-(SUMIFS(estoque[quantidade],estoque[fornecedor],"saída",estoque[produto],preçodiario[[#Headers],[OVO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Row],[data]]))+AP217+preçodiario[[#This Row],[entrada CV]])</f>
        <v>0</v>
      </c>
      <c r="AQ218" s="22">
        <f>SUMIFS(estoque[quantidade],estoque[fornecedor],"&lt;&gt;saída",estoque[produto],preçodiario[[#Headers],[OVO VERMELHO C]],estoque[data],preçodiario[[#This Row],[data]])</f>
        <v>0</v>
      </c>
      <c r="AR218" s="20">
        <f>SUMIFS(estoque[valor total],estoque[fornecedor],"&lt;&gt;saída",estoque[produto],preçodiario[[#Headers],[OVO VERMELHO C]],estoque[data],preçodiario[[#This Row],[data]])</f>
        <v>0</v>
      </c>
      <c r="AS218" s="20">
        <f>IFERROR(preçodiario[[#This Row],[OVO VERMELHO C]]*preçodiario[[#This Row],[estoque CV]],0)</f>
        <v>0</v>
      </c>
      <c r="AT2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Row],[data]])),((AT217*AU217)+SUMIFS(estoque[valor total],estoque[produto],preçodiario[[#Headers],[OVO VERMELHO EXTRA]],estoque[data],preçodiario[[#This Row],[data]],estoque[fornecedor],"&lt;&gt;saída"))/(AU217+(SUMIFS(estoque[quantidade],estoque[produto],preçodiario[[#Headers],[OVO VERMELHO EXTRA]],estoque[fornecedor],"&lt;&gt;saída",estoque[data],preçodiario[[#This Row],[data]])))))</f>
        <v/>
      </c>
      <c r="AU218" s="22">
        <f>IF(preçodiario[[#This Row],[entrada EV]]=0,AU217-(SUMIFS(estoque[quantidade],estoque[fornecedor],"saída",estoque[produto],preçodiario[[#Headers],[OVO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Row],[data]]))+AU217+preçodiario[[#This Row],[entrada EV]])</f>
        <v>0</v>
      </c>
      <c r="AV218" s="22">
        <f>SUMIFS(estoque[quantidade],estoque[fornecedor],"&lt;&gt;saída",estoque[produto],preçodiario[[#Headers],[OVO VERMELHO EXTRA]],estoque[data],preçodiario[[#This Row],[data]])</f>
        <v>0</v>
      </c>
      <c r="AW218" s="20">
        <f>SUMIFS(estoque[valor total],estoque[fornecedor],"&lt;&gt;saída",estoque[produto],preçodiario[[#Headers],[OVO VERMELHO EXTRA]],estoque[data],preçodiario[[#This Row],[data]])</f>
        <v>0</v>
      </c>
      <c r="AX218" s="20">
        <f>IFERROR(preçodiario[[#This Row],[OVO VERMELHO EXTRA]]*preçodiario[[#This Row],[estoque EV]],0)</f>
        <v>0</v>
      </c>
      <c r="AY2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Row],[data]])),((AY217*AZ217)+SUMIFS(estoque[valor total],estoque[produto],preçodiario[[#Headers],[OVO VERMELHO JUMBO]],estoque[data],preçodiario[[#This Row],[data]],estoque[fornecedor],"&lt;&gt;saída"))/(AZ217+(SUMIFS(estoque[quantidade],estoque[produto],preçodiario[[#Headers],[OVO VERMELHO JUMBO]],estoque[fornecedor],"&lt;&gt;saída",estoque[data],preçodiario[[#This Row],[data]])))))</f>
        <v/>
      </c>
      <c r="AZ218" s="22">
        <f>IF(preçodiario[[#This Row],[entrada JV]]=0,AZ217-(SUMIFS(estoque[quantidade],estoque[fornecedor],"saída",estoque[produto],preçodiario[[#Headers],[OVO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Row],[data]]))+AZ217+preçodiario[[#This Row],[entrada JV]])</f>
        <v>0</v>
      </c>
      <c r="BA218" s="22">
        <f>SUMIFS(estoque[quantidade],estoque[fornecedor],"&lt;&gt;saída",estoque[produto],preçodiario[[#Headers],[OVO VERMELHO JUMBO]],estoque[data],preçodiario[[#This Row],[data]])</f>
        <v>0</v>
      </c>
      <c r="BB218" s="20">
        <f>SUMIFS(estoque[valor total],estoque[fornecedor],"&lt;&gt;saída",estoque[produto],preçodiario[[#Headers],[OVO VERMELHO JUMBO]],estoque[data],preçodiario[[#This Row],[data]])</f>
        <v>0</v>
      </c>
      <c r="BC218" s="20">
        <f>IFERROR(preçodiario[[#This Row],[OVO VERMELHO JUMBO]]*preçodiario[[#This Row],[estoque JV]],0)</f>
        <v>0</v>
      </c>
      <c r="BD218" t="str">
        <f>TEXT(vendaAno[[#This Row],[data]],"mmm")</f>
        <v>ago</v>
      </c>
      <c r="BE218" t="str">
        <f>TEXT(vendaAno[[#This Row],[data]],"ddd")</f>
        <v>qua</v>
      </c>
      <c r="BF218" s="82">
        <f>WEEKNUM(vendaAno[[#This Row],[data]],13)</f>
        <v>32</v>
      </c>
      <c r="BG218" s="27">
        <f>preçodiario[[#This Row],[data]]</f>
        <v>46239</v>
      </c>
      <c r="BH2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Row],[data]]))/12+BJ217,"")</f>
        <v/>
      </c>
      <c r="BK218" s="79" t="str">
        <f ca="1">IF(TODAY()&gt;=vendaAno[[#This Row],[data]],IF(SUMIFS(estoque[quantidade],estoque[fornecedor],"saída",estoque[data],vendaAno[[#This Row],[data]])/12=0,AVERAGE(BK215:BK217),SUMIFS(estoque[quantidade],estoque[fornecedor],"saída",estoque[data],vendaAno[[#This Row],[data]])/12),"")</f>
        <v/>
      </c>
      <c r="BL218" s="8" t="str">
        <f ca="1">IF(vendaAno[[#This Row],[data]]&lt;=TODAY(),IF(SUMIFS(estoque[lucro],estoque[fornecedor],"saída",estoque[data],vendaAno[[#This Row],[data]])=0,AVERAGE(BL215:BL217),SUMIFS(estoque[lucro],estoque[fornecedor],"saída",estoque[data],vendaAno[[#This Row],[data]])),"")</f>
        <v/>
      </c>
      <c r="BM218" s="10" t="str">
        <f ca="1">IFERROR(vendaAno[[#This Row],[lucro]]/vendaAno[[#This Row],[valor de venda]],"")</f>
        <v/>
      </c>
      <c r="BN21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8" s="8" t="str">
        <f ca="1">IF(TODAY()&gt;=vendaAno[[#This Row],[data]],IF(vendaAno[[#This Row],[N°]]=BF217,vendaAno[[#This Row],[lucro]]-173.33+BO217,vendaAno[[#This Row],[lucro]]-150),"")</f>
        <v/>
      </c>
      <c r="BP218" s="81" t="str">
        <f ca="1">IF(TODAY()&gt;=vendaAno[[#This Row],[data]],SUM(BK212:BK218)*12,"")</f>
        <v/>
      </c>
      <c r="BQ218" s="7" t="str">
        <f ca="1">IFERROR(vendaAno[[#This Row],[lucro]]/(vendaAno[[#This Row],[venda]]*12),"")</f>
        <v/>
      </c>
    </row>
    <row r="219" spans="1:71" x14ac:dyDescent="0.25">
      <c r="A2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19" s="18" t="str">
        <f>TEXT(preçodiario[[#This Row],[data]],"MMM")</f>
        <v>ago</v>
      </c>
      <c r="C219" s="18" t="str">
        <f>TEXT(preçodiario[[#This Row],[data]],"ddd")</f>
        <v>qui</v>
      </c>
      <c r="D219" s="96">
        <f>WEEKNUM(preçodiario[[#This Row],[data]],13)</f>
        <v>32</v>
      </c>
      <c r="E219" s="37">
        <v>46240</v>
      </c>
      <c r="F2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Row],[data]])),((F218*G218)+SUMIFS(estoque[valor total],estoque[produto],preçodiario[[#Headers],[OVO BRANCO A]],estoque[data],preçodiario[[#This Row],[data]],estoque[fornecedor],"&lt;&gt;saída"))/(G218+(SUMIFS(estoque[quantidade],estoque[produto],preçodiario[[#Headers],[OVO BRANCO A]],estoque[fornecedor],"&lt;&gt;saída",estoque[data],preçodiario[[#This Row],[data]])))))</f>
        <v>15.278182701652089</v>
      </c>
      <c r="G219" s="22">
        <f>IF(preçodiario[[#This Row],[entrada A]]=0,G218-(SUMIFS(estoque[quantidade],estoque[fornecedor],"saída",estoque[produto],preçodiario[[#Headers],[OVO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Row],[data]]))+G218+preçodiario[[#This Row],[entrada A]])</f>
        <v>133</v>
      </c>
      <c r="H219" s="22">
        <f>SUMIFS(estoque[quantidade],estoque[fornecedor],"&lt;&gt;saída",estoque[produto],preçodiario[[#Headers],[OVO BRANCO A]],estoque[data],preçodiario[[#This Row],[data]])</f>
        <v>0</v>
      </c>
      <c r="I219" s="20">
        <f>SUMIFS(estoque[valor total],estoque[fornecedor],"&lt;&gt;saída",estoque[produto],preçodiario[[#Headers],[OVO BRANCO A]],estoque[data],preçodiario[[#This Row],[data]])</f>
        <v>0</v>
      </c>
      <c r="J219" s="20">
        <f>IFERROR(preçodiario[[#This Row],[estoque A]]*preçodiario[[#This Row],[OVO BRANCO A]],0)</f>
        <v>2031.9982993197277</v>
      </c>
      <c r="K2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Row],[data]])),((K218*L218)+SUMIFS(estoque[valor total],estoque[produto],preçodiario[[#Headers],[OVO BRANCO B]],estoque[data],preçodiario[[#This Row],[data]],estoque[fornecedor],"&lt;&gt;saída"))/(L218+(SUMIFS(estoque[quantidade],estoque[produto],preçodiario[[#Headers],[OVO BRANCO B]],estoque[fornecedor],"&lt;&gt;saída",estoque[data],preçodiario[[#This Row],[data]])))))</f>
        <v>14.584252837326604</v>
      </c>
      <c r="L219" s="22">
        <f>IF(preçodiario[[#This Row],[entrada B]]=0,L218-(SUMIFS(estoque[quantidade],estoque[fornecedor],"saída",estoque[produto],preçodiario[[#Headers],[OVO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Row],[data]]))+L218+preçodiario[[#This Row],[entrada B]])</f>
        <v>16</v>
      </c>
      <c r="M219" s="22">
        <f>SUMIFS(estoque[quantidade],estoque[fornecedor],"&lt;&gt;saída",estoque[produto],preçodiario[[#Headers],[OVO BRANCO B]],estoque[data],preçodiario[[#This Row],[data]])</f>
        <v>0</v>
      </c>
      <c r="N219" s="20">
        <f>SUMIFS(estoque[valor total],estoque[fornecedor],"&lt;&gt;saída",estoque[produto],preçodiario[[#Headers],[OVO BRANCO B]],estoque[data],preçodiario[[#This Row],[data]])</f>
        <v>0</v>
      </c>
      <c r="O219" s="20">
        <f>IFERROR(preçodiario[[#This Row],[OVO BRANCO B]]*preçodiario[[#This Row],[estoque B]],0)</f>
        <v>233.34804539722566</v>
      </c>
      <c r="P2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Row],[data]])),((P218*Q218)+SUMIFS(estoque[valor total],estoque[produto],preçodiario[[#Headers],[OVO BRANCO C]],estoque[data],preçodiario[[#This Row],[data]],estoque[fornecedor],"&lt;&gt;saída"))/(Q218+(SUMIFS(estoque[quantidade],estoque[produto],preçodiario[[#Headers],[OVO BRANCO C]],estoque[fornecedor],"&lt;&gt;saída",estoque[data],preçodiario[[#This Row],[data]])))))</f>
        <v>12.5</v>
      </c>
      <c r="Q219" s="22">
        <f>IF(preçodiario[[#This Row],[entrada C]]=0,Q218-(SUMIFS(estoque[quantidade],estoque[fornecedor],"saída",estoque[produto],preçodiario[[#Headers],[OVO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Row],[data]]))+Q218+preçodiario[[#This Row],[entrada C]])</f>
        <v>60</v>
      </c>
      <c r="R219" s="22">
        <f>SUMIFS(estoque[quantidade],estoque[fornecedor],"&lt;&gt;saída",estoque[produto],preçodiario[[#Headers],[OVO BRANCO C]],estoque[data],preçodiario[[#This Row],[data]])</f>
        <v>0</v>
      </c>
      <c r="S219" s="20">
        <f>SUMIFS(estoque[valor total],estoque[fornecedor],"&lt;&gt;saída",estoque[produto],preçodiario[[#Headers],[OVO BRANCO C]],estoque[data],preçodiario[[#This Row],[data]])</f>
        <v>0</v>
      </c>
      <c r="T219" s="20">
        <f>IFERROR(preçodiario[[#This Row],[OVO BRANCO C]]*preçodiario[[#This Row],[estoque C]],0)</f>
        <v>750</v>
      </c>
      <c r="U2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Row],[data]])),((U218*V218)+SUMIFS(estoque[valor total],estoque[produto],preçodiario[[#Headers],[OVO BRANCO EXTRA]],estoque[data],preçodiario[[#This Row],[data]],estoque[fornecedor],"&lt;&gt;saída"))/(V218+(SUMIFS(estoque[quantidade],estoque[produto],preçodiario[[#Headers],[OVO BRANCO EXTRA]],estoque[fornecedor],"&lt;&gt;saída",estoque[data],preçodiario[[#This Row],[data]])))))</f>
        <v>15.725438400674655</v>
      </c>
      <c r="V219" s="22">
        <f>IF(preçodiario[[#This Row],[entrada E]]=0,V218-(SUMIFS(estoque[quantidade],estoque[fornecedor],"saída",estoque[produto],preçodiario[[#Headers],[OVO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Row],[data]]))+V218+preçodiario[[#This Row],[entrada E]])</f>
        <v>46</v>
      </c>
      <c r="W219" s="22">
        <f>SUMIFS(estoque[quantidade],estoque[fornecedor],"&lt;&gt;saída",estoque[produto],preçodiario[[#Headers],[OVO BRANCO EXTRA]],estoque[data],preçodiario[[#This Row],[data]])</f>
        <v>0</v>
      </c>
      <c r="X219" s="20">
        <f>SUMIFS(estoque[valor total],estoque[fornecedor],"&lt;&gt;saída",estoque[produto],preçodiario[[#Headers],[OVO BRANCO EXTRA]],estoque[data],preçodiario[[#This Row],[data]])</f>
        <v>0</v>
      </c>
      <c r="Y219" s="20">
        <f>IFERROR(preçodiario[[#This Row],[estoque E]]*preçodiario[[#This Row],[OVO BRANCO EXTRA]],0)</f>
        <v>723.37016643103414</v>
      </c>
      <c r="Z2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Row],[data]])),((Z218*AA218)+SUMIFS(estoque[valor total],estoque[produto],preçodiario[[#Headers],[OVO BRANCO JUMBO]],estoque[data],preçodiario[[#This Row],[data]],estoque[fornecedor],"&lt;&gt;saída"))/(AA218+(SUMIFS(estoque[quantidade],estoque[produto],preçodiario[[#Headers],[OVO BRANCO JUMBO]],estoque[fornecedor],"&lt;&gt;saída",estoque[data],preçodiario[[#This Row],[data]])))))</f>
        <v>16.50550595238095</v>
      </c>
      <c r="AA219" s="22">
        <f>IF(preçodiario[[#This Row],[entrada J]]=0,AA218-(SUMIFS(estoque[quantidade],estoque[fornecedor],"saída",estoque[produto],preçodiario[[#Headers],[OVO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Row],[data]]))+AA218+preçodiario[[#This Row],[entrada J]])</f>
        <v>75</v>
      </c>
      <c r="AB219" s="22">
        <f>SUMIFS(estoque[quantidade],estoque[fornecedor],"&lt;&gt;saída",estoque[produto],preçodiario[[#Headers],[OVO BRANCO JUMBO]],estoque[data],preçodiario[[#This Row],[data]])</f>
        <v>0</v>
      </c>
      <c r="AC219" s="20">
        <f>SUMIFS(estoque[valor total],estoque[fornecedor],"&lt;&gt;saída",estoque[produto],preçodiario[[#Headers],[OVO BRANCO JUMBO]],estoque[data],preçodiario[[#This Row],[data]])</f>
        <v>0</v>
      </c>
      <c r="AD219" s="20">
        <f>IFERROR(preçodiario[[#This Row],[OVO BRANCO JUMBO]]*preçodiario[[#This Row],[estoque J]],0)</f>
        <v>1237.9129464285713</v>
      </c>
      <c r="AE2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Row],[data]])),((AE218*AF218)+SUMIFS(estoque[valor total],estoque[produto],preçodiario[[#Headers],[OVO VERMELHO A]],estoque[data],preçodiario[[#This Row],[data]],estoque[fornecedor],"&lt;&gt;saída"))/(AF218+(SUMIFS(estoque[quantidade],estoque[produto],preçodiario[[#Headers],[OVO VERMELHO A]],estoque[fornecedor],"&lt;&gt;saída",estoque[data],preçodiario[[#This Row],[data]])))))</f>
        <v/>
      </c>
      <c r="AF219" s="22">
        <f>IF(preçodiario[[#This Row],[entrada AV]]=0,AF218-(SUMIFS(estoque[quantidade],estoque[fornecedor],"saída",estoque[produto],preçodiario[[#Headers],[OVO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Row],[data]]))+AF218+preçodiario[[#This Row],[entrada AV]])</f>
        <v>0</v>
      </c>
      <c r="AG219" s="22">
        <f>SUMIFS(estoque[quantidade],estoque[fornecedor],"&lt;&gt;saída",estoque[produto],preçodiario[[#Headers],[OVO VERMELHO A]],estoque[data],preçodiario[[#This Row],[data]])</f>
        <v>0</v>
      </c>
      <c r="AH219" s="20">
        <f>SUMIFS(estoque[valor total],estoque[fornecedor],"&lt;&gt;saída",estoque[produto],preçodiario[[#Headers],[OVO VERMELHO A]],estoque[data],preçodiario[[#This Row],[data]])</f>
        <v>0</v>
      </c>
      <c r="AI219" s="20">
        <f>IFERROR(preçodiario[[#This Row],[OVO VERMELHO A]]*preçodiario[[#This Row],[estoque AV]],0)</f>
        <v>0</v>
      </c>
      <c r="AJ2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Row],[data]])),((AJ218*AK218)+SUMIFS(estoque[valor total],estoque[produto],preçodiario[[#Headers],[OVO VERMELHO B]],estoque[data],preçodiario[[#This Row],[data]],estoque[fornecedor],"&lt;&gt;saída"))/(AK218+(SUMIFS(estoque[quantidade],estoque[produto],preçodiario[[#Headers],[OVO VERMELHO B]],estoque[fornecedor],"&lt;&gt;saída",estoque[data],preçodiario[[#This Row],[data]])))))</f>
        <v/>
      </c>
      <c r="AK219" s="22">
        <f>IF(preçodiario[[#This Row],[entrada BV]]=0,AK218-(SUMIFS(estoque[quantidade],estoque[fornecedor],"saída",estoque[produto],preçodiario[[#Headers],[OVO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Row],[data]]))+AK218+preçodiario[[#This Row],[entrada BV]])</f>
        <v>0</v>
      </c>
      <c r="AL219" s="22">
        <f>SUMIFS(estoque[quantidade],estoque[fornecedor],"&lt;&gt;saída",estoque[produto],preçodiario[[#Headers],[OVO VERMELHO B]],estoque[data],preçodiario[[#This Row],[data]])</f>
        <v>0</v>
      </c>
      <c r="AM219" s="20">
        <f>SUMIFS(estoque[valor total],estoque[fornecedor],"&lt;&gt;saída",estoque[produto],preçodiario[[#Headers],[OVO VERMELHO B]],estoque[data],preçodiario[[#This Row],[data]])</f>
        <v>0</v>
      </c>
      <c r="AN219" s="20">
        <f>IFERROR(preçodiario[[#This Row],[OVO VERMELHO B]]*preçodiario[[#This Row],[estoque BV]],0)</f>
        <v>0</v>
      </c>
      <c r="AO2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Row],[data]])),((AO218*AP218)+SUMIFS(estoque[valor total],estoque[produto],preçodiario[[#Headers],[OVO VERMELHO C]],estoque[data],preçodiario[[#This Row],[data]],estoque[fornecedor],"&lt;&gt;saída"))/(AP218+(SUMIFS(estoque[quantidade],estoque[produto],preçodiario[[#Headers],[OVO VERMELHO C]],estoque[fornecedor],"&lt;&gt;saída",estoque[data],preçodiario[[#This Row],[data]])))))</f>
        <v/>
      </c>
      <c r="AP219" s="22">
        <f>IF(preçodiario[[#This Row],[entrada CV]]=0,AP218-(SUMIFS(estoque[quantidade],estoque[fornecedor],"saída",estoque[produto],preçodiario[[#Headers],[OVO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Row],[data]]))+AP218+preçodiario[[#This Row],[entrada CV]])</f>
        <v>0</v>
      </c>
      <c r="AQ219" s="22">
        <f>SUMIFS(estoque[quantidade],estoque[fornecedor],"&lt;&gt;saída",estoque[produto],preçodiario[[#Headers],[OVO VERMELHO C]],estoque[data],preçodiario[[#This Row],[data]])</f>
        <v>0</v>
      </c>
      <c r="AR219" s="20">
        <f>SUMIFS(estoque[valor total],estoque[fornecedor],"&lt;&gt;saída",estoque[produto],preçodiario[[#Headers],[OVO VERMELHO C]],estoque[data],preçodiario[[#This Row],[data]])</f>
        <v>0</v>
      </c>
      <c r="AS219" s="20">
        <f>IFERROR(preçodiario[[#This Row],[OVO VERMELHO C]]*preçodiario[[#This Row],[estoque CV]],0)</f>
        <v>0</v>
      </c>
      <c r="AT2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Row],[data]])),((AT218*AU218)+SUMIFS(estoque[valor total],estoque[produto],preçodiario[[#Headers],[OVO VERMELHO EXTRA]],estoque[data],preçodiario[[#This Row],[data]],estoque[fornecedor],"&lt;&gt;saída"))/(AU218+(SUMIFS(estoque[quantidade],estoque[produto],preçodiario[[#Headers],[OVO VERMELHO EXTRA]],estoque[fornecedor],"&lt;&gt;saída",estoque[data],preçodiario[[#This Row],[data]])))))</f>
        <v/>
      </c>
      <c r="AU219" s="22">
        <f>IF(preçodiario[[#This Row],[entrada EV]]=0,AU218-(SUMIFS(estoque[quantidade],estoque[fornecedor],"saída",estoque[produto],preçodiario[[#Headers],[OVO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Row],[data]]))+AU218+preçodiario[[#This Row],[entrada EV]])</f>
        <v>0</v>
      </c>
      <c r="AV219" s="22">
        <f>SUMIFS(estoque[quantidade],estoque[fornecedor],"&lt;&gt;saída",estoque[produto],preçodiario[[#Headers],[OVO VERMELHO EXTRA]],estoque[data],preçodiario[[#This Row],[data]])</f>
        <v>0</v>
      </c>
      <c r="AW219" s="20">
        <f>SUMIFS(estoque[valor total],estoque[fornecedor],"&lt;&gt;saída",estoque[produto],preçodiario[[#Headers],[OVO VERMELHO EXTRA]],estoque[data],preçodiario[[#This Row],[data]])</f>
        <v>0</v>
      </c>
      <c r="AX219" s="20">
        <f>IFERROR(preçodiario[[#This Row],[OVO VERMELHO EXTRA]]*preçodiario[[#This Row],[estoque EV]],0)</f>
        <v>0</v>
      </c>
      <c r="AY2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Row],[data]])),((AY218*AZ218)+SUMIFS(estoque[valor total],estoque[produto],preçodiario[[#Headers],[OVO VERMELHO JUMBO]],estoque[data],preçodiario[[#This Row],[data]],estoque[fornecedor],"&lt;&gt;saída"))/(AZ218+(SUMIFS(estoque[quantidade],estoque[produto],preçodiario[[#Headers],[OVO VERMELHO JUMBO]],estoque[fornecedor],"&lt;&gt;saída",estoque[data],preçodiario[[#This Row],[data]])))))</f>
        <v/>
      </c>
      <c r="AZ219" s="22">
        <f>IF(preçodiario[[#This Row],[entrada JV]]=0,AZ218-(SUMIFS(estoque[quantidade],estoque[fornecedor],"saída",estoque[produto],preçodiario[[#Headers],[OVO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Row],[data]]))+AZ218+preçodiario[[#This Row],[entrada JV]])</f>
        <v>0</v>
      </c>
      <c r="BA219" s="22">
        <f>SUMIFS(estoque[quantidade],estoque[fornecedor],"&lt;&gt;saída",estoque[produto],preçodiario[[#Headers],[OVO VERMELHO JUMBO]],estoque[data],preçodiario[[#This Row],[data]])</f>
        <v>0</v>
      </c>
      <c r="BB219" s="20">
        <f>SUMIFS(estoque[valor total],estoque[fornecedor],"&lt;&gt;saída",estoque[produto],preçodiario[[#Headers],[OVO VERMELHO JUMBO]],estoque[data],preçodiario[[#This Row],[data]])</f>
        <v>0</v>
      </c>
      <c r="BC219" s="20">
        <f>IFERROR(preçodiario[[#This Row],[OVO VERMELHO JUMBO]]*preçodiario[[#This Row],[estoque JV]],0)</f>
        <v>0</v>
      </c>
      <c r="BD219" t="str">
        <f>TEXT(vendaAno[[#This Row],[data]],"mmm")</f>
        <v>ago</v>
      </c>
      <c r="BE219" t="str">
        <f>TEXT(vendaAno[[#This Row],[data]],"ddd")</f>
        <v>qui</v>
      </c>
      <c r="BF219" s="82">
        <f>WEEKNUM(vendaAno[[#This Row],[data]],13)</f>
        <v>32</v>
      </c>
      <c r="BG219" s="27">
        <f>preçodiario[[#This Row],[data]]</f>
        <v>46240</v>
      </c>
      <c r="BH2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1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1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Row],[data]]))/12+BJ218,"")</f>
        <v/>
      </c>
      <c r="BK219" s="79" t="str">
        <f ca="1">IF(TODAY()&gt;=vendaAno[[#This Row],[data]],IF(SUMIFS(estoque[quantidade],estoque[fornecedor],"saída",estoque[data],vendaAno[[#This Row],[data]])/12=0,AVERAGE(BK216:BK218),SUMIFS(estoque[quantidade],estoque[fornecedor],"saída",estoque[data],vendaAno[[#This Row],[data]])/12),"")</f>
        <v/>
      </c>
      <c r="BL219" s="8" t="str">
        <f ca="1">IF(vendaAno[[#This Row],[data]]&lt;=TODAY(),IF(SUMIFS(estoque[lucro],estoque[fornecedor],"saída",estoque[data],vendaAno[[#This Row],[data]])=0,AVERAGE(BL216:BL218),SUMIFS(estoque[lucro],estoque[fornecedor],"saída",estoque[data],vendaAno[[#This Row],[data]])),"")</f>
        <v/>
      </c>
      <c r="BM219" s="10" t="str">
        <f ca="1">IFERROR(vendaAno[[#This Row],[lucro]]/vendaAno[[#This Row],[valor de venda]],"")</f>
        <v/>
      </c>
      <c r="BN21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19" s="8" t="str">
        <f ca="1">IF(TODAY()&gt;=vendaAno[[#This Row],[data]],IF(vendaAno[[#This Row],[N°]]=BF218,vendaAno[[#This Row],[lucro]]-173.33+BO218,vendaAno[[#This Row],[lucro]]-150),"")</f>
        <v/>
      </c>
      <c r="BP219" s="81" t="str">
        <f ca="1">IF(TODAY()&gt;=vendaAno[[#This Row],[data]],SUM(BK213:BK219)*12,"")</f>
        <v/>
      </c>
      <c r="BQ219" s="7" t="str">
        <f ca="1">IFERROR(vendaAno[[#This Row],[lucro]]/(vendaAno[[#This Row],[venda]]*12),"")</f>
        <v/>
      </c>
      <c r="BS219">
        <f>11.7+28.35</f>
        <v>40.049999999999997</v>
      </c>
    </row>
    <row r="220" spans="1:71" x14ac:dyDescent="0.25">
      <c r="A2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0" s="18" t="str">
        <f>TEXT(preçodiario[[#This Row],[data]],"MMM")</f>
        <v>ago</v>
      </c>
      <c r="C220" s="18" t="str">
        <f>TEXT(preçodiario[[#This Row],[data]],"ddd")</f>
        <v>sex</v>
      </c>
      <c r="D220" s="96">
        <f>WEEKNUM(preçodiario[[#This Row],[data]],13)</f>
        <v>32</v>
      </c>
      <c r="E220" s="37">
        <v>46241</v>
      </c>
      <c r="F2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Row],[data]])),((F219*G219)+SUMIFS(estoque[valor total],estoque[produto],preçodiario[[#Headers],[OVO BRANCO A]],estoque[data],preçodiario[[#This Row],[data]],estoque[fornecedor],"&lt;&gt;saída"))/(G219+(SUMIFS(estoque[quantidade],estoque[produto],preçodiario[[#Headers],[OVO BRANCO A]],estoque[fornecedor],"&lt;&gt;saída",estoque[data],preçodiario[[#This Row],[data]])))))</f>
        <v>15.278182701652089</v>
      </c>
      <c r="G220" s="22">
        <f>IF(preçodiario[[#This Row],[entrada A]]=0,G219-(SUMIFS(estoque[quantidade],estoque[fornecedor],"saída",estoque[produto],preçodiario[[#Headers],[OVO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Row],[data]]))+G219+preçodiario[[#This Row],[entrada A]])</f>
        <v>133</v>
      </c>
      <c r="H220" s="22">
        <f>SUMIFS(estoque[quantidade],estoque[fornecedor],"&lt;&gt;saída",estoque[produto],preçodiario[[#Headers],[OVO BRANCO A]],estoque[data],preçodiario[[#This Row],[data]])</f>
        <v>0</v>
      </c>
      <c r="I220" s="20">
        <f>SUMIFS(estoque[valor total],estoque[fornecedor],"&lt;&gt;saída",estoque[produto],preçodiario[[#Headers],[OVO BRANCO A]],estoque[data],preçodiario[[#This Row],[data]])</f>
        <v>0</v>
      </c>
      <c r="J220" s="20">
        <f>IFERROR(preçodiario[[#This Row],[estoque A]]*preçodiario[[#This Row],[OVO BRANCO A]],0)</f>
        <v>2031.9982993197277</v>
      </c>
      <c r="K2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Row],[data]])),((K219*L219)+SUMIFS(estoque[valor total],estoque[produto],preçodiario[[#Headers],[OVO BRANCO B]],estoque[data],preçodiario[[#This Row],[data]],estoque[fornecedor],"&lt;&gt;saída"))/(L219+(SUMIFS(estoque[quantidade],estoque[produto],preçodiario[[#Headers],[OVO BRANCO B]],estoque[fornecedor],"&lt;&gt;saída",estoque[data],preçodiario[[#This Row],[data]])))))</f>
        <v>14.584252837326604</v>
      </c>
      <c r="L220" s="22">
        <f>IF(preçodiario[[#This Row],[entrada B]]=0,L219-(SUMIFS(estoque[quantidade],estoque[fornecedor],"saída",estoque[produto],preçodiario[[#Headers],[OVO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Row],[data]]))+L219+preçodiario[[#This Row],[entrada B]])</f>
        <v>16</v>
      </c>
      <c r="M220" s="22">
        <f>SUMIFS(estoque[quantidade],estoque[fornecedor],"&lt;&gt;saída",estoque[produto],preçodiario[[#Headers],[OVO BRANCO B]],estoque[data],preçodiario[[#This Row],[data]])</f>
        <v>0</v>
      </c>
      <c r="N220" s="20">
        <f>SUMIFS(estoque[valor total],estoque[fornecedor],"&lt;&gt;saída",estoque[produto],preçodiario[[#Headers],[OVO BRANCO B]],estoque[data],preçodiario[[#This Row],[data]])</f>
        <v>0</v>
      </c>
      <c r="O220" s="20">
        <f>IFERROR(preçodiario[[#This Row],[OVO BRANCO B]]*preçodiario[[#This Row],[estoque B]],0)</f>
        <v>233.34804539722566</v>
      </c>
      <c r="P2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Row],[data]])),((P219*Q219)+SUMIFS(estoque[valor total],estoque[produto],preçodiario[[#Headers],[OVO BRANCO C]],estoque[data],preçodiario[[#This Row],[data]],estoque[fornecedor],"&lt;&gt;saída"))/(Q219+(SUMIFS(estoque[quantidade],estoque[produto],preçodiario[[#Headers],[OVO BRANCO C]],estoque[fornecedor],"&lt;&gt;saída",estoque[data],preçodiario[[#This Row],[data]])))))</f>
        <v>12.5</v>
      </c>
      <c r="Q220" s="22">
        <f>IF(preçodiario[[#This Row],[entrada C]]=0,Q219-(SUMIFS(estoque[quantidade],estoque[fornecedor],"saída",estoque[produto],preçodiario[[#Headers],[OVO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Row],[data]]))+Q219+preçodiario[[#This Row],[entrada C]])</f>
        <v>60</v>
      </c>
      <c r="R220" s="22">
        <f>SUMIFS(estoque[quantidade],estoque[fornecedor],"&lt;&gt;saída",estoque[produto],preçodiario[[#Headers],[OVO BRANCO C]],estoque[data],preçodiario[[#This Row],[data]])</f>
        <v>0</v>
      </c>
      <c r="S220" s="20">
        <f>SUMIFS(estoque[valor total],estoque[fornecedor],"&lt;&gt;saída",estoque[produto],preçodiario[[#Headers],[OVO BRANCO C]],estoque[data],preçodiario[[#This Row],[data]])</f>
        <v>0</v>
      </c>
      <c r="T220" s="20">
        <f>IFERROR(preçodiario[[#This Row],[OVO BRANCO C]]*preçodiario[[#This Row],[estoque C]],0)</f>
        <v>750</v>
      </c>
      <c r="U2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Row],[data]])),((U219*V219)+SUMIFS(estoque[valor total],estoque[produto],preçodiario[[#Headers],[OVO BRANCO EXTRA]],estoque[data],preçodiario[[#This Row],[data]],estoque[fornecedor],"&lt;&gt;saída"))/(V219+(SUMIFS(estoque[quantidade],estoque[produto],preçodiario[[#Headers],[OVO BRANCO EXTRA]],estoque[fornecedor],"&lt;&gt;saída",estoque[data],preçodiario[[#This Row],[data]])))))</f>
        <v>15.725438400674655</v>
      </c>
      <c r="V220" s="22">
        <f>IF(preçodiario[[#This Row],[entrada E]]=0,V219-(SUMIFS(estoque[quantidade],estoque[fornecedor],"saída",estoque[produto],preçodiario[[#Headers],[OVO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Row],[data]]))+V219+preçodiario[[#This Row],[entrada E]])</f>
        <v>46</v>
      </c>
      <c r="W220" s="22">
        <f>SUMIFS(estoque[quantidade],estoque[fornecedor],"&lt;&gt;saída",estoque[produto],preçodiario[[#Headers],[OVO BRANCO EXTRA]],estoque[data],preçodiario[[#This Row],[data]])</f>
        <v>0</v>
      </c>
      <c r="X220" s="20">
        <f>SUMIFS(estoque[valor total],estoque[fornecedor],"&lt;&gt;saída",estoque[produto],preçodiario[[#Headers],[OVO BRANCO EXTRA]],estoque[data],preçodiario[[#This Row],[data]])</f>
        <v>0</v>
      </c>
      <c r="Y220" s="20">
        <f>IFERROR(preçodiario[[#This Row],[estoque E]]*preçodiario[[#This Row],[OVO BRANCO EXTRA]],0)</f>
        <v>723.37016643103414</v>
      </c>
      <c r="Z2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Row],[data]])),((Z219*AA219)+SUMIFS(estoque[valor total],estoque[produto],preçodiario[[#Headers],[OVO BRANCO JUMBO]],estoque[data],preçodiario[[#This Row],[data]],estoque[fornecedor],"&lt;&gt;saída"))/(AA219+(SUMIFS(estoque[quantidade],estoque[produto],preçodiario[[#Headers],[OVO BRANCO JUMBO]],estoque[fornecedor],"&lt;&gt;saída",estoque[data],preçodiario[[#This Row],[data]])))))</f>
        <v>16.50550595238095</v>
      </c>
      <c r="AA220" s="22">
        <f>IF(preçodiario[[#This Row],[entrada J]]=0,AA219-(SUMIFS(estoque[quantidade],estoque[fornecedor],"saída",estoque[produto],preçodiario[[#Headers],[OVO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Row],[data]]))+AA219+preçodiario[[#This Row],[entrada J]])</f>
        <v>75</v>
      </c>
      <c r="AB220" s="22">
        <f>SUMIFS(estoque[quantidade],estoque[fornecedor],"&lt;&gt;saída",estoque[produto],preçodiario[[#Headers],[OVO BRANCO JUMBO]],estoque[data],preçodiario[[#This Row],[data]])</f>
        <v>0</v>
      </c>
      <c r="AC220" s="20">
        <f>SUMIFS(estoque[valor total],estoque[fornecedor],"&lt;&gt;saída",estoque[produto],preçodiario[[#Headers],[OVO BRANCO JUMBO]],estoque[data],preçodiario[[#This Row],[data]])</f>
        <v>0</v>
      </c>
      <c r="AD220" s="20">
        <f>IFERROR(preçodiario[[#This Row],[OVO BRANCO JUMBO]]*preçodiario[[#This Row],[estoque J]],0)</f>
        <v>1237.9129464285713</v>
      </c>
      <c r="AE2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Row],[data]])),((AE219*AF219)+SUMIFS(estoque[valor total],estoque[produto],preçodiario[[#Headers],[OVO VERMELHO A]],estoque[data],preçodiario[[#This Row],[data]],estoque[fornecedor],"&lt;&gt;saída"))/(AF219+(SUMIFS(estoque[quantidade],estoque[produto],preçodiario[[#Headers],[OVO VERMELHO A]],estoque[fornecedor],"&lt;&gt;saída",estoque[data],preçodiario[[#This Row],[data]])))))</f>
        <v/>
      </c>
      <c r="AF220" s="22">
        <f>IF(preçodiario[[#This Row],[entrada AV]]=0,AF219-(SUMIFS(estoque[quantidade],estoque[fornecedor],"saída",estoque[produto],preçodiario[[#Headers],[OVO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Row],[data]]))+AF219+preçodiario[[#This Row],[entrada AV]])</f>
        <v>0</v>
      </c>
      <c r="AG220" s="22">
        <f>SUMIFS(estoque[quantidade],estoque[fornecedor],"&lt;&gt;saída",estoque[produto],preçodiario[[#Headers],[OVO VERMELHO A]],estoque[data],preçodiario[[#This Row],[data]])</f>
        <v>0</v>
      </c>
      <c r="AH220" s="20">
        <f>SUMIFS(estoque[valor total],estoque[fornecedor],"&lt;&gt;saída",estoque[produto],preçodiario[[#Headers],[OVO VERMELHO A]],estoque[data],preçodiario[[#This Row],[data]])</f>
        <v>0</v>
      </c>
      <c r="AI220" s="20">
        <f>IFERROR(preçodiario[[#This Row],[OVO VERMELHO A]]*preçodiario[[#This Row],[estoque AV]],0)</f>
        <v>0</v>
      </c>
      <c r="AJ2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Row],[data]])),((AJ219*AK219)+SUMIFS(estoque[valor total],estoque[produto],preçodiario[[#Headers],[OVO VERMELHO B]],estoque[data],preçodiario[[#This Row],[data]],estoque[fornecedor],"&lt;&gt;saída"))/(AK219+(SUMIFS(estoque[quantidade],estoque[produto],preçodiario[[#Headers],[OVO VERMELHO B]],estoque[fornecedor],"&lt;&gt;saída",estoque[data],preçodiario[[#This Row],[data]])))))</f>
        <v/>
      </c>
      <c r="AK220" s="22">
        <f>IF(preçodiario[[#This Row],[entrada BV]]=0,AK219-(SUMIFS(estoque[quantidade],estoque[fornecedor],"saída",estoque[produto],preçodiario[[#Headers],[OVO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Row],[data]]))+AK219+preçodiario[[#This Row],[entrada BV]])</f>
        <v>0</v>
      </c>
      <c r="AL220" s="22">
        <f>SUMIFS(estoque[quantidade],estoque[fornecedor],"&lt;&gt;saída",estoque[produto],preçodiario[[#Headers],[OVO VERMELHO B]],estoque[data],preçodiario[[#This Row],[data]])</f>
        <v>0</v>
      </c>
      <c r="AM220" s="20">
        <f>SUMIFS(estoque[valor total],estoque[fornecedor],"&lt;&gt;saída",estoque[produto],preçodiario[[#Headers],[OVO VERMELHO B]],estoque[data],preçodiario[[#This Row],[data]])</f>
        <v>0</v>
      </c>
      <c r="AN220" s="20">
        <f>IFERROR(preçodiario[[#This Row],[OVO VERMELHO B]]*preçodiario[[#This Row],[estoque BV]],0)</f>
        <v>0</v>
      </c>
      <c r="AO2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Row],[data]])),((AO219*AP219)+SUMIFS(estoque[valor total],estoque[produto],preçodiario[[#Headers],[OVO VERMELHO C]],estoque[data],preçodiario[[#This Row],[data]],estoque[fornecedor],"&lt;&gt;saída"))/(AP219+(SUMIFS(estoque[quantidade],estoque[produto],preçodiario[[#Headers],[OVO VERMELHO C]],estoque[fornecedor],"&lt;&gt;saída",estoque[data],preçodiario[[#This Row],[data]])))))</f>
        <v/>
      </c>
      <c r="AP220" s="22">
        <f>IF(preçodiario[[#This Row],[entrada CV]]=0,AP219-(SUMIFS(estoque[quantidade],estoque[fornecedor],"saída",estoque[produto],preçodiario[[#Headers],[OVO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Row],[data]]))+AP219+preçodiario[[#This Row],[entrada CV]])</f>
        <v>0</v>
      </c>
      <c r="AQ220" s="22">
        <f>SUMIFS(estoque[quantidade],estoque[fornecedor],"&lt;&gt;saída",estoque[produto],preçodiario[[#Headers],[OVO VERMELHO C]],estoque[data],preçodiario[[#This Row],[data]])</f>
        <v>0</v>
      </c>
      <c r="AR220" s="20">
        <f>SUMIFS(estoque[valor total],estoque[fornecedor],"&lt;&gt;saída",estoque[produto],preçodiario[[#Headers],[OVO VERMELHO C]],estoque[data],preçodiario[[#This Row],[data]])</f>
        <v>0</v>
      </c>
      <c r="AS220" s="20">
        <f>IFERROR(preçodiario[[#This Row],[OVO VERMELHO C]]*preçodiario[[#This Row],[estoque CV]],0)</f>
        <v>0</v>
      </c>
      <c r="AT2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Row],[data]])),((AT219*AU219)+SUMIFS(estoque[valor total],estoque[produto],preçodiario[[#Headers],[OVO VERMELHO EXTRA]],estoque[data],preçodiario[[#This Row],[data]],estoque[fornecedor],"&lt;&gt;saída"))/(AU219+(SUMIFS(estoque[quantidade],estoque[produto],preçodiario[[#Headers],[OVO VERMELHO EXTRA]],estoque[fornecedor],"&lt;&gt;saída",estoque[data],preçodiario[[#This Row],[data]])))))</f>
        <v/>
      </c>
      <c r="AU220" s="22">
        <f>IF(preçodiario[[#This Row],[entrada EV]]=0,AU219-(SUMIFS(estoque[quantidade],estoque[fornecedor],"saída",estoque[produto],preçodiario[[#Headers],[OVO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Row],[data]]))+AU219+preçodiario[[#This Row],[entrada EV]])</f>
        <v>0</v>
      </c>
      <c r="AV220" s="22">
        <f>SUMIFS(estoque[quantidade],estoque[fornecedor],"&lt;&gt;saída",estoque[produto],preçodiario[[#Headers],[OVO VERMELHO EXTRA]],estoque[data],preçodiario[[#This Row],[data]])</f>
        <v>0</v>
      </c>
      <c r="AW220" s="20">
        <f>SUMIFS(estoque[valor total],estoque[fornecedor],"&lt;&gt;saída",estoque[produto],preçodiario[[#Headers],[OVO VERMELHO EXTRA]],estoque[data],preçodiario[[#This Row],[data]])</f>
        <v>0</v>
      </c>
      <c r="AX220" s="20">
        <f>IFERROR(preçodiario[[#This Row],[OVO VERMELHO EXTRA]]*preçodiario[[#This Row],[estoque EV]],0)</f>
        <v>0</v>
      </c>
      <c r="AY2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Row],[data]])),((AY219*AZ219)+SUMIFS(estoque[valor total],estoque[produto],preçodiario[[#Headers],[OVO VERMELHO JUMBO]],estoque[data],preçodiario[[#This Row],[data]],estoque[fornecedor],"&lt;&gt;saída"))/(AZ219+(SUMIFS(estoque[quantidade],estoque[produto],preçodiario[[#Headers],[OVO VERMELHO JUMBO]],estoque[fornecedor],"&lt;&gt;saída",estoque[data],preçodiario[[#This Row],[data]])))))</f>
        <v/>
      </c>
      <c r="AZ220" s="22">
        <f>IF(preçodiario[[#This Row],[entrada JV]]=0,AZ219-(SUMIFS(estoque[quantidade],estoque[fornecedor],"saída",estoque[produto],preçodiario[[#Headers],[OVO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Row],[data]]))+AZ219+preçodiario[[#This Row],[entrada JV]])</f>
        <v>0</v>
      </c>
      <c r="BA220" s="22">
        <f>SUMIFS(estoque[quantidade],estoque[fornecedor],"&lt;&gt;saída",estoque[produto],preçodiario[[#Headers],[OVO VERMELHO JUMBO]],estoque[data],preçodiario[[#This Row],[data]])</f>
        <v>0</v>
      </c>
      <c r="BB220" s="20">
        <f>SUMIFS(estoque[valor total],estoque[fornecedor],"&lt;&gt;saída",estoque[produto],preçodiario[[#Headers],[OVO VERMELHO JUMBO]],estoque[data],preçodiario[[#This Row],[data]])</f>
        <v>0</v>
      </c>
      <c r="BC220" s="20">
        <f>IFERROR(preçodiario[[#This Row],[OVO VERMELHO JUMBO]]*preçodiario[[#This Row],[estoque JV]],0)</f>
        <v>0</v>
      </c>
      <c r="BD220" t="str">
        <f>TEXT(vendaAno[[#This Row],[data]],"mmm")</f>
        <v>ago</v>
      </c>
      <c r="BE220" t="str">
        <f>TEXT(vendaAno[[#This Row],[data]],"ddd")</f>
        <v>sex</v>
      </c>
      <c r="BF220" s="82">
        <f>WEEKNUM(vendaAno[[#This Row],[data]],13)</f>
        <v>32</v>
      </c>
      <c r="BG220" s="27">
        <f>preçodiario[[#This Row],[data]]</f>
        <v>46241</v>
      </c>
      <c r="BH2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Row],[data]]))/12+BJ219,"")</f>
        <v/>
      </c>
      <c r="BK220" s="79" t="str">
        <f ca="1">IF(TODAY()&gt;=vendaAno[[#This Row],[data]],IF(SUMIFS(estoque[quantidade],estoque[fornecedor],"saída",estoque[data],vendaAno[[#This Row],[data]])/12=0,AVERAGE(BK217:BK219),SUMIFS(estoque[quantidade],estoque[fornecedor],"saída",estoque[data],vendaAno[[#This Row],[data]])/12),"")</f>
        <v/>
      </c>
      <c r="BL220" s="8" t="str">
        <f ca="1">IF(vendaAno[[#This Row],[data]]&lt;=TODAY(),IF(SUMIFS(estoque[lucro],estoque[fornecedor],"saída",estoque[data],vendaAno[[#This Row],[data]])=0,AVERAGE(BL217:BL219),SUMIFS(estoque[lucro],estoque[fornecedor],"saída",estoque[data],vendaAno[[#This Row],[data]])),"")</f>
        <v/>
      </c>
      <c r="BM220" s="10" t="str">
        <f ca="1">IFERROR(vendaAno[[#This Row],[lucro]]/vendaAno[[#This Row],[valor de venda]],"")</f>
        <v/>
      </c>
      <c r="BN22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0" s="8" t="str">
        <f ca="1">IF(TODAY()&gt;=vendaAno[[#This Row],[data]],IF(vendaAno[[#This Row],[N°]]=BF219,vendaAno[[#This Row],[lucro]]-173.33+BO219,vendaAno[[#This Row],[lucro]]-150),"")</f>
        <v/>
      </c>
      <c r="BP220" s="81" t="str">
        <f ca="1">IF(TODAY()&gt;=vendaAno[[#This Row],[data]],SUM(BK214:BK220)*12,"")</f>
        <v/>
      </c>
      <c r="BQ220" s="7" t="str">
        <f ca="1">IFERROR(vendaAno[[#This Row],[lucro]]/(vendaAno[[#This Row],[venda]]*12),"")</f>
        <v/>
      </c>
    </row>
    <row r="221" spans="1:71" x14ac:dyDescent="0.25">
      <c r="A2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1" s="18" t="str">
        <f>TEXT(preçodiario[[#This Row],[data]],"MMM")</f>
        <v>ago</v>
      </c>
      <c r="C221" s="18" t="str">
        <f>TEXT(preçodiario[[#This Row],[data]],"ddd")</f>
        <v>sáb</v>
      </c>
      <c r="D221" s="96">
        <f>WEEKNUM(preçodiario[[#This Row],[data]],13)</f>
        <v>32</v>
      </c>
      <c r="E221" s="37">
        <v>46242</v>
      </c>
      <c r="F2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Row],[data]])),((F220*G220)+SUMIFS(estoque[valor total],estoque[produto],preçodiario[[#Headers],[OVO BRANCO A]],estoque[data],preçodiario[[#This Row],[data]],estoque[fornecedor],"&lt;&gt;saída"))/(G220+(SUMIFS(estoque[quantidade],estoque[produto],preçodiario[[#Headers],[OVO BRANCO A]],estoque[fornecedor],"&lt;&gt;saída",estoque[data],preçodiario[[#This Row],[data]])))))</f>
        <v>15.278182701652089</v>
      </c>
      <c r="G221" s="22">
        <f>IF(preçodiario[[#This Row],[entrada A]]=0,G220-(SUMIFS(estoque[quantidade],estoque[fornecedor],"saída",estoque[produto],preçodiario[[#Headers],[OVO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Row],[data]]))+G220+preçodiario[[#This Row],[entrada A]])</f>
        <v>133</v>
      </c>
      <c r="H221" s="22">
        <f>SUMIFS(estoque[quantidade],estoque[fornecedor],"&lt;&gt;saída",estoque[produto],preçodiario[[#Headers],[OVO BRANCO A]],estoque[data],preçodiario[[#This Row],[data]])</f>
        <v>0</v>
      </c>
      <c r="I221" s="20">
        <f>SUMIFS(estoque[valor total],estoque[fornecedor],"&lt;&gt;saída",estoque[produto],preçodiario[[#Headers],[OVO BRANCO A]],estoque[data],preçodiario[[#This Row],[data]])</f>
        <v>0</v>
      </c>
      <c r="J221" s="20">
        <f>IFERROR(preçodiario[[#This Row],[estoque A]]*preçodiario[[#This Row],[OVO BRANCO A]],0)</f>
        <v>2031.9982993197277</v>
      </c>
      <c r="K2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Row],[data]])),((K220*L220)+SUMIFS(estoque[valor total],estoque[produto],preçodiario[[#Headers],[OVO BRANCO B]],estoque[data],preçodiario[[#This Row],[data]],estoque[fornecedor],"&lt;&gt;saída"))/(L220+(SUMIFS(estoque[quantidade],estoque[produto],preçodiario[[#Headers],[OVO BRANCO B]],estoque[fornecedor],"&lt;&gt;saída",estoque[data],preçodiario[[#This Row],[data]])))))</f>
        <v>14.584252837326604</v>
      </c>
      <c r="L221" s="22">
        <f>IF(preçodiario[[#This Row],[entrada B]]=0,L220-(SUMIFS(estoque[quantidade],estoque[fornecedor],"saída",estoque[produto],preçodiario[[#Headers],[OVO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Row],[data]]))+L220+preçodiario[[#This Row],[entrada B]])</f>
        <v>16</v>
      </c>
      <c r="M221" s="22">
        <f>SUMIFS(estoque[quantidade],estoque[fornecedor],"&lt;&gt;saída",estoque[produto],preçodiario[[#Headers],[OVO BRANCO B]],estoque[data],preçodiario[[#This Row],[data]])</f>
        <v>0</v>
      </c>
      <c r="N221" s="20">
        <f>SUMIFS(estoque[valor total],estoque[fornecedor],"&lt;&gt;saída",estoque[produto],preçodiario[[#Headers],[OVO BRANCO B]],estoque[data],preçodiario[[#This Row],[data]])</f>
        <v>0</v>
      </c>
      <c r="O221" s="20">
        <f>IFERROR(preçodiario[[#This Row],[OVO BRANCO B]]*preçodiario[[#This Row],[estoque B]],0)</f>
        <v>233.34804539722566</v>
      </c>
      <c r="P2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Row],[data]])),((P220*Q220)+SUMIFS(estoque[valor total],estoque[produto],preçodiario[[#Headers],[OVO BRANCO C]],estoque[data],preçodiario[[#This Row],[data]],estoque[fornecedor],"&lt;&gt;saída"))/(Q220+(SUMIFS(estoque[quantidade],estoque[produto],preçodiario[[#Headers],[OVO BRANCO C]],estoque[fornecedor],"&lt;&gt;saída",estoque[data],preçodiario[[#This Row],[data]])))))</f>
        <v>12.5</v>
      </c>
      <c r="Q221" s="22">
        <f>IF(preçodiario[[#This Row],[entrada C]]=0,Q220-(SUMIFS(estoque[quantidade],estoque[fornecedor],"saída",estoque[produto],preçodiario[[#Headers],[OVO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Row],[data]]))+Q220+preçodiario[[#This Row],[entrada C]])</f>
        <v>60</v>
      </c>
      <c r="R221" s="22">
        <f>SUMIFS(estoque[quantidade],estoque[fornecedor],"&lt;&gt;saída",estoque[produto],preçodiario[[#Headers],[OVO BRANCO C]],estoque[data],preçodiario[[#This Row],[data]])</f>
        <v>0</v>
      </c>
      <c r="S221" s="20">
        <f>SUMIFS(estoque[valor total],estoque[fornecedor],"&lt;&gt;saída",estoque[produto],preçodiario[[#Headers],[OVO BRANCO C]],estoque[data],preçodiario[[#This Row],[data]])</f>
        <v>0</v>
      </c>
      <c r="T221" s="20">
        <f>IFERROR(preçodiario[[#This Row],[OVO BRANCO C]]*preçodiario[[#This Row],[estoque C]],0)</f>
        <v>750</v>
      </c>
      <c r="U2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Row],[data]])),((U220*V220)+SUMIFS(estoque[valor total],estoque[produto],preçodiario[[#Headers],[OVO BRANCO EXTRA]],estoque[data],preçodiario[[#This Row],[data]],estoque[fornecedor],"&lt;&gt;saída"))/(V220+(SUMIFS(estoque[quantidade],estoque[produto],preçodiario[[#Headers],[OVO BRANCO EXTRA]],estoque[fornecedor],"&lt;&gt;saída",estoque[data],preçodiario[[#This Row],[data]])))))</f>
        <v>15.725438400674655</v>
      </c>
      <c r="V221" s="22">
        <f>IF(preçodiario[[#This Row],[entrada E]]=0,V220-(SUMIFS(estoque[quantidade],estoque[fornecedor],"saída",estoque[produto],preçodiario[[#Headers],[OVO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Row],[data]]))+V220+preçodiario[[#This Row],[entrada E]])</f>
        <v>46</v>
      </c>
      <c r="W221" s="22">
        <f>SUMIFS(estoque[quantidade],estoque[fornecedor],"&lt;&gt;saída",estoque[produto],preçodiario[[#Headers],[OVO BRANCO EXTRA]],estoque[data],preçodiario[[#This Row],[data]])</f>
        <v>0</v>
      </c>
      <c r="X221" s="20">
        <f>SUMIFS(estoque[valor total],estoque[fornecedor],"&lt;&gt;saída",estoque[produto],preçodiario[[#Headers],[OVO BRANCO EXTRA]],estoque[data],preçodiario[[#This Row],[data]])</f>
        <v>0</v>
      </c>
      <c r="Y221" s="20">
        <f>IFERROR(preçodiario[[#This Row],[estoque E]]*preçodiario[[#This Row],[OVO BRANCO EXTRA]],0)</f>
        <v>723.37016643103414</v>
      </c>
      <c r="Z2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Row],[data]])),((Z220*AA220)+SUMIFS(estoque[valor total],estoque[produto],preçodiario[[#Headers],[OVO BRANCO JUMBO]],estoque[data],preçodiario[[#This Row],[data]],estoque[fornecedor],"&lt;&gt;saída"))/(AA220+(SUMIFS(estoque[quantidade],estoque[produto],preçodiario[[#Headers],[OVO BRANCO JUMBO]],estoque[fornecedor],"&lt;&gt;saída",estoque[data],preçodiario[[#This Row],[data]])))))</f>
        <v>16.50550595238095</v>
      </c>
      <c r="AA221" s="22">
        <f>IF(preçodiario[[#This Row],[entrada J]]=0,AA220-(SUMIFS(estoque[quantidade],estoque[fornecedor],"saída",estoque[produto],preçodiario[[#Headers],[OVO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Row],[data]]))+AA220+preçodiario[[#This Row],[entrada J]])</f>
        <v>75</v>
      </c>
      <c r="AB221" s="22">
        <f>SUMIFS(estoque[quantidade],estoque[fornecedor],"&lt;&gt;saída",estoque[produto],preçodiario[[#Headers],[OVO BRANCO JUMBO]],estoque[data],preçodiario[[#This Row],[data]])</f>
        <v>0</v>
      </c>
      <c r="AC221" s="20">
        <f>SUMIFS(estoque[valor total],estoque[fornecedor],"&lt;&gt;saída",estoque[produto],preçodiario[[#Headers],[OVO BRANCO JUMBO]],estoque[data],preçodiario[[#This Row],[data]])</f>
        <v>0</v>
      </c>
      <c r="AD221" s="20">
        <f>IFERROR(preçodiario[[#This Row],[OVO BRANCO JUMBO]]*preçodiario[[#This Row],[estoque J]],0)</f>
        <v>1237.9129464285713</v>
      </c>
      <c r="AE2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Row],[data]])),((AE220*AF220)+SUMIFS(estoque[valor total],estoque[produto],preçodiario[[#Headers],[OVO VERMELHO A]],estoque[data],preçodiario[[#This Row],[data]],estoque[fornecedor],"&lt;&gt;saída"))/(AF220+(SUMIFS(estoque[quantidade],estoque[produto],preçodiario[[#Headers],[OVO VERMELHO A]],estoque[fornecedor],"&lt;&gt;saída",estoque[data],preçodiario[[#This Row],[data]])))))</f>
        <v/>
      </c>
      <c r="AF221" s="22">
        <f>IF(preçodiario[[#This Row],[entrada AV]]=0,AF220-(SUMIFS(estoque[quantidade],estoque[fornecedor],"saída",estoque[produto],preçodiario[[#Headers],[OVO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Row],[data]]))+AF220+preçodiario[[#This Row],[entrada AV]])</f>
        <v>0</v>
      </c>
      <c r="AG221" s="22">
        <f>SUMIFS(estoque[quantidade],estoque[fornecedor],"&lt;&gt;saída",estoque[produto],preçodiario[[#Headers],[OVO VERMELHO A]],estoque[data],preçodiario[[#This Row],[data]])</f>
        <v>0</v>
      </c>
      <c r="AH221" s="20">
        <f>SUMIFS(estoque[valor total],estoque[fornecedor],"&lt;&gt;saída",estoque[produto],preçodiario[[#Headers],[OVO VERMELHO A]],estoque[data],preçodiario[[#This Row],[data]])</f>
        <v>0</v>
      </c>
      <c r="AI221" s="20">
        <f>IFERROR(preçodiario[[#This Row],[OVO VERMELHO A]]*preçodiario[[#This Row],[estoque AV]],0)</f>
        <v>0</v>
      </c>
      <c r="AJ2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Row],[data]])),((AJ220*AK220)+SUMIFS(estoque[valor total],estoque[produto],preçodiario[[#Headers],[OVO VERMELHO B]],estoque[data],preçodiario[[#This Row],[data]],estoque[fornecedor],"&lt;&gt;saída"))/(AK220+(SUMIFS(estoque[quantidade],estoque[produto],preçodiario[[#Headers],[OVO VERMELHO B]],estoque[fornecedor],"&lt;&gt;saída",estoque[data],preçodiario[[#This Row],[data]])))))</f>
        <v/>
      </c>
      <c r="AK221" s="22">
        <f>IF(preçodiario[[#This Row],[entrada BV]]=0,AK220-(SUMIFS(estoque[quantidade],estoque[fornecedor],"saída",estoque[produto],preçodiario[[#Headers],[OVO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Row],[data]]))+AK220+preçodiario[[#This Row],[entrada BV]])</f>
        <v>0</v>
      </c>
      <c r="AL221" s="22">
        <f>SUMIFS(estoque[quantidade],estoque[fornecedor],"&lt;&gt;saída",estoque[produto],preçodiario[[#Headers],[OVO VERMELHO B]],estoque[data],preçodiario[[#This Row],[data]])</f>
        <v>0</v>
      </c>
      <c r="AM221" s="20">
        <f>SUMIFS(estoque[valor total],estoque[fornecedor],"&lt;&gt;saída",estoque[produto],preçodiario[[#Headers],[OVO VERMELHO B]],estoque[data],preçodiario[[#This Row],[data]])</f>
        <v>0</v>
      </c>
      <c r="AN221" s="20">
        <f>IFERROR(preçodiario[[#This Row],[OVO VERMELHO B]]*preçodiario[[#This Row],[estoque BV]],0)</f>
        <v>0</v>
      </c>
      <c r="AO2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Row],[data]])),((AO220*AP220)+SUMIFS(estoque[valor total],estoque[produto],preçodiario[[#Headers],[OVO VERMELHO C]],estoque[data],preçodiario[[#This Row],[data]],estoque[fornecedor],"&lt;&gt;saída"))/(AP220+(SUMIFS(estoque[quantidade],estoque[produto],preçodiario[[#Headers],[OVO VERMELHO C]],estoque[fornecedor],"&lt;&gt;saída",estoque[data],preçodiario[[#This Row],[data]])))))</f>
        <v/>
      </c>
      <c r="AP221" s="22">
        <f>IF(preçodiario[[#This Row],[entrada CV]]=0,AP220-(SUMIFS(estoque[quantidade],estoque[fornecedor],"saída",estoque[produto],preçodiario[[#Headers],[OVO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Row],[data]]))+AP220+preçodiario[[#This Row],[entrada CV]])</f>
        <v>0</v>
      </c>
      <c r="AQ221" s="22">
        <f>SUMIFS(estoque[quantidade],estoque[fornecedor],"&lt;&gt;saída",estoque[produto],preçodiario[[#Headers],[OVO VERMELHO C]],estoque[data],preçodiario[[#This Row],[data]])</f>
        <v>0</v>
      </c>
      <c r="AR221" s="20">
        <f>SUMIFS(estoque[valor total],estoque[fornecedor],"&lt;&gt;saída",estoque[produto],preçodiario[[#Headers],[OVO VERMELHO C]],estoque[data],preçodiario[[#This Row],[data]])</f>
        <v>0</v>
      </c>
      <c r="AS221" s="20">
        <f>IFERROR(preçodiario[[#This Row],[OVO VERMELHO C]]*preçodiario[[#This Row],[estoque CV]],0)</f>
        <v>0</v>
      </c>
      <c r="AT2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Row],[data]])),((AT220*AU220)+SUMIFS(estoque[valor total],estoque[produto],preçodiario[[#Headers],[OVO VERMELHO EXTRA]],estoque[data],preçodiario[[#This Row],[data]],estoque[fornecedor],"&lt;&gt;saída"))/(AU220+(SUMIFS(estoque[quantidade],estoque[produto],preçodiario[[#Headers],[OVO VERMELHO EXTRA]],estoque[fornecedor],"&lt;&gt;saída",estoque[data],preçodiario[[#This Row],[data]])))))</f>
        <v/>
      </c>
      <c r="AU221" s="22">
        <f>IF(preçodiario[[#This Row],[entrada EV]]=0,AU220-(SUMIFS(estoque[quantidade],estoque[fornecedor],"saída",estoque[produto],preçodiario[[#Headers],[OVO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Row],[data]]))+AU220+preçodiario[[#This Row],[entrada EV]])</f>
        <v>0</v>
      </c>
      <c r="AV221" s="22">
        <f>SUMIFS(estoque[quantidade],estoque[fornecedor],"&lt;&gt;saída",estoque[produto],preçodiario[[#Headers],[OVO VERMELHO EXTRA]],estoque[data],preçodiario[[#This Row],[data]])</f>
        <v>0</v>
      </c>
      <c r="AW221" s="20">
        <f>SUMIFS(estoque[valor total],estoque[fornecedor],"&lt;&gt;saída",estoque[produto],preçodiario[[#Headers],[OVO VERMELHO EXTRA]],estoque[data],preçodiario[[#This Row],[data]])</f>
        <v>0</v>
      </c>
      <c r="AX221" s="20">
        <f>IFERROR(preçodiario[[#This Row],[OVO VERMELHO EXTRA]]*preçodiario[[#This Row],[estoque EV]],0)</f>
        <v>0</v>
      </c>
      <c r="AY2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Row],[data]])),((AY220*AZ220)+SUMIFS(estoque[valor total],estoque[produto],preçodiario[[#Headers],[OVO VERMELHO JUMBO]],estoque[data],preçodiario[[#This Row],[data]],estoque[fornecedor],"&lt;&gt;saída"))/(AZ220+(SUMIFS(estoque[quantidade],estoque[produto],preçodiario[[#Headers],[OVO VERMELHO JUMBO]],estoque[fornecedor],"&lt;&gt;saída",estoque[data],preçodiario[[#This Row],[data]])))))</f>
        <v/>
      </c>
      <c r="AZ221" s="22">
        <f>IF(preçodiario[[#This Row],[entrada JV]]=0,AZ220-(SUMIFS(estoque[quantidade],estoque[fornecedor],"saída",estoque[produto],preçodiario[[#Headers],[OVO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Row],[data]]))+AZ220+preçodiario[[#This Row],[entrada JV]])</f>
        <v>0</v>
      </c>
      <c r="BA221" s="22">
        <f>SUMIFS(estoque[quantidade],estoque[fornecedor],"&lt;&gt;saída",estoque[produto],preçodiario[[#Headers],[OVO VERMELHO JUMBO]],estoque[data],preçodiario[[#This Row],[data]])</f>
        <v>0</v>
      </c>
      <c r="BB221" s="20">
        <f>SUMIFS(estoque[valor total],estoque[fornecedor],"&lt;&gt;saída",estoque[produto],preçodiario[[#Headers],[OVO VERMELHO JUMBO]],estoque[data],preçodiario[[#This Row],[data]])</f>
        <v>0</v>
      </c>
      <c r="BC221" s="20">
        <f>IFERROR(preçodiario[[#This Row],[OVO VERMELHO JUMBO]]*preçodiario[[#This Row],[estoque JV]],0)</f>
        <v>0</v>
      </c>
      <c r="BD221" t="str">
        <f>TEXT(vendaAno[[#This Row],[data]],"mmm")</f>
        <v>ago</v>
      </c>
      <c r="BE221" t="str">
        <f>TEXT(vendaAno[[#This Row],[data]],"ddd")</f>
        <v>sáb</v>
      </c>
      <c r="BF221" s="82">
        <f>WEEKNUM(vendaAno[[#This Row],[data]],13)</f>
        <v>32</v>
      </c>
      <c r="BG221" s="27">
        <f>preçodiario[[#This Row],[data]]</f>
        <v>46242</v>
      </c>
      <c r="BH2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Row],[data]]))/12+BJ220,"")</f>
        <v/>
      </c>
      <c r="BK221" s="79" t="str">
        <f ca="1">IF(TODAY()&gt;=vendaAno[[#This Row],[data]],IF(SUMIFS(estoque[quantidade],estoque[fornecedor],"saída",estoque[data],vendaAno[[#This Row],[data]])/12=0,AVERAGE(BK218:BK220),SUMIFS(estoque[quantidade],estoque[fornecedor],"saída",estoque[data],vendaAno[[#This Row],[data]])/12),"")</f>
        <v/>
      </c>
      <c r="BL221" s="8" t="str">
        <f ca="1">IF(vendaAno[[#This Row],[data]]&lt;=TODAY(),IF(SUMIFS(estoque[lucro],estoque[fornecedor],"saída",estoque[data],vendaAno[[#This Row],[data]])=0,AVERAGE(BL218:BL220),SUMIFS(estoque[lucro],estoque[fornecedor],"saída",estoque[data],vendaAno[[#This Row],[data]])),"")</f>
        <v/>
      </c>
      <c r="BM221" s="10" t="str">
        <f ca="1">IFERROR(vendaAno[[#This Row],[lucro]]/vendaAno[[#This Row],[valor de venda]],"")</f>
        <v/>
      </c>
      <c r="BN22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1" s="8" t="str">
        <f ca="1">IF(TODAY()&gt;=vendaAno[[#This Row],[data]],IF(vendaAno[[#This Row],[N°]]=BF220,vendaAno[[#This Row],[lucro]]-173.33+BO220,vendaAno[[#This Row],[lucro]]-150),"")</f>
        <v/>
      </c>
      <c r="BP221" s="81" t="str">
        <f ca="1">IF(TODAY()&gt;=vendaAno[[#This Row],[data]],SUM(BK215:BK221)*12,"")</f>
        <v/>
      </c>
      <c r="BQ221" s="7" t="str">
        <f ca="1">IFERROR(vendaAno[[#This Row],[lucro]]/(vendaAno[[#This Row],[venda]]*12),"")</f>
        <v/>
      </c>
    </row>
    <row r="222" spans="1:71" x14ac:dyDescent="0.25">
      <c r="A2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2" s="18" t="str">
        <f>TEXT(preçodiario[[#This Row],[data]],"MMM")</f>
        <v>ago</v>
      </c>
      <c r="C222" s="18" t="str">
        <f>TEXT(preçodiario[[#This Row],[data]],"ddd")</f>
        <v>dom</v>
      </c>
      <c r="D222" s="96">
        <f>WEEKNUM(preçodiario[[#This Row],[data]],13)</f>
        <v>32</v>
      </c>
      <c r="E222" s="37">
        <v>46243</v>
      </c>
      <c r="F2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Row],[data]])),((F221*G221)+SUMIFS(estoque[valor total],estoque[produto],preçodiario[[#Headers],[OVO BRANCO A]],estoque[data],preçodiario[[#This Row],[data]],estoque[fornecedor],"&lt;&gt;saída"))/(G221+(SUMIFS(estoque[quantidade],estoque[produto],preçodiario[[#Headers],[OVO BRANCO A]],estoque[fornecedor],"&lt;&gt;saída",estoque[data],preçodiario[[#This Row],[data]])))))</f>
        <v>15.278182701652089</v>
      </c>
      <c r="G222" s="22">
        <f>IF(preçodiario[[#This Row],[entrada A]]=0,G221-(SUMIFS(estoque[quantidade],estoque[fornecedor],"saída",estoque[produto],preçodiario[[#Headers],[OVO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Row],[data]]))+G221+preçodiario[[#This Row],[entrada A]])</f>
        <v>133</v>
      </c>
      <c r="H222" s="22">
        <f>SUMIFS(estoque[quantidade],estoque[fornecedor],"&lt;&gt;saída",estoque[produto],preçodiario[[#Headers],[OVO BRANCO A]],estoque[data],preçodiario[[#This Row],[data]])</f>
        <v>0</v>
      </c>
      <c r="I222" s="20">
        <f>SUMIFS(estoque[valor total],estoque[fornecedor],"&lt;&gt;saída",estoque[produto],preçodiario[[#Headers],[OVO BRANCO A]],estoque[data],preçodiario[[#This Row],[data]])</f>
        <v>0</v>
      </c>
      <c r="J222" s="20">
        <f>IFERROR(preçodiario[[#This Row],[estoque A]]*preçodiario[[#This Row],[OVO BRANCO A]],0)</f>
        <v>2031.9982993197277</v>
      </c>
      <c r="K2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Row],[data]])),((K221*L221)+SUMIFS(estoque[valor total],estoque[produto],preçodiario[[#Headers],[OVO BRANCO B]],estoque[data],preçodiario[[#This Row],[data]],estoque[fornecedor],"&lt;&gt;saída"))/(L221+(SUMIFS(estoque[quantidade],estoque[produto],preçodiario[[#Headers],[OVO BRANCO B]],estoque[fornecedor],"&lt;&gt;saída",estoque[data],preçodiario[[#This Row],[data]])))))</f>
        <v>14.584252837326604</v>
      </c>
      <c r="L222" s="22">
        <f>IF(preçodiario[[#This Row],[entrada B]]=0,L221-(SUMIFS(estoque[quantidade],estoque[fornecedor],"saída",estoque[produto],preçodiario[[#Headers],[OVO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Row],[data]]))+L221+preçodiario[[#This Row],[entrada B]])</f>
        <v>16</v>
      </c>
      <c r="M222" s="22">
        <f>SUMIFS(estoque[quantidade],estoque[fornecedor],"&lt;&gt;saída",estoque[produto],preçodiario[[#Headers],[OVO BRANCO B]],estoque[data],preçodiario[[#This Row],[data]])</f>
        <v>0</v>
      </c>
      <c r="N222" s="20">
        <f>SUMIFS(estoque[valor total],estoque[fornecedor],"&lt;&gt;saída",estoque[produto],preçodiario[[#Headers],[OVO BRANCO B]],estoque[data],preçodiario[[#This Row],[data]])</f>
        <v>0</v>
      </c>
      <c r="O222" s="20">
        <f>IFERROR(preçodiario[[#This Row],[OVO BRANCO B]]*preçodiario[[#This Row],[estoque B]],0)</f>
        <v>233.34804539722566</v>
      </c>
      <c r="P2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Row],[data]])),((P221*Q221)+SUMIFS(estoque[valor total],estoque[produto],preçodiario[[#Headers],[OVO BRANCO C]],estoque[data],preçodiario[[#This Row],[data]],estoque[fornecedor],"&lt;&gt;saída"))/(Q221+(SUMIFS(estoque[quantidade],estoque[produto],preçodiario[[#Headers],[OVO BRANCO C]],estoque[fornecedor],"&lt;&gt;saída",estoque[data],preçodiario[[#This Row],[data]])))))</f>
        <v>12.5</v>
      </c>
      <c r="Q222" s="22">
        <f>IF(preçodiario[[#This Row],[entrada C]]=0,Q221-(SUMIFS(estoque[quantidade],estoque[fornecedor],"saída",estoque[produto],preçodiario[[#Headers],[OVO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Row],[data]]))+Q221+preçodiario[[#This Row],[entrada C]])</f>
        <v>60</v>
      </c>
      <c r="R222" s="22">
        <f>SUMIFS(estoque[quantidade],estoque[fornecedor],"&lt;&gt;saída",estoque[produto],preçodiario[[#Headers],[OVO BRANCO C]],estoque[data],preçodiario[[#This Row],[data]])</f>
        <v>0</v>
      </c>
      <c r="S222" s="20">
        <f>SUMIFS(estoque[valor total],estoque[fornecedor],"&lt;&gt;saída",estoque[produto],preçodiario[[#Headers],[OVO BRANCO C]],estoque[data],preçodiario[[#This Row],[data]])</f>
        <v>0</v>
      </c>
      <c r="T222" s="20">
        <f>IFERROR(preçodiario[[#This Row],[OVO BRANCO C]]*preçodiario[[#This Row],[estoque C]],0)</f>
        <v>750</v>
      </c>
      <c r="U2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Row],[data]])),((U221*V221)+SUMIFS(estoque[valor total],estoque[produto],preçodiario[[#Headers],[OVO BRANCO EXTRA]],estoque[data],preçodiario[[#This Row],[data]],estoque[fornecedor],"&lt;&gt;saída"))/(V221+(SUMIFS(estoque[quantidade],estoque[produto],preçodiario[[#Headers],[OVO BRANCO EXTRA]],estoque[fornecedor],"&lt;&gt;saída",estoque[data],preçodiario[[#This Row],[data]])))))</f>
        <v>15.725438400674655</v>
      </c>
      <c r="V222" s="22">
        <f>IF(preçodiario[[#This Row],[entrada E]]=0,V221-(SUMIFS(estoque[quantidade],estoque[fornecedor],"saída",estoque[produto],preçodiario[[#Headers],[OVO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Row],[data]]))+V221+preçodiario[[#This Row],[entrada E]])</f>
        <v>46</v>
      </c>
      <c r="W222" s="22">
        <f>SUMIFS(estoque[quantidade],estoque[fornecedor],"&lt;&gt;saída",estoque[produto],preçodiario[[#Headers],[OVO BRANCO EXTRA]],estoque[data],preçodiario[[#This Row],[data]])</f>
        <v>0</v>
      </c>
      <c r="X222" s="20">
        <f>SUMIFS(estoque[valor total],estoque[fornecedor],"&lt;&gt;saída",estoque[produto],preçodiario[[#Headers],[OVO BRANCO EXTRA]],estoque[data],preçodiario[[#This Row],[data]])</f>
        <v>0</v>
      </c>
      <c r="Y222" s="20">
        <f>IFERROR(preçodiario[[#This Row],[estoque E]]*preçodiario[[#This Row],[OVO BRANCO EXTRA]],0)</f>
        <v>723.37016643103414</v>
      </c>
      <c r="Z2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Row],[data]])),((Z221*AA221)+SUMIFS(estoque[valor total],estoque[produto],preçodiario[[#Headers],[OVO BRANCO JUMBO]],estoque[data],preçodiario[[#This Row],[data]],estoque[fornecedor],"&lt;&gt;saída"))/(AA221+(SUMIFS(estoque[quantidade],estoque[produto],preçodiario[[#Headers],[OVO BRANCO JUMBO]],estoque[fornecedor],"&lt;&gt;saída",estoque[data],preçodiario[[#This Row],[data]])))))</f>
        <v>16.50550595238095</v>
      </c>
      <c r="AA222" s="22">
        <f>IF(preçodiario[[#This Row],[entrada J]]=0,AA221-(SUMIFS(estoque[quantidade],estoque[fornecedor],"saída",estoque[produto],preçodiario[[#Headers],[OVO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Row],[data]]))+AA221+preçodiario[[#This Row],[entrada J]])</f>
        <v>75</v>
      </c>
      <c r="AB222" s="22">
        <f>SUMIFS(estoque[quantidade],estoque[fornecedor],"&lt;&gt;saída",estoque[produto],preçodiario[[#Headers],[OVO BRANCO JUMBO]],estoque[data],preçodiario[[#This Row],[data]])</f>
        <v>0</v>
      </c>
      <c r="AC222" s="20">
        <f>SUMIFS(estoque[valor total],estoque[fornecedor],"&lt;&gt;saída",estoque[produto],preçodiario[[#Headers],[OVO BRANCO JUMBO]],estoque[data],preçodiario[[#This Row],[data]])</f>
        <v>0</v>
      </c>
      <c r="AD222" s="20">
        <f>IFERROR(preçodiario[[#This Row],[OVO BRANCO JUMBO]]*preçodiario[[#This Row],[estoque J]],0)</f>
        <v>1237.9129464285713</v>
      </c>
      <c r="AE2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Row],[data]])),((AE221*AF221)+SUMIFS(estoque[valor total],estoque[produto],preçodiario[[#Headers],[OVO VERMELHO A]],estoque[data],preçodiario[[#This Row],[data]],estoque[fornecedor],"&lt;&gt;saída"))/(AF221+(SUMIFS(estoque[quantidade],estoque[produto],preçodiario[[#Headers],[OVO VERMELHO A]],estoque[fornecedor],"&lt;&gt;saída",estoque[data],preçodiario[[#This Row],[data]])))))</f>
        <v/>
      </c>
      <c r="AF222" s="22">
        <f>IF(preçodiario[[#This Row],[entrada AV]]=0,AF221-(SUMIFS(estoque[quantidade],estoque[fornecedor],"saída",estoque[produto],preçodiario[[#Headers],[OVO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Row],[data]]))+AF221+preçodiario[[#This Row],[entrada AV]])</f>
        <v>0</v>
      </c>
      <c r="AG222" s="22">
        <f>SUMIFS(estoque[quantidade],estoque[fornecedor],"&lt;&gt;saída",estoque[produto],preçodiario[[#Headers],[OVO VERMELHO A]],estoque[data],preçodiario[[#This Row],[data]])</f>
        <v>0</v>
      </c>
      <c r="AH222" s="20">
        <f>SUMIFS(estoque[valor total],estoque[fornecedor],"&lt;&gt;saída",estoque[produto],preçodiario[[#Headers],[OVO VERMELHO A]],estoque[data],preçodiario[[#This Row],[data]])</f>
        <v>0</v>
      </c>
      <c r="AI222" s="20">
        <f>IFERROR(preçodiario[[#This Row],[OVO VERMELHO A]]*preçodiario[[#This Row],[estoque AV]],0)</f>
        <v>0</v>
      </c>
      <c r="AJ2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Row],[data]])),((AJ221*AK221)+SUMIFS(estoque[valor total],estoque[produto],preçodiario[[#Headers],[OVO VERMELHO B]],estoque[data],preçodiario[[#This Row],[data]],estoque[fornecedor],"&lt;&gt;saída"))/(AK221+(SUMIFS(estoque[quantidade],estoque[produto],preçodiario[[#Headers],[OVO VERMELHO B]],estoque[fornecedor],"&lt;&gt;saída",estoque[data],preçodiario[[#This Row],[data]])))))</f>
        <v/>
      </c>
      <c r="AK222" s="22">
        <f>IF(preçodiario[[#This Row],[entrada BV]]=0,AK221-(SUMIFS(estoque[quantidade],estoque[fornecedor],"saída",estoque[produto],preçodiario[[#Headers],[OVO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Row],[data]]))+AK221+preçodiario[[#This Row],[entrada BV]])</f>
        <v>0</v>
      </c>
      <c r="AL222" s="22">
        <f>SUMIFS(estoque[quantidade],estoque[fornecedor],"&lt;&gt;saída",estoque[produto],preçodiario[[#Headers],[OVO VERMELHO B]],estoque[data],preçodiario[[#This Row],[data]])</f>
        <v>0</v>
      </c>
      <c r="AM222" s="20">
        <f>SUMIFS(estoque[valor total],estoque[fornecedor],"&lt;&gt;saída",estoque[produto],preçodiario[[#Headers],[OVO VERMELHO B]],estoque[data],preçodiario[[#This Row],[data]])</f>
        <v>0</v>
      </c>
      <c r="AN222" s="20">
        <f>IFERROR(preçodiario[[#This Row],[OVO VERMELHO B]]*preçodiario[[#This Row],[estoque BV]],0)</f>
        <v>0</v>
      </c>
      <c r="AO2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Row],[data]])),((AO221*AP221)+SUMIFS(estoque[valor total],estoque[produto],preçodiario[[#Headers],[OVO VERMELHO C]],estoque[data],preçodiario[[#This Row],[data]],estoque[fornecedor],"&lt;&gt;saída"))/(AP221+(SUMIFS(estoque[quantidade],estoque[produto],preçodiario[[#Headers],[OVO VERMELHO C]],estoque[fornecedor],"&lt;&gt;saída",estoque[data],preçodiario[[#This Row],[data]])))))</f>
        <v/>
      </c>
      <c r="AP222" s="22">
        <f>IF(preçodiario[[#This Row],[entrada CV]]=0,AP221-(SUMIFS(estoque[quantidade],estoque[fornecedor],"saída",estoque[produto],preçodiario[[#Headers],[OVO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Row],[data]]))+AP221+preçodiario[[#This Row],[entrada CV]])</f>
        <v>0</v>
      </c>
      <c r="AQ222" s="22">
        <f>SUMIFS(estoque[quantidade],estoque[fornecedor],"&lt;&gt;saída",estoque[produto],preçodiario[[#Headers],[OVO VERMELHO C]],estoque[data],preçodiario[[#This Row],[data]])</f>
        <v>0</v>
      </c>
      <c r="AR222" s="20">
        <f>SUMIFS(estoque[valor total],estoque[fornecedor],"&lt;&gt;saída",estoque[produto],preçodiario[[#Headers],[OVO VERMELHO C]],estoque[data],preçodiario[[#This Row],[data]])</f>
        <v>0</v>
      </c>
      <c r="AS222" s="20">
        <f>IFERROR(preçodiario[[#This Row],[OVO VERMELHO C]]*preçodiario[[#This Row],[estoque CV]],0)</f>
        <v>0</v>
      </c>
      <c r="AT2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Row],[data]])),((AT221*AU221)+SUMIFS(estoque[valor total],estoque[produto],preçodiario[[#Headers],[OVO VERMELHO EXTRA]],estoque[data],preçodiario[[#This Row],[data]],estoque[fornecedor],"&lt;&gt;saída"))/(AU221+(SUMIFS(estoque[quantidade],estoque[produto],preçodiario[[#Headers],[OVO VERMELHO EXTRA]],estoque[fornecedor],"&lt;&gt;saída",estoque[data],preçodiario[[#This Row],[data]])))))</f>
        <v/>
      </c>
      <c r="AU222" s="22">
        <f>IF(preçodiario[[#This Row],[entrada EV]]=0,AU221-(SUMIFS(estoque[quantidade],estoque[fornecedor],"saída",estoque[produto],preçodiario[[#Headers],[OVO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Row],[data]]))+AU221+preçodiario[[#This Row],[entrada EV]])</f>
        <v>0</v>
      </c>
      <c r="AV222" s="22">
        <f>SUMIFS(estoque[quantidade],estoque[fornecedor],"&lt;&gt;saída",estoque[produto],preçodiario[[#Headers],[OVO VERMELHO EXTRA]],estoque[data],preçodiario[[#This Row],[data]])</f>
        <v>0</v>
      </c>
      <c r="AW222" s="20">
        <f>SUMIFS(estoque[valor total],estoque[fornecedor],"&lt;&gt;saída",estoque[produto],preçodiario[[#Headers],[OVO VERMELHO EXTRA]],estoque[data],preçodiario[[#This Row],[data]])</f>
        <v>0</v>
      </c>
      <c r="AX222" s="20">
        <f>IFERROR(preçodiario[[#This Row],[OVO VERMELHO EXTRA]]*preçodiario[[#This Row],[estoque EV]],0)</f>
        <v>0</v>
      </c>
      <c r="AY2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Row],[data]])),((AY221*AZ221)+SUMIFS(estoque[valor total],estoque[produto],preçodiario[[#Headers],[OVO VERMELHO JUMBO]],estoque[data],preçodiario[[#This Row],[data]],estoque[fornecedor],"&lt;&gt;saída"))/(AZ221+(SUMIFS(estoque[quantidade],estoque[produto],preçodiario[[#Headers],[OVO VERMELHO JUMBO]],estoque[fornecedor],"&lt;&gt;saída",estoque[data],preçodiario[[#This Row],[data]])))))</f>
        <v/>
      </c>
      <c r="AZ222" s="22">
        <f>IF(preçodiario[[#This Row],[entrada JV]]=0,AZ221-(SUMIFS(estoque[quantidade],estoque[fornecedor],"saída",estoque[produto],preçodiario[[#Headers],[OVO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Row],[data]]))+AZ221+preçodiario[[#This Row],[entrada JV]])</f>
        <v>0</v>
      </c>
      <c r="BA222" s="22">
        <f>SUMIFS(estoque[quantidade],estoque[fornecedor],"&lt;&gt;saída",estoque[produto],preçodiario[[#Headers],[OVO VERMELHO JUMBO]],estoque[data],preçodiario[[#This Row],[data]])</f>
        <v>0</v>
      </c>
      <c r="BB222" s="20">
        <f>SUMIFS(estoque[valor total],estoque[fornecedor],"&lt;&gt;saída",estoque[produto],preçodiario[[#Headers],[OVO VERMELHO JUMBO]],estoque[data],preçodiario[[#This Row],[data]])</f>
        <v>0</v>
      </c>
      <c r="BC222" s="20">
        <f>IFERROR(preçodiario[[#This Row],[OVO VERMELHO JUMBO]]*preçodiario[[#This Row],[estoque JV]],0)</f>
        <v>0</v>
      </c>
      <c r="BD222" t="str">
        <f>TEXT(vendaAno[[#This Row],[data]],"mmm")</f>
        <v>ago</v>
      </c>
      <c r="BE222" t="str">
        <f>TEXT(vendaAno[[#This Row],[data]],"ddd")</f>
        <v>dom</v>
      </c>
      <c r="BF222" s="82">
        <f>WEEKNUM(vendaAno[[#This Row],[data]],13)</f>
        <v>32</v>
      </c>
      <c r="BG222" s="27">
        <f>preçodiario[[#This Row],[data]]</f>
        <v>46243</v>
      </c>
      <c r="BH2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Row],[data]]))/12+BJ221,"")</f>
        <v/>
      </c>
      <c r="BK222" s="79" t="str">
        <f ca="1">IF(TODAY()&gt;=vendaAno[[#This Row],[data]],IF(SUMIFS(estoque[quantidade],estoque[fornecedor],"saída",estoque[data],vendaAno[[#This Row],[data]])/12=0,AVERAGE(BK219:BK221),SUMIFS(estoque[quantidade],estoque[fornecedor],"saída",estoque[data],vendaAno[[#This Row],[data]])/12),"")</f>
        <v/>
      </c>
      <c r="BL222" s="8" t="str">
        <f ca="1">IF(vendaAno[[#This Row],[data]]&lt;=TODAY(),IF(SUMIFS(estoque[lucro],estoque[fornecedor],"saída",estoque[data],vendaAno[[#This Row],[data]])=0,AVERAGE(BL219:BL221),SUMIFS(estoque[lucro],estoque[fornecedor],"saída",estoque[data],vendaAno[[#This Row],[data]])),"")</f>
        <v/>
      </c>
      <c r="BM222" s="10" t="str">
        <f ca="1">IFERROR(vendaAno[[#This Row],[lucro]]/vendaAno[[#This Row],[valor de venda]],"")</f>
        <v/>
      </c>
      <c r="BN22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2" s="8" t="str">
        <f ca="1">IF(TODAY()&gt;=vendaAno[[#This Row],[data]],IF(vendaAno[[#This Row],[N°]]=BF221,vendaAno[[#This Row],[lucro]]-173.33+BO221,vendaAno[[#This Row],[lucro]]-150),"")</f>
        <v/>
      </c>
      <c r="BP222" s="81" t="str">
        <f ca="1">IF(TODAY()&gt;=vendaAno[[#This Row],[data]],SUM(BK216:BK222)*12,"")</f>
        <v/>
      </c>
      <c r="BQ222" s="7" t="str">
        <f ca="1">IFERROR(vendaAno[[#This Row],[lucro]]/(vendaAno[[#This Row],[venda]]*12),"")</f>
        <v/>
      </c>
    </row>
    <row r="223" spans="1:71" x14ac:dyDescent="0.25">
      <c r="A2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3" s="18" t="str">
        <f>TEXT(preçodiario[[#This Row],[data]],"MMM")</f>
        <v>ago</v>
      </c>
      <c r="C223" s="18" t="str">
        <f>TEXT(preçodiario[[#This Row],[data]],"ddd")</f>
        <v>seg</v>
      </c>
      <c r="D223" s="96">
        <f>WEEKNUM(preçodiario[[#This Row],[data]],13)</f>
        <v>32</v>
      </c>
      <c r="E223" s="37">
        <v>46244</v>
      </c>
      <c r="F2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Row],[data]])),((F222*G222)+SUMIFS(estoque[valor total],estoque[produto],preçodiario[[#Headers],[OVO BRANCO A]],estoque[data],preçodiario[[#This Row],[data]],estoque[fornecedor],"&lt;&gt;saída"))/(G222+(SUMIFS(estoque[quantidade],estoque[produto],preçodiario[[#Headers],[OVO BRANCO A]],estoque[fornecedor],"&lt;&gt;saída",estoque[data],preçodiario[[#This Row],[data]])))))</f>
        <v>15.278182701652089</v>
      </c>
      <c r="G223" s="22">
        <f>IF(preçodiario[[#This Row],[entrada A]]=0,G222-(SUMIFS(estoque[quantidade],estoque[fornecedor],"saída",estoque[produto],preçodiario[[#Headers],[OVO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Row],[data]]))+G222+preçodiario[[#This Row],[entrada A]])</f>
        <v>133</v>
      </c>
      <c r="H223" s="22">
        <f>SUMIFS(estoque[quantidade],estoque[fornecedor],"&lt;&gt;saída",estoque[produto],preçodiario[[#Headers],[OVO BRANCO A]],estoque[data],preçodiario[[#This Row],[data]])</f>
        <v>0</v>
      </c>
      <c r="I223" s="20">
        <f>SUMIFS(estoque[valor total],estoque[fornecedor],"&lt;&gt;saída",estoque[produto],preçodiario[[#Headers],[OVO BRANCO A]],estoque[data],preçodiario[[#This Row],[data]])</f>
        <v>0</v>
      </c>
      <c r="J223" s="20">
        <f>IFERROR(preçodiario[[#This Row],[estoque A]]*preçodiario[[#This Row],[OVO BRANCO A]],0)</f>
        <v>2031.9982993197277</v>
      </c>
      <c r="K2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Row],[data]])),((K222*L222)+SUMIFS(estoque[valor total],estoque[produto],preçodiario[[#Headers],[OVO BRANCO B]],estoque[data],preçodiario[[#This Row],[data]],estoque[fornecedor],"&lt;&gt;saída"))/(L222+(SUMIFS(estoque[quantidade],estoque[produto],preçodiario[[#Headers],[OVO BRANCO B]],estoque[fornecedor],"&lt;&gt;saída",estoque[data],preçodiario[[#This Row],[data]])))))</f>
        <v>14.584252837326604</v>
      </c>
      <c r="L223" s="22">
        <f>IF(preçodiario[[#This Row],[entrada B]]=0,L222-(SUMIFS(estoque[quantidade],estoque[fornecedor],"saída",estoque[produto],preçodiario[[#Headers],[OVO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Row],[data]]))+L222+preçodiario[[#This Row],[entrada B]])</f>
        <v>16</v>
      </c>
      <c r="M223" s="22">
        <f>SUMIFS(estoque[quantidade],estoque[fornecedor],"&lt;&gt;saída",estoque[produto],preçodiario[[#Headers],[OVO BRANCO B]],estoque[data],preçodiario[[#This Row],[data]])</f>
        <v>0</v>
      </c>
      <c r="N223" s="20">
        <f>SUMIFS(estoque[valor total],estoque[fornecedor],"&lt;&gt;saída",estoque[produto],preçodiario[[#Headers],[OVO BRANCO B]],estoque[data],preçodiario[[#This Row],[data]])</f>
        <v>0</v>
      </c>
      <c r="O223" s="20">
        <f>IFERROR(preçodiario[[#This Row],[OVO BRANCO B]]*preçodiario[[#This Row],[estoque B]],0)</f>
        <v>233.34804539722566</v>
      </c>
      <c r="P2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Row],[data]])),((P222*Q222)+SUMIFS(estoque[valor total],estoque[produto],preçodiario[[#Headers],[OVO BRANCO C]],estoque[data],preçodiario[[#This Row],[data]],estoque[fornecedor],"&lt;&gt;saída"))/(Q222+(SUMIFS(estoque[quantidade],estoque[produto],preçodiario[[#Headers],[OVO BRANCO C]],estoque[fornecedor],"&lt;&gt;saída",estoque[data],preçodiario[[#This Row],[data]])))))</f>
        <v>12.5</v>
      </c>
      <c r="Q223" s="22">
        <f>IF(preçodiario[[#This Row],[entrada C]]=0,Q222-(SUMIFS(estoque[quantidade],estoque[fornecedor],"saída",estoque[produto],preçodiario[[#Headers],[OVO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Row],[data]]))+Q222+preçodiario[[#This Row],[entrada C]])</f>
        <v>60</v>
      </c>
      <c r="R223" s="22">
        <f>SUMIFS(estoque[quantidade],estoque[fornecedor],"&lt;&gt;saída",estoque[produto],preçodiario[[#Headers],[OVO BRANCO C]],estoque[data],preçodiario[[#This Row],[data]])</f>
        <v>0</v>
      </c>
      <c r="S223" s="20">
        <f>SUMIFS(estoque[valor total],estoque[fornecedor],"&lt;&gt;saída",estoque[produto],preçodiario[[#Headers],[OVO BRANCO C]],estoque[data],preçodiario[[#This Row],[data]])</f>
        <v>0</v>
      </c>
      <c r="T223" s="20">
        <f>IFERROR(preçodiario[[#This Row],[OVO BRANCO C]]*preçodiario[[#This Row],[estoque C]],0)</f>
        <v>750</v>
      </c>
      <c r="U2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Row],[data]])),((U222*V222)+SUMIFS(estoque[valor total],estoque[produto],preçodiario[[#Headers],[OVO BRANCO EXTRA]],estoque[data],preçodiario[[#This Row],[data]],estoque[fornecedor],"&lt;&gt;saída"))/(V222+(SUMIFS(estoque[quantidade],estoque[produto],preçodiario[[#Headers],[OVO BRANCO EXTRA]],estoque[fornecedor],"&lt;&gt;saída",estoque[data],preçodiario[[#This Row],[data]])))))</f>
        <v>15.725438400674655</v>
      </c>
      <c r="V223" s="22">
        <f>IF(preçodiario[[#This Row],[entrada E]]=0,V222-(SUMIFS(estoque[quantidade],estoque[fornecedor],"saída",estoque[produto],preçodiario[[#Headers],[OVO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Row],[data]]))+V222+preçodiario[[#This Row],[entrada E]])</f>
        <v>46</v>
      </c>
      <c r="W223" s="22">
        <f>SUMIFS(estoque[quantidade],estoque[fornecedor],"&lt;&gt;saída",estoque[produto],preçodiario[[#Headers],[OVO BRANCO EXTRA]],estoque[data],preçodiario[[#This Row],[data]])</f>
        <v>0</v>
      </c>
      <c r="X223" s="20">
        <f>SUMIFS(estoque[valor total],estoque[fornecedor],"&lt;&gt;saída",estoque[produto],preçodiario[[#Headers],[OVO BRANCO EXTRA]],estoque[data],preçodiario[[#This Row],[data]])</f>
        <v>0</v>
      </c>
      <c r="Y223" s="20">
        <f>IFERROR(preçodiario[[#This Row],[estoque E]]*preçodiario[[#This Row],[OVO BRANCO EXTRA]],0)</f>
        <v>723.37016643103414</v>
      </c>
      <c r="Z2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Row],[data]])),((Z222*AA222)+SUMIFS(estoque[valor total],estoque[produto],preçodiario[[#Headers],[OVO BRANCO JUMBO]],estoque[data],preçodiario[[#This Row],[data]],estoque[fornecedor],"&lt;&gt;saída"))/(AA222+(SUMIFS(estoque[quantidade],estoque[produto],preçodiario[[#Headers],[OVO BRANCO JUMBO]],estoque[fornecedor],"&lt;&gt;saída",estoque[data],preçodiario[[#This Row],[data]])))))</f>
        <v>16.50550595238095</v>
      </c>
      <c r="AA223" s="22">
        <f>IF(preçodiario[[#This Row],[entrada J]]=0,AA222-(SUMIFS(estoque[quantidade],estoque[fornecedor],"saída",estoque[produto],preçodiario[[#Headers],[OVO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Row],[data]]))+AA222+preçodiario[[#This Row],[entrada J]])</f>
        <v>75</v>
      </c>
      <c r="AB223" s="22">
        <f>SUMIFS(estoque[quantidade],estoque[fornecedor],"&lt;&gt;saída",estoque[produto],preçodiario[[#Headers],[OVO BRANCO JUMBO]],estoque[data],preçodiario[[#This Row],[data]])</f>
        <v>0</v>
      </c>
      <c r="AC223" s="20">
        <f>SUMIFS(estoque[valor total],estoque[fornecedor],"&lt;&gt;saída",estoque[produto],preçodiario[[#Headers],[OVO BRANCO JUMBO]],estoque[data],preçodiario[[#This Row],[data]])</f>
        <v>0</v>
      </c>
      <c r="AD223" s="20">
        <f>IFERROR(preçodiario[[#This Row],[OVO BRANCO JUMBO]]*preçodiario[[#This Row],[estoque J]],0)</f>
        <v>1237.9129464285713</v>
      </c>
      <c r="AE2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Row],[data]])),((AE222*AF222)+SUMIFS(estoque[valor total],estoque[produto],preçodiario[[#Headers],[OVO VERMELHO A]],estoque[data],preçodiario[[#This Row],[data]],estoque[fornecedor],"&lt;&gt;saída"))/(AF222+(SUMIFS(estoque[quantidade],estoque[produto],preçodiario[[#Headers],[OVO VERMELHO A]],estoque[fornecedor],"&lt;&gt;saída",estoque[data],preçodiario[[#This Row],[data]])))))</f>
        <v/>
      </c>
      <c r="AF223" s="22">
        <f>IF(preçodiario[[#This Row],[entrada AV]]=0,AF222-(SUMIFS(estoque[quantidade],estoque[fornecedor],"saída",estoque[produto],preçodiario[[#Headers],[OVO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Row],[data]]))+AF222+preçodiario[[#This Row],[entrada AV]])</f>
        <v>0</v>
      </c>
      <c r="AG223" s="22">
        <f>SUMIFS(estoque[quantidade],estoque[fornecedor],"&lt;&gt;saída",estoque[produto],preçodiario[[#Headers],[OVO VERMELHO A]],estoque[data],preçodiario[[#This Row],[data]])</f>
        <v>0</v>
      </c>
      <c r="AH223" s="20">
        <f>SUMIFS(estoque[valor total],estoque[fornecedor],"&lt;&gt;saída",estoque[produto],preçodiario[[#Headers],[OVO VERMELHO A]],estoque[data],preçodiario[[#This Row],[data]])</f>
        <v>0</v>
      </c>
      <c r="AI223" s="20">
        <f>IFERROR(preçodiario[[#This Row],[OVO VERMELHO A]]*preçodiario[[#This Row],[estoque AV]],0)</f>
        <v>0</v>
      </c>
      <c r="AJ2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Row],[data]])),((AJ222*AK222)+SUMIFS(estoque[valor total],estoque[produto],preçodiario[[#Headers],[OVO VERMELHO B]],estoque[data],preçodiario[[#This Row],[data]],estoque[fornecedor],"&lt;&gt;saída"))/(AK222+(SUMIFS(estoque[quantidade],estoque[produto],preçodiario[[#Headers],[OVO VERMELHO B]],estoque[fornecedor],"&lt;&gt;saída",estoque[data],preçodiario[[#This Row],[data]])))))</f>
        <v/>
      </c>
      <c r="AK223" s="22">
        <f>IF(preçodiario[[#This Row],[entrada BV]]=0,AK222-(SUMIFS(estoque[quantidade],estoque[fornecedor],"saída",estoque[produto],preçodiario[[#Headers],[OVO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Row],[data]]))+AK222+preçodiario[[#This Row],[entrada BV]])</f>
        <v>0</v>
      </c>
      <c r="AL223" s="22">
        <f>SUMIFS(estoque[quantidade],estoque[fornecedor],"&lt;&gt;saída",estoque[produto],preçodiario[[#Headers],[OVO VERMELHO B]],estoque[data],preçodiario[[#This Row],[data]])</f>
        <v>0</v>
      </c>
      <c r="AM223" s="20">
        <f>SUMIFS(estoque[valor total],estoque[fornecedor],"&lt;&gt;saída",estoque[produto],preçodiario[[#Headers],[OVO VERMELHO B]],estoque[data],preçodiario[[#This Row],[data]])</f>
        <v>0</v>
      </c>
      <c r="AN223" s="20">
        <f>IFERROR(preçodiario[[#This Row],[OVO VERMELHO B]]*preçodiario[[#This Row],[estoque BV]],0)</f>
        <v>0</v>
      </c>
      <c r="AO2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Row],[data]])),((AO222*AP222)+SUMIFS(estoque[valor total],estoque[produto],preçodiario[[#Headers],[OVO VERMELHO C]],estoque[data],preçodiario[[#This Row],[data]],estoque[fornecedor],"&lt;&gt;saída"))/(AP222+(SUMIFS(estoque[quantidade],estoque[produto],preçodiario[[#Headers],[OVO VERMELHO C]],estoque[fornecedor],"&lt;&gt;saída",estoque[data],preçodiario[[#This Row],[data]])))))</f>
        <v/>
      </c>
      <c r="AP223" s="22">
        <f>IF(preçodiario[[#This Row],[entrada CV]]=0,AP222-(SUMIFS(estoque[quantidade],estoque[fornecedor],"saída",estoque[produto],preçodiario[[#Headers],[OVO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Row],[data]]))+AP222+preçodiario[[#This Row],[entrada CV]])</f>
        <v>0</v>
      </c>
      <c r="AQ223" s="22">
        <f>SUMIFS(estoque[quantidade],estoque[fornecedor],"&lt;&gt;saída",estoque[produto],preçodiario[[#Headers],[OVO VERMELHO C]],estoque[data],preçodiario[[#This Row],[data]])</f>
        <v>0</v>
      </c>
      <c r="AR223" s="20">
        <f>SUMIFS(estoque[valor total],estoque[fornecedor],"&lt;&gt;saída",estoque[produto],preçodiario[[#Headers],[OVO VERMELHO C]],estoque[data],preçodiario[[#This Row],[data]])</f>
        <v>0</v>
      </c>
      <c r="AS223" s="20">
        <f>IFERROR(preçodiario[[#This Row],[OVO VERMELHO C]]*preçodiario[[#This Row],[estoque CV]],0)</f>
        <v>0</v>
      </c>
      <c r="AT2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Row],[data]])),((AT222*AU222)+SUMIFS(estoque[valor total],estoque[produto],preçodiario[[#Headers],[OVO VERMELHO EXTRA]],estoque[data],preçodiario[[#This Row],[data]],estoque[fornecedor],"&lt;&gt;saída"))/(AU222+(SUMIFS(estoque[quantidade],estoque[produto],preçodiario[[#Headers],[OVO VERMELHO EXTRA]],estoque[fornecedor],"&lt;&gt;saída",estoque[data],preçodiario[[#This Row],[data]])))))</f>
        <v/>
      </c>
      <c r="AU223" s="22">
        <f>IF(preçodiario[[#This Row],[entrada EV]]=0,AU222-(SUMIFS(estoque[quantidade],estoque[fornecedor],"saída",estoque[produto],preçodiario[[#Headers],[OVO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Row],[data]]))+AU222+preçodiario[[#This Row],[entrada EV]])</f>
        <v>0</v>
      </c>
      <c r="AV223" s="22">
        <f>SUMIFS(estoque[quantidade],estoque[fornecedor],"&lt;&gt;saída",estoque[produto],preçodiario[[#Headers],[OVO VERMELHO EXTRA]],estoque[data],preçodiario[[#This Row],[data]])</f>
        <v>0</v>
      </c>
      <c r="AW223" s="20">
        <f>SUMIFS(estoque[valor total],estoque[fornecedor],"&lt;&gt;saída",estoque[produto],preçodiario[[#Headers],[OVO VERMELHO EXTRA]],estoque[data],preçodiario[[#This Row],[data]])</f>
        <v>0</v>
      </c>
      <c r="AX223" s="20">
        <f>IFERROR(preçodiario[[#This Row],[OVO VERMELHO EXTRA]]*preçodiario[[#This Row],[estoque EV]],0)</f>
        <v>0</v>
      </c>
      <c r="AY2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Row],[data]])),((AY222*AZ222)+SUMIFS(estoque[valor total],estoque[produto],preçodiario[[#Headers],[OVO VERMELHO JUMBO]],estoque[data],preçodiario[[#This Row],[data]],estoque[fornecedor],"&lt;&gt;saída"))/(AZ222+(SUMIFS(estoque[quantidade],estoque[produto],preçodiario[[#Headers],[OVO VERMELHO JUMBO]],estoque[fornecedor],"&lt;&gt;saída",estoque[data],preçodiario[[#This Row],[data]])))))</f>
        <v/>
      </c>
      <c r="AZ223" s="22">
        <f>IF(preçodiario[[#This Row],[entrada JV]]=0,AZ222-(SUMIFS(estoque[quantidade],estoque[fornecedor],"saída",estoque[produto],preçodiario[[#Headers],[OVO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Row],[data]]))+AZ222+preçodiario[[#This Row],[entrada JV]])</f>
        <v>0</v>
      </c>
      <c r="BA223" s="22">
        <f>SUMIFS(estoque[quantidade],estoque[fornecedor],"&lt;&gt;saída",estoque[produto],preçodiario[[#Headers],[OVO VERMELHO JUMBO]],estoque[data],preçodiario[[#This Row],[data]])</f>
        <v>0</v>
      </c>
      <c r="BB223" s="20">
        <f>SUMIFS(estoque[valor total],estoque[fornecedor],"&lt;&gt;saída",estoque[produto],preçodiario[[#Headers],[OVO VERMELHO JUMBO]],estoque[data],preçodiario[[#This Row],[data]])</f>
        <v>0</v>
      </c>
      <c r="BC223" s="20">
        <f>IFERROR(preçodiario[[#This Row],[OVO VERMELHO JUMBO]]*preçodiario[[#This Row],[estoque JV]],0)</f>
        <v>0</v>
      </c>
      <c r="BD223" t="str">
        <f>TEXT(vendaAno[[#This Row],[data]],"mmm")</f>
        <v>ago</v>
      </c>
      <c r="BE223" t="str">
        <f>TEXT(vendaAno[[#This Row],[data]],"ddd")</f>
        <v>seg</v>
      </c>
      <c r="BF223" s="82">
        <f>WEEKNUM(vendaAno[[#This Row],[data]],13)</f>
        <v>32</v>
      </c>
      <c r="BG223" s="27">
        <f>preçodiario[[#This Row],[data]]</f>
        <v>46244</v>
      </c>
      <c r="BH2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Row],[data]]))/12+BJ222,"")</f>
        <v/>
      </c>
      <c r="BK223" s="79" t="str">
        <f ca="1">IF(TODAY()&gt;=vendaAno[[#This Row],[data]],IF(SUMIFS(estoque[quantidade],estoque[fornecedor],"saída",estoque[data],vendaAno[[#This Row],[data]])/12=0,AVERAGE(BK220:BK222),SUMIFS(estoque[quantidade],estoque[fornecedor],"saída",estoque[data],vendaAno[[#This Row],[data]])/12),"")</f>
        <v/>
      </c>
      <c r="BL223" s="8" t="str">
        <f ca="1">IF(vendaAno[[#This Row],[data]]&lt;=TODAY(),IF(SUMIFS(estoque[lucro],estoque[fornecedor],"saída",estoque[data],vendaAno[[#This Row],[data]])=0,AVERAGE(BL220:BL222),SUMIFS(estoque[lucro],estoque[fornecedor],"saída",estoque[data],vendaAno[[#This Row],[data]])),"")</f>
        <v/>
      </c>
      <c r="BM223" s="10" t="str">
        <f ca="1">IFERROR(vendaAno[[#This Row],[lucro]]/vendaAno[[#This Row],[valor de venda]],"")</f>
        <v/>
      </c>
      <c r="BN22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3" s="8" t="str">
        <f ca="1">IF(TODAY()&gt;=vendaAno[[#This Row],[data]],IF(vendaAno[[#This Row],[N°]]=BF222,vendaAno[[#This Row],[lucro]]-173.33+BO222,vendaAno[[#This Row],[lucro]]-150),"")</f>
        <v/>
      </c>
      <c r="BP223" s="81" t="str">
        <f ca="1">IF(TODAY()&gt;=vendaAno[[#This Row],[data]],SUM(BK217:BK223)*12,"")</f>
        <v/>
      </c>
      <c r="BQ223" s="7" t="str">
        <f ca="1">IFERROR(vendaAno[[#This Row],[lucro]]/(vendaAno[[#This Row],[venda]]*12),"")</f>
        <v/>
      </c>
    </row>
    <row r="224" spans="1:71" x14ac:dyDescent="0.25">
      <c r="A2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4" s="18" t="str">
        <f>TEXT(preçodiario[[#This Row],[data]],"MMM")</f>
        <v>ago</v>
      </c>
      <c r="C224" s="18" t="str">
        <f>TEXT(preçodiario[[#This Row],[data]],"ddd")</f>
        <v>ter</v>
      </c>
      <c r="D224" s="96">
        <f>WEEKNUM(preçodiario[[#This Row],[data]],13)</f>
        <v>32</v>
      </c>
      <c r="E224" s="37">
        <v>46245</v>
      </c>
      <c r="F2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Row],[data]])),((F223*G223)+SUMIFS(estoque[valor total],estoque[produto],preçodiario[[#Headers],[OVO BRANCO A]],estoque[data],preçodiario[[#This Row],[data]],estoque[fornecedor],"&lt;&gt;saída"))/(G223+(SUMIFS(estoque[quantidade],estoque[produto],preçodiario[[#Headers],[OVO BRANCO A]],estoque[fornecedor],"&lt;&gt;saída",estoque[data],preçodiario[[#This Row],[data]])))))</f>
        <v>15.278182701652089</v>
      </c>
      <c r="G224" s="22">
        <f>IF(preçodiario[[#This Row],[entrada A]]=0,G223-(SUMIFS(estoque[quantidade],estoque[fornecedor],"saída",estoque[produto],preçodiario[[#Headers],[OVO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Row],[data]]))+G223+preçodiario[[#This Row],[entrada A]])</f>
        <v>133</v>
      </c>
      <c r="H224" s="22">
        <f>SUMIFS(estoque[quantidade],estoque[fornecedor],"&lt;&gt;saída",estoque[produto],preçodiario[[#Headers],[OVO BRANCO A]],estoque[data],preçodiario[[#This Row],[data]])</f>
        <v>0</v>
      </c>
      <c r="I224" s="20">
        <f>SUMIFS(estoque[valor total],estoque[fornecedor],"&lt;&gt;saída",estoque[produto],preçodiario[[#Headers],[OVO BRANCO A]],estoque[data],preçodiario[[#This Row],[data]])</f>
        <v>0</v>
      </c>
      <c r="J224" s="20">
        <f>IFERROR(preçodiario[[#This Row],[estoque A]]*preçodiario[[#This Row],[OVO BRANCO A]],0)</f>
        <v>2031.9982993197277</v>
      </c>
      <c r="K2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Row],[data]])),((K223*L223)+SUMIFS(estoque[valor total],estoque[produto],preçodiario[[#Headers],[OVO BRANCO B]],estoque[data],preçodiario[[#This Row],[data]],estoque[fornecedor],"&lt;&gt;saída"))/(L223+(SUMIFS(estoque[quantidade],estoque[produto],preçodiario[[#Headers],[OVO BRANCO B]],estoque[fornecedor],"&lt;&gt;saída",estoque[data],preçodiario[[#This Row],[data]])))))</f>
        <v>14.584252837326604</v>
      </c>
      <c r="L224" s="22">
        <f>IF(preçodiario[[#This Row],[entrada B]]=0,L223-(SUMIFS(estoque[quantidade],estoque[fornecedor],"saída",estoque[produto],preçodiario[[#Headers],[OVO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Row],[data]]))+L223+preçodiario[[#This Row],[entrada B]])</f>
        <v>16</v>
      </c>
      <c r="M224" s="22">
        <f>SUMIFS(estoque[quantidade],estoque[fornecedor],"&lt;&gt;saída",estoque[produto],preçodiario[[#Headers],[OVO BRANCO B]],estoque[data],preçodiario[[#This Row],[data]])</f>
        <v>0</v>
      </c>
      <c r="N224" s="20">
        <f>SUMIFS(estoque[valor total],estoque[fornecedor],"&lt;&gt;saída",estoque[produto],preçodiario[[#Headers],[OVO BRANCO B]],estoque[data],preçodiario[[#This Row],[data]])</f>
        <v>0</v>
      </c>
      <c r="O224" s="20">
        <f>IFERROR(preçodiario[[#This Row],[OVO BRANCO B]]*preçodiario[[#This Row],[estoque B]],0)</f>
        <v>233.34804539722566</v>
      </c>
      <c r="P2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Row],[data]])),((P223*Q223)+SUMIFS(estoque[valor total],estoque[produto],preçodiario[[#Headers],[OVO BRANCO C]],estoque[data],preçodiario[[#This Row],[data]],estoque[fornecedor],"&lt;&gt;saída"))/(Q223+(SUMIFS(estoque[quantidade],estoque[produto],preçodiario[[#Headers],[OVO BRANCO C]],estoque[fornecedor],"&lt;&gt;saída",estoque[data],preçodiario[[#This Row],[data]])))))</f>
        <v>12.5</v>
      </c>
      <c r="Q224" s="22">
        <f>IF(preçodiario[[#This Row],[entrada C]]=0,Q223-(SUMIFS(estoque[quantidade],estoque[fornecedor],"saída",estoque[produto],preçodiario[[#Headers],[OVO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Row],[data]]))+Q223+preçodiario[[#This Row],[entrada C]])</f>
        <v>60</v>
      </c>
      <c r="R224" s="22">
        <f>SUMIFS(estoque[quantidade],estoque[fornecedor],"&lt;&gt;saída",estoque[produto],preçodiario[[#Headers],[OVO BRANCO C]],estoque[data],preçodiario[[#This Row],[data]])</f>
        <v>0</v>
      </c>
      <c r="S224" s="20">
        <f>SUMIFS(estoque[valor total],estoque[fornecedor],"&lt;&gt;saída",estoque[produto],preçodiario[[#Headers],[OVO BRANCO C]],estoque[data],preçodiario[[#This Row],[data]])</f>
        <v>0</v>
      </c>
      <c r="T224" s="20">
        <f>IFERROR(preçodiario[[#This Row],[OVO BRANCO C]]*preçodiario[[#This Row],[estoque C]],0)</f>
        <v>750</v>
      </c>
      <c r="U2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Row],[data]])),((U223*V223)+SUMIFS(estoque[valor total],estoque[produto],preçodiario[[#Headers],[OVO BRANCO EXTRA]],estoque[data],preçodiario[[#This Row],[data]],estoque[fornecedor],"&lt;&gt;saída"))/(V223+(SUMIFS(estoque[quantidade],estoque[produto],preçodiario[[#Headers],[OVO BRANCO EXTRA]],estoque[fornecedor],"&lt;&gt;saída",estoque[data],preçodiario[[#This Row],[data]])))))</f>
        <v>15.725438400674655</v>
      </c>
      <c r="V224" s="22">
        <f>IF(preçodiario[[#This Row],[entrada E]]=0,V223-(SUMIFS(estoque[quantidade],estoque[fornecedor],"saída",estoque[produto],preçodiario[[#Headers],[OVO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Row],[data]]))+V223+preçodiario[[#This Row],[entrada E]])</f>
        <v>46</v>
      </c>
      <c r="W224" s="22">
        <f>SUMIFS(estoque[quantidade],estoque[fornecedor],"&lt;&gt;saída",estoque[produto],preçodiario[[#Headers],[OVO BRANCO EXTRA]],estoque[data],preçodiario[[#This Row],[data]])</f>
        <v>0</v>
      </c>
      <c r="X224" s="20">
        <f>SUMIFS(estoque[valor total],estoque[fornecedor],"&lt;&gt;saída",estoque[produto],preçodiario[[#Headers],[OVO BRANCO EXTRA]],estoque[data],preçodiario[[#This Row],[data]])</f>
        <v>0</v>
      </c>
      <c r="Y224" s="20">
        <f>IFERROR(preçodiario[[#This Row],[estoque E]]*preçodiario[[#This Row],[OVO BRANCO EXTRA]],0)</f>
        <v>723.37016643103414</v>
      </c>
      <c r="Z2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Row],[data]])),((Z223*AA223)+SUMIFS(estoque[valor total],estoque[produto],preçodiario[[#Headers],[OVO BRANCO JUMBO]],estoque[data],preçodiario[[#This Row],[data]],estoque[fornecedor],"&lt;&gt;saída"))/(AA223+(SUMIFS(estoque[quantidade],estoque[produto],preçodiario[[#Headers],[OVO BRANCO JUMBO]],estoque[fornecedor],"&lt;&gt;saída",estoque[data],preçodiario[[#This Row],[data]])))))</f>
        <v>16.50550595238095</v>
      </c>
      <c r="AA224" s="22">
        <f>IF(preçodiario[[#This Row],[entrada J]]=0,AA223-(SUMIFS(estoque[quantidade],estoque[fornecedor],"saída",estoque[produto],preçodiario[[#Headers],[OVO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Row],[data]]))+AA223+preçodiario[[#This Row],[entrada J]])</f>
        <v>75</v>
      </c>
      <c r="AB224" s="22">
        <f>SUMIFS(estoque[quantidade],estoque[fornecedor],"&lt;&gt;saída",estoque[produto],preçodiario[[#Headers],[OVO BRANCO JUMBO]],estoque[data],preçodiario[[#This Row],[data]])</f>
        <v>0</v>
      </c>
      <c r="AC224" s="20">
        <f>SUMIFS(estoque[valor total],estoque[fornecedor],"&lt;&gt;saída",estoque[produto],preçodiario[[#Headers],[OVO BRANCO JUMBO]],estoque[data],preçodiario[[#This Row],[data]])</f>
        <v>0</v>
      </c>
      <c r="AD224" s="20">
        <f>IFERROR(preçodiario[[#This Row],[OVO BRANCO JUMBO]]*preçodiario[[#This Row],[estoque J]],0)</f>
        <v>1237.9129464285713</v>
      </c>
      <c r="AE2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Row],[data]])),((AE223*AF223)+SUMIFS(estoque[valor total],estoque[produto],preçodiario[[#Headers],[OVO VERMELHO A]],estoque[data],preçodiario[[#This Row],[data]],estoque[fornecedor],"&lt;&gt;saída"))/(AF223+(SUMIFS(estoque[quantidade],estoque[produto],preçodiario[[#Headers],[OVO VERMELHO A]],estoque[fornecedor],"&lt;&gt;saída",estoque[data],preçodiario[[#This Row],[data]])))))</f>
        <v/>
      </c>
      <c r="AF224" s="22">
        <f>IF(preçodiario[[#This Row],[entrada AV]]=0,AF223-(SUMIFS(estoque[quantidade],estoque[fornecedor],"saída",estoque[produto],preçodiario[[#Headers],[OVO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Row],[data]]))+AF223+preçodiario[[#This Row],[entrada AV]])</f>
        <v>0</v>
      </c>
      <c r="AG224" s="22">
        <f>SUMIFS(estoque[quantidade],estoque[fornecedor],"&lt;&gt;saída",estoque[produto],preçodiario[[#Headers],[OVO VERMELHO A]],estoque[data],preçodiario[[#This Row],[data]])</f>
        <v>0</v>
      </c>
      <c r="AH224" s="20">
        <f>SUMIFS(estoque[valor total],estoque[fornecedor],"&lt;&gt;saída",estoque[produto],preçodiario[[#Headers],[OVO VERMELHO A]],estoque[data],preçodiario[[#This Row],[data]])</f>
        <v>0</v>
      </c>
      <c r="AI224" s="20">
        <f>IFERROR(preçodiario[[#This Row],[OVO VERMELHO A]]*preçodiario[[#This Row],[estoque AV]],0)</f>
        <v>0</v>
      </c>
      <c r="AJ2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Row],[data]])),((AJ223*AK223)+SUMIFS(estoque[valor total],estoque[produto],preçodiario[[#Headers],[OVO VERMELHO B]],estoque[data],preçodiario[[#This Row],[data]],estoque[fornecedor],"&lt;&gt;saída"))/(AK223+(SUMIFS(estoque[quantidade],estoque[produto],preçodiario[[#Headers],[OVO VERMELHO B]],estoque[fornecedor],"&lt;&gt;saída",estoque[data],preçodiario[[#This Row],[data]])))))</f>
        <v/>
      </c>
      <c r="AK224" s="22">
        <f>IF(preçodiario[[#This Row],[entrada BV]]=0,AK223-(SUMIFS(estoque[quantidade],estoque[fornecedor],"saída",estoque[produto],preçodiario[[#Headers],[OVO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Row],[data]]))+AK223+preçodiario[[#This Row],[entrada BV]])</f>
        <v>0</v>
      </c>
      <c r="AL224" s="22">
        <f>SUMIFS(estoque[quantidade],estoque[fornecedor],"&lt;&gt;saída",estoque[produto],preçodiario[[#Headers],[OVO VERMELHO B]],estoque[data],preçodiario[[#This Row],[data]])</f>
        <v>0</v>
      </c>
      <c r="AM224" s="20">
        <f>SUMIFS(estoque[valor total],estoque[fornecedor],"&lt;&gt;saída",estoque[produto],preçodiario[[#Headers],[OVO VERMELHO B]],estoque[data],preçodiario[[#This Row],[data]])</f>
        <v>0</v>
      </c>
      <c r="AN224" s="20">
        <f>IFERROR(preçodiario[[#This Row],[OVO VERMELHO B]]*preçodiario[[#This Row],[estoque BV]],0)</f>
        <v>0</v>
      </c>
      <c r="AO2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Row],[data]])),((AO223*AP223)+SUMIFS(estoque[valor total],estoque[produto],preçodiario[[#Headers],[OVO VERMELHO C]],estoque[data],preçodiario[[#This Row],[data]],estoque[fornecedor],"&lt;&gt;saída"))/(AP223+(SUMIFS(estoque[quantidade],estoque[produto],preçodiario[[#Headers],[OVO VERMELHO C]],estoque[fornecedor],"&lt;&gt;saída",estoque[data],preçodiario[[#This Row],[data]])))))</f>
        <v/>
      </c>
      <c r="AP224" s="22">
        <f>IF(preçodiario[[#This Row],[entrada CV]]=0,AP223-(SUMIFS(estoque[quantidade],estoque[fornecedor],"saída",estoque[produto],preçodiario[[#Headers],[OVO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Row],[data]]))+AP223+preçodiario[[#This Row],[entrada CV]])</f>
        <v>0</v>
      </c>
      <c r="AQ224" s="22">
        <f>SUMIFS(estoque[quantidade],estoque[fornecedor],"&lt;&gt;saída",estoque[produto],preçodiario[[#Headers],[OVO VERMELHO C]],estoque[data],preçodiario[[#This Row],[data]])</f>
        <v>0</v>
      </c>
      <c r="AR224" s="20">
        <f>SUMIFS(estoque[valor total],estoque[fornecedor],"&lt;&gt;saída",estoque[produto],preçodiario[[#Headers],[OVO VERMELHO C]],estoque[data],preçodiario[[#This Row],[data]])</f>
        <v>0</v>
      </c>
      <c r="AS224" s="20">
        <f>IFERROR(preçodiario[[#This Row],[OVO VERMELHO C]]*preçodiario[[#This Row],[estoque CV]],0)</f>
        <v>0</v>
      </c>
      <c r="AT2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Row],[data]])),((AT223*AU223)+SUMIFS(estoque[valor total],estoque[produto],preçodiario[[#Headers],[OVO VERMELHO EXTRA]],estoque[data],preçodiario[[#This Row],[data]],estoque[fornecedor],"&lt;&gt;saída"))/(AU223+(SUMIFS(estoque[quantidade],estoque[produto],preçodiario[[#Headers],[OVO VERMELHO EXTRA]],estoque[fornecedor],"&lt;&gt;saída",estoque[data],preçodiario[[#This Row],[data]])))))</f>
        <v/>
      </c>
      <c r="AU224" s="22">
        <f>IF(preçodiario[[#This Row],[entrada EV]]=0,AU223-(SUMIFS(estoque[quantidade],estoque[fornecedor],"saída",estoque[produto],preçodiario[[#Headers],[OVO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Row],[data]]))+AU223+preçodiario[[#This Row],[entrada EV]])</f>
        <v>0</v>
      </c>
      <c r="AV224" s="22">
        <f>SUMIFS(estoque[quantidade],estoque[fornecedor],"&lt;&gt;saída",estoque[produto],preçodiario[[#Headers],[OVO VERMELHO EXTRA]],estoque[data],preçodiario[[#This Row],[data]])</f>
        <v>0</v>
      </c>
      <c r="AW224" s="20">
        <f>SUMIFS(estoque[valor total],estoque[fornecedor],"&lt;&gt;saída",estoque[produto],preçodiario[[#Headers],[OVO VERMELHO EXTRA]],estoque[data],preçodiario[[#This Row],[data]])</f>
        <v>0</v>
      </c>
      <c r="AX224" s="20">
        <f>IFERROR(preçodiario[[#This Row],[OVO VERMELHO EXTRA]]*preçodiario[[#This Row],[estoque EV]],0)</f>
        <v>0</v>
      </c>
      <c r="AY2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Row],[data]])),((AY223*AZ223)+SUMIFS(estoque[valor total],estoque[produto],preçodiario[[#Headers],[OVO VERMELHO JUMBO]],estoque[data],preçodiario[[#This Row],[data]],estoque[fornecedor],"&lt;&gt;saída"))/(AZ223+(SUMIFS(estoque[quantidade],estoque[produto],preçodiario[[#Headers],[OVO VERMELHO JUMBO]],estoque[fornecedor],"&lt;&gt;saída",estoque[data],preçodiario[[#This Row],[data]])))))</f>
        <v/>
      </c>
      <c r="AZ224" s="22">
        <f>IF(preçodiario[[#This Row],[entrada JV]]=0,AZ223-(SUMIFS(estoque[quantidade],estoque[fornecedor],"saída",estoque[produto],preçodiario[[#Headers],[OVO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Row],[data]]))+AZ223+preçodiario[[#This Row],[entrada JV]])</f>
        <v>0</v>
      </c>
      <c r="BA224" s="22">
        <f>SUMIFS(estoque[quantidade],estoque[fornecedor],"&lt;&gt;saída",estoque[produto],preçodiario[[#Headers],[OVO VERMELHO JUMBO]],estoque[data],preçodiario[[#This Row],[data]])</f>
        <v>0</v>
      </c>
      <c r="BB224" s="20">
        <f>SUMIFS(estoque[valor total],estoque[fornecedor],"&lt;&gt;saída",estoque[produto],preçodiario[[#Headers],[OVO VERMELHO JUMBO]],estoque[data],preçodiario[[#This Row],[data]])</f>
        <v>0</v>
      </c>
      <c r="BC224" s="20">
        <f>IFERROR(preçodiario[[#This Row],[OVO VERMELHO JUMBO]]*preçodiario[[#This Row],[estoque JV]],0)</f>
        <v>0</v>
      </c>
      <c r="BD224" t="str">
        <f>TEXT(vendaAno[[#This Row],[data]],"mmm")</f>
        <v>ago</v>
      </c>
      <c r="BE224" t="str">
        <f>TEXT(vendaAno[[#This Row],[data]],"ddd")</f>
        <v>ter</v>
      </c>
      <c r="BF224" s="82">
        <f>WEEKNUM(vendaAno[[#This Row],[data]],13)</f>
        <v>32</v>
      </c>
      <c r="BG224" s="27">
        <f>preçodiario[[#This Row],[data]]</f>
        <v>46245</v>
      </c>
      <c r="BH2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Row],[data]]))/12+BJ223,"")</f>
        <v/>
      </c>
      <c r="BK224" s="79" t="str">
        <f ca="1">IF(TODAY()&gt;=vendaAno[[#This Row],[data]],IF(SUMIFS(estoque[quantidade],estoque[fornecedor],"saída",estoque[data],vendaAno[[#This Row],[data]])/12=0,AVERAGE(BK221:BK223),SUMIFS(estoque[quantidade],estoque[fornecedor],"saída",estoque[data],vendaAno[[#This Row],[data]])/12),"")</f>
        <v/>
      </c>
      <c r="BL224" s="8" t="str">
        <f ca="1">IF(vendaAno[[#This Row],[data]]&lt;=TODAY(),IF(SUMIFS(estoque[lucro],estoque[fornecedor],"saída",estoque[data],vendaAno[[#This Row],[data]])=0,AVERAGE(BL221:BL223),SUMIFS(estoque[lucro],estoque[fornecedor],"saída",estoque[data],vendaAno[[#This Row],[data]])),"")</f>
        <v/>
      </c>
      <c r="BM224" s="10" t="str">
        <f ca="1">IFERROR(vendaAno[[#This Row],[lucro]]/vendaAno[[#This Row],[valor de venda]],"")</f>
        <v/>
      </c>
      <c r="BN22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4" s="8" t="str">
        <f ca="1">IF(TODAY()&gt;=vendaAno[[#This Row],[data]],IF(vendaAno[[#This Row],[N°]]=BF223,vendaAno[[#This Row],[lucro]]-173.33+BO223,vendaAno[[#This Row],[lucro]]-150),"")</f>
        <v/>
      </c>
      <c r="BP224" s="81" t="str">
        <f ca="1">IF(TODAY()&gt;=vendaAno[[#This Row],[data]],SUM(BK218:BK224)*12,"")</f>
        <v/>
      </c>
      <c r="BQ224" s="7" t="str">
        <f ca="1">IFERROR(vendaAno[[#This Row],[lucro]]/(vendaAno[[#This Row],[venda]]*12),"")</f>
        <v/>
      </c>
    </row>
    <row r="225" spans="1:69" x14ac:dyDescent="0.25">
      <c r="A2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5" s="18" t="str">
        <f>TEXT(preçodiario[[#This Row],[data]],"MMM")</f>
        <v>ago</v>
      </c>
      <c r="C225" s="18" t="str">
        <f>TEXT(preçodiario[[#This Row],[data]],"ddd")</f>
        <v>qua</v>
      </c>
      <c r="D225" s="96">
        <f>WEEKNUM(preçodiario[[#This Row],[data]],13)</f>
        <v>33</v>
      </c>
      <c r="E225" s="37">
        <v>46246</v>
      </c>
      <c r="F2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Row],[data]])),((F224*G224)+SUMIFS(estoque[valor total],estoque[produto],preçodiario[[#Headers],[OVO BRANCO A]],estoque[data],preçodiario[[#This Row],[data]],estoque[fornecedor],"&lt;&gt;saída"))/(G224+(SUMIFS(estoque[quantidade],estoque[produto],preçodiario[[#Headers],[OVO BRANCO A]],estoque[fornecedor],"&lt;&gt;saída",estoque[data],preçodiario[[#This Row],[data]])))))</f>
        <v>15.278182701652089</v>
      </c>
      <c r="G225" s="22">
        <f>IF(preçodiario[[#This Row],[entrada A]]=0,G224-(SUMIFS(estoque[quantidade],estoque[fornecedor],"saída",estoque[produto],preçodiario[[#Headers],[OVO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Row],[data]]))+G224+preçodiario[[#This Row],[entrada A]])</f>
        <v>133</v>
      </c>
      <c r="H225" s="22">
        <f>SUMIFS(estoque[quantidade],estoque[fornecedor],"&lt;&gt;saída",estoque[produto],preçodiario[[#Headers],[OVO BRANCO A]],estoque[data],preçodiario[[#This Row],[data]])</f>
        <v>0</v>
      </c>
      <c r="I225" s="20">
        <f>SUMIFS(estoque[valor total],estoque[fornecedor],"&lt;&gt;saída",estoque[produto],preçodiario[[#Headers],[OVO BRANCO A]],estoque[data],preçodiario[[#This Row],[data]])</f>
        <v>0</v>
      </c>
      <c r="J225" s="20">
        <f>IFERROR(preçodiario[[#This Row],[estoque A]]*preçodiario[[#This Row],[OVO BRANCO A]],0)</f>
        <v>2031.9982993197277</v>
      </c>
      <c r="K2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Row],[data]])),((K224*L224)+SUMIFS(estoque[valor total],estoque[produto],preçodiario[[#Headers],[OVO BRANCO B]],estoque[data],preçodiario[[#This Row],[data]],estoque[fornecedor],"&lt;&gt;saída"))/(L224+(SUMIFS(estoque[quantidade],estoque[produto],preçodiario[[#Headers],[OVO BRANCO B]],estoque[fornecedor],"&lt;&gt;saída",estoque[data],preçodiario[[#This Row],[data]])))))</f>
        <v>14.584252837326604</v>
      </c>
      <c r="L225" s="22">
        <f>IF(preçodiario[[#This Row],[entrada B]]=0,L224-(SUMIFS(estoque[quantidade],estoque[fornecedor],"saída",estoque[produto],preçodiario[[#Headers],[OVO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Row],[data]]))+L224+preçodiario[[#This Row],[entrada B]])</f>
        <v>16</v>
      </c>
      <c r="M225" s="22">
        <f>SUMIFS(estoque[quantidade],estoque[fornecedor],"&lt;&gt;saída",estoque[produto],preçodiario[[#Headers],[OVO BRANCO B]],estoque[data],preçodiario[[#This Row],[data]])</f>
        <v>0</v>
      </c>
      <c r="N225" s="20">
        <f>SUMIFS(estoque[valor total],estoque[fornecedor],"&lt;&gt;saída",estoque[produto],preçodiario[[#Headers],[OVO BRANCO B]],estoque[data],preçodiario[[#This Row],[data]])</f>
        <v>0</v>
      </c>
      <c r="O225" s="20">
        <f>IFERROR(preçodiario[[#This Row],[OVO BRANCO B]]*preçodiario[[#This Row],[estoque B]],0)</f>
        <v>233.34804539722566</v>
      </c>
      <c r="P2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Row],[data]])),((P224*Q224)+SUMIFS(estoque[valor total],estoque[produto],preçodiario[[#Headers],[OVO BRANCO C]],estoque[data],preçodiario[[#This Row],[data]],estoque[fornecedor],"&lt;&gt;saída"))/(Q224+(SUMIFS(estoque[quantidade],estoque[produto],preçodiario[[#Headers],[OVO BRANCO C]],estoque[fornecedor],"&lt;&gt;saída",estoque[data],preçodiario[[#This Row],[data]])))))</f>
        <v>12.5</v>
      </c>
      <c r="Q225" s="22">
        <f>IF(preçodiario[[#This Row],[entrada C]]=0,Q224-(SUMIFS(estoque[quantidade],estoque[fornecedor],"saída",estoque[produto],preçodiario[[#Headers],[OVO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Row],[data]]))+Q224+preçodiario[[#This Row],[entrada C]])</f>
        <v>60</v>
      </c>
      <c r="R225" s="22">
        <f>SUMIFS(estoque[quantidade],estoque[fornecedor],"&lt;&gt;saída",estoque[produto],preçodiario[[#Headers],[OVO BRANCO C]],estoque[data],preçodiario[[#This Row],[data]])</f>
        <v>0</v>
      </c>
      <c r="S225" s="20">
        <f>SUMIFS(estoque[valor total],estoque[fornecedor],"&lt;&gt;saída",estoque[produto],preçodiario[[#Headers],[OVO BRANCO C]],estoque[data],preçodiario[[#This Row],[data]])</f>
        <v>0</v>
      </c>
      <c r="T225" s="20">
        <f>IFERROR(preçodiario[[#This Row],[OVO BRANCO C]]*preçodiario[[#This Row],[estoque C]],0)</f>
        <v>750</v>
      </c>
      <c r="U2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Row],[data]])),((U224*V224)+SUMIFS(estoque[valor total],estoque[produto],preçodiario[[#Headers],[OVO BRANCO EXTRA]],estoque[data],preçodiario[[#This Row],[data]],estoque[fornecedor],"&lt;&gt;saída"))/(V224+(SUMIFS(estoque[quantidade],estoque[produto],preçodiario[[#Headers],[OVO BRANCO EXTRA]],estoque[fornecedor],"&lt;&gt;saída",estoque[data],preçodiario[[#This Row],[data]])))))</f>
        <v>15.725438400674655</v>
      </c>
      <c r="V225" s="22">
        <f>IF(preçodiario[[#This Row],[entrada E]]=0,V224-(SUMIFS(estoque[quantidade],estoque[fornecedor],"saída",estoque[produto],preçodiario[[#Headers],[OVO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Row],[data]]))+V224+preçodiario[[#This Row],[entrada E]])</f>
        <v>46</v>
      </c>
      <c r="W225" s="22">
        <f>SUMIFS(estoque[quantidade],estoque[fornecedor],"&lt;&gt;saída",estoque[produto],preçodiario[[#Headers],[OVO BRANCO EXTRA]],estoque[data],preçodiario[[#This Row],[data]])</f>
        <v>0</v>
      </c>
      <c r="X225" s="20">
        <f>SUMIFS(estoque[valor total],estoque[fornecedor],"&lt;&gt;saída",estoque[produto],preçodiario[[#Headers],[OVO BRANCO EXTRA]],estoque[data],preçodiario[[#This Row],[data]])</f>
        <v>0</v>
      </c>
      <c r="Y225" s="20">
        <f>IFERROR(preçodiario[[#This Row],[estoque E]]*preçodiario[[#This Row],[OVO BRANCO EXTRA]],0)</f>
        <v>723.37016643103414</v>
      </c>
      <c r="Z2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Row],[data]])),((Z224*AA224)+SUMIFS(estoque[valor total],estoque[produto],preçodiario[[#Headers],[OVO BRANCO JUMBO]],estoque[data],preçodiario[[#This Row],[data]],estoque[fornecedor],"&lt;&gt;saída"))/(AA224+(SUMIFS(estoque[quantidade],estoque[produto],preçodiario[[#Headers],[OVO BRANCO JUMBO]],estoque[fornecedor],"&lt;&gt;saída",estoque[data],preçodiario[[#This Row],[data]])))))</f>
        <v>16.50550595238095</v>
      </c>
      <c r="AA225" s="22">
        <f>IF(preçodiario[[#This Row],[entrada J]]=0,AA224-(SUMIFS(estoque[quantidade],estoque[fornecedor],"saída",estoque[produto],preçodiario[[#Headers],[OVO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Row],[data]]))+AA224+preçodiario[[#This Row],[entrada J]])</f>
        <v>75</v>
      </c>
      <c r="AB225" s="22">
        <f>SUMIFS(estoque[quantidade],estoque[fornecedor],"&lt;&gt;saída",estoque[produto],preçodiario[[#Headers],[OVO BRANCO JUMBO]],estoque[data],preçodiario[[#This Row],[data]])</f>
        <v>0</v>
      </c>
      <c r="AC225" s="20">
        <f>SUMIFS(estoque[valor total],estoque[fornecedor],"&lt;&gt;saída",estoque[produto],preçodiario[[#Headers],[OVO BRANCO JUMBO]],estoque[data],preçodiario[[#This Row],[data]])</f>
        <v>0</v>
      </c>
      <c r="AD225" s="20">
        <f>IFERROR(preçodiario[[#This Row],[OVO BRANCO JUMBO]]*preçodiario[[#This Row],[estoque J]],0)</f>
        <v>1237.9129464285713</v>
      </c>
      <c r="AE2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Row],[data]])),((AE224*AF224)+SUMIFS(estoque[valor total],estoque[produto],preçodiario[[#Headers],[OVO VERMELHO A]],estoque[data],preçodiario[[#This Row],[data]],estoque[fornecedor],"&lt;&gt;saída"))/(AF224+(SUMIFS(estoque[quantidade],estoque[produto],preçodiario[[#Headers],[OVO VERMELHO A]],estoque[fornecedor],"&lt;&gt;saída",estoque[data],preçodiario[[#This Row],[data]])))))</f>
        <v/>
      </c>
      <c r="AF225" s="22">
        <f>IF(preçodiario[[#This Row],[entrada AV]]=0,AF224-(SUMIFS(estoque[quantidade],estoque[fornecedor],"saída",estoque[produto],preçodiario[[#Headers],[OVO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Row],[data]]))+AF224+preçodiario[[#This Row],[entrada AV]])</f>
        <v>0</v>
      </c>
      <c r="AG225" s="22">
        <f>SUMIFS(estoque[quantidade],estoque[fornecedor],"&lt;&gt;saída",estoque[produto],preçodiario[[#Headers],[OVO VERMELHO A]],estoque[data],preçodiario[[#This Row],[data]])</f>
        <v>0</v>
      </c>
      <c r="AH225" s="20">
        <f>SUMIFS(estoque[valor total],estoque[fornecedor],"&lt;&gt;saída",estoque[produto],preçodiario[[#Headers],[OVO VERMELHO A]],estoque[data],preçodiario[[#This Row],[data]])</f>
        <v>0</v>
      </c>
      <c r="AI225" s="20">
        <f>IFERROR(preçodiario[[#This Row],[OVO VERMELHO A]]*preçodiario[[#This Row],[estoque AV]],0)</f>
        <v>0</v>
      </c>
      <c r="AJ2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Row],[data]])),((AJ224*AK224)+SUMIFS(estoque[valor total],estoque[produto],preçodiario[[#Headers],[OVO VERMELHO B]],estoque[data],preçodiario[[#This Row],[data]],estoque[fornecedor],"&lt;&gt;saída"))/(AK224+(SUMIFS(estoque[quantidade],estoque[produto],preçodiario[[#Headers],[OVO VERMELHO B]],estoque[fornecedor],"&lt;&gt;saída",estoque[data],preçodiario[[#This Row],[data]])))))</f>
        <v/>
      </c>
      <c r="AK225" s="22">
        <f>IF(preçodiario[[#This Row],[entrada BV]]=0,AK224-(SUMIFS(estoque[quantidade],estoque[fornecedor],"saída",estoque[produto],preçodiario[[#Headers],[OVO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Row],[data]]))+AK224+preçodiario[[#This Row],[entrada BV]])</f>
        <v>0</v>
      </c>
      <c r="AL225" s="22">
        <f>SUMIFS(estoque[quantidade],estoque[fornecedor],"&lt;&gt;saída",estoque[produto],preçodiario[[#Headers],[OVO VERMELHO B]],estoque[data],preçodiario[[#This Row],[data]])</f>
        <v>0</v>
      </c>
      <c r="AM225" s="20">
        <f>SUMIFS(estoque[valor total],estoque[fornecedor],"&lt;&gt;saída",estoque[produto],preçodiario[[#Headers],[OVO VERMELHO B]],estoque[data],preçodiario[[#This Row],[data]])</f>
        <v>0</v>
      </c>
      <c r="AN225" s="20">
        <f>IFERROR(preçodiario[[#This Row],[OVO VERMELHO B]]*preçodiario[[#This Row],[estoque BV]],0)</f>
        <v>0</v>
      </c>
      <c r="AO2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Row],[data]])),((AO224*AP224)+SUMIFS(estoque[valor total],estoque[produto],preçodiario[[#Headers],[OVO VERMELHO C]],estoque[data],preçodiario[[#This Row],[data]],estoque[fornecedor],"&lt;&gt;saída"))/(AP224+(SUMIFS(estoque[quantidade],estoque[produto],preçodiario[[#Headers],[OVO VERMELHO C]],estoque[fornecedor],"&lt;&gt;saída",estoque[data],preçodiario[[#This Row],[data]])))))</f>
        <v/>
      </c>
      <c r="AP225" s="22">
        <f>IF(preçodiario[[#This Row],[entrada CV]]=0,AP224-(SUMIFS(estoque[quantidade],estoque[fornecedor],"saída",estoque[produto],preçodiario[[#Headers],[OVO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Row],[data]]))+AP224+preçodiario[[#This Row],[entrada CV]])</f>
        <v>0</v>
      </c>
      <c r="AQ225" s="22">
        <f>SUMIFS(estoque[quantidade],estoque[fornecedor],"&lt;&gt;saída",estoque[produto],preçodiario[[#Headers],[OVO VERMELHO C]],estoque[data],preçodiario[[#This Row],[data]])</f>
        <v>0</v>
      </c>
      <c r="AR225" s="20">
        <f>SUMIFS(estoque[valor total],estoque[fornecedor],"&lt;&gt;saída",estoque[produto],preçodiario[[#Headers],[OVO VERMELHO C]],estoque[data],preçodiario[[#This Row],[data]])</f>
        <v>0</v>
      </c>
      <c r="AS225" s="20">
        <f>IFERROR(preçodiario[[#This Row],[OVO VERMELHO C]]*preçodiario[[#This Row],[estoque CV]],0)</f>
        <v>0</v>
      </c>
      <c r="AT2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Row],[data]])),((AT224*AU224)+SUMIFS(estoque[valor total],estoque[produto],preçodiario[[#Headers],[OVO VERMELHO EXTRA]],estoque[data],preçodiario[[#This Row],[data]],estoque[fornecedor],"&lt;&gt;saída"))/(AU224+(SUMIFS(estoque[quantidade],estoque[produto],preçodiario[[#Headers],[OVO VERMELHO EXTRA]],estoque[fornecedor],"&lt;&gt;saída",estoque[data],preçodiario[[#This Row],[data]])))))</f>
        <v/>
      </c>
      <c r="AU225" s="22">
        <f>IF(preçodiario[[#This Row],[entrada EV]]=0,AU224-(SUMIFS(estoque[quantidade],estoque[fornecedor],"saída",estoque[produto],preçodiario[[#Headers],[OVO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Row],[data]]))+AU224+preçodiario[[#This Row],[entrada EV]])</f>
        <v>0</v>
      </c>
      <c r="AV225" s="22">
        <f>SUMIFS(estoque[quantidade],estoque[fornecedor],"&lt;&gt;saída",estoque[produto],preçodiario[[#Headers],[OVO VERMELHO EXTRA]],estoque[data],preçodiario[[#This Row],[data]])</f>
        <v>0</v>
      </c>
      <c r="AW225" s="20">
        <f>SUMIFS(estoque[valor total],estoque[fornecedor],"&lt;&gt;saída",estoque[produto],preçodiario[[#Headers],[OVO VERMELHO EXTRA]],estoque[data],preçodiario[[#This Row],[data]])</f>
        <v>0</v>
      </c>
      <c r="AX225" s="20">
        <f>IFERROR(preçodiario[[#This Row],[OVO VERMELHO EXTRA]]*preçodiario[[#This Row],[estoque EV]],0)</f>
        <v>0</v>
      </c>
      <c r="AY2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Row],[data]])),((AY224*AZ224)+SUMIFS(estoque[valor total],estoque[produto],preçodiario[[#Headers],[OVO VERMELHO JUMBO]],estoque[data],preçodiario[[#This Row],[data]],estoque[fornecedor],"&lt;&gt;saída"))/(AZ224+(SUMIFS(estoque[quantidade],estoque[produto],preçodiario[[#Headers],[OVO VERMELHO JUMBO]],estoque[fornecedor],"&lt;&gt;saída",estoque[data],preçodiario[[#This Row],[data]])))))</f>
        <v/>
      </c>
      <c r="AZ225" s="22">
        <f>IF(preçodiario[[#This Row],[entrada JV]]=0,AZ224-(SUMIFS(estoque[quantidade],estoque[fornecedor],"saída",estoque[produto],preçodiario[[#Headers],[OVO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Row],[data]]))+AZ224+preçodiario[[#This Row],[entrada JV]])</f>
        <v>0</v>
      </c>
      <c r="BA225" s="22">
        <f>SUMIFS(estoque[quantidade],estoque[fornecedor],"&lt;&gt;saída",estoque[produto],preçodiario[[#Headers],[OVO VERMELHO JUMBO]],estoque[data],preçodiario[[#This Row],[data]])</f>
        <v>0</v>
      </c>
      <c r="BB225" s="20">
        <f>SUMIFS(estoque[valor total],estoque[fornecedor],"&lt;&gt;saída",estoque[produto],preçodiario[[#Headers],[OVO VERMELHO JUMBO]],estoque[data],preçodiario[[#This Row],[data]])</f>
        <v>0</v>
      </c>
      <c r="BC225" s="20">
        <f>IFERROR(preçodiario[[#This Row],[OVO VERMELHO JUMBO]]*preçodiario[[#This Row],[estoque JV]],0)</f>
        <v>0</v>
      </c>
      <c r="BD225" t="str">
        <f>TEXT(vendaAno[[#This Row],[data]],"mmm")</f>
        <v>ago</v>
      </c>
      <c r="BE225" t="str">
        <f>TEXT(vendaAno[[#This Row],[data]],"ddd")</f>
        <v>qua</v>
      </c>
      <c r="BF225" s="82">
        <f>WEEKNUM(vendaAno[[#This Row],[data]],13)</f>
        <v>33</v>
      </c>
      <c r="BG225" s="27">
        <f>preçodiario[[#This Row],[data]]</f>
        <v>46246</v>
      </c>
      <c r="BH2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Row],[data]]))/12+BJ224,"")</f>
        <v/>
      </c>
      <c r="BK225" s="79" t="str">
        <f ca="1">IF(TODAY()&gt;=vendaAno[[#This Row],[data]],IF(SUMIFS(estoque[quantidade],estoque[fornecedor],"saída",estoque[data],vendaAno[[#This Row],[data]])/12=0,AVERAGE(BK222:BK224),SUMIFS(estoque[quantidade],estoque[fornecedor],"saída",estoque[data],vendaAno[[#This Row],[data]])/12),"")</f>
        <v/>
      </c>
      <c r="BL225" s="8" t="str">
        <f ca="1">IF(vendaAno[[#This Row],[data]]&lt;=TODAY(),IF(SUMIFS(estoque[lucro],estoque[fornecedor],"saída",estoque[data],vendaAno[[#This Row],[data]])=0,AVERAGE(BL222:BL224),SUMIFS(estoque[lucro],estoque[fornecedor],"saída",estoque[data],vendaAno[[#This Row],[data]])),"")</f>
        <v/>
      </c>
      <c r="BM225" s="10" t="str">
        <f ca="1">IFERROR(vendaAno[[#This Row],[lucro]]/vendaAno[[#This Row],[valor de venda]],"")</f>
        <v/>
      </c>
      <c r="BN22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5" s="8" t="str">
        <f ca="1">IF(TODAY()&gt;=vendaAno[[#This Row],[data]],IF(vendaAno[[#This Row],[N°]]=BF224,vendaAno[[#This Row],[lucro]]-173.33+BO224,vendaAno[[#This Row],[lucro]]-150),"")</f>
        <v/>
      </c>
      <c r="BP225" s="81" t="str">
        <f ca="1">IF(TODAY()&gt;=vendaAno[[#This Row],[data]],SUM(BK219:BK225)*12,"")</f>
        <v/>
      </c>
      <c r="BQ225" s="7" t="str">
        <f ca="1">IFERROR(vendaAno[[#This Row],[lucro]]/(vendaAno[[#This Row],[venda]]*12),"")</f>
        <v/>
      </c>
    </row>
    <row r="226" spans="1:69" x14ac:dyDescent="0.25">
      <c r="A2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6" s="18" t="str">
        <f>TEXT(preçodiario[[#This Row],[data]],"MMM")</f>
        <v>ago</v>
      </c>
      <c r="C226" s="18" t="str">
        <f>TEXT(preçodiario[[#This Row],[data]],"ddd")</f>
        <v>qui</v>
      </c>
      <c r="D226" s="96">
        <f>WEEKNUM(preçodiario[[#This Row],[data]],13)</f>
        <v>33</v>
      </c>
      <c r="E226" s="37">
        <v>46247</v>
      </c>
      <c r="F2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Row],[data]])),((F225*G225)+SUMIFS(estoque[valor total],estoque[produto],preçodiario[[#Headers],[OVO BRANCO A]],estoque[data],preçodiario[[#This Row],[data]],estoque[fornecedor],"&lt;&gt;saída"))/(G225+(SUMIFS(estoque[quantidade],estoque[produto],preçodiario[[#Headers],[OVO BRANCO A]],estoque[fornecedor],"&lt;&gt;saída",estoque[data],preçodiario[[#This Row],[data]])))))</f>
        <v>15.278182701652089</v>
      </c>
      <c r="G226" s="22">
        <f>IF(preçodiario[[#This Row],[entrada A]]=0,G225-(SUMIFS(estoque[quantidade],estoque[fornecedor],"saída",estoque[produto],preçodiario[[#Headers],[OVO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Row],[data]]))+G225+preçodiario[[#This Row],[entrada A]])</f>
        <v>133</v>
      </c>
      <c r="H226" s="22">
        <f>SUMIFS(estoque[quantidade],estoque[fornecedor],"&lt;&gt;saída",estoque[produto],preçodiario[[#Headers],[OVO BRANCO A]],estoque[data],preçodiario[[#This Row],[data]])</f>
        <v>0</v>
      </c>
      <c r="I226" s="20">
        <f>SUMIFS(estoque[valor total],estoque[fornecedor],"&lt;&gt;saída",estoque[produto],preçodiario[[#Headers],[OVO BRANCO A]],estoque[data],preçodiario[[#This Row],[data]])</f>
        <v>0</v>
      </c>
      <c r="J226" s="20">
        <f>IFERROR(preçodiario[[#This Row],[estoque A]]*preçodiario[[#This Row],[OVO BRANCO A]],0)</f>
        <v>2031.9982993197277</v>
      </c>
      <c r="K2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Row],[data]])),((K225*L225)+SUMIFS(estoque[valor total],estoque[produto],preçodiario[[#Headers],[OVO BRANCO B]],estoque[data],preçodiario[[#This Row],[data]],estoque[fornecedor],"&lt;&gt;saída"))/(L225+(SUMIFS(estoque[quantidade],estoque[produto],preçodiario[[#Headers],[OVO BRANCO B]],estoque[fornecedor],"&lt;&gt;saída",estoque[data],preçodiario[[#This Row],[data]])))))</f>
        <v>14.584252837326604</v>
      </c>
      <c r="L226" s="22">
        <f>IF(preçodiario[[#This Row],[entrada B]]=0,L225-(SUMIFS(estoque[quantidade],estoque[fornecedor],"saída",estoque[produto],preçodiario[[#Headers],[OVO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Row],[data]]))+L225+preçodiario[[#This Row],[entrada B]])</f>
        <v>16</v>
      </c>
      <c r="M226" s="22">
        <f>SUMIFS(estoque[quantidade],estoque[fornecedor],"&lt;&gt;saída",estoque[produto],preçodiario[[#Headers],[OVO BRANCO B]],estoque[data],preçodiario[[#This Row],[data]])</f>
        <v>0</v>
      </c>
      <c r="N226" s="20">
        <f>SUMIFS(estoque[valor total],estoque[fornecedor],"&lt;&gt;saída",estoque[produto],preçodiario[[#Headers],[OVO BRANCO B]],estoque[data],preçodiario[[#This Row],[data]])</f>
        <v>0</v>
      </c>
      <c r="O226" s="20">
        <f>IFERROR(preçodiario[[#This Row],[OVO BRANCO B]]*preçodiario[[#This Row],[estoque B]],0)</f>
        <v>233.34804539722566</v>
      </c>
      <c r="P2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Row],[data]])),((P225*Q225)+SUMIFS(estoque[valor total],estoque[produto],preçodiario[[#Headers],[OVO BRANCO C]],estoque[data],preçodiario[[#This Row],[data]],estoque[fornecedor],"&lt;&gt;saída"))/(Q225+(SUMIFS(estoque[quantidade],estoque[produto],preçodiario[[#Headers],[OVO BRANCO C]],estoque[fornecedor],"&lt;&gt;saída",estoque[data],preçodiario[[#This Row],[data]])))))</f>
        <v>12.5</v>
      </c>
      <c r="Q226" s="22">
        <f>IF(preçodiario[[#This Row],[entrada C]]=0,Q225-(SUMIFS(estoque[quantidade],estoque[fornecedor],"saída",estoque[produto],preçodiario[[#Headers],[OVO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Row],[data]]))+Q225+preçodiario[[#This Row],[entrada C]])</f>
        <v>60</v>
      </c>
      <c r="R226" s="22">
        <f>SUMIFS(estoque[quantidade],estoque[fornecedor],"&lt;&gt;saída",estoque[produto],preçodiario[[#Headers],[OVO BRANCO C]],estoque[data],preçodiario[[#This Row],[data]])</f>
        <v>0</v>
      </c>
      <c r="S226" s="20">
        <f>SUMIFS(estoque[valor total],estoque[fornecedor],"&lt;&gt;saída",estoque[produto],preçodiario[[#Headers],[OVO BRANCO C]],estoque[data],preçodiario[[#This Row],[data]])</f>
        <v>0</v>
      </c>
      <c r="T226" s="20">
        <f>IFERROR(preçodiario[[#This Row],[OVO BRANCO C]]*preçodiario[[#This Row],[estoque C]],0)</f>
        <v>750</v>
      </c>
      <c r="U2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Row],[data]])),((U225*V225)+SUMIFS(estoque[valor total],estoque[produto],preçodiario[[#Headers],[OVO BRANCO EXTRA]],estoque[data],preçodiario[[#This Row],[data]],estoque[fornecedor],"&lt;&gt;saída"))/(V225+(SUMIFS(estoque[quantidade],estoque[produto],preçodiario[[#Headers],[OVO BRANCO EXTRA]],estoque[fornecedor],"&lt;&gt;saída",estoque[data],preçodiario[[#This Row],[data]])))))</f>
        <v>15.725438400674655</v>
      </c>
      <c r="V226" s="22">
        <f>IF(preçodiario[[#This Row],[entrada E]]=0,V225-(SUMIFS(estoque[quantidade],estoque[fornecedor],"saída",estoque[produto],preçodiario[[#Headers],[OVO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Row],[data]]))+V225+preçodiario[[#This Row],[entrada E]])</f>
        <v>46</v>
      </c>
      <c r="W226" s="22">
        <f>SUMIFS(estoque[quantidade],estoque[fornecedor],"&lt;&gt;saída",estoque[produto],preçodiario[[#Headers],[OVO BRANCO EXTRA]],estoque[data],preçodiario[[#This Row],[data]])</f>
        <v>0</v>
      </c>
      <c r="X226" s="20">
        <f>SUMIFS(estoque[valor total],estoque[fornecedor],"&lt;&gt;saída",estoque[produto],preçodiario[[#Headers],[OVO BRANCO EXTRA]],estoque[data],preçodiario[[#This Row],[data]])</f>
        <v>0</v>
      </c>
      <c r="Y226" s="20">
        <f>IFERROR(preçodiario[[#This Row],[estoque E]]*preçodiario[[#This Row],[OVO BRANCO EXTRA]],0)</f>
        <v>723.37016643103414</v>
      </c>
      <c r="Z2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Row],[data]])),((Z225*AA225)+SUMIFS(estoque[valor total],estoque[produto],preçodiario[[#Headers],[OVO BRANCO JUMBO]],estoque[data],preçodiario[[#This Row],[data]],estoque[fornecedor],"&lt;&gt;saída"))/(AA225+(SUMIFS(estoque[quantidade],estoque[produto],preçodiario[[#Headers],[OVO BRANCO JUMBO]],estoque[fornecedor],"&lt;&gt;saída",estoque[data],preçodiario[[#This Row],[data]])))))</f>
        <v>16.50550595238095</v>
      </c>
      <c r="AA226" s="22">
        <f>IF(preçodiario[[#This Row],[entrada J]]=0,AA225-(SUMIFS(estoque[quantidade],estoque[fornecedor],"saída",estoque[produto],preçodiario[[#Headers],[OVO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Row],[data]]))+AA225+preçodiario[[#This Row],[entrada J]])</f>
        <v>75</v>
      </c>
      <c r="AB226" s="22">
        <f>SUMIFS(estoque[quantidade],estoque[fornecedor],"&lt;&gt;saída",estoque[produto],preçodiario[[#Headers],[OVO BRANCO JUMBO]],estoque[data],preçodiario[[#This Row],[data]])</f>
        <v>0</v>
      </c>
      <c r="AC226" s="20">
        <f>SUMIFS(estoque[valor total],estoque[fornecedor],"&lt;&gt;saída",estoque[produto],preçodiario[[#Headers],[OVO BRANCO JUMBO]],estoque[data],preçodiario[[#This Row],[data]])</f>
        <v>0</v>
      </c>
      <c r="AD226" s="20">
        <f>IFERROR(preçodiario[[#This Row],[OVO BRANCO JUMBO]]*preçodiario[[#This Row],[estoque J]],0)</f>
        <v>1237.9129464285713</v>
      </c>
      <c r="AE2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Row],[data]])),((AE225*AF225)+SUMIFS(estoque[valor total],estoque[produto],preçodiario[[#Headers],[OVO VERMELHO A]],estoque[data],preçodiario[[#This Row],[data]],estoque[fornecedor],"&lt;&gt;saída"))/(AF225+(SUMIFS(estoque[quantidade],estoque[produto],preçodiario[[#Headers],[OVO VERMELHO A]],estoque[fornecedor],"&lt;&gt;saída",estoque[data],preçodiario[[#This Row],[data]])))))</f>
        <v/>
      </c>
      <c r="AF226" s="22">
        <f>IF(preçodiario[[#This Row],[entrada AV]]=0,AF225-(SUMIFS(estoque[quantidade],estoque[fornecedor],"saída",estoque[produto],preçodiario[[#Headers],[OVO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Row],[data]]))+AF225+preçodiario[[#This Row],[entrada AV]])</f>
        <v>0</v>
      </c>
      <c r="AG226" s="22">
        <f>SUMIFS(estoque[quantidade],estoque[fornecedor],"&lt;&gt;saída",estoque[produto],preçodiario[[#Headers],[OVO VERMELHO A]],estoque[data],preçodiario[[#This Row],[data]])</f>
        <v>0</v>
      </c>
      <c r="AH226" s="20">
        <f>SUMIFS(estoque[valor total],estoque[fornecedor],"&lt;&gt;saída",estoque[produto],preçodiario[[#Headers],[OVO VERMELHO A]],estoque[data],preçodiario[[#This Row],[data]])</f>
        <v>0</v>
      </c>
      <c r="AI226" s="20">
        <f>IFERROR(preçodiario[[#This Row],[OVO VERMELHO A]]*preçodiario[[#This Row],[estoque AV]],0)</f>
        <v>0</v>
      </c>
      <c r="AJ2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Row],[data]])),((AJ225*AK225)+SUMIFS(estoque[valor total],estoque[produto],preçodiario[[#Headers],[OVO VERMELHO B]],estoque[data],preçodiario[[#This Row],[data]],estoque[fornecedor],"&lt;&gt;saída"))/(AK225+(SUMIFS(estoque[quantidade],estoque[produto],preçodiario[[#Headers],[OVO VERMELHO B]],estoque[fornecedor],"&lt;&gt;saída",estoque[data],preçodiario[[#This Row],[data]])))))</f>
        <v/>
      </c>
      <c r="AK226" s="22">
        <f>IF(preçodiario[[#This Row],[entrada BV]]=0,AK225-(SUMIFS(estoque[quantidade],estoque[fornecedor],"saída",estoque[produto],preçodiario[[#Headers],[OVO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Row],[data]]))+AK225+preçodiario[[#This Row],[entrada BV]])</f>
        <v>0</v>
      </c>
      <c r="AL226" s="22">
        <f>SUMIFS(estoque[quantidade],estoque[fornecedor],"&lt;&gt;saída",estoque[produto],preçodiario[[#Headers],[OVO VERMELHO B]],estoque[data],preçodiario[[#This Row],[data]])</f>
        <v>0</v>
      </c>
      <c r="AM226" s="20">
        <f>SUMIFS(estoque[valor total],estoque[fornecedor],"&lt;&gt;saída",estoque[produto],preçodiario[[#Headers],[OVO VERMELHO B]],estoque[data],preçodiario[[#This Row],[data]])</f>
        <v>0</v>
      </c>
      <c r="AN226" s="20">
        <f>IFERROR(preçodiario[[#This Row],[OVO VERMELHO B]]*preçodiario[[#This Row],[estoque BV]],0)</f>
        <v>0</v>
      </c>
      <c r="AO2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Row],[data]])),((AO225*AP225)+SUMIFS(estoque[valor total],estoque[produto],preçodiario[[#Headers],[OVO VERMELHO C]],estoque[data],preçodiario[[#This Row],[data]],estoque[fornecedor],"&lt;&gt;saída"))/(AP225+(SUMIFS(estoque[quantidade],estoque[produto],preçodiario[[#Headers],[OVO VERMELHO C]],estoque[fornecedor],"&lt;&gt;saída",estoque[data],preçodiario[[#This Row],[data]])))))</f>
        <v/>
      </c>
      <c r="AP226" s="22">
        <f>IF(preçodiario[[#This Row],[entrada CV]]=0,AP225-(SUMIFS(estoque[quantidade],estoque[fornecedor],"saída",estoque[produto],preçodiario[[#Headers],[OVO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Row],[data]]))+AP225+preçodiario[[#This Row],[entrada CV]])</f>
        <v>0</v>
      </c>
      <c r="AQ226" s="22">
        <f>SUMIFS(estoque[quantidade],estoque[fornecedor],"&lt;&gt;saída",estoque[produto],preçodiario[[#Headers],[OVO VERMELHO C]],estoque[data],preçodiario[[#This Row],[data]])</f>
        <v>0</v>
      </c>
      <c r="AR226" s="20">
        <f>SUMIFS(estoque[valor total],estoque[fornecedor],"&lt;&gt;saída",estoque[produto],preçodiario[[#Headers],[OVO VERMELHO C]],estoque[data],preçodiario[[#This Row],[data]])</f>
        <v>0</v>
      </c>
      <c r="AS226" s="20">
        <f>IFERROR(preçodiario[[#This Row],[OVO VERMELHO C]]*preçodiario[[#This Row],[estoque CV]],0)</f>
        <v>0</v>
      </c>
      <c r="AT2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Row],[data]])),((AT225*AU225)+SUMIFS(estoque[valor total],estoque[produto],preçodiario[[#Headers],[OVO VERMELHO EXTRA]],estoque[data],preçodiario[[#This Row],[data]],estoque[fornecedor],"&lt;&gt;saída"))/(AU225+(SUMIFS(estoque[quantidade],estoque[produto],preçodiario[[#Headers],[OVO VERMELHO EXTRA]],estoque[fornecedor],"&lt;&gt;saída",estoque[data],preçodiario[[#This Row],[data]])))))</f>
        <v/>
      </c>
      <c r="AU226" s="22">
        <f>IF(preçodiario[[#This Row],[entrada EV]]=0,AU225-(SUMIFS(estoque[quantidade],estoque[fornecedor],"saída",estoque[produto],preçodiario[[#Headers],[OVO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Row],[data]]))+AU225+preçodiario[[#This Row],[entrada EV]])</f>
        <v>0</v>
      </c>
      <c r="AV226" s="22">
        <f>SUMIFS(estoque[quantidade],estoque[fornecedor],"&lt;&gt;saída",estoque[produto],preçodiario[[#Headers],[OVO VERMELHO EXTRA]],estoque[data],preçodiario[[#This Row],[data]])</f>
        <v>0</v>
      </c>
      <c r="AW226" s="20">
        <f>SUMIFS(estoque[valor total],estoque[fornecedor],"&lt;&gt;saída",estoque[produto],preçodiario[[#Headers],[OVO VERMELHO EXTRA]],estoque[data],preçodiario[[#This Row],[data]])</f>
        <v>0</v>
      </c>
      <c r="AX226" s="20">
        <f>IFERROR(preçodiario[[#This Row],[OVO VERMELHO EXTRA]]*preçodiario[[#This Row],[estoque EV]],0)</f>
        <v>0</v>
      </c>
      <c r="AY2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Row],[data]])),((AY225*AZ225)+SUMIFS(estoque[valor total],estoque[produto],preçodiario[[#Headers],[OVO VERMELHO JUMBO]],estoque[data],preçodiario[[#This Row],[data]],estoque[fornecedor],"&lt;&gt;saída"))/(AZ225+(SUMIFS(estoque[quantidade],estoque[produto],preçodiario[[#Headers],[OVO VERMELHO JUMBO]],estoque[fornecedor],"&lt;&gt;saída",estoque[data],preçodiario[[#This Row],[data]])))))</f>
        <v/>
      </c>
      <c r="AZ226" s="22">
        <f>IF(preçodiario[[#This Row],[entrada JV]]=0,AZ225-(SUMIFS(estoque[quantidade],estoque[fornecedor],"saída",estoque[produto],preçodiario[[#Headers],[OVO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Row],[data]]))+AZ225+preçodiario[[#This Row],[entrada JV]])</f>
        <v>0</v>
      </c>
      <c r="BA226" s="22">
        <f>SUMIFS(estoque[quantidade],estoque[fornecedor],"&lt;&gt;saída",estoque[produto],preçodiario[[#Headers],[OVO VERMELHO JUMBO]],estoque[data],preçodiario[[#This Row],[data]])</f>
        <v>0</v>
      </c>
      <c r="BB226" s="20">
        <f>SUMIFS(estoque[valor total],estoque[fornecedor],"&lt;&gt;saída",estoque[produto],preçodiario[[#Headers],[OVO VERMELHO JUMBO]],estoque[data],preçodiario[[#This Row],[data]])</f>
        <v>0</v>
      </c>
      <c r="BC226" s="20">
        <f>IFERROR(preçodiario[[#This Row],[OVO VERMELHO JUMBO]]*preçodiario[[#This Row],[estoque JV]],0)</f>
        <v>0</v>
      </c>
      <c r="BD226" t="str">
        <f>TEXT(vendaAno[[#This Row],[data]],"mmm")</f>
        <v>ago</v>
      </c>
      <c r="BE226" t="str">
        <f>TEXT(vendaAno[[#This Row],[data]],"ddd")</f>
        <v>qui</v>
      </c>
      <c r="BF226" s="82">
        <f>WEEKNUM(vendaAno[[#This Row],[data]],13)</f>
        <v>33</v>
      </c>
      <c r="BG226" s="27">
        <f>preçodiario[[#This Row],[data]]</f>
        <v>46247</v>
      </c>
      <c r="BH2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Row],[data]]))/12+BJ225,"")</f>
        <v/>
      </c>
      <c r="BK226" s="79" t="str">
        <f ca="1">IF(TODAY()&gt;=vendaAno[[#This Row],[data]],IF(SUMIFS(estoque[quantidade],estoque[fornecedor],"saída",estoque[data],vendaAno[[#This Row],[data]])/12=0,AVERAGE(BK223:BK225),SUMIFS(estoque[quantidade],estoque[fornecedor],"saída",estoque[data],vendaAno[[#This Row],[data]])/12),"")</f>
        <v/>
      </c>
      <c r="BL226" s="8" t="str">
        <f ca="1">IF(vendaAno[[#This Row],[data]]&lt;=TODAY(),IF(SUMIFS(estoque[lucro],estoque[fornecedor],"saída",estoque[data],vendaAno[[#This Row],[data]])=0,AVERAGE(BL223:BL225),SUMIFS(estoque[lucro],estoque[fornecedor],"saída",estoque[data],vendaAno[[#This Row],[data]])),"")</f>
        <v/>
      </c>
      <c r="BM226" s="10" t="str">
        <f ca="1">IFERROR(vendaAno[[#This Row],[lucro]]/vendaAno[[#This Row],[valor de venda]],"")</f>
        <v/>
      </c>
      <c r="BN22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6" s="8" t="str">
        <f ca="1">IF(TODAY()&gt;=vendaAno[[#This Row],[data]],IF(vendaAno[[#This Row],[N°]]=BF225,vendaAno[[#This Row],[lucro]]-173.33+BO225,vendaAno[[#This Row],[lucro]]-150),"")</f>
        <v/>
      </c>
      <c r="BP226" s="81" t="str">
        <f ca="1">IF(TODAY()&gt;=vendaAno[[#This Row],[data]],SUM(BK220:BK226)*12,"")</f>
        <v/>
      </c>
      <c r="BQ226" s="7" t="str">
        <f ca="1">IFERROR(vendaAno[[#This Row],[lucro]]/(vendaAno[[#This Row],[venda]]*12),"")</f>
        <v/>
      </c>
    </row>
    <row r="227" spans="1:69" x14ac:dyDescent="0.25">
      <c r="A2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7" s="18" t="str">
        <f>TEXT(preçodiario[[#This Row],[data]],"MMM")</f>
        <v>ago</v>
      </c>
      <c r="C227" s="18" t="str">
        <f>TEXT(preçodiario[[#This Row],[data]],"ddd")</f>
        <v>sex</v>
      </c>
      <c r="D227" s="96">
        <f>WEEKNUM(preçodiario[[#This Row],[data]],13)</f>
        <v>33</v>
      </c>
      <c r="E227" s="37">
        <v>46248</v>
      </c>
      <c r="F2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Row],[data]])),((F226*G226)+SUMIFS(estoque[valor total],estoque[produto],preçodiario[[#Headers],[OVO BRANCO A]],estoque[data],preçodiario[[#This Row],[data]],estoque[fornecedor],"&lt;&gt;saída"))/(G226+(SUMIFS(estoque[quantidade],estoque[produto],preçodiario[[#Headers],[OVO BRANCO A]],estoque[fornecedor],"&lt;&gt;saída",estoque[data],preçodiario[[#This Row],[data]])))))</f>
        <v>15.278182701652089</v>
      </c>
      <c r="G227" s="22">
        <f>IF(preçodiario[[#This Row],[entrada A]]=0,G226-(SUMIFS(estoque[quantidade],estoque[fornecedor],"saída",estoque[produto],preçodiario[[#Headers],[OVO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Row],[data]]))+G226+preçodiario[[#This Row],[entrada A]])</f>
        <v>133</v>
      </c>
      <c r="H227" s="22">
        <f>SUMIFS(estoque[quantidade],estoque[fornecedor],"&lt;&gt;saída",estoque[produto],preçodiario[[#Headers],[OVO BRANCO A]],estoque[data],preçodiario[[#This Row],[data]])</f>
        <v>0</v>
      </c>
      <c r="I227" s="20">
        <f>SUMIFS(estoque[valor total],estoque[fornecedor],"&lt;&gt;saída",estoque[produto],preçodiario[[#Headers],[OVO BRANCO A]],estoque[data],preçodiario[[#This Row],[data]])</f>
        <v>0</v>
      </c>
      <c r="J227" s="20">
        <f>IFERROR(preçodiario[[#This Row],[estoque A]]*preçodiario[[#This Row],[OVO BRANCO A]],0)</f>
        <v>2031.9982993197277</v>
      </c>
      <c r="K2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Row],[data]])),((K226*L226)+SUMIFS(estoque[valor total],estoque[produto],preçodiario[[#Headers],[OVO BRANCO B]],estoque[data],preçodiario[[#This Row],[data]],estoque[fornecedor],"&lt;&gt;saída"))/(L226+(SUMIFS(estoque[quantidade],estoque[produto],preçodiario[[#Headers],[OVO BRANCO B]],estoque[fornecedor],"&lt;&gt;saída",estoque[data],preçodiario[[#This Row],[data]])))))</f>
        <v>14.584252837326604</v>
      </c>
      <c r="L227" s="22">
        <f>IF(preçodiario[[#This Row],[entrada B]]=0,L226-(SUMIFS(estoque[quantidade],estoque[fornecedor],"saída",estoque[produto],preçodiario[[#Headers],[OVO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Row],[data]]))+L226+preçodiario[[#This Row],[entrada B]])</f>
        <v>16</v>
      </c>
      <c r="M227" s="22">
        <f>SUMIFS(estoque[quantidade],estoque[fornecedor],"&lt;&gt;saída",estoque[produto],preçodiario[[#Headers],[OVO BRANCO B]],estoque[data],preçodiario[[#This Row],[data]])</f>
        <v>0</v>
      </c>
      <c r="N227" s="20">
        <f>SUMIFS(estoque[valor total],estoque[fornecedor],"&lt;&gt;saída",estoque[produto],preçodiario[[#Headers],[OVO BRANCO B]],estoque[data],preçodiario[[#This Row],[data]])</f>
        <v>0</v>
      </c>
      <c r="O227" s="20">
        <f>IFERROR(preçodiario[[#This Row],[OVO BRANCO B]]*preçodiario[[#This Row],[estoque B]],0)</f>
        <v>233.34804539722566</v>
      </c>
      <c r="P2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Row],[data]])),((P226*Q226)+SUMIFS(estoque[valor total],estoque[produto],preçodiario[[#Headers],[OVO BRANCO C]],estoque[data],preçodiario[[#This Row],[data]],estoque[fornecedor],"&lt;&gt;saída"))/(Q226+(SUMIFS(estoque[quantidade],estoque[produto],preçodiario[[#Headers],[OVO BRANCO C]],estoque[fornecedor],"&lt;&gt;saída",estoque[data],preçodiario[[#This Row],[data]])))))</f>
        <v>12.5</v>
      </c>
      <c r="Q227" s="22">
        <f>IF(preçodiario[[#This Row],[entrada C]]=0,Q226-(SUMIFS(estoque[quantidade],estoque[fornecedor],"saída",estoque[produto],preçodiario[[#Headers],[OVO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Row],[data]]))+Q226+preçodiario[[#This Row],[entrada C]])</f>
        <v>60</v>
      </c>
      <c r="R227" s="22">
        <f>SUMIFS(estoque[quantidade],estoque[fornecedor],"&lt;&gt;saída",estoque[produto],preçodiario[[#Headers],[OVO BRANCO C]],estoque[data],preçodiario[[#This Row],[data]])</f>
        <v>0</v>
      </c>
      <c r="S227" s="20">
        <f>SUMIFS(estoque[valor total],estoque[fornecedor],"&lt;&gt;saída",estoque[produto],preçodiario[[#Headers],[OVO BRANCO C]],estoque[data],preçodiario[[#This Row],[data]])</f>
        <v>0</v>
      </c>
      <c r="T227" s="20">
        <f>IFERROR(preçodiario[[#This Row],[OVO BRANCO C]]*preçodiario[[#This Row],[estoque C]],0)</f>
        <v>750</v>
      </c>
      <c r="U2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Row],[data]])),((U226*V226)+SUMIFS(estoque[valor total],estoque[produto],preçodiario[[#Headers],[OVO BRANCO EXTRA]],estoque[data],preçodiario[[#This Row],[data]],estoque[fornecedor],"&lt;&gt;saída"))/(V226+(SUMIFS(estoque[quantidade],estoque[produto],preçodiario[[#Headers],[OVO BRANCO EXTRA]],estoque[fornecedor],"&lt;&gt;saída",estoque[data],preçodiario[[#This Row],[data]])))))</f>
        <v>15.725438400674655</v>
      </c>
      <c r="V227" s="22">
        <f>IF(preçodiario[[#This Row],[entrada E]]=0,V226-(SUMIFS(estoque[quantidade],estoque[fornecedor],"saída",estoque[produto],preçodiario[[#Headers],[OVO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Row],[data]]))+V226+preçodiario[[#This Row],[entrada E]])</f>
        <v>46</v>
      </c>
      <c r="W227" s="22">
        <f>SUMIFS(estoque[quantidade],estoque[fornecedor],"&lt;&gt;saída",estoque[produto],preçodiario[[#Headers],[OVO BRANCO EXTRA]],estoque[data],preçodiario[[#This Row],[data]])</f>
        <v>0</v>
      </c>
      <c r="X227" s="20">
        <f>SUMIFS(estoque[valor total],estoque[fornecedor],"&lt;&gt;saída",estoque[produto],preçodiario[[#Headers],[OVO BRANCO EXTRA]],estoque[data],preçodiario[[#This Row],[data]])</f>
        <v>0</v>
      </c>
      <c r="Y227" s="20">
        <f>IFERROR(preçodiario[[#This Row],[estoque E]]*preçodiario[[#This Row],[OVO BRANCO EXTRA]],0)</f>
        <v>723.37016643103414</v>
      </c>
      <c r="Z2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Row],[data]])),((Z226*AA226)+SUMIFS(estoque[valor total],estoque[produto],preçodiario[[#Headers],[OVO BRANCO JUMBO]],estoque[data],preçodiario[[#This Row],[data]],estoque[fornecedor],"&lt;&gt;saída"))/(AA226+(SUMIFS(estoque[quantidade],estoque[produto],preçodiario[[#Headers],[OVO BRANCO JUMBO]],estoque[fornecedor],"&lt;&gt;saída",estoque[data],preçodiario[[#This Row],[data]])))))</f>
        <v>16.50550595238095</v>
      </c>
      <c r="AA227" s="22">
        <f>IF(preçodiario[[#This Row],[entrada J]]=0,AA226-(SUMIFS(estoque[quantidade],estoque[fornecedor],"saída",estoque[produto],preçodiario[[#Headers],[OVO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Row],[data]]))+AA226+preçodiario[[#This Row],[entrada J]])</f>
        <v>75</v>
      </c>
      <c r="AB227" s="22">
        <f>SUMIFS(estoque[quantidade],estoque[fornecedor],"&lt;&gt;saída",estoque[produto],preçodiario[[#Headers],[OVO BRANCO JUMBO]],estoque[data],preçodiario[[#This Row],[data]])</f>
        <v>0</v>
      </c>
      <c r="AC227" s="20">
        <f>SUMIFS(estoque[valor total],estoque[fornecedor],"&lt;&gt;saída",estoque[produto],preçodiario[[#Headers],[OVO BRANCO JUMBO]],estoque[data],preçodiario[[#This Row],[data]])</f>
        <v>0</v>
      </c>
      <c r="AD227" s="20">
        <f>IFERROR(preçodiario[[#This Row],[OVO BRANCO JUMBO]]*preçodiario[[#This Row],[estoque J]],0)</f>
        <v>1237.9129464285713</v>
      </c>
      <c r="AE2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Row],[data]])),((AE226*AF226)+SUMIFS(estoque[valor total],estoque[produto],preçodiario[[#Headers],[OVO VERMELHO A]],estoque[data],preçodiario[[#This Row],[data]],estoque[fornecedor],"&lt;&gt;saída"))/(AF226+(SUMIFS(estoque[quantidade],estoque[produto],preçodiario[[#Headers],[OVO VERMELHO A]],estoque[fornecedor],"&lt;&gt;saída",estoque[data],preçodiario[[#This Row],[data]])))))</f>
        <v/>
      </c>
      <c r="AF227" s="22">
        <f>IF(preçodiario[[#This Row],[entrada AV]]=0,AF226-(SUMIFS(estoque[quantidade],estoque[fornecedor],"saída",estoque[produto],preçodiario[[#Headers],[OVO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Row],[data]]))+AF226+preçodiario[[#This Row],[entrada AV]])</f>
        <v>0</v>
      </c>
      <c r="AG227" s="22">
        <f>SUMIFS(estoque[quantidade],estoque[fornecedor],"&lt;&gt;saída",estoque[produto],preçodiario[[#Headers],[OVO VERMELHO A]],estoque[data],preçodiario[[#This Row],[data]])</f>
        <v>0</v>
      </c>
      <c r="AH227" s="20">
        <f>SUMIFS(estoque[valor total],estoque[fornecedor],"&lt;&gt;saída",estoque[produto],preçodiario[[#Headers],[OVO VERMELHO A]],estoque[data],preçodiario[[#This Row],[data]])</f>
        <v>0</v>
      </c>
      <c r="AI227" s="20">
        <f>IFERROR(preçodiario[[#This Row],[OVO VERMELHO A]]*preçodiario[[#This Row],[estoque AV]],0)</f>
        <v>0</v>
      </c>
      <c r="AJ2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Row],[data]])),((AJ226*AK226)+SUMIFS(estoque[valor total],estoque[produto],preçodiario[[#Headers],[OVO VERMELHO B]],estoque[data],preçodiario[[#This Row],[data]],estoque[fornecedor],"&lt;&gt;saída"))/(AK226+(SUMIFS(estoque[quantidade],estoque[produto],preçodiario[[#Headers],[OVO VERMELHO B]],estoque[fornecedor],"&lt;&gt;saída",estoque[data],preçodiario[[#This Row],[data]])))))</f>
        <v/>
      </c>
      <c r="AK227" s="22">
        <f>IF(preçodiario[[#This Row],[entrada BV]]=0,AK226-(SUMIFS(estoque[quantidade],estoque[fornecedor],"saída",estoque[produto],preçodiario[[#Headers],[OVO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Row],[data]]))+AK226+preçodiario[[#This Row],[entrada BV]])</f>
        <v>0</v>
      </c>
      <c r="AL227" s="22">
        <f>SUMIFS(estoque[quantidade],estoque[fornecedor],"&lt;&gt;saída",estoque[produto],preçodiario[[#Headers],[OVO VERMELHO B]],estoque[data],preçodiario[[#This Row],[data]])</f>
        <v>0</v>
      </c>
      <c r="AM227" s="20">
        <f>SUMIFS(estoque[valor total],estoque[fornecedor],"&lt;&gt;saída",estoque[produto],preçodiario[[#Headers],[OVO VERMELHO B]],estoque[data],preçodiario[[#This Row],[data]])</f>
        <v>0</v>
      </c>
      <c r="AN227" s="20">
        <f>IFERROR(preçodiario[[#This Row],[OVO VERMELHO B]]*preçodiario[[#This Row],[estoque BV]],0)</f>
        <v>0</v>
      </c>
      <c r="AO2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Row],[data]])),((AO226*AP226)+SUMIFS(estoque[valor total],estoque[produto],preçodiario[[#Headers],[OVO VERMELHO C]],estoque[data],preçodiario[[#This Row],[data]],estoque[fornecedor],"&lt;&gt;saída"))/(AP226+(SUMIFS(estoque[quantidade],estoque[produto],preçodiario[[#Headers],[OVO VERMELHO C]],estoque[fornecedor],"&lt;&gt;saída",estoque[data],preçodiario[[#This Row],[data]])))))</f>
        <v/>
      </c>
      <c r="AP227" s="22">
        <f>IF(preçodiario[[#This Row],[entrada CV]]=0,AP226-(SUMIFS(estoque[quantidade],estoque[fornecedor],"saída",estoque[produto],preçodiario[[#Headers],[OVO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Row],[data]]))+AP226+preçodiario[[#This Row],[entrada CV]])</f>
        <v>0</v>
      </c>
      <c r="AQ227" s="22">
        <f>SUMIFS(estoque[quantidade],estoque[fornecedor],"&lt;&gt;saída",estoque[produto],preçodiario[[#Headers],[OVO VERMELHO C]],estoque[data],preçodiario[[#This Row],[data]])</f>
        <v>0</v>
      </c>
      <c r="AR227" s="20">
        <f>SUMIFS(estoque[valor total],estoque[fornecedor],"&lt;&gt;saída",estoque[produto],preçodiario[[#Headers],[OVO VERMELHO C]],estoque[data],preçodiario[[#This Row],[data]])</f>
        <v>0</v>
      </c>
      <c r="AS227" s="20">
        <f>IFERROR(preçodiario[[#This Row],[OVO VERMELHO C]]*preçodiario[[#This Row],[estoque CV]],0)</f>
        <v>0</v>
      </c>
      <c r="AT2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Row],[data]])),((AT226*AU226)+SUMIFS(estoque[valor total],estoque[produto],preçodiario[[#Headers],[OVO VERMELHO EXTRA]],estoque[data],preçodiario[[#This Row],[data]],estoque[fornecedor],"&lt;&gt;saída"))/(AU226+(SUMIFS(estoque[quantidade],estoque[produto],preçodiario[[#Headers],[OVO VERMELHO EXTRA]],estoque[fornecedor],"&lt;&gt;saída",estoque[data],preçodiario[[#This Row],[data]])))))</f>
        <v/>
      </c>
      <c r="AU227" s="22">
        <f>IF(preçodiario[[#This Row],[entrada EV]]=0,AU226-(SUMIFS(estoque[quantidade],estoque[fornecedor],"saída",estoque[produto],preçodiario[[#Headers],[OVO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Row],[data]]))+AU226+preçodiario[[#This Row],[entrada EV]])</f>
        <v>0</v>
      </c>
      <c r="AV227" s="22">
        <f>SUMIFS(estoque[quantidade],estoque[fornecedor],"&lt;&gt;saída",estoque[produto],preçodiario[[#Headers],[OVO VERMELHO EXTRA]],estoque[data],preçodiario[[#This Row],[data]])</f>
        <v>0</v>
      </c>
      <c r="AW227" s="20">
        <f>SUMIFS(estoque[valor total],estoque[fornecedor],"&lt;&gt;saída",estoque[produto],preçodiario[[#Headers],[OVO VERMELHO EXTRA]],estoque[data],preçodiario[[#This Row],[data]])</f>
        <v>0</v>
      </c>
      <c r="AX227" s="20">
        <f>IFERROR(preçodiario[[#This Row],[OVO VERMELHO EXTRA]]*preçodiario[[#This Row],[estoque EV]],0)</f>
        <v>0</v>
      </c>
      <c r="AY2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Row],[data]])),((AY226*AZ226)+SUMIFS(estoque[valor total],estoque[produto],preçodiario[[#Headers],[OVO VERMELHO JUMBO]],estoque[data],preçodiario[[#This Row],[data]],estoque[fornecedor],"&lt;&gt;saída"))/(AZ226+(SUMIFS(estoque[quantidade],estoque[produto],preçodiario[[#Headers],[OVO VERMELHO JUMBO]],estoque[fornecedor],"&lt;&gt;saída",estoque[data],preçodiario[[#This Row],[data]])))))</f>
        <v/>
      </c>
      <c r="AZ227" s="22">
        <f>IF(preçodiario[[#This Row],[entrada JV]]=0,AZ226-(SUMIFS(estoque[quantidade],estoque[fornecedor],"saída",estoque[produto],preçodiario[[#Headers],[OVO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Row],[data]]))+AZ226+preçodiario[[#This Row],[entrada JV]])</f>
        <v>0</v>
      </c>
      <c r="BA227" s="22">
        <f>SUMIFS(estoque[quantidade],estoque[fornecedor],"&lt;&gt;saída",estoque[produto],preçodiario[[#Headers],[OVO VERMELHO JUMBO]],estoque[data],preçodiario[[#This Row],[data]])</f>
        <v>0</v>
      </c>
      <c r="BB227" s="20">
        <f>SUMIFS(estoque[valor total],estoque[fornecedor],"&lt;&gt;saída",estoque[produto],preçodiario[[#Headers],[OVO VERMELHO JUMBO]],estoque[data],preçodiario[[#This Row],[data]])</f>
        <v>0</v>
      </c>
      <c r="BC227" s="20">
        <f>IFERROR(preçodiario[[#This Row],[OVO VERMELHO JUMBO]]*preçodiario[[#This Row],[estoque JV]],0)</f>
        <v>0</v>
      </c>
      <c r="BD227" t="str">
        <f>TEXT(vendaAno[[#This Row],[data]],"mmm")</f>
        <v>ago</v>
      </c>
      <c r="BE227" t="str">
        <f>TEXT(vendaAno[[#This Row],[data]],"ddd")</f>
        <v>sex</v>
      </c>
      <c r="BF227" s="82">
        <f>WEEKNUM(vendaAno[[#This Row],[data]],13)</f>
        <v>33</v>
      </c>
      <c r="BG227" s="27">
        <f>preçodiario[[#This Row],[data]]</f>
        <v>46248</v>
      </c>
      <c r="BH2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Row],[data]]))/12+BJ226,"")</f>
        <v/>
      </c>
      <c r="BK227" s="79" t="str">
        <f ca="1">IF(TODAY()&gt;=vendaAno[[#This Row],[data]],IF(SUMIFS(estoque[quantidade],estoque[fornecedor],"saída",estoque[data],vendaAno[[#This Row],[data]])/12=0,AVERAGE(BK224:BK226),SUMIFS(estoque[quantidade],estoque[fornecedor],"saída",estoque[data],vendaAno[[#This Row],[data]])/12),"")</f>
        <v/>
      </c>
      <c r="BL227" s="8" t="str">
        <f ca="1">IF(vendaAno[[#This Row],[data]]&lt;=TODAY(),IF(SUMIFS(estoque[lucro],estoque[fornecedor],"saída",estoque[data],vendaAno[[#This Row],[data]])=0,AVERAGE(BL224:BL226),SUMIFS(estoque[lucro],estoque[fornecedor],"saída",estoque[data],vendaAno[[#This Row],[data]])),"")</f>
        <v/>
      </c>
      <c r="BM227" s="10" t="str">
        <f ca="1">IFERROR(vendaAno[[#This Row],[lucro]]/vendaAno[[#This Row],[valor de venda]],"")</f>
        <v/>
      </c>
      <c r="BN22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7" s="8" t="str">
        <f ca="1">IF(TODAY()&gt;=vendaAno[[#This Row],[data]],IF(vendaAno[[#This Row],[N°]]=BF226,vendaAno[[#This Row],[lucro]]-173.33+BO226,vendaAno[[#This Row],[lucro]]-150),"")</f>
        <v/>
      </c>
      <c r="BP227" s="81" t="str">
        <f ca="1">IF(TODAY()&gt;=vendaAno[[#This Row],[data]],SUM(BK221:BK227)*12,"")</f>
        <v/>
      </c>
      <c r="BQ227" s="7" t="str">
        <f ca="1">IFERROR(vendaAno[[#This Row],[lucro]]/(vendaAno[[#This Row],[venda]]*12),"")</f>
        <v/>
      </c>
    </row>
    <row r="228" spans="1:69" x14ac:dyDescent="0.25">
      <c r="A2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8" s="18" t="str">
        <f>TEXT(preçodiario[[#This Row],[data]],"MMM")</f>
        <v>ago</v>
      </c>
      <c r="C228" s="18" t="str">
        <f>TEXT(preçodiario[[#This Row],[data]],"ddd")</f>
        <v>sáb</v>
      </c>
      <c r="D228" s="96">
        <f>WEEKNUM(preçodiario[[#This Row],[data]],13)</f>
        <v>33</v>
      </c>
      <c r="E228" s="37">
        <v>46249</v>
      </c>
      <c r="F2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Row],[data]])),((F227*G227)+SUMIFS(estoque[valor total],estoque[produto],preçodiario[[#Headers],[OVO BRANCO A]],estoque[data],preçodiario[[#This Row],[data]],estoque[fornecedor],"&lt;&gt;saída"))/(G227+(SUMIFS(estoque[quantidade],estoque[produto],preçodiario[[#Headers],[OVO BRANCO A]],estoque[fornecedor],"&lt;&gt;saída",estoque[data],preçodiario[[#This Row],[data]])))))</f>
        <v>15.278182701652089</v>
      </c>
      <c r="G228" s="22">
        <f>IF(preçodiario[[#This Row],[entrada A]]=0,G227-(SUMIFS(estoque[quantidade],estoque[fornecedor],"saída",estoque[produto],preçodiario[[#Headers],[OVO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Row],[data]]))+G227+preçodiario[[#This Row],[entrada A]])</f>
        <v>133</v>
      </c>
      <c r="H228" s="22">
        <f>SUMIFS(estoque[quantidade],estoque[fornecedor],"&lt;&gt;saída",estoque[produto],preçodiario[[#Headers],[OVO BRANCO A]],estoque[data],preçodiario[[#This Row],[data]])</f>
        <v>0</v>
      </c>
      <c r="I228" s="20">
        <f>SUMIFS(estoque[valor total],estoque[fornecedor],"&lt;&gt;saída",estoque[produto],preçodiario[[#Headers],[OVO BRANCO A]],estoque[data],preçodiario[[#This Row],[data]])</f>
        <v>0</v>
      </c>
      <c r="J228" s="20">
        <f>IFERROR(preçodiario[[#This Row],[estoque A]]*preçodiario[[#This Row],[OVO BRANCO A]],0)</f>
        <v>2031.9982993197277</v>
      </c>
      <c r="K2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Row],[data]])),((K227*L227)+SUMIFS(estoque[valor total],estoque[produto],preçodiario[[#Headers],[OVO BRANCO B]],estoque[data],preçodiario[[#This Row],[data]],estoque[fornecedor],"&lt;&gt;saída"))/(L227+(SUMIFS(estoque[quantidade],estoque[produto],preçodiario[[#Headers],[OVO BRANCO B]],estoque[fornecedor],"&lt;&gt;saída",estoque[data],preçodiario[[#This Row],[data]])))))</f>
        <v>14.584252837326604</v>
      </c>
      <c r="L228" s="22">
        <f>IF(preçodiario[[#This Row],[entrada B]]=0,L227-(SUMIFS(estoque[quantidade],estoque[fornecedor],"saída",estoque[produto],preçodiario[[#Headers],[OVO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Row],[data]]))+L227+preçodiario[[#This Row],[entrada B]])</f>
        <v>16</v>
      </c>
      <c r="M228" s="22">
        <f>SUMIFS(estoque[quantidade],estoque[fornecedor],"&lt;&gt;saída",estoque[produto],preçodiario[[#Headers],[OVO BRANCO B]],estoque[data],preçodiario[[#This Row],[data]])</f>
        <v>0</v>
      </c>
      <c r="N228" s="20">
        <f>SUMIFS(estoque[valor total],estoque[fornecedor],"&lt;&gt;saída",estoque[produto],preçodiario[[#Headers],[OVO BRANCO B]],estoque[data],preçodiario[[#This Row],[data]])</f>
        <v>0</v>
      </c>
      <c r="O228" s="20">
        <f>IFERROR(preçodiario[[#This Row],[OVO BRANCO B]]*preçodiario[[#This Row],[estoque B]],0)</f>
        <v>233.34804539722566</v>
      </c>
      <c r="P2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Row],[data]])),((P227*Q227)+SUMIFS(estoque[valor total],estoque[produto],preçodiario[[#Headers],[OVO BRANCO C]],estoque[data],preçodiario[[#This Row],[data]],estoque[fornecedor],"&lt;&gt;saída"))/(Q227+(SUMIFS(estoque[quantidade],estoque[produto],preçodiario[[#Headers],[OVO BRANCO C]],estoque[fornecedor],"&lt;&gt;saída",estoque[data],preçodiario[[#This Row],[data]])))))</f>
        <v>12.5</v>
      </c>
      <c r="Q228" s="22">
        <f>IF(preçodiario[[#This Row],[entrada C]]=0,Q227-(SUMIFS(estoque[quantidade],estoque[fornecedor],"saída",estoque[produto],preçodiario[[#Headers],[OVO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Row],[data]]))+Q227+preçodiario[[#This Row],[entrada C]])</f>
        <v>60</v>
      </c>
      <c r="R228" s="22">
        <f>SUMIFS(estoque[quantidade],estoque[fornecedor],"&lt;&gt;saída",estoque[produto],preçodiario[[#Headers],[OVO BRANCO C]],estoque[data],preçodiario[[#This Row],[data]])</f>
        <v>0</v>
      </c>
      <c r="S228" s="20">
        <f>SUMIFS(estoque[valor total],estoque[fornecedor],"&lt;&gt;saída",estoque[produto],preçodiario[[#Headers],[OVO BRANCO C]],estoque[data],preçodiario[[#This Row],[data]])</f>
        <v>0</v>
      </c>
      <c r="T228" s="20">
        <f>IFERROR(preçodiario[[#This Row],[OVO BRANCO C]]*preçodiario[[#This Row],[estoque C]],0)</f>
        <v>750</v>
      </c>
      <c r="U2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Row],[data]])),((U227*V227)+SUMIFS(estoque[valor total],estoque[produto],preçodiario[[#Headers],[OVO BRANCO EXTRA]],estoque[data],preçodiario[[#This Row],[data]],estoque[fornecedor],"&lt;&gt;saída"))/(V227+(SUMIFS(estoque[quantidade],estoque[produto],preçodiario[[#Headers],[OVO BRANCO EXTRA]],estoque[fornecedor],"&lt;&gt;saída",estoque[data],preçodiario[[#This Row],[data]])))))</f>
        <v>15.725438400674655</v>
      </c>
      <c r="V228" s="22">
        <f>IF(preçodiario[[#This Row],[entrada E]]=0,V227-(SUMIFS(estoque[quantidade],estoque[fornecedor],"saída",estoque[produto],preçodiario[[#Headers],[OVO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Row],[data]]))+V227+preçodiario[[#This Row],[entrada E]])</f>
        <v>46</v>
      </c>
      <c r="W228" s="22">
        <f>SUMIFS(estoque[quantidade],estoque[fornecedor],"&lt;&gt;saída",estoque[produto],preçodiario[[#Headers],[OVO BRANCO EXTRA]],estoque[data],preçodiario[[#This Row],[data]])</f>
        <v>0</v>
      </c>
      <c r="X228" s="20">
        <f>SUMIFS(estoque[valor total],estoque[fornecedor],"&lt;&gt;saída",estoque[produto],preçodiario[[#Headers],[OVO BRANCO EXTRA]],estoque[data],preçodiario[[#This Row],[data]])</f>
        <v>0</v>
      </c>
      <c r="Y228" s="20">
        <f>IFERROR(preçodiario[[#This Row],[estoque E]]*preçodiario[[#This Row],[OVO BRANCO EXTRA]],0)</f>
        <v>723.37016643103414</v>
      </c>
      <c r="Z2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Row],[data]])),((Z227*AA227)+SUMIFS(estoque[valor total],estoque[produto],preçodiario[[#Headers],[OVO BRANCO JUMBO]],estoque[data],preçodiario[[#This Row],[data]],estoque[fornecedor],"&lt;&gt;saída"))/(AA227+(SUMIFS(estoque[quantidade],estoque[produto],preçodiario[[#Headers],[OVO BRANCO JUMBO]],estoque[fornecedor],"&lt;&gt;saída",estoque[data],preçodiario[[#This Row],[data]])))))</f>
        <v>16.50550595238095</v>
      </c>
      <c r="AA228" s="22">
        <f>IF(preçodiario[[#This Row],[entrada J]]=0,AA227-(SUMIFS(estoque[quantidade],estoque[fornecedor],"saída",estoque[produto],preçodiario[[#Headers],[OVO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Row],[data]]))+AA227+preçodiario[[#This Row],[entrada J]])</f>
        <v>75</v>
      </c>
      <c r="AB228" s="22">
        <f>SUMIFS(estoque[quantidade],estoque[fornecedor],"&lt;&gt;saída",estoque[produto],preçodiario[[#Headers],[OVO BRANCO JUMBO]],estoque[data],preçodiario[[#This Row],[data]])</f>
        <v>0</v>
      </c>
      <c r="AC228" s="20">
        <f>SUMIFS(estoque[valor total],estoque[fornecedor],"&lt;&gt;saída",estoque[produto],preçodiario[[#Headers],[OVO BRANCO JUMBO]],estoque[data],preçodiario[[#This Row],[data]])</f>
        <v>0</v>
      </c>
      <c r="AD228" s="20">
        <f>IFERROR(preçodiario[[#This Row],[OVO BRANCO JUMBO]]*preçodiario[[#This Row],[estoque J]],0)</f>
        <v>1237.9129464285713</v>
      </c>
      <c r="AE2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Row],[data]])),((AE227*AF227)+SUMIFS(estoque[valor total],estoque[produto],preçodiario[[#Headers],[OVO VERMELHO A]],estoque[data],preçodiario[[#This Row],[data]],estoque[fornecedor],"&lt;&gt;saída"))/(AF227+(SUMIFS(estoque[quantidade],estoque[produto],preçodiario[[#Headers],[OVO VERMELHO A]],estoque[fornecedor],"&lt;&gt;saída",estoque[data],preçodiario[[#This Row],[data]])))))</f>
        <v/>
      </c>
      <c r="AF228" s="22">
        <f>IF(preçodiario[[#This Row],[entrada AV]]=0,AF227-(SUMIFS(estoque[quantidade],estoque[fornecedor],"saída",estoque[produto],preçodiario[[#Headers],[OVO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Row],[data]]))+AF227+preçodiario[[#This Row],[entrada AV]])</f>
        <v>0</v>
      </c>
      <c r="AG228" s="22">
        <f>SUMIFS(estoque[quantidade],estoque[fornecedor],"&lt;&gt;saída",estoque[produto],preçodiario[[#Headers],[OVO VERMELHO A]],estoque[data],preçodiario[[#This Row],[data]])</f>
        <v>0</v>
      </c>
      <c r="AH228" s="20">
        <f>SUMIFS(estoque[valor total],estoque[fornecedor],"&lt;&gt;saída",estoque[produto],preçodiario[[#Headers],[OVO VERMELHO A]],estoque[data],preçodiario[[#This Row],[data]])</f>
        <v>0</v>
      </c>
      <c r="AI228" s="20">
        <f>IFERROR(preçodiario[[#This Row],[OVO VERMELHO A]]*preçodiario[[#This Row],[estoque AV]],0)</f>
        <v>0</v>
      </c>
      <c r="AJ2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Row],[data]])),((AJ227*AK227)+SUMIFS(estoque[valor total],estoque[produto],preçodiario[[#Headers],[OVO VERMELHO B]],estoque[data],preçodiario[[#This Row],[data]],estoque[fornecedor],"&lt;&gt;saída"))/(AK227+(SUMIFS(estoque[quantidade],estoque[produto],preçodiario[[#Headers],[OVO VERMELHO B]],estoque[fornecedor],"&lt;&gt;saída",estoque[data],preçodiario[[#This Row],[data]])))))</f>
        <v/>
      </c>
      <c r="AK228" s="22">
        <f>IF(preçodiario[[#This Row],[entrada BV]]=0,AK227-(SUMIFS(estoque[quantidade],estoque[fornecedor],"saída",estoque[produto],preçodiario[[#Headers],[OVO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Row],[data]]))+AK227+preçodiario[[#This Row],[entrada BV]])</f>
        <v>0</v>
      </c>
      <c r="AL228" s="22">
        <f>SUMIFS(estoque[quantidade],estoque[fornecedor],"&lt;&gt;saída",estoque[produto],preçodiario[[#Headers],[OVO VERMELHO B]],estoque[data],preçodiario[[#This Row],[data]])</f>
        <v>0</v>
      </c>
      <c r="AM228" s="20">
        <f>SUMIFS(estoque[valor total],estoque[fornecedor],"&lt;&gt;saída",estoque[produto],preçodiario[[#Headers],[OVO VERMELHO B]],estoque[data],preçodiario[[#This Row],[data]])</f>
        <v>0</v>
      </c>
      <c r="AN228" s="20">
        <f>IFERROR(preçodiario[[#This Row],[OVO VERMELHO B]]*preçodiario[[#This Row],[estoque BV]],0)</f>
        <v>0</v>
      </c>
      <c r="AO2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Row],[data]])),((AO227*AP227)+SUMIFS(estoque[valor total],estoque[produto],preçodiario[[#Headers],[OVO VERMELHO C]],estoque[data],preçodiario[[#This Row],[data]],estoque[fornecedor],"&lt;&gt;saída"))/(AP227+(SUMIFS(estoque[quantidade],estoque[produto],preçodiario[[#Headers],[OVO VERMELHO C]],estoque[fornecedor],"&lt;&gt;saída",estoque[data],preçodiario[[#This Row],[data]])))))</f>
        <v/>
      </c>
      <c r="AP228" s="22">
        <f>IF(preçodiario[[#This Row],[entrada CV]]=0,AP227-(SUMIFS(estoque[quantidade],estoque[fornecedor],"saída",estoque[produto],preçodiario[[#Headers],[OVO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Row],[data]]))+AP227+preçodiario[[#This Row],[entrada CV]])</f>
        <v>0</v>
      </c>
      <c r="AQ228" s="22">
        <f>SUMIFS(estoque[quantidade],estoque[fornecedor],"&lt;&gt;saída",estoque[produto],preçodiario[[#Headers],[OVO VERMELHO C]],estoque[data],preçodiario[[#This Row],[data]])</f>
        <v>0</v>
      </c>
      <c r="AR228" s="20">
        <f>SUMIFS(estoque[valor total],estoque[fornecedor],"&lt;&gt;saída",estoque[produto],preçodiario[[#Headers],[OVO VERMELHO C]],estoque[data],preçodiario[[#This Row],[data]])</f>
        <v>0</v>
      </c>
      <c r="AS228" s="20">
        <f>IFERROR(preçodiario[[#This Row],[OVO VERMELHO C]]*preçodiario[[#This Row],[estoque CV]],0)</f>
        <v>0</v>
      </c>
      <c r="AT2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Row],[data]])),((AT227*AU227)+SUMIFS(estoque[valor total],estoque[produto],preçodiario[[#Headers],[OVO VERMELHO EXTRA]],estoque[data],preçodiario[[#This Row],[data]],estoque[fornecedor],"&lt;&gt;saída"))/(AU227+(SUMIFS(estoque[quantidade],estoque[produto],preçodiario[[#Headers],[OVO VERMELHO EXTRA]],estoque[fornecedor],"&lt;&gt;saída",estoque[data],preçodiario[[#This Row],[data]])))))</f>
        <v/>
      </c>
      <c r="AU228" s="22">
        <f>IF(preçodiario[[#This Row],[entrada EV]]=0,AU227-(SUMIFS(estoque[quantidade],estoque[fornecedor],"saída",estoque[produto],preçodiario[[#Headers],[OVO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Row],[data]]))+AU227+preçodiario[[#This Row],[entrada EV]])</f>
        <v>0</v>
      </c>
      <c r="AV228" s="22">
        <f>SUMIFS(estoque[quantidade],estoque[fornecedor],"&lt;&gt;saída",estoque[produto],preçodiario[[#Headers],[OVO VERMELHO EXTRA]],estoque[data],preçodiario[[#This Row],[data]])</f>
        <v>0</v>
      </c>
      <c r="AW228" s="20">
        <f>SUMIFS(estoque[valor total],estoque[fornecedor],"&lt;&gt;saída",estoque[produto],preçodiario[[#Headers],[OVO VERMELHO EXTRA]],estoque[data],preçodiario[[#This Row],[data]])</f>
        <v>0</v>
      </c>
      <c r="AX228" s="20">
        <f>IFERROR(preçodiario[[#This Row],[OVO VERMELHO EXTRA]]*preçodiario[[#This Row],[estoque EV]],0)</f>
        <v>0</v>
      </c>
      <c r="AY2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Row],[data]])),((AY227*AZ227)+SUMIFS(estoque[valor total],estoque[produto],preçodiario[[#Headers],[OVO VERMELHO JUMBO]],estoque[data],preçodiario[[#This Row],[data]],estoque[fornecedor],"&lt;&gt;saída"))/(AZ227+(SUMIFS(estoque[quantidade],estoque[produto],preçodiario[[#Headers],[OVO VERMELHO JUMBO]],estoque[fornecedor],"&lt;&gt;saída",estoque[data],preçodiario[[#This Row],[data]])))))</f>
        <v/>
      </c>
      <c r="AZ228" s="22">
        <f>IF(preçodiario[[#This Row],[entrada JV]]=0,AZ227-(SUMIFS(estoque[quantidade],estoque[fornecedor],"saída",estoque[produto],preçodiario[[#Headers],[OVO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Row],[data]]))+AZ227+preçodiario[[#This Row],[entrada JV]])</f>
        <v>0</v>
      </c>
      <c r="BA228" s="22">
        <f>SUMIFS(estoque[quantidade],estoque[fornecedor],"&lt;&gt;saída",estoque[produto],preçodiario[[#Headers],[OVO VERMELHO JUMBO]],estoque[data],preçodiario[[#This Row],[data]])</f>
        <v>0</v>
      </c>
      <c r="BB228" s="20">
        <f>SUMIFS(estoque[valor total],estoque[fornecedor],"&lt;&gt;saída",estoque[produto],preçodiario[[#Headers],[OVO VERMELHO JUMBO]],estoque[data],preçodiario[[#This Row],[data]])</f>
        <v>0</v>
      </c>
      <c r="BC228" s="20">
        <f>IFERROR(preçodiario[[#This Row],[OVO VERMELHO JUMBO]]*preçodiario[[#This Row],[estoque JV]],0)</f>
        <v>0</v>
      </c>
      <c r="BD228" t="str">
        <f>TEXT(vendaAno[[#This Row],[data]],"mmm")</f>
        <v>ago</v>
      </c>
      <c r="BE228" t="str">
        <f>TEXT(vendaAno[[#This Row],[data]],"ddd")</f>
        <v>sáb</v>
      </c>
      <c r="BF228" s="82">
        <f>WEEKNUM(vendaAno[[#This Row],[data]],13)</f>
        <v>33</v>
      </c>
      <c r="BG228" s="27">
        <f>preçodiario[[#This Row],[data]]</f>
        <v>46249</v>
      </c>
      <c r="BH2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Row],[data]]))/12+BJ227,"")</f>
        <v/>
      </c>
      <c r="BK228" s="79" t="str">
        <f ca="1">IF(TODAY()&gt;=vendaAno[[#This Row],[data]],IF(SUMIFS(estoque[quantidade],estoque[fornecedor],"saída",estoque[data],vendaAno[[#This Row],[data]])/12=0,AVERAGE(BK225:BK227),SUMIFS(estoque[quantidade],estoque[fornecedor],"saída",estoque[data],vendaAno[[#This Row],[data]])/12),"")</f>
        <v/>
      </c>
      <c r="BL228" s="8" t="str">
        <f ca="1">IF(vendaAno[[#This Row],[data]]&lt;=TODAY(),IF(SUMIFS(estoque[lucro],estoque[fornecedor],"saída",estoque[data],vendaAno[[#This Row],[data]])=0,AVERAGE(BL225:BL227),SUMIFS(estoque[lucro],estoque[fornecedor],"saída",estoque[data],vendaAno[[#This Row],[data]])),"")</f>
        <v/>
      </c>
      <c r="BM228" s="10" t="str">
        <f ca="1">IFERROR(vendaAno[[#This Row],[lucro]]/vendaAno[[#This Row],[valor de venda]],"")</f>
        <v/>
      </c>
      <c r="BN22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8" s="8" t="str">
        <f ca="1">IF(TODAY()&gt;=vendaAno[[#This Row],[data]],IF(vendaAno[[#This Row],[N°]]=BF227,vendaAno[[#This Row],[lucro]]-173.33+BO227,vendaAno[[#This Row],[lucro]]-150),"")</f>
        <v/>
      </c>
      <c r="BP228" s="81" t="str">
        <f ca="1">IF(TODAY()&gt;=vendaAno[[#This Row],[data]],SUM(BK222:BK228)*12,"")</f>
        <v/>
      </c>
      <c r="BQ228" s="7" t="str">
        <f ca="1">IFERROR(vendaAno[[#This Row],[lucro]]/(vendaAno[[#This Row],[venda]]*12),"")</f>
        <v/>
      </c>
    </row>
    <row r="229" spans="1:69" x14ac:dyDescent="0.25">
      <c r="A2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29" s="18" t="str">
        <f>TEXT(preçodiario[[#This Row],[data]],"MMM")</f>
        <v>ago</v>
      </c>
      <c r="C229" s="18" t="str">
        <f>TEXT(preçodiario[[#This Row],[data]],"ddd")</f>
        <v>dom</v>
      </c>
      <c r="D229" s="96">
        <f>WEEKNUM(preçodiario[[#This Row],[data]],13)</f>
        <v>33</v>
      </c>
      <c r="E229" s="37">
        <v>46250</v>
      </c>
      <c r="F2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Row],[data]])),((F228*G228)+SUMIFS(estoque[valor total],estoque[produto],preçodiario[[#Headers],[OVO BRANCO A]],estoque[data],preçodiario[[#This Row],[data]],estoque[fornecedor],"&lt;&gt;saída"))/(G228+(SUMIFS(estoque[quantidade],estoque[produto],preçodiario[[#Headers],[OVO BRANCO A]],estoque[fornecedor],"&lt;&gt;saída",estoque[data],preçodiario[[#This Row],[data]])))))</f>
        <v>15.278182701652089</v>
      </c>
      <c r="G229" s="22">
        <f>IF(preçodiario[[#This Row],[entrada A]]=0,G228-(SUMIFS(estoque[quantidade],estoque[fornecedor],"saída",estoque[produto],preçodiario[[#Headers],[OVO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Row],[data]]))+G228+preçodiario[[#This Row],[entrada A]])</f>
        <v>133</v>
      </c>
      <c r="H229" s="22">
        <f>SUMIFS(estoque[quantidade],estoque[fornecedor],"&lt;&gt;saída",estoque[produto],preçodiario[[#Headers],[OVO BRANCO A]],estoque[data],preçodiario[[#This Row],[data]])</f>
        <v>0</v>
      </c>
      <c r="I229" s="20">
        <f>SUMIFS(estoque[valor total],estoque[fornecedor],"&lt;&gt;saída",estoque[produto],preçodiario[[#Headers],[OVO BRANCO A]],estoque[data],preçodiario[[#This Row],[data]])</f>
        <v>0</v>
      </c>
      <c r="J229" s="20">
        <f>IFERROR(preçodiario[[#This Row],[estoque A]]*preçodiario[[#This Row],[OVO BRANCO A]],0)</f>
        <v>2031.9982993197277</v>
      </c>
      <c r="K2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Row],[data]])),((K228*L228)+SUMIFS(estoque[valor total],estoque[produto],preçodiario[[#Headers],[OVO BRANCO B]],estoque[data],preçodiario[[#This Row],[data]],estoque[fornecedor],"&lt;&gt;saída"))/(L228+(SUMIFS(estoque[quantidade],estoque[produto],preçodiario[[#Headers],[OVO BRANCO B]],estoque[fornecedor],"&lt;&gt;saída",estoque[data],preçodiario[[#This Row],[data]])))))</f>
        <v>14.584252837326604</v>
      </c>
      <c r="L229" s="22">
        <f>IF(preçodiario[[#This Row],[entrada B]]=0,L228-(SUMIFS(estoque[quantidade],estoque[fornecedor],"saída",estoque[produto],preçodiario[[#Headers],[OVO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Row],[data]]))+L228+preçodiario[[#This Row],[entrada B]])</f>
        <v>16</v>
      </c>
      <c r="M229" s="22">
        <f>SUMIFS(estoque[quantidade],estoque[fornecedor],"&lt;&gt;saída",estoque[produto],preçodiario[[#Headers],[OVO BRANCO B]],estoque[data],preçodiario[[#This Row],[data]])</f>
        <v>0</v>
      </c>
      <c r="N229" s="20">
        <f>SUMIFS(estoque[valor total],estoque[fornecedor],"&lt;&gt;saída",estoque[produto],preçodiario[[#Headers],[OVO BRANCO B]],estoque[data],preçodiario[[#This Row],[data]])</f>
        <v>0</v>
      </c>
      <c r="O229" s="20">
        <f>IFERROR(preçodiario[[#This Row],[OVO BRANCO B]]*preçodiario[[#This Row],[estoque B]],0)</f>
        <v>233.34804539722566</v>
      </c>
      <c r="P2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Row],[data]])),((P228*Q228)+SUMIFS(estoque[valor total],estoque[produto],preçodiario[[#Headers],[OVO BRANCO C]],estoque[data],preçodiario[[#This Row],[data]],estoque[fornecedor],"&lt;&gt;saída"))/(Q228+(SUMIFS(estoque[quantidade],estoque[produto],preçodiario[[#Headers],[OVO BRANCO C]],estoque[fornecedor],"&lt;&gt;saída",estoque[data],preçodiario[[#This Row],[data]])))))</f>
        <v>12.5</v>
      </c>
      <c r="Q229" s="22">
        <f>IF(preçodiario[[#This Row],[entrada C]]=0,Q228-(SUMIFS(estoque[quantidade],estoque[fornecedor],"saída",estoque[produto],preçodiario[[#Headers],[OVO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Row],[data]]))+Q228+preçodiario[[#This Row],[entrada C]])</f>
        <v>60</v>
      </c>
      <c r="R229" s="22">
        <f>SUMIFS(estoque[quantidade],estoque[fornecedor],"&lt;&gt;saída",estoque[produto],preçodiario[[#Headers],[OVO BRANCO C]],estoque[data],preçodiario[[#This Row],[data]])</f>
        <v>0</v>
      </c>
      <c r="S229" s="20">
        <f>SUMIFS(estoque[valor total],estoque[fornecedor],"&lt;&gt;saída",estoque[produto],preçodiario[[#Headers],[OVO BRANCO C]],estoque[data],preçodiario[[#This Row],[data]])</f>
        <v>0</v>
      </c>
      <c r="T229" s="20">
        <f>IFERROR(preçodiario[[#This Row],[OVO BRANCO C]]*preçodiario[[#This Row],[estoque C]],0)</f>
        <v>750</v>
      </c>
      <c r="U2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Row],[data]])),((U228*V228)+SUMIFS(estoque[valor total],estoque[produto],preçodiario[[#Headers],[OVO BRANCO EXTRA]],estoque[data],preçodiario[[#This Row],[data]],estoque[fornecedor],"&lt;&gt;saída"))/(V228+(SUMIFS(estoque[quantidade],estoque[produto],preçodiario[[#Headers],[OVO BRANCO EXTRA]],estoque[fornecedor],"&lt;&gt;saída",estoque[data],preçodiario[[#This Row],[data]])))))</f>
        <v>15.725438400674655</v>
      </c>
      <c r="V229" s="22">
        <f>IF(preçodiario[[#This Row],[entrada E]]=0,V228-(SUMIFS(estoque[quantidade],estoque[fornecedor],"saída",estoque[produto],preçodiario[[#Headers],[OVO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Row],[data]]))+V228+preçodiario[[#This Row],[entrada E]])</f>
        <v>46</v>
      </c>
      <c r="W229" s="22">
        <f>SUMIFS(estoque[quantidade],estoque[fornecedor],"&lt;&gt;saída",estoque[produto],preçodiario[[#Headers],[OVO BRANCO EXTRA]],estoque[data],preçodiario[[#This Row],[data]])</f>
        <v>0</v>
      </c>
      <c r="X229" s="20">
        <f>SUMIFS(estoque[valor total],estoque[fornecedor],"&lt;&gt;saída",estoque[produto],preçodiario[[#Headers],[OVO BRANCO EXTRA]],estoque[data],preçodiario[[#This Row],[data]])</f>
        <v>0</v>
      </c>
      <c r="Y229" s="20">
        <f>IFERROR(preçodiario[[#This Row],[estoque E]]*preçodiario[[#This Row],[OVO BRANCO EXTRA]],0)</f>
        <v>723.37016643103414</v>
      </c>
      <c r="Z2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Row],[data]])),((Z228*AA228)+SUMIFS(estoque[valor total],estoque[produto],preçodiario[[#Headers],[OVO BRANCO JUMBO]],estoque[data],preçodiario[[#This Row],[data]],estoque[fornecedor],"&lt;&gt;saída"))/(AA228+(SUMIFS(estoque[quantidade],estoque[produto],preçodiario[[#Headers],[OVO BRANCO JUMBO]],estoque[fornecedor],"&lt;&gt;saída",estoque[data],preçodiario[[#This Row],[data]])))))</f>
        <v>16.50550595238095</v>
      </c>
      <c r="AA229" s="22">
        <f>IF(preçodiario[[#This Row],[entrada J]]=0,AA228-(SUMIFS(estoque[quantidade],estoque[fornecedor],"saída",estoque[produto],preçodiario[[#Headers],[OVO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Row],[data]]))+AA228+preçodiario[[#This Row],[entrada J]])</f>
        <v>75</v>
      </c>
      <c r="AB229" s="22">
        <f>SUMIFS(estoque[quantidade],estoque[fornecedor],"&lt;&gt;saída",estoque[produto],preçodiario[[#Headers],[OVO BRANCO JUMBO]],estoque[data],preçodiario[[#This Row],[data]])</f>
        <v>0</v>
      </c>
      <c r="AC229" s="20">
        <f>SUMIFS(estoque[valor total],estoque[fornecedor],"&lt;&gt;saída",estoque[produto],preçodiario[[#Headers],[OVO BRANCO JUMBO]],estoque[data],preçodiario[[#This Row],[data]])</f>
        <v>0</v>
      </c>
      <c r="AD229" s="20">
        <f>IFERROR(preçodiario[[#This Row],[OVO BRANCO JUMBO]]*preçodiario[[#This Row],[estoque J]],0)</f>
        <v>1237.9129464285713</v>
      </c>
      <c r="AE2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Row],[data]])),((AE228*AF228)+SUMIFS(estoque[valor total],estoque[produto],preçodiario[[#Headers],[OVO VERMELHO A]],estoque[data],preçodiario[[#This Row],[data]],estoque[fornecedor],"&lt;&gt;saída"))/(AF228+(SUMIFS(estoque[quantidade],estoque[produto],preçodiario[[#Headers],[OVO VERMELHO A]],estoque[fornecedor],"&lt;&gt;saída",estoque[data],preçodiario[[#This Row],[data]])))))</f>
        <v/>
      </c>
      <c r="AF229" s="22">
        <f>IF(preçodiario[[#This Row],[entrada AV]]=0,AF228-(SUMIFS(estoque[quantidade],estoque[fornecedor],"saída",estoque[produto],preçodiario[[#Headers],[OVO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Row],[data]]))+AF228+preçodiario[[#This Row],[entrada AV]])</f>
        <v>0</v>
      </c>
      <c r="AG229" s="22">
        <f>SUMIFS(estoque[quantidade],estoque[fornecedor],"&lt;&gt;saída",estoque[produto],preçodiario[[#Headers],[OVO VERMELHO A]],estoque[data],preçodiario[[#This Row],[data]])</f>
        <v>0</v>
      </c>
      <c r="AH229" s="20">
        <f>SUMIFS(estoque[valor total],estoque[fornecedor],"&lt;&gt;saída",estoque[produto],preçodiario[[#Headers],[OVO VERMELHO A]],estoque[data],preçodiario[[#This Row],[data]])</f>
        <v>0</v>
      </c>
      <c r="AI229" s="20">
        <f>IFERROR(preçodiario[[#This Row],[OVO VERMELHO A]]*preçodiario[[#This Row],[estoque AV]],0)</f>
        <v>0</v>
      </c>
      <c r="AJ2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Row],[data]])),((AJ228*AK228)+SUMIFS(estoque[valor total],estoque[produto],preçodiario[[#Headers],[OVO VERMELHO B]],estoque[data],preçodiario[[#This Row],[data]],estoque[fornecedor],"&lt;&gt;saída"))/(AK228+(SUMIFS(estoque[quantidade],estoque[produto],preçodiario[[#Headers],[OVO VERMELHO B]],estoque[fornecedor],"&lt;&gt;saída",estoque[data],preçodiario[[#This Row],[data]])))))</f>
        <v/>
      </c>
      <c r="AK229" s="22">
        <f>IF(preçodiario[[#This Row],[entrada BV]]=0,AK228-(SUMIFS(estoque[quantidade],estoque[fornecedor],"saída",estoque[produto],preçodiario[[#Headers],[OVO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Row],[data]]))+AK228+preçodiario[[#This Row],[entrada BV]])</f>
        <v>0</v>
      </c>
      <c r="AL229" s="22">
        <f>SUMIFS(estoque[quantidade],estoque[fornecedor],"&lt;&gt;saída",estoque[produto],preçodiario[[#Headers],[OVO VERMELHO B]],estoque[data],preçodiario[[#This Row],[data]])</f>
        <v>0</v>
      </c>
      <c r="AM229" s="20">
        <f>SUMIFS(estoque[valor total],estoque[fornecedor],"&lt;&gt;saída",estoque[produto],preçodiario[[#Headers],[OVO VERMELHO B]],estoque[data],preçodiario[[#This Row],[data]])</f>
        <v>0</v>
      </c>
      <c r="AN229" s="20">
        <f>IFERROR(preçodiario[[#This Row],[OVO VERMELHO B]]*preçodiario[[#This Row],[estoque BV]],0)</f>
        <v>0</v>
      </c>
      <c r="AO2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Row],[data]])),((AO228*AP228)+SUMIFS(estoque[valor total],estoque[produto],preçodiario[[#Headers],[OVO VERMELHO C]],estoque[data],preçodiario[[#This Row],[data]],estoque[fornecedor],"&lt;&gt;saída"))/(AP228+(SUMIFS(estoque[quantidade],estoque[produto],preçodiario[[#Headers],[OVO VERMELHO C]],estoque[fornecedor],"&lt;&gt;saída",estoque[data],preçodiario[[#This Row],[data]])))))</f>
        <v/>
      </c>
      <c r="AP229" s="22">
        <f>IF(preçodiario[[#This Row],[entrada CV]]=0,AP228-(SUMIFS(estoque[quantidade],estoque[fornecedor],"saída",estoque[produto],preçodiario[[#Headers],[OVO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Row],[data]]))+AP228+preçodiario[[#This Row],[entrada CV]])</f>
        <v>0</v>
      </c>
      <c r="AQ229" s="22">
        <f>SUMIFS(estoque[quantidade],estoque[fornecedor],"&lt;&gt;saída",estoque[produto],preçodiario[[#Headers],[OVO VERMELHO C]],estoque[data],preçodiario[[#This Row],[data]])</f>
        <v>0</v>
      </c>
      <c r="AR229" s="20">
        <f>SUMIFS(estoque[valor total],estoque[fornecedor],"&lt;&gt;saída",estoque[produto],preçodiario[[#Headers],[OVO VERMELHO C]],estoque[data],preçodiario[[#This Row],[data]])</f>
        <v>0</v>
      </c>
      <c r="AS229" s="20">
        <f>IFERROR(preçodiario[[#This Row],[OVO VERMELHO C]]*preçodiario[[#This Row],[estoque CV]],0)</f>
        <v>0</v>
      </c>
      <c r="AT2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Row],[data]])),((AT228*AU228)+SUMIFS(estoque[valor total],estoque[produto],preçodiario[[#Headers],[OVO VERMELHO EXTRA]],estoque[data],preçodiario[[#This Row],[data]],estoque[fornecedor],"&lt;&gt;saída"))/(AU228+(SUMIFS(estoque[quantidade],estoque[produto],preçodiario[[#Headers],[OVO VERMELHO EXTRA]],estoque[fornecedor],"&lt;&gt;saída",estoque[data],preçodiario[[#This Row],[data]])))))</f>
        <v/>
      </c>
      <c r="AU229" s="22">
        <f>IF(preçodiario[[#This Row],[entrada EV]]=0,AU228-(SUMIFS(estoque[quantidade],estoque[fornecedor],"saída",estoque[produto],preçodiario[[#Headers],[OVO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Row],[data]]))+AU228+preçodiario[[#This Row],[entrada EV]])</f>
        <v>0</v>
      </c>
      <c r="AV229" s="22">
        <f>SUMIFS(estoque[quantidade],estoque[fornecedor],"&lt;&gt;saída",estoque[produto],preçodiario[[#Headers],[OVO VERMELHO EXTRA]],estoque[data],preçodiario[[#This Row],[data]])</f>
        <v>0</v>
      </c>
      <c r="AW229" s="20">
        <f>SUMIFS(estoque[valor total],estoque[fornecedor],"&lt;&gt;saída",estoque[produto],preçodiario[[#Headers],[OVO VERMELHO EXTRA]],estoque[data],preçodiario[[#This Row],[data]])</f>
        <v>0</v>
      </c>
      <c r="AX229" s="20">
        <f>IFERROR(preçodiario[[#This Row],[OVO VERMELHO EXTRA]]*preçodiario[[#This Row],[estoque EV]],0)</f>
        <v>0</v>
      </c>
      <c r="AY2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Row],[data]])),((AY228*AZ228)+SUMIFS(estoque[valor total],estoque[produto],preçodiario[[#Headers],[OVO VERMELHO JUMBO]],estoque[data],preçodiario[[#This Row],[data]],estoque[fornecedor],"&lt;&gt;saída"))/(AZ228+(SUMIFS(estoque[quantidade],estoque[produto],preçodiario[[#Headers],[OVO VERMELHO JUMBO]],estoque[fornecedor],"&lt;&gt;saída",estoque[data],preçodiario[[#This Row],[data]])))))</f>
        <v/>
      </c>
      <c r="AZ229" s="22">
        <f>IF(preçodiario[[#This Row],[entrada JV]]=0,AZ228-(SUMIFS(estoque[quantidade],estoque[fornecedor],"saída",estoque[produto],preçodiario[[#Headers],[OVO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Row],[data]]))+AZ228+preçodiario[[#This Row],[entrada JV]])</f>
        <v>0</v>
      </c>
      <c r="BA229" s="22">
        <f>SUMIFS(estoque[quantidade],estoque[fornecedor],"&lt;&gt;saída",estoque[produto],preçodiario[[#Headers],[OVO VERMELHO JUMBO]],estoque[data],preçodiario[[#This Row],[data]])</f>
        <v>0</v>
      </c>
      <c r="BB229" s="20">
        <f>SUMIFS(estoque[valor total],estoque[fornecedor],"&lt;&gt;saída",estoque[produto],preçodiario[[#Headers],[OVO VERMELHO JUMBO]],estoque[data],preçodiario[[#This Row],[data]])</f>
        <v>0</v>
      </c>
      <c r="BC229" s="20">
        <f>IFERROR(preçodiario[[#This Row],[OVO VERMELHO JUMBO]]*preçodiario[[#This Row],[estoque JV]],0)</f>
        <v>0</v>
      </c>
      <c r="BD229" t="str">
        <f>TEXT(vendaAno[[#This Row],[data]],"mmm")</f>
        <v>ago</v>
      </c>
      <c r="BE229" t="str">
        <f>TEXT(vendaAno[[#This Row],[data]],"ddd")</f>
        <v>dom</v>
      </c>
      <c r="BF229" s="82">
        <f>WEEKNUM(vendaAno[[#This Row],[data]],13)</f>
        <v>33</v>
      </c>
      <c r="BG229" s="27">
        <f>preçodiario[[#This Row],[data]]</f>
        <v>46250</v>
      </c>
      <c r="BH2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2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2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Row],[data]]))/12+BJ228,"")</f>
        <v/>
      </c>
      <c r="BK229" s="79" t="str">
        <f ca="1">IF(TODAY()&gt;=vendaAno[[#This Row],[data]],IF(SUMIFS(estoque[quantidade],estoque[fornecedor],"saída",estoque[data],vendaAno[[#This Row],[data]])/12=0,AVERAGE(BK226:BK228),SUMIFS(estoque[quantidade],estoque[fornecedor],"saída",estoque[data],vendaAno[[#This Row],[data]])/12),"")</f>
        <v/>
      </c>
      <c r="BL229" s="8" t="str">
        <f ca="1">IF(vendaAno[[#This Row],[data]]&lt;=TODAY(),IF(SUMIFS(estoque[lucro],estoque[fornecedor],"saída",estoque[data],vendaAno[[#This Row],[data]])=0,AVERAGE(BL226:BL228),SUMIFS(estoque[lucro],estoque[fornecedor],"saída",estoque[data],vendaAno[[#This Row],[data]])),"")</f>
        <v/>
      </c>
      <c r="BM229" s="10" t="str">
        <f ca="1">IFERROR(vendaAno[[#This Row],[lucro]]/vendaAno[[#This Row],[valor de venda]],"")</f>
        <v/>
      </c>
      <c r="BN22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29" s="8" t="str">
        <f ca="1">IF(TODAY()&gt;=vendaAno[[#This Row],[data]],IF(vendaAno[[#This Row],[N°]]=BF228,vendaAno[[#This Row],[lucro]]-173.33+BO228,vendaAno[[#This Row],[lucro]]-150),"")</f>
        <v/>
      </c>
      <c r="BP229" s="81" t="str">
        <f ca="1">IF(TODAY()&gt;=vendaAno[[#This Row],[data]],SUM(BK223:BK229)*12,"")</f>
        <v/>
      </c>
      <c r="BQ229" s="7" t="str">
        <f ca="1">IFERROR(vendaAno[[#This Row],[lucro]]/(vendaAno[[#This Row],[venda]]*12),"")</f>
        <v/>
      </c>
    </row>
    <row r="230" spans="1:69" x14ac:dyDescent="0.25">
      <c r="A2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0" s="18" t="str">
        <f>TEXT(preçodiario[[#This Row],[data]],"MMM")</f>
        <v>ago</v>
      </c>
      <c r="C230" s="18" t="str">
        <f>TEXT(preçodiario[[#This Row],[data]],"ddd")</f>
        <v>seg</v>
      </c>
      <c r="D230" s="96">
        <f>WEEKNUM(preçodiario[[#This Row],[data]],13)</f>
        <v>33</v>
      </c>
      <c r="E230" s="37">
        <v>46251</v>
      </c>
      <c r="F2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Row],[data]])),((F229*G229)+SUMIFS(estoque[valor total],estoque[produto],preçodiario[[#Headers],[OVO BRANCO A]],estoque[data],preçodiario[[#This Row],[data]],estoque[fornecedor],"&lt;&gt;saída"))/(G229+(SUMIFS(estoque[quantidade],estoque[produto],preçodiario[[#Headers],[OVO BRANCO A]],estoque[fornecedor],"&lt;&gt;saída",estoque[data],preçodiario[[#This Row],[data]])))))</f>
        <v>15.278182701652089</v>
      </c>
      <c r="G230" s="22">
        <f>IF(preçodiario[[#This Row],[entrada A]]=0,G229-(SUMIFS(estoque[quantidade],estoque[fornecedor],"saída",estoque[produto],preçodiario[[#Headers],[OVO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Row],[data]]))+G229+preçodiario[[#This Row],[entrada A]])</f>
        <v>133</v>
      </c>
      <c r="H230" s="22">
        <f>SUMIFS(estoque[quantidade],estoque[fornecedor],"&lt;&gt;saída",estoque[produto],preçodiario[[#Headers],[OVO BRANCO A]],estoque[data],preçodiario[[#This Row],[data]])</f>
        <v>0</v>
      </c>
      <c r="I230" s="20">
        <f>SUMIFS(estoque[valor total],estoque[fornecedor],"&lt;&gt;saída",estoque[produto],preçodiario[[#Headers],[OVO BRANCO A]],estoque[data],preçodiario[[#This Row],[data]])</f>
        <v>0</v>
      </c>
      <c r="J230" s="20">
        <f>IFERROR(preçodiario[[#This Row],[estoque A]]*preçodiario[[#This Row],[OVO BRANCO A]],0)</f>
        <v>2031.9982993197277</v>
      </c>
      <c r="K2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Row],[data]])),((K229*L229)+SUMIFS(estoque[valor total],estoque[produto],preçodiario[[#Headers],[OVO BRANCO B]],estoque[data],preçodiario[[#This Row],[data]],estoque[fornecedor],"&lt;&gt;saída"))/(L229+(SUMIFS(estoque[quantidade],estoque[produto],preçodiario[[#Headers],[OVO BRANCO B]],estoque[fornecedor],"&lt;&gt;saída",estoque[data],preçodiario[[#This Row],[data]])))))</f>
        <v>14.584252837326604</v>
      </c>
      <c r="L230" s="22">
        <f>IF(preçodiario[[#This Row],[entrada B]]=0,L229-(SUMIFS(estoque[quantidade],estoque[fornecedor],"saída",estoque[produto],preçodiario[[#Headers],[OVO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Row],[data]]))+L229+preçodiario[[#This Row],[entrada B]])</f>
        <v>16</v>
      </c>
      <c r="M230" s="22">
        <f>SUMIFS(estoque[quantidade],estoque[fornecedor],"&lt;&gt;saída",estoque[produto],preçodiario[[#Headers],[OVO BRANCO B]],estoque[data],preçodiario[[#This Row],[data]])</f>
        <v>0</v>
      </c>
      <c r="N230" s="20">
        <f>SUMIFS(estoque[valor total],estoque[fornecedor],"&lt;&gt;saída",estoque[produto],preçodiario[[#Headers],[OVO BRANCO B]],estoque[data],preçodiario[[#This Row],[data]])</f>
        <v>0</v>
      </c>
      <c r="O230" s="20">
        <f>IFERROR(preçodiario[[#This Row],[OVO BRANCO B]]*preçodiario[[#This Row],[estoque B]],0)</f>
        <v>233.34804539722566</v>
      </c>
      <c r="P2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Row],[data]])),((P229*Q229)+SUMIFS(estoque[valor total],estoque[produto],preçodiario[[#Headers],[OVO BRANCO C]],estoque[data],preçodiario[[#This Row],[data]],estoque[fornecedor],"&lt;&gt;saída"))/(Q229+(SUMIFS(estoque[quantidade],estoque[produto],preçodiario[[#Headers],[OVO BRANCO C]],estoque[fornecedor],"&lt;&gt;saída",estoque[data],preçodiario[[#This Row],[data]])))))</f>
        <v>12.5</v>
      </c>
      <c r="Q230" s="22">
        <f>IF(preçodiario[[#This Row],[entrada C]]=0,Q229-(SUMIFS(estoque[quantidade],estoque[fornecedor],"saída",estoque[produto],preçodiario[[#Headers],[OVO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Row],[data]]))+Q229+preçodiario[[#This Row],[entrada C]])</f>
        <v>60</v>
      </c>
      <c r="R230" s="22">
        <f>SUMIFS(estoque[quantidade],estoque[fornecedor],"&lt;&gt;saída",estoque[produto],preçodiario[[#Headers],[OVO BRANCO C]],estoque[data],preçodiario[[#This Row],[data]])</f>
        <v>0</v>
      </c>
      <c r="S230" s="20">
        <f>SUMIFS(estoque[valor total],estoque[fornecedor],"&lt;&gt;saída",estoque[produto],preçodiario[[#Headers],[OVO BRANCO C]],estoque[data],preçodiario[[#This Row],[data]])</f>
        <v>0</v>
      </c>
      <c r="T230" s="20">
        <f>IFERROR(preçodiario[[#This Row],[OVO BRANCO C]]*preçodiario[[#This Row],[estoque C]],0)</f>
        <v>750</v>
      </c>
      <c r="U2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Row],[data]])),((U229*V229)+SUMIFS(estoque[valor total],estoque[produto],preçodiario[[#Headers],[OVO BRANCO EXTRA]],estoque[data],preçodiario[[#This Row],[data]],estoque[fornecedor],"&lt;&gt;saída"))/(V229+(SUMIFS(estoque[quantidade],estoque[produto],preçodiario[[#Headers],[OVO BRANCO EXTRA]],estoque[fornecedor],"&lt;&gt;saída",estoque[data],preçodiario[[#This Row],[data]])))))</f>
        <v>15.725438400674655</v>
      </c>
      <c r="V230" s="22">
        <f>IF(preçodiario[[#This Row],[entrada E]]=0,V229-(SUMIFS(estoque[quantidade],estoque[fornecedor],"saída",estoque[produto],preçodiario[[#Headers],[OVO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Row],[data]]))+V229+preçodiario[[#This Row],[entrada E]])</f>
        <v>46</v>
      </c>
      <c r="W230" s="22">
        <f>SUMIFS(estoque[quantidade],estoque[fornecedor],"&lt;&gt;saída",estoque[produto],preçodiario[[#Headers],[OVO BRANCO EXTRA]],estoque[data],preçodiario[[#This Row],[data]])</f>
        <v>0</v>
      </c>
      <c r="X230" s="20">
        <f>SUMIFS(estoque[valor total],estoque[fornecedor],"&lt;&gt;saída",estoque[produto],preçodiario[[#Headers],[OVO BRANCO EXTRA]],estoque[data],preçodiario[[#This Row],[data]])</f>
        <v>0</v>
      </c>
      <c r="Y230" s="20">
        <f>IFERROR(preçodiario[[#This Row],[estoque E]]*preçodiario[[#This Row],[OVO BRANCO EXTRA]],0)</f>
        <v>723.37016643103414</v>
      </c>
      <c r="Z2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Row],[data]])),((Z229*AA229)+SUMIFS(estoque[valor total],estoque[produto],preçodiario[[#Headers],[OVO BRANCO JUMBO]],estoque[data],preçodiario[[#This Row],[data]],estoque[fornecedor],"&lt;&gt;saída"))/(AA229+(SUMIFS(estoque[quantidade],estoque[produto],preçodiario[[#Headers],[OVO BRANCO JUMBO]],estoque[fornecedor],"&lt;&gt;saída",estoque[data],preçodiario[[#This Row],[data]])))))</f>
        <v>16.50550595238095</v>
      </c>
      <c r="AA230" s="22">
        <f>IF(preçodiario[[#This Row],[entrada J]]=0,AA229-(SUMIFS(estoque[quantidade],estoque[fornecedor],"saída",estoque[produto],preçodiario[[#Headers],[OVO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Row],[data]]))+AA229+preçodiario[[#This Row],[entrada J]])</f>
        <v>75</v>
      </c>
      <c r="AB230" s="22">
        <f>SUMIFS(estoque[quantidade],estoque[fornecedor],"&lt;&gt;saída",estoque[produto],preçodiario[[#Headers],[OVO BRANCO JUMBO]],estoque[data],preçodiario[[#This Row],[data]])</f>
        <v>0</v>
      </c>
      <c r="AC230" s="20">
        <f>SUMIFS(estoque[valor total],estoque[fornecedor],"&lt;&gt;saída",estoque[produto],preçodiario[[#Headers],[OVO BRANCO JUMBO]],estoque[data],preçodiario[[#This Row],[data]])</f>
        <v>0</v>
      </c>
      <c r="AD230" s="20">
        <f>IFERROR(preçodiario[[#This Row],[OVO BRANCO JUMBO]]*preçodiario[[#This Row],[estoque J]],0)</f>
        <v>1237.9129464285713</v>
      </c>
      <c r="AE2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Row],[data]])),((AE229*AF229)+SUMIFS(estoque[valor total],estoque[produto],preçodiario[[#Headers],[OVO VERMELHO A]],estoque[data],preçodiario[[#This Row],[data]],estoque[fornecedor],"&lt;&gt;saída"))/(AF229+(SUMIFS(estoque[quantidade],estoque[produto],preçodiario[[#Headers],[OVO VERMELHO A]],estoque[fornecedor],"&lt;&gt;saída",estoque[data],preçodiario[[#This Row],[data]])))))</f>
        <v/>
      </c>
      <c r="AF230" s="22">
        <f>IF(preçodiario[[#This Row],[entrada AV]]=0,AF229-(SUMIFS(estoque[quantidade],estoque[fornecedor],"saída",estoque[produto],preçodiario[[#Headers],[OVO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Row],[data]]))+AF229+preçodiario[[#This Row],[entrada AV]])</f>
        <v>0</v>
      </c>
      <c r="AG230" s="22">
        <f>SUMIFS(estoque[quantidade],estoque[fornecedor],"&lt;&gt;saída",estoque[produto],preçodiario[[#Headers],[OVO VERMELHO A]],estoque[data],preçodiario[[#This Row],[data]])</f>
        <v>0</v>
      </c>
      <c r="AH230" s="20">
        <f>SUMIFS(estoque[valor total],estoque[fornecedor],"&lt;&gt;saída",estoque[produto],preçodiario[[#Headers],[OVO VERMELHO A]],estoque[data],preçodiario[[#This Row],[data]])</f>
        <v>0</v>
      </c>
      <c r="AI230" s="20">
        <f>IFERROR(preçodiario[[#This Row],[OVO VERMELHO A]]*preçodiario[[#This Row],[estoque AV]],0)</f>
        <v>0</v>
      </c>
      <c r="AJ2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Row],[data]])),((AJ229*AK229)+SUMIFS(estoque[valor total],estoque[produto],preçodiario[[#Headers],[OVO VERMELHO B]],estoque[data],preçodiario[[#This Row],[data]],estoque[fornecedor],"&lt;&gt;saída"))/(AK229+(SUMIFS(estoque[quantidade],estoque[produto],preçodiario[[#Headers],[OVO VERMELHO B]],estoque[fornecedor],"&lt;&gt;saída",estoque[data],preçodiario[[#This Row],[data]])))))</f>
        <v/>
      </c>
      <c r="AK230" s="22">
        <f>IF(preçodiario[[#This Row],[entrada BV]]=0,AK229-(SUMIFS(estoque[quantidade],estoque[fornecedor],"saída",estoque[produto],preçodiario[[#Headers],[OVO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Row],[data]]))+AK229+preçodiario[[#This Row],[entrada BV]])</f>
        <v>0</v>
      </c>
      <c r="AL230" s="22">
        <f>SUMIFS(estoque[quantidade],estoque[fornecedor],"&lt;&gt;saída",estoque[produto],preçodiario[[#Headers],[OVO VERMELHO B]],estoque[data],preçodiario[[#This Row],[data]])</f>
        <v>0</v>
      </c>
      <c r="AM230" s="20">
        <f>SUMIFS(estoque[valor total],estoque[fornecedor],"&lt;&gt;saída",estoque[produto],preçodiario[[#Headers],[OVO VERMELHO B]],estoque[data],preçodiario[[#This Row],[data]])</f>
        <v>0</v>
      </c>
      <c r="AN230" s="20">
        <f>IFERROR(preçodiario[[#This Row],[OVO VERMELHO B]]*preçodiario[[#This Row],[estoque BV]],0)</f>
        <v>0</v>
      </c>
      <c r="AO2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Row],[data]])),((AO229*AP229)+SUMIFS(estoque[valor total],estoque[produto],preçodiario[[#Headers],[OVO VERMELHO C]],estoque[data],preçodiario[[#This Row],[data]],estoque[fornecedor],"&lt;&gt;saída"))/(AP229+(SUMIFS(estoque[quantidade],estoque[produto],preçodiario[[#Headers],[OVO VERMELHO C]],estoque[fornecedor],"&lt;&gt;saída",estoque[data],preçodiario[[#This Row],[data]])))))</f>
        <v/>
      </c>
      <c r="AP230" s="22">
        <f>IF(preçodiario[[#This Row],[entrada CV]]=0,AP229-(SUMIFS(estoque[quantidade],estoque[fornecedor],"saída",estoque[produto],preçodiario[[#Headers],[OVO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Row],[data]]))+AP229+preçodiario[[#This Row],[entrada CV]])</f>
        <v>0</v>
      </c>
      <c r="AQ230" s="22">
        <f>SUMIFS(estoque[quantidade],estoque[fornecedor],"&lt;&gt;saída",estoque[produto],preçodiario[[#Headers],[OVO VERMELHO C]],estoque[data],preçodiario[[#This Row],[data]])</f>
        <v>0</v>
      </c>
      <c r="AR230" s="20">
        <f>SUMIFS(estoque[valor total],estoque[fornecedor],"&lt;&gt;saída",estoque[produto],preçodiario[[#Headers],[OVO VERMELHO C]],estoque[data],preçodiario[[#This Row],[data]])</f>
        <v>0</v>
      </c>
      <c r="AS230" s="20">
        <f>IFERROR(preçodiario[[#This Row],[OVO VERMELHO C]]*preçodiario[[#This Row],[estoque CV]],0)</f>
        <v>0</v>
      </c>
      <c r="AT2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Row],[data]])),((AT229*AU229)+SUMIFS(estoque[valor total],estoque[produto],preçodiario[[#Headers],[OVO VERMELHO EXTRA]],estoque[data],preçodiario[[#This Row],[data]],estoque[fornecedor],"&lt;&gt;saída"))/(AU229+(SUMIFS(estoque[quantidade],estoque[produto],preçodiario[[#Headers],[OVO VERMELHO EXTRA]],estoque[fornecedor],"&lt;&gt;saída",estoque[data],preçodiario[[#This Row],[data]])))))</f>
        <v/>
      </c>
      <c r="AU230" s="22">
        <f>IF(preçodiario[[#This Row],[entrada EV]]=0,AU229-(SUMIFS(estoque[quantidade],estoque[fornecedor],"saída",estoque[produto],preçodiario[[#Headers],[OVO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Row],[data]]))+AU229+preçodiario[[#This Row],[entrada EV]])</f>
        <v>0</v>
      </c>
      <c r="AV230" s="22">
        <f>SUMIFS(estoque[quantidade],estoque[fornecedor],"&lt;&gt;saída",estoque[produto],preçodiario[[#Headers],[OVO VERMELHO EXTRA]],estoque[data],preçodiario[[#This Row],[data]])</f>
        <v>0</v>
      </c>
      <c r="AW230" s="20">
        <f>SUMIFS(estoque[valor total],estoque[fornecedor],"&lt;&gt;saída",estoque[produto],preçodiario[[#Headers],[OVO VERMELHO EXTRA]],estoque[data],preçodiario[[#This Row],[data]])</f>
        <v>0</v>
      </c>
      <c r="AX230" s="20">
        <f>IFERROR(preçodiario[[#This Row],[OVO VERMELHO EXTRA]]*preçodiario[[#This Row],[estoque EV]],0)</f>
        <v>0</v>
      </c>
      <c r="AY2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Row],[data]])),((AY229*AZ229)+SUMIFS(estoque[valor total],estoque[produto],preçodiario[[#Headers],[OVO VERMELHO JUMBO]],estoque[data],preçodiario[[#This Row],[data]],estoque[fornecedor],"&lt;&gt;saída"))/(AZ229+(SUMIFS(estoque[quantidade],estoque[produto],preçodiario[[#Headers],[OVO VERMELHO JUMBO]],estoque[fornecedor],"&lt;&gt;saída",estoque[data],preçodiario[[#This Row],[data]])))))</f>
        <v/>
      </c>
      <c r="AZ230" s="22">
        <f>IF(preçodiario[[#This Row],[entrada JV]]=0,AZ229-(SUMIFS(estoque[quantidade],estoque[fornecedor],"saída",estoque[produto],preçodiario[[#Headers],[OVO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Row],[data]]))+AZ229+preçodiario[[#This Row],[entrada JV]])</f>
        <v>0</v>
      </c>
      <c r="BA230" s="22">
        <f>SUMIFS(estoque[quantidade],estoque[fornecedor],"&lt;&gt;saída",estoque[produto],preçodiario[[#Headers],[OVO VERMELHO JUMBO]],estoque[data],preçodiario[[#This Row],[data]])</f>
        <v>0</v>
      </c>
      <c r="BB230" s="20">
        <f>SUMIFS(estoque[valor total],estoque[fornecedor],"&lt;&gt;saída",estoque[produto],preçodiario[[#Headers],[OVO VERMELHO JUMBO]],estoque[data],preçodiario[[#This Row],[data]])</f>
        <v>0</v>
      </c>
      <c r="BC230" s="20">
        <f>IFERROR(preçodiario[[#This Row],[OVO VERMELHO JUMBO]]*preçodiario[[#This Row],[estoque JV]],0)</f>
        <v>0</v>
      </c>
      <c r="BD230" t="str">
        <f>TEXT(vendaAno[[#This Row],[data]],"mmm")</f>
        <v>ago</v>
      </c>
      <c r="BE230" t="str">
        <f>TEXT(vendaAno[[#This Row],[data]],"ddd")</f>
        <v>seg</v>
      </c>
      <c r="BF230" s="82">
        <f>WEEKNUM(vendaAno[[#This Row],[data]],13)</f>
        <v>33</v>
      </c>
      <c r="BG230" s="27">
        <f>preçodiario[[#This Row],[data]]</f>
        <v>46251</v>
      </c>
      <c r="BH2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Row],[data]]))/12+BJ229,"")</f>
        <v/>
      </c>
      <c r="BK230" s="79" t="str">
        <f ca="1">IF(TODAY()&gt;=vendaAno[[#This Row],[data]],IF(SUMIFS(estoque[quantidade],estoque[fornecedor],"saída",estoque[data],vendaAno[[#This Row],[data]])/12=0,AVERAGE(BK227:BK229),SUMIFS(estoque[quantidade],estoque[fornecedor],"saída",estoque[data],vendaAno[[#This Row],[data]])/12),"")</f>
        <v/>
      </c>
      <c r="BL230" s="8" t="str">
        <f ca="1">IF(vendaAno[[#This Row],[data]]&lt;=TODAY(),IF(SUMIFS(estoque[lucro],estoque[fornecedor],"saída",estoque[data],vendaAno[[#This Row],[data]])=0,AVERAGE(BL227:BL229),SUMIFS(estoque[lucro],estoque[fornecedor],"saída",estoque[data],vendaAno[[#This Row],[data]])),"")</f>
        <v/>
      </c>
      <c r="BM230" s="10" t="str">
        <f ca="1">IFERROR(vendaAno[[#This Row],[lucro]]/vendaAno[[#This Row],[valor de venda]],"")</f>
        <v/>
      </c>
      <c r="BN23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0" s="8" t="str">
        <f ca="1">IF(TODAY()&gt;=vendaAno[[#This Row],[data]],IF(vendaAno[[#This Row],[N°]]=BF229,vendaAno[[#This Row],[lucro]]-173.33+BO229,vendaAno[[#This Row],[lucro]]-150),"")</f>
        <v/>
      </c>
      <c r="BP230" s="81" t="str">
        <f ca="1">IF(TODAY()&gt;=vendaAno[[#This Row],[data]],SUM(BK224:BK230)*12,"")</f>
        <v/>
      </c>
      <c r="BQ230" s="7" t="str">
        <f ca="1">IFERROR(vendaAno[[#This Row],[lucro]]/(vendaAno[[#This Row],[venda]]*12),"")</f>
        <v/>
      </c>
    </row>
    <row r="231" spans="1:69" x14ac:dyDescent="0.25">
      <c r="A2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1" s="18" t="str">
        <f>TEXT(preçodiario[[#This Row],[data]],"MMM")</f>
        <v>ago</v>
      </c>
      <c r="C231" s="18" t="str">
        <f>TEXT(preçodiario[[#This Row],[data]],"ddd")</f>
        <v>ter</v>
      </c>
      <c r="D231" s="96">
        <f>WEEKNUM(preçodiario[[#This Row],[data]],13)</f>
        <v>33</v>
      </c>
      <c r="E231" s="37">
        <v>46252</v>
      </c>
      <c r="F2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Row],[data]])),((F230*G230)+SUMIFS(estoque[valor total],estoque[produto],preçodiario[[#Headers],[OVO BRANCO A]],estoque[data],preçodiario[[#This Row],[data]],estoque[fornecedor],"&lt;&gt;saída"))/(G230+(SUMIFS(estoque[quantidade],estoque[produto],preçodiario[[#Headers],[OVO BRANCO A]],estoque[fornecedor],"&lt;&gt;saída",estoque[data],preçodiario[[#This Row],[data]])))))</f>
        <v>15.278182701652089</v>
      </c>
      <c r="G231" s="22">
        <f>IF(preçodiario[[#This Row],[entrada A]]=0,G230-(SUMIFS(estoque[quantidade],estoque[fornecedor],"saída",estoque[produto],preçodiario[[#Headers],[OVO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Row],[data]]))+G230+preçodiario[[#This Row],[entrada A]])</f>
        <v>133</v>
      </c>
      <c r="H231" s="22">
        <f>SUMIFS(estoque[quantidade],estoque[fornecedor],"&lt;&gt;saída",estoque[produto],preçodiario[[#Headers],[OVO BRANCO A]],estoque[data],preçodiario[[#This Row],[data]])</f>
        <v>0</v>
      </c>
      <c r="I231" s="20">
        <f>SUMIFS(estoque[valor total],estoque[fornecedor],"&lt;&gt;saída",estoque[produto],preçodiario[[#Headers],[OVO BRANCO A]],estoque[data],preçodiario[[#This Row],[data]])</f>
        <v>0</v>
      </c>
      <c r="J231" s="20">
        <f>IFERROR(preçodiario[[#This Row],[estoque A]]*preçodiario[[#This Row],[OVO BRANCO A]],0)</f>
        <v>2031.9982993197277</v>
      </c>
      <c r="K2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Row],[data]])),((K230*L230)+SUMIFS(estoque[valor total],estoque[produto],preçodiario[[#Headers],[OVO BRANCO B]],estoque[data],preçodiario[[#This Row],[data]],estoque[fornecedor],"&lt;&gt;saída"))/(L230+(SUMIFS(estoque[quantidade],estoque[produto],preçodiario[[#Headers],[OVO BRANCO B]],estoque[fornecedor],"&lt;&gt;saída",estoque[data],preçodiario[[#This Row],[data]])))))</f>
        <v>14.584252837326604</v>
      </c>
      <c r="L231" s="22">
        <f>IF(preçodiario[[#This Row],[entrada B]]=0,L230-(SUMIFS(estoque[quantidade],estoque[fornecedor],"saída",estoque[produto],preçodiario[[#Headers],[OVO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Row],[data]]))+L230+preçodiario[[#This Row],[entrada B]])</f>
        <v>16</v>
      </c>
      <c r="M231" s="22">
        <f>SUMIFS(estoque[quantidade],estoque[fornecedor],"&lt;&gt;saída",estoque[produto],preçodiario[[#Headers],[OVO BRANCO B]],estoque[data],preçodiario[[#This Row],[data]])</f>
        <v>0</v>
      </c>
      <c r="N231" s="20">
        <f>SUMIFS(estoque[valor total],estoque[fornecedor],"&lt;&gt;saída",estoque[produto],preçodiario[[#Headers],[OVO BRANCO B]],estoque[data],preçodiario[[#This Row],[data]])</f>
        <v>0</v>
      </c>
      <c r="O231" s="20">
        <f>IFERROR(preçodiario[[#This Row],[OVO BRANCO B]]*preçodiario[[#This Row],[estoque B]],0)</f>
        <v>233.34804539722566</v>
      </c>
      <c r="P2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Row],[data]])),((P230*Q230)+SUMIFS(estoque[valor total],estoque[produto],preçodiario[[#Headers],[OVO BRANCO C]],estoque[data],preçodiario[[#This Row],[data]],estoque[fornecedor],"&lt;&gt;saída"))/(Q230+(SUMIFS(estoque[quantidade],estoque[produto],preçodiario[[#Headers],[OVO BRANCO C]],estoque[fornecedor],"&lt;&gt;saída",estoque[data],preçodiario[[#This Row],[data]])))))</f>
        <v>12.5</v>
      </c>
      <c r="Q231" s="22">
        <f>IF(preçodiario[[#This Row],[entrada C]]=0,Q230-(SUMIFS(estoque[quantidade],estoque[fornecedor],"saída",estoque[produto],preçodiario[[#Headers],[OVO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Row],[data]]))+Q230+preçodiario[[#This Row],[entrada C]])</f>
        <v>60</v>
      </c>
      <c r="R231" s="22">
        <f>SUMIFS(estoque[quantidade],estoque[fornecedor],"&lt;&gt;saída",estoque[produto],preçodiario[[#Headers],[OVO BRANCO C]],estoque[data],preçodiario[[#This Row],[data]])</f>
        <v>0</v>
      </c>
      <c r="S231" s="20">
        <f>SUMIFS(estoque[valor total],estoque[fornecedor],"&lt;&gt;saída",estoque[produto],preçodiario[[#Headers],[OVO BRANCO C]],estoque[data],preçodiario[[#This Row],[data]])</f>
        <v>0</v>
      </c>
      <c r="T231" s="20">
        <f>IFERROR(preçodiario[[#This Row],[OVO BRANCO C]]*preçodiario[[#This Row],[estoque C]],0)</f>
        <v>750</v>
      </c>
      <c r="U2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Row],[data]])),((U230*V230)+SUMIFS(estoque[valor total],estoque[produto],preçodiario[[#Headers],[OVO BRANCO EXTRA]],estoque[data],preçodiario[[#This Row],[data]],estoque[fornecedor],"&lt;&gt;saída"))/(V230+(SUMIFS(estoque[quantidade],estoque[produto],preçodiario[[#Headers],[OVO BRANCO EXTRA]],estoque[fornecedor],"&lt;&gt;saída",estoque[data],preçodiario[[#This Row],[data]])))))</f>
        <v>15.725438400674655</v>
      </c>
      <c r="V231" s="22">
        <f>IF(preçodiario[[#This Row],[entrada E]]=0,V230-(SUMIFS(estoque[quantidade],estoque[fornecedor],"saída",estoque[produto],preçodiario[[#Headers],[OVO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Row],[data]]))+V230+preçodiario[[#This Row],[entrada E]])</f>
        <v>46</v>
      </c>
      <c r="W231" s="22">
        <f>SUMIFS(estoque[quantidade],estoque[fornecedor],"&lt;&gt;saída",estoque[produto],preçodiario[[#Headers],[OVO BRANCO EXTRA]],estoque[data],preçodiario[[#This Row],[data]])</f>
        <v>0</v>
      </c>
      <c r="X231" s="20">
        <f>SUMIFS(estoque[valor total],estoque[fornecedor],"&lt;&gt;saída",estoque[produto],preçodiario[[#Headers],[OVO BRANCO EXTRA]],estoque[data],preçodiario[[#This Row],[data]])</f>
        <v>0</v>
      </c>
      <c r="Y231" s="20">
        <f>IFERROR(preçodiario[[#This Row],[estoque E]]*preçodiario[[#This Row],[OVO BRANCO EXTRA]],0)</f>
        <v>723.37016643103414</v>
      </c>
      <c r="Z2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Row],[data]])),((Z230*AA230)+SUMIFS(estoque[valor total],estoque[produto],preçodiario[[#Headers],[OVO BRANCO JUMBO]],estoque[data],preçodiario[[#This Row],[data]],estoque[fornecedor],"&lt;&gt;saída"))/(AA230+(SUMIFS(estoque[quantidade],estoque[produto],preçodiario[[#Headers],[OVO BRANCO JUMBO]],estoque[fornecedor],"&lt;&gt;saída",estoque[data],preçodiario[[#This Row],[data]])))))</f>
        <v>16.50550595238095</v>
      </c>
      <c r="AA231" s="22">
        <f>IF(preçodiario[[#This Row],[entrada J]]=0,AA230-(SUMIFS(estoque[quantidade],estoque[fornecedor],"saída",estoque[produto],preçodiario[[#Headers],[OVO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Row],[data]]))+AA230+preçodiario[[#This Row],[entrada J]])</f>
        <v>75</v>
      </c>
      <c r="AB231" s="22">
        <f>SUMIFS(estoque[quantidade],estoque[fornecedor],"&lt;&gt;saída",estoque[produto],preçodiario[[#Headers],[OVO BRANCO JUMBO]],estoque[data],preçodiario[[#This Row],[data]])</f>
        <v>0</v>
      </c>
      <c r="AC231" s="20">
        <f>SUMIFS(estoque[valor total],estoque[fornecedor],"&lt;&gt;saída",estoque[produto],preçodiario[[#Headers],[OVO BRANCO JUMBO]],estoque[data],preçodiario[[#This Row],[data]])</f>
        <v>0</v>
      </c>
      <c r="AD231" s="20">
        <f>IFERROR(preçodiario[[#This Row],[OVO BRANCO JUMBO]]*preçodiario[[#This Row],[estoque J]],0)</f>
        <v>1237.9129464285713</v>
      </c>
      <c r="AE2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Row],[data]])),((AE230*AF230)+SUMIFS(estoque[valor total],estoque[produto],preçodiario[[#Headers],[OVO VERMELHO A]],estoque[data],preçodiario[[#This Row],[data]],estoque[fornecedor],"&lt;&gt;saída"))/(AF230+(SUMIFS(estoque[quantidade],estoque[produto],preçodiario[[#Headers],[OVO VERMELHO A]],estoque[fornecedor],"&lt;&gt;saída",estoque[data],preçodiario[[#This Row],[data]])))))</f>
        <v/>
      </c>
      <c r="AF231" s="22">
        <f>IF(preçodiario[[#This Row],[entrada AV]]=0,AF230-(SUMIFS(estoque[quantidade],estoque[fornecedor],"saída",estoque[produto],preçodiario[[#Headers],[OVO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Row],[data]]))+AF230+preçodiario[[#This Row],[entrada AV]])</f>
        <v>0</v>
      </c>
      <c r="AG231" s="22">
        <f>SUMIFS(estoque[quantidade],estoque[fornecedor],"&lt;&gt;saída",estoque[produto],preçodiario[[#Headers],[OVO VERMELHO A]],estoque[data],preçodiario[[#This Row],[data]])</f>
        <v>0</v>
      </c>
      <c r="AH231" s="20">
        <f>SUMIFS(estoque[valor total],estoque[fornecedor],"&lt;&gt;saída",estoque[produto],preçodiario[[#Headers],[OVO VERMELHO A]],estoque[data],preçodiario[[#This Row],[data]])</f>
        <v>0</v>
      </c>
      <c r="AI231" s="20">
        <f>IFERROR(preçodiario[[#This Row],[OVO VERMELHO A]]*preçodiario[[#This Row],[estoque AV]],0)</f>
        <v>0</v>
      </c>
      <c r="AJ2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Row],[data]])),((AJ230*AK230)+SUMIFS(estoque[valor total],estoque[produto],preçodiario[[#Headers],[OVO VERMELHO B]],estoque[data],preçodiario[[#This Row],[data]],estoque[fornecedor],"&lt;&gt;saída"))/(AK230+(SUMIFS(estoque[quantidade],estoque[produto],preçodiario[[#Headers],[OVO VERMELHO B]],estoque[fornecedor],"&lt;&gt;saída",estoque[data],preçodiario[[#This Row],[data]])))))</f>
        <v/>
      </c>
      <c r="AK231" s="22">
        <f>IF(preçodiario[[#This Row],[entrada BV]]=0,AK230-(SUMIFS(estoque[quantidade],estoque[fornecedor],"saída",estoque[produto],preçodiario[[#Headers],[OVO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Row],[data]]))+AK230+preçodiario[[#This Row],[entrada BV]])</f>
        <v>0</v>
      </c>
      <c r="AL231" s="22">
        <f>SUMIFS(estoque[quantidade],estoque[fornecedor],"&lt;&gt;saída",estoque[produto],preçodiario[[#Headers],[OVO VERMELHO B]],estoque[data],preçodiario[[#This Row],[data]])</f>
        <v>0</v>
      </c>
      <c r="AM231" s="20">
        <f>SUMIFS(estoque[valor total],estoque[fornecedor],"&lt;&gt;saída",estoque[produto],preçodiario[[#Headers],[OVO VERMELHO B]],estoque[data],preçodiario[[#This Row],[data]])</f>
        <v>0</v>
      </c>
      <c r="AN231" s="20">
        <f>IFERROR(preçodiario[[#This Row],[OVO VERMELHO B]]*preçodiario[[#This Row],[estoque BV]],0)</f>
        <v>0</v>
      </c>
      <c r="AO2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Row],[data]])),((AO230*AP230)+SUMIFS(estoque[valor total],estoque[produto],preçodiario[[#Headers],[OVO VERMELHO C]],estoque[data],preçodiario[[#This Row],[data]],estoque[fornecedor],"&lt;&gt;saída"))/(AP230+(SUMIFS(estoque[quantidade],estoque[produto],preçodiario[[#Headers],[OVO VERMELHO C]],estoque[fornecedor],"&lt;&gt;saída",estoque[data],preçodiario[[#This Row],[data]])))))</f>
        <v/>
      </c>
      <c r="AP231" s="22">
        <f>IF(preçodiario[[#This Row],[entrada CV]]=0,AP230-(SUMIFS(estoque[quantidade],estoque[fornecedor],"saída",estoque[produto],preçodiario[[#Headers],[OVO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Row],[data]]))+AP230+preçodiario[[#This Row],[entrada CV]])</f>
        <v>0</v>
      </c>
      <c r="AQ231" s="22">
        <f>SUMIFS(estoque[quantidade],estoque[fornecedor],"&lt;&gt;saída",estoque[produto],preçodiario[[#Headers],[OVO VERMELHO C]],estoque[data],preçodiario[[#This Row],[data]])</f>
        <v>0</v>
      </c>
      <c r="AR231" s="20">
        <f>SUMIFS(estoque[valor total],estoque[fornecedor],"&lt;&gt;saída",estoque[produto],preçodiario[[#Headers],[OVO VERMELHO C]],estoque[data],preçodiario[[#This Row],[data]])</f>
        <v>0</v>
      </c>
      <c r="AS231" s="20">
        <f>IFERROR(preçodiario[[#This Row],[OVO VERMELHO C]]*preçodiario[[#This Row],[estoque CV]],0)</f>
        <v>0</v>
      </c>
      <c r="AT2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Row],[data]])),((AT230*AU230)+SUMIFS(estoque[valor total],estoque[produto],preçodiario[[#Headers],[OVO VERMELHO EXTRA]],estoque[data],preçodiario[[#This Row],[data]],estoque[fornecedor],"&lt;&gt;saída"))/(AU230+(SUMIFS(estoque[quantidade],estoque[produto],preçodiario[[#Headers],[OVO VERMELHO EXTRA]],estoque[fornecedor],"&lt;&gt;saída",estoque[data],preçodiario[[#This Row],[data]])))))</f>
        <v/>
      </c>
      <c r="AU231" s="22">
        <f>IF(preçodiario[[#This Row],[entrada EV]]=0,AU230-(SUMIFS(estoque[quantidade],estoque[fornecedor],"saída",estoque[produto],preçodiario[[#Headers],[OVO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Row],[data]]))+AU230+preçodiario[[#This Row],[entrada EV]])</f>
        <v>0</v>
      </c>
      <c r="AV231" s="22">
        <f>SUMIFS(estoque[quantidade],estoque[fornecedor],"&lt;&gt;saída",estoque[produto],preçodiario[[#Headers],[OVO VERMELHO EXTRA]],estoque[data],preçodiario[[#This Row],[data]])</f>
        <v>0</v>
      </c>
      <c r="AW231" s="20">
        <f>SUMIFS(estoque[valor total],estoque[fornecedor],"&lt;&gt;saída",estoque[produto],preçodiario[[#Headers],[OVO VERMELHO EXTRA]],estoque[data],preçodiario[[#This Row],[data]])</f>
        <v>0</v>
      </c>
      <c r="AX231" s="20">
        <f>IFERROR(preçodiario[[#This Row],[OVO VERMELHO EXTRA]]*preçodiario[[#This Row],[estoque EV]],0)</f>
        <v>0</v>
      </c>
      <c r="AY2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Row],[data]])),((AY230*AZ230)+SUMIFS(estoque[valor total],estoque[produto],preçodiario[[#Headers],[OVO VERMELHO JUMBO]],estoque[data],preçodiario[[#This Row],[data]],estoque[fornecedor],"&lt;&gt;saída"))/(AZ230+(SUMIFS(estoque[quantidade],estoque[produto],preçodiario[[#Headers],[OVO VERMELHO JUMBO]],estoque[fornecedor],"&lt;&gt;saída",estoque[data],preçodiario[[#This Row],[data]])))))</f>
        <v/>
      </c>
      <c r="AZ231" s="22">
        <f>IF(preçodiario[[#This Row],[entrada JV]]=0,AZ230-(SUMIFS(estoque[quantidade],estoque[fornecedor],"saída",estoque[produto],preçodiario[[#Headers],[OVO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Row],[data]]))+AZ230+preçodiario[[#This Row],[entrada JV]])</f>
        <v>0</v>
      </c>
      <c r="BA231" s="22">
        <f>SUMIFS(estoque[quantidade],estoque[fornecedor],"&lt;&gt;saída",estoque[produto],preçodiario[[#Headers],[OVO VERMELHO JUMBO]],estoque[data],preçodiario[[#This Row],[data]])</f>
        <v>0</v>
      </c>
      <c r="BB231" s="20">
        <f>SUMIFS(estoque[valor total],estoque[fornecedor],"&lt;&gt;saída",estoque[produto],preçodiario[[#Headers],[OVO VERMELHO JUMBO]],estoque[data],preçodiario[[#This Row],[data]])</f>
        <v>0</v>
      </c>
      <c r="BC231" s="20">
        <f>IFERROR(preçodiario[[#This Row],[OVO VERMELHO JUMBO]]*preçodiario[[#This Row],[estoque JV]],0)</f>
        <v>0</v>
      </c>
      <c r="BD231" t="str">
        <f>TEXT(vendaAno[[#This Row],[data]],"mmm")</f>
        <v>ago</v>
      </c>
      <c r="BE231" t="str">
        <f>TEXT(vendaAno[[#This Row],[data]],"ddd")</f>
        <v>ter</v>
      </c>
      <c r="BF231" s="82">
        <f>WEEKNUM(vendaAno[[#This Row],[data]],13)</f>
        <v>33</v>
      </c>
      <c r="BG231" s="27">
        <f>preçodiario[[#This Row],[data]]</f>
        <v>46252</v>
      </c>
      <c r="BH2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Row],[data]]))/12+BJ230,"")</f>
        <v/>
      </c>
      <c r="BK231" s="79" t="str">
        <f ca="1">IF(TODAY()&gt;=vendaAno[[#This Row],[data]],IF(SUMIFS(estoque[quantidade],estoque[fornecedor],"saída",estoque[data],vendaAno[[#This Row],[data]])/12=0,AVERAGE(BK228:BK230),SUMIFS(estoque[quantidade],estoque[fornecedor],"saída",estoque[data],vendaAno[[#This Row],[data]])/12),"")</f>
        <v/>
      </c>
      <c r="BL231" s="8" t="str">
        <f ca="1">IF(vendaAno[[#This Row],[data]]&lt;=TODAY(),IF(SUMIFS(estoque[lucro],estoque[fornecedor],"saída",estoque[data],vendaAno[[#This Row],[data]])=0,AVERAGE(BL228:BL230),SUMIFS(estoque[lucro],estoque[fornecedor],"saída",estoque[data],vendaAno[[#This Row],[data]])),"")</f>
        <v/>
      </c>
      <c r="BM231" s="10" t="str">
        <f ca="1">IFERROR(vendaAno[[#This Row],[lucro]]/vendaAno[[#This Row],[valor de venda]],"")</f>
        <v/>
      </c>
      <c r="BN23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1" s="8" t="str">
        <f ca="1">IF(TODAY()&gt;=vendaAno[[#This Row],[data]],IF(vendaAno[[#This Row],[N°]]=BF230,vendaAno[[#This Row],[lucro]]-173.33+BO230,vendaAno[[#This Row],[lucro]]-150),"")</f>
        <v/>
      </c>
      <c r="BP231" s="81" t="str">
        <f ca="1">IF(TODAY()&gt;=vendaAno[[#This Row],[data]],SUM(BK225:BK231)*12,"")</f>
        <v/>
      </c>
      <c r="BQ231" s="7" t="str">
        <f ca="1">IFERROR(vendaAno[[#This Row],[lucro]]/(vendaAno[[#This Row],[venda]]*12),"")</f>
        <v/>
      </c>
    </row>
    <row r="232" spans="1:69" x14ac:dyDescent="0.25">
      <c r="A2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2" s="18" t="str">
        <f>TEXT(preçodiario[[#This Row],[data]],"MMM")</f>
        <v>ago</v>
      </c>
      <c r="C232" s="18" t="str">
        <f>TEXT(preçodiario[[#This Row],[data]],"ddd")</f>
        <v>qua</v>
      </c>
      <c r="D232" s="96">
        <f>WEEKNUM(preçodiario[[#This Row],[data]],13)</f>
        <v>34</v>
      </c>
      <c r="E232" s="37">
        <v>46253</v>
      </c>
      <c r="F2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Row],[data]])),((F231*G231)+SUMIFS(estoque[valor total],estoque[produto],preçodiario[[#Headers],[OVO BRANCO A]],estoque[data],preçodiario[[#This Row],[data]],estoque[fornecedor],"&lt;&gt;saída"))/(G231+(SUMIFS(estoque[quantidade],estoque[produto],preçodiario[[#Headers],[OVO BRANCO A]],estoque[fornecedor],"&lt;&gt;saída",estoque[data],preçodiario[[#This Row],[data]])))))</f>
        <v>15.278182701652089</v>
      </c>
      <c r="G232" s="22">
        <f>IF(preçodiario[[#This Row],[entrada A]]=0,G231-(SUMIFS(estoque[quantidade],estoque[fornecedor],"saída",estoque[produto],preçodiario[[#Headers],[OVO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Row],[data]]))+G231+preçodiario[[#This Row],[entrada A]])</f>
        <v>133</v>
      </c>
      <c r="H232" s="22">
        <f>SUMIFS(estoque[quantidade],estoque[fornecedor],"&lt;&gt;saída",estoque[produto],preçodiario[[#Headers],[OVO BRANCO A]],estoque[data],preçodiario[[#This Row],[data]])</f>
        <v>0</v>
      </c>
      <c r="I232" s="20">
        <f>SUMIFS(estoque[valor total],estoque[fornecedor],"&lt;&gt;saída",estoque[produto],preçodiario[[#Headers],[OVO BRANCO A]],estoque[data],preçodiario[[#This Row],[data]])</f>
        <v>0</v>
      </c>
      <c r="J232" s="20">
        <f>IFERROR(preçodiario[[#This Row],[estoque A]]*preçodiario[[#This Row],[OVO BRANCO A]],0)</f>
        <v>2031.9982993197277</v>
      </c>
      <c r="K2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Row],[data]])),((K231*L231)+SUMIFS(estoque[valor total],estoque[produto],preçodiario[[#Headers],[OVO BRANCO B]],estoque[data],preçodiario[[#This Row],[data]],estoque[fornecedor],"&lt;&gt;saída"))/(L231+(SUMIFS(estoque[quantidade],estoque[produto],preçodiario[[#Headers],[OVO BRANCO B]],estoque[fornecedor],"&lt;&gt;saída",estoque[data],preçodiario[[#This Row],[data]])))))</f>
        <v>14.584252837326604</v>
      </c>
      <c r="L232" s="22">
        <f>IF(preçodiario[[#This Row],[entrada B]]=0,L231-(SUMIFS(estoque[quantidade],estoque[fornecedor],"saída",estoque[produto],preçodiario[[#Headers],[OVO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Row],[data]]))+L231+preçodiario[[#This Row],[entrada B]])</f>
        <v>16</v>
      </c>
      <c r="M232" s="22">
        <f>SUMIFS(estoque[quantidade],estoque[fornecedor],"&lt;&gt;saída",estoque[produto],preçodiario[[#Headers],[OVO BRANCO B]],estoque[data],preçodiario[[#This Row],[data]])</f>
        <v>0</v>
      </c>
      <c r="N232" s="20">
        <f>SUMIFS(estoque[valor total],estoque[fornecedor],"&lt;&gt;saída",estoque[produto],preçodiario[[#Headers],[OVO BRANCO B]],estoque[data],preçodiario[[#This Row],[data]])</f>
        <v>0</v>
      </c>
      <c r="O232" s="20">
        <f>IFERROR(preçodiario[[#This Row],[OVO BRANCO B]]*preçodiario[[#This Row],[estoque B]],0)</f>
        <v>233.34804539722566</v>
      </c>
      <c r="P2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Row],[data]])),((P231*Q231)+SUMIFS(estoque[valor total],estoque[produto],preçodiario[[#Headers],[OVO BRANCO C]],estoque[data],preçodiario[[#This Row],[data]],estoque[fornecedor],"&lt;&gt;saída"))/(Q231+(SUMIFS(estoque[quantidade],estoque[produto],preçodiario[[#Headers],[OVO BRANCO C]],estoque[fornecedor],"&lt;&gt;saída",estoque[data],preçodiario[[#This Row],[data]])))))</f>
        <v>12.5</v>
      </c>
      <c r="Q232" s="22">
        <f>IF(preçodiario[[#This Row],[entrada C]]=0,Q231-(SUMIFS(estoque[quantidade],estoque[fornecedor],"saída",estoque[produto],preçodiario[[#Headers],[OVO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Row],[data]]))+Q231+preçodiario[[#This Row],[entrada C]])</f>
        <v>60</v>
      </c>
      <c r="R232" s="22">
        <f>SUMIFS(estoque[quantidade],estoque[fornecedor],"&lt;&gt;saída",estoque[produto],preçodiario[[#Headers],[OVO BRANCO C]],estoque[data],preçodiario[[#This Row],[data]])</f>
        <v>0</v>
      </c>
      <c r="S232" s="20">
        <f>SUMIFS(estoque[valor total],estoque[fornecedor],"&lt;&gt;saída",estoque[produto],preçodiario[[#Headers],[OVO BRANCO C]],estoque[data],preçodiario[[#This Row],[data]])</f>
        <v>0</v>
      </c>
      <c r="T232" s="20">
        <f>IFERROR(preçodiario[[#This Row],[OVO BRANCO C]]*preçodiario[[#This Row],[estoque C]],0)</f>
        <v>750</v>
      </c>
      <c r="U2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Row],[data]])),((U231*V231)+SUMIFS(estoque[valor total],estoque[produto],preçodiario[[#Headers],[OVO BRANCO EXTRA]],estoque[data],preçodiario[[#This Row],[data]],estoque[fornecedor],"&lt;&gt;saída"))/(V231+(SUMIFS(estoque[quantidade],estoque[produto],preçodiario[[#Headers],[OVO BRANCO EXTRA]],estoque[fornecedor],"&lt;&gt;saída",estoque[data],preçodiario[[#This Row],[data]])))))</f>
        <v>15.725438400674655</v>
      </c>
      <c r="V232" s="22">
        <f>IF(preçodiario[[#This Row],[entrada E]]=0,V231-(SUMIFS(estoque[quantidade],estoque[fornecedor],"saída",estoque[produto],preçodiario[[#Headers],[OVO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Row],[data]]))+V231+preçodiario[[#This Row],[entrada E]])</f>
        <v>46</v>
      </c>
      <c r="W232" s="22">
        <f>SUMIFS(estoque[quantidade],estoque[fornecedor],"&lt;&gt;saída",estoque[produto],preçodiario[[#Headers],[OVO BRANCO EXTRA]],estoque[data],preçodiario[[#This Row],[data]])</f>
        <v>0</v>
      </c>
      <c r="X232" s="20">
        <f>SUMIFS(estoque[valor total],estoque[fornecedor],"&lt;&gt;saída",estoque[produto],preçodiario[[#Headers],[OVO BRANCO EXTRA]],estoque[data],preçodiario[[#This Row],[data]])</f>
        <v>0</v>
      </c>
      <c r="Y232" s="20">
        <f>IFERROR(preçodiario[[#This Row],[estoque E]]*preçodiario[[#This Row],[OVO BRANCO EXTRA]],0)</f>
        <v>723.37016643103414</v>
      </c>
      <c r="Z2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Row],[data]])),((Z231*AA231)+SUMIFS(estoque[valor total],estoque[produto],preçodiario[[#Headers],[OVO BRANCO JUMBO]],estoque[data],preçodiario[[#This Row],[data]],estoque[fornecedor],"&lt;&gt;saída"))/(AA231+(SUMIFS(estoque[quantidade],estoque[produto],preçodiario[[#Headers],[OVO BRANCO JUMBO]],estoque[fornecedor],"&lt;&gt;saída",estoque[data],preçodiario[[#This Row],[data]])))))</f>
        <v>16.50550595238095</v>
      </c>
      <c r="AA232" s="22">
        <f>IF(preçodiario[[#This Row],[entrada J]]=0,AA231-(SUMIFS(estoque[quantidade],estoque[fornecedor],"saída",estoque[produto],preçodiario[[#Headers],[OVO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Row],[data]]))+AA231+preçodiario[[#This Row],[entrada J]])</f>
        <v>75</v>
      </c>
      <c r="AB232" s="22">
        <f>SUMIFS(estoque[quantidade],estoque[fornecedor],"&lt;&gt;saída",estoque[produto],preçodiario[[#Headers],[OVO BRANCO JUMBO]],estoque[data],preçodiario[[#This Row],[data]])</f>
        <v>0</v>
      </c>
      <c r="AC232" s="20">
        <f>SUMIFS(estoque[valor total],estoque[fornecedor],"&lt;&gt;saída",estoque[produto],preçodiario[[#Headers],[OVO BRANCO JUMBO]],estoque[data],preçodiario[[#This Row],[data]])</f>
        <v>0</v>
      </c>
      <c r="AD232" s="20">
        <f>IFERROR(preçodiario[[#This Row],[OVO BRANCO JUMBO]]*preçodiario[[#This Row],[estoque J]],0)</f>
        <v>1237.9129464285713</v>
      </c>
      <c r="AE2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Row],[data]])),((AE231*AF231)+SUMIFS(estoque[valor total],estoque[produto],preçodiario[[#Headers],[OVO VERMELHO A]],estoque[data],preçodiario[[#This Row],[data]],estoque[fornecedor],"&lt;&gt;saída"))/(AF231+(SUMIFS(estoque[quantidade],estoque[produto],preçodiario[[#Headers],[OVO VERMELHO A]],estoque[fornecedor],"&lt;&gt;saída",estoque[data],preçodiario[[#This Row],[data]])))))</f>
        <v/>
      </c>
      <c r="AF232" s="22">
        <f>IF(preçodiario[[#This Row],[entrada AV]]=0,AF231-(SUMIFS(estoque[quantidade],estoque[fornecedor],"saída",estoque[produto],preçodiario[[#Headers],[OVO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Row],[data]]))+AF231+preçodiario[[#This Row],[entrada AV]])</f>
        <v>0</v>
      </c>
      <c r="AG232" s="22">
        <f>SUMIFS(estoque[quantidade],estoque[fornecedor],"&lt;&gt;saída",estoque[produto],preçodiario[[#Headers],[OVO VERMELHO A]],estoque[data],preçodiario[[#This Row],[data]])</f>
        <v>0</v>
      </c>
      <c r="AH232" s="20">
        <f>SUMIFS(estoque[valor total],estoque[fornecedor],"&lt;&gt;saída",estoque[produto],preçodiario[[#Headers],[OVO VERMELHO A]],estoque[data],preçodiario[[#This Row],[data]])</f>
        <v>0</v>
      </c>
      <c r="AI232" s="20">
        <f>IFERROR(preçodiario[[#This Row],[OVO VERMELHO A]]*preçodiario[[#This Row],[estoque AV]],0)</f>
        <v>0</v>
      </c>
      <c r="AJ2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Row],[data]])),((AJ231*AK231)+SUMIFS(estoque[valor total],estoque[produto],preçodiario[[#Headers],[OVO VERMELHO B]],estoque[data],preçodiario[[#This Row],[data]],estoque[fornecedor],"&lt;&gt;saída"))/(AK231+(SUMIFS(estoque[quantidade],estoque[produto],preçodiario[[#Headers],[OVO VERMELHO B]],estoque[fornecedor],"&lt;&gt;saída",estoque[data],preçodiario[[#This Row],[data]])))))</f>
        <v/>
      </c>
      <c r="AK232" s="22">
        <f>IF(preçodiario[[#This Row],[entrada BV]]=0,AK231-(SUMIFS(estoque[quantidade],estoque[fornecedor],"saída",estoque[produto],preçodiario[[#Headers],[OVO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Row],[data]]))+AK231+preçodiario[[#This Row],[entrada BV]])</f>
        <v>0</v>
      </c>
      <c r="AL232" s="22">
        <f>SUMIFS(estoque[quantidade],estoque[fornecedor],"&lt;&gt;saída",estoque[produto],preçodiario[[#Headers],[OVO VERMELHO B]],estoque[data],preçodiario[[#This Row],[data]])</f>
        <v>0</v>
      </c>
      <c r="AM232" s="20">
        <f>SUMIFS(estoque[valor total],estoque[fornecedor],"&lt;&gt;saída",estoque[produto],preçodiario[[#Headers],[OVO VERMELHO B]],estoque[data],preçodiario[[#This Row],[data]])</f>
        <v>0</v>
      </c>
      <c r="AN232" s="20">
        <f>IFERROR(preçodiario[[#This Row],[OVO VERMELHO B]]*preçodiario[[#This Row],[estoque BV]],0)</f>
        <v>0</v>
      </c>
      <c r="AO2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Row],[data]])),((AO231*AP231)+SUMIFS(estoque[valor total],estoque[produto],preçodiario[[#Headers],[OVO VERMELHO C]],estoque[data],preçodiario[[#This Row],[data]],estoque[fornecedor],"&lt;&gt;saída"))/(AP231+(SUMIFS(estoque[quantidade],estoque[produto],preçodiario[[#Headers],[OVO VERMELHO C]],estoque[fornecedor],"&lt;&gt;saída",estoque[data],preçodiario[[#This Row],[data]])))))</f>
        <v/>
      </c>
      <c r="AP232" s="22">
        <f>IF(preçodiario[[#This Row],[entrada CV]]=0,AP231-(SUMIFS(estoque[quantidade],estoque[fornecedor],"saída",estoque[produto],preçodiario[[#Headers],[OVO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Row],[data]]))+AP231+preçodiario[[#This Row],[entrada CV]])</f>
        <v>0</v>
      </c>
      <c r="AQ232" s="22">
        <f>SUMIFS(estoque[quantidade],estoque[fornecedor],"&lt;&gt;saída",estoque[produto],preçodiario[[#Headers],[OVO VERMELHO C]],estoque[data],preçodiario[[#This Row],[data]])</f>
        <v>0</v>
      </c>
      <c r="AR232" s="20">
        <f>SUMIFS(estoque[valor total],estoque[fornecedor],"&lt;&gt;saída",estoque[produto],preçodiario[[#Headers],[OVO VERMELHO C]],estoque[data],preçodiario[[#This Row],[data]])</f>
        <v>0</v>
      </c>
      <c r="AS232" s="20">
        <f>IFERROR(preçodiario[[#This Row],[OVO VERMELHO C]]*preçodiario[[#This Row],[estoque CV]],0)</f>
        <v>0</v>
      </c>
      <c r="AT2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Row],[data]])),((AT231*AU231)+SUMIFS(estoque[valor total],estoque[produto],preçodiario[[#Headers],[OVO VERMELHO EXTRA]],estoque[data],preçodiario[[#This Row],[data]],estoque[fornecedor],"&lt;&gt;saída"))/(AU231+(SUMIFS(estoque[quantidade],estoque[produto],preçodiario[[#Headers],[OVO VERMELHO EXTRA]],estoque[fornecedor],"&lt;&gt;saída",estoque[data],preçodiario[[#This Row],[data]])))))</f>
        <v/>
      </c>
      <c r="AU232" s="22">
        <f>IF(preçodiario[[#This Row],[entrada EV]]=0,AU231-(SUMIFS(estoque[quantidade],estoque[fornecedor],"saída",estoque[produto],preçodiario[[#Headers],[OVO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Row],[data]]))+AU231+preçodiario[[#This Row],[entrada EV]])</f>
        <v>0</v>
      </c>
      <c r="AV232" s="22">
        <f>SUMIFS(estoque[quantidade],estoque[fornecedor],"&lt;&gt;saída",estoque[produto],preçodiario[[#Headers],[OVO VERMELHO EXTRA]],estoque[data],preçodiario[[#This Row],[data]])</f>
        <v>0</v>
      </c>
      <c r="AW232" s="20">
        <f>SUMIFS(estoque[valor total],estoque[fornecedor],"&lt;&gt;saída",estoque[produto],preçodiario[[#Headers],[OVO VERMELHO EXTRA]],estoque[data],preçodiario[[#This Row],[data]])</f>
        <v>0</v>
      </c>
      <c r="AX232" s="20">
        <f>IFERROR(preçodiario[[#This Row],[OVO VERMELHO EXTRA]]*preçodiario[[#This Row],[estoque EV]],0)</f>
        <v>0</v>
      </c>
      <c r="AY2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Row],[data]])),((AY231*AZ231)+SUMIFS(estoque[valor total],estoque[produto],preçodiario[[#Headers],[OVO VERMELHO JUMBO]],estoque[data],preçodiario[[#This Row],[data]],estoque[fornecedor],"&lt;&gt;saída"))/(AZ231+(SUMIFS(estoque[quantidade],estoque[produto],preçodiario[[#Headers],[OVO VERMELHO JUMBO]],estoque[fornecedor],"&lt;&gt;saída",estoque[data],preçodiario[[#This Row],[data]])))))</f>
        <v/>
      </c>
      <c r="AZ232" s="22">
        <f>IF(preçodiario[[#This Row],[entrada JV]]=0,AZ231-(SUMIFS(estoque[quantidade],estoque[fornecedor],"saída",estoque[produto],preçodiario[[#Headers],[OVO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Row],[data]]))+AZ231+preçodiario[[#This Row],[entrada JV]])</f>
        <v>0</v>
      </c>
      <c r="BA232" s="22">
        <f>SUMIFS(estoque[quantidade],estoque[fornecedor],"&lt;&gt;saída",estoque[produto],preçodiario[[#Headers],[OVO VERMELHO JUMBO]],estoque[data],preçodiario[[#This Row],[data]])</f>
        <v>0</v>
      </c>
      <c r="BB232" s="20">
        <f>SUMIFS(estoque[valor total],estoque[fornecedor],"&lt;&gt;saída",estoque[produto],preçodiario[[#Headers],[OVO VERMELHO JUMBO]],estoque[data],preçodiario[[#This Row],[data]])</f>
        <v>0</v>
      </c>
      <c r="BC232" s="20">
        <f>IFERROR(preçodiario[[#This Row],[OVO VERMELHO JUMBO]]*preçodiario[[#This Row],[estoque JV]],0)</f>
        <v>0</v>
      </c>
      <c r="BD232" t="str">
        <f>TEXT(vendaAno[[#This Row],[data]],"mmm")</f>
        <v>ago</v>
      </c>
      <c r="BE232" t="str">
        <f>TEXT(vendaAno[[#This Row],[data]],"ddd")</f>
        <v>qua</v>
      </c>
      <c r="BF232" s="82">
        <f>WEEKNUM(vendaAno[[#This Row],[data]],13)</f>
        <v>34</v>
      </c>
      <c r="BG232" s="27">
        <f>preçodiario[[#This Row],[data]]</f>
        <v>46253</v>
      </c>
      <c r="BH2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Row],[data]]))/12+BJ231,"")</f>
        <v/>
      </c>
      <c r="BK232" s="79" t="str">
        <f ca="1">IF(TODAY()&gt;=vendaAno[[#This Row],[data]],IF(SUMIFS(estoque[quantidade],estoque[fornecedor],"saída",estoque[data],vendaAno[[#This Row],[data]])/12=0,AVERAGE(BK229:BK231),SUMIFS(estoque[quantidade],estoque[fornecedor],"saída",estoque[data],vendaAno[[#This Row],[data]])/12),"")</f>
        <v/>
      </c>
      <c r="BL232" s="8" t="str">
        <f ca="1">IF(vendaAno[[#This Row],[data]]&lt;=TODAY(),IF(SUMIFS(estoque[lucro],estoque[fornecedor],"saída",estoque[data],vendaAno[[#This Row],[data]])=0,AVERAGE(BL229:BL231),SUMIFS(estoque[lucro],estoque[fornecedor],"saída",estoque[data],vendaAno[[#This Row],[data]])),"")</f>
        <v/>
      </c>
      <c r="BM232" s="10" t="str">
        <f ca="1">IFERROR(vendaAno[[#This Row],[lucro]]/vendaAno[[#This Row],[valor de venda]],"")</f>
        <v/>
      </c>
      <c r="BN23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2" s="8" t="str">
        <f ca="1">IF(TODAY()&gt;=vendaAno[[#This Row],[data]],IF(vendaAno[[#This Row],[N°]]=BF231,vendaAno[[#This Row],[lucro]]-173.33+BO231,vendaAno[[#This Row],[lucro]]-150),"")</f>
        <v/>
      </c>
      <c r="BP232" s="81" t="str">
        <f ca="1">IF(TODAY()&gt;=vendaAno[[#This Row],[data]],SUM(BK226:BK232)*12,"")</f>
        <v/>
      </c>
      <c r="BQ232" s="7" t="str">
        <f ca="1">IFERROR(vendaAno[[#This Row],[lucro]]/(vendaAno[[#This Row],[venda]]*12),"")</f>
        <v/>
      </c>
    </row>
    <row r="233" spans="1:69" x14ac:dyDescent="0.25">
      <c r="A2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3" s="18" t="str">
        <f>TEXT(preçodiario[[#This Row],[data]],"MMM")</f>
        <v>ago</v>
      </c>
      <c r="C233" s="18" t="str">
        <f>TEXT(preçodiario[[#This Row],[data]],"ddd")</f>
        <v>qui</v>
      </c>
      <c r="D233" s="96">
        <f>WEEKNUM(preçodiario[[#This Row],[data]],13)</f>
        <v>34</v>
      </c>
      <c r="E233" s="37">
        <v>46254</v>
      </c>
      <c r="F2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Row],[data]])),((F232*G232)+SUMIFS(estoque[valor total],estoque[produto],preçodiario[[#Headers],[OVO BRANCO A]],estoque[data],preçodiario[[#This Row],[data]],estoque[fornecedor],"&lt;&gt;saída"))/(G232+(SUMIFS(estoque[quantidade],estoque[produto],preçodiario[[#Headers],[OVO BRANCO A]],estoque[fornecedor],"&lt;&gt;saída",estoque[data],preçodiario[[#This Row],[data]])))))</f>
        <v>15.278182701652089</v>
      </c>
      <c r="G233" s="22">
        <f>IF(preçodiario[[#This Row],[entrada A]]=0,G232-(SUMIFS(estoque[quantidade],estoque[fornecedor],"saída",estoque[produto],preçodiario[[#Headers],[OVO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Row],[data]]))+G232+preçodiario[[#This Row],[entrada A]])</f>
        <v>133</v>
      </c>
      <c r="H233" s="22">
        <f>SUMIFS(estoque[quantidade],estoque[fornecedor],"&lt;&gt;saída",estoque[produto],preçodiario[[#Headers],[OVO BRANCO A]],estoque[data],preçodiario[[#This Row],[data]])</f>
        <v>0</v>
      </c>
      <c r="I233" s="20">
        <f>SUMIFS(estoque[valor total],estoque[fornecedor],"&lt;&gt;saída",estoque[produto],preçodiario[[#Headers],[OVO BRANCO A]],estoque[data],preçodiario[[#This Row],[data]])</f>
        <v>0</v>
      </c>
      <c r="J233" s="20">
        <f>IFERROR(preçodiario[[#This Row],[estoque A]]*preçodiario[[#This Row],[OVO BRANCO A]],0)</f>
        <v>2031.9982993197277</v>
      </c>
      <c r="K2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Row],[data]])),((K232*L232)+SUMIFS(estoque[valor total],estoque[produto],preçodiario[[#Headers],[OVO BRANCO B]],estoque[data],preçodiario[[#This Row],[data]],estoque[fornecedor],"&lt;&gt;saída"))/(L232+(SUMIFS(estoque[quantidade],estoque[produto],preçodiario[[#Headers],[OVO BRANCO B]],estoque[fornecedor],"&lt;&gt;saída",estoque[data],preçodiario[[#This Row],[data]])))))</f>
        <v>14.584252837326604</v>
      </c>
      <c r="L233" s="22">
        <f>IF(preçodiario[[#This Row],[entrada B]]=0,L232-(SUMIFS(estoque[quantidade],estoque[fornecedor],"saída",estoque[produto],preçodiario[[#Headers],[OVO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Row],[data]]))+L232+preçodiario[[#This Row],[entrada B]])</f>
        <v>16</v>
      </c>
      <c r="M233" s="22">
        <f>SUMIFS(estoque[quantidade],estoque[fornecedor],"&lt;&gt;saída",estoque[produto],preçodiario[[#Headers],[OVO BRANCO B]],estoque[data],preçodiario[[#This Row],[data]])</f>
        <v>0</v>
      </c>
      <c r="N233" s="20">
        <f>SUMIFS(estoque[valor total],estoque[fornecedor],"&lt;&gt;saída",estoque[produto],preçodiario[[#Headers],[OVO BRANCO B]],estoque[data],preçodiario[[#This Row],[data]])</f>
        <v>0</v>
      </c>
      <c r="O233" s="20">
        <f>IFERROR(preçodiario[[#This Row],[OVO BRANCO B]]*preçodiario[[#This Row],[estoque B]],0)</f>
        <v>233.34804539722566</v>
      </c>
      <c r="P2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Row],[data]])),((P232*Q232)+SUMIFS(estoque[valor total],estoque[produto],preçodiario[[#Headers],[OVO BRANCO C]],estoque[data],preçodiario[[#This Row],[data]],estoque[fornecedor],"&lt;&gt;saída"))/(Q232+(SUMIFS(estoque[quantidade],estoque[produto],preçodiario[[#Headers],[OVO BRANCO C]],estoque[fornecedor],"&lt;&gt;saída",estoque[data],preçodiario[[#This Row],[data]])))))</f>
        <v>12.5</v>
      </c>
      <c r="Q233" s="22">
        <f>IF(preçodiario[[#This Row],[entrada C]]=0,Q232-(SUMIFS(estoque[quantidade],estoque[fornecedor],"saída",estoque[produto],preçodiario[[#Headers],[OVO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Row],[data]]))+Q232+preçodiario[[#This Row],[entrada C]])</f>
        <v>60</v>
      </c>
      <c r="R233" s="22">
        <f>SUMIFS(estoque[quantidade],estoque[fornecedor],"&lt;&gt;saída",estoque[produto],preçodiario[[#Headers],[OVO BRANCO C]],estoque[data],preçodiario[[#This Row],[data]])</f>
        <v>0</v>
      </c>
      <c r="S233" s="20">
        <f>SUMIFS(estoque[valor total],estoque[fornecedor],"&lt;&gt;saída",estoque[produto],preçodiario[[#Headers],[OVO BRANCO C]],estoque[data],preçodiario[[#This Row],[data]])</f>
        <v>0</v>
      </c>
      <c r="T233" s="20">
        <f>IFERROR(preçodiario[[#This Row],[OVO BRANCO C]]*preçodiario[[#This Row],[estoque C]],0)</f>
        <v>750</v>
      </c>
      <c r="U2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Row],[data]])),((U232*V232)+SUMIFS(estoque[valor total],estoque[produto],preçodiario[[#Headers],[OVO BRANCO EXTRA]],estoque[data],preçodiario[[#This Row],[data]],estoque[fornecedor],"&lt;&gt;saída"))/(V232+(SUMIFS(estoque[quantidade],estoque[produto],preçodiario[[#Headers],[OVO BRANCO EXTRA]],estoque[fornecedor],"&lt;&gt;saída",estoque[data],preçodiario[[#This Row],[data]])))))</f>
        <v>15.725438400674655</v>
      </c>
      <c r="V233" s="22">
        <f>IF(preçodiario[[#This Row],[entrada E]]=0,V232-(SUMIFS(estoque[quantidade],estoque[fornecedor],"saída",estoque[produto],preçodiario[[#Headers],[OVO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Row],[data]]))+V232+preçodiario[[#This Row],[entrada E]])</f>
        <v>46</v>
      </c>
      <c r="W233" s="22">
        <f>SUMIFS(estoque[quantidade],estoque[fornecedor],"&lt;&gt;saída",estoque[produto],preçodiario[[#Headers],[OVO BRANCO EXTRA]],estoque[data],preçodiario[[#This Row],[data]])</f>
        <v>0</v>
      </c>
      <c r="X233" s="20">
        <f>SUMIFS(estoque[valor total],estoque[fornecedor],"&lt;&gt;saída",estoque[produto],preçodiario[[#Headers],[OVO BRANCO EXTRA]],estoque[data],preçodiario[[#This Row],[data]])</f>
        <v>0</v>
      </c>
      <c r="Y233" s="20">
        <f>IFERROR(preçodiario[[#This Row],[estoque E]]*preçodiario[[#This Row],[OVO BRANCO EXTRA]],0)</f>
        <v>723.37016643103414</v>
      </c>
      <c r="Z2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Row],[data]])),((Z232*AA232)+SUMIFS(estoque[valor total],estoque[produto],preçodiario[[#Headers],[OVO BRANCO JUMBO]],estoque[data],preçodiario[[#This Row],[data]],estoque[fornecedor],"&lt;&gt;saída"))/(AA232+(SUMIFS(estoque[quantidade],estoque[produto],preçodiario[[#Headers],[OVO BRANCO JUMBO]],estoque[fornecedor],"&lt;&gt;saída",estoque[data],preçodiario[[#This Row],[data]])))))</f>
        <v>16.50550595238095</v>
      </c>
      <c r="AA233" s="22">
        <f>IF(preçodiario[[#This Row],[entrada J]]=0,AA232-(SUMIFS(estoque[quantidade],estoque[fornecedor],"saída",estoque[produto],preçodiario[[#Headers],[OVO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Row],[data]]))+AA232+preçodiario[[#This Row],[entrada J]])</f>
        <v>75</v>
      </c>
      <c r="AB233" s="22">
        <f>SUMIFS(estoque[quantidade],estoque[fornecedor],"&lt;&gt;saída",estoque[produto],preçodiario[[#Headers],[OVO BRANCO JUMBO]],estoque[data],preçodiario[[#This Row],[data]])</f>
        <v>0</v>
      </c>
      <c r="AC233" s="20">
        <f>SUMIFS(estoque[valor total],estoque[fornecedor],"&lt;&gt;saída",estoque[produto],preçodiario[[#Headers],[OVO BRANCO JUMBO]],estoque[data],preçodiario[[#This Row],[data]])</f>
        <v>0</v>
      </c>
      <c r="AD233" s="20">
        <f>IFERROR(preçodiario[[#This Row],[OVO BRANCO JUMBO]]*preçodiario[[#This Row],[estoque J]],0)</f>
        <v>1237.9129464285713</v>
      </c>
      <c r="AE2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Row],[data]])),((AE232*AF232)+SUMIFS(estoque[valor total],estoque[produto],preçodiario[[#Headers],[OVO VERMELHO A]],estoque[data],preçodiario[[#This Row],[data]],estoque[fornecedor],"&lt;&gt;saída"))/(AF232+(SUMIFS(estoque[quantidade],estoque[produto],preçodiario[[#Headers],[OVO VERMELHO A]],estoque[fornecedor],"&lt;&gt;saída",estoque[data],preçodiario[[#This Row],[data]])))))</f>
        <v/>
      </c>
      <c r="AF233" s="22">
        <f>IF(preçodiario[[#This Row],[entrada AV]]=0,AF232-(SUMIFS(estoque[quantidade],estoque[fornecedor],"saída",estoque[produto],preçodiario[[#Headers],[OVO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Row],[data]]))+AF232+preçodiario[[#This Row],[entrada AV]])</f>
        <v>0</v>
      </c>
      <c r="AG233" s="22">
        <f>SUMIFS(estoque[quantidade],estoque[fornecedor],"&lt;&gt;saída",estoque[produto],preçodiario[[#Headers],[OVO VERMELHO A]],estoque[data],preçodiario[[#This Row],[data]])</f>
        <v>0</v>
      </c>
      <c r="AH233" s="20">
        <f>SUMIFS(estoque[valor total],estoque[fornecedor],"&lt;&gt;saída",estoque[produto],preçodiario[[#Headers],[OVO VERMELHO A]],estoque[data],preçodiario[[#This Row],[data]])</f>
        <v>0</v>
      </c>
      <c r="AI233" s="20">
        <f>IFERROR(preçodiario[[#This Row],[OVO VERMELHO A]]*preçodiario[[#This Row],[estoque AV]],0)</f>
        <v>0</v>
      </c>
      <c r="AJ2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Row],[data]])),((AJ232*AK232)+SUMIFS(estoque[valor total],estoque[produto],preçodiario[[#Headers],[OVO VERMELHO B]],estoque[data],preçodiario[[#This Row],[data]],estoque[fornecedor],"&lt;&gt;saída"))/(AK232+(SUMIFS(estoque[quantidade],estoque[produto],preçodiario[[#Headers],[OVO VERMELHO B]],estoque[fornecedor],"&lt;&gt;saída",estoque[data],preçodiario[[#This Row],[data]])))))</f>
        <v/>
      </c>
      <c r="AK233" s="22">
        <f>IF(preçodiario[[#This Row],[entrada BV]]=0,AK232-(SUMIFS(estoque[quantidade],estoque[fornecedor],"saída",estoque[produto],preçodiario[[#Headers],[OVO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Row],[data]]))+AK232+preçodiario[[#This Row],[entrada BV]])</f>
        <v>0</v>
      </c>
      <c r="AL233" s="22">
        <f>SUMIFS(estoque[quantidade],estoque[fornecedor],"&lt;&gt;saída",estoque[produto],preçodiario[[#Headers],[OVO VERMELHO B]],estoque[data],preçodiario[[#This Row],[data]])</f>
        <v>0</v>
      </c>
      <c r="AM233" s="20">
        <f>SUMIFS(estoque[valor total],estoque[fornecedor],"&lt;&gt;saída",estoque[produto],preçodiario[[#Headers],[OVO VERMELHO B]],estoque[data],preçodiario[[#This Row],[data]])</f>
        <v>0</v>
      </c>
      <c r="AN233" s="20">
        <f>IFERROR(preçodiario[[#This Row],[OVO VERMELHO B]]*preçodiario[[#This Row],[estoque BV]],0)</f>
        <v>0</v>
      </c>
      <c r="AO2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Row],[data]])),((AO232*AP232)+SUMIFS(estoque[valor total],estoque[produto],preçodiario[[#Headers],[OVO VERMELHO C]],estoque[data],preçodiario[[#This Row],[data]],estoque[fornecedor],"&lt;&gt;saída"))/(AP232+(SUMIFS(estoque[quantidade],estoque[produto],preçodiario[[#Headers],[OVO VERMELHO C]],estoque[fornecedor],"&lt;&gt;saída",estoque[data],preçodiario[[#This Row],[data]])))))</f>
        <v/>
      </c>
      <c r="AP233" s="22">
        <f>IF(preçodiario[[#This Row],[entrada CV]]=0,AP232-(SUMIFS(estoque[quantidade],estoque[fornecedor],"saída",estoque[produto],preçodiario[[#Headers],[OVO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Row],[data]]))+AP232+preçodiario[[#This Row],[entrada CV]])</f>
        <v>0</v>
      </c>
      <c r="AQ233" s="22">
        <f>SUMIFS(estoque[quantidade],estoque[fornecedor],"&lt;&gt;saída",estoque[produto],preçodiario[[#Headers],[OVO VERMELHO C]],estoque[data],preçodiario[[#This Row],[data]])</f>
        <v>0</v>
      </c>
      <c r="AR233" s="20">
        <f>SUMIFS(estoque[valor total],estoque[fornecedor],"&lt;&gt;saída",estoque[produto],preçodiario[[#Headers],[OVO VERMELHO C]],estoque[data],preçodiario[[#This Row],[data]])</f>
        <v>0</v>
      </c>
      <c r="AS233" s="20">
        <f>IFERROR(preçodiario[[#This Row],[OVO VERMELHO C]]*preçodiario[[#This Row],[estoque CV]],0)</f>
        <v>0</v>
      </c>
      <c r="AT2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Row],[data]])),((AT232*AU232)+SUMIFS(estoque[valor total],estoque[produto],preçodiario[[#Headers],[OVO VERMELHO EXTRA]],estoque[data],preçodiario[[#This Row],[data]],estoque[fornecedor],"&lt;&gt;saída"))/(AU232+(SUMIFS(estoque[quantidade],estoque[produto],preçodiario[[#Headers],[OVO VERMELHO EXTRA]],estoque[fornecedor],"&lt;&gt;saída",estoque[data],preçodiario[[#This Row],[data]])))))</f>
        <v/>
      </c>
      <c r="AU233" s="22">
        <f>IF(preçodiario[[#This Row],[entrada EV]]=0,AU232-(SUMIFS(estoque[quantidade],estoque[fornecedor],"saída",estoque[produto],preçodiario[[#Headers],[OVO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Row],[data]]))+AU232+preçodiario[[#This Row],[entrada EV]])</f>
        <v>0</v>
      </c>
      <c r="AV233" s="22">
        <f>SUMIFS(estoque[quantidade],estoque[fornecedor],"&lt;&gt;saída",estoque[produto],preçodiario[[#Headers],[OVO VERMELHO EXTRA]],estoque[data],preçodiario[[#This Row],[data]])</f>
        <v>0</v>
      </c>
      <c r="AW233" s="20">
        <f>SUMIFS(estoque[valor total],estoque[fornecedor],"&lt;&gt;saída",estoque[produto],preçodiario[[#Headers],[OVO VERMELHO EXTRA]],estoque[data],preçodiario[[#This Row],[data]])</f>
        <v>0</v>
      </c>
      <c r="AX233" s="20">
        <f>IFERROR(preçodiario[[#This Row],[OVO VERMELHO EXTRA]]*preçodiario[[#This Row],[estoque EV]],0)</f>
        <v>0</v>
      </c>
      <c r="AY2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Row],[data]])),((AY232*AZ232)+SUMIFS(estoque[valor total],estoque[produto],preçodiario[[#Headers],[OVO VERMELHO JUMBO]],estoque[data],preçodiario[[#This Row],[data]],estoque[fornecedor],"&lt;&gt;saída"))/(AZ232+(SUMIFS(estoque[quantidade],estoque[produto],preçodiario[[#Headers],[OVO VERMELHO JUMBO]],estoque[fornecedor],"&lt;&gt;saída",estoque[data],preçodiario[[#This Row],[data]])))))</f>
        <v/>
      </c>
      <c r="AZ233" s="22">
        <f>IF(preçodiario[[#This Row],[entrada JV]]=0,AZ232-(SUMIFS(estoque[quantidade],estoque[fornecedor],"saída",estoque[produto],preçodiario[[#Headers],[OVO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Row],[data]]))+AZ232+preçodiario[[#This Row],[entrada JV]])</f>
        <v>0</v>
      </c>
      <c r="BA233" s="22">
        <f>SUMIFS(estoque[quantidade],estoque[fornecedor],"&lt;&gt;saída",estoque[produto],preçodiario[[#Headers],[OVO VERMELHO JUMBO]],estoque[data],preçodiario[[#This Row],[data]])</f>
        <v>0</v>
      </c>
      <c r="BB233" s="20">
        <f>SUMIFS(estoque[valor total],estoque[fornecedor],"&lt;&gt;saída",estoque[produto],preçodiario[[#Headers],[OVO VERMELHO JUMBO]],estoque[data],preçodiario[[#This Row],[data]])</f>
        <v>0</v>
      </c>
      <c r="BC233" s="20">
        <f>IFERROR(preçodiario[[#This Row],[OVO VERMELHO JUMBO]]*preçodiario[[#This Row],[estoque JV]],0)</f>
        <v>0</v>
      </c>
      <c r="BD233" t="str">
        <f>TEXT(vendaAno[[#This Row],[data]],"mmm")</f>
        <v>ago</v>
      </c>
      <c r="BE233" t="str">
        <f>TEXT(vendaAno[[#This Row],[data]],"ddd")</f>
        <v>qui</v>
      </c>
      <c r="BF233" s="82">
        <f>WEEKNUM(vendaAno[[#This Row],[data]],13)</f>
        <v>34</v>
      </c>
      <c r="BG233" s="27">
        <f>preçodiario[[#This Row],[data]]</f>
        <v>46254</v>
      </c>
      <c r="BH2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Row],[data]]))/12+BJ232,"")</f>
        <v/>
      </c>
      <c r="BK233" s="79" t="str">
        <f ca="1">IF(TODAY()&gt;=vendaAno[[#This Row],[data]],IF(SUMIFS(estoque[quantidade],estoque[fornecedor],"saída",estoque[data],vendaAno[[#This Row],[data]])/12=0,AVERAGE(BK230:BK232),SUMIFS(estoque[quantidade],estoque[fornecedor],"saída",estoque[data],vendaAno[[#This Row],[data]])/12),"")</f>
        <v/>
      </c>
      <c r="BL233" s="8" t="str">
        <f ca="1">IF(vendaAno[[#This Row],[data]]&lt;=TODAY(),IF(SUMIFS(estoque[lucro],estoque[fornecedor],"saída",estoque[data],vendaAno[[#This Row],[data]])=0,AVERAGE(BL230:BL232),SUMIFS(estoque[lucro],estoque[fornecedor],"saída",estoque[data],vendaAno[[#This Row],[data]])),"")</f>
        <v/>
      </c>
      <c r="BM233" s="10" t="str">
        <f ca="1">IFERROR(vendaAno[[#This Row],[lucro]]/vendaAno[[#This Row],[valor de venda]],"")</f>
        <v/>
      </c>
      <c r="BN23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3" s="8" t="str">
        <f ca="1">IF(TODAY()&gt;=vendaAno[[#This Row],[data]],IF(vendaAno[[#This Row],[N°]]=BF232,vendaAno[[#This Row],[lucro]]-173.33+BO232,vendaAno[[#This Row],[lucro]]-150),"")</f>
        <v/>
      </c>
      <c r="BP233" s="81" t="str">
        <f ca="1">IF(TODAY()&gt;=vendaAno[[#This Row],[data]],SUM(BK227:BK233)*12,"")</f>
        <v/>
      </c>
      <c r="BQ233" s="7" t="str">
        <f ca="1">IFERROR(vendaAno[[#This Row],[lucro]]/(vendaAno[[#This Row],[venda]]*12),"")</f>
        <v/>
      </c>
    </row>
    <row r="234" spans="1:69" x14ac:dyDescent="0.25">
      <c r="A2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4" s="18" t="str">
        <f>TEXT(preçodiario[[#This Row],[data]],"MMM")</f>
        <v>ago</v>
      </c>
      <c r="C234" s="18" t="str">
        <f>TEXT(preçodiario[[#This Row],[data]],"ddd")</f>
        <v>sex</v>
      </c>
      <c r="D234" s="96">
        <f>WEEKNUM(preçodiario[[#This Row],[data]],13)</f>
        <v>34</v>
      </c>
      <c r="E234" s="37">
        <v>46255</v>
      </c>
      <c r="F2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Row],[data]])),((F233*G233)+SUMIFS(estoque[valor total],estoque[produto],preçodiario[[#Headers],[OVO BRANCO A]],estoque[data],preçodiario[[#This Row],[data]],estoque[fornecedor],"&lt;&gt;saída"))/(G233+(SUMIFS(estoque[quantidade],estoque[produto],preçodiario[[#Headers],[OVO BRANCO A]],estoque[fornecedor],"&lt;&gt;saída",estoque[data],preçodiario[[#This Row],[data]])))))</f>
        <v>15.278182701652089</v>
      </c>
      <c r="G234" s="22">
        <f>IF(preçodiario[[#This Row],[entrada A]]=0,G233-(SUMIFS(estoque[quantidade],estoque[fornecedor],"saída",estoque[produto],preçodiario[[#Headers],[OVO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Row],[data]]))+G233+preçodiario[[#This Row],[entrada A]])</f>
        <v>133</v>
      </c>
      <c r="H234" s="22">
        <f>SUMIFS(estoque[quantidade],estoque[fornecedor],"&lt;&gt;saída",estoque[produto],preçodiario[[#Headers],[OVO BRANCO A]],estoque[data],preçodiario[[#This Row],[data]])</f>
        <v>0</v>
      </c>
      <c r="I234" s="20">
        <f>SUMIFS(estoque[valor total],estoque[fornecedor],"&lt;&gt;saída",estoque[produto],preçodiario[[#Headers],[OVO BRANCO A]],estoque[data],preçodiario[[#This Row],[data]])</f>
        <v>0</v>
      </c>
      <c r="J234" s="20">
        <f>IFERROR(preçodiario[[#This Row],[estoque A]]*preçodiario[[#This Row],[OVO BRANCO A]],0)</f>
        <v>2031.9982993197277</v>
      </c>
      <c r="K2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Row],[data]])),((K233*L233)+SUMIFS(estoque[valor total],estoque[produto],preçodiario[[#Headers],[OVO BRANCO B]],estoque[data],preçodiario[[#This Row],[data]],estoque[fornecedor],"&lt;&gt;saída"))/(L233+(SUMIFS(estoque[quantidade],estoque[produto],preçodiario[[#Headers],[OVO BRANCO B]],estoque[fornecedor],"&lt;&gt;saída",estoque[data],preçodiario[[#This Row],[data]])))))</f>
        <v>14.584252837326604</v>
      </c>
      <c r="L234" s="22">
        <f>IF(preçodiario[[#This Row],[entrada B]]=0,L233-(SUMIFS(estoque[quantidade],estoque[fornecedor],"saída",estoque[produto],preçodiario[[#Headers],[OVO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Row],[data]]))+L233+preçodiario[[#This Row],[entrada B]])</f>
        <v>16</v>
      </c>
      <c r="M234" s="22">
        <f>SUMIFS(estoque[quantidade],estoque[fornecedor],"&lt;&gt;saída",estoque[produto],preçodiario[[#Headers],[OVO BRANCO B]],estoque[data],preçodiario[[#This Row],[data]])</f>
        <v>0</v>
      </c>
      <c r="N234" s="20">
        <f>SUMIFS(estoque[valor total],estoque[fornecedor],"&lt;&gt;saída",estoque[produto],preçodiario[[#Headers],[OVO BRANCO B]],estoque[data],preçodiario[[#This Row],[data]])</f>
        <v>0</v>
      </c>
      <c r="O234" s="20">
        <f>IFERROR(preçodiario[[#This Row],[OVO BRANCO B]]*preçodiario[[#This Row],[estoque B]],0)</f>
        <v>233.34804539722566</v>
      </c>
      <c r="P2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Row],[data]])),((P233*Q233)+SUMIFS(estoque[valor total],estoque[produto],preçodiario[[#Headers],[OVO BRANCO C]],estoque[data],preçodiario[[#This Row],[data]],estoque[fornecedor],"&lt;&gt;saída"))/(Q233+(SUMIFS(estoque[quantidade],estoque[produto],preçodiario[[#Headers],[OVO BRANCO C]],estoque[fornecedor],"&lt;&gt;saída",estoque[data],preçodiario[[#This Row],[data]])))))</f>
        <v>12.5</v>
      </c>
      <c r="Q234" s="22">
        <f>IF(preçodiario[[#This Row],[entrada C]]=0,Q233-(SUMIFS(estoque[quantidade],estoque[fornecedor],"saída",estoque[produto],preçodiario[[#Headers],[OVO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Row],[data]]))+Q233+preçodiario[[#This Row],[entrada C]])</f>
        <v>60</v>
      </c>
      <c r="R234" s="22">
        <f>SUMIFS(estoque[quantidade],estoque[fornecedor],"&lt;&gt;saída",estoque[produto],preçodiario[[#Headers],[OVO BRANCO C]],estoque[data],preçodiario[[#This Row],[data]])</f>
        <v>0</v>
      </c>
      <c r="S234" s="20">
        <f>SUMIFS(estoque[valor total],estoque[fornecedor],"&lt;&gt;saída",estoque[produto],preçodiario[[#Headers],[OVO BRANCO C]],estoque[data],preçodiario[[#This Row],[data]])</f>
        <v>0</v>
      </c>
      <c r="T234" s="20">
        <f>IFERROR(preçodiario[[#This Row],[OVO BRANCO C]]*preçodiario[[#This Row],[estoque C]],0)</f>
        <v>750</v>
      </c>
      <c r="U2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Row],[data]])),((U233*V233)+SUMIFS(estoque[valor total],estoque[produto],preçodiario[[#Headers],[OVO BRANCO EXTRA]],estoque[data],preçodiario[[#This Row],[data]],estoque[fornecedor],"&lt;&gt;saída"))/(V233+(SUMIFS(estoque[quantidade],estoque[produto],preçodiario[[#Headers],[OVO BRANCO EXTRA]],estoque[fornecedor],"&lt;&gt;saída",estoque[data],preçodiario[[#This Row],[data]])))))</f>
        <v>15.725438400674655</v>
      </c>
      <c r="V234" s="22">
        <f>IF(preçodiario[[#This Row],[entrada E]]=0,V233-(SUMIFS(estoque[quantidade],estoque[fornecedor],"saída",estoque[produto],preçodiario[[#Headers],[OVO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Row],[data]]))+V233+preçodiario[[#This Row],[entrada E]])</f>
        <v>46</v>
      </c>
      <c r="W234" s="22">
        <f>SUMIFS(estoque[quantidade],estoque[fornecedor],"&lt;&gt;saída",estoque[produto],preçodiario[[#Headers],[OVO BRANCO EXTRA]],estoque[data],preçodiario[[#This Row],[data]])</f>
        <v>0</v>
      </c>
      <c r="X234" s="20">
        <f>SUMIFS(estoque[valor total],estoque[fornecedor],"&lt;&gt;saída",estoque[produto],preçodiario[[#Headers],[OVO BRANCO EXTRA]],estoque[data],preçodiario[[#This Row],[data]])</f>
        <v>0</v>
      </c>
      <c r="Y234" s="20">
        <f>IFERROR(preçodiario[[#This Row],[estoque E]]*preçodiario[[#This Row],[OVO BRANCO EXTRA]],0)</f>
        <v>723.37016643103414</v>
      </c>
      <c r="Z2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Row],[data]])),((Z233*AA233)+SUMIFS(estoque[valor total],estoque[produto],preçodiario[[#Headers],[OVO BRANCO JUMBO]],estoque[data],preçodiario[[#This Row],[data]],estoque[fornecedor],"&lt;&gt;saída"))/(AA233+(SUMIFS(estoque[quantidade],estoque[produto],preçodiario[[#Headers],[OVO BRANCO JUMBO]],estoque[fornecedor],"&lt;&gt;saída",estoque[data],preçodiario[[#This Row],[data]])))))</f>
        <v>16.50550595238095</v>
      </c>
      <c r="AA234" s="22">
        <f>IF(preçodiario[[#This Row],[entrada J]]=0,AA233-(SUMIFS(estoque[quantidade],estoque[fornecedor],"saída",estoque[produto],preçodiario[[#Headers],[OVO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Row],[data]]))+AA233+preçodiario[[#This Row],[entrada J]])</f>
        <v>75</v>
      </c>
      <c r="AB234" s="22">
        <f>SUMIFS(estoque[quantidade],estoque[fornecedor],"&lt;&gt;saída",estoque[produto],preçodiario[[#Headers],[OVO BRANCO JUMBO]],estoque[data],preçodiario[[#This Row],[data]])</f>
        <v>0</v>
      </c>
      <c r="AC234" s="20">
        <f>SUMIFS(estoque[valor total],estoque[fornecedor],"&lt;&gt;saída",estoque[produto],preçodiario[[#Headers],[OVO BRANCO JUMBO]],estoque[data],preçodiario[[#This Row],[data]])</f>
        <v>0</v>
      </c>
      <c r="AD234" s="20">
        <f>IFERROR(preçodiario[[#This Row],[OVO BRANCO JUMBO]]*preçodiario[[#This Row],[estoque J]],0)</f>
        <v>1237.9129464285713</v>
      </c>
      <c r="AE2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Row],[data]])),((AE233*AF233)+SUMIFS(estoque[valor total],estoque[produto],preçodiario[[#Headers],[OVO VERMELHO A]],estoque[data],preçodiario[[#This Row],[data]],estoque[fornecedor],"&lt;&gt;saída"))/(AF233+(SUMIFS(estoque[quantidade],estoque[produto],preçodiario[[#Headers],[OVO VERMELHO A]],estoque[fornecedor],"&lt;&gt;saída",estoque[data],preçodiario[[#This Row],[data]])))))</f>
        <v/>
      </c>
      <c r="AF234" s="22">
        <f>IF(preçodiario[[#This Row],[entrada AV]]=0,AF233-(SUMIFS(estoque[quantidade],estoque[fornecedor],"saída",estoque[produto],preçodiario[[#Headers],[OVO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Row],[data]]))+AF233+preçodiario[[#This Row],[entrada AV]])</f>
        <v>0</v>
      </c>
      <c r="AG234" s="22">
        <f>SUMIFS(estoque[quantidade],estoque[fornecedor],"&lt;&gt;saída",estoque[produto],preçodiario[[#Headers],[OVO VERMELHO A]],estoque[data],preçodiario[[#This Row],[data]])</f>
        <v>0</v>
      </c>
      <c r="AH234" s="20">
        <f>SUMIFS(estoque[valor total],estoque[fornecedor],"&lt;&gt;saída",estoque[produto],preçodiario[[#Headers],[OVO VERMELHO A]],estoque[data],preçodiario[[#This Row],[data]])</f>
        <v>0</v>
      </c>
      <c r="AI234" s="20">
        <f>IFERROR(preçodiario[[#This Row],[OVO VERMELHO A]]*preçodiario[[#This Row],[estoque AV]],0)</f>
        <v>0</v>
      </c>
      <c r="AJ2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Row],[data]])),((AJ233*AK233)+SUMIFS(estoque[valor total],estoque[produto],preçodiario[[#Headers],[OVO VERMELHO B]],estoque[data],preçodiario[[#This Row],[data]],estoque[fornecedor],"&lt;&gt;saída"))/(AK233+(SUMIFS(estoque[quantidade],estoque[produto],preçodiario[[#Headers],[OVO VERMELHO B]],estoque[fornecedor],"&lt;&gt;saída",estoque[data],preçodiario[[#This Row],[data]])))))</f>
        <v/>
      </c>
      <c r="AK234" s="22">
        <f>IF(preçodiario[[#This Row],[entrada BV]]=0,AK233-(SUMIFS(estoque[quantidade],estoque[fornecedor],"saída",estoque[produto],preçodiario[[#Headers],[OVO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Row],[data]]))+AK233+preçodiario[[#This Row],[entrada BV]])</f>
        <v>0</v>
      </c>
      <c r="AL234" s="22">
        <f>SUMIFS(estoque[quantidade],estoque[fornecedor],"&lt;&gt;saída",estoque[produto],preçodiario[[#Headers],[OVO VERMELHO B]],estoque[data],preçodiario[[#This Row],[data]])</f>
        <v>0</v>
      </c>
      <c r="AM234" s="20">
        <f>SUMIFS(estoque[valor total],estoque[fornecedor],"&lt;&gt;saída",estoque[produto],preçodiario[[#Headers],[OVO VERMELHO B]],estoque[data],preçodiario[[#This Row],[data]])</f>
        <v>0</v>
      </c>
      <c r="AN234" s="20">
        <f>IFERROR(preçodiario[[#This Row],[OVO VERMELHO B]]*preçodiario[[#This Row],[estoque BV]],0)</f>
        <v>0</v>
      </c>
      <c r="AO2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Row],[data]])),((AO233*AP233)+SUMIFS(estoque[valor total],estoque[produto],preçodiario[[#Headers],[OVO VERMELHO C]],estoque[data],preçodiario[[#This Row],[data]],estoque[fornecedor],"&lt;&gt;saída"))/(AP233+(SUMIFS(estoque[quantidade],estoque[produto],preçodiario[[#Headers],[OVO VERMELHO C]],estoque[fornecedor],"&lt;&gt;saída",estoque[data],preçodiario[[#This Row],[data]])))))</f>
        <v/>
      </c>
      <c r="AP234" s="22">
        <f>IF(preçodiario[[#This Row],[entrada CV]]=0,AP233-(SUMIFS(estoque[quantidade],estoque[fornecedor],"saída",estoque[produto],preçodiario[[#Headers],[OVO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Row],[data]]))+AP233+preçodiario[[#This Row],[entrada CV]])</f>
        <v>0</v>
      </c>
      <c r="AQ234" s="22">
        <f>SUMIFS(estoque[quantidade],estoque[fornecedor],"&lt;&gt;saída",estoque[produto],preçodiario[[#Headers],[OVO VERMELHO C]],estoque[data],preçodiario[[#This Row],[data]])</f>
        <v>0</v>
      </c>
      <c r="AR234" s="20">
        <f>SUMIFS(estoque[valor total],estoque[fornecedor],"&lt;&gt;saída",estoque[produto],preçodiario[[#Headers],[OVO VERMELHO C]],estoque[data],preçodiario[[#This Row],[data]])</f>
        <v>0</v>
      </c>
      <c r="AS234" s="20">
        <f>IFERROR(preçodiario[[#This Row],[OVO VERMELHO C]]*preçodiario[[#This Row],[estoque CV]],0)</f>
        <v>0</v>
      </c>
      <c r="AT2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Row],[data]])),((AT233*AU233)+SUMIFS(estoque[valor total],estoque[produto],preçodiario[[#Headers],[OVO VERMELHO EXTRA]],estoque[data],preçodiario[[#This Row],[data]],estoque[fornecedor],"&lt;&gt;saída"))/(AU233+(SUMIFS(estoque[quantidade],estoque[produto],preçodiario[[#Headers],[OVO VERMELHO EXTRA]],estoque[fornecedor],"&lt;&gt;saída",estoque[data],preçodiario[[#This Row],[data]])))))</f>
        <v/>
      </c>
      <c r="AU234" s="22">
        <f>IF(preçodiario[[#This Row],[entrada EV]]=0,AU233-(SUMIFS(estoque[quantidade],estoque[fornecedor],"saída",estoque[produto],preçodiario[[#Headers],[OVO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Row],[data]]))+AU233+preçodiario[[#This Row],[entrada EV]])</f>
        <v>0</v>
      </c>
      <c r="AV234" s="22">
        <f>SUMIFS(estoque[quantidade],estoque[fornecedor],"&lt;&gt;saída",estoque[produto],preçodiario[[#Headers],[OVO VERMELHO EXTRA]],estoque[data],preçodiario[[#This Row],[data]])</f>
        <v>0</v>
      </c>
      <c r="AW234" s="20">
        <f>SUMIFS(estoque[valor total],estoque[fornecedor],"&lt;&gt;saída",estoque[produto],preçodiario[[#Headers],[OVO VERMELHO EXTRA]],estoque[data],preçodiario[[#This Row],[data]])</f>
        <v>0</v>
      </c>
      <c r="AX234" s="20">
        <f>IFERROR(preçodiario[[#This Row],[OVO VERMELHO EXTRA]]*preçodiario[[#This Row],[estoque EV]],0)</f>
        <v>0</v>
      </c>
      <c r="AY2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Row],[data]])),((AY233*AZ233)+SUMIFS(estoque[valor total],estoque[produto],preçodiario[[#Headers],[OVO VERMELHO JUMBO]],estoque[data],preçodiario[[#This Row],[data]],estoque[fornecedor],"&lt;&gt;saída"))/(AZ233+(SUMIFS(estoque[quantidade],estoque[produto],preçodiario[[#Headers],[OVO VERMELHO JUMBO]],estoque[fornecedor],"&lt;&gt;saída",estoque[data],preçodiario[[#This Row],[data]])))))</f>
        <v/>
      </c>
      <c r="AZ234" s="22">
        <f>IF(preçodiario[[#This Row],[entrada JV]]=0,AZ233-(SUMIFS(estoque[quantidade],estoque[fornecedor],"saída",estoque[produto],preçodiario[[#Headers],[OVO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Row],[data]]))+AZ233+preçodiario[[#This Row],[entrada JV]])</f>
        <v>0</v>
      </c>
      <c r="BA234" s="22">
        <f>SUMIFS(estoque[quantidade],estoque[fornecedor],"&lt;&gt;saída",estoque[produto],preçodiario[[#Headers],[OVO VERMELHO JUMBO]],estoque[data],preçodiario[[#This Row],[data]])</f>
        <v>0</v>
      </c>
      <c r="BB234" s="20">
        <f>SUMIFS(estoque[valor total],estoque[fornecedor],"&lt;&gt;saída",estoque[produto],preçodiario[[#Headers],[OVO VERMELHO JUMBO]],estoque[data],preçodiario[[#This Row],[data]])</f>
        <v>0</v>
      </c>
      <c r="BC234" s="20">
        <f>IFERROR(preçodiario[[#This Row],[OVO VERMELHO JUMBO]]*preçodiario[[#This Row],[estoque JV]],0)</f>
        <v>0</v>
      </c>
      <c r="BD234" t="str">
        <f>TEXT(vendaAno[[#This Row],[data]],"mmm")</f>
        <v>ago</v>
      </c>
      <c r="BE234" t="str">
        <f>TEXT(vendaAno[[#This Row],[data]],"ddd")</f>
        <v>sex</v>
      </c>
      <c r="BF234" s="82">
        <f>WEEKNUM(vendaAno[[#This Row],[data]],13)</f>
        <v>34</v>
      </c>
      <c r="BG234" s="27">
        <f>preçodiario[[#This Row],[data]]</f>
        <v>46255</v>
      </c>
      <c r="BH2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Row],[data]]))/12+BJ233,"")</f>
        <v/>
      </c>
      <c r="BK234" s="79" t="str">
        <f ca="1">IF(TODAY()&gt;=vendaAno[[#This Row],[data]],IF(SUMIFS(estoque[quantidade],estoque[fornecedor],"saída",estoque[data],vendaAno[[#This Row],[data]])/12=0,AVERAGE(BK231:BK233),SUMIFS(estoque[quantidade],estoque[fornecedor],"saída",estoque[data],vendaAno[[#This Row],[data]])/12),"")</f>
        <v/>
      </c>
      <c r="BL234" s="8" t="str">
        <f ca="1">IF(vendaAno[[#This Row],[data]]&lt;=TODAY(),IF(SUMIFS(estoque[lucro],estoque[fornecedor],"saída",estoque[data],vendaAno[[#This Row],[data]])=0,AVERAGE(BL231:BL233),SUMIFS(estoque[lucro],estoque[fornecedor],"saída",estoque[data],vendaAno[[#This Row],[data]])),"")</f>
        <v/>
      </c>
      <c r="BM234" s="10" t="str">
        <f ca="1">IFERROR(vendaAno[[#This Row],[lucro]]/vendaAno[[#This Row],[valor de venda]],"")</f>
        <v/>
      </c>
      <c r="BN23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4" s="8" t="str">
        <f ca="1">IF(TODAY()&gt;=vendaAno[[#This Row],[data]],IF(vendaAno[[#This Row],[N°]]=BF233,vendaAno[[#This Row],[lucro]]-173.33+BO233,vendaAno[[#This Row],[lucro]]-150),"")</f>
        <v/>
      </c>
      <c r="BP234" s="81" t="str">
        <f ca="1">IF(TODAY()&gt;=vendaAno[[#This Row],[data]],SUM(BK228:BK234)*12,"")</f>
        <v/>
      </c>
      <c r="BQ234" s="7" t="str">
        <f ca="1">IFERROR(vendaAno[[#This Row],[lucro]]/(vendaAno[[#This Row],[venda]]*12),"")</f>
        <v/>
      </c>
    </row>
    <row r="235" spans="1:69" x14ac:dyDescent="0.25">
      <c r="A2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5" s="18" t="str">
        <f>TEXT(preçodiario[[#This Row],[data]],"MMM")</f>
        <v>ago</v>
      </c>
      <c r="C235" s="18" t="str">
        <f>TEXT(preçodiario[[#This Row],[data]],"ddd")</f>
        <v>sáb</v>
      </c>
      <c r="D235" s="96">
        <f>WEEKNUM(preçodiario[[#This Row],[data]],13)</f>
        <v>34</v>
      </c>
      <c r="E235" s="37">
        <v>46256</v>
      </c>
      <c r="F2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Row],[data]])),((F234*G234)+SUMIFS(estoque[valor total],estoque[produto],preçodiario[[#Headers],[OVO BRANCO A]],estoque[data],preçodiario[[#This Row],[data]],estoque[fornecedor],"&lt;&gt;saída"))/(G234+(SUMIFS(estoque[quantidade],estoque[produto],preçodiario[[#Headers],[OVO BRANCO A]],estoque[fornecedor],"&lt;&gt;saída",estoque[data],preçodiario[[#This Row],[data]])))))</f>
        <v>15.278182701652089</v>
      </c>
      <c r="G235" s="22">
        <f>IF(preçodiario[[#This Row],[entrada A]]=0,G234-(SUMIFS(estoque[quantidade],estoque[fornecedor],"saída",estoque[produto],preçodiario[[#Headers],[OVO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Row],[data]]))+G234+preçodiario[[#This Row],[entrada A]])</f>
        <v>133</v>
      </c>
      <c r="H235" s="22">
        <f>SUMIFS(estoque[quantidade],estoque[fornecedor],"&lt;&gt;saída",estoque[produto],preçodiario[[#Headers],[OVO BRANCO A]],estoque[data],preçodiario[[#This Row],[data]])</f>
        <v>0</v>
      </c>
      <c r="I235" s="20">
        <f>SUMIFS(estoque[valor total],estoque[fornecedor],"&lt;&gt;saída",estoque[produto],preçodiario[[#Headers],[OVO BRANCO A]],estoque[data],preçodiario[[#This Row],[data]])</f>
        <v>0</v>
      </c>
      <c r="J235" s="20">
        <f>IFERROR(preçodiario[[#This Row],[estoque A]]*preçodiario[[#This Row],[OVO BRANCO A]],0)</f>
        <v>2031.9982993197277</v>
      </c>
      <c r="K2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Row],[data]])),((K234*L234)+SUMIFS(estoque[valor total],estoque[produto],preçodiario[[#Headers],[OVO BRANCO B]],estoque[data],preçodiario[[#This Row],[data]],estoque[fornecedor],"&lt;&gt;saída"))/(L234+(SUMIFS(estoque[quantidade],estoque[produto],preçodiario[[#Headers],[OVO BRANCO B]],estoque[fornecedor],"&lt;&gt;saída",estoque[data],preçodiario[[#This Row],[data]])))))</f>
        <v>14.584252837326604</v>
      </c>
      <c r="L235" s="22">
        <f>IF(preçodiario[[#This Row],[entrada B]]=0,L234-(SUMIFS(estoque[quantidade],estoque[fornecedor],"saída",estoque[produto],preçodiario[[#Headers],[OVO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Row],[data]]))+L234+preçodiario[[#This Row],[entrada B]])</f>
        <v>16</v>
      </c>
      <c r="M235" s="22">
        <f>SUMIFS(estoque[quantidade],estoque[fornecedor],"&lt;&gt;saída",estoque[produto],preçodiario[[#Headers],[OVO BRANCO B]],estoque[data],preçodiario[[#This Row],[data]])</f>
        <v>0</v>
      </c>
      <c r="N235" s="20">
        <f>SUMIFS(estoque[valor total],estoque[fornecedor],"&lt;&gt;saída",estoque[produto],preçodiario[[#Headers],[OVO BRANCO B]],estoque[data],preçodiario[[#This Row],[data]])</f>
        <v>0</v>
      </c>
      <c r="O235" s="20">
        <f>IFERROR(preçodiario[[#This Row],[OVO BRANCO B]]*preçodiario[[#This Row],[estoque B]],0)</f>
        <v>233.34804539722566</v>
      </c>
      <c r="P2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Row],[data]])),((P234*Q234)+SUMIFS(estoque[valor total],estoque[produto],preçodiario[[#Headers],[OVO BRANCO C]],estoque[data],preçodiario[[#This Row],[data]],estoque[fornecedor],"&lt;&gt;saída"))/(Q234+(SUMIFS(estoque[quantidade],estoque[produto],preçodiario[[#Headers],[OVO BRANCO C]],estoque[fornecedor],"&lt;&gt;saída",estoque[data],preçodiario[[#This Row],[data]])))))</f>
        <v>12.5</v>
      </c>
      <c r="Q235" s="22">
        <f>IF(preçodiario[[#This Row],[entrada C]]=0,Q234-(SUMIFS(estoque[quantidade],estoque[fornecedor],"saída",estoque[produto],preçodiario[[#Headers],[OVO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Row],[data]]))+Q234+preçodiario[[#This Row],[entrada C]])</f>
        <v>60</v>
      </c>
      <c r="R235" s="22">
        <f>SUMIFS(estoque[quantidade],estoque[fornecedor],"&lt;&gt;saída",estoque[produto],preçodiario[[#Headers],[OVO BRANCO C]],estoque[data],preçodiario[[#This Row],[data]])</f>
        <v>0</v>
      </c>
      <c r="S235" s="20">
        <f>SUMIFS(estoque[valor total],estoque[fornecedor],"&lt;&gt;saída",estoque[produto],preçodiario[[#Headers],[OVO BRANCO C]],estoque[data],preçodiario[[#This Row],[data]])</f>
        <v>0</v>
      </c>
      <c r="T235" s="20">
        <f>IFERROR(preçodiario[[#This Row],[OVO BRANCO C]]*preçodiario[[#This Row],[estoque C]],0)</f>
        <v>750</v>
      </c>
      <c r="U2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Row],[data]])),((U234*V234)+SUMIFS(estoque[valor total],estoque[produto],preçodiario[[#Headers],[OVO BRANCO EXTRA]],estoque[data],preçodiario[[#This Row],[data]],estoque[fornecedor],"&lt;&gt;saída"))/(V234+(SUMIFS(estoque[quantidade],estoque[produto],preçodiario[[#Headers],[OVO BRANCO EXTRA]],estoque[fornecedor],"&lt;&gt;saída",estoque[data],preçodiario[[#This Row],[data]])))))</f>
        <v>15.725438400674655</v>
      </c>
      <c r="V235" s="22">
        <f>IF(preçodiario[[#This Row],[entrada E]]=0,V234-(SUMIFS(estoque[quantidade],estoque[fornecedor],"saída",estoque[produto],preçodiario[[#Headers],[OVO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Row],[data]]))+V234+preçodiario[[#This Row],[entrada E]])</f>
        <v>46</v>
      </c>
      <c r="W235" s="22">
        <f>SUMIFS(estoque[quantidade],estoque[fornecedor],"&lt;&gt;saída",estoque[produto],preçodiario[[#Headers],[OVO BRANCO EXTRA]],estoque[data],preçodiario[[#This Row],[data]])</f>
        <v>0</v>
      </c>
      <c r="X235" s="20">
        <f>SUMIFS(estoque[valor total],estoque[fornecedor],"&lt;&gt;saída",estoque[produto],preçodiario[[#Headers],[OVO BRANCO EXTRA]],estoque[data],preçodiario[[#This Row],[data]])</f>
        <v>0</v>
      </c>
      <c r="Y235" s="20">
        <f>IFERROR(preçodiario[[#This Row],[estoque E]]*preçodiario[[#This Row],[OVO BRANCO EXTRA]],0)</f>
        <v>723.37016643103414</v>
      </c>
      <c r="Z2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Row],[data]])),((Z234*AA234)+SUMIFS(estoque[valor total],estoque[produto],preçodiario[[#Headers],[OVO BRANCO JUMBO]],estoque[data],preçodiario[[#This Row],[data]],estoque[fornecedor],"&lt;&gt;saída"))/(AA234+(SUMIFS(estoque[quantidade],estoque[produto],preçodiario[[#Headers],[OVO BRANCO JUMBO]],estoque[fornecedor],"&lt;&gt;saída",estoque[data],preçodiario[[#This Row],[data]])))))</f>
        <v>16.50550595238095</v>
      </c>
      <c r="AA235" s="22">
        <f>IF(preçodiario[[#This Row],[entrada J]]=0,AA234-(SUMIFS(estoque[quantidade],estoque[fornecedor],"saída",estoque[produto],preçodiario[[#Headers],[OVO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Row],[data]]))+AA234+preçodiario[[#This Row],[entrada J]])</f>
        <v>75</v>
      </c>
      <c r="AB235" s="22">
        <f>SUMIFS(estoque[quantidade],estoque[fornecedor],"&lt;&gt;saída",estoque[produto],preçodiario[[#Headers],[OVO BRANCO JUMBO]],estoque[data],preçodiario[[#This Row],[data]])</f>
        <v>0</v>
      </c>
      <c r="AC235" s="20">
        <f>SUMIFS(estoque[valor total],estoque[fornecedor],"&lt;&gt;saída",estoque[produto],preçodiario[[#Headers],[OVO BRANCO JUMBO]],estoque[data],preçodiario[[#This Row],[data]])</f>
        <v>0</v>
      </c>
      <c r="AD235" s="20">
        <f>IFERROR(preçodiario[[#This Row],[OVO BRANCO JUMBO]]*preçodiario[[#This Row],[estoque J]],0)</f>
        <v>1237.9129464285713</v>
      </c>
      <c r="AE2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Row],[data]])),((AE234*AF234)+SUMIFS(estoque[valor total],estoque[produto],preçodiario[[#Headers],[OVO VERMELHO A]],estoque[data],preçodiario[[#This Row],[data]],estoque[fornecedor],"&lt;&gt;saída"))/(AF234+(SUMIFS(estoque[quantidade],estoque[produto],preçodiario[[#Headers],[OVO VERMELHO A]],estoque[fornecedor],"&lt;&gt;saída",estoque[data],preçodiario[[#This Row],[data]])))))</f>
        <v/>
      </c>
      <c r="AF235" s="22">
        <f>IF(preçodiario[[#This Row],[entrada AV]]=0,AF234-(SUMIFS(estoque[quantidade],estoque[fornecedor],"saída",estoque[produto],preçodiario[[#Headers],[OVO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Row],[data]]))+AF234+preçodiario[[#This Row],[entrada AV]])</f>
        <v>0</v>
      </c>
      <c r="AG235" s="22">
        <f>SUMIFS(estoque[quantidade],estoque[fornecedor],"&lt;&gt;saída",estoque[produto],preçodiario[[#Headers],[OVO VERMELHO A]],estoque[data],preçodiario[[#This Row],[data]])</f>
        <v>0</v>
      </c>
      <c r="AH235" s="20">
        <f>SUMIFS(estoque[valor total],estoque[fornecedor],"&lt;&gt;saída",estoque[produto],preçodiario[[#Headers],[OVO VERMELHO A]],estoque[data],preçodiario[[#This Row],[data]])</f>
        <v>0</v>
      </c>
      <c r="AI235" s="20">
        <f>IFERROR(preçodiario[[#This Row],[OVO VERMELHO A]]*preçodiario[[#This Row],[estoque AV]],0)</f>
        <v>0</v>
      </c>
      <c r="AJ2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Row],[data]])),((AJ234*AK234)+SUMIFS(estoque[valor total],estoque[produto],preçodiario[[#Headers],[OVO VERMELHO B]],estoque[data],preçodiario[[#This Row],[data]],estoque[fornecedor],"&lt;&gt;saída"))/(AK234+(SUMIFS(estoque[quantidade],estoque[produto],preçodiario[[#Headers],[OVO VERMELHO B]],estoque[fornecedor],"&lt;&gt;saída",estoque[data],preçodiario[[#This Row],[data]])))))</f>
        <v/>
      </c>
      <c r="AK235" s="22">
        <f>IF(preçodiario[[#This Row],[entrada BV]]=0,AK234-(SUMIFS(estoque[quantidade],estoque[fornecedor],"saída",estoque[produto],preçodiario[[#Headers],[OVO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Row],[data]]))+AK234+preçodiario[[#This Row],[entrada BV]])</f>
        <v>0</v>
      </c>
      <c r="AL235" s="22">
        <f>SUMIFS(estoque[quantidade],estoque[fornecedor],"&lt;&gt;saída",estoque[produto],preçodiario[[#Headers],[OVO VERMELHO B]],estoque[data],preçodiario[[#This Row],[data]])</f>
        <v>0</v>
      </c>
      <c r="AM235" s="20">
        <f>SUMIFS(estoque[valor total],estoque[fornecedor],"&lt;&gt;saída",estoque[produto],preçodiario[[#Headers],[OVO VERMELHO B]],estoque[data],preçodiario[[#This Row],[data]])</f>
        <v>0</v>
      </c>
      <c r="AN235" s="20">
        <f>IFERROR(preçodiario[[#This Row],[OVO VERMELHO B]]*preçodiario[[#This Row],[estoque BV]],0)</f>
        <v>0</v>
      </c>
      <c r="AO2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Row],[data]])),((AO234*AP234)+SUMIFS(estoque[valor total],estoque[produto],preçodiario[[#Headers],[OVO VERMELHO C]],estoque[data],preçodiario[[#This Row],[data]],estoque[fornecedor],"&lt;&gt;saída"))/(AP234+(SUMIFS(estoque[quantidade],estoque[produto],preçodiario[[#Headers],[OVO VERMELHO C]],estoque[fornecedor],"&lt;&gt;saída",estoque[data],preçodiario[[#This Row],[data]])))))</f>
        <v/>
      </c>
      <c r="AP235" s="22">
        <f>IF(preçodiario[[#This Row],[entrada CV]]=0,AP234-(SUMIFS(estoque[quantidade],estoque[fornecedor],"saída",estoque[produto],preçodiario[[#Headers],[OVO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Row],[data]]))+AP234+preçodiario[[#This Row],[entrada CV]])</f>
        <v>0</v>
      </c>
      <c r="AQ235" s="22">
        <f>SUMIFS(estoque[quantidade],estoque[fornecedor],"&lt;&gt;saída",estoque[produto],preçodiario[[#Headers],[OVO VERMELHO C]],estoque[data],preçodiario[[#This Row],[data]])</f>
        <v>0</v>
      </c>
      <c r="AR235" s="20">
        <f>SUMIFS(estoque[valor total],estoque[fornecedor],"&lt;&gt;saída",estoque[produto],preçodiario[[#Headers],[OVO VERMELHO C]],estoque[data],preçodiario[[#This Row],[data]])</f>
        <v>0</v>
      </c>
      <c r="AS235" s="20">
        <f>IFERROR(preçodiario[[#This Row],[OVO VERMELHO C]]*preçodiario[[#This Row],[estoque CV]],0)</f>
        <v>0</v>
      </c>
      <c r="AT2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Row],[data]])),((AT234*AU234)+SUMIFS(estoque[valor total],estoque[produto],preçodiario[[#Headers],[OVO VERMELHO EXTRA]],estoque[data],preçodiario[[#This Row],[data]],estoque[fornecedor],"&lt;&gt;saída"))/(AU234+(SUMIFS(estoque[quantidade],estoque[produto],preçodiario[[#Headers],[OVO VERMELHO EXTRA]],estoque[fornecedor],"&lt;&gt;saída",estoque[data],preçodiario[[#This Row],[data]])))))</f>
        <v/>
      </c>
      <c r="AU235" s="22">
        <f>IF(preçodiario[[#This Row],[entrada EV]]=0,AU234-(SUMIFS(estoque[quantidade],estoque[fornecedor],"saída",estoque[produto],preçodiario[[#Headers],[OVO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Row],[data]]))+AU234+preçodiario[[#This Row],[entrada EV]])</f>
        <v>0</v>
      </c>
      <c r="AV235" s="22">
        <f>SUMIFS(estoque[quantidade],estoque[fornecedor],"&lt;&gt;saída",estoque[produto],preçodiario[[#Headers],[OVO VERMELHO EXTRA]],estoque[data],preçodiario[[#This Row],[data]])</f>
        <v>0</v>
      </c>
      <c r="AW235" s="20">
        <f>SUMIFS(estoque[valor total],estoque[fornecedor],"&lt;&gt;saída",estoque[produto],preçodiario[[#Headers],[OVO VERMELHO EXTRA]],estoque[data],preçodiario[[#This Row],[data]])</f>
        <v>0</v>
      </c>
      <c r="AX235" s="20">
        <f>IFERROR(preçodiario[[#This Row],[OVO VERMELHO EXTRA]]*preçodiario[[#This Row],[estoque EV]],0)</f>
        <v>0</v>
      </c>
      <c r="AY2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Row],[data]])),((AY234*AZ234)+SUMIFS(estoque[valor total],estoque[produto],preçodiario[[#Headers],[OVO VERMELHO JUMBO]],estoque[data],preçodiario[[#This Row],[data]],estoque[fornecedor],"&lt;&gt;saída"))/(AZ234+(SUMIFS(estoque[quantidade],estoque[produto],preçodiario[[#Headers],[OVO VERMELHO JUMBO]],estoque[fornecedor],"&lt;&gt;saída",estoque[data],preçodiario[[#This Row],[data]])))))</f>
        <v/>
      </c>
      <c r="AZ235" s="22">
        <f>IF(preçodiario[[#This Row],[entrada JV]]=0,AZ234-(SUMIFS(estoque[quantidade],estoque[fornecedor],"saída",estoque[produto],preçodiario[[#Headers],[OVO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Row],[data]]))+AZ234+preçodiario[[#This Row],[entrada JV]])</f>
        <v>0</v>
      </c>
      <c r="BA235" s="22">
        <f>SUMIFS(estoque[quantidade],estoque[fornecedor],"&lt;&gt;saída",estoque[produto],preçodiario[[#Headers],[OVO VERMELHO JUMBO]],estoque[data],preçodiario[[#This Row],[data]])</f>
        <v>0</v>
      </c>
      <c r="BB235" s="20">
        <f>SUMIFS(estoque[valor total],estoque[fornecedor],"&lt;&gt;saída",estoque[produto],preçodiario[[#Headers],[OVO VERMELHO JUMBO]],estoque[data],preçodiario[[#This Row],[data]])</f>
        <v>0</v>
      </c>
      <c r="BC235" s="20">
        <f>IFERROR(preçodiario[[#This Row],[OVO VERMELHO JUMBO]]*preçodiario[[#This Row],[estoque JV]],0)</f>
        <v>0</v>
      </c>
      <c r="BD235" t="str">
        <f>TEXT(vendaAno[[#This Row],[data]],"mmm")</f>
        <v>ago</v>
      </c>
      <c r="BE235" t="str">
        <f>TEXT(vendaAno[[#This Row],[data]],"ddd")</f>
        <v>sáb</v>
      </c>
      <c r="BF235" s="82">
        <f>WEEKNUM(vendaAno[[#This Row],[data]],13)</f>
        <v>34</v>
      </c>
      <c r="BG235" s="27">
        <f>preçodiario[[#This Row],[data]]</f>
        <v>46256</v>
      </c>
      <c r="BH2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Row],[data]]))/12+BJ234,"")</f>
        <v/>
      </c>
      <c r="BK235" s="79" t="str">
        <f ca="1">IF(TODAY()&gt;=vendaAno[[#This Row],[data]],IF(SUMIFS(estoque[quantidade],estoque[fornecedor],"saída",estoque[data],vendaAno[[#This Row],[data]])/12=0,AVERAGE(BK232:BK234),SUMIFS(estoque[quantidade],estoque[fornecedor],"saída",estoque[data],vendaAno[[#This Row],[data]])/12),"")</f>
        <v/>
      </c>
      <c r="BL235" s="8" t="str">
        <f ca="1">IF(vendaAno[[#This Row],[data]]&lt;=TODAY(),IF(SUMIFS(estoque[lucro],estoque[fornecedor],"saída",estoque[data],vendaAno[[#This Row],[data]])=0,AVERAGE(BL232:BL234),SUMIFS(estoque[lucro],estoque[fornecedor],"saída",estoque[data],vendaAno[[#This Row],[data]])),"")</f>
        <v/>
      </c>
      <c r="BM235" s="10" t="str">
        <f ca="1">IFERROR(vendaAno[[#This Row],[lucro]]/vendaAno[[#This Row],[valor de venda]],"")</f>
        <v/>
      </c>
      <c r="BN23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5" s="8" t="str">
        <f ca="1">IF(TODAY()&gt;=vendaAno[[#This Row],[data]],IF(vendaAno[[#This Row],[N°]]=BF234,vendaAno[[#This Row],[lucro]]-173.33+BO234,vendaAno[[#This Row],[lucro]]-150),"")</f>
        <v/>
      </c>
      <c r="BP235" s="81" t="str">
        <f ca="1">IF(TODAY()&gt;=vendaAno[[#This Row],[data]],SUM(BK229:BK235)*12,"")</f>
        <v/>
      </c>
      <c r="BQ235" s="7" t="str">
        <f ca="1">IFERROR(vendaAno[[#This Row],[lucro]]/(vendaAno[[#This Row],[venda]]*12),"")</f>
        <v/>
      </c>
    </row>
    <row r="236" spans="1:69" x14ac:dyDescent="0.25">
      <c r="A2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6" s="18" t="str">
        <f>TEXT(preçodiario[[#This Row],[data]],"MMM")</f>
        <v>ago</v>
      </c>
      <c r="C236" s="18" t="str">
        <f>TEXT(preçodiario[[#This Row],[data]],"ddd")</f>
        <v>dom</v>
      </c>
      <c r="D236" s="96">
        <f>WEEKNUM(preçodiario[[#This Row],[data]],13)</f>
        <v>34</v>
      </c>
      <c r="E236" s="37">
        <v>46257</v>
      </c>
      <c r="F2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Row],[data]])),((F235*G235)+SUMIFS(estoque[valor total],estoque[produto],preçodiario[[#Headers],[OVO BRANCO A]],estoque[data],preçodiario[[#This Row],[data]],estoque[fornecedor],"&lt;&gt;saída"))/(G235+(SUMIFS(estoque[quantidade],estoque[produto],preçodiario[[#Headers],[OVO BRANCO A]],estoque[fornecedor],"&lt;&gt;saída",estoque[data],preçodiario[[#This Row],[data]])))))</f>
        <v>15.278182701652089</v>
      </c>
      <c r="G236" s="22">
        <f>IF(preçodiario[[#This Row],[entrada A]]=0,G235-(SUMIFS(estoque[quantidade],estoque[fornecedor],"saída",estoque[produto],preçodiario[[#Headers],[OVO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Row],[data]]))+G235+preçodiario[[#This Row],[entrada A]])</f>
        <v>133</v>
      </c>
      <c r="H236" s="22">
        <f>SUMIFS(estoque[quantidade],estoque[fornecedor],"&lt;&gt;saída",estoque[produto],preçodiario[[#Headers],[OVO BRANCO A]],estoque[data],preçodiario[[#This Row],[data]])</f>
        <v>0</v>
      </c>
      <c r="I236" s="20">
        <f>SUMIFS(estoque[valor total],estoque[fornecedor],"&lt;&gt;saída",estoque[produto],preçodiario[[#Headers],[OVO BRANCO A]],estoque[data],preçodiario[[#This Row],[data]])</f>
        <v>0</v>
      </c>
      <c r="J236" s="20">
        <f>IFERROR(preçodiario[[#This Row],[estoque A]]*preçodiario[[#This Row],[OVO BRANCO A]],0)</f>
        <v>2031.9982993197277</v>
      </c>
      <c r="K2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Row],[data]])),((K235*L235)+SUMIFS(estoque[valor total],estoque[produto],preçodiario[[#Headers],[OVO BRANCO B]],estoque[data],preçodiario[[#This Row],[data]],estoque[fornecedor],"&lt;&gt;saída"))/(L235+(SUMIFS(estoque[quantidade],estoque[produto],preçodiario[[#Headers],[OVO BRANCO B]],estoque[fornecedor],"&lt;&gt;saída",estoque[data],preçodiario[[#This Row],[data]])))))</f>
        <v>14.584252837326604</v>
      </c>
      <c r="L236" s="22">
        <f>IF(preçodiario[[#This Row],[entrada B]]=0,L235-(SUMIFS(estoque[quantidade],estoque[fornecedor],"saída",estoque[produto],preçodiario[[#Headers],[OVO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Row],[data]]))+L235+preçodiario[[#This Row],[entrada B]])</f>
        <v>16</v>
      </c>
      <c r="M236" s="22">
        <f>SUMIFS(estoque[quantidade],estoque[fornecedor],"&lt;&gt;saída",estoque[produto],preçodiario[[#Headers],[OVO BRANCO B]],estoque[data],preçodiario[[#This Row],[data]])</f>
        <v>0</v>
      </c>
      <c r="N236" s="20">
        <f>SUMIFS(estoque[valor total],estoque[fornecedor],"&lt;&gt;saída",estoque[produto],preçodiario[[#Headers],[OVO BRANCO B]],estoque[data],preçodiario[[#This Row],[data]])</f>
        <v>0</v>
      </c>
      <c r="O236" s="20">
        <f>IFERROR(preçodiario[[#This Row],[OVO BRANCO B]]*preçodiario[[#This Row],[estoque B]],0)</f>
        <v>233.34804539722566</v>
      </c>
      <c r="P2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Row],[data]])),((P235*Q235)+SUMIFS(estoque[valor total],estoque[produto],preçodiario[[#Headers],[OVO BRANCO C]],estoque[data],preçodiario[[#This Row],[data]],estoque[fornecedor],"&lt;&gt;saída"))/(Q235+(SUMIFS(estoque[quantidade],estoque[produto],preçodiario[[#Headers],[OVO BRANCO C]],estoque[fornecedor],"&lt;&gt;saída",estoque[data],preçodiario[[#This Row],[data]])))))</f>
        <v>12.5</v>
      </c>
      <c r="Q236" s="22">
        <f>IF(preçodiario[[#This Row],[entrada C]]=0,Q235-(SUMIFS(estoque[quantidade],estoque[fornecedor],"saída",estoque[produto],preçodiario[[#Headers],[OVO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Row],[data]]))+Q235+preçodiario[[#This Row],[entrada C]])</f>
        <v>60</v>
      </c>
      <c r="R236" s="22">
        <f>SUMIFS(estoque[quantidade],estoque[fornecedor],"&lt;&gt;saída",estoque[produto],preçodiario[[#Headers],[OVO BRANCO C]],estoque[data],preçodiario[[#This Row],[data]])</f>
        <v>0</v>
      </c>
      <c r="S236" s="20">
        <f>SUMIFS(estoque[valor total],estoque[fornecedor],"&lt;&gt;saída",estoque[produto],preçodiario[[#Headers],[OVO BRANCO C]],estoque[data],preçodiario[[#This Row],[data]])</f>
        <v>0</v>
      </c>
      <c r="T236" s="20">
        <f>IFERROR(preçodiario[[#This Row],[OVO BRANCO C]]*preçodiario[[#This Row],[estoque C]],0)</f>
        <v>750</v>
      </c>
      <c r="U2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Row],[data]])),((U235*V235)+SUMIFS(estoque[valor total],estoque[produto],preçodiario[[#Headers],[OVO BRANCO EXTRA]],estoque[data],preçodiario[[#This Row],[data]],estoque[fornecedor],"&lt;&gt;saída"))/(V235+(SUMIFS(estoque[quantidade],estoque[produto],preçodiario[[#Headers],[OVO BRANCO EXTRA]],estoque[fornecedor],"&lt;&gt;saída",estoque[data],preçodiario[[#This Row],[data]])))))</f>
        <v>15.725438400674655</v>
      </c>
      <c r="V236" s="22">
        <f>IF(preçodiario[[#This Row],[entrada E]]=0,V235-(SUMIFS(estoque[quantidade],estoque[fornecedor],"saída",estoque[produto],preçodiario[[#Headers],[OVO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Row],[data]]))+V235+preçodiario[[#This Row],[entrada E]])</f>
        <v>46</v>
      </c>
      <c r="W236" s="22">
        <f>SUMIFS(estoque[quantidade],estoque[fornecedor],"&lt;&gt;saída",estoque[produto],preçodiario[[#Headers],[OVO BRANCO EXTRA]],estoque[data],preçodiario[[#This Row],[data]])</f>
        <v>0</v>
      </c>
      <c r="X236" s="20">
        <f>SUMIFS(estoque[valor total],estoque[fornecedor],"&lt;&gt;saída",estoque[produto],preçodiario[[#Headers],[OVO BRANCO EXTRA]],estoque[data],preçodiario[[#This Row],[data]])</f>
        <v>0</v>
      </c>
      <c r="Y236" s="20">
        <f>IFERROR(preçodiario[[#This Row],[estoque E]]*preçodiario[[#This Row],[OVO BRANCO EXTRA]],0)</f>
        <v>723.37016643103414</v>
      </c>
      <c r="Z2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Row],[data]])),((Z235*AA235)+SUMIFS(estoque[valor total],estoque[produto],preçodiario[[#Headers],[OVO BRANCO JUMBO]],estoque[data],preçodiario[[#This Row],[data]],estoque[fornecedor],"&lt;&gt;saída"))/(AA235+(SUMIFS(estoque[quantidade],estoque[produto],preçodiario[[#Headers],[OVO BRANCO JUMBO]],estoque[fornecedor],"&lt;&gt;saída",estoque[data],preçodiario[[#This Row],[data]])))))</f>
        <v>16.50550595238095</v>
      </c>
      <c r="AA236" s="22">
        <f>IF(preçodiario[[#This Row],[entrada J]]=0,AA235-(SUMIFS(estoque[quantidade],estoque[fornecedor],"saída",estoque[produto],preçodiario[[#Headers],[OVO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Row],[data]]))+AA235+preçodiario[[#This Row],[entrada J]])</f>
        <v>75</v>
      </c>
      <c r="AB236" s="22">
        <f>SUMIFS(estoque[quantidade],estoque[fornecedor],"&lt;&gt;saída",estoque[produto],preçodiario[[#Headers],[OVO BRANCO JUMBO]],estoque[data],preçodiario[[#This Row],[data]])</f>
        <v>0</v>
      </c>
      <c r="AC236" s="20">
        <f>SUMIFS(estoque[valor total],estoque[fornecedor],"&lt;&gt;saída",estoque[produto],preçodiario[[#Headers],[OVO BRANCO JUMBO]],estoque[data],preçodiario[[#This Row],[data]])</f>
        <v>0</v>
      </c>
      <c r="AD236" s="20">
        <f>IFERROR(preçodiario[[#This Row],[OVO BRANCO JUMBO]]*preçodiario[[#This Row],[estoque J]],0)</f>
        <v>1237.9129464285713</v>
      </c>
      <c r="AE2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Row],[data]])),((AE235*AF235)+SUMIFS(estoque[valor total],estoque[produto],preçodiario[[#Headers],[OVO VERMELHO A]],estoque[data],preçodiario[[#This Row],[data]],estoque[fornecedor],"&lt;&gt;saída"))/(AF235+(SUMIFS(estoque[quantidade],estoque[produto],preçodiario[[#Headers],[OVO VERMELHO A]],estoque[fornecedor],"&lt;&gt;saída",estoque[data],preçodiario[[#This Row],[data]])))))</f>
        <v/>
      </c>
      <c r="AF236" s="22">
        <f>IF(preçodiario[[#This Row],[entrada AV]]=0,AF235-(SUMIFS(estoque[quantidade],estoque[fornecedor],"saída",estoque[produto],preçodiario[[#Headers],[OVO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Row],[data]]))+AF235+preçodiario[[#This Row],[entrada AV]])</f>
        <v>0</v>
      </c>
      <c r="AG236" s="22">
        <f>SUMIFS(estoque[quantidade],estoque[fornecedor],"&lt;&gt;saída",estoque[produto],preçodiario[[#Headers],[OVO VERMELHO A]],estoque[data],preçodiario[[#This Row],[data]])</f>
        <v>0</v>
      </c>
      <c r="AH236" s="20">
        <f>SUMIFS(estoque[valor total],estoque[fornecedor],"&lt;&gt;saída",estoque[produto],preçodiario[[#Headers],[OVO VERMELHO A]],estoque[data],preçodiario[[#This Row],[data]])</f>
        <v>0</v>
      </c>
      <c r="AI236" s="20">
        <f>IFERROR(preçodiario[[#This Row],[OVO VERMELHO A]]*preçodiario[[#This Row],[estoque AV]],0)</f>
        <v>0</v>
      </c>
      <c r="AJ2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Row],[data]])),((AJ235*AK235)+SUMIFS(estoque[valor total],estoque[produto],preçodiario[[#Headers],[OVO VERMELHO B]],estoque[data],preçodiario[[#This Row],[data]],estoque[fornecedor],"&lt;&gt;saída"))/(AK235+(SUMIFS(estoque[quantidade],estoque[produto],preçodiario[[#Headers],[OVO VERMELHO B]],estoque[fornecedor],"&lt;&gt;saída",estoque[data],preçodiario[[#This Row],[data]])))))</f>
        <v/>
      </c>
      <c r="AK236" s="22">
        <f>IF(preçodiario[[#This Row],[entrada BV]]=0,AK235-(SUMIFS(estoque[quantidade],estoque[fornecedor],"saída",estoque[produto],preçodiario[[#Headers],[OVO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Row],[data]]))+AK235+preçodiario[[#This Row],[entrada BV]])</f>
        <v>0</v>
      </c>
      <c r="AL236" s="22">
        <f>SUMIFS(estoque[quantidade],estoque[fornecedor],"&lt;&gt;saída",estoque[produto],preçodiario[[#Headers],[OVO VERMELHO B]],estoque[data],preçodiario[[#This Row],[data]])</f>
        <v>0</v>
      </c>
      <c r="AM236" s="20">
        <f>SUMIFS(estoque[valor total],estoque[fornecedor],"&lt;&gt;saída",estoque[produto],preçodiario[[#Headers],[OVO VERMELHO B]],estoque[data],preçodiario[[#This Row],[data]])</f>
        <v>0</v>
      </c>
      <c r="AN236" s="20">
        <f>IFERROR(preçodiario[[#This Row],[OVO VERMELHO B]]*preçodiario[[#This Row],[estoque BV]],0)</f>
        <v>0</v>
      </c>
      <c r="AO2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Row],[data]])),((AO235*AP235)+SUMIFS(estoque[valor total],estoque[produto],preçodiario[[#Headers],[OVO VERMELHO C]],estoque[data],preçodiario[[#This Row],[data]],estoque[fornecedor],"&lt;&gt;saída"))/(AP235+(SUMIFS(estoque[quantidade],estoque[produto],preçodiario[[#Headers],[OVO VERMELHO C]],estoque[fornecedor],"&lt;&gt;saída",estoque[data],preçodiario[[#This Row],[data]])))))</f>
        <v/>
      </c>
      <c r="AP236" s="22">
        <f>IF(preçodiario[[#This Row],[entrada CV]]=0,AP235-(SUMIFS(estoque[quantidade],estoque[fornecedor],"saída",estoque[produto],preçodiario[[#Headers],[OVO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Row],[data]]))+AP235+preçodiario[[#This Row],[entrada CV]])</f>
        <v>0</v>
      </c>
      <c r="AQ236" s="22">
        <f>SUMIFS(estoque[quantidade],estoque[fornecedor],"&lt;&gt;saída",estoque[produto],preçodiario[[#Headers],[OVO VERMELHO C]],estoque[data],preçodiario[[#This Row],[data]])</f>
        <v>0</v>
      </c>
      <c r="AR236" s="20">
        <f>SUMIFS(estoque[valor total],estoque[fornecedor],"&lt;&gt;saída",estoque[produto],preçodiario[[#Headers],[OVO VERMELHO C]],estoque[data],preçodiario[[#This Row],[data]])</f>
        <v>0</v>
      </c>
      <c r="AS236" s="20">
        <f>IFERROR(preçodiario[[#This Row],[OVO VERMELHO C]]*preçodiario[[#This Row],[estoque CV]],0)</f>
        <v>0</v>
      </c>
      <c r="AT2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Row],[data]])),((AT235*AU235)+SUMIFS(estoque[valor total],estoque[produto],preçodiario[[#Headers],[OVO VERMELHO EXTRA]],estoque[data],preçodiario[[#This Row],[data]],estoque[fornecedor],"&lt;&gt;saída"))/(AU235+(SUMIFS(estoque[quantidade],estoque[produto],preçodiario[[#Headers],[OVO VERMELHO EXTRA]],estoque[fornecedor],"&lt;&gt;saída",estoque[data],preçodiario[[#This Row],[data]])))))</f>
        <v/>
      </c>
      <c r="AU236" s="22">
        <f>IF(preçodiario[[#This Row],[entrada EV]]=0,AU235-(SUMIFS(estoque[quantidade],estoque[fornecedor],"saída",estoque[produto],preçodiario[[#Headers],[OVO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Row],[data]]))+AU235+preçodiario[[#This Row],[entrada EV]])</f>
        <v>0</v>
      </c>
      <c r="AV236" s="22">
        <f>SUMIFS(estoque[quantidade],estoque[fornecedor],"&lt;&gt;saída",estoque[produto],preçodiario[[#Headers],[OVO VERMELHO EXTRA]],estoque[data],preçodiario[[#This Row],[data]])</f>
        <v>0</v>
      </c>
      <c r="AW236" s="20">
        <f>SUMIFS(estoque[valor total],estoque[fornecedor],"&lt;&gt;saída",estoque[produto],preçodiario[[#Headers],[OVO VERMELHO EXTRA]],estoque[data],preçodiario[[#This Row],[data]])</f>
        <v>0</v>
      </c>
      <c r="AX236" s="20">
        <f>IFERROR(preçodiario[[#This Row],[OVO VERMELHO EXTRA]]*preçodiario[[#This Row],[estoque EV]],0)</f>
        <v>0</v>
      </c>
      <c r="AY2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Row],[data]])),((AY235*AZ235)+SUMIFS(estoque[valor total],estoque[produto],preçodiario[[#Headers],[OVO VERMELHO JUMBO]],estoque[data],preçodiario[[#This Row],[data]],estoque[fornecedor],"&lt;&gt;saída"))/(AZ235+(SUMIFS(estoque[quantidade],estoque[produto],preçodiario[[#Headers],[OVO VERMELHO JUMBO]],estoque[fornecedor],"&lt;&gt;saída",estoque[data],preçodiario[[#This Row],[data]])))))</f>
        <v/>
      </c>
      <c r="AZ236" s="22">
        <f>IF(preçodiario[[#This Row],[entrada JV]]=0,AZ235-(SUMIFS(estoque[quantidade],estoque[fornecedor],"saída",estoque[produto],preçodiario[[#Headers],[OVO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Row],[data]]))+AZ235+preçodiario[[#This Row],[entrada JV]])</f>
        <v>0</v>
      </c>
      <c r="BA236" s="22">
        <f>SUMIFS(estoque[quantidade],estoque[fornecedor],"&lt;&gt;saída",estoque[produto],preçodiario[[#Headers],[OVO VERMELHO JUMBO]],estoque[data],preçodiario[[#This Row],[data]])</f>
        <v>0</v>
      </c>
      <c r="BB236" s="20">
        <f>SUMIFS(estoque[valor total],estoque[fornecedor],"&lt;&gt;saída",estoque[produto],preçodiario[[#Headers],[OVO VERMELHO JUMBO]],estoque[data],preçodiario[[#This Row],[data]])</f>
        <v>0</v>
      </c>
      <c r="BC236" s="20">
        <f>IFERROR(preçodiario[[#This Row],[OVO VERMELHO JUMBO]]*preçodiario[[#This Row],[estoque JV]],0)</f>
        <v>0</v>
      </c>
      <c r="BD236" t="str">
        <f>TEXT(vendaAno[[#This Row],[data]],"mmm")</f>
        <v>ago</v>
      </c>
      <c r="BE236" t="str">
        <f>TEXT(vendaAno[[#This Row],[data]],"ddd")</f>
        <v>dom</v>
      </c>
      <c r="BF236" s="82">
        <f>WEEKNUM(vendaAno[[#This Row],[data]],13)</f>
        <v>34</v>
      </c>
      <c r="BG236" s="27">
        <f>preçodiario[[#This Row],[data]]</f>
        <v>46257</v>
      </c>
      <c r="BH2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Row],[data]]))/12+BJ235,"")</f>
        <v/>
      </c>
      <c r="BK236" s="79" t="str">
        <f ca="1">IF(TODAY()&gt;=vendaAno[[#This Row],[data]],IF(SUMIFS(estoque[quantidade],estoque[fornecedor],"saída",estoque[data],vendaAno[[#This Row],[data]])/12=0,AVERAGE(BK233:BK235),SUMIFS(estoque[quantidade],estoque[fornecedor],"saída",estoque[data],vendaAno[[#This Row],[data]])/12),"")</f>
        <v/>
      </c>
      <c r="BL236" s="8" t="str">
        <f ca="1">IF(vendaAno[[#This Row],[data]]&lt;=TODAY(),IF(SUMIFS(estoque[lucro],estoque[fornecedor],"saída",estoque[data],vendaAno[[#This Row],[data]])=0,AVERAGE(BL233:BL235),SUMIFS(estoque[lucro],estoque[fornecedor],"saída",estoque[data],vendaAno[[#This Row],[data]])),"")</f>
        <v/>
      </c>
      <c r="BM236" s="10" t="str">
        <f ca="1">IFERROR(vendaAno[[#This Row],[lucro]]/vendaAno[[#This Row],[valor de venda]],"")</f>
        <v/>
      </c>
      <c r="BN23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6" s="8" t="str">
        <f ca="1">IF(TODAY()&gt;=vendaAno[[#This Row],[data]],IF(vendaAno[[#This Row],[N°]]=BF235,vendaAno[[#This Row],[lucro]]-173.33+BO235,vendaAno[[#This Row],[lucro]]-150),"")</f>
        <v/>
      </c>
      <c r="BP236" s="81" t="str">
        <f ca="1">IF(TODAY()&gt;=vendaAno[[#This Row],[data]],SUM(BK230:BK236)*12,"")</f>
        <v/>
      </c>
      <c r="BQ236" s="7" t="str">
        <f ca="1">IFERROR(vendaAno[[#This Row],[lucro]]/(vendaAno[[#This Row],[venda]]*12),"")</f>
        <v/>
      </c>
    </row>
    <row r="237" spans="1:69" x14ac:dyDescent="0.25">
      <c r="A2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7" s="18" t="str">
        <f>TEXT(preçodiario[[#This Row],[data]],"MMM")</f>
        <v>ago</v>
      </c>
      <c r="C237" s="18" t="str">
        <f>TEXT(preçodiario[[#This Row],[data]],"ddd")</f>
        <v>seg</v>
      </c>
      <c r="D237" s="96">
        <f>WEEKNUM(preçodiario[[#This Row],[data]],13)</f>
        <v>34</v>
      </c>
      <c r="E237" s="37">
        <v>46258</v>
      </c>
      <c r="F2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Row],[data]])),((F236*G236)+SUMIFS(estoque[valor total],estoque[produto],preçodiario[[#Headers],[OVO BRANCO A]],estoque[data],preçodiario[[#This Row],[data]],estoque[fornecedor],"&lt;&gt;saída"))/(G236+(SUMIFS(estoque[quantidade],estoque[produto],preçodiario[[#Headers],[OVO BRANCO A]],estoque[fornecedor],"&lt;&gt;saída",estoque[data],preçodiario[[#This Row],[data]])))))</f>
        <v>15.278182701652089</v>
      </c>
      <c r="G237" s="22">
        <f>IF(preçodiario[[#This Row],[entrada A]]=0,G236-(SUMIFS(estoque[quantidade],estoque[fornecedor],"saída",estoque[produto],preçodiario[[#Headers],[OVO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Row],[data]]))+G236+preçodiario[[#This Row],[entrada A]])</f>
        <v>133</v>
      </c>
      <c r="H237" s="22">
        <f>SUMIFS(estoque[quantidade],estoque[fornecedor],"&lt;&gt;saída",estoque[produto],preçodiario[[#Headers],[OVO BRANCO A]],estoque[data],preçodiario[[#This Row],[data]])</f>
        <v>0</v>
      </c>
      <c r="I237" s="20">
        <f>SUMIFS(estoque[valor total],estoque[fornecedor],"&lt;&gt;saída",estoque[produto],preçodiario[[#Headers],[OVO BRANCO A]],estoque[data],preçodiario[[#This Row],[data]])</f>
        <v>0</v>
      </c>
      <c r="J237" s="20">
        <f>IFERROR(preçodiario[[#This Row],[estoque A]]*preçodiario[[#This Row],[OVO BRANCO A]],0)</f>
        <v>2031.9982993197277</v>
      </c>
      <c r="K2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Row],[data]])),((K236*L236)+SUMIFS(estoque[valor total],estoque[produto],preçodiario[[#Headers],[OVO BRANCO B]],estoque[data],preçodiario[[#This Row],[data]],estoque[fornecedor],"&lt;&gt;saída"))/(L236+(SUMIFS(estoque[quantidade],estoque[produto],preçodiario[[#Headers],[OVO BRANCO B]],estoque[fornecedor],"&lt;&gt;saída",estoque[data],preçodiario[[#This Row],[data]])))))</f>
        <v>14.584252837326604</v>
      </c>
      <c r="L237" s="22">
        <f>IF(preçodiario[[#This Row],[entrada B]]=0,L236-(SUMIFS(estoque[quantidade],estoque[fornecedor],"saída",estoque[produto],preçodiario[[#Headers],[OVO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Row],[data]]))+L236+preçodiario[[#This Row],[entrada B]])</f>
        <v>16</v>
      </c>
      <c r="M237" s="22">
        <f>SUMIFS(estoque[quantidade],estoque[fornecedor],"&lt;&gt;saída",estoque[produto],preçodiario[[#Headers],[OVO BRANCO B]],estoque[data],preçodiario[[#This Row],[data]])</f>
        <v>0</v>
      </c>
      <c r="N237" s="20">
        <f>SUMIFS(estoque[valor total],estoque[fornecedor],"&lt;&gt;saída",estoque[produto],preçodiario[[#Headers],[OVO BRANCO B]],estoque[data],preçodiario[[#This Row],[data]])</f>
        <v>0</v>
      </c>
      <c r="O237" s="20">
        <f>IFERROR(preçodiario[[#This Row],[OVO BRANCO B]]*preçodiario[[#This Row],[estoque B]],0)</f>
        <v>233.34804539722566</v>
      </c>
      <c r="P2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Row],[data]])),((P236*Q236)+SUMIFS(estoque[valor total],estoque[produto],preçodiario[[#Headers],[OVO BRANCO C]],estoque[data],preçodiario[[#This Row],[data]],estoque[fornecedor],"&lt;&gt;saída"))/(Q236+(SUMIFS(estoque[quantidade],estoque[produto],preçodiario[[#Headers],[OVO BRANCO C]],estoque[fornecedor],"&lt;&gt;saída",estoque[data],preçodiario[[#This Row],[data]])))))</f>
        <v>12.5</v>
      </c>
      <c r="Q237" s="22">
        <f>IF(preçodiario[[#This Row],[entrada C]]=0,Q236-(SUMIFS(estoque[quantidade],estoque[fornecedor],"saída",estoque[produto],preçodiario[[#Headers],[OVO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Row],[data]]))+Q236+preçodiario[[#This Row],[entrada C]])</f>
        <v>60</v>
      </c>
      <c r="R237" s="22">
        <f>SUMIFS(estoque[quantidade],estoque[fornecedor],"&lt;&gt;saída",estoque[produto],preçodiario[[#Headers],[OVO BRANCO C]],estoque[data],preçodiario[[#This Row],[data]])</f>
        <v>0</v>
      </c>
      <c r="S237" s="20">
        <f>SUMIFS(estoque[valor total],estoque[fornecedor],"&lt;&gt;saída",estoque[produto],preçodiario[[#Headers],[OVO BRANCO C]],estoque[data],preçodiario[[#This Row],[data]])</f>
        <v>0</v>
      </c>
      <c r="T237" s="20">
        <f>IFERROR(preçodiario[[#This Row],[OVO BRANCO C]]*preçodiario[[#This Row],[estoque C]],0)</f>
        <v>750</v>
      </c>
      <c r="U2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Row],[data]])),((U236*V236)+SUMIFS(estoque[valor total],estoque[produto],preçodiario[[#Headers],[OVO BRANCO EXTRA]],estoque[data],preçodiario[[#This Row],[data]],estoque[fornecedor],"&lt;&gt;saída"))/(V236+(SUMIFS(estoque[quantidade],estoque[produto],preçodiario[[#Headers],[OVO BRANCO EXTRA]],estoque[fornecedor],"&lt;&gt;saída",estoque[data],preçodiario[[#This Row],[data]])))))</f>
        <v>15.725438400674655</v>
      </c>
      <c r="V237" s="22">
        <f>IF(preçodiario[[#This Row],[entrada E]]=0,V236-(SUMIFS(estoque[quantidade],estoque[fornecedor],"saída",estoque[produto],preçodiario[[#Headers],[OVO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Row],[data]]))+V236+preçodiario[[#This Row],[entrada E]])</f>
        <v>46</v>
      </c>
      <c r="W237" s="22">
        <f>SUMIFS(estoque[quantidade],estoque[fornecedor],"&lt;&gt;saída",estoque[produto],preçodiario[[#Headers],[OVO BRANCO EXTRA]],estoque[data],preçodiario[[#This Row],[data]])</f>
        <v>0</v>
      </c>
      <c r="X237" s="20">
        <f>SUMIFS(estoque[valor total],estoque[fornecedor],"&lt;&gt;saída",estoque[produto],preçodiario[[#Headers],[OVO BRANCO EXTRA]],estoque[data],preçodiario[[#This Row],[data]])</f>
        <v>0</v>
      </c>
      <c r="Y237" s="20">
        <f>IFERROR(preçodiario[[#This Row],[estoque E]]*preçodiario[[#This Row],[OVO BRANCO EXTRA]],0)</f>
        <v>723.37016643103414</v>
      </c>
      <c r="Z2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Row],[data]])),((Z236*AA236)+SUMIFS(estoque[valor total],estoque[produto],preçodiario[[#Headers],[OVO BRANCO JUMBO]],estoque[data],preçodiario[[#This Row],[data]],estoque[fornecedor],"&lt;&gt;saída"))/(AA236+(SUMIFS(estoque[quantidade],estoque[produto],preçodiario[[#Headers],[OVO BRANCO JUMBO]],estoque[fornecedor],"&lt;&gt;saída",estoque[data],preçodiario[[#This Row],[data]])))))</f>
        <v>16.50550595238095</v>
      </c>
      <c r="AA237" s="22">
        <f>IF(preçodiario[[#This Row],[entrada J]]=0,AA236-(SUMIFS(estoque[quantidade],estoque[fornecedor],"saída",estoque[produto],preçodiario[[#Headers],[OVO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Row],[data]]))+AA236+preçodiario[[#This Row],[entrada J]])</f>
        <v>75</v>
      </c>
      <c r="AB237" s="22">
        <f>SUMIFS(estoque[quantidade],estoque[fornecedor],"&lt;&gt;saída",estoque[produto],preçodiario[[#Headers],[OVO BRANCO JUMBO]],estoque[data],preçodiario[[#This Row],[data]])</f>
        <v>0</v>
      </c>
      <c r="AC237" s="20">
        <f>SUMIFS(estoque[valor total],estoque[fornecedor],"&lt;&gt;saída",estoque[produto],preçodiario[[#Headers],[OVO BRANCO JUMBO]],estoque[data],preçodiario[[#This Row],[data]])</f>
        <v>0</v>
      </c>
      <c r="AD237" s="20">
        <f>IFERROR(preçodiario[[#This Row],[OVO BRANCO JUMBO]]*preçodiario[[#This Row],[estoque J]],0)</f>
        <v>1237.9129464285713</v>
      </c>
      <c r="AE2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Row],[data]])),((AE236*AF236)+SUMIFS(estoque[valor total],estoque[produto],preçodiario[[#Headers],[OVO VERMELHO A]],estoque[data],preçodiario[[#This Row],[data]],estoque[fornecedor],"&lt;&gt;saída"))/(AF236+(SUMIFS(estoque[quantidade],estoque[produto],preçodiario[[#Headers],[OVO VERMELHO A]],estoque[fornecedor],"&lt;&gt;saída",estoque[data],preçodiario[[#This Row],[data]])))))</f>
        <v/>
      </c>
      <c r="AF237" s="22">
        <f>IF(preçodiario[[#This Row],[entrada AV]]=0,AF236-(SUMIFS(estoque[quantidade],estoque[fornecedor],"saída",estoque[produto],preçodiario[[#Headers],[OVO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Row],[data]]))+AF236+preçodiario[[#This Row],[entrada AV]])</f>
        <v>0</v>
      </c>
      <c r="AG237" s="22">
        <f>SUMIFS(estoque[quantidade],estoque[fornecedor],"&lt;&gt;saída",estoque[produto],preçodiario[[#Headers],[OVO VERMELHO A]],estoque[data],preçodiario[[#This Row],[data]])</f>
        <v>0</v>
      </c>
      <c r="AH237" s="20">
        <f>SUMIFS(estoque[valor total],estoque[fornecedor],"&lt;&gt;saída",estoque[produto],preçodiario[[#Headers],[OVO VERMELHO A]],estoque[data],preçodiario[[#This Row],[data]])</f>
        <v>0</v>
      </c>
      <c r="AI237" s="20">
        <f>IFERROR(preçodiario[[#This Row],[OVO VERMELHO A]]*preçodiario[[#This Row],[estoque AV]],0)</f>
        <v>0</v>
      </c>
      <c r="AJ2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Row],[data]])),((AJ236*AK236)+SUMIFS(estoque[valor total],estoque[produto],preçodiario[[#Headers],[OVO VERMELHO B]],estoque[data],preçodiario[[#This Row],[data]],estoque[fornecedor],"&lt;&gt;saída"))/(AK236+(SUMIFS(estoque[quantidade],estoque[produto],preçodiario[[#Headers],[OVO VERMELHO B]],estoque[fornecedor],"&lt;&gt;saída",estoque[data],preçodiario[[#This Row],[data]])))))</f>
        <v/>
      </c>
      <c r="AK237" s="22">
        <f>IF(preçodiario[[#This Row],[entrada BV]]=0,AK236-(SUMIFS(estoque[quantidade],estoque[fornecedor],"saída",estoque[produto],preçodiario[[#Headers],[OVO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Row],[data]]))+AK236+preçodiario[[#This Row],[entrada BV]])</f>
        <v>0</v>
      </c>
      <c r="AL237" s="22">
        <f>SUMIFS(estoque[quantidade],estoque[fornecedor],"&lt;&gt;saída",estoque[produto],preçodiario[[#Headers],[OVO VERMELHO B]],estoque[data],preçodiario[[#This Row],[data]])</f>
        <v>0</v>
      </c>
      <c r="AM237" s="20">
        <f>SUMIFS(estoque[valor total],estoque[fornecedor],"&lt;&gt;saída",estoque[produto],preçodiario[[#Headers],[OVO VERMELHO B]],estoque[data],preçodiario[[#This Row],[data]])</f>
        <v>0</v>
      </c>
      <c r="AN237" s="20">
        <f>IFERROR(preçodiario[[#This Row],[OVO VERMELHO B]]*preçodiario[[#This Row],[estoque BV]],0)</f>
        <v>0</v>
      </c>
      <c r="AO2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Row],[data]])),((AO236*AP236)+SUMIFS(estoque[valor total],estoque[produto],preçodiario[[#Headers],[OVO VERMELHO C]],estoque[data],preçodiario[[#This Row],[data]],estoque[fornecedor],"&lt;&gt;saída"))/(AP236+(SUMIFS(estoque[quantidade],estoque[produto],preçodiario[[#Headers],[OVO VERMELHO C]],estoque[fornecedor],"&lt;&gt;saída",estoque[data],preçodiario[[#This Row],[data]])))))</f>
        <v/>
      </c>
      <c r="AP237" s="22">
        <f>IF(preçodiario[[#This Row],[entrada CV]]=0,AP236-(SUMIFS(estoque[quantidade],estoque[fornecedor],"saída",estoque[produto],preçodiario[[#Headers],[OVO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Row],[data]]))+AP236+preçodiario[[#This Row],[entrada CV]])</f>
        <v>0</v>
      </c>
      <c r="AQ237" s="22">
        <f>SUMIFS(estoque[quantidade],estoque[fornecedor],"&lt;&gt;saída",estoque[produto],preçodiario[[#Headers],[OVO VERMELHO C]],estoque[data],preçodiario[[#This Row],[data]])</f>
        <v>0</v>
      </c>
      <c r="AR237" s="20">
        <f>SUMIFS(estoque[valor total],estoque[fornecedor],"&lt;&gt;saída",estoque[produto],preçodiario[[#Headers],[OVO VERMELHO C]],estoque[data],preçodiario[[#This Row],[data]])</f>
        <v>0</v>
      </c>
      <c r="AS237" s="20">
        <f>IFERROR(preçodiario[[#This Row],[OVO VERMELHO C]]*preçodiario[[#This Row],[estoque CV]],0)</f>
        <v>0</v>
      </c>
      <c r="AT2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Row],[data]])),((AT236*AU236)+SUMIFS(estoque[valor total],estoque[produto],preçodiario[[#Headers],[OVO VERMELHO EXTRA]],estoque[data],preçodiario[[#This Row],[data]],estoque[fornecedor],"&lt;&gt;saída"))/(AU236+(SUMIFS(estoque[quantidade],estoque[produto],preçodiario[[#Headers],[OVO VERMELHO EXTRA]],estoque[fornecedor],"&lt;&gt;saída",estoque[data],preçodiario[[#This Row],[data]])))))</f>
        <v/>
      </c>
      <c r="AU237" s="22">
        <f>IF(preçodiario[[#This Row],[entrada EV]]=0,AU236-(SUMIFS(estoque[quantidade],estoque[fornecedor],"saída",estoque[produto],preçodiario[[#Headers],[OVO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Row],[data]]))+AU236+preçodiario[[#This Row],[entrada EV]])</f>
        <v>0</v>
      </c>
      <c r="AV237" s="22">
        <f>SUMIFS(estoque[quantidade],estoque[fornecedor],"&lt;&gt;saída",estoque[produto],preçodiario[[#Headers],[OVO VERMELHO EXTRA]],estoque[data],preçodiario[[#This Row],[data]])</f>
        <v>0</v>
      </c>
      <c r="AW237" s="20">
        <f>SUMIFS(estoque[valor total],estoque[fornecedor],"&lt;&gt;saída",estoque[produto],preçodiario[[#Headers],[OVO VERMELHO EXTRA]],estoque[data],preçodiario[[#This Row],[data]])</f>
        <v>0</v>
      </c>
      <c r="AX237" s="20">
        <f>IFERROR(preçodiario[[#This Row],[OVO VERMELHO EXTRA]]*preçodiario[[#This Row],[estoque EV]],0)</f>
        <v>0</v>
      </c>
      <c r="AY2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Row],[data]])),((AY236*AZ236)+SUMIFS(estoque[valor total],estoque[produto],preçodiario[[#Headers],[OVO VERMELHO JUMBO]],estoque[data],preçodiario[[#This Row],[data]],estoque[fornecedor],"&lt;&gt;saída"))/(AZ236+(SUMIFS(estoque[quantidade],estoque[produto],preçodiario[[#Headers],[OVO VERMELHO JUMBO]],estoque[fornecedor],"&lt;&gt;saída",estoque[data],preçodiario[[#This Row],[data]])))))</f>
        <v/>
      </c>
      <c r="AZ237" s="22">
        <f>IF(preçodiario[[#This Row],[entrada JV]]=0,AZ236-(SUMIFS(estoque[quantidade],estoque[fornecedor],"saída",estoque[produto],preçodiario[[#Headers],[OVO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Row],[data]]))+AZ236+preçodiario[[#This Row],[entrada JV]])</f>
        <v>0</v>
      </c>
      <c r="BA237" s="22">
        <f>SUMIFS(estoque[quantidade],estoque[fornecedor],"&lt;&gt;saída",estoque[produto],preçodiario[[#Headers],[OVO VERMELHO JUMBO]],estoque[data],preçodiario[[#This Row],[data]])</f>
        <v>0</v>
      </c>
      <c r="BB237" s="20">
        <f>SUMIFS(estoque[valor total],estoque[fornecedor],"&lt;&gt;saída",estoque[produto],preçodiario[[#Headers],[OVO VERMELHO JUMBO]],estoque[data],preçodiario[[#This Row],[data]])</f>
        <v>0</v>
      </c>
      <c r="BC237" s="20">
        <f>IFERROR(preçodiario[[#This Row],[OVO VERMELHO JUMBO]]*preçodiario[[#This Row],[estoque JV]],0)</f>
        <v>0</v>
      </c>
      <c r="BD237" t="str">
        <f>TEXT(vendaAno[[#This Row],[data]],"mmm")</f>
        <v>ago</v>
      </c>
      <c r="BE237" t="str">
        <f>TEXT(vendaAno[[#This Row],[data]],"ddd")</f>
        <v>seg</v>
      </c>
      <c r="BF237" s="82">
        <f>WEEKNUM(vendaAno[[#This Row],[data]],13)</f>
        <v>34</v>
      </c>
      <c r="BG237" s="27">
        <f>preçodiario[[#This Row],[data]]</f>
        <v>46258</v>
      </c>
      <c r="BH2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Row],[data]]))/12+BJ236,"")</f>
        <v/>
      </c>
      <c r="BK237" s="79" t="str">
        <f ca="1">IF(TODAY()&gt;=vendaAno[[#This Row],[data]],IF(SUMIFS(estoque[quantidade],estoque[fornecedor],"saída",estoque[data],vendaAno[[#This Row],[data]])/12=0,AVERAGE(BK234:BK236),SUMIFS(estoque[quantidade],estoque[fornecedor],"saída",estoque[data],vendaAno[[#This Row],[data]])/12),"")</f>
        <v/>
      </c>
      <c r="BL237" s="8" t="str">
        <f ca="1">IF(vendaAno[[#This Row],[data]]&lt;=TODAY(),IF(SUMIFS(estoque[lucro],estoque[fornecedor],"saída",estoque[data],vendaAno[[#This Row],[data]])=0,AVERAGE(BL234:BL236),SUMIFS(estoque[lucro],estoque[fornecedor],"saída",estoque[data],vendaAno[[#This Row],[data]])),"")</f>
        <v/>
      </c>
      <c r="BM237" s="10" t="str">
        <f ca="1">IFERROR(vendaAno[[#This Row],[lucro]]/vendaAno[[#This Row],[valor de venda]],"")</f>
        <v/>
      </c>
      <c r="BN23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7" s="8" t="str">
        <f ca="1">IF(TODAY()&gt;=vendaAno[[#This Row],[data]],IF(vendaAno[[#This Row],[N°]]=BF236,vendaAno[[#This Row],[lucro]]-173.33+BO236,vendaAno[[#This Row],[lucro]]-150),"")</f>
        <v/>
      </c>
      <c r="BP237" s="81" t="str">
        <f ca="1">IF(TODAY()&gt;=vendaAno[[#This Row],[data]],SUM(BK231:BK237)*12,"")</f>
        <v/>
      </c>
      <c r="BQ237" s="7" t="str">
        <f ca="1">IFERROR(vendaAno[[#This Row],[lucro]]/(vendaAno[[#This Row],[venda]]*12),"")</f>
        <v/>
      </c>
    </row>
    <row r="238" spans="1:69" x14ac:dyDescent="0.25">
      <c r="A2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8" s="18" t="str">
        <f>TEXT(preçodiario[[#This Row],[data]],"MMM")</f>
        <v>ago</v>
      </c>
      <c r="C238" s="18" t="str">
        <f>TEXT(preçodiario[[#This Row],[data]],"ddd")</f>
        <v>ter</v>
      </c>
      <c r="D238" s="96">
        <f>WEEKNUM(preçodiario[[#This Row],[data]],13)</f>
        <v>34</v>
      </c>
      <c r="E238" s="37">
        <v>46259</v>
      </c>
      <c r="F2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Row],[data]])),((F237*G237)+SUMIFS(estoque[valor total],estoque[produto],preçodiario[[#Headers],[OVO BRANCO A]],estoque[data],preçodiario[[#This Row],[data]],estoque[fornecedor],"&lt;&gt;saída"))/(G237+(SUMIFS(estoque[quantidade],estoque[produto],preçodiario[[#Headers],[OVO BRANCO A]],estoque[fornecedor],"&lt;&gt;saída",estoque[data],preçodiario[[#This Row],[data]])))))</f>
        <v>15.278182701652089</v>
      </c>
      <c r="G238" s="22">
        <f>IF(preçodiario[[#This Row],[entrada A]]=0,G237-(SUMIFS(estoque[quantidade],estoque[fornecedor],"saída",estoque[produto],preçodiario[[#Headers],[OVO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Row],[data]]))+G237+preçodiario[[#This Row],[entrada A]])</f>
        <v>133</v>
      </c>
      <c r="H238" s="22">
        <f>SUMIFS(estoque[quantidade],estoque[fornecedor],"&lt;&gt;saída",estoque[produto],preçodiario[[#Headers],[OVO BRANCO A]],estoque[data],preçodiario[[#This Row],[data]])</f>
        <v>0</v>
      </c>
      <c r="I238" s="20">
        <f>SUMIFS(estoque[valor total],estoque[fornecedor],"&lt;&gt;saída",estoque[produto],preçodiario[[#Headers],[OVO BRANCO A]],estoque[data],preçodiario[[#This Row],[data]])</f>
        <v>0</v>
      </c>
      <c r="J238" s="20">
        <f>IFERROR(preçodiario[[#This Row],[estoque A]]*preçodiario[[#This Row],[OVO BRANCO A]],0)</f>
        <v>2031.9982993197277</v>
      </c>
      <c r="K2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Row],[data]])),((K237*L237)+SUMIFS(estoque[valor total],estoque[produto],preçodiario[[#Headers],[OVO BRANCO B]],estoque[data],preçodiario[[#This Row],[data]],estoque[fornecedor],"&lt;&gt;saída"))/(L237+(SUMIFS(estoque[quantidade],estoque[produto],preçodiario[[#Headers],[OVO BRANCO B]],estoque[fornecedor],"&lt;&gt;saída",estoque[data],preçodiario[[#This Row],[data]])))))</f>
        <v>14.584252837326604</v>
      </c>
      <c r="L238" s="22">
        <f>IF(preçodiario[[#This Row],[entrada B]]=0,L237-(SUMIFS(estoque[quantidade],estoque[fornecedor],"saída",estoque[produto],preçodiario[[#Headers],[OVO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Row],[data]]))+L237+preçodiario[[#This Row],[entrada B]])</f>
        <v>16</v>
      </c>
      <c r="M238" s="22">
        <f>SUMIFS(estoque[quantidade],estoque[fornecedor],"&lt;&gt;saída",estoque[produto],preçodiario[[#Headers],[OVO BRANCO B]],estoque[data],preçodiario[[#This Row],[data]])</f>
        <v>0</v>
      </c>
      <c r="N238" s="20">
        <f>SUMIFS(estoque[valor total],estoque[fornecedor],"&lt;&gt;saída",estoque[produto],preçodiario[[#Headers],[OVO BRANCO B]],estoque[data],preçodiario[[#This Row],[data]])</f>
        <v>0</v>
      </c>
      <c r="O238" s="20">
        <f>IFERROR(preçodiario[[#This Row],[OVO BRANCO B]]*preçodiario[[#This Row],[estoque B]],0)</f>
        <v>233.34804539722566</v>
      </c>
      <c r="P2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Row],[data]])),((P237*Q237)+SUMIFS(estoque[valor total],estoque[produto],preçodiario[[#Headers],[OVO BRANCO C]],estoque[data],preçodiario[[#This Row],[data]],estoque[fornecedor],"&lt;&gt;saída"))/(Q237+(SUMIFS(estoque[quantidade],estoque[produto],preçodiario[[#Headers],[OVO BRANCO C]],estoque[fornecedor],"&lt;&gt;saída",estoque[data],preçodiario[[#This Row],[data]])))))</f>
        <v>12.5</v>
      </c>
      <c r="Q238" s="22">
        <f>IF(preçodiario[[#This Row],[entrada C]]=0,Q237-(SUMIFS(estoque[quantidade],estoque[fornecedor],"saída",estoque[produto],preçodiario[[#Headers],[OVO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Row],[data]]))+Q237+preçodiario[[#This Row],[entrada C]])</f>
        <v>60</v>
      </c>
      <c r="R238" s="22">
        <f>SUMIFS(estoque[quantidade],estoque[fornecedor],"&lt;&gt;saída",estoque[produto],preçodiario[[#Headers],[OVO BRANCO C]],estoque[data],preçodiario[[#This Row],[data]])</f>
        <v>0</v>
      </c>
      <c r="S238" s="20">
        <f>SUMIFS(estoque[valor total],estoque[fornecedor],"&lt;&gt;saída",estoque[produto],preçodiario[[#Headers],[OVO BRANCO C]],estoque[data],preçodiario[[#This Row],[data]])</f>
        <v>0</v>
      </c>
      <c r="T238" s="20">
        <f>IFERROR(preçodiario[[#This Row],[OVO BRANCO C]]*preçodiario[[#This Row],[estoque C]],0)</f>
        <v>750</v>
      </c>
      <c r="U2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Row],[data]])),((U237*V237)+SUMIFS(estoque[valor total],estoque[produto],preçodiario[[#Headers],[OVO BRANCO EXTRA]],estoque[data],preçodiario[[#This Row],[data]],estoque[fornecedor],"&lt;&gt;saída"))/(V237+(SUMIFS(estoque[quantidade],estoque[produto],preçodiario[[#Headers],[OVO BRANCO EXTRA]],estoque[fornecedor],"&lt;&gt;saída",estoque[data],preçodiario[[#This Row],[data]])))))</f>
        <v>15.725438400674655</v>
      </c>
      <c r="V238" s="22">
        <f>IF(preçodiario[[#This Row],[entrada E]]=0,V237-(SUMIFS(estoque[quantidade],estoque[fornecedor],"saída",estoque[produto],preçodiario[[#Headers],[OVO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Row],[data]]))+V237+preçodiario[[#This Row],[entrada E]])</f>
        <v>46</v>
      </c>
      <c r="W238" s="22">
        <f>SUMIFS(estoque[quantidade],estoque[fornecedor],"&lt;&gt;saída",estoque[produto],preçodiario[[#Headers],[OVO BRANCO EXTRA]],estoque[data],preçodiario[[#This Row],[data]])</f>
        <v>0</v>
      </c>
      <c r="X238" s="20">
        <f>SUMIFS(estoque[valor total],estoque[fornecedor],"&lt;&gt;saída",estoque[produto],preçodiario[[#Headers],[OVO BRANCO EXTRA]],estoque[data],preçodiario[[#This Row],[data]])</f>
        <v>0</v>
      </c>
      <c r="Y238" s="20">
        <f>IFERROR(preçodiario[[#This Row],[estoque E]]*preçodiario[[#This Row],[OVO BRANCO EXTRA]],0)</f>
        <v>723.37016643103414</v>
      </c>
      <c r="Z2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Row],[data]])),((Z237*AA237)+SUMIFS(estoque[valor total],estoque[produto],preçodiario[[#Headers],[OVO BRANCO JUMBO]],estoque[data],preçodiario[[#This Row],[data]],estoque[fornecedor],"&lt;&gt;saída"))/(AA237+(SUMIFS(estoque[quantidade],estoque[produto],preçodiario[[#Headers],[OVO BRANCO JUMBO]],estoque[fornecedor],"&lt;&gt;saída",estoque[data],preçodiario[[#This Row],[data]])))))</f>
        <v>16.50550595238095</v>
      </c>
      <c r="AA238" s="22">
        <f>IF(preçodiario[[#This Row],[entrada J]]=0,AA237-(SUMIFS(estoque[quantidade],estoque[fornecedor],"saída",estoque[produto],preçodiario[[#Headers],[OVO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Row],[data]]))+AA237+preçodiario[[#This Row],[entrada J]])</f>
        <v>75</v>
      </c>
      <c r="AB238" s="22">
        <f>SUMIFS(estoque[quantidade],estoque[fornecedor],"&lt;&gt;saída",estoque[produto],preçodiario[[#Headers],[OVO BRANCO JUMBO]],estoque[data],preçodiario[[#This Row],[data]])</f>
        <v>0</v>
      </c>
      <c r="AC238" s="20">
        <f>SUMIFS(estoque[valor total],estoque[fornecedor],"&lt;&gt;saída",estoque[produto],preçodiario[[#Headers],[OVO BRANCO JUMBO]],estoque[data],preçodiario[[#This Row],[data]])</f>
        <v>0</v>
      </c>
      <c r="AD238" s="20">
        <f>IFERROR(preçodiario[[#This Row],[OVO BRANCO JUMBO]]*preçodiario[[#This Row],[estoque J]],0)</f>
        <v>1237.9129464285713</v>
      </c>
      <c r="AE2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Row],[data]])),((AE237*AF237)+SUMIFS(estoque[valor total],estoque[produto],preçodiario[[#Headers],[OVO VERMELHO A]],estoque[data],preçodiario[[#This Row],[data]],estoque[fornecedor],"&lt;&gt;saída"))/(AF237+(SUMIFS(estoque[quantidade],estoque[produto],preçodiario[[#Headers],[OVO VERMELHO A]],estoque[fornecedor],"&lt;&gt;saída",estoque[data],preçodiario[[#This Row],[data]])))))</f>
        <v/>
      </c>
      <c r="AF238" s="22">
        <f>IF(preçodiario[[#This Row],[entrada AV]]=0,AF237-(SUMIFS(estoque[quantidade],estoque[fornecedor],"saída",estoque[produto],preçodiario[[#Headers],[OVO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Row],[data]]))+AF237+preçodiario[[#This Row],[entrada AV]])</f>
        <v>0</v>
      </c>
      <c r="AG238" s="22">
        <f>SUMIFS(estoque[quantidade],estoque[fornecedor],"&lt;&gt;saída",estoque[produto],preçodiario[[#Headers],[OVO VERMELHO A]],estoque[data],preçodiario[[#This Row],[data]])</f>
        <v>0</v>
      </c>
      <c r="AH238" s="20">
        <f>SUMIFS(estoque[valor total],estoque[fornecedor],"&lt;&gt;saída",estoque[produto],preçodiario[[#Headers],[OVO VERMELHO A]],estoque[data],preçodiario[[#This Row],[data]])</f>
        <v>0</v>
      </c>
      <c r="AI238" s="20">
        <f>IFERROR(preçodiario[[#This Row],[OVO VERMELHO A]]*preçodiario[[#This Row],[estoque AV]],0)</f>
        <v>0</v>
      </c>
      <c r="AJ2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Row],[data]])),((AJ237*AK237)+SUMIFS(estoque[valor total],estoque[produto],preçodiario[[#Headers],[OVO VERMELHO B]],estoque[data],preçodiario[[#This Row],[data]],estoque[fornecedor],"&lt;&gt;saída"))/(AK237+(SUMIFS(estoque[quantidade],estoque[produto],preçodiario[[#Headers],[OVO VERMELHO B]],estoque[fornecedor],"&lt;&gt;saída",estoque[data],preçodiario[[#This Row],[data]])))))</f>
        <v/>
      </c>
      <c r="AK238" s="22">
        <f>IF(preçodiario[[#This Row],[entrada BV]]=0,AK237-(SUMIFS(estoque[quantidade],estoque[fornecedor],"saída",estoque[produto],preçodiario[[#Headers],[OVO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Row],[data]]))+AK237+preçodiario[[#This Row],[entrada BV]])</f>
        <v>0</v>
      </c>
      <c r="AL238" s="22">
        <f>SUMIFS(estoque[quantidade],estoque[fornecedor],"&lt;&gt;saída",estoque[produto],preçodiario[[#Headers],[OVO VERMELHO B]],estoque[data],preçodiario[[#This Row],[data]])</f>
        <v>0</v>
      </c>
      <c r="AM238" s="20">
        <f>SUMIFS(estoque[valor total],estoque[fornecedor],"&lt;&gt;saída",estoque[produto],preçodiario[[#Headers],[OVO VERMELHO B]],estoque[data],preçodiario[[#This Row],[data]])</f>
        <v>0</v>
      </c>
      <c r="AN238" s="20">
        <f>IFERROR(preçodiario[[#This Row],[OVO VERMELHO B]]*preçodiario[[#This Row],[estoque BV]],0)</f>
        <v>0</v>
      </c>
      <c r="AO2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Row],[data]])),((AO237*AP237)+SUMIFS(estoque[valor total],estoque[produto],preçodiario[[#Headers],[OVO VERMELHO C]],estoque[data],preçodiario[[#This Row],[data]],estoque[fornecedor],"&lt;&gt;saída"))/(AP237+(SUMIFS(estoque[quantidade],estoque[produto],preçodiario[[#Headers],[OVO VERMELHO C]],estoque[fornecedor],"&lt;&gt;saída",estoque[data],preçodiario[[#This Row],[data]])))))</f>
        <v/>
      </c>
      <c r="AP238" s="22">
        <f>IF(preçodiario[[#This Row],[entrada CV]]=0,AP237-(SUMIFS(estoque[quantidade],estoque[fornecedor],"saída",estoque[produto],preçodiario[[#Headers],[OVO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Row],[data]]))+AP237+preçodiario[[#This Row],[entrada CV]])</f>
        <v>0</v>
      </c>
      <c r="AQ238" s="22">
        <f>SUMIFS(estoque[quantidade],estoque[fornecedor],"&lt;&gt;saída",estoque[produto],preçodiario[[#Headers],[OVO VERMELHO C]],estoque[data],preçodiario[[#This Row],[data]])</f>
        <v>0</v>
      </c>
      <c r="AR238" s="20">
        <f>SUMIFS(estoque[valor total],estoque[fornecedor],"&lt;&gt;saída",estoque[produto],preçodiario[[#Headers],[OVO VERMELHO C]],estoque[data],preçodiario[[#This Row],[data]])</f>
        <v>0</v>
      </c>
      <c r="AS238" s="20">
        <f>IFERROR(preçodiario[[#This Row],[OVO VERMELHO C]]*preçodiario[[#This Row],[estoque CV]],0)</f>
        <v>0</v>
      </c>
      <c r="AT2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Row],[data]])),((AT237*AU237)+SUMIFS(estoque[valor total],estoque[produto],preçodiario[[#Headers],[OVO VERMELHO EXTRA]],estoque[data],preçodiario[[#This Row],[data]],estoque[fornecedor],"&lt;&gt;saída"))/(AU237+(SUMIFS(estoque[quantidade],estoque[produto],preçodiario[[#Headers],[OVO VERMELHO EXTRA]],estoque[fornecedor],"&lt;&gt;saída",estoque[data],preçodiario[[#This Row],[data]])))))</f>
        <v/>
      </c>
      <c r="AU238" s="22">
        <f>IF(preçodiario[[#This Row],[entrada EV]]=0,AU237-(SUMIFS(estoque[quantidade],estoque[fornecedor],"saída",estoque[produto],preçodiario[[#Headers],[OVO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Row],[data]]))+AU237+preçodiario[[#This Row],[entrada EV]])</f>
        <v>0</v>
      </c>
      <c r="AV238" s="22">
        <f>SUMIFS(estoque[quantidade],estoque[fornecedor],"&lt;&gt;saída",estoque[produto],preçodiario[[#Headers],[OVO VERMELHO EXTRA]],estoque[data],preçodiario[[#This Row],[data]])</f>
        <v>0</v>
      </c>
      <c r="AW238" s="20">
        <f>SUMIFS(estoque[valor total],estoque[fornecedor],"&lt;&gt;saída",estoque[produto],preçodiario[[#Headers],[OVO VERMELHO EXTRA]],estoque[data],preçodiario[[#This Row],[data]])</f>
        <v>0</v>
      </c>
      <c r="AX238" s="20">
        <f>IFERROR(preçodiario[[#This Row],[OVO VERMELHO EXTRA]]*preçodiario[[#This Row],[estoque EV]],0)</f>
        <v>0</v>
      </c>
      <c r="AY2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Row],[data]])),((AY237*AZ237)+SUMIFS(estoque[valor total],estoque[produto],preçodiario[[#Headers],[OVO VERMELHO JUMBO]],estoque[data],preçodiario[[#This Row],[data]],estoque[fornecedor],"&lt;&gt;saída"))/(AZ237+(SUMIFS(estoque[quantidade],estoque[produto],preçodiario[[#Headers],[OVO VERMELHO JUMBO]],estoque[fornecedor],"&lt;&gt;saída",estoque[data],preçodiario[[#This Row],[data]])))))</f>
        <v/>
      </c>
      <c r="AZ238" s="22">
        <f>IF(preçodiario[[#This Row],[entrada JV]]=0,AZ237-(SUMIFS(estoque[quantidade],estoque[fornecedor],"saída",estoque[produto],preçodiario[[#Headers],[OVO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Row],[data]]))+AZ237+preçodiario[[#This Row],[entrada JV]])</f>
        <v>0</v>
      </c>
      <c r="BA238" s="22">
        <f>SUMIFS(estoque[quantidade],estoque[fornecedor],"&lt;&gt;saída",estoque[produto],preçodiario[[#Headers],[OVO VERMELHO JUMBO]],estoque[data],preçodiario[[#This Row],[data]])</f>
        <v>0</v>
      </c>
      <c r="BB238" s="20">
        <f>SUMIFS(estoque[valor total],estoque[fornecedor],"&lt;&gt;saída",estoque[produto],preçodiario[[#Headers],[OVO VERMELHO JUMBO]],estoque[data],preçodiario[[#This Row],[data]])</f>
        <v>0</v>
      </c>
      <c r="BC238" s="20">
        <f>IFERROR(preçodiario[[#This Row],[OVO VERMELHO JUMBO]]*preçodiario[[#This Row],[estoque JV]],0)</f>
        <v>0</v>
      </c>
      <c r="BD238" t="str">
        <f>TEXT(vendaAno[[#This Row],[data]],"mmm")</f>
        <v>ago</v>
      </c>
      <c r="BE238" t="str">
        <f>TEXT(vendaAno[[#This Row],[data]],"ddd")</f>
        <v>ter</v>
      </c>
      <c r="BF238" s="82">
        <f>WEEKNUM(vendaAno[[#This Row],[data]],13)</f>
        <v>34</v>
      </c>
      <c r="BG238" s="27">
        <f>preçodiario[[#This Row],[data]]</f>
        <v>46259</v>
      </c>
      <c r="BH2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Row],[data]]))/12+BJ237,"")</f>
        <v/>
      </c>
      <c r="BK238" s="79" t="str">
        <f ca="1">IF(TODAY()&gt;=vendaAno[[#This Row],[data]],IF(SUMIFS(estoque[quantidade],estoque[fornecedor],"saída",estoque[data],vendaAno[[#This Row],[data]])/12=0,AVERAGE(BK235:BK237),SUMIFS(estoque[quantidade],estoque[fornecedor],"saída",estoque[data],vendaAno[[#This Row],[data]])/12),"")</f>
        <v/>
      </c>
      <c r="BL238" s="8" t="str">
        <f ca="1">IF(vendaAno[[#This Row],[data]]&lt;=TODAY(),IF(SUMIFS(estoque[lucro],estoque[fornecedor],"saída",estoque[data],vendaAno[[#This Row],[data]])=0,AVERAGE(BL235:BL237),SUMIFS(estoque[lucro],estoque[fornecedor],"saída",estoque[data],vendaAno[[#This Row],[data]])),"")</f>
        <v/>
      </c>
      <c r="BM238" s="10" t="str">
        <f ca="1">IFERROR(vendaAno[[#This Row],[lucro]]/vendaAno[[#This Row],[valor de venda]],"")</f>
        <v/>
      </c>
      <c r="BN23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8" s="8" t="str">
        <f ca="1">IF(TODAY()&gt;=vendaAno[[#This Row],[data]],IF(vendaAno[[#This Row],[N°]]=BF237,vendaAno[[#This Row],[lucro]]-173.33+BO237,vendaAno[[#This Row],[lucro]]-150),"")</f>
        <v/>
      </c>
      <c r="BP238" s="81" t="str">
        <f ca="1">IF(TODAY()&gt;=vendaAno[[#This Row],[data]],SUM(BK232:BK238)*12,"")</f>
        <v/>
      </c>
      <c r="BQ238" s="7" t="str">
        <f ca="1">IFERROR(vendaAno[[#This Row],[lucro]]/(vendaAno[[#This Row],[venda]]*12),"")</f>
        <v/>
      </c>
    </row>
    <row r="239" spans="1:69" x14ac:dyDescent="0.25">
      <c r="A2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39" s="18" t="str">
        <f>TEXT(preçodiario[[#This Row],[data]],"MMM")</f>
        <v>ago</v>
      </c>
      <c r="C239" s="18" t="str">
        <f>TEXT(preçodiario[[#This Row],[data]],"ddd")</f>
        <v>qua</v>
      </c>
      <c r="D239" s="96">
        <f>WEEKNUM(preçodiario[[#This Row],[data]],13)</f>
        <v>35</v>
      </c>
      <c r="E239" s="37">
        <v>46260</v>
      </c>
      <c r="F2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Row],[data]])),((F238*G238)+SUMIFS(estoque[valor total],estoque[produto],preçodiario[[#Headers],[OVO BRANCO A]],estoque[data],preçodiario[[#This Row],[data]],estoque[fornecedor],"&lt;&gt;saída"))/(G238+(SUMIFS(estoque[quantidade],estoque[produto],preçodiario[[#Headers],[OVO BRANCO A]],estoque[fornecedor],"&lt;&gt;saída",estoque[data],preçodiario[[#This Row],[data]])))))</f>
        <v>15.278182701652089</v>
      </c>
      <c r="G239" s="22">
        <f>IF(preçodiario[[#This Row],[entrada A]]=0,G238-(SUMIFS(estoque[quantidade],estoque[fornecedor],"saída",estoque[produto],preçodiario[[#Headers],[OVO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Row],[data]]))+G238+preçodiario[[#This Row],[entrada A]])</f>
        <v>133</v>
      </c>
      <c r="H239" s="22">
        <f>SUMIFS(estoque[quantidade],estoque[fornecedor],"&lt;&gt;saída",estoque[produto],preçodiario[[#Headers],[OVO BRANCO A]],estoque[data],preçodiario[[#This Row],[data]])</f>
        <v>0</v>
      </c>
      <c r="I239" s="20">
        <f>SUMIFS(estoque[valor total],estoque[fornecedor],"&lt;&gt;saída",estoque[produto],preçodiario[[#Headers],[OVO BRANCO A]],estoque[data],preçodiario[[#This Row],[data]])</f>
        <v>0</v>
      </c>
      <c r="J239" s="20">
        <f>IFERROR(preçodiario[[#This Row],[estoque A]]*preçodiario[[#This Row],[OVO BRANCO A]],0)</f>
        <v>2031.9982993197277</v>
      </c>
      <c r="K2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Row],[data]])),((K238*L238)+SUMIFS(estoque[valor total],estoque[produto],preçodiario[[#Headers],[OVO BRANCO B]],estoque[data],preçodiario[[#This Row],[data]],estoque[fornecedor],"&lt;&gt;saída"))/(L238+(SUMIFS(estoque[quantidade],estoque[produto],preçodiario[[#Headers],[OVO BRANCO B]],estoque[fornecedor],"&lt;&gt;saída",estoque[data],preçodiario[[#This Row],[data]])))))</f>
        <v>14.584252837326604</v>
      </c>
      <c r="L239" s="22">
        <f>IF(preçodiario[[#This Row],[entrada B]]=0,L238-(SUMIFS(estoque[quantidade],estoque[fornecedor],"saída",estoque[produto],preçodiario[[#Headers],[OVO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Row],[data]]))+L238+preçodiario[[#This Row],[entrada B]])</f>
        <v>16</v>
      </c>
      <c r="M239" s="22">
        <f>SUMIFS(estoque[quantidade],estoque[fornecedor],"&lt;&gt;saída",estoque[produto],preçodiario[[#Headers],[OVO BRANCO B]],estoque[data],preçodiario[[#This Row],[data]])</f>
        <v>0</v>
      </c>
      <c r="N239" s="20">
        <f>SUMIFS(estoque[valor total],estoque[fornecedor],"&lt;&gt;saída",estoque[produto],preçodiario[[#Headers],[OVO BRANCO B]],estoque[data],preçodiario[[#This Row],[data]])</f>
        <v>0</v>
      </c>
      <c r="O239" s="20">
        <f>IFERROR(preçodiario[[#This Row],[OVO BRANCO B]]*preçodiario[[#This Row],[estoque B]],0)</f>
        <v>233.34804539722566</v>
      </c>
      <c r="P2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Row],[data]])),((P238*Q238)+SUMIFS(estoque[valor total],estoque[produto],preçodiario[[#Headers],[OVO BRANCO C]],estoque[data],preçodiario[[#This Row],[data]],estoque[fornecedor],"&lt;&gt;saída"))/(Q238+(SUMIFS(estoque[quantidade],estoque[produto],preçodiario[[#Headers],[OVO BRANCO C]],estoque[fornecedor],"&lt;&gt;saída",estoque[data],preçodiario[[#This Row],[data]])))))</f>
        <v>12.5</v>
      </c>
      <c r="Q239" s="22">
        <f>IF(preçodiario[[#This Row],[entrada C]]=0,Q238-(SUMIFS(estoque[quantidade],estoque[fornecedor],"saída",estoque[produto],preçodiario[[#Headers],[OVO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Row],[data]]))+Q238+preçodiario[[#This Row],[entrada C]])</f>
        <v>60</v>
      </c>
      <c r="R239" s="22">
        <f>SUMIFS(estoque[quantidade],estoque[fornecedor],"&lt;&gt;saída",estoque[produto],preçodiario[[#Headers],[OVO BRANCO C]],estoque[data],preçodiario[[#This Row],[data]])</f>
        <v>0</v>
      </c>
      <c r="S239" s="20">
        <f>SUMIFS(estoque[valor total],estoque[fornecedor],"&lt;&gt;saída",estoque[produto],preçodiario[[#Headers],[OVO BRANCO C]],estoque[data],preçodiario[[#This Row],[data]])</f>
        <v>0</v>
      </c>
      <c r="T239" s="20">
        <f>IFERROR(preçodiario[[#This Row],[OVO BRANCO C]]*preçodiario[[#This Row],[estoque C]],0)</f>
        <v>750</v>
      </c>
      <c r="U2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Row],[data]])),((U238*V238)+SUMIFS(estoque[valor total],estoque[produto],preçodiario[[#Headers],[OVO BRANCO EXTRA]],estoque[data],preçodiario[[#This Row],[data]],estoque[fornecedor],"&lt;&gt;saída"))/(V238+(SUMIFS(estoque[quantidade],estoque[produto],preçodiario[[#Headers],[OVO BRANCO EXTRA]],estoque[fornecedor],"&lt;&gt;saída",estoque[data],preçodiario[[#This Row],[data]])))))</f>
        <v>15.725438400674655</v>
      </c>
      <c r="V239" s="22">
        <f>IF(preçodiario[[#This Row],[entrada E]]=0,V238-(SUMIFS(estoque[quantidade],estoque[fornecedor],"saída",estoque[produto],preçodiario[[#Headers],[OVO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Row],[data]]))+V238+preçodiario[[#This Row],[entrada E]])</f>
        <v>46</v>
      </c>
      <c r="W239" s="22">
        <f>SUMIFS(estoque[quantidade],estoque[fornecedor],"&lt;&gt;saída",estoque[produto],preçodiario[[#Headers],[OVO BRANCO EXTRA]],estoque[data],preçodiario[[#This Row],[data]])</f>
        <v>0</v>
      </c>
      <c r="X239" s="20">
        <f>SUMIFS(estoque[valor total],estoque[fornecedor],"&lt;&gt;saída",estoque[produto],preçodiario[[#Headers],[OVO BRANCO EXTRA]],estoque[data],preçodiario[[#This Row],[data]])</f>
        <v>0</v>
      </c>
      <c r="Y239" s="20">
        <f>IFERROR(preçodiario[[#This Row],[estoque E]]*preçodiario[[#This Row],[OVO BRANCO EXTRA]],0)</f>
        <v>723.37016643103414</v>
      </c>
      <c r="Z2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Row],[data]])),((Z238*AA238)+SUMIFS(estoque[valor total],estoque[produto],preçodiario[[#Headers],[OVO BRANCO JUMBO]],estoque[data],preçodiario[[#This Row],[data]],estoque[fornecedor],"&lt;&gt;saída"))/(AA238+(SUMIFS(estoque[quantidade],estoque[produto],preçodiario[[#Headers],[OVO BRANCO JUMBO]],estoque[fornecedor],"&lt;&gt;saída",estoque[data],preçodiario[[#This Row],[data]])))))</f>
        <v>16.50550595238095</v>
      </c>
      <c r="AA239" s="22">
        <f>IF(preçodiario[[#This Row],[entrada J]]=0,AA238-(SUMIFS(estoque[quantidade],estoque[fornecedor],"saída",estoque[produto],preçodiario[[#Headers],[OVO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Row],[data]]))+AA238+preçodiario[[#This Row],[entrada J]])</f>
        <v>75</v>
      </c>
      <c r="AB239" s="22">
        <f>SUMIFS(estoque[quantidade],estoque[fornecedor],"&lt;&gt;saída",estoque[produto],preçodiario[[#Headers],[OVO BRANCO JUMBO]],estoque[data],preçodiario[[#This Row],[data]])</f>
        <v>0</v>
      </c>
      <c r="AC239" s="20">
        <f>SUMIFS(estoque[valor total],estoque[fornecedor],"&lt;&gt;saída",estoque[produto],preçodiario[[#Headers],[OVO BRANCO JUMBO]],estoque[data],preçodiario[[#This Row],[data]])</f>
        <v>0</v>
      </c>
      <c r="AD239" s="20">
        <f>IFERROR(preçodiario[[#This Row],[OVO BRANCO JUMBO]]*preçodiario[[#This Row],[estoque J]],0)</f>
        <v>1237.9129464285713</v>
      </c>
      <c r="AE2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Row],[data]])),((AE238*AF238)+SUMIFS(estoque[valor total],estoque[produto],preçodiario[[#Headers],[OVO VERMELHO A]],estoque[data],preçodiario[[#This Row],[data]],estoque[fornecedor],"&lt;&gt;saída"))/(AF238+(SUMIFS(estoque[quantidade],estoque[produto],preçodiario[[#Headers],[OVO VERMELHO A]],estoque[fornecedor],"&lt;&gt;saída",estoque[data],preçodiario[[#This Row],[data]])))))</f>
        <v/>
      </c>
      <c r="AF239" s="22">
        <f>IF(preçodiario[[#This Row],[entrada AV]]=0,AF238-(SUMIFS(estoque[quantidade],estoque[fornecedor],"saída",estoque[produto],preçodiario[[#Headers],[OVO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Row],[data]]))+AF238+preçodiario[[#This Row],[entrada AV]])</f>
        <v>0</v>
      </c>
      <c r="AG239" s="22">
        <f>SUMIFS(estoque[quantidade],estoque[fornecedor],"&lt;&gt;saída",estoque[produto],preçodiario[[#Headers],[OVO VERMELHO A]],estoque[data],preçodiario[[#This Row],[data]])</f>
        <v>0</v>
      </c>
      <c r="AH239" s="20">
        <f>SUMIFS(estoque[valor total],estoque[fornecedor],"&lt;&gt;saída",estoque[produto],preçodiario[[#Headers],[OVO VERMELHO A]],estoque[data],preçodiario[[#This Row],[data]])</f>
        <v>0</v>
      </c>
      <c r="AI239" s="20">
        <f>IFERROR(preçodiario[[#This Row],[OVO VERMELHO A]]*preçodiario[[#This Row],[estoque AV]],0)</f>
        <v>0</v>
      </c>
      <c r="AJ2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Row],[data]])),((AJ238*AK238)+SUMIFS(estoque[valor total],estoque[produto],preçodiario[[#Headers],[OVO VERMELHO B]],estoque[data],preçodiario[[#This Row],[data]],estoque[fornecedor],"&lt;&gt;saída"))/(AK238+(SUMIFS(estoque[quantidade],estoque[produto],preçodiario[[#Headers],[OVO VERMELHO B]],estoque[fornecedor],"&lt;&gt;saída",estoque[data],preçodiario[[#This Row],[data]])))))</f>
        <v/>
      </c>
      <c r="AK239" s="22">
        <f>IF(preçodiario[[#This Row],[entrada BV]]=0,AK238-(SUMIFS(estoque[quantidade],estoque[fornecedor],"saída",estoque[produto],preçodiario[[#Headers],[OVO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Row],[data]]))+AK238+preçodiario[[#This Row],[entrada BV]])</f>
        <v>0</v>
      </c>
      <c r="AL239" s="22">
        <f>SUMIFS(estoque[quantidade],estoque[fornecedor],"&lt;&gt;saída",estoque[produto],preçodiario[[#Headers],[OVO VERMELHO B]],estoque[data],preçodiario[[#This Row],[data]])</f>
        <v>0</v>
      </c>
      <c r="AM239" s="20">
        <f>SUMIFS(estoque[valor total],estoque[fornecedor],"&lt;&gt;saída",estoque[produto],preçodiario[[#Headers],[OVO VERMELHO B]],estoque[data],preçodiario[[#This Row],[data]])</f>
        <v>0</v>
      </c>
      <c r="AN239" s="20">
        <f>IFERROR(preçodiario[[#This Row],[OVO VERMELHO B]]*preçodiario[[#This Row],[estoque BV]],0)</f>
        <v>0</v>
      </c>
      <c r="AO2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Row],[data]])),((AO238*AP238)+SUMIFS(estoque[valor total],estoque[produto],preçodiario[[#Headers],[OVO VERMELHO C]],estoque[data],preçodiario[[#This Row],[data]],estoque[fornecedor],"&lt;&gt;saída"))/(AP238+(SUMIFS(estoque[quantidade],estoque[produto],preçodiario[[#Headers],[OVO VERMELHO C]],estoque[fornecedor],"&lt;&gt;saída",estoque[data],preçodiario[[#This Row],[data]])))))</f>
        <v/>
      </c>
      <c r="AP239" s="22">
        <f>IF(preçodiario[[#This Row],[entrada CV]]=0,AP238-(SUMIFS(estoque[quantidade],estoque[fornecedor],"saída",estoque[produto],preçodiario[[#Headers],[OVO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Row],[data]]))+AP238+preçodiario[[#This Row],[entrada CV]])</f>
        <v>0</v>
      </c>
      <c r="AQ239" s="22">
        <f>SUMIFS(estoque[quantidade],estoque[fornecedor],"&lt;&gt;saída",estoque[produto],preçodiario[[#Headers],[OVO VERMELHO C]],estoque[data],preçodiario[[#This Row],[data]])</f>
        <v>0</v>
      </c>
      <c r="AR239" s="20">
        <f>SUMIFS(estoque[valor total],estoque[fornecedor],"&lt;&gt;saída",estoque[produto],preçodiario[[#Headers],[OVO VERMELHO C]],estoque[data],preçodiario[[#This Row],[data]])</f>
        <v>0</v>
      </c>
      <c r="AS239" s="20">
        <f>IFERROR(preçodiario[[#This Row],[OVO VERMELHO C]]*preçodiario[[#This Row],[estoque CV]],0)</f>
        <v>0</v>
      </c>
      <c r="AT2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Row],[data]])),((AT238*AU238)+SUMIFS(estoque[valor total],estoque[produto],preçodiario[[#Headers],[OVO VERMELHO EXTRA]],estoque[data],preçodiario[[#This Row],[data]],estoque[fornecedor],"&lt;&gt;saída"))/(AU238+(SUMIFS(estoque[quantidade],estoque[produto],preçodiario[[#Headers],[OVO VERMELHO EXTRA]],estoque[fornecedor],"&lt;&gt;saída",estoque[data],preçodiario[[#This Row],[data]])))))</f>
        <v/>
      </c>
      <c r="AU239" s="22">
        <f>IF(preçodiario[[#This Row],[entrada EV]]=0,AU238-(SUMIFS(estoque[quantidade],estoque[fornecedor],"saída",estoque[produto],preçodiario[[#Headers],[OVO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Row],[data]]))+AU238+preçodiario[[#This Row],[entrada EV]])</f>
        <v>0</v>
      </c>
      <c r="AV239" s="22">
        <f>SUMIFS(estoque[quantidade],estoque[fornecedor],"&lt;&gt;saída",estoque[produto],preçodiario[[#Headers],[OVO VERMELHO EXTRA]],estoque[data],preçodiario[[#This Row],[data]])</f>
        <v>0</v>
      </c>
      <c r="AW239" s="20">
        <f>SUMIFS(estoque[valor total],estoque[fornecedor],"&lt;&gt;saída",estoque[produto],preçodiario[[#Headers],[OVO VERMELHO EXTRA]],estoque[data],preçodiario[[#This Row],[data]])</f>
        <v>0</v>
      </c>
      <c r="AX239" s="20">
        <f>IFERROR(preçodiario[[#This Row],[OVO VERMELHO EXTRA]]*preçodiario[[#This Row],[estoque EV]],0)</f>
        <v>0</v>
      </c>
      <c r="AY2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Row],[data]])),((AY238*AZ238)+SUMIFS(estoque[valor total],estoque[produto],preçodiario[[#Headers],[OVO VERMELHO JUMBO]],estoque[data],preçodiario[[#This Row],[data]],estoque[fornecedor],"&lt;&gt;saída"))/(AZ238+(SUMIFS(estoque[quantidade],estoque[produto],preçodiario[[#Headers],[OVO VERMELHO JUMBO]],estoque[fornecedor],"&lt;&gt;saída",estoque[data],preçodiario[[#This Row],[data]])))))</f>
        <v/>
      </c>
      <c r="AZ239" s="22">
        <f>IF(preçodiario[[#This Row],[entrada JV]]=0,AZ238-(SUMIFS(estoque[quantidade],estoque[fornecedor],"saída",estoque[produto],preçodiario[[#Headers],[OVO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Row],[data]]))+AZ238+preçodiario[[#This Row],[entrada JV]])</f>
        <v>0</v>
      </c>
      <c r="BA239" s="22">
        <f>SUMIFS(estoque[quantidade],estoque[fornecedor],"&lt;&gt;saída",estoque[produto],preçodiario[[#Headers],[OVO VERMELHO JUMBO]],estoque[data],preçodiario[[#This Row],[data]])</f>
        <v>0</v>
      </c>
      <c r="BB239" s="20">
        <f>SUMIFS(estoque[valor total],estoque[fornecedor],"&lt;&gt;saída",estoque[produto],preçodiario[[#Headers],[OVO VERMELHO JUMBO]],estoque[data],preçodiario[[#This Row],[data]])</f>
        <v>0</v>
      </c>
      <c r="BC239" s="20">
        <f>IFERROR(preçodiario[[#This Row],[OVO VERMELHO JUMBO]]*preçodiario[[#This Row],[estoque JV]],0)</f>
        <v>0</v>
      </c>
      <c r="BD239" t="str">
        <f>TEXT(vendaAno[[#This Row],[data]],"mmm")</f>
        <v>ago</v>
      </c>
      <c r="BE239" t="str">
        <f>TEXT(vendaAno[[#This Row],[data]],"ddd")</f>
        <v>qua</v>
      </c>
      <c r="BF239" s="82">
        <f>WEEKNUM(vendaAno[[#This Row],[data]],13)</f>
        <v>35</v>
      </c>
      <c r="BG239" s="27">
        <f>preçodiario[[#This Row],[data]]</f>
        <v>46260</v>
      </c>
      <c r="BH2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3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3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Row],[data]]))/12+BJ238,"")</f>
        <v/>
      </c>
      <c r="BK239" s="79" t="str">
        <f ca="1">IF(TODAY()&gt;=vendaAno[[#This Row],[data]],IF(SUMIFS(estoque[quantidade],estoque[fornecedor],"saída",estoque[data],vendaAno[[#This Row],[data]])/12=0,AVERAGE(BK236:BK238),SUMIFS(estoque[quantidade],estoque[fornecedor],"saída",estoque[data],vendaAno[[#This Row],[data]])/12),"")</f>
        <v/>
      </c>
      <c r="BL239" s="8" t="str">
        <f ca="1">IF(vendaAno[[#This Row],[data]]&lt;=TODAY(),IF(SUMIFS(estoque[lucro],estoque[fornecedor],"saída",estoque[data],vendaAno[[#This Row],[data]])=0,AVERAGE(BL236:BL238),SUMIFS(estoque[lucro],estoque[fornecedor],"saída",estoque[data],vendaAno[[#This Row],[data]])),"")</f>
        <v/>
      </c>
      <c r="BM239" s="10" t="str">
        <f ca="1">IFERROR(vendaAno[[#This Row],[lucro]]/vendaAno[[#This Row],[valor de venda]],"")</f>
        <v/>
      </c>
      <c r="BN23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39" s="8" t="str">
        <f ca="1">IF(TODAY()&gt;=vendaAno[[#This Row],[data]],IF(vendaAno[[#This Row],[N°]]=BF238,vendaAno[[#This Row],[lucro]]-173.33+BO238,vendaAno[[#This Row],[lucro]]-150),"")</f>
        <v/>
      </c>
      <c r="BP239" s="81" t="str">
        <f ca="1">IF(TODAY()&gt;=vendaAno[[#This Row],[data]],SUM(BK233:BK239)*12,"")</f>
        <v/>
      </c>
      <c r="BQ239" s="7" t="str">
        <f ca="1">IFERROR(vendaAno[[#This Row],[lucro]]/(vendaAno[[#This Row],[venda]]*12),"")</f>
        <v/>
      </c>
    </row>
    <row r="240" spans="1:69" x14ac:dyDescent="0.25">
      <c r="A2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0" s="18" t="str">
        <f>TEXT(preçodiario[[#This Row],[data]],"MMM")</f>
        <v>ago</v>
      </c>
      <c r="C240" s="18" t="str">
        <f>TEXT(preçodiario[[#This Row],[data]],"ddd")</f>
        <v>qui</v>
      </c>
      <c r="D240" s="96">
        <f>WEEKNUM(preçodiario[[#This Row],[data]],13)</f>
        <v>35</v>
      </c>
      <c r="E240" s="37">
        <v>46261</v>
      </c>
      <c r="F2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Row],[data]])),((F239*G239)+SUMIFS(estoque[valor total],estoque[produto],preçodiario[[#Headers],[OVO BRANCO A]],estoque[data],preçodiario[[#This Row],[data]],estoque[fornecedor],"&lt;&gt;saída"))/(G239+(SUMIFS(estoque[quantidade],estoque[produto],preçodiario[[#Headers],[OVO BRANCO A]],estoque[fornecedor],"&lt;&gt;saída",estoque[data],preçodiario[[#This Row],[data]])))))</f>
        <v>15.278182701652089</v>
      </c>
      <c r="G240" s="22">
        <f>IF(preçodiario[[#This Row],[entrada A]]=0,G239-(SUMIFS(estoque[quantidade],estoque[fornecedor],"saída",estoque[produto],preçodiario[[#Headers],[OVO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Row],[data]]))+G239+preçodiario[[#This Row],[entrada A]])</f>
        <v>133</v>
      </c>
      <c r="H240" s="22">
        <f>SUMIFS(estoque[quantidade],estoque[fornecedor],"&lt;&gt;saída",estoque[produto],preçodiario[[#Headers],[OVO BRANCO A]],estoque[data],preçodiario[[#This Row],[data]])</f>
        <v>0</v>
      </c>
      <c r="I240" s="20">
        <f>SUMIFS(estoque[valor total],estoque[fornecedor],"&lt;&gt;saída",estoque[produto],preçodiario[[#Headers],[OVO BRANCO A]],estoque[data],preçodiario[[#This Row],[data]])</f>
        <v>0</v>
      </c>
      <c r="J240" s="20">
        <f>IFERROR(preçodiario[[#This Row],[estoque A]]*preçodiario[[#This Row],[OVO BRANCO A]],0)</f>
        <v>2031.9982993197277</v>
      </c>
      <c r="K2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Row],[data]])),((K239*L239)+SUMIFS(estoque[valor total],estoque[produto],preçodiario[[#Headers],[OVO BRANCO B]],estoque[data],preçodiario[[#This Row],[data]],estoque[fornecedor],"&lt;&gt;saída"))/(L239+(SUMIFS(estoque[quantidade],estoque[produto],preçodiario[[#Headers],[OVO BRANCO B]],estoque[fornecedor],"&lt;&gt;saída",estoque[data],preçodiario[[#This Row],[data]])))))</f>
        <v>14.584252837326604</v>
      </c>
      <c r="L240" s="22">
        <f>IF(preçodiario[[#This Row],[entrada B]]=0,L239-(SUMIFS(estoque[quantidade],estoque[fornecedor],"saída",estoque[produto],preçodiario[[#Headers],[OVO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Row],[data]]))+L239+preçodiario[[#This Row],[entrada B]])</f>
        <v>16</v>
      </c>
      <c r="M240" s="22">
        <f>SUMIFS(estoque[quantidade],estoque[fornecedor],"&lt;&gt;saída",estoque[produto],preçodiario[[#Headers],[OVO BRANCO B]],estoque[data],preçodiario[[#This Row],[data]])</f>
        <v>0</v>
      </c>
      <c r="N240" s="20">
        <f>SUMIFS(estoque[valor total],estoque[fornecedor],"&lt;&gt;saída",estoque[produto],preçodiario[[#Headers],[OVO BRANCO B]],estoque[data],preçodiario[[#This Row],[data]])</f>
        <v>0</v>
      </c>
      <c r="O240" s="20">
        <f>IFERROR(preçodiario[[#This Row],[OVO BRANCO B]]*preçodiario[[#This Row],[estoque B]],0)</f>
        <v>233.34804539722566</v>
      </c>
      <c r="P2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Row],[data]])),((P239*Q239)+SUMIFS(estoque[valor total],estoque[produto],preçodiario[[#Headers],[OVO BRANCO C]],estoque[data],preçodiario[[#This Row],[data]],estoque[fornecedor],"&lt;&gt;saída"))/(Q239+(SUMIFS(estoque[quantidade],estoque[produto],preçodiario[[#Headers],[OVO BRANCO C]],estoque[fornecedor],"&lt;&gt;saída",estoque[data],preçodiario[[#This Row],[data]])))))</f>
        <v>12.5</v>
      </c>
      <c r="Q240" s="22">
        <f>IF(preçodiario[[#This Row],[entrada C]]=0,Q239-(SUMIFS(estoque[quantidade],estoque[fornecedor],"saída",estoque[produto],preçodiario[[#Headers],[OVO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Row],[data]]))+Q239+preçodiario[[#This Row],[entrada C]])</f>
        <v>60</v>
      </c>
      <c r="R240" s="22">
        <f>SUMIFS(estoque[quantidade],estoque[fornecedor],"&lt;&gt;saída",estoque[produto],preçodiario[[#Headers],[OVO BRANCO C]],estoque[data],preçodiario[[#This Row],[data]])</f>
        <v>0</v>
      </c>
      <c r="S240" s="20">
        <f>SUMIFS(estoque[valor total],estoque[fornecedor],"&lt;&gt;saída",estoque[produto],preçodiario[[#Headers],[OVO BRANCO C]],estoque[data],preçodiario[[#This Row],[data]])</f>
        <v>0</v>
      </c>
      <c r="T240" s="20">
        <f>IFERROR(preçodiario[[#This Row],[OVO BRANCO C]]*preçodiario[[#This Row],[estoque C]],0)</f>
        <v>750</v>
      </c>
      <c r="U2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Row],[data]])),((U239*V239)+SUMIFS(estoque[valor total],estoque[produto],preçodiario[[#Headers],[OVO BRANCO EXTRA]],estoque[data],preçodiario[[#This Row],[data]],estoque[fornecedor],"&lt;&gt;saída"))/(V239+(SUMIFS(estoque[quantidade],estoque[produto],preçodiario[[#Headers],[OVO BRANCO EXTRA]],estoque[fornecedor],"&lt;&gt;saída",estoque[data],preçodiario[[#This Row],[data]])))))</f>
        <v>15.725438400674655</v>
      </c>
      <c r="V240" s="22">
        <f>IF(preçodiario[[#This Row],[entrada E]]=0,V239-(SUMIFS(estoque[quantidade],estoque[fornecedor],"saída",estoque[produto],preçodiario[[#Headers],[OVO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Row],[data]]))+V239+preçodiario[[#This Row],[entrada E]])</f>
        <v>46</v>
      </c>
      <c r="W240" s="22">
        <f>SUMIFS(estoque[quantidade],estoque[fornecedor],"&lt;&gt;saída",estoque[produto],preçodiario[[#Headers],[OVO BRANCO EXTRA]],estoque[data],preçodiario[[#This Row],[data]])</f>
        <v>0</v>
      </c>
      <c r="X240" s="20">
        <f>SUMIFS(estoque[valor total],estoque[fornecedor],"&lt;&gt;saída",estoque[produto],preçodiario[[#Headers],[OVO BRANCO EXTRA]],estoque[data],preçodiario[[#This Row],[data]])</f>
        <v>0</v>
      </c>
      <c r="Y240" s="20">
        <f>IFERROR(preçodiario[[#This Row],[estoque E]]*preçodiario[[#This Row],[OVO BRANCO EXTRA]],0)</f>
        <v>723.37016643103414</v>
      </c>
      <c r="Z2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Row],[data]])),((Z239*AA239)+SUMIFS(estoque[valor total],estoque[produto],preçodiario[[#Headers],[OVO BRANCO JUMBO]],estoque[data],preçodiario[[#This Row],[data]],estoque[fornecedor],"&lt;&gt;saída"))/(AA239+(SUMIFS(estoque[quantidade],estoque[produto],preçodiario[[#Headers],[OVO BRANCO JUMBO]],estoque[fornecedor],"&lt;&gt;saída",estoque[data],preçodiario[[#This Row],[data]])))))</f>
        <v>16.50550595238095</v>
      </c>
      <c r="AA240" s="22">
        <f>IF(preçodiario[[#This Row],[entrada J]]=0,AA239-(SUMIFS(estoque[quantidade],estoque[fornecedor],"saída",estoque[produto],preçodiario[[#Headers],[OVO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Row],[data]]))+AA239+preçodiario[[#This Row],[entrada J]])</f>
        <v>75</v>
      </c>
      <c r="AB240" s="22">
        <f>SUMIFS(estoque[quantidade],estoque[fornecedor],"&lt;&gt;saída",estoque[produto],preçodiario[[#Headers],[OVO BRANCO JUMBO]],estoque[data],preçodiario[[#This Row],[data]])</f>
        <v>0</v>
      </c>
      <c r="AC240" s="20">
        <f>SUMIFS(estoque[valor total],estoque[fornecedor],"&lt;&gt;saída",estoque[produto],preçodiario[[#Headers],[OVO BRANCO JUMBO]],estoque[data],preçodiario[[#This Row],[data]])</f>
        <v>0</v>
      </c>
      <c r="AD240" s="20">
        <f>IFERROR(preçodiario[[#This Row],[OVO BRANCO JUMBO]]*preçodiario[[#This Row],[estoque J]],0)</f>
        <v>1237.9129464285713</v>
      </c>
      <c r="AE2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Row],[data]])),((AE239*AF239)+SUMIFS(estoque[valor total],estoque[produto],preçodiario[[#Headers],[OVO VERMELHO A]],estoque[data],preçodiario[[#This Row],[data]],estoque[fornecedor],"&lt;&gt;saída"))/(AF239+(SUMIFS(estoque[quantidade],estoque[produto],preçodiario[[#Headers],[OVO VERMELHO A]],estoque[fornecedor],"&lt;&gt;saída",estoque[data],preçodiario[[#This Row],[data]])))))</f>
        <v/>
      </c>
      <c r="AF240" s="22">
        <f>IF(preçodiario[[#This Row],[entrada AV]]=0,AF239-(SUMIFS(estoque[quantidade],estoque[fornecedor],"saída",estoque[produto],preçodiario[[#Headers],[OVO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Row],[data]]))+AF239+preçodiario[[#This Row],[entrada AV]])</f>
        <v>0</v>
      </c>
      <c r="AG240" s="22">
        <f>SUMIFS(estoque[quantidade],estoque[fornecedor],"&lt;&gt;saída",estoque[produto],preçodiario[[#Headers],[OVO VERMELHO A]],estoque[data],preçodiario[[#This Row],[data]])</f>
        <v>0</v>
      </c>
      <c r="AH240" s="20">
        <f>SUMIFS(estoque[valor total],estoque[fornecedor],"&lt;&gt;saída",estoque[produto],preçodiario[[#Headers],[OVO VERMELHO A]],estoque[data],preçodiario[[#This Row],[data]])</f>
        <v>0</v>
      </c>
      <c r="AI240" s="20">
        <f>IFERROR(preçodiario[[#This Row],[OVO VERMELHO A]]*preçodiario[[#This Row],[estoque AV]],0)</f>
        <v>0</v>
      </c>
      <c r="AJ2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Row],[data]])),((AJ239*AK239)+SUMIFS(estoque[valor total],estoque[produto],preçodiario[[#Headers],[OVO VERMELHO B]],estoque[data],preçodiario[[#This Row],[data]],estoque[fornecedor],"&lt;&gt;saída"))/(AK239+(SUMIFS(estoque[quantidade],estoque[produto],preçodiario[[#Headers],[OVO VERMELHO B]],estoque[fornecedor],"&lt;&gt;saída",estoque[data],preçodiario[[#This Row],[data]])))))</f>
        <v/>
      </c>
      <c r="AK240" s="22">
        <f>IF(preçodiario[[#This Row],[entrada BV]]=0,AK239-(SUMIFS(estoque[quantidade],estoque[fornecedor],"saída",estoque[produto],preçodiario[[#Headers],[OVO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Row],[data]]))+AK239+preçodiario[[#This Row],[entrada BV]])</f>
        <v>0</v>
      </c>
      <c r="AL240" s="22">
        <f>SUMIFS(estoque[quantidade],estoque[fornecedor],"&lt;&gt;saída",estoque[produto],preçodiario[[#Headers],[OVO VERMELHO B]],estoque[data],preçodiario[[#This Row],[data]])</f>
        <v>0</v>
      </c>
      <c r="AM240" s="20">
        <f>SUMIFS(estoque[valor total],estoque[fornecedor],"&lt;&gt;saída",estoque[produto],preçodiario[[#Headers],[OVO VERMELHO B]],estoque[data],preçodiario[[#This Row],[data]])</f>
        <v>0</v>
      </c>
      <c r="AN240" s="20">
        <f>IFERROR(preçodiario[[#This Row],[OVO VERMELHO B]]*preçodiario[[#This Row],[estoque BV]],0)</f>
        <v>0</v>
      </c>
      <c r="AO2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Row],[data]])),((AO239*AP239)+SUMIFS(estoque[valor total],estoque[produto],preçodiario[[#Headers],[OVO VERMELHO C]],estoque[data],preçodiario[[#This Row],[data]],estoque[fornecedor],"&lt;&gt;saída"))/(AP239+(SUMIFS(estoque[quantidade],estoque[produto],preçodiario[[#Headers],[OVO VERMELHO C]],estoque[fornecedor],"&lt;&gt;saída",estoque[data],preçodiario[[#This Row],[data]])))))</f>
        <v/>
      </c>
      <c r="AP240" s="22">
        <f>IF(preçodiario[[#This Row],[entrada CV]]=0,AP239-(SUMIFS(estoque[quantidade],estoque[fornecedor],"saída",estoque[produto],preçodiario[[#Headers],[OVO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Row],[data]]))+AP239+preçodiario[[#This Row],[entrada CV]])</f>
        <v>0</v>
      </c>
      <c r="AQ240" s="22">
        <f>SUMIFS(estoque[quantidade],estoque[fornecedor],"&lt;&gt;saída",estoque[produto],preçodiario[[#Headers],[OVO VERMELHO C]],estoque[data],preçodiario[[#This Row],[data]])</f>
        <v>0</v>
      </c>
      <c r="AR240" s="20">
        <f>SUMIFS(estoque[valor total],estoque[fornecedor],"&lt;&gt;saída",estoque[produto],preçodiario[[#Headers],[OVO VERMELHO C]],estoque[data],preçodiario[[#This Row],[data]])</f>
        <v>0</v>
      </c>
      <c r="AS240" s="20">
        <f>IFERROR(preçodiario[[#This Row],[OVO VERMELHO C]]*preçodiario[[#This Row],[estoque CV]],0)</f>
        <v>0</v>
      </c>
      <c r="AT2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Row],[data]])),((AT239*AU239)+SUMIFS(estoque[valor total],estoque[produto],preçodiario[[#Headers],[OVO VERMELHO EXTRA]],estoque[data],preçodiario[[#This Row],[data]],estoque[fornecedor],"&lt;&gt;saída"))/(AU239+(SUMIFS(estoque[quantidade],estoque[produto],preçodiario[[#Headers],[OVO VERMELHO EXTRA]],estoque[fornecedor],"&lt;&gt;saída",estoque[data],preçodiario[[#This Row],[data]])))))</f>
        <v/>
      </c>
      <c r="AU240" s="22">
        <f>IF(preçodiario[[#This Row],[entrada EV]]=0,AU239-(SUMIFS(estoque[quantidade],estoque[fornecedor],"saída",estoque[produto],preçodiario[[#Headers],[OVO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Row],[data]]))+AU239+preçodiario[[#This Row],[entrada EV]])</f>
        <v>0</v>
      </c>
      <c r="AV240" s="22">
        <f>SUMIFS(estoque[quantidade],estoque[fornecedor],"&lt;&gt;saída",estoque[produto],preçodiario[[#Headers],[OVO VERMELHO EXTRA]],estoque[data],preçodiario[[#This Row],[data]])</f>
        <v>0</v>
      </c>
      <c r="AW240" s="20">
        <f>SUMIFS(estoque[valor total],estoque[fornecedor],"&lt;&gt;saída",estoque[produto],preçodiario[[#Headers],[OVO VERMELHO EXTRA]],estoque[data],preçodiario[[#This Row],[data]])</f>
        <v>0</v>
      </c>
      <c r="AX240" s="20">
        <f>IFERROR(preçodiario[[#This Row],[OVO VERMELHO EXTRA]]*preçodiario[[#This Row],[estoque EV]],0)</f>
        <v>0</v>
      </c>
      <c r="AY2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Row],[data]])),((AY239*AZ239)+SUMIFS(estoque[valor total],estoque[produto],preçodiario[[#Headers],[OVO VERMELHO JUMBO]],estoque[data],preçodiario[[#This Row],[data]],estoque[fornecedor],"&lt;&gt;saída"))/(AZ239+(SUMIFS(estoque[quantidade],estoque[produto],preçodiario[[#Headers],[OVO VERMELHO JUMBO]],estoque[fornecedor],"&lt;&gt;saída",estoque[data],preçodiario[[#This Row],[data]])))))</f>
        <v/>
      </c>
      <c r="AZ240" s="22">
        <f>IF(preçodiario[[#This Row],[entrada JV]]=0,AZ239-(SUMIFS(estoque[quantidade],estoque[fornecedor],"saída",estoque[produto],preçodiario[[#Headers],[OVO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Row],[data]]))+AZ239+preçodiario[[#This Row],[entrada JV]])</f>
        <v>0</v>
      </c>
      <c r="BA240" s="22">
        <f>SUMIFS(estoque[quantidade],estoque[fornecedor],"&lt;&gt;saída",estoque[produto],preçodiario[[#Headers],[OVO VERMELHO JUMBO]],estoque[data],preçodiario[[#This Row],[data]])</f>
        <v>0</v>
      </c>
      <c r="BB240" s="20">
        <f>SUMIFS(estoque[valor total],estoque[fornecedor],"&lt;&gt;saída",estoque[produto],preçodiario[[#Headers],[OVO VERMELHO JUMBO]],estoque[data],preçodiario[[#This Row],[data]])</f>
        <v>0</v>
      </c>
      <c r="BC240" s="20">
        <f>IFERROR(preçodiario[[#This Row],[OVO VERMELHO JUMBO]]*preçodiario[[#This Row],[estoque JV]],0)</f>
        <v>0</v>
      </c>
      <c r="BD240" t="str">
        <f>TEXT(vendaAno[[#This Row],[data]],"mmm")</f>
        <v>ago</v>
      </c>
      <c r="BE240" t="str">
        <f>TEXT(vendaAno[[#This Row],[data]],"ddd")</f>
        <v>qui</v>
      </c>
      <c r="BF240" s="82">
        <f>WEEKNUM(vendaAno[[#This Row],[data]],13)</f>
        <v>35</v>
      </c>
      <c r="BG240" s="27">
        <f>preçodiario[[#This Row],[data]]</f>
        <v>46261</v>
      </c>
      <c r="BH2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Row],[data]]))/12+BJ239,"")</f>
        <v/>
      </c>
      <c r="BK240" s="79" t="str">
        <f ca="1">IF(TODAY()&gt;=vendaAno[[#This Row],[data]],IF(SUMIFS(estoque[quantidade],estoque[fornecedor],"saída",estoque[data],vendaAno[[#This Row],[data]])/12=0,AVERAGE(BK237:BK239),SUMIFS(estoque[quantidade],estoque[fornecedor],"saída",estoque[data],vendaAno[[#This Row],[data]])/12),"")</f>
        <v/>
      </c>
      <c r="BL240" s="8" t="str">
        <f ca="1">IF(vendaAno[[#This Row],[data]]&lt;=TODAY(),IF(SUMIFS(estoque[lucro],estoque[fornecedor],"saída",estoque[data],vendaAno[[#This Row],[data]])=0,AVERAGE(BL237:BL239),SUMIFS(estoque[lucro],estoque[fornecedor],"saída",estoque[data],vendaAno[[#This Row],[data]])),"")</f>
        <v/>
      </c>
      <c r="BM240" s="10" t="str">
        <f ca="1">IFERROR(vendaAno[[#This Row],[lucro]]/vendaAno[[#This Row],[valor de venda]],"")</f>
        <v/>
      </c>
      <c r="BN24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0" s="8" t="str">
        <f ca="1">IF(TODAY()&gt;=vendaAno[[#This Row],[data]],IF(vendaAno[[#This Row],[N°]]=BF239,vendaAno[[#This Row],[lucro]]-173.33+BO239,vendaAno[[#This Row],[lucro]]-150),"")</f>
        <v/>
      </c>
      <c r="BP240" s="81" t="str">
        <f ca="1">IF(TODAY()&gt;=vendaAno[[#This Row],[data]],SUM(BK234:BK240)*12,"")</f>
        <v/>
      </c>
      <c r="BQ240" s="7" t="str">
        <f ca="1">IFERROR(vendaAno[[#This Row],[lucro]]/(vendaAno[[#This Row],[venda]]*12),"")</f>
        <v/>
      </c>
    </row>
    <row r="241" spans="1:69" x14ac:dyDescent="0.25">
      <c r="A2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1" s="18" t="str">
        <f>TEXT(preçodiario[[#This Row],[data]],"MMM")</f>
        <v>ago</v>
      </c>
      <c r="C241" s="18" t="str">
        <f>TEXT(preçodiario[[#This Row],[data]],"ddd")</f>
        <v>sex</v>
      </c>
      <c r="D241" s="96">
        <f>WEEKNUM(preçodiario[[#This Row],[data]],13)</f>
        <v>35</v>
      </c>
      <c r="E241" s="37">
        <v>46262</v>
      </c>
      <c r="F2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Row],[data]])),((F240*G240)+SUMIFS(estoque[valor total],estoque[produto],preçodiario[[#Headers],[OVO BRANCO A]],estoque[data],preçodiario[[#This Row],[data]],estoque[fornecedor],"&lt;&gt;saída"))/(G240+(SUMIFS(estoque[quantidade],estoque[produto],preçodiario[[#Headers],[OVO BRANCO A]],estoque[fornecedor],"&lt;&gt;saída",estoque[data],preçodiario[[#This Row],[data]])))))</f>
        <v>15.278182701652089</v>
      </c>
      <c r="G241" s="22">
        <f>IF(preçodiario[[#This Row],[entrada A]]=0,G240-(SUMIFS(estoque[quantidade],estoque[fornecedor],"saída",estoque[produto],preçodiario[[#Headers],[OVO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Row],[data]]))+G240+preçodiario[[#This Row],[entrada A]])</f>
        <v>133</v>
      </c>
      <c r="H241" s="22">
        <f>SUMIFS(estoque[quantidade],estoque[fornecedor],"&lt;&gt;saída",estoque[produto],preçodiario[[#Headers],[OVO BRANCO A]],estoque[data],preçodiario[[#This Row],[data]])</f>
        <v>0</v>
      </c>
      <c r="I241" s="20">
        <f>SUMIFS(estoque[valor total],estoque[fornecedor],"&lt;&gt;saída",estoque[produto],preçodiario[[#Headers],[OVO BRANCO A]],estoque[data],preçodiario[[#This Row],[data]])</f>
        <v>0</v>
      </c>
      <c r="J241" s="20">
        <f>IFERROR(preçodiario[[#This Row],[estoque A]]*preçodiario[[#This Row],[OVO BRANCO A]],0)</f>
        <v>2031.9982993197277</v>
      </c>
      <c r="K2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Row],[data]])),((K240*L240)+SUMIFS(estoque[valor total],estoque[produto],preçodiario[[#Headers],[OVO BRANCO B]],estoque[data],preçodiario[[#This Row],[data]],estoque[fornecedor],"&lt;&gt;saída"))/(L240+(SUMIFS(estoque[quantidade],estoque[produto],preçodiario[[#Headers],[OVO BRANCO B]],estoque[fornecedor],"&lt;&gt;saída",estoque[data],preçodiario[[#This Row],[data]])))))</f>
        <v>14.584252837326604</v>
      </c>
      <c r="L241" s="22">
        <f>IF(preçodiario[[#This Row],[entrada B]]=0,L240-(SUMIFS(estoque[quantidade],estoque[fornecedor],"saída",estoque[produto],preçodiario[[#Headers],[OVO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Row],[data]]))+L240+preçodiario[[#This Row],[entrada B]])</f>
        <v>16</v>
      </c>
      <c r="M241" s="22">
        <f>SUMIFS(estoque[quantidade],estoque[fornecedor],"&lt;&gt;saída",estoque[produto],preçodiario[[#Headers],[OVO BRANCO B]],estoque[data],preçodiario[[#This Row],[data]])</f>
        <v>0</v>
      </c>
      <c r="N241" s="20">
        <f>SUMIFS(estoque[valor total],estoque[fornecedor],"&lt;&gt;saída",estoque[produto],preçodiario[[#Headers],[OVO BRANCO B]],estoque[data],preçodiario[[#This Row],[data]])</f>
        <v>0</v>
      </c>
      <c r="O241" s="20">
        <f>IFERROR(preçodiario[[#This Row],[OVO BRANCO B]]*preçodiario[[#This Row],[estoque B]],0)</f>
        <v>233.34804539722566</v>
      </c>
      <c r="P2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Row],[data]])),((P240*Q240)+SUMIFS(estoque[valor total],estoque[produto],preçodiario[[#Headers],[OVO BRANCO C]],estoque[data],preçodiario[[#This Row],[data]],estoque[fornecedor],"&lt;&gt;saída"))/(Q240+(SUMIFS(estoque[quantidade],estoque[produto],preçodiario[[#Headers],[OVO BRANCO C]],estoque[fornecedor],"&lt;&gt;saída",estoque[data],preçodiario[[#This Row],[data]])))))</f>
        <v>12.5</v>
      </c>
      <c r="Q241" s="22">
        <f>IF(preçodiario[[#This Row],[entrada C]]=0,Q240-(SUMIFS(estoque[quantidade],estoque[fornecedor],"saída",estoque[produto],preçodiario[[#Headers],[OVO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Row],[data]]))+Q240+preçodiario[[#This Row],[entrada C]])</f>
        <v>60</v>
      </c>
      <c r="R241" s="22">
        <f>SUMIFS(estoque[quantidade],estoque[fornecedor],"&lt;&gt;saída",estoque[produto],preçodiario[[#Headers],[OVO BRANCO C]],estoque[data],preçodiario[[#This Row],[data]])</f>
        <v>0</v>
      </c>
      <c r="S241" s="20">
        <f>SUMIFS(estoque[valor total],estoque[fornecedor],"&lt;&gt;saída",estoque[produto],preçodiario[[#Headers],[OVO BRANCO C]],estoque[data],preçodiario[[#This Row],[data]])</f>
        <v>0</v>
      </c>
      <c r="T241" s="20">
        <f>IFERROR(preçodiario[[#This Row],[OVO BRANCO C]]*preçodiario[[#This Row],[estoque C]],0)</f>
        <v>750</v>
      </c>
      <c r="U2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Row],[data]])),((U240*V240)+SUMIFS(estoque[valor total],estoque[produto],preçodiario[[#Headers],[OVO BRANCO EXTRA]],estoque[data],preçodiario[[#This Row],[data]],estoque[fornecedor],"&lt;&gt;saída"))/(V240+(SUMIFS(estoque[quantidade],estoque[produto],preçodiario[[#Headers],[OVO BRANCO EXTRA]],estoque[fornecedor],"&lt;&gt;saída",estoque[data],preçodiario[[#This Row],[data]])))))</f>
        <v>15.725438400674655</v>
      </c>
      <c r="V241" s="22">
        <f>IF(preçodiario[[#This Row],[entrada E]]=0,V240-(SUMIFS(estoque[quantidade],estoque[fornecedor],"saída",estoque[produto],preçodiario[[#Headers],[OVO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Row],[data]]))+V240+preçodiario[[#This Row],[entrada E]])</f>
        <v>46</v>
      </c>
      <c r="W241" s="22">
        <f>SUMIFS(estoque[quantidade],estoque[fornecedor],"&lt;&gt;saída",estoque[produto],preçodiario[[#Headers],[OVO BRANCO EXTRA]],estoque[data],preçodiario[[#This Row],[data]])</f>
        <v>0</v>
      </c>
      <c r="X241" s="20">
        <f>SUMIFS(estoque[valor total],estoque[fornecedor],"&lt;&gt;saída",estoque[produto],preçodiario[[#Headers],[OVO BRANCO EXTRA]],estoque[data],preçodiario[[#This Row],[data]])</f>
        <v>0</v>
      </c>
      <c r="Y241" s="20">
        <f>IFERROR(preçodiario[[#This Row],[estoque E]]*preçodiario[[#This Row],[OVO BRANCO EXTRA]],0)</f>
        <v>723.37016643103414</v>
      </c>
      <c r="Z2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Row],[data]])),((Z240*AA240)+SUMIFS(estoque[valor total],estoque[produto],preçodiario[[#Headers],[OVO BRANCO JUMBO]],estoque[data],preçodiario[[#This Row],[data]],estoque[fornecedor],"&lt;&gt;saída"))/(AA240+(SUMIFS(estoque[quantidade],estoque[produto],preçodiario[[#Headers],[OVO BRANCO JUMBO]],estoque[fornecedor],"&lt;&gt;saída",estoque[data],preçodiario[[#This Row],[data]])))))</f>
        <v>16.50550595238095</v>
      </c>
      <c r="AA241" s="22">
        <f>IF(preçodiario[[#This Row],[entrada J]]=0,AA240-(SUMIFS(estoque[quantidade],estoque[fornecedor],"saída",estoque[produto],preçodiario[[#Headers],[OVO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Row],[data]]))+AA240+preçodiario[[#This Row],[entrada J]])</f>
        <v>75</v>
      </c>
      <c r="AB241" s="22">
        <f>SUMIFS(estoque[quantidade],estoque[fornecedor],"&lt;&gt;saída",estoque[produto],preçodiario[[#Headers],[OVO BRANCO JUMBO]],estoque[data],preçodiario[[#This Row],[data]])</f>
        <v>0</v>
      </c>
      <c r="AC241" s="20">
        <f>SUMIFS(estoque[valor total],estoque[fornecedor],"&lt;&gt;saída",estoque[produto],preçodiario[[#Headers],[OVO BRANCO JUMBO]],estoque[data],preçodiario[[#This Row],[data]])</f>
        <v>0</v>
      </c>
      <c r="AD241" s="20">
        <f>IFERROR(preçodiario[[#This Row],[OVO BRANCO JUMBO]]*preçodiario[[#This Row],[estoque J]],0)</f>
        <v>1237.9129464285713</v>
      </c>
      <c r="AE2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Row],[data]])),((AE240*AF240)+SUMIFS(estoque[valor total],estoque[produto],preçodiario[[#Headers],[OVO VERMELHO A]],estoque[data],preçodiario[[#This Row],[data]],estoque[fornecedor],"&lt;&gt;saída"))/(AF240+(SUMIFS(estoque[quantidade],estoque[produto],preçodiario[[#Headers],[OVO VERMELHO A]],estoque[fornecedor],"&lt;&gt;saída",estoque[data],preçodiario[[#This Row],[data]])))))</f>
        <v/>
      </c>
      <c r="AF241" s="22">
        <f>IF(preçodiario[[#This Row],[entrada AV]]=0,AF240-(SUMIFS(estoque[quantidade],estoque[fornecedor],"saída",estoque[produto],preçodiario[[#Headers],[OVO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Row],[data]]))+AF240+preçodiario[[#This Row],[entrada AV]])</f>
        <v>0</v>
      </c>
      <c r="AG241" s="22">
        <f>SUMIFS(estoque[quantidade],estoque[fornecedor],"&lt;&gt;saída",estoque[produto],preçodiario[[#Headers],[OVO VERMELHO A]],estoque[data],preçodiario[[#This Row],[data]])</f>
        <v>0</v>
      </c>
      <c r="AH241" s="20">
        <f>SUMIFS(estoque[valor total],estoque[fornecedor],"&lt;&gt;saída",estoque[produto],preçodiario[[#Headers],[OVO VERMELHO A]],estoque[data],preçodiario[[#This Row],[data]])</f>
        <v>0</v>
      </c>
      <c r="AI241" s="20">
        <f>IFERROR(preçodiario[[#This Row],[OVO VERMELHO A]]*preçodiario[[#This Row],[estoque AV]],0)</f>
        <v>0</v>
      </c>
      <c r="AJ2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Row],[data]])),((AJ240*AK240)+SUMIFS(estoque[valor total],estoque[produto],preçodiario[[#Headers],[OVO VERMELHO B]],estoque[data],preçodiario[[#This Row],[data]],estoque[fornecedor],"&lt;&gt;saída"))/(AK240+(SUMIFS(estoque[quantidade],estoque[produto],preçodiario[[#Headers],[OVO VERMELHO B]],estoque[fornecedor],"&lt;&gt;saída",estoque[data],preçodiario[[#This Row],[data]])))))</f>
        <v/>
      </c>
      <c r="AK241" s="22">
        <f>IF(preçodiario[[#This Row],[entrada BV]]=0,AK240-(SUMIFS(estoque[quantidade],estoque[fornecedor],"saída",estoque[produto],preçodiario[[#Headers],[OVO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Row],[data]]))+AK240+preçodiario[[#This Row],[entrada BV]])</f>
        <v>0</v>
      </c>
      <c r="AL241" s="22">
        <f>SUMIFS(estoque[quantidade],estoque[fornecedor],"&lt;&gt;saída",estoque[produto],preçodiario[[#Headers],[OVO VERMELHO B]],estoque[data],preçodiario[[#This Row],[data]])</f>
        <v>0</v>
      </c>
      <c r="AM241" s="20">
        <f>SUMIFS(estoque[valor total],estoque[fornecedor],"&lt;&gt;saída",estoque[produto],preçodiario[[#Headers],[OVO VERMELHO B]],estoque[data],preçodiario[[#This Row],[data]])</f>
        <v>0</v>
      </c>
      <c r="AN241" s="20">
        <f>IFERROR(preçodiario[[#This Row],[OVO VERMELHO B]]*preçodiario[[#This Row],[estoque BV]],0)</f>
        <v>0</v>
      </c>
      <c r="AO2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Row],[data]])),((AO240*AP240)+SUMIFS(estoque[valor total],estoque[produto],preçodiario[[#Headers],[OVO VERMELHO C]],estoque[data],preçodiario[[#This Row],[data]],estoque[fornecedor],"&lt;&gt;saída"))/(AP240+(SUMIFS(estoque[quantidade],estoque[produto],preçodiario[[#Headers],[OVO VERMELHO C]],estoque[fornecedor],"&lt;&gt;saída",estoque[data],preçodiario[[#This Row],[data]])))))</f>
        <v/>
      </c>
      <c r="AP241" s="22">
        <f>IF(preçodiario[[#This Row],[entrada CV]]=0,AP240-(SUMIFS(estoque[quantidade],estoque[fornecedor],"saída",estoque[produto],preçodiario[[#Headers],[OVO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Row],[data]]))+AP240+preçodiario[[#This Row],[entrada CV]])</f>
        <v>0</v>
      </c>
      <c r="AQ241" s="22">
        <f>SUMIFS(estoque[quantidade],estoque[fornecedor],"&lt;&gt;saída",estoque[produto],preçodiario[[#Headers],[OVO VERMELHO C]],estoque[data],preçodiario[[#This Row],[data]])</f>
        <v>0</v>
      </c>
      <c r="AR241" s="20">
        <f>SUMIFS(estoque[valor total],estoque[fornecedor],"&lt;&gt;saída",estoque[produto],preçodiario[[#Headers],[OVO VERMELHO C]],estoque[data],preçodiario[[#This Row],[data]])</f>
        <v>0</v>
      </c>
      <c r="AS241" s="20">
        <f>IFERROR(preçodiario[[#This Row],[OVO VERMELHO C]]*preçodiario[[#This Row],[estoque CV]],0)</f>
        <v>0</v>
      </c>
      <c r="AT2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Row],[data]])),((AT240*AU240)+SUMIFS(estoque[valor total],estoque[produto],preçodiario[[#Headers],[OVO VERMELHO EXTRA]],estoque[data],preçodiario[[#This Row],[data]],estoque[fornecedor],"&lt;&gt;saída"))/(AU240+(SUMIFS(estoque[quantidade],estoque[produto],preçodiario[[#Headers],[OVO VERMELHO EXTRA]],estoque[fornecedor],"&lt;&gt;saída",estoque[data],preçodiario[[#This Row],[data]])))))</f>
        <v/>
      </c>
      <c r="AU241" s="22">
        <f>IF(preçodiario[[#This Row],[entrada EV]]=0,AU240-(SUMIFS(estoque[quantidade],estoque[fornecedor],"saída",estoque[produto],preçodiario[[#Headers],[OVO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Row],[data]]))+AU240+preçodiario[[#This Row],[entrada EV]])</f>
        <v>0</v>
      </c>
      <c r="AV241" s="22">
        <f>SUMIFS(estoque[quantidade],estoque[fornecedor],"&lt;&gt;saída",estoque[produto],preçodiario[[#Headers],[OVO VERMELHO EXTRA]],estoque[data],preçodiario[[#This Row],[data]])</f>
        <v>0</v>
      </c>
      <c r="AW241" s="20">
        <f>SUMIFS(estoque[valor total],estoque[fornecedor],"&lt;&gt;saída",estoque[produto],preçodiario[[#Headers],[OVO VERMELHO EXTRA]],estoque[data],preçodiario[[#This Row],[data]])</f>
        <v>0</v>
      </c>
      <c r="AX241" s="20">
        <f>IFERROR(preçodiario[[#This Row],[OVO VERMELHO EXTRA]]*preçodiario[[#This Row],[estoque EV]],0)</f>
        <v>0</v>
      </c>
      <c r="AY2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Row],[data]])),((AY240*AZ240)+SUMIFS(estoque[valor total],estoque[produto],preçodiario[[#Headers],[OVO VERMELHO JUMBO]],estoque[data],preçodiario[[#This Row],[data]],estoque[fornecedor],"&lt;&gt;saída"))/(AZ240+(SUMIFS(estoque[quantidade],estoque[produto],preçodiario[[#Headers],[OVO VERMELHO JUMBO]],estoque[fornecedor],"&lt;&gt;saída",estoque[data],preçodiario[[#This Row],[data]])))))</f>
        <v/>
      </c>
      <c r="AZ241" s="22">
        <f>IF(preçodiario[[#This Row],[entrada JV]]=0,AZ240-(SUMIFS(estoque[quantidade],estoque[fornecedor],"saída",estoque[produto],preçodiario[[#Headers],[OVO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Row],[data]]))+AZ240+preçodiario[[#This Row],[entrada JV]])</f>
        <v>0</v>
      </c>
      <c r="BA241" s="22">
        <f>SUMIFS(estoque[quantidade],estoque[fornecedor],"&lt;&gt;saída",estoque[produto],preçodiario[[#Headers],[OVO VERMELHO JUMBO]],estoque[data],preçodiario[[#This Row],[data]])</f>
        <v>0</v>
      </c>
      <c r="BB241" s="20">
        <f>SUMIFS(estoque[valor total],estoque[fornecedor],"&lt;&gt;saída",estoque[produto],preçodiario[[#Headers],[OVO VERMELHO JUMBO]],estoque[data],preçodiario[[#This Row],[data]])</f>
        <v>0</v>
      </c>
      <c r="BC241" s="20">
        <f>IFERROR(preçodiario[[#This Row],[OVO VERMELHO JUMBO]]*preçodiario[[#This Row],[estoque JV]],0)</f>
        <v>0</v>
      </c>
      <c r="BD241" t="str">
        <f>TEXT(vendaAno[[#This Row],[data]],"mmm")</f>
        <v>ago</v>
      </c>
      <c r="BE241" t="str">
        <f>TEXT(vendaAno[[#This Row],[data]],"ddd")</f>
        <v>sex</v>
      </c>
      <c r="BF241" s="82">
        <f>WEEKNUM(vendaAno[[#This Row],[data]],13)</f>
        <v>35</v>
      </c>
      <c r="BG241" s="27">
        <f>preçodiario[[#This Row],[data]]</f>
        <v>46262</v>
      </c>
      <c r="BH2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Row],[data]]))/12+BJ240,"")</f>
        <v/>
      </c>
      <c r="BK241" s="79" t="str">
        <f ca="1">IF(TODAY()&gt;=vendaAno[[#This Row],[data]],IF(SUMIFS(estoque[quantidade],estoque[fornecedor],"saída",estoque[data],vendaAno[[#This Row],[data]])/12=0,AVERAGE(BK238:BK240),SUMIFS(estoque[quantidade],estoque[fornecedor],"saída",estoque[data],vendaAno[[#This Row],[data]])/12),"")</f>
        <v/>
      </c>
      <c r="BL241" s="8" t="str">
        <f ca="1">IF(vendaAno[[#This Row],[data]]&lt;=TODAY(),IF(SUMIFS(estoque[lucro],estoque[fornecedor],"saída",estoque[data],vendaAno[[#This Row],[data]])=0,AVERAGE(BL238:BL240),SUMIFS(estoque[lucro],estoque[fornecedor],"saída",estoque[data],vendaAno[[#This Row],[data]])),"")</f>
        <v/>
      </c>
      <c r="BM241" s="10" t="str">
        <f ca="1">IFERROR(vendaAno[[#This Row],[lucro]]/vendaAno[[#This Row],[valor de venda]],"")</f>
        <v/>
      </c>
      <c r="BN24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1" s="8" t="str">
        <f ca="1">IF(TODAY()&gt;=vendaAno[[#This Row],[data]],IF(vendaAno[[#This Row],[N°]]=BF240,vendaAno[[#This Row],[lucro]]-173.33+BO240,vendaAno[[#This Row],[lucro]]-150),"")</f>
        <v/>
      </c>
      <c r="BP241" s="81" t="str">
        <f ca="1">IF(TODAY()&gt;=vendaAno[[#This Row],[data]],SUM(BK235:BK241)*12,"")</f>
        <v/>
      </c>
      <c r="BQ241" s="7" t="str">
        <f ca="1">IFERROR(vendaAno[[#This Row],[lucro]]/(vendaAno[[#This Row],[venda]]*12),"")</f>
        <v/>
      </c>
    </row>
    <row r="242" spans="1:69" x14ac:dyDescent="0.25">
      <c r="A2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2" s="18" t="str">
        <f>TEXT(preçodiario[[#This Row],[data]],"MMM")</f>
        <v>ago</v>
      </c>
      <c r="C242" s="18" t="str">
        <f>TEXT(preçodiario[[#This Row],[data]],"ddd")</f>
        <v>sáb</v>
      </c>
      <c r="D242" s="96">
        <f>WEEKNUM(preçodiario[[#This Row],[data]],13)</f>
        <v>35</v>
      </c>
      <c r="E242" s="37">
        <v>46263</v>
      </c>
      <c r="F2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Row],[data]])),((F241*G241)+SUMIFS(estoque[valor total],estoque[produto],preçodiario[[#Headers],[OVO BRANCO A]],estoque[data],preçodiario[[#This Row],[data]],estoque[fornecedor],"&lt;&gt;saída"))/(G241+(SUMIFS(estoque[quantidade],estoque[produto],preçodiario[[#Headers],[OVO BRANCO A]],estoque[fornecedor],"&lt;&gt;saída",estoque[data],preçodiario[[#This Row],[data]])))))</f>
        <v>15.278182701652089</v>
      </c>
      <c r="G242" s="22">
        <f>IF(preçodiario[[#This Row],[entrada A]]=0,G241-(SUMIFS(estoque[quantidade],estoque[fornecedor],"saída",estoque[produto],preçodiario[[#Headers],[OVO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Row],[data]]))+G241+preçodiario[[#This Row],[entrada A]])</f>
        <v>133</v>
      </c>
      <c r="H242" s="22">
        <f>SUMIFS(estoque[quantidade],estoque[fornecedor],"&lt;&gt;saída",estoque[produto],preçodiario[[#Headers],[OVO BRANCO A]],estoque[data],preçodiario[[#This Row],[data]])</f>
        <v>0</v>
      </c>
      <c r="I242" s="20">
        <f>SUMIFS(estoque[valor total],estoque[fornecedor],"&lt;&gt;saída",estoque[produto],preçodiario[[#Headers],[OVO BRANCO A]],estoque[data],preçodiario[[#This Row],[data]])</f>
        <v>0</v>
      </c>
      <c r="J242" s="20">
        <f>IFERROR(preçodiario[[#This Row],[estoque A]]*preçodiario[[#This Row],[OVO BRANCO A]],0)</f>
        <v>2031.9982993197277</v>
      </c>
      <c r="K2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Row],[data]])),((K241*L241)+SUMIFS(estoque[valor total],estoque[produto],preçodiario[[#Headers],[OVO BRANCO B]],estoque[data],preçodiario[[#This Row],[data]],estoque[fornecedor],"&lt;&gt;saída"))/(L241+(SUMIFS(estoque[quantidade],estoque[produto],preçodiario[[#Headers],[OVO BRANCO B]],estoque[fornecedor],"&lt;&gt;saída",estoque[data],preçodiario[[#This Row],[data]])))))</f>
        <v>14.584252837326604</v>
      </c>
      <c r="L242" s="22">
        <f>IF(preçodiario[[#This Row],[entrada B]]=0,L241-(SUMIFS(estoque[quantidade],estoque[fornecedor],"saída",estoque[produto],preçodiario[[#Headers],[OVO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Row],[data]]))+L241+preçodiario[[#This Row],[entrada B]])</f>
        <v>16</v>
      </c>
      <c r="M242" s="22">
        <f>SUMIFS(estoque[quantidade],estoque[fornecedor],"&lt;&gt;saída",estoque[produto],preçodiario[[#Headers],[OVO BRANCO B]],estoque[data],preçodiario[[#This Row],[data]])</f>
        <v>0</v>
      </c>
      <c r="N242" s="20">
        <f>SUMIFS(estoque[valor total],estoque[fornecedor],"&lt;&gt;saída",estoque[produto],preçodiario[[#Headers],[OVO BRANCO B]],estoque[data],preçodiario[[#This Row],[data]])</f>
        <v>0</v>
      </c>
      <c r="O242" s="20">
        <f>IFERROR(preçodiario[[#This Row],[OVO BRANCO B]]*preçodiario[[#This Row],[estoque B]],0)</f>
        <v>233.34804539722566</v>
      </c>
      <c r="P2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Row],[data]])),((P241*Q241)+SUMIFS(estoque[valor total],estoque[produto],preçodiario[[#Headers],[OVO BRANCO C]],estoque[data],preçodiario[[#This Row],[data]],estoque[fornecedor],"&lt;&gt;saída"))/(Q241+(SUMIFS(estoque[quantidade],estoque[produto],preçodiario[[#Headers],[OVO BRANCO C]],estoque[fornecedor],"&lt;&gt;saída",estoque[data],preçodiario[[#This Row],[data]])))))</f>
        <v>12.5</v>
      </c>
      <c r="Q242" s="22">
        <f>IF(preçodiario[[#This Row],[entrada C]]=0,Q241-(SUMIFS(estoque[quantidade],estoque[fornecedor],"saída",estoque[produto],preçodiario[[#Headers],[OVO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Row],[data]]))+Q241+preçodiario[[#This Row],[entrada C]])</f>
        <v>60</v>
      </c>
      <c r="R242" s="22">
        <f>SUMIFS(estoque[quantidade],estoque[fornecedor],"&lt;&gt;saída",estoque[produto],preçodiario[[#Headers],[OVO BRANCO C]],estoque[data],preçodiario[[#This Row],[data]])</f>
        <v>0</v>
      </c>
      <c r="S242" s="20">
        <f>SUMIFS(estoque[valor total],estoque[fornecedor],"&lt;&gt;saída",estoque[produto],preçodiario[[#Headers],[OVO BRANCO C]],estoque[data],preçodiario[[#This Row],[data]])</f>
        <v>0</v>
      </c>
      <c r="T242" s="20">
        <f>IFERROR(preçodiario[[#This Row],[OVO BRANCO C]]*preçodiario[[#This Row],[estoque C]],0)</f>
        <v>750</v>
      </c>
      <c r="U2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Row],[data]])),((U241*V241)+SUMIFS(estoque[valor total],estoque[produto],preçodiario[[#Headers],[OVO BRANCO EXTRA]],estoque[data],preçodiario[[#This Row],[data]],estoque[fornecedor],"&lt;&gt;saída"))/(V241+(SUMIFS(estoque[quantidade],estoque[produto],preçodiario[[#Headers],[OVO BRANCO EXTRA]],estoque[fornecedor],"&lt;&gt;saída",estoque[data],preçodiario[[#This Row],[data]])))))</f>
        <v>15.725438400674655</v>
      </c>
      <c r="V242" s="22">
        <f>IF(preçodiario[[#This Row],[entrada E]]=0,V241-(SUMIFS(estoque[quantidade],estoque[fornecedor],"saída",estoque[produto],preçodiario[[#Headers],[OVO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Row],[data]]))+V241+preçodiario[[#This Row],[entrada E]])</f>
        <v>46</v>
      </c>
      <c r="W242" s="22">
        <f>SUMIFS(estoque[quantidade],estoque[fornecedor],"&lt;&gt;saída",estoque[produto],preçodiario[[#Headers],[OVO BRANCO EXTRA]],estoque[data],preçodiario[[#This Row],[data]])</f>
        <v>0</v>
      </c>
      <c r="X242" s="20">
        <f>SUMIFS(estoque[valor total],estoque[fornecedor],"&lt;&gt;saída",estoque[produto],preçodiario[[#Headers],[OVO BRANCO EXTRA]],estoque[data],preçodiario[[#This Row],[data]])</f>
        <v>0</v>
      </c>
      <c r="Y242" s="20">
        <f>IFERROR(preçodiario[[#This Row],[estoque E]]*preçodiario[[#This Row],[OVO BRANCO EXTRA]],0)</f>
        <v>723.37016643103414</v>
      </c>
      <c r="Z2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Row],[data]])),((Z241*AA241)+SUMIFS(estoque[valor total],estoque[produto],preçodiario[[#Headers],[OVO BRANCO JUMBO]],estoque[data],preçodiario[[#This Row],[data]],estoque[fornecedor],"&lt;&gt;saída"))/(AA241+(SUMIFS(estoque[quantidade],estoque[produto],preçodiario[[#Headers],[OVO BRANCO JUMBO]],estoque[fornecedor],"&lt;&gt;saída",estoque[data],preçodiario[[#This Row],[data]])))))</f>
        <v>16.50550595238095</v>
      </c>
      <c r="AA242" s="22">
        <f>IF(preçodiario[[#This Row],[entrada J]]=0,AA241-(SUMIFS(estoque[quantidade],estoque[fornecedor],"saída",estoque[produto],preçodiario[[#Headers],[OVO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Row],[data]]))+AA241+preçodiario[[#This Row],[entrada J]])</f>
        <v>75</v>
      </c>
      <c r="AB242" s="22">
        <f>SUMIFS(estoque[quantidade],estoque[fornecedor],"&lt;&gt;saída",estoque[produto],preçodiario[[#Headers],[OVO BRANCO JUMBO]],estoque[data],preçodiario[[#This Row],[data]])</f>
        <v>0</v>
      </c>
      <c r="AC242" s="20">
        <f>SUMIFS(estoque[valor total],estoque[fornecedor],"&lt;&gt;saída",estoque[produto],preçodiario[[#Headers],[OVO BRANCO JUMBO]],estoque[data],preçodiario[[#This Row],[data]])</f>
        <v>0</v>
      </c>
      <c r="AD242" s="20">
        <f>IFERROR(preçodiario[[#This Row],[OVO BRANCO JUMBO]]*preçodiario[[#This Row],[estoque J]],0)</f>
        <v>1237.9129464285713</v>
      </c>
      <c r="AE2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Row],[data]])),((AE241*AF241)+SUMIFS(estoque[valor total],estoque[produto],preçodiario[[#Headers],[OVO VERMELHO A]],estoque[data],preçodiario[[#This Row],[data]],estoque[fornecedor],"&lt;&gt;saída"))/(AF241+(SUMIFS(estoque[quantidade],estoque[produto],preçodiario[[#Headers],[OVO VERMELHO A]],estoque[fornecedor],"&lt;&gt;saída",estoque[data],preçodiario[[#This Row],[data]])))))</f>
        <v/>
      </c>
      <c r="AF242" s="22">
        <f>IF(preçodiario[[#This Row],[entrada AV]]=0,AF241-(SUMIFS(estoque[quantidade],estoque[fornecedor],"saída",estoque[produto],preçodiario[[#Headers],[OVO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Row],[data]]))+AF241+preçodiario[[#This Row],[entrada AV]])</f>
        <v>0</v>
      </c>
      <c r="AG242" s="22">
        <f>SUMIFS(estoque[quantidade],estoque[fornecedor],"&lt;&gt;saída",estoque[produto],preçodiario[[#Headers],[OVO VERMELHO A]],estoque[data],preçodiario[[#This Row],[data]])</f>
        <v>0</v>
      </c>
      <c r="AH242" s="20">
        <f>SUMIFS(estoque[valor total],estoque[fornecedor],"&lt;&gt;saída",estoque[produto],preçodiario[[#Headers],[OVO VERMELHO A]],estoque[data],preçodiario[[#This Row],[data]])</f>
        <v>0</v>
      </c>
      <c r="AI242" s="20">
        <f>IFERROR(preçodiario[[#This Row],[OVO VERMELHO A]]*preçodiario[[#This Row],[estoque AV]],0)</f>
        <v>0</v>
      </c>
      <c r="AJ2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Row],[data]])),((AJ241*AK241)+SUMIFS(estoque[valor total],estoque[produto],preçodiario[[#Headers],[OVO VERMELHO B]],estoque[data],preçodiario[[#This Row],[data]],estoque[fornecedor],"&lt;&gt;saída"))/(AK241+(SUMIFS(estoque[quantidade],estoque[produto],preçodiario[[#Headers],[OVO VERMELHO B]],estoque[fornecedor],"&lt;&gt;saída",estoque[data],preçodiario[[#This Row],[data]])))))</f>
        <v/>
      </c>
      <c r="AK242" s="22">
        <f>IF(preçodiario[[#This Row],[entrada BV]]=0,AK241-(SUMIFS(estoque[quantidade],estoque[fornecedor],"saída",estoque[produto],preçodiario[[#Headers],[OVO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Row],[data]]))+AK241+preçodiario[[#This Row],[entrada BV]])</f>
        <v>0</v>
      </c>
      <c r="AL242" s="22">
        <f>SUMIFS(estoque[quantidade],estoque[fornecedor],"&lt;&gt;saída",estoque[produto],preçodiario[[#Headers],[OVO VERMELHO B]],estoque[data],preçodiario[[#This Row],[data]])</f>
        <v>0</v>
      </c>
      <c r="AM242" s="20">
        <f>SUMIFS(estoque[valor total],estoque[fornecedor],"&lt;&gt;saída",estoque[produto],preçodiario[[#Headers],[OVO VERMELHO B]],estoque[data],preçodiario[[#This Row],[data]])</f>
        <v>0</v>
      </c>
      <c r="AN242" s="20">
        <f>IFERROR(preçodiario[[#This Row],[OVO VERMELHO B]]*preçodiario[[#This Row],[estoque BV]],0)</f>
        <v>0</v>
      </c>
      <c r="AO2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Row],[data]])),((AO241*AP241)+SUMIFS(estoque[valor total],estoque[produto],preçodiario[[#Headers],[OVO VERMELHO C]],estoque[data],preçodiario[[#This Row],[data]],estoque[fornecedor],"&lt;&gt;saída"))/(AP241+(SUMIFS(estoque[quantidade],estoque[produto],preçodiario[[#Headers],[OVO VERMELHO C]],estoque[fornecedor],"&lt;&gt;saída",estoque[data],preçodiario[[#This Row],[data]])))))</f>
        <v/>
      </c>
      <c r="AP242" s="22">
        <f>IF(preçodiario[[#This Row],[entrada CV]]=0,AP241-(SUMIFS(estoque[quantidade],estoque[fornecedor],"saída",estoque[produto],preçodiario[[#Headers],[OVO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Row],[data]]))+AP241+preçodiario[[#This Row],[entrada CV]])</f>
        <v>0</v>
      </c>
      <c r="AQ242" s="22">
        <f>SUMIFS(estoque[quantidade],estoque[fornecedor],"&lt;&gt;saída",estoque[produto],preçodiario[[#Headers],[OVO VERMELHO C]],estoque[data],preçodiario[[#This Row],[data]])</f>
        <v>0</v>
      </c>
      <c r="AR242" s="20">
        <f>SUMIFS(estoque[valor total],estoque[fornecedor],"&lt;&gt;saída",estoque[produto],preçodiario[[#Headers],[OVO VERMELHO C]],estoque[data],preçodiario[[#This Row],[data]])</f>
        <v>0</v>
      </c>
      <c r="AS242" s="20">
        <f>IFERROR(preçodiario[[#This Row],[OVO VERMELHO C]]*preçodiario[[#This Row],[estoque CV]],0)</f>
        <v>0</v>
      </c>
      <c r="AT2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Row],[data]])),((AT241*AU241)+SUMIFS(estoque[valor total],estoque[produto],preçodiario[[#Headers],[OVO VERMELHO EXTRA]],estoque[data],preçodiario[[#This Row],[data]],estoque[fornecedor],"&lt;&gt;saída"))/(AU241+(SUMIFS(estoque[quantidade],estoque[produto],preçodiario[[#Headers],[OVO VERMELHO EXTRA]],estoque[fornecedor],"&lt;&gt;saída",estoque[data],preçodiario[[#This Row],[data]])))))</f>
        <v/>
      </c>
      <c r="AU242" s="22">
        <f>IF(preçodiario[[#This Row],[entrada EV]]=0,AU241-(SUMIFS(estoque[quantidade],estoque[fornecedor],"saída",estoque[produto],preçodiario[[#Headers],[OVO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Row],[data]]))+AU241+preçodiario[[#This Row],[entrada EV]])</f>
        <v>0</v>
      </c>
      <c r="AV242" s="22">
        <f>SUMIFS(estoque[quantidade],estoque[fornecedor],"&lt;&gt;saída",estoque[produto],preçodiario[[#Headers],[OVO VERMELHO EXTRA]],estoque[data],preçodiario[[#This Row],[data]])</f>
        <v>0</v>
      </c>
      <c r="AW242" s="20">
        <f>SUMIFS(estoque[valor total],estoque[fornecedor],"&lt;&gt;saída",estoque[produto],preçodiario[[#Headers],[OVO VERMELHO EXTRA]],estoque[data],preçodiario[[#This Row],[data]])</f>
        <v>0</v>
      </c>
      <c r="AX242" s="20">
        <f>IFERROR(preçodiario[[#This Row],[OVO VERMELHO EXTRA]]*preçodiario[[#This Row],[estoque EV]],0)</f>
        <v>0</v>
      </c>
      <c r="AY2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Row],[data]])),((AY241*AZ241)+SUMIFS(estoque[valor total],estoque[produto],preçodiario[[#Headers],[OVO VERMELHO JUMBO]],estoque[data],preçodiario[[#This Row],[data]],estoque[fornecedor],"&lt;&gt;saída"))/(AZ241+(SUMIFS(estoque[quantidade],estoque[produto],preçodiario[[#Headers],[OVO VERMELHO JUMBO]],estoque[fornecedor],"&lt;&gt;saída",estoque[data],preçodiario[[#This Row],[data]])))))</f>
        <v/>
      </c>
      <c r="AZ242" s="22">
        <f>IF(preçodiario[[#This Row],[entrada JV]]=0,AZ241-(SUMIFS(estoque[quantidade],estoque[fornecedor],"saída",estoque[produto],preçodiario[[#Headers],[OVO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Row],[data]]))+AZ241+preçodiario[[#This Row],[entrada JV]])</f>
        <v>0</v>
      </c>
      <c r="BA242" s="22">
        <f>SUMIFS(estoque[quantidade],estoque[fornecedor],"&lt;&gt;saída",estoque[produto],preçodiario[[#Headers],[OVO VERMELHO JUMBO]],estoque[data],preçodiario[[#This Row],[data]])</f>
        <v>0</v>
      </c>
      <c r="BB242" s="20">
        <f>SUMIFS(estoque[valor total],estoque[fornecedor],"&lt;&gt;saída",estoque[produto],preçodiario[[#Headers],[OVO VERMELHO JUMBO]],estoque[data],preçodiario[[#This Row],[data]])</f>
        <v>0</v>
      </c>
      <c r="BC242" s="20">
        <f>IFERROR(preçodiario[[#This Row],[OVO VERMELHO JUMBO]]*preçodiario[[#This Row],[estoque JV]],0)</f>
        <v>0</v>
      </c>
      <c r="BD242" t="str">
        <f>TEXT(vendaAno[[#This Row],[data]],"mmm")</f>
        <v>ago</v>
      </c>
      <c r="BE242" t="str">
        <f>TEXT(vendaAno[[#This Row],[data]],"ddd")</f>
        <v>sáb</v>
      </c>
      <c r="BF242" s="82">
        <f>WEEKNUM(vendaAno[[#This Row],[data]],13)</f>
        <v>35</v>
      </c>
      <c r="BG242" s="27">
        <f>preçodiario[[#This Row],[data]]</f>
        <v>46263</v>
      </c>
      <c r="BH2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Row],[data]]))/12+BJ241,"")</f>
        <v/>
      </c>
      <c r="BK242" s="79" t="str">
        <f ca="1">IF(TODAY()&gt;=vendaAno[[#This Row],[data]],IF(SUMIFS(estoque[quantidade],estoque[fornecedor],"saída",estoque[data],vendaAno[[#This Row],[data]])/12=0,AVERAGE(BK239:BK241),SUMIFS(estoque[quantidade],estoque[fornecedor],"saída",estoque[data],vendaAno[[#This Row],[data]])/12),"")</f>
        <v/>
      </c>
      <c r="BL242" s="8" t="str">
        <f ca="1">IF(vendaAno[[#This Row],[data]]&lt;=TODAY(),IF(SUMIFS(estoque[lucro],estoque[fornecedor],"saída",estoque[data],vendaAno[[#This Row],[data]])=0,AVERAGE(BL239:BL241),SUMIFS(estoque[lucro],estoque[fornecedor],"saída",estoque[data],vendaAno[[#This Row],[data]])),"")</f>
        <v/>
      </c>
      <c r="BM242" s="10" t="str">
        <f ca="1">IFERROR(vendaAno[[#This Row],[lucro]]/vendaAno[[#This Row],[valor de venda]],"")</f>
        <v/>
      </c>
      <c r="BN24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2" s="8" t="str">
        <f ca="1">IF(TODAY()&gt;=vendaAno[[#This Row],[data]],IF(vendaAno[[#This Row],[N°]]=BF241,vendaAno[[#This Row],[lucro]]-173.33+BO241,vendaAno[[#This Row],[lucro]]-150),"")</f>
        <v/>
      </c>
      <c r="BP242" s="81" t="str">
        <f ca="1">IF(TODAY()&gt;=vendaAno[[#This Row],[data]],SUM(BK236:BK242)*12,"")</f>
        <v/>
      </c>
      <c r="BQ242" s="7" t="str">
        <f ca="1">IFERROR(vendaAno[[#This Row],[lucro]]/(vendaAno[[#This Row],[venda]]*12),"")</f>
        <v/>
      </c>
    </row>
    <row r="243" spans="1:69" x14ac:dyDescent="0.25">
      <c r="A2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3" s="18" t="str">
        <f>TEXT(preçodiario[[#This Row],[data]],"MMM")</f>
        <v>ago</v>
      </c>
      <c r="C243" s="18" t="str">
        <f>TEXT(preçodiario[[#This Row],[data]],"ddd")</f>
        <v>dom</v>
      </c>
      <c r="D243" s="96">
        <f>WEEKNUM(preçodiario[[#This Row],[data]],13)</f>
        <v>35</v>
      </c>
      <c r="E243" s="37">
        <v>46264</v>
      </c>
      <c r="F2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Row],[data]])),((F242*G242)+SUMIFS(estoque[valor total],estoque[produto],preçodiario[[#Headers],[OVO BRANCO A]],estoque[data],preçodiario[[#This Row],[data]],estoque[fornecedor],"&lt;&gt;saída"))/(G242+(SUMIFS(estoque[quantidade],estoque[produto],preçodiario[[#Headers],[OVO BRANCO A]],estoque[fornecedor],"&lt;&gt;saída",estoque[data],preçodiario[[#This Row],[data]])))))</f>
        <v>15.278182701652089</v>
      </c>
      <c r="G243" s="22">
        <f>IF(preçodiario[[#This Row],[entrada A]]=0,G242-(SUMIFS(estoque[quantidade],estoque[fornecedor],"saída",estoque[produto],preçodiario[[#Headers],[OVO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Row],[data]]))+G242+preçodiario[[#This Row],[entrada A]])</f>
        <v>133</v>
      </c>
      <c r="H243" s="22">
        <f>SUMIFS(estoque[quantidade],estoque[fornecedor],"&lt;&gt;saída",estoque[produto],preçodiario[[#Headers],[OVO BRANCO A]],estoque[data],preçodiario[[#This Row],[data]])</f>
        <v>0</v>
      </c>
      <c r="I243" s="20">
        <f>SUMIFS(estoque[valor total],estoque[fornecedor],"&lt;&gt;saída",estoque[produto],preçodiario[[#Headers],[OVO BRANCO A]],estoque[data],preçodiario[[#This Row],[data]])</f>
        <v>0</v>
      </c>
      <c r="J243" s="20">
        <f>IFERROR(preçodiario[[#This Row],[estoque A]]*preçodiario[[#This Row],[OVO BRANCO A]],0)</f>
        <v>2031.9982993197277</v>
      </c>
      <c r="K2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Row],[data]])),((K242*L242)+SUMIFS(estoque[valor total],estoque[produto],preçodiario[[#Headers],[OVO BRANCO B]],estoque[data],preçodiario[[#This Row],[data]],estoque[fornecedor],"&lt;&gt;saída"))/(L242+(SUMIFS(estoque[quantidade],estoque[produto],preçodiario[[#Headers],[OVO BRANCO B]],estoque[fornecedor],"&lt;&gt;saída",estoque[data],preçodiario[[#This Row],[data]])))))</f>
        <v>14.584252837326604</v>
      </c>
      <c r="L243" s="22">
        <f>IF(preçodiario[[#This Row],[entrada B]]=0,L242-(SUMIFS(estoque[quantidade],estoque[fornecedor],"saída",estoque[produto],preçodiario[[#Headers],[OVO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Row],[data]]))+L242+preçodiario[[#This Row],[entrada B]])</f>
        <v>16</v>
      </c>
      <c r="M243" s="22">
        <f>SUMIFS(estoque[quantidade],estoque[fornecedor],"&lt;&gt;saída",estoque[produto],preçodiario[[#Headers],[OVO BRANCO B]],estoque[data],preçodiario[[#This Row],[data]])</f>
        <v>0</v>
      </c>
      <c r="N243" s="20">
        <f>SUMIFS(estoque[valor total],estoque[fornecedor],"&lt;&gt;saída",estoque[produto],preçodiario[[#Headers],[OVO BRANCO B]],estoque[data],preçodiario[[#This Row],[data]])</f>
        <v>0</v>
      </c>
      <c r="O243" s="20">
        <f>IFERROR(preçodiario[[#This Row],[OVO BRANCO B]]*preçodiario[[#This Row],[estoque B]],0)</f>
        <v>233.34804539722566</v>
      </c>
      <c r="P2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Row],[data]])),((P242*Q242)+SUMIFS(estoque[valor total],estoque[produto],preçodiario[[#Headers],[OVO BRANCO C]],estoque[data],preçodiario[[#This Row],[data]],estoque[fornecedor],"&lt;&gt;saída"))/(Q242+(SUMIFS(estoque[quantidade],estoque[produto],preçodiario[[#Headers],[OVO BRANCO C]],estoque[fornecedor],"&lt;&gt;saída",estoque[data],preçodiario[[#This Row],[data]])))))</f>
        <v>12.5</v>
      </c>
      <c r="Q243" s="22">
        <f>IF(preçodiario[[#This Row],[entrada C]]=0,Q242-(SUMIFS(estoque[quantidade],estoque[fornecedor],"saída",estoque[produto],preçodiario[[#Headers],[OVO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Row],[data]]))+Q242+preçodiario[[#This Row],[entrada C]])</f>
        <v>60</v>
      </c>
      <c r="R243" s="22">
        <f>SUMIFS(estoque[quantidade],estoque[fornecedor],"&lt;&gt;saída",estoque[produto],preçodiario[[#Headers],[OVO BRANCO C]],estoque[data],preçodiario[[#This Row],[data]])</f>
        <v>0</v>
      </c>
      <c r="S243" s="20">
        <f>SUMIFS(estoque[valor total],estoque[fornecedor],"&lt;&gt;saída",estoque[produto],preçodiario[[#Headers],[OVO BRANCO C]],estoque[data],preçodiario[[#This Row],[data]])</f>
        <v>0</v>
      </c>
      <c r="T243" s="20">
        <f>IFERROR(preçodiario[[#This Row],[OVO BRANCO C]]*preçodiario[[#This Row],[estoque C]],0)</f>
        <v>750</v>
      </c>
      <c r="U2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Row],[data]])),((U242*V242)+SUMIFS(estoque[valor total],estoque[produto],preçodiario[[#Headers],[OVO BRANCO EXTRA]],estoque[data],preçodiario[[#This Row],[data]],estoque[fornecedor],"&lt;&gt;saída"))/(V242+(SUMIFS(estoque[quantidade],estoque[produto],preçodiario[[#Headers],[OVO BRANCO EXTRA]],estoque[fornecedor],"&lt;&gt;saída",estoque[data],preçodiario[[#This Row],[data]])))))</f>
        <v>15.725438400674655</v>
      </c>
      <c r="V243" s="22">
        <f>IF(preçodiario[[#This Row],[entrada E]]=0,V242-(SUMIFS(estoque[quantidade],estoque[fornecedor],"saída",estoque[produto],preçodiario[[#Headers],[OVO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Row],[data]]))+V242+preçodiario[[#This Row],[entrada E]])</f>
        <v>46</v>
      </c>
      <c r="W243" s="22">
        <f>SUMIFS(estoque[quantidade],estoque[fornecedor],"&lt;&gt;saída",estoque[produto],preçodiario[[#Headers],[OVO BRANCO EXTRA]],estoque[data],preçodiario[[#This Row],[data]])</f>
        <v>0</v>
      </c>
      <c r="X243" s="20">
        <f>SUMIFS(estoque[valor total],estoque[fornecedor],"&lt;&gt;saída",estoque[produto],preçodiario[[#Headers],[OVO BRANCO EXTRA]],estoque[data],preçodiario[[#This Row],[data]])</f>
        <v>0</v>
      </c>
      <c r="Y243" s="20">
        <f>IFERROR(preçodiario[[#This Row],[estoque E]]*preçodiario[[#This Row],[OVO BRANCO EXTRA]],0)</f>
        <v>723.37016643103414</v>
      </c>
      <c r="Z2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Row],[data]])),((Z242*AA242)+SUMIFS(estoque[valor total],estoque[produto],preçodiario[[#Headers],[OVO BRANCO JUMBO]],estoque[data],preçodiario[[#This Row],[data]],estoque[fornecedor],"&lt;&gt;saída"))/(AA242+(SUMIFS(estoque[quantidade],estoque[produto],preçodiario[[#Headers],[OVO BRANCO JUMBO]],estoque[fornecedor],"&lt;&gt;saída",estoque[data],preçodiario[[#This Row],[data]])))))</f>
        <v>16.50550595238095</v>
      </c>
      <c r="AA243" s="22">
        <f>IF(preçodiario[[#This Row],[entrada J]]=0,AA242-(SUMIFS(estoque[quantidade],estoque[fornecedor],"saída",estoque[produto],preçodiario[[#Headers],[OVO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Row],[data]]))+AA242+preçodiario[[#This Row],[entrada J]])</f>
        <v>75</v>
      </c>
      <c r="AB243" s="22">
        <f>SUMIFS(estoque[quantidade],estoque[fornecedor],"&lt;&gt;saída",estoque[produto],preçodiario[[#Headers],[OVO BRANCO JUMBO]],estoque[data],preçodiario[[#This Row],[data]])</f>
        <v>0</v>
      </c>
      <c r="AC243" s="20">
        <f>SUMIFS(estoque[valor total],estoque[fornecedor],"&lt;&gt;saída",estoque[produto],preçodiario[[#Headers],[OVO BRANCO JUMBO]],estoque[data],preçodiario[[#This Row],[data]])</f>
        <v>0</v>
      </c>
      <c r="AD243" s="20">
        <f>IFERROR(preçodiario[[#This Row],[OVO BRANCO JUMBO]]*preçodiario[[#This Row],[estoque J]],0)</f>
        <v>1237.9129464285713</v>
      </c>
      <c r="AE2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Row],[data]])),((AE242*AF242)+SUMIFS(estoque[valor total],estoque[produto],preçodiario[[#Headers],[OVO VERMELHO A]],estoque[data],preçodiario[[#This Row],[data]],estoque[fornecedor],"&lt;&gt;saída"))/(AF242+(SUMIFS(estoque[quantidade],estoque[produto],preçodiario[[#Headers],[OVO VERMELHO A]],estoque[fornecedor],"&lt;&gt;saída",estoque[data],preçodiario[[#This Row],[data]])))))</f>
        <v/>
      </c>
      <c r="AF243" s="22">
        <f>IF(preçodiario[[#This Row],[entrada AV]]=0,AF242-(SUMIFS(estoque[quantidade],estoque[fornecedor],"saída",estoque[produto],preçodiario[[#Headers],[OVO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Row],[data]]))+AF242+preçodiario[[#This Row],[entrada AV]])</f>
        <v>0</v>
      </c>
      <c r="AG243" s="22">
        <f>SUMIFS(estoque[quantidade],estoque[fornecedor],"&lt;&gt;saída",estoque[produto],preçodiario[[#Headers],[OVO VERMELHO A]],estoque[data],preçodiario[[#This Row],[data]])</f>
        <v>0</v>
      </c>
      <c r="AH243" s="20">
        <f>SUMIFS(estoque[valor total],estoque[fornecedor],"&lt;&gt;saída",estoque[produto],preçodiario[[#Headers],[OVO VERMELHO A]],estoque[data],preçodiario[[#This Row],[data]])</f>
        <v>0</v>
      </c>
      <c r="AI243" s="20">
        <f>IFERROR(preçodiario[[#This Row],[OVO VERMELHO A]]*preçodiario[[#This Row],[estoque AV]],0)</f>
        <v>0</v>
      </c>
      <c r="AJ2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Row],[data]])),((AJ242*AK242)+SUMIFS(estoque[valor total],estoque[produto],preçodiario[[#Headers],[OVO VERMELHO B]],estoque[data],preçodiario[[#This Row],[data]],estoque[fornecedor],"&lt;&gt;saída"))/(AK242+(SUMIFS(estoque[quantidade],estoque[produto],preçodiario[[#Headers],[OVO VERMELHO B]],estoque[fornecedor],"&lt;&gt;saída",estoque[data],preçodiario[[#This Row],[data]])))))</f>
        <v/>
      </c>
      <c r="AK243" s="22">
        <f>IF(preçodiario[[#This Row],[entrada BV]]=0,AK242-(SUMIFS(estoque[quantidade],estoque[fornecedor],"saída",estoque[produto],preçodiario[[#Headers],[OVO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Row],[data]]))+AK242+preçodiario[[#This Row],[entrada BV]])</f>
        <v>0</v>
      </c>
      <c r="AL243" s="22">
        <f>SUMIFS(estoque[quantidade],estoque[fornecedor],"&lt;&gt;saída",estoque[produto],preçodiario[[#Headers],[OVO VERMELHO B]],estoque[data],preçodiario[[#This Row],[data]])</f>
        <v>0</v>
      </c>
      <c r="AM243" s="20">
        <f>SUMIFS(estoque[valor total],estoque[fornecedor],"&lt;&gt;saída",estoque[produto],preçodiario[[#Headers],[OVO VERMELHO B]],estoque[data],preçodiario[[#This Row],[data]])</f>
        <v>0</v>
      </c>
      <c r="AN243" s="20">
        <f>IFERROR(preçodiario[[#This Row],[OVO VERMELHO B]]*preçodiario[[#This Row],[estoque BV]],0)</f>
        <v>0</v>
      </c>
      <c r="AO2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Row],[data]])),((AO242*AP242)+SUMIFS(estoque[valor total],estoque[produto],preçodiario[[#Headers],[OVO VERMELHO C]],estoque[data],preçodiario[[#This Row],[data]],estoque[fornecedor],"&lt;&gt;saída"))/(AP242+(SUMIFS(estoque[quantidade],estoque[produto],preçodiario[[#Headers],[OVO VERMELHO C]],estoque[fornecedor],"&lt;&gt;saída",estoque[data],preçodiario[[#This Row],[data]])))))</f>
        <v/>
      </c>
      <c r="AP243" s="22">
        <f>IF(preçodiario[[#This Row],[entrada CV]]=0,AP242-(SUMIFS(estoque[quantidade],estoque[fornecedor],"saída",estoque[produto],preçodiario[[#Headers],[OVO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Row],[data]]))+AP242+preçodiario[[#This Row],[entrada CV]])</f>
        <v>0</v>
      </c>
      <c r="AQ243" s="22">
        <f>SUMIFS(estoque[quantidade],estoque[fornecedor],"&lt;&gt;saída",estoque[produto],preçodiario[[#Headers],[OVO VERMELHO C]],estoque[data],preçodiario[[#This Row],[data]])</f>
        <v>0</v>
      </c>
      <c r="AR243" s="20">
        <f>SUMIFS(estoque[valor total],estoque[fornecedor],"&lt;&gt;saída",estoque[produto],preçodiario[[#Headers],[OVO VERMELHO C]],estoque[data],preçodiario[[#This Row],[data]])</f>
        <v>0</v>
      </c>
      <c r="AS243" s="20">
        <f>IFERROR(preçodiario[[#This Row],[OVO VERMELHO C]]*preçodiario[[#This Row],[estoque CV]],0)</f>
        <v>0</v>
      </c>
      <c r="AT2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Row],[data]])),((AT242*AU242)+SUMIFS(estoque[valor total],estoque[produto],preçodiario[[#Headers],[OVO VERMELHO EXTRA]],estoque[data],preçodiario[[#This Row],[data]],estoque[fornecedor],"&lt;&gt;saída"))/(AU242+(SUMIFS(estoque[quantidade],estoque[produto],preçodiario[[#Headers],[OVO VERMELHO EXTRA]],estoque[fornecedor],"&lt;&gt;saída",estoque[data],preçodiario[[#This Row],[data]])))))</f>
        <v/>
      </c>
      <c r="AU243" s="22">
        <f>IF(preçodiario[[#This Row],[entrada EV]]=0,AU242-(SUMIFS(estoque[quantidade],estoque[fornecedor],"saída",estoque[produto],preçodiario[[#Headers],[OVO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Row],[data]]))+AU242+preçodiario[[#This Row],[entrada EV]])</f>
        <v>0</v>
      </c>
      <c r="AV243" s="22">
        <f>SUMIFS(estoque[quantidade],estoque[fornecedor],"&lt;&gt;saída",estoque[produto],preçodiario[[#Headers],[OVO VERMELHO EXTRA]],estoque[data],preçodiario[[#This Row],[data]])</f>
        <v>0</v>
      </c>
      <c r="AW243" s="20">
        <f>SUMIFS(estoque[valor total],estoque[fornecedor],"&lt;&gt;saída",estoque[produto],preçodiario[[#Headers],[OVO VERMELHO EXTRA]],estoque[data],preçodiario[[#This Row],[data]])</f>
        <v>0</v>
      </c>
      <c r="AX243" s="20">
        <f>IFERROR(preçodiario[[#This Row],[OVO VERMELHO EXTRA]]*preçodiario[[#This Row],[estoque EV]],0)</f>
        <v>0</v>
      </c>
      <c r="AY2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Row],[data]])),((AY242*AZ242)+SUMIFS(estoque[valor total],estoque[produto],preçodiario[[#Headers],[OVO VERMELHO JUMBO]],estoque[data],preçodiario[[#This Row],[data]],estoque[fornecedor],"&lt;&gt;saída"))/(AZ242+(SUMIFS(estoque[quantidade],estoque[produto],preçodiario[[#Headers],[OVO VERMELHO JUMBO]],estoque[fornecedor],"&lt;&gt;saída",estoque[data],preçodiario[[#This Row],[data]])))))</f>
        <v/>
      </c>
      <c r="AZ243" s="22">
        <f>IF(preçodiario[[#This Row],[entrada JV]]=0,AZ242-(SUMIFS(estoque[quantidade],estoque[fornecedor],"saída",estoque[produto],preçodiario[[#Headers],[OVO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Row],[data]]))+AZ242+preçodiario[[#This Row],[entrada JV]])</f>
        <v>0</v>
      </c>
      <c r="BA243" s="22">
        <f>SUMIFS(estoque[quantidade],estoque[fornecedor],"&lt;&gt;saída",estoque[produto],preçodiario[[#Headers],[OVO VERMELHO JUMBO]],estoque[data],preçodiario[[#This Row],[data]])</f>
        <v>0</v>
      </c>
      <c r="BB243" s="20">
        <f>SUMIFS(estoque[valor total],estoque[fornecedor],"&lt;&gt;saída",estoque[produto],preçodiario[[#Headers],[OVO VERMELHO JUMBO]],estoque[data],preçodiario[[#This Row],[data]])</f>
        <v>0</v>
      </c>
      <c r="BC243" s="20">
        <f>IFERROR(preçodiario[[#This Row],[OVO VERMELHO JUMBO]]*preçodiario[[#This Row],[estoque JV]],0)</f>
        <v>0</v>
      </c>
      <c r="BD243" t="str">
        <f>TEXT(vendaAno[[#This Row],[data]],"mmm")</f>
        <v>ago</v>
      </c>
      <c r="BE243" t="str">
        <f>TEXT(vendaAno[[#This Row],[data]],"ddd")</f>
        <v>dom</v>
      </c>
      <c r="BF243" s="82">
        <f>WEEKNUM(vendaAno[[#This Row],[data]],13)</f>
        <v>35</v>
      </c>
      <c r="BG243" s="27">
        <f>preçodiario[[#This Row],[data]]</f>
        <v>46264</v>
      </c>
      <c r="BH2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Row],[data]]))/12+BJ242,"")</f>
        <v/>
      </c>
      <c r="BK243" s="79" t="str">
        <f ca="1">IF(TODAY()&gt;=vendaAno[[#This Row],[data]],IF(SUMIFS(estoque[quantidade],estoque[fornecedor],"saída",estoque[data],vendaAno[[#This Row],[data]])/12=0,AVERAGE(BK240:BK242),SUMIFS(estoque[quantidade],estoque[fornecedor],"saída",estoque[data],vendaAno[[#This Row],[data]])/12),"")</f>
        <v/>
      </c>
      <c r="BL243" s="8" t="str">
        <f ca="1">IF(vendaAno[[#This Row],[data]]&lt;=TODAY(),IF(SUMIFS(estoque[lucro],estoque[fornecedor],"saída",estoque[data],vendaAno[[#This Row],[data]])=0,AVERAGE(BL240:BL242),SUMIFS(estoque[lucro],estoque[fornecedor],"saída",estoque[data],vendaAno[[#This Row],[data]])),"")</f>
        <v/>
      </c>
      <c r="BM243" s="10" t="str">
        <f ca="1">IFERROR(vendaAno[[#This Row],[lucro]]/vendaAno[[#This Row],[valor de venda]],"")</f>
        <v/>
      </c>
      <c r="BN24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3" s="8" t="str">
        <f ca="1">IF(TODAY()&gt;=vendaAno[[#This Row],[data]],IF(vendaAno[[#This Row],[N°]]=BF242,vendaAno[[#This Row],[lucro]]-173.33+BO242,vendaAno[[#This Row],[lucro]]-150),"")</f>
        <v/>
      </c>
      <c r="BP243" s="81" t="str">
        <f ca="1">IF(TODAY()&gt;=vendaAno[[#This Row],[data]],SUM(BK237:BK243)*12,"")</f>
        <v/>
      </c>
      <c r="BQ243" s="7" t="str">
        <f ca="1">IFERROR(vendaAno[[#This Row],[lucro]]/(vendaAno[[#This Row],[venda]]*12),"")</f>
        <v/>
      </c>
    </row>
    <row r="244" spans="1:69" x14ac:dyDescent="0.25">
      <c r="A2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4" s="18" t="str">
        <f>TEXT(preçodiario[[#This Row],[data]],"MMM")</f>
        <v>ago</v>
      </c>
      <c r="C244" s="18" t="str">
        <f>TEXT(preçodiario[[#This Row],[data]],"ddd")</f>
        <v>seg</v>
      </c>
      <c r="D244" s="96">
        <f>WEEKNUM(preçodiario[[#This Row],[data]],13)</f>
        <v>35</v>
      </c>
      <c r="E244" s="37">
        <v>46265</v>
      </c>
      <c r="F2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Row],[data]])),((F243*G243)+SUMIFS(estoque[valor total],estoque[produto],preçodiario[[#Headers],[OVO BRANCO A]],estoque[data],preçodiario[[#This Row],[data]],estoque[fornecedor],"&lt;&gt;saída"))/(G243+(SUMIFS(estoque[quantidade],estoque[produto],preçodiario[[#Headers],[OVO BRANCO A]],estoque[fornecedor],"&lt;&gt;saída",estoque[data],preçodiario[[#This Row],[data]])))))</f>
        <v>15.278182701652089</v>
      </c>
      <c r="G244" s="22">
        <f>IF(preçodiario[[#This Row],[entrada A]]=0,G243-(SUMIFS(estoque[quantidade],estoque[fornecedor],"saída",estoque[produto],preçodiario[[#Headers],[OVO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Row],[data]]))+G243+preçodiario[[#This Row],[entrada A]])</f>
        <v>133</v>
      </c>
      <c r="H244" s="22">
        <f>SUMIFS(estoque[quantidade],estoque[fornecedor],"&lt;&gt;saída",estoque[produto],preçodiario[[#Headers],[OVO BRANCO A]],estoque[data],preçodiario[[#This Row],[data]])</f>
        <v>0</v>
      </c>
      <c r="I244" s="20">
        <f>SUMIFS(estoque[valor total],estoque[fornecedor],"&lt;&gt;saída",estoque[produto],preçodiario[[#Headers],[OVO BRANCO A]],estoque[data],preçodiario[[#This Row],[data]])</f>
        <v>0</v>
      </c>
      <c r="J244" s="20">
        <f>IFERROR(preçodiario[[#This Row],[estoque A]]*preçodiario[[#This Row],[OVO BRANCO A]],0)</f>
        <v>2031.9982993197277</v>
      </c>
      <c r="K2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Row],[data]])),((K243*L243)+SUMIFS(estoque[valor total],estoque[produto],preçodiario[[#Headers],[OVO BRANCO B]],estoque[data],preçodiario[[#This Row],[data]],estoque[fornecedor],"&lt;&gt;saída"))/(L243+(SUMIFS(estoque[quantidade],estoque[produto],preçodiario[[#Headers],[OVO BRANCO B]],estoque[fornecedor],"&lt;&gt;saída",estoque[data],preçodiario[[#This Row],[data]])))))</f>
        <v>14.584252837326604</v>
      </c>
      <c r="L244" s="22">
        <f>IF(preçodiario[[#This Row],[entrada B]]=0,L243-(SUMIFS(estoque[quantidade],estoque[fornecedor],"saída",estoque[produto],preçodiario[[#Headers],[OVO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Row],[data]]))+L243+preçodiario[[#This Row],[entrada B]])</f>
        <v>16</v>
      </c>
      <c r="M244" s="22">
        <f>SUMIFS(estoque[quantidade],estoque[fornecedor],"&lt;&gt;saída",estoque[produto],preçodiario[[#Headers],[OVO BRANCO B]],estoque[data],preçodiario[[#This Row],[data]])</f>
        <v>0</v>
      </c>
      <c r="N244" s="20">
        <f>SUMIFS(estoque[valor total],estoque[fornecedor],"&lt;&gt;saída",estoque[produto],preçodiario[[#Headers],[OVO BRANCO B]],estoque[data],preçodiario[[#This Row],[data]])</f>
        <v>0</v>
      </c>
      <c r="O244" s="20">
        <f>IFERROR(preçodiario[[#This Row],[OVO BRANCO B]]*preçodiario[[#This Row],[estoque B]],0)</f>
        <v>233.34804539722566</v>
      </c>
      <c r="P2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Row],[data]])),((P243*Q243)+SUMIFS(estoque[valor total],estoque[produto],preçodiario[[#Headers],[OVO BRANCO C]],estoque[data],preçodiario[[#This Row],[data]],estoque[fornecedor],"&lt;&gt;saída"))/(Q243+(SUMIFS(estoque[quantidade],estoque[produto],preçodiario[[#Headers],[OVO BRANCO C]],estoque[fornecedor],"&lt;&gt;saída",estoque[data],preçodiario[[#This Row],[data]])))))</f>
        <v>12.5</v>
      </c>
      <c r="Q244" s="22">
        <f>IF(preçodiario[[#This Row],[entrada C]]=0,Q243-(SUMIFS(estoque[quantidade],estoque[fornecedor],"saída",estoque[produto],preçodiario[[#Headers],[OVO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Row],[data]]))+Q243+preçodiario[[#This Row],[entrada C]])</f>
        <v>60</v>
      </c>
      <c r="R244" s="22">
        <f>SUMIFS(estoque[quantidade],estoque[fornecedor],"&lt;&gt;saída",estoque[produto],preçodiario[[#Headers],[OVO BRANCO C]],estoque[data],preçodiario[[#This Row],[data]])</f>
        <v>0</v>
      </c>
      <c r="S244" s="20">
        <f>SUMIFS(estoque[valor total],estoque[fornecedor],"&lt;&gt;saída",estoque[produto],preçodiario[[#Headers],[OVO BRANCO C]],estoque[data],preçodiario[[#This Row],[data]])</f>
        <v>0</v>
      </c>
      <c r="T244" s="20">
        <f>IFERROR(preçodiario[[#This Row],[OVO BRANCO C]]*preçodiario[[#This Row],[estoque C]],0)</f>
        <v>750</v>
      </c>
      <c r="U2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Row],[data]])),((U243*V243)+SUMIFS(estoque[valor total],estoque[produto],preçodiario[[#Headers],[OVO BRANCO EXTRA]],estoque[data],preçodiario[[#This Row],[data]],estoque[fornecedor],"&lt;&gt;saída"))/(V243+(SUMIFS(estoque[quantidade],estoque[produto],preçodiario[[#Headers],[OVO BRANCO EXTRA]],estoque[fornecedor],"&lt;&gt;saída",estoque[data],preçodiario[[#This Row],[data]])))))</f>
        <v>15.725438400674655</v>
      </c>
      <c r="V244" s="22">
        <f>IF(preçodiario[[#This Row],[entrada E]]=0,V243-(SUMIFS(estoque[quantidade],estoque[fornecedor],"saída",estoque[produto],preçodiario[[#Headers],[OVO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Row],[data]]))+V243+preçodiario[[#This Row],[entrada E]])</f>
        <v>46</v>
      </c>
      <c r="W244" s="22">
        <f>SUMIFS(estoque[quantidade],estoque[fornecedor],"&lt;&gt;saída",estoque[produto],preçodiario[[#Headers],[OVO BRANCO EXTRA]],estoque[data],preçodiario[[#This Row],[data]])</f>
        <v>0</v>
      </c>
      <c r="X244" s="20">
        <f>SUMIFS(estoque[valor total],estoque[fornecedor],"&lt;&gt;saída",estoque[produto],preçodiario[[#Headers],[OVO BRANCO EXTRA]],estoque[data],preçodiario[[#This Row],[data]])</f>
        <v>0</v>
      </c>
      <c r="Y244" s="20">
        <f>IFERROR(preçodiario[[#This Row],[estoque E]]*preçodiario[[#This Row],[OVO BRANCO EXTRA]],0)</f>
        <v>723.37016643103414</v>
      </c>
      <c r="Z2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Row],[data]])),((Z243*AA243)+SUMIFS(estoque[valor total],estoque[produto],preçodiario[[#Headers],[OVO BRANCO JUMBO]],estoque[data],preçodiario[[#This Row],[data]],estoque[fornecedor],"&lt;&gt;saída"))/(AA243+(SUMIFS(estoque[quantidade],estoque[produto],preçodiario[[#Headers],[OVO BRANCO JUMBO]],estoque[fornecedor],"&lt;&gt;saída",estoque[data],preçodiario[[#This Row],[data]])))))</f>
        <v>16.50550595238095</v>
      </c>
      <c r="AA244" s="22">
        <f>IF(preçodiario[[#This Row],[entrada J]]=0,AA243-(SUMIFS(estoque[quantidade],estoque[fornecedor],"saída",estoque[produto],preçodiario[[#Headers],[OVO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Row],[data]]))+AA243+preçodiario[[#This Row],[entrada J]])</f>
        <v>75</v>
      </c>
      <c r="AB244" s="22">
        <f>SUMIFS(estoque[quantidade],estoque[fornecedor],"&lt;&gt;saída",estoque[produto],preçodiario[[#Headers],[OVO BRANCO JUMBO]],estoque[data],preçodiario[[#This Row],[data]])</f>
        <v>0</v>
      </c>
      <c r="AC244" s="20">
        <f>SUMIFS(estoque[valor total],estoque[fornecedor],"&lt;&gt;saída",estoque[produto],preçodiario[[#Headers],[OVO BRANCO JUMBO]],estoque[data],preçodiario[[#This Row],[data]])</f>
        <v>0</v>
      </c>
      <c r="AD244" s="20">
        <f>IFERROR(preçodiario[[#This Row],[OVO BRANCO JUMBO]]*preçodiario[[#This Row],[estoque J]],0)</f>
        <v>1237.9129464285713</v>
      </c>
      <c r="AE2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Row],[data]])),((AE243*AF243)+SUMIFS(estoque[valor total],estoque[produto],preçodiario[[#Headers],[OVO VERMELHO A]],estoque[data],preçodiario[[#This Row],[data]],estoque[fornecedor],"&lt;&gt;saída"))/(AF243+(SUMIFS(estoque[quantidade],estoque[produto],preçodiario[[#Headers],[OVO VERMELHO A]],estoque[fornecedor],"&lt;&gt;saída",estoque[data],preçodiario[[#This Row],[data]])))))</f>
        <v/>
      </c>
      <c r="AF244" s="22">
        <f>IF(preçodiario[[#This Row],[entrada AV]]=0,AF243-(SUMIFS(estoque[quantidade],estoque[fornecedor],"saída",estoque[produto],preçodiario[[#Headers],[OVO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Row],[data]]))+AF243+preçodiario[[#This Row],[entrada AV]])</f>
        <v>0</v>
      </c>
      <c r="AG244" s="22">
        <f>SUMIFS(estoque[quantidade],estoque[fornecedor],"&lt;&gt;saída",estoque[produto],preçodiario[[#Headers],[OVO VERMELHO A]],estoque[data],preçodiario[[#This Row],[data]])</f>
        <v>0</v>
      </c>
      <c r="AH244" s="20">
        <f>SUMIFS(estoque[valor total],estoque[fornecedor],"&lt;&gt;saída",estoque[produto],preçodiario[[#Headers],[OVO VERMELHO A]],estoque[data],preçodiario[[#This Row],[data]])</f>
        <v>0</v>
      </c>
      <c r="AI244" s="20">
        <f>IFERROR(preçodiario[[#This Row],[OVO VERMELHO A]]*preçodiario[[#This Row],[estoque AV]],0)</f>
        <v>0</v>
      </c>
      <c r="AJ2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Row],[data]])),((AJ243*AK243)+SUMIFS(estoque[valor total],estoque[produto],preçodiario[[#Headers],[OVO VERMELHO B]],estoque[data],preçodiario[[#This Row],[data]],estoque[fornecedor],"&lt;&gt;saída"))/(AK243+(SUMIFS(estoque[quantidade],estoque[produto],preçodiario[[#Headers],[OVO VERMELHO B]],estoque[fornecedor],"&lt;&gt;saída",estoque[data],preçodiario[[#This Row],[data]])))))</f>
        <v/>
      </c>
      <c r="AK244" s="22">
        <f>IF(preçodiario[[#This Row],[entrada BV]]=0,AK243-(SUMIFS(estoque[quantidade],estoque[fornecedor],"saída",estoque[produto],preçodiario[[#Headers],[OVO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Row],[data]]))+AK243+preçodiario[[#This Row],[entrada BV]])</f>
        <v>0</v>
      </c>
      <c r="AL244" s="22">
        <f>SUMIFS(estoque[quantidade],estoque[fornecedor],"&lt;&gt;saída",estoque[produto],preçodiario[[#Headers],[OVO VERMELHO B]],estoque[data],preçodiario[[#This Row],[data]])</f>
        <v>0</v>
      </c>
      <c r="AM244" s="20">
        <f>SUMIFS(estoque[valor total],estoque[fornecedor],"&lt;&gt;saída",estoque[produto],preçodiario[[#Headers],[OVO VERMELHO B]],estoque[data],preçodiario[[#This Row],[data]])</f>
        <v>0</v>
      </c>
      <c r="AN244" s="20">
        <f>IFERROR(preçodiario[[#This Row],[OVO VERMELHO B]]*preçodiario[[#This Row],[estoque BV]],0)</f>
        <v>0</v>
      </c>
      <c r="AO2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Row],[data]])),((AO243*AP243)+SUMIFS(estoque[valor total],estoque[produto],preçodiario[[#Headers],[OVO VERMELHO C]],estoque[data],preçodiario[[#This Row],[data]],estoque[fornecedor],"&lt;&gt;saída"))/(AP243+(SUMIFS(estoque[quantidade],estoque[produto],preçodiario[[#Headers],[OVO VERMELHO C]],estoque[fornecedor],"&lt;&gt;saída",estoque[data],preçodiario[[#This Row],[data]])))))</f>
        <v/>
      </c>
      <c r="AP244" s="22">
        <f>IF(preçodiario[[#This Row],[entrada CV]]=0,AP243-(SUMIFS(estoque[quantidade],estoque[fornecedor],"saída",estoque[produto],preçodiario[[#Headers],[OVO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Row],[data]]))+AP243+preçodiario[[#This Row],[entrada CV]])</f>
        <v>0</v>
      </c>
      <c r="AQ244" s="22">
        <f>SUMIFS(estoque[quantidade],estoque[fornecedor],"&lt;&gt;saída",estoque[produto],preçodiario[[#Headers],[OVO VERMELHO C]],estoque[data],preçodiario[[#This Row],[data]])</f>
        <v>0</v>
      </c>
      <c r="AR244" s="20">
        <f>SUMIFS(estoque[valor total],estoque[fornecedor],"&lt;&gt;saída",estoque[produto],preçodiario[[#Headers],[OVO VERMELHO C]],estoque[data],preçodiario[[#This Row],[data]])</f>
        <v>0</v>
      </c>
      <c r="AS244" s="20">
        <f>IFERROR(preçodiario[[#This Row],[OVO VERMELHO C]]*preçodiario[[#This Row],[estoque CV]],0)</f>
        <v>0</v>
      </c>
      <c r="AT2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Row],[data]])),((AT243*AU243)+SUMIFS(estoque[valor total],estoque[produto],preçodiario[[#Headers],[OVO VERMELHO EXTRA]],estoque[data],preçodiario[[#This Row],[data]],estoque[fornecedor],"&lt;&gt;saída"))/(AU243+(SUMIFS(estoque[quantidade],estoque[produto],preçodiario[[#Headers],[OVO VERMELHO EXTRA]],estoque[fornecedor],"&lt;&gt;saída",estoque[data],preçodiario[[#This Row],[data]])))))</f>
        <v/>
      </c>
      <c r="AU244" s="22">
        <f>IF(preçodiario[[#This Row],[entrada EV]]=0,AU243-(SUMIFS(estoque[quantidade],estoque[fornecedor],"saída",estoque[produto],preçodiario[[#Headers],[OVO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Row],[data]]))+AU243+preçodiario[[#This Row],[entrada EV]])</f>
        <v>0</v>
      </c>
      <c r="AV244" s="22">
        <f>SUMIFS(estoque[quantidade],estoque[fornecedor],"&lt;&gt;saída",estoque[produto],preçodiario[[#Headers],[OVO VERMELHO EXTRA]],estoque[data],preçodiario[[#This Row],[data]])</f>
        <v>0</v>
      </c>
      <c r="AW244" s="20">
        <f>SUMIFS(estoque[valor total],estoque[fornecedor],"&lt;&gt;saída",estoque[produto],preçodiario[[#Headers],[OVO VERMELHO EXTRA]],estoque[data],preçodiario[[#This Row],[data]])</f>
        <v>0</v>
      </c>
      <c r="AX244" s="20">
        <f>IFERROR(preçodiario[[#This Row],[OVO VERMELHO EXTRA]]*preçodiario[[#This Row],[estoque EV]],0)</f>
        <v>0</v>
      </c>
      <c r="AY2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Row],[data]])),((AY243*AZ243)+SUMIFS(estoque[valor total],estoque[produto],preçodiario[[#Headers],[OVO VERMELHO JUMBO]],estoque[data],preçodiario[[#This Row],[data]],estoque[fornecedor],"&lt;&gt;saída"))/(AZ243+(SUMIFS(estoque[quantidade],estoque[produto],preçodiario[[#Headers],[OVO VERMELHO JUMBO]],estoque[fornecedor],"&lt;&gt;saída",estoque[data],preçodiario[[#This Row],[data]])))))</f>
        <v/>
      </c>
      <c r="AZ244" s="22">
        <f>IF(preçodiario[[#This Row],[entrada JV]]=0,AZ243-(SUMIFS(estoque[quantidade],estoque[fornecedor],"saída",estoque[produto],preçodiario[[#Headers],[OVO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Row],[data]]))+AZ243+preçodiario[[#This Row],[entrada JV]])</f>
        <v>0</v>
      </c>
      <c r="BA244" s="22">
        <f>SUMIFS(estoque[quantidade],estoque[fornecedor],"&lt;&gt;saída",estoque[produto],preçodiario[[#Headers],[OVO VERMELHO JUMBO]],estoque[data],preçodiario[[#This Row],[data]])</f>
        <v>0</v>
      </c>
      <c r="BB244" s="20">
        <f>SUMIFS(estoque[valor total],estoque[fornecedor],"&lt;&gt;saída",estoque[produto],preçodiario[[#Headers],[OVO VERMELHO JUMBO]],estoque[data],preçodiario[[#This Row],[data]])</f>
        <v>0</v>
      </c>
      <c r="BC244" s="20">
        <f>IFERROR(preçodiario[[#This Row],[OVO VERMELHO JUMBO]]*preçodiario[[#This Row],[estoque JV]],0)</f>
        <v>0</v>
      </c>
      <c r="BD244" t="str">
        <f>TEXT(vendaAno[[#This Row],[data]],"mmm")</f>
        <v>ago</v>
      </c>
      <c r="BE244" t="str">
        <f>TEXT(vendaAno[[#This Row],[data]],"ddd")</f>
        <v>seg</v>
      </c>
      <c r="BF244" s="82">
        <f>WEEKNUM(vendaAno[[#This Row],[data]],13)</f>
        <v>35</v>
      </c>
      <c r="BG244" s="27">
        <f>preçodiario[[#This Row],[data]]</f>
        <v>46265</v>
      </c>
      <c r="BH2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Row],[data]]))/12+BJ243,"")</f>
        <v/>
      </c>
      <c r="BK244" s="79" t="str">
        <f ca="1">IF(TODAY()&gt;=vendaAno[[#This Row],[data]],IF(SUMIFS(estoque[quantidade],estoque[fornecedor],"saída",estoque[data],vendaAno[[#This Row],[data]])/12=0,AVERAGE(BK241:BK243),SUMIFS(estoque[quantidade],estoque[fornecedor],"saída",estoque[data],vendaAno[[#This Row],[data]])/12),"")</f>
        <v/>
      </c>
      <c r="BL244" s="8" t="str">
        <f ca="1">IF(vendaAno[[#This Row],[data]]&lt;=TODAY(),IF(SUMIFS(estoque[lucro],estoque[fornecedor],"saída",estoque[data],vendaAno[[#This Row],[data]])=0,AVERAGE(BL241:BL243),SUMIFS(estoque[lucro],estoque[fornecedor],"saída",estoque[data],vendaAno[[#This Row],[data]])),"")</f>
        <v/>
      </c>
      <c r="BM244" s="10" t="str">
        <f ca="1">IFERROR(vendaAno[[#This Row],[lucro]]/vendaAno[[#This Row],[valor de venda]],"")</f>
        <v/>
      </c>
      <c r="BN24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4" s="8" t="str">
        <f ca="1">IF(TODAY()&gt;=vendaAno[[#This Row],[data]],IF(vendaAno[[#This Row],[N°]]=BF243,vendaAno[[#This Row],[lucro]]-173.33+BO243,vendaAno[[#This Row],[lucro]]-150),"")</f>
        <v/>
      </c>
      <c r="BP244" s="81" t="str">
        <f ca="1">IF(TODAY()&gt;=vendaAno[[#This Row],[data]],SUM(BK238:BK244)*12,"")</f>
        <v/>
      </c>
      <c r="BQ244" s="7" t="str">
        <f ca="1">IFERROR(vendaAno[[#This Row],[lucro]]/(vendaAno[[#This Row],[venda]]*12),"")</f>
        <v/>
      </c>
    </row>
    <row r="245" spans="1:69" x14ac:dyDescent="0.25">
      <c r="A2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5" s="18" t="str">
        <f>TEXT(preçodiario[[#This Row],[data]],"MMM")</f>
        <v>set</v>
      </c>
      <c r="C245" s="18" t="str">
        <f>TEXT(preçodiario[[#This Row],[data]],"ddd")</f>
        <v>ter</v>
      </c>
      <c r="D245" s="96">
        <f>WEEKNUM(preçodiario[[#This Row],[data]],13)</f>
        <v>35</v>
      </c>
      <c r="E245" s="37">
        <v>46266</v>
      </c>
      <c r="F2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Row],[data]])),((F244*G244)+SUMIFS(estoque[valor total],estoque[produto],preçodiario[[#Headers],[OVO BRANCO A]],estoque[data],preçodiario[[#This Row],[data]],estoque[fornecedor],"&lt;&gt;saída"))/(G244+(SUMIFS(estoque[quantidade],estoque[produto],preçodiario[[#Headers],[OVO BRANCO A]],estoque[fornecedor],"&lt;&gt;saída",estoque[data],preçodiario[[#This Row],[data]])))))</f>
        <v>15.278182701652089</v>
      </c>
      <c r="G245" s="22">
        <f>IF(preçodiario[[#This Row],[entrada A]]=0,G244-(SUMIFS(estoque[quantidade],estoque[fornecedor],"saída",estoque[produto],preçodiario[[#Headers],[OVO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Row],[data]]))+G244+preçodiario[[#This Row],[entrada A]])</f>
        <v>133</v>
      </c>
      <c r="H245" s="22">
        <f>SUMIFS(estoque[quantidade],estoque[fornecedor],"&lt;&gt;saída",estoque[produto],preçodiario[[#Headers],[OVO BRANCO A]],estoque[data],preçodiario[[#This Row],[data]])</f>
        <v>0</v>
      </c>
      <c r="I245" s="20">
        <f>SUMIFS(estoque[valor total],estoque[fornecedor],"&lt;&gt;saída",estoque[produto],preçodiario[[#Headers],[OVO BRANCO A]],estoque[data],preçodiario[[#This Row],[data]])</f>
        <v>0</v>
      </c>
      <c r="J245" s="20">
        <f>IFERROR(preçodiario[[#This Row],[estoque A]]*preçodiario[[#This Row],[OVO BRANCO A]],0)</f>
        <v>2031.9982993197277</v>
      </c>
      <c r="K2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Row],[data]])),((K244*L244)+SUMIFS(estoque[valor total],estoque[produto],preçodiario[[#Headers],[OVO BRANCO B]],estoque[data],preçodiario[[#This Row],[data]],estoque[fornecedor],"&lt;&gt;saída"))/(L244+(SUMIFS(estoque[quantidade],estoque[produto],preçodiario[[#Headers],[OVO BRANCO B]],estoque[fornecedor],"&lt;&gt;saída",estoque[data],preçodiario[[#This Row],[data]])))))</f>
        <v>14.584252837326604</v>
      </c>
      <c r="L245" s="22">
        <f>IF(preçodiario[[#This Row],[entrada B]]=0,L244-(SUMIFS(estoque[quantidade],estoque[fornecedor],"saída",estoque[produto],preçodiario[[#Headers],[OVO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Row],[data]]))+L244+preçodiario[[#This Row],[entrada B]])</f>
        <v>16</v>
      </c>
      <c r="M245" s="22">
        <f>SUMIFS(estoque[quantidade],estoque[fornecedor],"&lt;&gt;saída",estoque[produto],preçodiario[[#Headers],[OVO BRANCO B]],estoque[data],preçodiario[[#This Row],[data]])</f>
        <v>0</v>
      </c>
      <c r="N245" s="20">
        <f>SUMIFS(estoque[valor total],estoque[fornecedor],"&lt;&gt;saída",estoque[produto],preçodiario[[#Headers],[OVO BRANCO B]],estoque[data],preçodiario[[#This Row],[data]])</f>
        <v>0</v>
      </c>
      <c r="O245" s="20">
        <f>IFERROR(preçodiario[[#This Row],[OVO BRANCO B]]*preçodiario[[#This Row],[estoque B]],0)</f>
        <v>233.34804539722566</v>
      </c>
      <c r="P2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Row],[data]])),((P244*Q244)+SUMIFS(estoque[valor total],estoque[produto],preçodiario[[#Headers],[OVO BRANCO C]],estoque[data],preçodiario[[#This Row],[data]],estoque[fornecedor],"&lt;&gt;saída"))/(Q244+(SUMIFS(estoque[quantidade],estoque[produto],preçodiario[[#Headers],[OVO BRANCO C]],estoque[fornecedor],"&lt;&gt;saída",estoque[data],preçodiario[[#This Row],[data]])))))</f>
        <v>12.5</v>
      </c>
      <c r="Q245" s="22">
        <f>IF(preçodiario[[#This Row],[entrada C]]=0,Q244-(SUMIFS(estoque[quantidade],estoque[fornecedor],"saída",estoque[produto],preçodiario[[#Headers],[OVO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Row],[data]]))+Q244+preçodiario[[#This Row],[entrada C]])</f>
        <v>60</v>
      </c>
      <c r="R245" s="22">
        <f>SUMIFS(estoque[quantidade],estoque[fornecedor],"&lt;&gt;saída",estoque[produto],preçodiario[[#Headers],[OVO BRANCO C]],estoque[data],preçodiario[[#This Row],[data]])</f>
        <v>0</v>
      </c>
      <c r="S245" s="20">
        <f>SUMIFS(estoque[valor total],estoque[fornecedor],"&lt;&gt;saída",estoque[produto],preçodiario[[#Headers],[OVO BRANCO C]],estoque[data],preçodiario[[#This Row],[data]])</f>
        <v>0</v>
      </c>
      <c r="T245" s="20">
        <f>IFERROR(preçodiario[[#This Row],[OVO BRANCO C]]*preçodiario[[#This Row],[estoque C]],0)</f>
        <v>750</v>
      </c>
      <c r="U2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Row],[data]])),((U244*V244)+SUMIFS(estoque[valor total],estoque[produto],preçodiario[[#Headers],[OVO BRANCO EXTRA]],estoque[data],preçodiario[[#This Row],[data]],estoque[fornecedor],"&lt;&gt;saída"))/(V244+(SUMIFS(estoque[quantidade],estoque[produto],preçodiario[[#Headers],[OVO BRANCO EXTRA]],estoque[fornecedor],"&lt;&gt;saída",estoque[data],preçodiario[[#This Row],[data]])))))</f>
        <v>15.725438400674655</v>
      </c>
      <c r="V245" s="22">
        <f>IF(preçodiario[[#This Row],[entrada E]]=0,V244-(SUMIFS(estoque[quantidade],estoque[fornecedor],"saída",estoque[produto],preçodiario[[#Headers],[OVO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Row],[data]]))+V244+preçodiario[[#This Row],[entrada E]])</f>
        <v>46</v>
      </c>
      <c r="W245" s="22">
        <f>SUMIFS(estoque[quantidade],estoque[fornecedor],"&lt;&gt;saída",estoque[produto],preçodiario[[#Headers],[OVO BRANCO EXTRA]],estoque[data],preçodiario[[#This Row],[data]])</f>
        <v>0</v>
      </c>
      <c r="X245" s="20">
        <f>SUMIFS(estoque[valor total],estoque[fornecedor],"&lt;&gt;saída",estoque[produto],preçodiario[[#Headers],[OVO BRANCO EXTRA]],estoque[data],preçodiario[[#This Row],[data]])</f>
        <v>0</v>
      </c>
      <c r="Y245" s="20">
        <f>IFERROR(preçodiario[[#This Row],[estoque E]]*preçodiario[[#This Row],[OVO BRANCO EXTRA]],0)</f>
        <v>723.37016643103414</v>
      </c>
      <c r="Z2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Row],[data]])),((Z244*AA244)+SUMIFS(estoque[valor total],estoque[produto],preçodiario[[#Headers],[OVO BRANCO JUMBO]],estoque[data],preçodiario[[#This Row],[data]],estoque[fornecedor],"&lt;&gt;saída"))/(AA244+(SUMIFS(estoque[quantidade],estoque[produto],preçodiario[[#Headers],[OVO BRANCO JUMBO]],estoque[fornecedor],"&lt;&gt;saída",estoque[data],preçodiario[[#This Row],[data]])))))</f>
        <v>16.50550595238095</v>
      </c>
      <c r="AA245" s="22">
        <f>IF(preçodiario[[#This Row],[entrada J]]=0,AA244-(SUMIFS(estoque[quantidade],estoque[fornecedor],"saída",estoque[produto],preçodiario[[#Headers],[OVO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Row],[data]]))+AA244+preçodiario[[#This Row],[entrada J]])</f>
        <v>75</v>
      </c>
      <c r="AB245" s="22">
        <f>SUMIFS(estoque[quantidade],estoque[fornecedor],"&lt;&gt;saída",estoque[produto],preçodiario[[#Headers],[OVO BRANCO JUMBO]],estoque[data],preçodiario[[#This Row],[data]])</f>
        <v>0</v>
      </c>
      <c r="AC245" s="20">
        <f>SUMIFS(estoque[valor total],estoque[fornecedor],"&lt;&gt;saída",estoque[produto],preçodiario[[#Headers],[OVO BRANCO JUMBO]],estoque[data],preçodiario[[#This Row],[data]])</f>
        <v>0</v>
      </c>
      <c r="AD245" s="20">
        <f>IFERROR(preçodiario[[#This Row],[OVO BRANCO JUMBO]]*preçodiario[[#This Row],[estoque J]],0)</f>
        <v>1237.9129464285713</v>
      </c>
      <c r="AE2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Row],[data]])),((AE244*AF244)+SUMIFS(estoque[valor total],estoque[produto],preçodiario[[#Headers],[OVO VERMELHO A]],estoque[data],preçodiario[[#This Row],[data]],estoque[fornecedor],"&lt;&gt;saída"))/(AF244+(SUMIFS(estoque[quantidade],estoque[produto],preçodiario[[#Headers],[OVO VERMELHO A]],estoque[fornecedor],"&lt;&gt;saída",estoque[data],preçodiario[[#This Row],[data]])))))</f>
        <v/>
      </c>
      <c r="AF245" s="22">
        <f>IF(preçodiario[[#This Row],[entrada AV]]=0,AF244-(SUMIFS(estoque[quantidade],estoque[fornecedor],"saída",estoque[produto],preçodiario[[#Headers],[OVO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Row],[data]]))+AF244+preçodiario[[#This Row],[entrada AV]])</f>
        <v>0</v>
      </c>
      <c r="AG245" s="22">
        <f>SUMIFS(estoque[quantidade],estoque[fornecedor],"&lt;&gt;saída",estoque[produto],preçodiario[[#Headers],[OVO VERMELHO A]],estoque[data],preçodiario[[#This Row],[data]])</f>
        <v>0</v>
      </c>
      <c r="AH245" s="20">
        <f>SUMIFS(estoque[valor total],estoque[fornecedor],"&lt;&gt;saída",estoque[produto],preçodiario[[#Headers],[OVO VERMELHO A]],estoque[data],preçodiario[[#This Row],[data]])</f>
        <v>0</v>
      </c>
      <c r="AI245" s="20">
        <f>IFERROR(preçodiario[[#This Row],[OVO VERMELHO A]]*preçodiario[[#This Row],[estoque AV]],0)</f>
        <v>0</v>
      </c>
      <c r="AJ2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Row],[data]])),((AJ244*AK244)+SUMIFS(estoque[valor total],estoque[produto],preçodiario[[#Headers],[OVO VERMELHO B]],estoque[data],preçodiario[[#This Row],[data]],estoque[fornecedor],"&lt;&gt;saída"))/(AK244+(SUMIFS(estoque[quantidade],estoque[produto],preçodiario[[#Headers],[OVO VERMELHO B]],estoque[fornecedor],"&lt;&gt;saída",estoque[data],preçodiario[[#This Row],[data]])))))</f>
        <v/>
      </c>
      <c r="AK245" s="22">
        <f>IF(preçodiario[[#This Row],[entrada BV]]=0,AK244-(SUMIFS(estoque[quantidade],estoque[fornecedor],"saída",estoque[produto],preçodiario[[#Headers],[OVO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Row],[data]]))+AK244+preçodiario[[#This Row],[entrada BV]])</f>
        <v>0</v>
      </c>
      <c r="AL245" s="22">
        <f>SUMIFS(estoque[quantidade],estoque[fornecedor],"&lt;&gt;saída",estoque[produto],preçodiario[[#Headers],[OVO VERMELHO B]],estoque[data],preçodiario[[#This Row],[data]])</f>
        <v>0</v>
      </c>
      <c r="AM245" s="20">
        <f>SUMIFS(estoque[valor total],estoque[fornecedor],"&lt;&gt;saída",estoque[produto],preçodiario[[#Headers],[OVO VERMELHO B]],estoque[data],preçodiario[[#This Row],[data]])</f>
        <v>0</v>
      </c>
      <c r="AN245" s="20">
        <f>IFERROR(preçodiario[[#This Row],[OVO VERMELHO B]]*preçodiario[[#This Row],[estoque BV]],0)</f>
        <v>0</v>
      </c>
      <c r="AO2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Row],[data]])),((AO244*AP244)+SUMIFS(estoque[valor total],estoque[produto],preçodiario[[#Headers],[OVO VERMELHO C]],estoque[data],preçodiario[[#This Row],[data]],estoque[fornecedor],"&lt;&gt;saída"))/(AP244+(SUMIFS(estoque[quantidade],estoque[produto],preçodiario[[#Headers],[OVO VERMELHO C]],estoque[fornecedor],"&lt;&gt;saída",estoque[data],preçodiario[[#This Row],[data]])))))</f>
        <v/>
      </c>
      <c r="AP245" s="22">
        <f>IF(preçodiario[[#This Row],[entrada CV]]=0,AP244-(SUMIFS(estoque[quantidade],estoque[fornecedor],"saída",estoque[produto],preçodiario[[#Headers],[OVO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Row],[data]]))+AP244+preçodiario[[#This Row],[entrada CV]])</f>
        <v>0</v>
      </c>
      <c r="AQ245" s="22">
        <f>SUMIFS(estoque[quantidade],estoque[fornecedor],"&lt;&gt;saída",estoque[produto],preçodiario[[#Headers],[OVO VERMELHO C]],estoque[data],preçodiario[[#This Row],[data]])</f>
        <v>0</v>
      </c>
      <c r="AR245" s="20">
        <f>SUMIFS(estoque[valor total],estoque[fornecedor],"&lt;&gt;saída",estoque[produto],preçodiario[[#Headers],[OVO VERMELHO C]],estoque[data],preçodiario[[#This Row],[data]])</f>
        <v>0</v>
      </c>
      <c r="AS245" s="20">
        <f>IFERROR(preçodiario[[#This Row],[OVO VERMELHO C]]*preçodiario[[#This Row],[estoque CV]],0)</f>
        <v>0</v>
      </c>
      <c r="AT2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Row],[data]])),((AT244*AU244)+SUMIFS(estoque[valor total],estoque[produto],preçodiario[[#Headers],[OVO VERMELHO EXTRA]],estoque[data],preçodiario[[#This Row],[data]],estoque[fornecedor],"&lt;&gt;saída"))/(AU244+(SUMIFS(estoque[quantidade],estoque[produto],preçodiario[[#Headers],[OVO VERMELHO EXTRA]],estoque[fornecedor],"&lt;&gt;saída",estoque[data],preçodiario[[#This Row],[data]])))))</f>
        <v/>
      </c>
      <c r="AU245" s="22">
        <f>IF(preçodiario[[#This Row],[entrada EV]]=0,AU244-(SUMIFS(estoque[quantidade],estoque[fornecedor],"saída",estoque[produto],preçodiario[[#Headers],[OVO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Row],[data]]))+AU244+preçodiario[[#This Row],[entrada EV]])</f>
        <v>0</v>
      </c>
      <c r="AV245" s="22">
        <f>SUMIFS(estoque[quantidade],estoque[fornecedor],"&lt;&gt;saída",estoque[produto],preçodiario[[#Headers],[OVO VERMELHO EXTRA]],estoque[data],preçodiario[[#This Row],[data]])</f>
        <v>0</v>
      </c>
      <c r="AW245" s="20">
        <f>SUMIFS(estoque[valor total],estoque[fornecedor],"&lt;&gt;saída",estoque[produto],preçodiario[[#Headers],[OVO VERMELHO EXTRA]],estoque[data],preçodiario[[#This Row],[data]])</f>
        <v>0</v>
      </c>
      <c r="AX245" s="20">
        <f>IFERROR(preçodiario[[#This Row],[OVO VERMELHO EXTRA]]*preçodiario[[#This Row],[estoque EV]],0)</f>
        <v>0</v>
      </c>
      <c r="AY2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Row],[data]])),((AY244*AZ244)+SUMIFS(estoque[valor total],estoque[produto],preçodiario[[#Headers],[OVO VERMELHO JUMBO]],estoque[data],preçodiario[[#This Row],[data]],estoque[fornecedor],"&lt;&gt;saída"))/(AZ244+(SUMIFS(estoque[quantidade],estoque[produto],preçodiario[[#Headers],[OVO VERMELHO JUMBO]],estoque[fornecedor],"&lt;&gt;saída",estoque[data],preçodiario[[#This Row],[data]])))))</f>
        <v/>
      </c>
      <c r="AZ245" s="22">
        <f>IF(preçodiario[[#This Row],[entrada JV]]=0,AZ244-(SUMIFS(estoque[quantidade],estoque[fornecedor],"saída",estoque[produto],preçodiario[[#Headers],[OVO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Row],[data]]))+AZ244+preçodiario[[#This Row],[entrada JV]])</f>
        <v>0</v>
      </c>
      <c r="BA245" s="22">
        <f>SUMIFS(estoque[quantidade],estoque[fornecedor],"&lt;&gt;saída",estoque[produto],preçodiario[[#Headers],[OVO VERMELHO JUMBO]],estoque[data],preçodiario[[#This Row],[data]])</f>
        <v>0</v>
      </c>
      <c r="BB245" s="20">
        <f>SUMIFS(estoque[valor total],estoque[fornecedor],"&lt;&gt;saída",estoque[produto],preçodiario[[#Headers],[OVO VERMELHO JUMBO]],estoque[data],preçodiario[[#This Row],[data]])</f>
        <v>0</v>
      </c>
      <c r="BC245" s="20">
        <f>IFERROR(preçodiario[[#This Row],[OVO VERMELHO JUMBO]]*preçodiario[[#This Row],[estoque JV]],0)</f>
        <v>0</v>
      </c>
      <c r="BD245" t="str">
        <f>TEXT(vendaAno[[#This Row],[data]],"mmm")</f>
        <v>set</v>
      </c>
      <c r="BE245" t="str">
        <f>TEXT(vendaAno[[#This Row],[data]],"ddd")</f>
        <v>ter</v>
      </c>
      <c r="BF245" s="82">
        <f>WEEKNUM(vendaAno[[#This Row],[data]],13)</f>
        <v>35</v>
      </c>
      <c r="BG245" s="27">
        <f>preçodiario[[#This Row],[data]]</f>
        <v>46266</v>
      </c>
      <c r="BH2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Row],[data]]))/12+BJ244,"")</f>
        <v/>
      </c>
      <c r="BK245" s="79" t="str">
        <f ca="1">IF(TODAY()&gt;=vendaAno[[#This Row],[data]],IF(SUMIFS(estoque[quantidade],estoque[fornecedor],"saída",estoque[data],vendaAno[[#This Row],[data]])/12=0,AVERAGE(BK242:BK244),SUMIFS(estoque[quantidade],estoque[fornecedor],"saída",estoque[data],vendaAno[[#This Row],[data]])/12),"")</f>
        <v/>
      </c>
      <c r="BL245" s="8" t="str">
        <f ca="1">IF(vendaAno[[#This Row],[data]]&lt;=TODAY(),IF(SUMIFS(estoque[lucro],estoque[fornecedor],"saída",estoque[data],vendaAno[[#This Row],[data]])=0,AVERAGE(BL242:BL244),SUMIFS(estoque[lucro],estoque[fornecedor],"saída",estoque[data],vendaAno[[#This Row],[data]])),"")</f>
        <v/>
      </c>
      <c r="BM245" s="10" t="str">
        <f ca="1">IFERROR(vendaAno[[#This Row],[lucro]]/vendaAno[[#This Row],[valor de venda]],"")</f>
        <v/>
      </c>
      <c r="BN24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5" s="8" t="str">
        <f ca="1">IF(TODAY()&gt;=vendaAno[[#This Row],[data]],IF(vendaAno[[#This Row],[N°]]=BF244,vendaAno[[#This Row],[lucro]]-173.33+BO244,vendaAno[[#This Row],[lucro]]-150),"")</f>
        <v/>
      </c>
      <c r="BP245" s="81" t="str">
        <f ca="1">IF(TODAY()&gt;=vendaAno[[#This Row],[data]],SUM(BK239:BK245)*12,"")</f>
        <v/>
      </c>
      <c r="BQ245" s="7" t="str">
        <f ca="1">IFERROR(vendaAno[[#This Row],[lucro]]/(vendaAno[[#This Row],[venda]]*12),"")</f>
        <v/>
      </c>
    </row>
    <row r="246" spans="1:69" x14ac:dyDescent="0.25">
      <c r="A2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6" s="18" t="str">
        <f>TEXT(preçodiario[[#This Row],[data]],"MMM")</f>
        <v>set</v>
      </c>
      <c r="C246" s="18" t="str">
        <f>TEXT(preçodiario[[#This Row],[data]],"ddd")</f>
        <v>qua</v>
      </c>
      <c r="D246" s="96">
        <f>WEEKNUM(preçodiario[[#This Row],[data]],13)</f>
        <v>36</v>
      </c>
      <c r="E246" s="37">
        <v>46267</v>
      </c>
      <c r="F2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Row],[data]])),((F245*G245)+SUMIFS(estoque[valor total],estoque[produto],preçodiario[[#Headers],[OVO BRANCO A]],estoque[data],preçodiario[[#This Row],[data]],estoque[fornecedor],"&lt;&gt;saída"))/(G245+(SUMIFS(estoque[quantidade],estoque[produto],preçodiario[[#Headers],[OVO BRANCO A]],estoque[fornecedor],"&lt;&gt;saída",estoque[data],preçodiario[[#This Row],[data]])))))</f>
        <v>15.278182701652089</v>
      </c>
      <c r="G246" s="22">
        <f>IF(preçodiario[[#This Row],[entrada A]]=0,G245-(SUMIFS(estoque[quantidade],estoque[fornecedor],"saída",estoque[produto],preçodiario[[#Headers],[OVO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Row],[data]]))+G245+preçodiario[[#This Row],[entrada A]])</f>
        <v>133</v>
      </c>
      <c r="H246" s="22">
        <f>SUMIFS(estoque[quantidade],estoque[fornecedor],"&lt;&gt;saída",estoque[produto],preçodiario[[#Headers],[OVO BRANCO A]],estoque[data],preçodiario[[#This Row],[data]])</f>
        <v>0</v>
      </c>
      <c r="I246" s="20">
        <f>SUMIFS(estoque[valor total],estoque[fornecedor],"&lt;&gt;saída",estoque[produto],preçodiario[[#Headers],[OVO BRANCO A]],estoque[data],preçodiario[[#This Row],[data]])</f>
        <v>0</v>
      </c>
      <c r="J246" s="20">
        <f>IFERROR(preçodiario[[#This Row],[estoque A]]*preçodiario[[#This Row],[OVO BRANCO A]],0)</f>
        <v>2031.9982993197277</v>
      </c>
      <c r="K2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Row],[data]])),((K245*L245)+SUMIFS(estoque[valor total],estoque[produto],preçodiario[[#Headers],[OVO BRANCO B]],estoque[data],preçodiario[[#This Row],[data]],estoque[fornecedor],"&lt;&gt;saída"))/(L245+(SUMIFS(estoque[quantidade],estoque[produto],preçodiario[[#Headers],[OVO BRANCO B]],estoque[fornecedor],"&lt;&gt;saída",estoque[data],preçodiario[[#This Row],[data]])))))</f>
        <v>14.584252837326604</v>
      </c>
      <c r="L246" s="22">
        <f>IF(preçodiario[[#This Row],[entrada B]]=0,L245-(SUMIFS(estoque[quantidade],estoque[fornecedor],"saída",estoque[produto],preçodiario[[#Headers],[OVO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Row],[data]]))+L245+preçodiario[[#This Row],[entrada B]])</f>
        <v>16</v>
      </c>
      <c r="M246" s="22">
        <f>SUMIFS(estoque[quantidade],estoque[fornecedor],"&lt;&gt;saída",estoque[produto],preçodiario[[#Headers],[OVO BRANCO B]],estoque[data],preçodiario[[#This Row],[data]])</f>
        <v>0</v>
      </c>
      <c r="N246" s="20">
        <f>SUMIFS(estoque[valor total],estoque[fornecedor],"&lt;&gt;saída",estoque[produto],preçodiario[[#Headers],[OVO BRANCO B]],estoque[data],preçodiario[[#This Row],[data]])</f>
        <v>0</v>
      </c>
      <c r="O246" s="20">
        <f>IFERROR(preçodiario[[#This Row],[OVO BRANCO B]]*preçodiario[[#This Row],[estoque B]],0)</f>
        <v>233.34804539722566</v>
      </c>
      <c r="P2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Row],[data]])),((P245*Q245)+SUMIFS(estoque[valor total],estoque[produto],preçodiario[[#Headers],[OVO BRANCO C]],estoque[data],preçodiario[[#This Row],[data]],estoque[fornecedor],"&lt;&gt;saída"))/(Q245+(SUMIFS(estoque[quantidade],estoque[produto],preçodiario[[#Headers],[OVO BRANCO C]],estoque[fornecedor],"&lt;&gt;saída",estoque[data],preçodiario[[#This Row],[data]])))))</f>
        <v>12.5</v>
      </c>
      <c r="Q246" s="22">
        <f>IF(preçodiario[[#This Row],[entrada C]]=0,Q245-(SUMIFS(estoque[quantidade],estoque[fornecedor],"saída",estoque[produto],preçodiario[[#Headers],[OVO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Row],[data]]))+Q245+preçodiario[[#This Row],[entrada C]])</f>
        <v>60</v>
      </c>
      <c r="R246" s="22">
        <f>SUMIFS(estoque[quantidade],estoque[fornecedor],"&lt;&gt;saída",estoque[produto],preçodiario[[#Headers],[OVO BRANCO C]],estoque[data],preçodiario[[#This Row],[data]])</f>
        <v>0</v>
      </c>
      <c r="S246" s="20">
        <f>SUMIFS(estoque[valor total],estoque[fornecedor],"&lt;&gt;saída",estoque[produto],preçodiario[[#Headers],[OVO BRANCO C]],estoque[data],preçodiario[[#This Row],[data]])</f>
        <v>0</v>
      </c>
      <c r="T246" s="20">
        <f>IFERROR(preçodiario[[#This Row],[OVO BRANCO C]]*preçodiario[[#This Row],[estoque C]],0)</f>
        <v>750</v>
      </c>
      <c r="U2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Row],[data]])),((U245*V245)+SUMIFS(estoque[valor total],estoque[produto],preçodiario[[#Headers],[OVO BRANCO EXTRA]],estoque[data],preçodiario[[#This Row],[data]],estoque[fornecedor],"&lt;&gt;saída"))/(V245+(SUMIFS(estoque[quantidade],estoque[produto],preçodiario[[#Headers],[OVO BRANCO EXTRA]],estoque[fornecedor],"&lt;&gt;saída",estoque[data],preçodiario[[#This Row],[data]])))))</f>
        <v>15.725438400674655</v>
      </c>
      <c r="V246" s="22">
        <f>IF(preçodiario[[#This Row],[entrada E]]=0,V245-(SUMIFS(estoque[quantidade],estoque[fornecedor],"saída",estoque[produto],preçodiario[[#Headers],[OVO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Row],[data]]))+V245+preçodiario[[#This Row],[entrada E]])</f>
        <v>46</v>
      </c>
      <c r="W246" s="22">
        <f>SUMIFS(estoque[quantidade],estoque[fornecedor],"&lt;&gt;saída",estoque[produto],preçodiario[[#Headers],[OVO BRANCO EXTRA]],estoque[data],preçodiario[[#This Row],[data]])</f>
        <v>0</v>
      </c>
      <c r="X246" s="20">
        <f>SUMIFS(estoque[valor total],estoque[fornecedor],"&lt;&gt;saída",estoque[produto],preçodiario[[#Headers],[OVO BRANCO EXTRA]],estoque[data],preçodiario[[#This Row],[data]])</f>
        <v>0</v>
      </c>
      <c r="Y246" s="20">
        <f>IFERROR(preçodiario[[#This Row],[estoque E]]*preçodiario[[#This Row],[OVO BRANCO EXTRA]],0)</f>
        <v>723.37016643103414</v>
      </c>
      <c r="Z2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Row],[data]])),((Z245*AA245)+SUMIFS(estoque[valor total],estoque[produto],preçodiario[[#Headers],[OVO BRANCO JUMBO]],estoque[data],preçodiario[[#This Row],[data]],estoque[fornecedor],"&lt;&gt;saída"))/(AA245+(SUMIFS(estoque[quantidade],estoque[produto],preçodiario[[#Headers],[OVO BRANCO JUMBO]],estoque[fornecedor],"&lt;&gt;saída",estoque[data],preçodiario[[#This Row],[data]])))))</f>
        <v>16.50550595238095</v>
      </c>
      <c r="AA246" s="22">
        <f>IF(preçodiario[[#This Row],[entrada J]]=0,AA245-(SUMIFS(estoque[quantidade],estoque[fornecedor],"saída",estoque[produto],preçodiario[[#Headers],[OVO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Row],[data]]))+AA245+preçodiario[[#This Row],[entrada J]])</f>
        <v>75</v>
      </c>
      <c r="AB246" s="22">
        <f>SUMIFS(estoque[quantidade],estoque[fornecedor],"&lt;&gt;saída",estoque[produto],preçodiario[[#Headers],[OVO BRANCO JUMBO]],estoque[data],preçodiario[[#This Row],[data]])</f>
        <v>0</v>
      </c>
      <c r="AC246" s="20">
        <f>SUMIFS(estoque[valor total],estoque[fornecedor],"&lt;&gt;saída",estoque[produto],preçodiario[[#Headers],[OVO BRANCO JUMBO]],estoque[data],preçodiario[[#This Row],[data]])</f>
        <v>0</v>
      </c>
      <c r="AD246" s="20">
        <f>IFERROR(preçodiario[[#This Row],[OVO BRANCO JUMBO]]*preçodiario[[#This Row],[estoque J]],0)</f>
        <v>1237.9129464285713</v>
      </c>
      <c r="AE2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Row],[data]])),((AE245*AF245)+SUMIFS(estoque[valor total],estoque[produto],preçodiario[[#Headers],[OVO VERMELHO A]],estoque[data],preçodiario[[#This Row],[data]],estoque[fornecedor],"&lt;&gt;saída"))/(AF245+(SUMIFS(estoque[quantidade],estoque[produto],preçodiario[[#Headers],[OVO VERMELHO A]],estoque[fornecedor],"&lt;&gt;saída",estoque[data],preçodiario[[#This Row],[data]])))))</f>
        <v/>
      </c>
      <c r="AF246" s="22">
        <f>IF(preçodiario[[#This Row],[entrada AV]]=0,AF245-(SUMIFS(estoque[quantidade],estoque[fornecedor],"saída",estoque[produto],preçodiario[[#Headers],[OVO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Row],[data]]))+AF245+preçodiario[[#This Row],[entrada AV]])</f>
        <v>0</v>
      </c>
      <c r="AG246" s="22">
        <f>SUMIFS(estoque[quantidade],estoque[fornecedor],"&lt;&gt;saída",estoque[produto],preçodiario[[#Headers],[OVO VERMELHO A]],estoque[data],preçodiario[[#This Row],[data]])</f>
        <v>0</v>
      </c>
      <c r="AH246" s="20">
        <f>SUMIFS(estoque[valor total],estoque[fornecedor],"&lt;&gt;saída",estoque[produto],preçodiario[[#Headers],[OVO VERMELHO A]],estoque[data],preçodiario[[#This Row],[data]])</f>
        <v>0</v>
      </c>
      <c r="AI246" s="20">
        <f>IFERROR(preçodiario[[#This Row],[OVO VERMELHO A]]*preçodiario[[#This Row],[estoque AV]],0)</f>
        <v>0</v>
      </c>
      <c r="AJ2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Row],[data]])),((AJ245*AK245)+SUMIFS(estoque[valor total],estoque[produto],preçodiario[[#Headers],[OVO VERMELHO B]],estoque[data],preçodiario[[#This Row],[data]],estoque[fornecedor],"&lt;&gt;saída"))/(AK245+(SUMIFS(estoque[quantidade],estoque[produto],preçodiario[[#Headers],[OVO VERMELHO B]],estoque[fornecedor],"&lt;&gt;saída",estoque[data],preçodiario[[#This Row],[data]])))))</f>
        <v/>
      </c>
      <c r="AK246" s="22">
        <f>IF(preçodiario[[#This Row],[entrada BV]]=0,AK245-(SUMIFS(estoque[quantidade],estoque[fornecedor],"saída",estoque[produto],preçodiario[[#Headers],[OVO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Row],[data]]))+AK245+preçodiario[[#This Row],[entrada BV]])</f>
        <v>0</v>
      </c>
      <c r="AL246" s="22">
        <f>SUMIFS(estoque[quantidade],estoque[fornecedor],"&lt;&gt;saída",estoque[produto],preçodiario[[#Headers],[OVO VERMELHO B]],estoque[data],preçodiario[[#This Row],[data]])</f>
        <v>0</v>
      </c>
      <c r="AM246" s="20">
        <f>SUMIFS(estoque[valor total],estoque[fornecedor],"&lt;&gt;saída",estoque[produto],preçodiario[[#Headers],[OVO VERMELHO B]],estoque[data],preçodiario[[#This Row],[data]])</f>
        <v>0</v>
      </c>
      <c r="AN246" s="20">
        <f>IFERROR(preçodiario[[#This Row],[OVO VERMELHO B]]*preçodiario[[#This Row],[estoque BV]],0)</f>
        <v>0</v>
      </c>
      <c r="AO2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Row],[data]])),((AO245*AP245)+SUMIFS(estoque[valor total],estoque[produto],preçodiario[[#Headers],[OVO VERMELHO C]],estoque[data],preçodiario[[#This Row],[data]],estoque[fornecedor],"&lt;&gt;saída"))/(AP245+(SUMIFS(estoque[quantidade],estoque[produto],preçodiario[[#Headers],[OVO VERMELHO C]],estoque[fornecedor],"&lt;&gt;saída",estoque[data],preçodiario[[#This Row],[data]])))))</f>
        <v/>
      </c>
      <c r="AP246" s="22">
        <f>IF(preçodiario[[#This Row],[entrada CV]]=0,AP245-(SUMIFS(estoque[quantidade],estoque[fornecedor],"saída",estoque[produto],preçodiario[[#Headers],[OVO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Row],[data]]))+AP245+preçodiario[[#This Row],[entrada CV]])</f>
        <v>0</v>
      </c>
      <c r="AQ246" s="22">
        <f>SUMIFS(estoque[quantidade],estoque[fornecedor],"&lt;&gt;saída",estoque[produto],preçodiario[[#Headers],[OVO VERMELHO C]],estoque[data],preçodiario[[#This Row],[data]])</f>
        <v>0</v>
      </c>
      <c r="AR246" s="20">
        <f>SUMIFS(estoque[valor total],estoque[fornecedor],"&lt;&gt;saída",estoque[produto],preçodiario[[#Headers],[OVO VERMELHO C]],estoque[data],preçodiario[[#This Row],[data]])</f>
        <v>0</v>
      </c>
      <c r="AS246" s="20">
        <f>IFERROR(preçodiario[[#This Row],[OVO VERMELHO C]]*preçodiario[[#This Row],[estoque CV]],0)</f>
        <v>0</v>
      </c>
      <c r="AT2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Row],[data]])),((AT245*AU245)+SUMIFS(estoque[valor total],estoque[produto],preçodiario[[#Headers],[OVO VERMELHO EXTRA]],estoque[data],preçodiario[[#This Row],[data]],estoque[fornecedor],"&lt;&gt;saída"))/(AU245+(SUMIFS(estoque[quantidade],estoque[produto],preçodiario[[#Headers],[OVO VERMELHO EXTRA]],estoque[fornecedor],"&lt;&gt;saída",estoque[data],preçodiario[[#This Row],[data]])))))</f>
        <v/>
      </c>
      <c r="AU246" s="22">
        <f>IF(preçodiario[[#This Row],[entrada EV]]=0,AU245-(SUMIFS(estoque[quantidade],estoque[fornecedor],"saída",estoque[produto],preçodiario[[#Headers],[OVO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Row],[data]]))+AU245+preçodiario[[#This Row],[entrada EV]])</f>
        <v>0</v>
      </c>
      <c r="AV246" s="22">
        <f>SUMIFS(estoque[quantidade],estoque[fornecedor],"&lt;&gt;saída",estoque[produto],preçodiario[[#Headers],[OVO VERMELHO EXTRA]],estoque[data],preçodiario[[#This Row],[data]])</f>
        <v>0</v>
      </c>
      <c r="AW246" s="20">
        <f>SUMIFS(estoque[valor total],estoque[fornecedor],"&lt;&gt;saída",estoque[produto],preçodiario[[#Headers],[OVO VERMELHO EXTRA]],estoque[data],preçodiario[[#This Row],[data]])</f>
        <v>0</v>
      </c>
      <c r="AX246" s="20">
        <f>IFERROR(preçodiario[[#This Row],[OVO VERMELHO EXTRA]]*preçodiario[[#This Row],[estoque EV]],0)</f>
        <v>0</v>
      </c>
      <c r="AY2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Row],[data]])),((AY245*AZ245)+SUMIFS(estoque[valor total],estoque[produto],preçodiario[[#Headers],[OVO VERMELHO JUMBO]],estoque[data],preçodiario[[#This Row],[data]],estoque[fornecedor],"&lt;&gt;saída"))/(AZ245+(SUMIFS(estoque[quantidade],estoque[produto],preçodiario[[#Headers],[OVO VERMELHO JUMBO]],estoque[fornecedor],"&lt;&gt;saída",estoque[data],preçodiario[[#This Row],[data]])))))</f>
        <v/>
      </c>
      <c r="AZ246" s="22">
        <f>IF(preçodiario[[#This Row],[entrada JV]]=0,AZ245-(SUMIFS(estoque[quantidade],estoque[fornecedor],"saída",estoque[produto],preçodiario[[#Headers],[OVO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Row],[data]]))+AZ245+preçodiario[[#This Row],[entrada JV]])</f>
        <v>0</v>
      </c>
      <c r="BA246" s="22">
        <f>SUMIFS(estoque[quantidade],estoque[fornecedor],"&lt;&gt;saída",estoque[produto],preçodiario[[#Headers],[OVO VERMELHO JUMBO]],estoque[data],preçodiario[[#This Row],[data]])</f>
        <v>0</v>
      </c>
      <c r="BB246" s="20">
        <f>SUMIFS(estoque[valor total],estoque[fornecedor],"&lt;&gt;saída",estoque[produto],preçodiario[[#Headers],[OVO VERMELHO JUMBO]],estoque[data],preçodiario[[#This Row],[data]])</f>
        <v>0</v>
      </c>
      <c r="BC246" s="20">
        <f>IFERROR(preçodiario[[#This Row],[OVO VERMELHO JUMBO]]*preçodiario[[#This Row],[estoque JV]],0)</f>
        <v>0</v>
      </c>
      <c r="BD246" t="str">
        <f>TEXT(vendaAno[[#This Row],[data]],"mmm")</f>
        <v>set</v>
      </c>
      <c r="BE246" t="str">
        <f>TEXT(vendaAno[[#This Row],[data]],"ddd")</f>
        <v>qua</v>
      </c>
      <c r="BF246" s="82">
        <f>WEEKNUM(vendaAno[[#This Row],[data]],13)</f>
        <v>36</v>
      </c>
      <c r="BG246" s="27">
        <f>preçodiario[[#This Row],[data]]</f>
        <v>46267</v>
      </c>
      <c r="BH2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Row],[data]]))/12+BJ245,"")</f>
        <v/>
      </c>
      <c r="BK246" s="79" t="str">
        <f ca="1">IF(TODAY()&gt;=vendaAno[[#This Row],[data]],IF(SUMIFS(estoque[quantidade],estoque[fornecedor],"saída",estoque[data],vendaAno[[#This Row],[data]])/12=0,AVERAGE(BK243:BK245),SUMIFS(estoque[quantidade],estoque[fornecedor],"saída",estoque[data],vendaAno[[#This Row],[data]])/12),"")</f>
        <v/>
      </c>
      <c r="BL246" s="8" t="str">
        <f ca="1">IF(vendaAno[[#This Row],[data]]&lt;=TODAY(),IF(SUMIFS(estoque[lucro],estoque[fornecedor],"saída",estoque[data],vendaAno[[#This Row],[data]])=0,AVERAGE(BL243:BL245),SUMIFS(estoque[lucro],estoque[fornecedor],"saída",estoque[data],vendaAno[[#This Row],[data]])),"")</f>
        <v/>
      </c>
      <c r="BM246" s="10" t="str">
        <f ca="1">IFERROR(vendaAno[[#This Row],[lucro]]/vendaAno[[#This Row],[valor de venda]],"")</f>
        <v/>
      </c>
      <c r="BN24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6" s="8" t="str">
        <f ca="1">IF(TODAY()&gt;=vendaAno[[#This Row],[data]],IF(vendaAno[[#This Row],[N°]]=BF245,vendaAno[[#This Row],[lucro]]-173.33+BO245,vendaAno[[#This Row],[lucro]]-150),"")</f>
        <v/>
      </c>
      <c r="BP246" s="81" t="str">
        <f ca="1">IF(TODAY()&gt;=vendaAno[[#This Row],[data]],SUM(BK240:BK246)*12,"")</f>
        <v/>
      </c>
      <c r="BQ246" s="7" t="str">
        <f ca="1">IFERROR(vendaAno[[#This Row],[lucro]]/(vendaAno[[#This Row],[venda]]*12),"")</f>
        <v/>
      </c>
    </row>
    <row r="247" spans="1:69" x14ac:dyDescent="0.25">
      <c r="A2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7" s="18" t="str">
        <f>TEXT(preçodiario[[#This Row],[data]],"MMM")</f>
        <v>set</v>
      </c>
      <c r="C247" s="18" t="str">
        <f>TEXT(preçodiario[[#This Row],[data]],"ddd")</f>
        <v>qui</v>
      </c>
      <c r="D247" s="96">
        <f>WEEKNUM(preçodiario[[#This Row],[data]],13)</f>
        <v>36</v>
      </c>
      <c r="E247" s="37">
        <v>46268</v>
      </c>
      <c r="F2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Row],[data]])),((F246*G246)+SUMIFS(estoque[valor total],estoque[produto],preçodiario[[#Headers],[OVO BRANCO A]],estoque[data],preçodiario[[#This Row],[data]],estoque[fornecedor],"&lt;&gt;saída"))/(G246+(SUMIFS(estoque[quantidade],estoque[produto],preçodiario[[#Headers],[OVO BRANCO A]],estoque[fornecedor],"&lt;&gt;saída",estoque[data],preçodiario[[#This Row],[data]])))))</f>
        <v>15.278182701652089</v>
      </c>
      <c r="G247" s="22">
        <f>IF(preçodiario[[#This Row],[entrada A]]=0,G246-(SUMIFS(estoque[quantidade],estoque[fornecedor],"saída",estoque[produto],preçodiario[[#Headers],[OVO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Row],[data]]))+G246+preçodiario[[#This Row],[entrada A]])</f>
        <v>133</v>
      </c>
      <c r="H247" s="22">
        <f>SUMIFS(estoque[quantidade],estoque[fornecedor],"&lt;&gt;saída",estoque[produto],preçodiario[[#Headers],[OVO BRANCO A]],estoque[data],preçodiario[[#This Row],[data]])</f>
        <v>0</v>
      </c>
      <c r="I247" s="20">
        <f>SUMIFS(estoque[valor total],estoque[fornecedor],"&lt;&gt;saída",estoque[produto],preçodiario[[#Headers],[OVO BRANCO A]],estoque[data],preçodiario[[#This Row],[data]])</f>
        <v>0</v>
      </c>
      <c r="J247" s="20">
        <f>IFERROR(preçodiario[[#This Row],[estoque A]]*preçodiario[[#This Row],[OVO BRANCO A]],0)</f>
        <v>2031.9982993197277</v>
      </c>
      <c r="K2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Row],[data]])),((K246*L246)+SUMIFS(estoque[valor total],estoque[produto],preçodiario[[#Headers],[OVO BRANCO B]],estoque[data],preçodiario[[#This Row],[data]],estoque[fornecedor],"&lt;&gt;saída"))/(L246+(SUMIFS(estoque[quantidade],estoque[produto],preçodiario[[#Headers],[OVO BRANCO B]],estoque[fornecedor],"&lt;&gt;saída",estoque[data],preçodiario[[#This Row],[data]])))))</f>
        <v>14.584252837326604</v>
      </c>
      <c r="L247" s="22">
        <f>IF(preçodiario[[#This Row],[entrada B]]=0,L246-(SUMIFS(estoque[quantidade],estoque[fornecedor],"saída",estoque[produto],preçodiario[[#Headers],[OVO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Row],[data]]))+L246+preçodiario[[#This Row],[entrada B]])</f>
        <v>16</v>
      </c>
      <c r="M247" s="22">
        <f>SUMIFS(estoque[quantidade],estoque[fornecedor],"&lt;&gt;saída",estoque[produto],preçodiario[[#Headers],[OVO BRANCO B]],estoque[data],preçodiario[[#This Row],[data]])</f>
        <v>0</v>
      </c>
      <c r="N247" s="20">
        <f>SUMIFS(estoque[valor total],estoque[fornecedor],"&lt;&gt;saída",estoque[produto],preçodiario[[#Headers],[OVO BRANCO B]],estoque[data],preçodiario[[#This Row],[data]])</f>
        <v>0</v>
      </c>
      <c r="O247" s="20">
        <f>IFERROR(preçodiario[[#This Row],[OVO BRANCO B]]*preçodiario[[#This Row],[estoque B]],0)</f>
        <v>233.34804539722566</v>
      </c>
      <c r="P2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Row],[data]])),((P246*Q246)+SUMIFS(estoque[valor total],estoque[produto],preçodiario[[#Headers],[OVO BRANCO C]],estoque[data],preçodiario[[#This Row],[data]],estoque[fornecedor],"&lt;&gt;saída"))/(Q246+(SUMIFS(estoque[quantidade],estoque[produto],preçodiario[[#Headers],[OVO BRANCO C]],estoque[fornecedor],"&lt;&gt;saída",estoque[data],preçodiario[[#This Row],[data]])))))</f>
        <v>12.5</v>
      </c>
      <c r="Q247" s="22">
        <f>IF(preçodiario[[#This Row],[entrada C]]=0,Q246-(SUMIFS(estoque[quantidade],estoque[fornecedor],"saída",estoque[produto],preçodiario[[#Headers],[OVO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Row],[data]]))+Q246+preçodiario[[#This Row],[entrada C]])</f>
        <v>60</v>
      </c>
      <c r="R247" s="22">
        <f>SUMIFS(estoque[quantidade],estoque[fornecedor],"&lt;&gt;saída",estoque[produto],preçodiario[[#Headers],[OVO BRANCO C]],estoque[data],preçodiario[[#This Row],[data]])</f>
        <v>0</v>
      </c>
      <c r="S247" s="20">
        <f>SUMIFS(estoque[valor total],estoque[fornecedor],"&lt;&gt;saída",estoque[produto],preçodiario[[#Headers],[OVO BRANCO C]],estoque[data],preçodiario[[#This Row],[data]])</f>
        <v>0</v>
      </c>
      <c r="T247" s="20">
        <f>IFERROR(preçodiario[[#This Row],[OVO BRANCO C]]*preçodiario[[#This Row],[estoque C]],0)</f>
        <v>750</v>
      </c>
      <c r="U2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Row],[data]])),((U246*V246)+SUMIFS(estoque[valor total],estoque[produto],preçodiario[[#Headers],[OVO BRANCO EXTRA]],estoque[data],preçodiario[[#This Row],[data]],estoque[fornecedor],"&lt;&gt;saída"))/(V246+(SUMIFS(estoque[quantidade],estoque[produto],preçodiario[[#Headers],[OVO BRANCO EXTRA]],estoque[fornecedor],"&lt;&gt;saída",estoque[data],preçodiario[[#This Row],[data]])))))</f>
        <v>15.725438400674655</v>
      </c>
      <c r="V247" s="22">
        <f>IF(preçodiario[[#This Row],[entrada E]]=0,V246-(SUMIFS(estoque[quantidade],estoque[fornecedor],"saída",estoque[produto],preçodiario[[#Headers],[OVO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Row],[data]]))+V246+preçodiario[[#This Row],[entrada E]])</f>
        <v>46</v>
      </c>
      <c r="W247" s="22">
        <f>SUMIFS(estoque[quantidade],estoque[fornecedor],"&lt;&gt;saída",estoque[produto],preçodiario[[#Headers],[OVO BRANCO EXTRA]],estoque[data],preçodiario[[#This Row],[data]])</f>
        <v>0</v>
      </c>
      <c r="X247" s="20">
        <f>SUMIFS(estoque[valor total],estoque[fornecedor],"&lt;&gt;saída",estoque[produto],preçodiario[[#Headers],[OVO BRANCO EXTRA]],estoque[data],preçodiario[[#This Row],[data]])</f>
        <v>0</v>
      </c>
      <c r="Y247" s="20">
        <f>IFERROR(preçodiario[[#This Row],[estoque E]]*preçodiario[[#This Row],[OVO BRANCO EXTRA]],0)</f>
        <v>723.37016643103414</v>
      </c>
      <c r="Z2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Row],[data]])),((Z246*AA246)+SUMIFS(estoque[valor total],estoque[produto],preçodiario[[#Headers],[OVO BRANCO JUMBO]],estoque[data],preçodiario[[#This Row],[data]],estoque[fornecedor],"&lt;&gt;saída"))/(AA246+(SUMIFS(estoque[quantidade],estoque[produto],preçodiario[[#Headers],[OVO BRANCO JUMBO]],estoque[fornecedor],"&lt;&gt;saída",estoque[data],preçodiario[[#This Row],[data]])))))</f>
        <v>16.50550595238095</v>
      </c>
      <c r="AA247" s="22">
        <f>IF(preçodiario[[#This Row],[entrada J]]=0,AA246-(SUMIFS(estoque[quantidade],estoque[fornecedor],"saída",estoque[produto],preçodiario[[#Headers],[OVO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Row],[data]]))+AA246+preçodiario[[#This Row],[entrada J]])</f>
        <v>75</v>
      </c>
      <c r="AB247" s="22">
        <f>SUMIFS(estoque[quantidade],estoque[fornecedor],"&lt;&gt;saída",estoque[produto],preçodiario[[#Headers],[OVO BRANCO JUMBO]],estoque[data],preçodiario[[#This Row],[data]])</f>
        <v>0</v>
      </c>
      <c r="AC247" s="20">
        <f>SUMIFS(estoque[valor total],estoque[fornecedor],"&lt;&gt;saída",estoque[produto],preçodiario[[#Headers],[OVO BRANCO JUMBO]],estoque[data],preçodiario[[#This Row],[data]])</f>
        <v>0</v>
      </c>
      <c r="AD247" s="20">
        <f>IFERROR(preçodiario[[#This Row],[OVO BRANCO JUMBO]]*preçodiario[[#This Row],[estoque J]],0)</f>
        <v>1237.9129464285713</v>
      </c>
      <c r="AE2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Row],[data]])),((AE246*AF246)+SUMIFS(estoque[valor total],estoque[produto],preçodiario[[#Headers],[OVO VERMELHO A]],estoque[data],preçodiario[[#This Row],[data]],estoque[fornecedor],"&lt;&gt;saída"))/(AF246+(SUMIFS(estoque[quantidade],estoque[produto],preçodiario[[#Headers],[OVO VERMELHO A]],estoque[fornecedor],"&lt;&gt;saída",estoque[data],preçodiario[[#This Row],[data]])))))</f>
        <v/>
      </c>
      <c r="AF247" s="22">
        <f>IF(preçodiario[[#This Row],[entrada AV]]=0,AF246-(SUMIFS(estoque[quantidade],estoque[fornecedor],"saída",estoque[produto],preçodiario[[#Headers],[OVO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Row],[data]]))+AF246+preçodiario[[#This Row],[entrada AV]])</f>
        <v>0</v>
      </c>
      <c r="AG247" s="22">
        <f>SUMIFS(estoque[quantidade],estoque[fornecedor],"&lt;&gt;saída",estoque[produto],preçodiario[[#Headers],[OVO VERMELHO A]],estoque[data],preçodiario[[#This Row],[data]])</f>
        <v>0</v>
      </c>
      <c r="AH247" s="20">
        <f>SUMIFS(estoque[valor total],estoque[fornecedor],"&lt;&gt;saída",estoque[produto],preçodiario[[#Headers],[OVO VERMELHO A]],estoque[data],preçodiario[[#This Row],[data]])</f>
        <v>0</v>
      </c>
      <c r="AI247" s="20">
        <f>IFERROR(preçodiario[[#This Row],[OVO VERMELHO A]]*preçodiario[[#This Row],[estoque AV]],0)</f>
        <v>0</v>
      </c>
      <c r="AJ2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Row],[data]])),((AJ246*AK246)+SUMIFS(estoque[valor total],estoque[produto],preçodiario[[#Headers],[OVO VERMELHO B]],estoque[data],preçodiario[[#This Row],[data]],estoque[fornecedor],"&lt;&gt;saída"))/(AK246+(SUMIFS(estoque[quantidade],estoque[produto],preçodiario[[#Headers],[OVO VERMELHO B]],estoque[fornecedor],"&lt;&gt;saída",estoque[data],preçodiario[[#This Row],[data]])))))</f>
        <v/>
      </c>
      <c r="AK247" s="22">
        <f>IF(preçodiario[[#This Row],[entrada BV]]=0,AK246-(SUMIFS(estoque[quantidade],estoque[fornecedor],"saída",estoque[produto],preçodiario[[#Headers],[OVO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Row],[data]]))+AK246+preçodiario[[#This Row],[entrada BV]])</f>
        <v>0</v>
      </c>
      <c r="AL247" s="22">
        <f>SUMIFS(estoque[quantidade],estoque[fornecedor],"&lt;&gt;saída",estoque[produto],preçodiario[[#Headers],[OVO VERMELHO B]],estoque[data],preçodiario[[#This Row],[data]])</f>
        <v>0</v>
      </c>
      <c r="AM247" s="20">
        <f>SUMIFS(estoque[valor total],estoque[fornecedor],"&lt;&gt;saída",estoque[produto],preçodiario[[#Headers],[OVO VERMELHO B]],estoque[data],preçodiario[[#This Row],[data]])</f>
        <v>0</v>
      </c>
      <c r="AN247" s="20">
        <f>IFERROR(preçodiario[[#This Row],[OVO VERMELHO B]]*preçodiario[[#This Row],[estoque BV]],0)</f>
        <v>0</v>
      </c>
      <c r="AO2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Row],[data]])),((AO246*AP246)+SUMIFS(estoque[valor total],estoque[produto],preçodiario[[#Headers],[OVO VERMELHO C]],estoque[data],preçodiario[[#This Row],[data]],estoque[fornecedor],"&lt;&gt;saída"))/(AP246+(SUMIFS(estoque[quantidade],estoque[produto],preçodiario[[#Headers],[OVO VERMELHO C]],estoque[fornecedor],"&lt;&gt;saída",estoque[data],preçodiario[[#This Row],[data]])))))</f>
        <v/>
      </c>
      <c r="AP247" s="22">
        <f>IF(preçodiario[[#This Row],[entrada CV]]=0,AP246-(SUMIFS(estoque[quantidade],estoque[fornecedor],"saída",estoque[produto],preçodiario[[#Headers],[OVO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Row],[data]]))+AP246+preçodiario[[#This Row],[entrada CV]])</f>
        <v>0</v>
      </c>
      <c r="AQ247" s="22">
        <f>SUMIFS(estoque[quantidade],estoque[fornecedor],"&lt;&gt;saída",estoque[produto],preçodiario[[#Headers],[OVO VERMELHO C]],estoque[data],preçodiario[[#This Row],[data]])</f>
        <v>0</v>
      </c>
      <c r="AR247" s="20">
        <f>SUMIFS(estoque[valor total],estoque[fornecedor],"&lt;&gt;saída",estoque[produto],preçodiario[[#Headers],[OVO VERMELHO C]],estoque[data],preçodiario[[#This Row],[data]])</f>
        <v>0</v>
      </c>
      <c r="AS247" s="20">
        <f>IFERROR(preçodiario[[#This Row],[OVO VERMELHO C]]*preçodiario[[#This Row],[estoque CV]],0)</f>
        <v>0</v>
      </c>
      <c r="AT2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Row],[data]])),((AT246*AU246)+SUMIFS(estoque[valor total],estoque[produto],preçodiario[[#Headers],[OVO VERMELHO EXTRA]],estoque[data],preçodiario[[#This Row],[data]],estoque[fornecedor],"&lt;&gt;saída"))/(AU246+(SUMIFS(estoque[quantidade],estoque[produto],preçodiario[[#Headers],[OVO VERMELHO EXTRA]],estoque[fornecedor],"&lt;&gt;saída",estoque[data],preçodiario[[#This Row],[data]])))))</f>
        <v/>
      </c>
      <c r="AU247" s="22">
        <f>IF(preçodiario[[#This Row],[entrada EV]]=0,AU246-(SUMIFS(estoque[quantidade],estoque[fornecedor],"saída",estoque[produto],preçodiario[[#Headers],[OVO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Row],[data]]))+AU246+preçodiario[[#This Row],[entrada EV]])</f>
        <v>0</v>
      </c>
      <c r="AV247" s="22">
        <f>SUMIFS(estoque[quantidade],estoque[fornecedor],"&lt;&gt;saída",estoque[produto],preçodiario[[#Headers],[OVO VERMELHO EXTRA]],estoque[data],preçodiario[[#This Row],[data]])</f>
        <v>0</v>
      </c>
      <c r="AW247" s="20">
        <f>SUMIFS(estoque[valor total],estoque[fornecedor],"&lt;&gt;saída",estoque[produto],preçodiario[[#Headers],[OVO VERMELHO EXTRA]],estoque[data],preçodiario[[#This Row],[data]])</f>
        <v>0</v>
      </c>
      <c r="AX247" s="20">
        <f>IFERROR(preçodiario[[#This Row],[OVO VERMELHO EXTRA]]*preçodiario[[#This Row],[estoque EV]],0)</f>
        <v>0</v>
      </c>
      <c r="AY2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Row],[data]])),((AY246*AZ246)+SUMIFS(estoque[valor total],estoque[produto],preçodiario[[#Headers],[OVO VERMELHO JUMBO]],estoque[data],preçodiario[[#This Row],[data]],estoque[fornecedor],"&lt;&gt;saída"))/(AZ246+(SUMIFS(estoque[quantidade],estoque[produto],preçodiario[[#Headers],[OVO VERMELHO JUMBO]],estoque[fornecedor],"&lt;&gt;saída",estoque[data],preçodiario[[#This Row],[data]])))))</f>
        <v/>
      </c>
      <c r="AZ247" s="22">
        <f>IF(preçodiario[[#This Row],[entrada JV]]=0,AZ246-(SUMIFS(estoque[quantidade],estoque[fornecedor],"saída",estoque[produto],preçodiario[[#Headers],[OVO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Row],[data]]))+AZ246+preçodiario[[#This Row],[entrada JV]])</f>
        <v>0</v>
      </c>
      <c r="BA247" s="22">
        <f>SUMIFS(estoque[quantidade],estoque[fornecedor],"&lt;&gt;saída",estoque[produto],preçodiario[[#Headers],[OVO VERMELHO JUMBO]],estoque[data],preçodiario[[#This Row],[data]])</f>
        <v>0</v>
      </c>
      <c r="BB247" s="20">
        <f>SUMIFS(estoque[valor total],estoque[fornecedor],"&lt;&gt;saída",estoque[produto],preçodiario[[#Headers],[OVO VERMELHO JUMBO]],estoque[data],preçodiario[[#This Row],[data]])</f>
        <v>0</v>
      </c>
      <c r="BC247" s="20">
        <f>IFERROR(preçodiario[[#This Row],[OVO VERMELHO JUMBO]]*preçodiario[[#This Row],[estoque JV]],0)</f>
        <v>0</v>
      </c>
      <c r="BD247" t="str">
        <f>TEXT(vendaAno[[#This Row],[data]],"mmm")</f>
        <v>set</v>
      </c>
      <c r="BE247" t="str">
        <f>TEXT(vendaAno[[#This Row],[data]],"ddd")</f>
        <v>qui</v>
      </c>
      <c r="BF247" s="82">
        <f>WEEKNUM(vendaAno[[#This Row],[data]],13)</f>
        <v>36</v>
      </c>
      <c r="BG247" s="27">
        <f>preçodiario[[#This Row],[data]]</f>
        <v>46268</v>
      </c>
      <c r="BH2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Row],[data]]))/12+BJ246,"")</f>
        <v/>
      </c>
      <c r="BK247" s="79" t="str">
        <f ca="1">IF(TODAY()&gt;=vendaAno[[#This Row],[data]],IF(SUMIFS(estoque[quantidade],estoque[fornecedor],"saída",estoque[data],vendaAno[[#This Row],[data]])/12=0,AVERAGE(BK244:BK246),SUMIFS(estoque[quantidade],estoque[fornecedor],"saída",estoque[data],vendaAno[[#This Row],[data]])/12),"")</f>
        <v/>
      </c>
      <c r="BL247" s="8" t="str">
        <f ca="1">IF(vendaAno[[#This Row],[data]]&lt;=TODAY(),IF(SUMIFS(estoque[lucro],estoque[fornecedor],"saída",estoque[data],vendaAno[[#This Row],[data]])=0,AVERAGE(BL244:BL246),SUMIFS(estoque[lucro],estoque[fornecedor],"saída",estoque[data],vendaAno[[#This Row],[data]])),"")</f>
        <v/>
      </c>
      <c r="BM247" s="10" t="str">
        <f ca="1">IFERROR(vendaAno[[#This Row],[lucro]]/vendaAno[[#This Row],[valor de venda]],"")</f>
        <v/>
      </c>
      <c r="BN24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7" s="8" t="str">
        <f ca="1">IF(TODAY()&gt;=vendaAno[[#This Row],[data]],IF(vendaAno[[#This Row],[N°]]=BF246,vendaAno[[#This Row],[lucro]]-173.33+BO246,vendaAno[[#This Row],[lucro]]-150),"")</f>
        <v/>
      </c>
      <c r="BP247" s="81" t="str">
        <f ca="1">IF(TODAY()&gt;=vendaAno[[#This Row],[data]],SUM(BK241:BK247)*12,"")</f>
        <v/>
      </c>
      <c r="BQ247" s="7" t="str">
        <f ca="1">IFERROR(vendaAno[[#This Row],[lucro]]/(vendaAno[[#This Row],[venda]]*12),"")</f>
        <v/>
      </c>
    </row>
    <row r="248" spans="1:69" x14ac:dyDescent="0.25">
      <c r="A2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8" s="18" t="str">
        <f>TEXT(preçodiario[[#This Row],[data]],"MMM")</f>
        <v>set</v>
      </c>
      <c r="C248" s="18" t="str">
        <f>TEXT(preçodiario[[#This Row],[data]],"ddd")</f>
        <v>sex</v>
      </c>
      <c r="D248" s="96">
        <f>WEEKNUM(preçodiario[[#This Row],[data]],13)</f>
        <v>36</v>
      </c>
      <c r="E248" s="37">
        <v>46269</v>
      </c>
      <c r="F2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Row],[data]])),((F247*G247)+SUMIFS(estoque[valor total],estoque[produto],preçodiario[[#Headers],[OVO BRANCO A]],estoque[data],preçodiario[[#This Row],[data]],estoque[fornecedor],"&lt;&gt;saída"))/(G247+(SUMIFS(estoque[quantidade],estoque[produto],preçodiario[[#Headers],[OVO BRANCO A]],estoque[fornecedor],"&lt;&gt;saída",estoque[data],preçodiario[[#This Row],[data]])))))</f>
        <v>15.278182701652089</v>
      </c>
      <c r="G248" s="22">
        <f>IF(preçodiario[[#This Row],[entrada A]]=0,G247-(SUMIFS(estoque[quantidade],estoque[fornecedor],"saída",estoque[produto],preçodiario[[#Headers],[OVO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Row],[data]]))+G247+preçodiario[[#This Row],[entrada A]])</f>
        <v>133</v>
      </c>
      <c r="H248" s="22">
        <f>SUMIFS(estoque[quantidade],estoque[fornecedor],"&lt;&gt;saída",estoque[produto],preçodiario[[#Headers],[OVO BRANCO A]],estoque[data],preçodiario[[#This Row],[data]])</f>
        <v>0</v>
      </c>
      <c r="I248" s="20">
        <f>SUMIFS(estoque[valor total],estoque[fornecedor],"&lt;&gt;saída",estoque[produto],preçodiario[[#Headers],[OVO BRANCO A]],estoque[data],preçodiario[[#This Row],[data]])</f>
        <v>0</v>
      </c>
      <c r="J248" s="20">
        <f>IFERROR(preçodiario[[#This Row],[estoque A]]*preçodiario[[#This Row],[OVO BRANCO A]],0)</f>
        <v>2031.9982993197277</v>
      </c>
      <c r="K2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Row],[data]])),((K247*L247)+SUMIFS(estoque[valor total],estoque[produto],preçodiario[[#Headers],[OVO BRANCO B]],estoque[data],preçodiario[[#This Row],[data]],estoque[fornecedor],"&lt;&gt;saída"))/(L247+(SUMIFS(estoque[quantidade],estoque[produto],preçodiario[[#Headers],[OVO BRANCO B]],estoque[fornecedor],"&lt;&gt;saída",estoque[data],preçodiario[[#This Row],[data]])))))</f>
        <v>14.584252837326604</v>
      </c>
      <c r="L248" s="22">
        <f>IF(preçodiario[[#This Row],[entrada B]]=0,L247-(SUMIFS(estoque[quantidade],estoque[fornecedor],"saída",estoque[produto],preçodiario[[#Headers],[OVO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Row],[data]]))+L247+preçodiario[[#This Row],[entrada B]])</f>
        <v>16</v>
      </c>
      <c r="M248" s="22">
        <f>SUMIFS(estoque[quantidade],estoque[fornecedor],"&lt;&gt;saída",estoque[produto],preçodiario[[#Headers],[OVO BRANCO B]],estoque[data],preçodiario[[#This Row],[data]])</f>
        <v>0</v>
      </c>
      <c r="N248" s="20">
        <f>SUMIFS(estoque[valor total],estoque[fornecedor],"&lt;&gt;saída",estoque[produto],preçodiario[[#Headers],[OVO BRANCO B]],estoque[data],preçodiario[[#This Row],[data]])</f>
        <v>0</v>
      </c>
      <c r="O248" s="20">
        <f>IFERROR(preçodiario[[#This Row],[OVO BRANCO B]]*preçodiario[[#This Row],[estoque B]],0)</f>
        <v>233.34804539722566</v>
      </c>
      <c r="P2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Row],[data]])),((P247*Q247)+SUMIFS(estoque[valor total],estoque[produto],preçodiario[[#Headers],[OVO BRANCO C]],estoque[data],preçodiario[[#This Row],[data]],estoque[fornecedor],"&lt;&gt;saída"))/(Q247+(SUMIFS(estoque[quantidade],estoque[produto],preçodiario[[#Headers],[OVO BRANCO C]],estoque[fornecedor],"&lt;&gt;saída",estoque[data],preçodiario[[#This Row],[data]])))))</f>
        <v>12.5</v>
      </c>
      <c r="Q248" s="22">
        <f>IF(preçodiario[[#This Row],[entrada C]]=0,Q247-(SUMIFS(estoque[quantidade],estoque[fornecedor],"saída",estoque[produto],preçodiario[[#Headers],[OVO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Row],[data]]))+Q247+preçodiario[[#This Row],[entrada C]])</f>
        <v>60</v>
      </c>
      <c r="R248" s="22">
        <f>SUMIFS(estoque[quantidade],estoque[fornecedor],"&lt;&gt;saída",estoque[produto],preçodiario[[#Headers],[OVO BRANCO C]],estoque[data],preçodiario[[#This Row],[data]])</f>
        <v>0</v>
      </c>
      <c r="S248" s="20">
        <f>SUMIFS(estoque[valor total],estoque[fornecedor],"&lt;&gt;saída",estoque[produto],preçodiario[[#Headers],[OVO BRANCO C]],estoque[data],preçodiario[[#This Row],[data]])</f>
        <v>0</v>
      </c>
      <c r="T248" s="20">
        <f>IFERROR(preçodiario[[#This Row],[OVO BRANCO C]]*preçodiario[[#This Row],[estoque C]],0)</f>
        <v>750</v>
      </c>
      <c r="U2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Row],[data]])),((U247*V247)+SUMIFS(estoque[valor total],estoque[produto],preçodiario[[#Headers],[OVO BRANCO EXTRA]],estoque[data],preçodiario[[#This Row],[data]],estoque[fornecedor],"&lt;&gt;saída"))/(V247+(SUMIFS(estoque[quantidade],estoque[produto],preçodiario[[#Headers],[OVO BRANCO EXTRA]],estoque[fornecedor],"&lt;&gt;saída",estoque[data],preçodiario[[#This Row],[data]])))))</f>
        <v>15.725438400674655</v>
      </c>
      <c r="V248" s="22">
        <f>IF(preçodiario[[#This Row],[entrada E]]=0,V247-(SUMIFS(estoque[quantidade],estoque[fornecedor],"saída",estoque[produto],preçodiario[[#Headers],[OVO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Row],[data]]))+V247+preçodiario[[#This Row],[entrada E]])</f>
        <v>46</v>
      </c>
      <c r="W248" s="22">
        <f>SUMIFS(estoque[quantidade],estoque[fornecedor],"&lt;&gt;saída",estoque[produto],preçodiario[[#Headers],[OVO BRANCO EXTRA]],estoque[data],preçodiario[[#This Row],[data]])</f>
        <v>0</v>
      </c>
      <c r="X248" s="20">
        <f>SUMIFS(estoque[valor total],estoque[fornecedor],"&lt;&gt;saída",estoque[produto],preçodiario[[#Headers],[OVO BRANCO EXTRA]],estoque[data],preçodiario[[#This Row],[data]])</f>
        <v>0</v>
      </c>
      <c r="Y248" s="20">
        <f>IFERROR(preçodiario[[#This Row],[estoque E]]*preçodiario[[#This Row],[OVO BRANCO EXTRA]],0)</f>
        <v>723.37016643103414</v>
      </c>
      <c r="Z2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Row],[data]])),((Z247*AA247)+SUMIFS(estoque[valor total],estoque[produto],preçodiario[[#Headers],[OVO BRANCO JUMBO]],estoque[data],preçodiario[[#This Row],[data]],estoque[fornecedor],"&lt;&gt;saída"))/(AA247+(SUMIFS(estoque[quantidade],estoque[produto],preçodiario[[#Headers],[OVO BRANCO JUMBO]],estoque[fornecedor],"&lt;&gt;saída",estoque[data],preçodiario[[#This Row],[data]])))))</f>
        <v>16.50550595238095</v>
      </c>
      <c r="AA248" s="22">
        <f>IF(preçodiario[[#This Row],[entrada J]]=0,AA247-(SUMIFS(estoque[quantidade],estoque[fornecedor],"saída",estoque[produto],preçodiario[[#Headers],[OVO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Row],[data]]))+AA247+preçodiario[[#This Row],[entrada J]])</f>
        <v>75</v>
      </c>
      <c r="AB248" s="22">
        <f>SUMIFS(estoque[quantidade],estoque[fornecedor],"&lt;&gt;saída",estoque[produto],preçodiario[[#Headers],[OVO BRANCO JUMBO]],estoque[data],preçodiario[[#This Row],[data]])</f>
        <v>0</v>
      </c>
      <c r="AC248" s="20">
        <f>SUMIFS(estoque[valor total],estoque[fornecedor],"&lt;&gt;saída",estoque[produto],preçodiario[[#Headers],[OVO BRANCO JUMBO]],estoque[data],preçodiario[[#This Row],[data]])</f>
        <v>0</v>
      </c>
      <c r="AD248" s="20">
        <f>IFERROR(preçodiario[[#This Row],[OVO BRANCO JUMBO]]*preçodiario[[#This Row],[estoque J]],0)</f>
        <v>1237.9129464285713</v>
      </c>
      <c r="AE2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Row],[data]])),((AE247*AF247)+SUMIFS(estoque[valor total],estoque[produto],preçodiario[[#Headers],[OVO VERMELHO A]],estoque[data],preçodiario[[#This Row],[data]],estoque[fornecedor],"&lt;&gt;saída"))/(AF247+(SUMIFS(estoque[quantidade],estoque[produto],preçodiario[[#Headers],[OVO VERMELHO A]],estoque[fornecedor],"&lt;&gt;saída",estoque[data],preçodiario[[#This Row],[data]])))))</f>
        <v/>
      </c>
      <c r="AF248" s="22">
        <f>IF(preçodiario[[#This Row],[entrada AV]]=0,AF247-(SUMIFS(estoque[quantidade],estoque[fornecedor],"saída",estoque[produto],preçodiario[[#Headers],[OVO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Row],[data]]))+AF247+preçodiario[[#This Row],[entrada AV]])</f>
        <v>0</v>
      </c>
      <c r="AG248" s="22">
        <f>SUMIFS(estoque[quantidade],estoque[fornecedor],"&lt;&gt;saída",estoque[produto],preçodiario[[#Headers],[OVO VERMELHO A]],estoque[data],preçodiario[[#This Row],[data]])</f>
        <v>0</v>
      </c>
      <c r="AH248" s="20">
        <f>SUMIFS(estoque[valor total],estoque[fornecedor],"&lt;&gt;saída",estoque[produto],preçodiario[[#Headers],[OVO VERMELHO A]],estoque[data],preçodiario[[#This Row],[data]])</f>
        <v>0</v>
      </c>
      <c r="AI248" s="20">
        <f>IFERROR(preçodiario[[#This Row],[OVO VERMELHO A]]*preçodiario[[#This Row],[estoque AV]],0)</f>
        <v>0</v>
      </c>
      <c r="AJ2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Row],[data]])),((AJ247*AK247)+SUMIFS(estoque[valor total],estoque[produto],preçodiario[[#Headers],[OVO VERMELHO B]],estoque[data],preçodiario[[#This Row],[data]],estoque[fornecedor],"&lt;&gt;saída"))/(AK247+(SUMIFS(estoque[quantidade],estoque[produto],preçodiario[[#Headers],[OVO VERMELHO B]],estoque[fornecedor],"&lt;&gt;saída",estoque[data],preçodiario[[#This Row],[data]])))))</f>
        <v/>
      </c>
      <c r="AK248" s="22">
        <f>IF(preçodiario[[#This Row],[entrada BV]]=0,AK247-(SUMIFS(estoque[quantidade],estoque[fornecedor],"saída",estoque[produto],preçodiario[[#Headers],[OVO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Row],[data]]))+AK247+preçodiario[[#This Row],[entrada BV]])</f>
        <v>0</v>
      </c>
      <c r="AL248" s="22">
        <f>SUMIFS(estoque[quantidade],estoque[fornecedor],"&lt;&gt;saída",estoque[produto],preçodiario[[#Headers],[OVO VERMELHO B]],estoque[data],preçodiario[[#This Row],[data]])</f>
        <v>0</v>
      </c>
      <c r="AM248" s="20">
        <f>SUMIFS(estoque[valor total],estoque[fornecedor],"&lt;&gt;saída",estoque[produto],preçodiario[[#Headers],[OVO VERMELHO B]],estoque[data],preçodiario[[#This Row],[data]])</f>
        <v>0</v>
      </c>
      <c r="AN248" s="20">
        <f>IFERROR(preçodiario[[#This Row],[OVO VERMELHO B]]*preçodiario[[#This Row],[estoque BV]],0)</f>
        <v>0</v>
      </c>
      <c r="AO2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Row],[data]])),((AO247*AP247)+SUMIFS(estoque[valor total],estoque[produto],preçodiario[[#Headers],[OVO VERMELHO C]],estoque[data],preçodiario[[#This Row],[data]],estoque[fornecedor],"&lt;&gt;saída"))/(AP247+(SUMIFS(estoque[quantidade],estoque[produto],preçodiario[[#Headers],[OVO VERMELHO C]],estoque[fornecedor],"&lt;&gt;saída",estoque[data],preçodiario[[#This Row],[data]])))))</f>
        <v/>
      </c>
      <c r="AP248" s="22">
        <f>IF(preçodiario[[#This Row],[entrada CV]]=0,AP247-(SUMIFS(estoque[quantidade],estoque[fornecedor],"saída",estoque[produto],preçodiario[[#Headers],[OVO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Row],[data]]))+AP247+preçodiario[[#This Row],[entrada CV]])</f>
        <v>0</v>
      </c>
      <c r="AQ248" s="22">
        <f>SUMIFS(estoque[quantidade],estoque[fornecedor],"&lt;&gt;saída",estoque[produto],preçodiario[[#Headers],[OVO VERMELHO C]],estoque[data],preçodiario[[#This Row],[data]])</f>
        <v>0</v>
      </c>
      <c r="AR248" s="20">
        <f>SUMIFS(estoque[valor total],estoque[fornecedor],"&lt;&gt;saída",estoque[produto],preçodiario[[#Headers],[OVO VERMELHO C]],estoque[data],preçodiario[[#This Row],[data]])</f>
        <v>0</v>
      </c>
      <c r="AS248" s="20">
        <f>IFERROR(preçodiario[[#This Row],[OVO VERMELHO C]]*preçodiario[[#This Row],[estoque CV]],0)</f>
        <v>0</v>
      </c>
      <c r="AT2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Row],[data]])),((AT247*AU247)+SUMIFS(estoque[valor total],estoque[produto],preçodiario[[#Headers],[OVO VERMELHO EXTRA]],estoque[data],preçodiario[[#This Row],[data]],estoque[fornecedor],"&lt;&gt;saída"))/(AU247+(SUMIFS(estoque[quantidade],estoque[produto],preçodiario[[#Headers],[OVO VERMELHO EXTRA]],estoque[fornecedor],"&lt;&gt;saída",estoque[data],preçodiario[[#This Row],[data]])))))</f>
        <v/>
      </c>
      <c r="AU248" s="22">
        <f>IF(preçodiario[[#This Row],[entrada EV]]=0,AU247-(SUMIFS(estoque[quantidade],estoque[fornecedor],"saída",estoque[produto],preçodiario[[#Headers],[OVO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Row],[data]]))+AU247+preçodiario[[#This Row],[entrada EV]])</f>
        <v>0</v>
      </c>
      <c r="AV248" s="22">
        <f>SUMIFS(estoque[quantidade],estoque[fornecedor],"&lt;&gt;saída",estoque[produto],preçodiario[[#Headers],[OVO VERMELHO EXTRA]],estoque[data],preçodiario[[#This Row],[data]])</f>
        <v>0</v>
      </c>
      <c r="AW248" s="20">
        <f>SUMIFS(estoque[valor total],estoque[fornecedor],"&lt;&gt;saída",estoque[produto],preçodiario[[#Headers],[OVO VERMELHO EXTRA]],estoque[data],preçodiario[[#This Row],[data]])</f>
        <v>0</v>
      </c>
      <c r="AX248" s="20">
        <f>IFERROR(preçodiario[[#This Row],[OVO VERMELHO EXTRA]]*preçodiario[[#This Row],[estoque EV]],0)</f>
        <v>0</v>
      </c>
      <c r="AY2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Row],[data]])),((AY247*AZ247)+SUMIFS(estoque[valor total],estoque[produto],preçodiario[[#Headers],[OVO VERMELHO JUMBO]],estoque[data],preçodiario[[#This Row],[data]],estoque[fornecedor],"&lt;&gt;saída"))/(AZ247+(SUMIFS(estoque[quantidade],estoque[produto],preçodiario[[#Headers],[OVO VERMELHO JUMBO]],estoque[fornecedor],"&lt;&gt;saída",estoque[data],preçodiario[[#This Row],[data]])))))</f>
        <v/>
      </c>
      <c r="AZ248" s="22">
        <f>IF(preçodiario[[#This Row],[entrada JV]]=0,AZ247-(SUMIFS(estoque[quantidade],estoque[fornecedor],"saída",estoque[produto],preçodiario[[#Headers],[OVO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Row],[data]]))+AZ247+preçodiario[[#This Row],[entrada JV]])</f>
        <v>0</v>
      </c>
      <c r="BA248" s="22">
        <f>SUMIFS(estoque[quantidade],estoque[fornecedor],"&lt;&gt;saída",estoque[produto],preçodiario[[#Headers],[OVO VERMELHO JUMBO]],estoque[data],preçodiario[[#This Row],[data]])</f>
        <v>0</v>
      </c>
      <c r="BB248" s="20">
        <f>SUMIFS(estoque[valor total],estoque[fornecedor],"&lt;&gt;saída",estoque[produto],preçodiario[[#Headers],[OVO VERMELHO JUMBO]],estoque[data],preçodiario[[#This Row],[data]])</f>
        <v>0</v>
      </c>
      <c r="BC248" s="20">
        <f>IFERROR(preçodiario[[#This Row],[OVO VERMELHO JUMBO]]*preçodiario[[#This Row],[estoque JV]],0)</f>
        <v>0</v>
      </c>
      <c r="BD248" t="str">
        <f>TEXT(vendaAno[[#This Row],[data]],"mmm")</f>
        <v>set</v>
      </c>
      <c r="BE248" t="str">
        <f>TEXT(vendaAno[[#This Row],[data]],"ddd")</f>
        <v>sex</v>
      </c>
      <c r="BF248" s="82">
        <f>WEEKNUM(vendaAno[[#This Row],[data]],13)</f>
        <v>36</v>
      </c>
      <c r="BG248" s="27">
        <f>preçodiario[[#This Row],[data]]</f>
        <v>46269</v>
      </c>
      <c r="BH2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Row],[data]]))/12+BJ247,"")</f>
        <v/>
      </c>
      <c r="BK248" s="79" t="str">
        <f ca="1">IF(TODAY()&gt;=vendaAno[[#This Row],[data]],IF(SUMIFS(estoque[quantidade],estoque[fornecedor],"saída",estoque[data],vendaAno[[#This Row],[data]])/12=0,AVERAGE(BK245:BK247),SUMIFS(estoque[quantidade],estoque[fornecedor],"saída",estoque[data],vendaAno[[#This Row],[data]])/12),"")</f>
        <v/>
      </c>
      <c r="BL248" s="8" t="str">
        <f ca="1">IF(vendaAno[[#This Row],[data]]&lt;=TODAY(),IF(SUMIFS(estoque[lucro],estoque[fornecedor],"saída",estoque[data],vendaAno[[#This Row],[data]])=0,AVERAGE(BL245:BL247),SUMIFS(estoque[lucro],estoque[fornecedor],"saída",estoque[data],vendaAno[[#This Row],[data]])),"")</f>
        <v/>
      </c>
      <c r="BM248" s="10" t="str">
        <f ca="1">IFERROR(vendaAno[[#This Row],[lucro]]/vendaAno[[#This Row],[valor de venda]],"")</f>
        <v/>
      </c>
      <c r="BN24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8" s="8" t="str">
        <f ca="1">IF(TODAY()&gt;=vendaAno[[#This Row],[data]],IF(vendaAno[[#This Row],[N°]]=BF247,vendaAno[[#This Row],[lucro]]-173.33+BO247,vendaAno[[#This Row],[lucro]]-150),"")</f>
        <v/>
      </c>
      <c r="BP248" s="81" t="str">
        <f ca="1">IF(TODAY()&gt;=vendaAno[[#This Row],[data]],SUM(BK242:BK248)*12,"")</f>
        <v/>
      </c>
      <c r="BQ248" s="7" t="str">
        <f ca="1">IFERROR(vendaAno[[#This Row],[lucro]]/(vendaAno[[#This Row],[venda]]*12),"")</f>
        <v/>
      </c>
    </row>
    <row r="249" spans="1:69" x14ac:dyDescent="0.25">
      <c r="A2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49" s="18" t="str">
        <f>TEXT(preçodiario[[#This Row],[data]],"MMM")</f>
        <v>set</v>
      </c>
      <c r="C249" s="18" t="str">
        <f>TEXT(preçodiario[[#This Row],[data]],"ddd")</f>
        <v>sáb</v>
      </c>
      <c r="D249" s="96">
        <f>WEEKNUM(preçodiario[[#This Row],[data]],13)</f>
        <v>36</v>
      </c>
      <c r="E249" s="37">
        <v>46270</v>
      </c>
      <c r="F2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Row],[data]])),((F248*G248)+SUMIFS(estoque[valor total],estoque[produto],preçodiario[[#Headers],[OVO BRANCO A]],estoque[data],preçodiario[[#This Row],[data]],estoque[fornecedor],"&lt;&gt;saída"))/(G248+(SUMIFS(estoque[quantidade],estoque[produto],preçodiario[[#Headers],[OVO BRANCO A]],estoque[fornecedor],"&lt;&gt;saída",estoque[data],preçodiario[[#This Row],[data]])))))</f>
        <v>15.278182701652089</v>
      </c>
      <c r="G249" s="22">
        <f>IF(preçodiario[[#This Row],[entrada A]]=0,G248-(SUMIFS(estoque[quantidade],estoque[fornecedor],"saída",estoque[produto],preçodiario[[#Headers],[OVO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Row],[data]]))+G248+preçodiario[[#This Row],[entrada A]])</f>
        <v>133</v>
      </c>
      <c r="H249" s="22">
        <f>SUMIFS(estoque[quantidade],estoque[fornecedor],"&lt;&gt;saída",estoque[produto],preçodiario[[#Headers],[OVO BRANCO A]],estoque[data],preçodiario[[#This Row],[data]])</f>
        <v>0</v>
      </c>
      <c r="I249" s="20">
        <f>SUMIFS(estoque[valor total],estoque[fornecedor],"&lt;&gt;saída",estoque[produto],preçodiario[[#Headers],[OVO BRANCO A]],estoque[data],preçodiario[[#This Row],[data]])</f>
        <v>0</v>
      </c>
      <c r="J249" s="20">
        <f>IFERROR(preçodiario[[#This Row],[estoque A]]*preçodiario[[#This Row],[OVO BRANCO A]],0)</f>
        <v>2031.9982993197277</v>
      </c>
      <c r="K2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Row],[data]])),((K248*L248)+SUMIFS(estoque[valor total],estoque[produto],preçodiario[[#Headers],[OVO BRANCO B]],estoque[data],preçodiario[[#This Row],[data]],estoque[fornecedor],"&lt;&gt;saída"))/(L248+(SUMIFS(estoque[quantidade],estoque[produto],preçodiario[[#Headers],[OVO BRANCO B]],estoque[fornecedor],"&lt;&gt;saída",estoque[data],preçodiario[[#This Row],[data]])))))</f>
        <v>14.584252837326604</v>
      </c>
      <c r="L249" s="22">
        <f>IF(preçodiario[[#This Row],[entrada B]]=0,L248-(SUMIFS(estoque[quantidade],estoque[fornecedor],"saída",estoque[produto],preçodiario[[#Headers],[OVO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Row],[data]]))+L248+preçodiario[[#This Row],[entrada B]])</f>
        <v>16</v>
      </c>
      <c r="M249" s="22">
        <f>SUMIFS(estoque[quantidade],estoque[fornecedor],"&lt;&gt;saída",estoque[produto],preçodiario[[#Headers],[OVO BRANCO B]],estoque[data],preçodiario[[#This Row],[data]])</f>
        <v>0</v>
      </c>
      <c r="N249" s="20">
        <f>SUMIFS(estoque[valor total],estoque[fornecedor],"&lt;&gt;saída",estoque[produto],preçodiario[[#Headers],[OVO BRANCO B]],estoque[data],preçodiario[[#This Row],[data]])</f>
        <v>0</v>
      </c>
      <c r="O249" s="20">
        <f>IFERROR(preçodiario[[#This Row],[OVO BRANCO B]]*preçodiario[[#This Row],[estoque B]],0)</f>
        <v>233.34804539722566</v>
      </c>
      <c r="P2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Row],[data]])),((P248*Q248)+SUMIFS(estoque[valor total],estoque[produto],preçodiario[[#Headers],[OVO BRANCO C]],estoque[data],preçodiario[[#This Row],[data]],estoque[fornecedor],"&lt;&gt;saída"))/(Q248+(SUMIFS(estoque[quantidade],estoque[produto],preçodiario[[#Headers],[OVO BRANCO C]],estoque[fornecedor],"&lt;&gt;saída",estoque[data],preçodiario[[#This Row],[data]])))))</f>
        <v>12.5</v>
      </c>
      <c r="Q249" s="22">
        <f>IF(preçodiario[[#This Row],[entrada C]]=0,Q248-(SUMIFS(estoque[quantidade],estoque[fornecedor],"saída",estoque[produto],preçodiario[[#Headers],[OVO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Row],[data]]))+Q248+preçodiario[[#This Row],[entrada C]])</f>
        <v>60</v>
      </c>
      <c r="R249" s="22">
        <f>SUMIFS(estoque[quantidade],estoque[fornecedor],"&lt;&gt;saída",estoque[produto],preçodiario[[#Headers],[OVO BRANCO C]],estoque[data],preçodiario[[#This Row],[data]])</f>
        <v>0</v>
      </c>
      <c r="S249" s="20">
        <f>SUMIFS(estoque[valor total],estoque[fornecedor],"&lt;&gt;saída",estoque[produto],preçodiario[[#Headers],[OVO BRANCO C]],estoque[data],preçodiario[[#This Row],[data]])</f>
        <v>0</v>
      </c>
      <c r="T249" s="20">
        <f>IFERROR(preçodiario[[#This Row],[OVO BRANCO C]]*preçodiario[[#This Row],[estoque C]],0)</f>
        <v>750</v>
      </c>
      <c r="U2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Row],[data]])),((U248*V248)+SUMIFS(estoque[valor total],estoque[produto],preçodiario[[#Headers],[OVO BRANCO EXTRA]],estoque[data],preçodiario[[#This Row],[data]],estoque[fornecedor],"&lt;&gt;saída"))/(V248+(SUMIFS(estoque[quantidade],estoque[produto],preçodiario[[#Headers],[OVO BRANCO EXTRA]],estoque[fornecedor],"&lt;&gt;saída",estoque[data],preçodiario[[#This Row],[data]])))))</f>
        <v>15.725438400674655</v>
      </c>
      <c r="V249" s="22">
        <f>IF(preçodiario[[#This Row],[entrada E]]=0,V248-(SUMIFS(estoque[quantidade],estoque[fornecedor],"saída",estoque[produto],preçodiario[[#Headers],[OVO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Row],[data]]))+V248+preçodiario[[#This Row],[entrada E]])</f>
        <v>46</v>
      </c>
      <c r="W249" s="22">
        <f>SUMIFS(estoque[quantidade],estoque[fornecedor],"&lt;&gt;saída",estoque[produto],preçodiario[[#Headers],[OVO BRANCO EXTRA]],estoque[data],preçodiario[[#This Row],[data]])</f>
        <v>0</v>
      </c>
      <c r="X249" s="20">
        <f>SUMIFS(estoque[valor total],estoque[fornecedor],"&lt;&gt;saída",estoque[produto],preçodiario[[#Headers],[OVO BRANCO EXTRA]],estoque[data],preçodiario[[#This Row],[data]])</f>
        <v>0</v>
      </c>
      <c r="Y249" s="20">
        <f>IFERROR(preçodiario[[#This Row],[estoque E]]*preçodiario[[#This Row],[OVO BRANCO EXTRA]],0)</f>
        <v>723.37016643103414</v>
      </c>
      <c r="Z2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Row],[data]])),((Z248*AA248)+SUMIFS(estoque[valor total],estoque[produto],preçodiario[[#Headers],[OVO BRANCO JUMBO]],estoque[data],preçodiario[[#This Row],[data]],estoque[fornecedor],"&lt;&gt;saída"))/(AA248+(SUMIFS(estoque[quantidade],estoque[produto],preçodiario[[#Headers],[OVO BRANCO JUMBO]],estoque[fornecedor],"&lt;&gt;saída",estoque[data],preçodiario[[#This Row],[data]])))))</f>
        <v>16.50550595238095</v>
      </c>
      <c r="AA249" s="22">
        <f>IF(preçodiario[[#This Row],[entrada J]]=0,AA248-(SUMIFS(estoque[quantidade],estoque[fornecedor],"saída",estoque[produto],preçodiario[[#Headers],[OVO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Row],[data]]))+AA248+preçodiario[[#This Row],[entrada J]])</f>
        <v>75</v>
      </c>
      <c r="AB249" s="22">
        <f>SUMIFS(estoque[quantidade],estoque[fornecedor],"&lt;&gt;saída",estoque[produto],preçodiario[[#Headers],[OVO BRANCO JUMBO]],estoque[data],preçodiario[[#This Row],[data]])</f>
        <v>0</v>
      </c>
      <c r="AC249" s="20">
        <f>SUMIFS(estoque[valor total],estoque[fornecedor],"&lt;&gt;saída",estoque[produto],preçodiario[[#Headers],[OVO BRANCO JUMBO]],estoque[data],preçodiario[[#This Row],[data]])</f>
        <v>0</v>
      </c>
      <c r="AD249" s="20">
        <f>IFERROR(preçodiario[[#This Row],[OVO BRANCO JUMBO]]*preçodiario[[#This Row],[estoque J]],0)</f>
        <v>1237.9129464285713</v>
      </c>
      <c r="AE2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Row],[data]])),((AE248*AF248)+SUMIFS(estoque[valor total],estoque[produto],preçodiario[[#Headers],[OVO VERMELHO A]],estoque[data],preçodiario[[#This Row],[data]],estoque[fornecedor],"&lt;&gt;saída"))/(AF248+(SUMIFS(estoque[quantidade],estoque[produto],preçodiario[[#Headers],[OVO VERMELHO A]],estoque[fornecedor],"&lt;&gt;saída",estoque[data],preçodiario[[#This Row],[data]])))))</f>
        <v/>
      </c>
      <c r="AF249" s="22">
        <f>IF(preçodiario[[#This Row],[entrada AV]]=0,AF248-(SUMIFS(estoque[quantidade],estoque[fornecedor],"saída",estoque[produto],preçodiario[[#Headers],[OVO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Row],[data]]))+AF248+preçodiario[[#This Row],[entrada AV]])</f>
        <v>0</v>
      </c>
      <c r="AG249" s="22">
        <f>SUMIFS(estoque[quantidade],estoque[fornecedor],"&lt;&gt;saída",estoque[produto],preçodiario[[#Headers],[OVO VERMELHO A]],estoque[data],preçodiario[[#This Row],[data]])</f>
        <v>0</v>
      </c>
      <c r="AH249" s="20">
        <f>SUMIFS(estoque[valor total],estoque[fornecedor],"&lt;&gt;saída",estoque[produto],preçodiario[[#Headers],[OVO VERMELHO A]],estoque[data],preçodiario[[#This Row],[data]])</f>
        <v>0</v>
      </c>
      <c r="AI249" s="20">
        <f>IFERROR(preçodiario[[#This Row],[OVO VERMELHO A]]*preçodiario[[#This Row],[estoque AV]],0)</f>
        <v>0</v>
      </c>
      <c r="AJ2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Row],[data]])),((AJ248*AK248)+SUMIFS(estoque[valor total],estoque[produto],preçodiario[[#Headers],[OVO VERMELHO B]],estoque[data],preçodiario[[#This Row],[data]],estoque[fornecedor],"&lt;&gt;saída"))/(AK248+(SUMIFS(estoque[quantidade],estoque[produto],preçodiario[[#Headers],[OVO VERMELHO B]],estoque[fornecedor],"&lt;&gt;saída",estoque[data],preçodiario[[#This Row],[data]])))))</f>
        <v/>
      </c>
      <c r="AK249" s="22">
        <f>IF(preçodiario[[#This Row],[entrada BV]]=0,AK248-(SUMIFS(estoque[quantidade],estoque[fornecedor],"saída",estoque[produto],preçodiario[[#Headers],[OVO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Row],[data]]))+AK248+preçodiario[[#This Row],[entrada BV]])</f>
        <v>0</v>
      </c>
      <c r="AL249" s="22">
        <f>SUMIFS(estoque[quantidade],estoque[fornecedor],"&lt;&gt;saída",estoque[produto],preçodiario[[#Headers],[OVO VERMELHO B]],estoque[data],preçodiario[[#This Row],[data]])</f>
        <v>0</v>
      </c>
      <c r="AM249" s="20">
        <f>SUMIFS(estoque[valor total],estoque[fornecedor],"&lt;&gt;saída",estoque[produto],preçodiario[[#Headers],[OVO VERMELHO B]],estoque[data],preçodiario[[#This Row],[data]])</f>
        <v>0</v>
      </c>
      <c r="AN249" s="20">
        <f>IFERROR(preçodiario[[#This Row],[OVO VERMELHO B]]*preçodiario[[#This Row],[estoque BV]],0)</f>
        <v>0</v>
      </c>
      <c r="AO2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Row],[data]])),((AO248*AP248)+SUMIFS(estoque[valor total],estoque[produto],preçodiario[[#Headers],[OVO VERMELHO C]],estoque[data],preçodiario[[#This Row],[data]],estoque[fornecedor],"&lt;&gt;saída"))/(AP248+(SUMIFS(estoque[quantidade],estoque[produto],preçodiario[[#Headers],[OVO VERMELHO C]],estoque[fornecedor],"&lt;&gt;saída",estoque[data],preçodiario[[#This Row],[data]])))))</f>
        <v/>
      </c>
      <c r="AP249" s="22">
        <f>IF(preçodiario[[#This Row],[entrada CV]]=0,AP248-(SUMIFS(estoque[quantidade],estoque[fornecedor],"saída",estoque[produto],preçodiario[[#Headers],[OVO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Row],[data]]))+AP248+preçodiario[[#This Row],[entrada CV]])</f>
        <v>0</v>
      </c>
      <c r="AQ249" s="22">
        <f>SUMIFS(estoque[quantidade],estoque[fornecedor],"&lt;&gt;saída",estoque[produto],preçodiario[[#Headers],[OVO VERMELHO C]],estoque[data],preçodiario[[#This Row],[data]])</f>
        <v>0</v>
      </c>
      <c r="AR249" s="20">
        <f>SUMIFS(estoque[valor total],estoque[fornecedor],"&lt;&gt;saída",estoque[produto],preçodiario[[#Headers],[OVO VERMELHO C]],estoque[data],preçodiario[[#This Row],[data]])</f>
        <v>0</v>
      </c>
      <c r="AS249" s="20">
        <f>IFERROR(preçodiario[[#This Row],[OVO VERMELHO C]]*preçodiario[[#This Row],[estoque CV]],0)</f>
        <v>0</v>
      </c>
      <c r="AT2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Row],[data]])),((AT248*AU248)+SUMIFS(estoque[valor total],estoque[produto],preçodiario[[#Headers],[OVO VERMELHO EXTRA]],estoque[data],preçodiario[[#This Row],[data]],estoque[fornecedor],"&lt;&gt;saída"))/(AU248+(SUMIFS(estoque[quantidade],estoque[produto],preçodiario[[#Headers],[OVO VERMELHO EXTRA]],estoque[fornecedor],"&lt;&gt;saída",estoque[data],preçodiario[[#This Row],[data]])))))</f>
        <v/>
      </c>
      <c r="AU249" s="22">
        <f>IF(preçodiario[[#This Row],[entrada EV]]=0,AU248-(SUMIFS(estoque[quantidade],estoque[fornecedor],"saída",estoque[produto],preçodiario[[#Headers],[OVO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Row],[data]]))+AU248+preçodiario[[#This Row],[entrada EV]])</f>
        <v>0</v>
      </c>
      <c r="AV249" s="22">
        <f>SUMIFS(estoque[quantidade],estoque[fornecedor],"&lt;&gt;saída",estoque[produto],preçodiario[[#Headers],[OVO VERMELHO EXTRA]],estoque[data],preçodiario[[#This Row],[data]])</f>
        <v>0</v>
      </c>
      <c r="AW249" s="20">
        <f>SUMIFS(estoque[valor total],estoque[fornecedor],"&lt;&gt;saída",estoque[produto],preçodiario[[#Headers],[OVO VERMELHO EXTRA]],estoque[data],preçodiario[[#This Row],[data]])</f>
        <v>0</v>
      </c>
      <c r="AX249" s="20">
        <f>IFERROR(preçodiario[[#This Row],[OVO VERMELHO EXTRA]]*preçodiario[[#This Row],[estoque EV]],0)</f>
        <v>0</v>
      </c>
      <c r="AY2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Row],[data]])),((AY248*AZ248)+SUMIFS(estoque[valor total],estoque[produto],preçodiario[[#Headers],[OVO VERMELHO JUMBO]],estoque[data],preçodiario[[#This Row],[data]],estoque[fornecedor],"&lt;&gt;saída"))/(AZ248+(SUMIFS(estoque[quantidade],estoque[produto],preçodiario[[#Headers],[OVO VERMELHO JUMBO]],estoque[fornecedor],"&lt;&gt;saída",estoque[data],preçodiario[[#This Row],[data]])))))</f>
        <v/>
      </c>
      <c r="AZ249" s="22">
        <f>IF(preçodiario[[#This Row],[entrada JV]]=0,AZ248-(SUMIFS(estoque[quantidade],estoque[fornecedor],"saída",estoque[produto],preçodiario[[#Headers],[OVO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Row],[data]]))+AZ248+preçodiario[[#This Row],[entrada JV]])</f>
        <v>0</v>
      </c>
      <c r="BA249" s="22">
        <f>SUMIFS(estoque[quantidade],estoque[fornecedor],"&lt;&gt;saída",estoque[produto],preçodiario[[#Headers],[OVO VERMELHO JUMBO]],estoque[data],preçodiario[[#This Row],[data]])</f>
        <v>0</v>
      </c>
      <c r="BB249" s="20">
        <f>SUMIFS(estoque[valor total],estoque[fornecedor],"&lt;&gt;saída",estoque[produto],preçodiario[[#Headers],[OVO VERMELHO JUMBO]],estoque[data],preçodiario[[#This Row],[data]])</f>
        <v>0</v>
      </c>
      <c r="BC249" s="20">
        <f>IFERROR(preçodiario[[#This Row],[OVO VERMELHO JUMBO]]*preçodiario[[#This Row],[estoque JV]],0)</f>
        <v>0</v>
      </c>
      <c r="BD249" t="str">
        <f>TEXT(vendaAno[[#This Row],[data]],"mmm")</f>
        <v>set</v>
      </c>
      <c r="BE249" t="str">
        <f>TEXT(vendaAno[[#This Row],[data]],"ddd")</f>
        <v>sáb</v>
      </c>
      <c r="BF249" s="82">
        <f>WEEKNUM(vendaAno[[#This Row],[data]],13)</f>
        <v>36</v>
      </c>
      <c r="BG249" s="27">
        <f>preçodiario[[#This Row],[data]]</f>
        <v>46270</v>
      </c>
      <c r="BH2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4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4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Row],[data]]))/12+BJ248,"")</f>
        <v/>
      </c>
      <c r="BK249" s="79" t="str">
        <f ca="1">IF(TODAY()&gt;=vendaAno[[#This Row],[data]],IF(SUMIFS(estoque[quantidade],estoque[fornecedor],"saída",estoque[data],vendaAno[[#This Row],[data]])/12=0,AVERAGE(BK246:BK248),SUMIFS(estoque[quantidade],estoque[fornecedor],"saída",estoque[data],vendaAno[[#This Row],[data]])/12),"")</f>
        <v/>
      </c>
      <c r="BL249" s="8" t="str">
        <f ca="1">IF(vendaAno[[#This Row],[data]]&lt;=TODAY(),IF(SUMIFS(estoque[lucro],estoque[fornecedor],"saída",estoque[data],vendaAno[[#This Row],[data]])=0,AVERAGE(BL246:BL248),SUMIFS(estoque[lucro],estoque[fornecedor],"saída",estoque[data],vendaAno[[#This Row],[data]])),"")</f>
        <v/>
      </c>
      <c r="BM249" s="10" t="str">
        <f ca="1">IFERROR(vendaAno[[#This Row],[lucro]]/vendaAno[[#This Row],[valor de venda]],"")</f>
        <v/>
      </c>
      <c r="BN24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49" s="8" t="str">
        <f ca="1">IF(TODAY()&gt;=vendaAno[[#This Row],[data]],IF(vendaAno[[#This Row],[N°]]=BF248,vendaAno[[#This Row],[lucro]]-173.33+BO248,vendaAno[[#This Row],[lucro]]-150),"")</f>
        <v/>
      </c>
      <c r="BP249" s="81" t="str">
        <f ca="1">IF(TODAY()&gt;=vendaAno[[#This Row],[data]],SUM(BK243:BK249)*12,"")</f>
        <v/>
      </c>
      <c r="BQ249" s="7" t="str">
        <f ca="1">IFERROR(vendaAno[[#This Row],[lucro]]/(vendaAno[[#This Row],[venda]]*12),"")</f>
        <v/>
      </c>
    </row>
    <row r="250" spans="1:69" x14ac:dyDescent="0.25">
      <c r="A2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0" s="18" t="str">
        <f>TEXT(preçodiario[[#This Row],[data]],"MMM")</f>
        <v>set</v>
      </c>
      <c r="C250" s="18" t="str">
        <f>TEXT(preçodiario[[#This Row],[data]],"ddd")</f>
        <v>dom</v>
      </c>
      <c r="D250" s="96">
        <f>WEEKNUM(preçodiario[[#This Row],[data]],13)</f>
        <v>36</v>
      </c>
      <c r="E250" s="37">
        <v>46271</v>
      </c>
      <c r="F2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Row],[data]])),((F249*G249)+SUMIFS(estoque[valor total],estoque[produto],preçodiario[[#Headers],[OVO BRANCO A]],estoque[data],preçodiario[[#This Row],[data]],estoque[fornecedor],"&lt;&gt;saída"))/(G249+(SUMIFS(estoque[quantidade],estoque[produto],preçodiario[[#Headers],[OVO BRANCO A]],estoque[fornecedor],"&lt;&gt;saída",estoque[data],preçodiario[[#This Row],[data]])))))</f>
        <v>15.278182701652089</v>
      </c>
      <c r="G250" s="22">
        <f>IF(preçodiario[[#This Row],[entrada A]]=0,G249-(SUMIFS(estoque[quantidade],estoque[fornecedor],"saída",estoque[produto],preçodiario[[#Headers],[OVO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Row],[data]]))+G249+preçodiario[[#This Row],[entrada A]])</f>
        <v>133</v>
      </c>
      <c r="H250" s="22">
        <f>SUMIFS(estoque[quantidade],estoque[fornecedor],"&lt;&gt;saída",estoque[produto],preçodiario[[#Headers],[OVO BRANCO A]],estoque[data],preçodiario[[#This Row],[data]])</f>
        <v>0</v>
      </c>
      <c r="I250" s="20">
        <f>SUMIFS(estoque[valor total],estoque[fornecedor],"&lt;&gt;saída",estoque[produto],preçodiario[[#Headers],[OVO BRANCO A]],estoque[data],preçodiario[[#This Row],[data]])</f>
        <v>0</v>
      </c>
      <c r="J250" s="20">
        <f>IFERROR(preçodiario[[#This Row],[estoque A]]*preçodiario[[#This Row],[OVO BRANCO A]],0)</f>
        <v>2031.9982993197277</v>
      </c>
      <c r="K2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Row],[data]])),((K249*L249)+SUMIFS(estoque[valor total],estoque[produto],preçodiario[[#Headers],[OVO BRANCO B]],estoque[data],preçodiario[[#This Row],[data]],estoque[fornecedor],"&lt;&gt;saída"))/(L249+(SUMIFS(estoque[quantidade],estoque[produto],preçodiario[[#Headers],[OVO BRANCO B]],estoque[fornecedor],"&lt;&gt;saída",estoque[data],preçodiario[[#This Row],[data]])))))</f>
        <v>14.584252837326604</v>
      </c>
      <c r="L250" s="22">
        <f>IF(preçodiario[[#This Row],[entrada B]]=0,L249-(SUMIFS(estoque[quantidade],estoque[fornecedor],"saída",estoque[produto],preçodiario[[#Headers],[OVO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Row],[data]]))+L249+preçodiario[[#This Row],[entrada B]])</f>
        <v>16</v>
      </c>
      <c r="M250" s="22">
        <f>SUMIFS(estoque[quantidade],estoque[fornecedor],"&lt;&gt;saída",estoque[produto],preçodiario[[#Headers],[OVO BRANCO B]],estoque[data],preçodiario[[#This Row],[data]])</f>
        <v>0</v>
      </c>
      <c r="N250" s="20">
        <f>SUMIFS(estoque[valor total],estoque[fornecedor],"&lt;&gt;saída",estoque[produto],preçodiario[[#Headers],[OVO BRANCO B]],estoque[data],preçodiario[[#This Row],[data]])</f>
        <v>0</v>
      </c>
      <c r="O250" s="20">
        <f>IFERROR(preçodiario[[#This Row],[OVO BRANCO B]]*preçodiario[[#This Row],[estoque B]],0)</f>
        <v>233.34804539722566</v>
      </c>
      <c r="P2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Row],[data]])),((P249*Q249)+SUMIFS(estoque[valor total],estoque[produto],preçodiario[[#Headers],[OVO BRANCO C]],estoque[data],preçodiario[[#This Row],[data]],estoque[fornecedor],"&lt;&gt;saída"))/(Q249+(SUMIFS(estoque[quantidade],estoque[produto],preçodiario[[#Headers],[OVO BRANCO C]],estoque[fornecedor],"&lt;&gt;saída",estoque[data],preçodiario[[#This Row],[data]])))))</f>
        <v>12.5</v>
      </c>
      <c r="Q250" s="22">
        <f>IF(preçodiario[[#This Row],[entrada C]]=0,Q249-(SUMIFS(estoque[quantidade],estoque[fornecedor],"saída",estoque[produto],preçodiario[[#Headers],[OVO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Row],[data]]))+Q249+preçodiario[[#This Row],[entrada C]])</f>
        <v>60</v>
      </c>
      <c r="R250" s="22">
        <f>SUMIFS(estoque[quantidade],estoque[fornecedor],"&lt;&gt;saída",estoque[produto],preçodiario[[#Headers],[OVO BRANCO C]],estoque[data],preçodiario[[#This Row],[data]])</f>
        <v>0</v>
      </c>
      <c r="S250" s="20">
        <f>SUMIFS(estoque[valor total],estoque[fornecedor],"&lt;&gt;saída",estoque[produto],preçodiario[[#Headers],[OVO BRANCO C]],estoque[data],preçodiario[[#This Row],[data]])</f>
        <v>0</v>
      </c>
      <c r="T250" s="20">
        <f>IFERROR(preçodiario[[#This Row],[OVO BRANCO C]]*preçodiario[[#This Row],[estoque C]],0)</f>
        <v>750</v>
      </c>
      <c r="U2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Row],[data]])),((U249*V249)+SUMIFS(estoque[valor total],estoque[produto],preçodiario[[#Headers],[OVO BRANCO EXTRA]],estoque[data],preçodiario[[#This Row],[data]],estoque[fornecedor],"&lt;&gt;saída"))/(V249+(SUMIFS(estoque[quantidade],estoque[produto],preçodiario[[#Headers],[OVO BRANCO EXTRA]],estoque[fornecedor],"&lt;&gt;saída",estoque[data],preçodiario[[#This Row],[data]])))))</f>
        <v>15.725438400674655</v>
      </c>
      <c r="V250" s="22">
        <f>IF(preçodiario[[#This Row],[entrada E]]=0,V249-(SUMIFS(estoque[quantidade],estoque[fornecedor],"saída",estoque[produto],preçodiario[[#Headers],[OVO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Row],[data]]))+V249+preçodiario[[#This Row],[entrada E]])</f>
        <v>46</v>
      </c>
      <c r="W250" s="22">
        <f>SUMIFS(estoque[quantidade],estoque[fornecedor],"&lt;&gt;saída",estoque[produto],preçodiario[[#Headers],[OVO BRANCO EXTRA]],estoque[data],preçodiario[[#This Row],[data]])</f>
        <v>0</v>
      </c>
      <c r="X250" s="20">
        <f>SUMIFS(estoque[valor total],estoque[fornecedor],"&lt;&gt;saída",estoque[produto],preçodiario[[#Headers],[OVO BRANCO EXTRA]],estoque[data],preçodiario[[#This Row],[data]])</f>
        <v>0</v>
      </c>
      <c r="Y250" s="20">
        <f>IFERROR(preçodiario[[#This Row],[estoque E]]*preçodiario[[#This Row],[OVO BRANCO EXTRA]],0)</f>
        <v>723.37016643103414</v>
      </c>
      <c r="Z2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Row],[data]])),((Z249*AA249)+SUMIFS(estoque[valor total],estoque[produto],preçodiario[[#Headers],[OVO BRANCO JUMBO]],estoque[data],preçodiario[[#This Row],[data]],estoque[fornecedor],"&lt;&gt;saída"))/(AA249+(SUMIFS(estoque[quantidade],estoque[produto],preçodiario[[#Headers],[OVO BRANCO JUMBO]],estoque[fornecedor],"&lt;&gt;saída",estoque[data],preçodiario[[#This Row],[data]])))))</f>
        <v>16.50550595238095</v>
      </c>
      <c r="AA250" s="22">
        <f>IF(preçodiario[[#This Row],[entrada J]]=0,AA249-(SUMIFS(estoque[quantidade],estoque[fornecedor],"saída",estoque[produto],preçodiario[[#Headers],[OVO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Row],[data]]))+AA249+preçodiario[[#This Row],[entrada J]])</f>
        <v>75</v>
      </c>
      <c r="AB250" s="22">
        <f>SUMIFS(estoque[quantidade],estoque[fornecedor],"&lt;&gt;saída",estoque[produto],preçodiario[[#Headers],[OVO BRANCO JUMBO]],estoque[data],preçodiario[[#This Row],[data]])</f>
        <v>0</v>
      </c>
      <c r="AC250" s="20">
        <f>SUMIFS(estoque[valor total],estoque[fornecedor],"&lt;&gt;saída",estoque[produto],preçodiario[[#Headers],[OVO BRANCO JUMBO]],estoque[data],preçodiario[[#This Row],[data]])</f>
        <v>0</v>
      </c>
      <c r="AD250" s="20">
        <f>IFERROR(preçodiario[[#This Row],[OVO BRANCO JUMBO]]*preçodiario[[#This Row],[estoque J]],0)</f>
        <v>1237.9129464285713</v>
      </c>
      <c r="AE2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Row],[data]])),((AE249*AF249)+SUMIFS(estoque[valor total],estoque[produto],preçodiario[[#Headers],[OVO VERMELHO A]],estoque[data],preçodiario[[#This Row],[data]],estoque[fornecedor],"&lt;&gt;saída"))/(AF249+(SUMIFS(estoque[quantidade],estoque[produto],preçodiario[[#Headers],[OVO VERMELHO A]],estoque[fornecedor],"&lt;&gt;saída",estoque[data],preçodiario[[#This Row],[data]])))))</f>
        <v/>
      </c>
      <c r="AF250" s="22">
        <f>IF(preçodiario[[#This Row],[entrada AV]]=0,AF249-(SUMIFS(estoque[quantidade],estoque[fornecedor],"saída",estoque[produto],preçodiario[[#Headers],[OVO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Row],[data]]))+AF249+preçodiario[[#This Row],[entrada AV]])</f>
        <v>0</v>
      </c>
      <c r="AG250" s="22">
        <f>SUMIFS(estoque[quantidade],estoque[fornecedor],"&lt;&gt;saída",estoque[produto],preçodiario[[#Headers],[OVO VERMELHO A]],estoque[data],preçodiario[[#This Row],[data]])</f>
        <v>0</v>
      </c>
      <c r="AH250" s="20">
        <f>SUMIFS(estoque[valor total],estoque[fornecedor],"&lt;&gt;saída",estoque[produto],preçodiario[[#Headers],[OVO VERMELHO A]],estoque[data],preçodiario[[#This Row],[data]])</f>
        <v>0</v>
      </c>
      <c r="AI250" s="20">
        <f>IFERROR(preçodiario[[#This Row],[OVO VERMELHO A]]*preçodiario[[#This Row],[estoque AV]],0)</f>
        <v>0</v>
      </c>
      <c r="AJ2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Row],[data]])),((AJ249*AK249)+SUMIFS(estoque[valor total],estoque[produto],preçodiario[[#Headers],[OVO VERMELHO B]],estoque[data],preçodiario[[#This Row],[data]],estoque[fornecedor],"&lt;&gt;saída"))/(AK249+(SUMIFS(estoque[quantidade],estoque[produto],preçodiario[[#Headers],[OVO VERMELHO B]],estoque[fornecedor],"&lt;&gt;saída",estoque[data],preçodiario[[#This Row],[data]])))))</f>
        <v/>
      </c>
      <c r="AK250" s="22">
        <f>IF(preçodiario[[#This Row],[entrada BV]]=0,AK249-(SUMIFS(estoque[quantidade],estoque[fornecedor],"saída",estoque[produto],preçodiario[[#Headers],[OVO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Row],[data]]))+AK249+preçodiario[[#This Row],[entrada BV]])</f>
        <v>0</v>
      </c>
      <c r="AL250" s="22">
        <f>SUMIFS(estoque[quantidade],estoque[fornecedor],"&lt;&gt;saída",estoque[produto],preçodiario[[#Headers],[OVO VERMELHO B]],estoque[data],preçodiario[[#This Row],[data]])</f>
        <v>0</v>
      </c>
      <c r="AM250" s="20">
        <f>SUMIFS(estoque[valor total],estoque[fornecedor],"&lt;&gt;saída",estoque[produto],preçodiario[[#Headers],[OVO VERMELHO B]],estoque[data],preçodiario[[#This Row],[data]])</f>
        <v>0</v>
      </c>
      <c r="AN250" s="20">
        <f>IFERROR(preçodiario[[#This Row],[OVO VERMELHO B]]*preçodiario[[#This Row],[estoque BV]],0)</f>
        <v>0</v>
      </c>
      <c r="AO2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Row],[data]])),((AO249*AP249)+SUMIFS(estoque[valor total],estoque[produto],preçodiario[[#Headers],[OVO VERMELHO C]],estoque[data],preçodiario[[#This Row],[data]],estoque[fornecedor],"&lt;&gt;saída"))/(AP249+(SUMIFS(estoque[quantidade],estoque[produto],preçodiario[[#Headers],[OVO VERMELHO C]],estoque[fornecedor],"&lt;&gt;saída",estoque[data],preçodiario[[#This Row],[data]])))))</f>
        <v/>
      </c>
      <c r="AP250" s="22">
        <f>IF(preçodiario[[#This Row],[entrada CV]]=0,AP249-(SUMIFS(estoque[quantidade],estoque[fornecedor],"saída",estoque[produto],preçodiario[[#Headers],[OVO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Row],[data]]))+AP249+preçodiario[[#This Row],[entrada CV]])</f>
        <v>0</v>
      </c>
      <c r="AQ250" s="22">
        <f>SUMIFS(estoque[quantidade],estoque[fornecedor],"&lt;&gt;saída",estoque[produto],preçodiario[[#Headers],[OVO VERMELHO C]],estoque[data],preçodiario[[#This Row],[data]])</f>
        <v>0</v>
      </c>
      <c r="AR250" s="20">
        <f>SUMIFS(estoque[valor total],estoque[fornecedor],"&lt;&gt;saída",estoque[produto],preçodiario[[#Headers],[OVO VERMELHO C]],estoque[data],preçodiario[[#This Row],[data]])</f>
        <v>0</v>
      </c>
      <c r="AS250" s="20">
        <f>IFERROR(preçodiario[[#This Row],[OVO VERMELHO C]]*preçodiario[[#This Row],[estoque CV]],0)</f>
        <v>0</v>
      </c>
      <c r="AT2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Row],[data]])),((AT249*AU249)+SUMIFS(estoque[valor total],estoque[produto],preçodiario[[#Headers],[OVO VERMELHO EXTRA]],estoque[data],preçodiario[[#This Row],[data]],estoque[fornecedor],"&lt;&gt;saída"))/(AU249+(SUMIFS(estoque[quantidade],estoque[produto],preçodiario[[#Headers],[OVO VERMELHO EXTRA]],estoque[fornecedor],"&lt;&gt;saída",estoque[data],preçodiario[[#This Row],[data]])))))</f>
        <v/>
      </c>
      <c r="AU250" s="22">
        <f>IF(preçodiario[[#This Row],[entrada EV]]=0,AU249-(SUMIFS(estoque[quantidade],estoque[fornecedor],"saída",estoque[produto],preçodiario[[#Headers],[OVO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Row],[data]]))+AU249+preçodiario[[#This Row],[entrada EV]])</f>
        <v>0</v>
      </c>
      <c r="AV250" s="22">
        <f>SUMIFS(estoque[quantidade],estoque[fornecedor],"&lt;&gt;saída",estoque[produto],preçodiario[[#Headers],[OVO VERMELHO EXTRA]],estoque[data],preçodiario[[#This Row],[data]])</f>
        <v>0</v>
      </c>
      <c r="AW250" s="20">
        <f>SUMIFS(estoque[valor total],estoque[fornecedor],"&lt;&gt;saída",estoque[produto],preçodiario[[#Headers],[OVO VERMELHO EXTRA]],estoque[data],preçodiario[[#This Row],[data]])</f>
        <v>0</v>
      </c>
      <c r="AX250" s="20">
        <f>IFERROR(preçodiario[[#This Row],[OVO VERMELHO EXTRA]]*preçodiario[[#This Row],[estoque EV]],0)</f>
        <v>0</v>
      </c>
      <c r="AY2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Row],[data]])),((AY249*AZ249)+SUMIFS(estoque[valor total],estoque[produto],preçodiario[[#Headers],[OVO VERMELHO JUMBO]],estoque[data],preçodiario[[#This Row],[data]],estoque[fornecedor],"&lt;&gt;saída"))/(AZ249+(SUMIFS(estoque[quantidade],estoque[produto],preçodiario[[#Headers],[OVO VERMELHO JUMBO]],estoque[fornecedor],"&lt;&gt;saída",estoque[data],preçodiario[[#This Row],[data]])))))</f>
        <v/>
      </c>
      <c r="AZ250" s="22">
        <f>IF(preçodiario[[#This Row],[entrada JV]]=0,AZ249-(SUMIFS(estoque[quantidade],estoque[fornecedor],"saída",estoque[produto],preçodiario[[#Headers],[OVO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Row],[data]]))+AZ249+preçodiario[[#This Row],[entrada JV]])</f>
        <v>0</v>
      </c>
      <c r="BA250" s="22">
        <f>SUMIFS(estoque[quantidade],estoque[fornecedor],"&lt;&gt;saída",estoque[produto],preçodiario[[#Headers],[OVO VERMELHO JUMBO]],estoque[data],preçodiario[[#This Row],[data]])</f>
        <v>0</v>
      </c>
      <c r="BB250" s="20">
        <f>SUMIFS(estoque[valor total],estoque[fornecedor],"&lt;&gt;saída",estoque[produto],preçodiario[[#Headers],[OVO VERMELHO JUMBO]],estoque[data],preçodiario[[#This Row],[data]])</f>
        <v>0</v>
      </c>
      <c r="BC250" s="20">
        <f>IFERROR(preçodiario[[#This Row],[OVO VERMELHO JUMBO]]*preçodiario[[#This Row],[estoque JV]],0)</f>
        <v>0</v>
      </c>
      <c r="BD250" t="str">
        <f>TEXT(vendaAno[[#This Row],[data]],"mmm")</f>
        <v>set</v>
      </c>
      <c r="BE250" t="str">
        <f>TEXT(vendaAno[[#This Row],[data]],"ddd")</f>
        <v>dom</v>
      </c>
      <c r="BF250" s="82">
        <f>WEEKNUM(vendaAno[[#This Row],[data]],13)</f>
        <v>36</v>
      </c>
      <c r="BG250" s="27">
        <f>preçodiario[[#This Row],[data]]</f>
        <v>46271</v>
      </c>
      <c r="BH2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Row],[data]]))/12+BJ249,"")</f>
        <v/>
      </c>
      <c r="BK250" s="79" t="str">
        <f ca="1">IF(TODAY()&gt;=vendaAno[[#This Row],[data]],IF(SUMIFS(estoque[quantidade],estoque[fornecedor],"saída",estoque[data],vendaAno[[#This Row],[data]])/12=0,AVERAGE(BK247:BK249),SUMIFS(estoque[quantidade],estoque[fornecedor],"saída",estoque[data],vendaAno[[#This Row],[data]])/12),"")</f>
        <v/>
      </c>
      <c r="BL250" s="8" t="str">
        <f ca="1">IF(vendaAno[[#This Row],[data]]&lt;=TODAY(),IF(SUMIFS(estoque[lucro],estoque[fornecedor],"saída",estoque[data],vendaAno[[#This Row],[data]])=0,AVERAGE(BL247:BL249),SUMIFS(estoque[lucro],estoque[fornecedor],"saída",estoque[data],vendaAno[[#This Row],[data]])),"")</f>
        <v/>
      </c>
      <c r="BM250" s="10" t="str">
        <f ca="1">IFERROR(vendaAno[[#This Row],[lucro]]/vendaAno[[#This Row],[valor de venda]],"")</f>
        <v/>
      </c>
      <c r="BN25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0" s="8" t="str">
        <f ca="1">IF(TODAY()&gt;=vendaAno[[#This Row],[data]],IF(vendaAno[[#This Row],[N°]]=BF249,vendaAno[[#This Row],[lucro]]-173.33+BO249,vendaAno[[#This Row],[lucro]]-150),"")</f>
        <v/>
      </c>
      <c r="BP250" s="81" t="str">
        <f ca="1">IF(TODAY()&gt;=vendaAno[[#This Row],[data]],SUM(BK244:BK250)*12,"")</f>
        <v/>
      </c>
      <c r="BQ250" s="7" t="str">
        <f ca="1">IFERROR(vendaAno[[#This Row],[lucro]]/(vendaAno[[#This Row],[venda]]*12),"")</f>
        <v/>
      </c>
    </row>
    <row r="251" spans="1:69" x14ac:dyDescent="0.25">
      <c r="A2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1" s="18" t="str">
        <f>TEXT(preçodiario[[#This Row],[data]],"MMM")</f>
        <v>set</v>
      </c>
      <c r="C251" s="18" t="str">
        <f>TEXT(preçodiario[[#This Row],[data]],"ddd")</f>
        <v>seg</v>
      </c>
      <c r="D251" s="96">
        <f>WEEKNUM(preçodiario[[#This Row],[data]],13)</f>
        <v>36</v>
      </c>
      <c r="E251" s="37">
        <v>46272</v>
      </c>
      <c r="F2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Row],[data]])),((F250*G250)+SUMIFS(estoque[valor total],estoque[produto],preçodiario[[#Headers],[OVO BRANCO A]],estoque[data],preçodiario[[#This Row],[data]],estoque[fornecedor],"&lt;&gt;saída"))/(G250+(SUMIFS(estoque[quantidade],estoque[produto],preçodiario[[#Headers],[OVO BRANCO A]],estoque[fornecedor],"&lt;&gt;saída",estoque[data],preçodiario[[#This Row],[data]])))))</f>
        <v>15.278182701652089</v>
      </c>
      <c r="G251" s="22">
        <f>IF(preçodiario[[#This Row],[entrada A]]=0,G250-(SUMIFS(estoque[quantidade],estoque[fornecedor],"saída",estoque[produto],preçodiario[[#Headers],[OVO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Row],[data]]))+G250+preçodiario[[#This Row],[entrada A]])</f>
        <v>133</v>
      </c>
      <c r="H251" s="22">
        <f>SUMIFS(estoque[quantidade],estoque[fornecedor],"&lt;&gt;saída",estoque[produto],preçodiario[[#Headers],[OVO BRANCO A]],estoque[data],preçodiario[[#This Row],[data]])</f>
        <v>0</v>
      </c>
      <c r="I251" s="20">
        <f>SUMIFS(estoque[valor total],estoque[fornecedor],"&lt;&gt;saída",estoque[produto],preçodiario[[#Headers],[OVO BRANCO A]],estoque[data],preçodiario[[#This Row],[data]])</f>
        <v>0</v>
      </c>
      <c r="J251" s="20">
        <f>IFERROR(preçodiario[[#This Row],[estoque A]]*preçodiario[[#This Row],[OVO BRANCO A]],0)</f>
        <v>2031.9982993197277</v>
      </c>
      <c r="K2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Row],[data]])),((K250*L250)+SUMIFS(estoque[valor total],estoque[produto],preçodiario[[#Headers],[OVO BRANCO B]],estoque[data],preçodiario[[#This Row],[data]],estoque[fornecedor],"&lt;&gt;saída"))/(L250+(SUMIFS(estoque[quantidade],estoque[produto],preçodiario[[#Headers],[OVO BRANCO B]],estoque[fornecedor],"&lt;&gt;saída",estoque[data],preçodiario[[#This Row],[data]])))))</f>
        <v>14.584252837326604</v>
      </c>
      <c r="L251" s="22">
        <f>IF(preçodiario[[#This Row],[entrada B]]=0,L250-(SUMIFS(estoque[quantidade],estoque[fornecedor],"saída",estoque[produto],preçodiario[[#Headers],[OVO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Row],[data]]))+L250+preçodiario[[#This Row],[entrada B]])</f>
        <v>16</v>
      </c>
      <c r="M251" s="22">
        <f>SUMIFS(estoque[quantidade],estoque[fornecedor],"&lt;&gt;saída",estoque[produto],preçodiario[[#Headers],[OVO BRANCO B]],estoque[data],preçodiario[[#This Row],[data]])</f>
        <v>0</v>
      </c>
      <c r="N251" s="20">
        <f>SUMIFS(estoque[valor total],estoque[fornecedor],"&lt;&gt;saída",estoque[produto],preçodiario[[#Headers],[OVO BRANCO B]],estoque[data],preçodiario[[#This Row],[data]])</f>
        <v>0</v>
      </c>
      <c r="O251" s="20">
        <f>IFERROR(preçodiario[[#This Row],[OVO BRANCO B]]*preçodiario[[#This Row],[estoque B]],0)</f>
        <v>233.34804539722566</v>
      </c>
      <c r="P2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Row],[data]])),((P250*Q250)+SUMIFS(estoque[valor total],estoque[produto],preçodiario[[#Headers],[OVO BRANCO C]],estoque[data],preçodiario[[#This Row],[data]],estoque[fornecedor],"&lt;&gt;saída"))/(Q250+(SUMIFS(estoque[quantidade],estoque[produto],preçodiario[[#Headers],[OVO BRANCO C]],estoque[fornecedor],"&lt;&gt;saída",estoque[data],preçodiario[[#This Row],[data]])))))</f>
        <v>12.5</v>
      </c>
      <c r="Q251" s="22">
        <f>IF(preçodiario[[#This Row],[entrada C]]=0,Q250-(SUMIFS(estoque[quantidade],estoque[fornecedor],"saída",estoque[produto],preçodiario[[#Headers],[OVO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Row],[data]]))+Q250+preçodiario[[#This Row],[entrada C]])</f>
        <v>60</v>
      </c>
      <c r="R251" s="22">
        <f>SUMIFS(estoque[quantidade],estoque[fornecedor],"&lt;&gt;saída",estoque[produto],preçodiario[[#Headers],[OVO BRANCO C]],estoque[data],preçodiario[[#This Row],[data]])</f>
        <v>0</v>
      </c>
      <c r="S251" s="20">
        <f>SUMIFS(estoque[valor total],estoque[fornecedor],"&lt;&gt;saída",estoque[produto],preçodiario[[#Headers],[OVO BRANCO C]],estoque[data],preçodiario[[#This Row],[data]])</f>
        <v>0</v>
      </c>
      <c r="T251" s="20">
        <f>IFERROR(preçodiario[[#This Row],[OVO BRANCO C]]*preçodiario[[#This Row],[estoque C]],0)</f>
        <v>750</v>
      </c>
      <c r="U2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Row],[data]])),((U250*V250)+SUMIFS(estoque[valor total],estoque[produto],preçodiario[[#Headers],[OVO BRANCO EXTRA]],estoque[data],preçodiario[[#This Row],[data]],estoque[fornecedor],"&lt;&gt;saída"))/(V250+(SUMIFS(estoque[quantidade],estoque[produto],preçodiario[[#Headers],[OVO BRANCO EXTRA]],estoque[fornecedor],"&lt;&gt;saída",estoque[data],preçodiario[[#This Row],[data]])))))</f>
        <v>15.725438400674655</v>
      </c>
      <c r="V251" s="22">
        <f>IF(preçodiario[[#This Row],[entrada E]]=0,V250-(SUMIFS(estoque[quantidade],estoque[fornecedor],"saída",estoque[produto],preçodiario[[#Headers],[OVO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Row],[data]]))+V250+preçodiario[[#This Row],[entrada E]])</f>
        <v>46</v>
      </c>
      <c r="W251" s="22">
        <f>SUMIFS(estoque[quantidade],estoque[fornecedor],"&lt;&gt;saída",estoque[produto],preçodiario[[#Headers],[OVO BRANCO EXTRA]],estoque[data],preçodiario[[#This Row],[data]])</f>
        <v>0</v>
      </c>
      <c r="X251" s="20">
        <f>SUMIFS(estoque[valor total],estoque[fornecedor],"&lt;&gt;saída",estoque[produto],preçodiario[[#Headers],[OVO BRANCO EXTRA]],estoque[data],preçodiario[[#This Row],[data]])</f>
        <v>0</v>
      </c>
      <c r="Y251" s="20">
        <f>IFERROR(preçodiario[[#This Row],[estoque E]]*preçodiario[[#This Row],[OVO BRANCO EXTRA]],0)</f>
        <v>723.37016643103414</v>
      </c>
      <c r="Z2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Row],[data]])),((Z250*AA250)+SUMIFS(estoque[valor total],estoque[produto],preçodiario[[#Headers],[OVO BRANCO JUMBO]],estoque[data],preçodiario[[#This Row],[data]],estoque[fornecedor],"&lt;&gt;saída"))/(AA250+(SUMIFS(estoque[quantidade],estoque[produto],preçodiario[[#Headers],[OVO BRANCO JUMBO]],estoque[fornecedor],"&lt;&gt;saída",estoque[data],preçodiario[[#This Row],[data]])))))</f>
        <v>16.50550595238095</v>
      </c>
      <c r="AA251" s="22">
        <f>IF(preçodiario[[#This Row],[entrada J]]=0,AA250-(SUMIFS(estoque[quantidade],estoque[fornecedor],"saída",estoque[produto],preçodiario[[#Headers],[OVO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Row],[data]]))+AA250+preçodiario[[#This Row],[entrada J]])</f>
        <v>75</v>
      </c>
      <c r="AB251" s="22">
        <f>SUMIFS(estoque[quantidade],estoque[fornecedor],"&lt;&gt;saída",estoque[produto],preçodiario[[#Headers],[OVO BRANCO JUMBO]],estoque[data],preçodiario[[#This Row],[data]])</f>
        <v>0</v>
      </c>
      <c r="AC251" s="20">
        <f>SUMIFS(estoque[valor total],estoque[fornecedor],"&lt;&gt;saída",estoque[produto],preçodiario[[#Headers],[OVO BRANCO JUMBO]],estoque[data],preçodiario[[#This Row],[data]])</f>
        <v>0</v>
      </c>
      <c r="AD251" s="20">
        <f>IFERROR(preçodiario[[#This Row],[OVO BRANCO JUMBO]]*preçodiario[[#This Row],[estoque J]],0)</f>
        <v>1237.9129464285713</v>
      </c>
      <c r="AE2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Row],[data]])),((AE250*AF250)+SUMIFS(estoque[valor total],estoque[produto],preçodiario[[#Headers],[OVO VERMELHO A]],estoque[data],preçodiario[[#This Row],[data]],estoque[fornecedor],"&lt;&gt;saída"))/(AF250+(SUMIFS(estoque[quantidade],estoque[produto],preçodiario[[#Headers],[OVO VERMELHO A]],estoque[fornecedor],"&lt;&gt;saída",estoque[data],preçodiario[[#This Row],[data]])))))</f>
        <v/>
      </c>
      <c r="AF251" s="22">
        <f>IF(preçodiario[[#This Row],[entrada AV]]=0,AF250-(SUMIFS(estoque[quantidade],estoque[fornecedor],"saída",estoque[produto],preçodiario[[#Headers],[OVO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Row],[data]]))+AF250+preçodiario[[#This Row],[entrada AV]])</f>
        <v>0</v>
      </c>
      <c r="AG251" s="22">
        <f>SUMIFS(estoque[quantidade],estoque[fornecedor],"&lt;&gt;saída",estoque[produto],preçodiario[[#Headers],[OVO VERMELHO A]],estoque[data],preçodiario[[#This Row],[data]])</f>
        <v>0</v>
      </c>
      <c r="AH251" s="20">
        <f>SUMIFS(estoque[valor total],estoque[fornecedor],"&lt;&gt;saída",estoque[produto],preçodiario[[#Headers],[OVO VERMELHO A]],estoque[data],preçodiario[[#This Row],[data]])</f>
        <v>0</v>
      </c>
      <c r="AI251" s="20">
        <f>IFERROR(preçodiario[[#This Row],[OVO VERMELHO A]]*preçodiario[[#This Row],[estoque AV]],0)</f>
        <v>0</v>
      </c>
      <c r="AJ2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Row],[data]])),((AJ250*AK250)+SUMIFS(estoque[valor total],estoque[produto],preçodiario[[#Headers],[OVO VERMELHO B]],estoque[data],preçodiario[[#This Row],[data]],estoque[fornecedor],"&lt;&gt;saída"))/(AK250+(SUMIFS(estoque[quantidade],estoque[produto],preçodiario[[#Headers],[OVO VERMELHO B]],estoque[fornecedor],"&lt;&gt;saída",estoque[data],preçodiario[[#This Row],[data]])))))</f>
        <v/>
      </c>
      <c r="AK251" s="22">
        <f>IF(preçodiario[[#This Row],[entrada BV]]=0,AK250-(SUMIFS(estoque[quantidade],estoque[fornecedor],"saída",estoque[produto],preçodiario[[#Headers],[OVO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Row],[data]]))+AK250+preçodiario[[#This Row],[entrada BV]])</f>
        <v>0</v>
      </c>
      <c r="AL251" s="22">
        <f>SUMIFS(estoque[quantidade],estoque[fornecedor],"&lt;&gt;saída",estoque[produto],preçodiario[[#Headers],[OVO VERMELHO B]],estoque[data],preçodiario[[#This Row],[data]])</f>
        <v>0</v>
      </c>
      <c r="AM251" s="20">
        <f>SUMIFS(estoque[valor total],estoque[fornecedor],"&lt;&gt;saída",estoque[produto],preçodiario[[#Headers],[OVO VERMELHO B]],estoque[data],preçodiario[[#This Row],[data]])</f>
        <v>0</v>
      </c>
      <c r="AN251" s="20">
        <f>IFERROR(preçodiario[[#This Row],[OVO VERMELHO B]]*preçodiario[[#This Row],[estoque BV]],0)</f>
        <v>0</v>
      </c>
      <c r="AO2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Row],[data]])),((AO250*AP250)+SUMIFS(estoque[valor total],estoque[produto],preçodiario[[#Headers],[OVO VERMELHO C]],estoque[data],preçodiario[[#This Row],[data]],estoque[fornecedor],"&lt;&gt;saída"))/(AP250+(SUMIFS(estoque[quantidade],estoque[produto],preçodiario[[#Headers],[OVO VERMELHO C]],estoque[fornecedor],"&lt;&gt;saída",estoque[data],preçodiario[[#This Row],[data]])))))</f>
        <v/>
      </c>
      <c r="AP251" s="22">
        <f>IF(preçodiario[[#This Row],[entrada CV]]=0,AP250-(SUMIFS(estoque[quantidade],estoque[fornecedor],"saída",estoque[produto],preçodiario[[#Headers],[OVO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Row],[data]]))+AP250+preçodiario[[#This Row],[entrada CV]])</f>
        <v>0</v>
      </c>
      <c r="AQ251" s="22">
        <f>SUMIFS(estoque[quantidade],estoque[fornecedor],"&lt;&gt;saída",estoque[produto],preçodiario[[#Headers],[OVO VERMELHO C]],estoque[data],preçodiario[[#This Row],[data]])</f>
        <v>0</v>
      </c>
      <c r="AR251" s="20">
        <f>SUMIFS(estoque[valor total],estoque[fornecedor],"&lt;&gt;saída",estoque[produto],preçodiario[[#Headers],[OVO VERMELHO C]],estoque[data],preçodiario[[#This Row],[data]])</f>
        <v>0</v>
      </c>
      <c r="AS251" s="20">
        <f>IFERROR(preçodiario[[#This Row],[OVO VERMELHO C]]*preçodiario[[#This Row],[estoque CV]],0)</f>
        <v>0</v>
      </c>
      <c r="AT2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Row],[data]])),((AT250*AU250)+SUMIFS(estoque[valor total],estoque[produto],preçodiario[[#Headers],[OVO VERMELHO EXTRA]],estoque[data],preçodiario[[#This Row],[data]],estoque[fornecedor],"&lt;&gt;saída"))/(AU250+(SUMIFS(estoque[quantidade],estoque[produto],preçodiario[[#Headers],[OVO VERMELHO EXTRA]],estoque[fornecedor],"&lt;&gt;saída",estoque[data],preçodiario[[#This Row],[data]])))))</f>
        <v/>
      </c>
      <c r="AU251" s="22">
        <f>IF(preçodiario[[#This Row],[entrada EV]]=0,AU250-(SUMIFS(estoque[quantidade],estoque[fornecedor],"saída",estoque[produto],preçodiario[[#Headers],[OVO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Row],[data]]))+AU250+preçodiario[[#This Row],[entrada EV]])</f>
        <v>0</v>
      </c>
      <c r="AV251" s="22">
        <f>SUMIFS(estoque[quantidade],estoque[fornecedor],"&lt;&gt;saída",estoque[produto],preçodiario[[#Headers],[OVO VERMELHO EXTRA]],estoque[data],preçodiario[[#This Row],[data]])</f>
        <v>0</v>
      </c>
      <c r="AW251" s="20">
        <f>SUMIFS(estoque[valor total],estoque[fornecedor],"&lt;&gt;saída",estoque[produto],preçodiario[[#Headers],[OVO VERMELHO EXTRA]],estoque[data],preçodiario[[#This Row],[data]])</f>
        <v>0</v>
      </c>
      <c r="AX251" s="20">
        <f>IFERROR(preçodiario[[#This Row],[OVO VERMELHO EXTRA]]*preçodiario[[#This Row],[estoque EV]],0)</f>
        <v>0</v>
      </c>
      <c r="AY2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Row],[data]])),((AY250*AZ250)+SUMIFS(estoque[valor total],estoque[produto],preçodiario[[#Headers],[OVO VERMELHO JUMBO]],estoque[data],preçodiario[[#This Row],[data]],estoque[fornecedor],"&lt;&gt;saída"))/(AZ250+(SUMIFS(estoque[quantidade],estoque[produto],preçodiario[[#Headers],[OVO VERMELHO JUMBO]],estoque[fornecedor],"&lt;&gt;saída",estoque[data],preçodiario[[#This Row],[data]])))))</f>
        <v/>
      </c>
      <c r="AZ251" s="22">
        <f>IF(preçodiario[[#This Row],[entrada JV]]=0,AZ250-(SUMIFS(estoque[quantidade],estoque[fornecedor],"saída",estoque[produto],preçodiario[[#Headers],[OVO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Row],[data]]))+AZ250+preçodiario[[#This Row],[entrada JV]])</f>
        <v>0</v>
      </c>
      <c r="BA251" s="22">
        <f>SUMIFS(estoque[quantidade],estoque[fornecedor],"&lt;&gt;saída",estoque[produto],preçodiario[[#Headers],[OVO VERMELHO JUMBO]],estoque[data],preçodiario[[#This Row],[data]])</f>
        <v>0</v>
      </c>
      <c r="BB251" s="20">
        <f>SUMIFS(estoque[valor total],estoque[fornecedor],"&lt;&gt;saída",estoque[produto],preçodiario[[#Headers],[OVO VERMELHO JUMBO]],estoque[data],preçodiario[[#This Row],[data]])</f>
        <v>0</v>
      </c>
      <c r="BC251" s="20">
        <f>IFERROR(preçodiario[[#This Row],[OVO VERMELHO JUMBO]]*preçodiario[[#This Row],[estoque JV]],0)</f>
        <v>0</v>
      </c>
      <c r="BD251" t="str">
        <f>TEXT(vendaAno[[#This Row],[data]],"mmm")</f>
        <v>set</v>
      </c>
      <c r="BE251" t="str">
        <f>TEXT(vendaAno[[#This Row],[data]],"ddd")</f>
        <v>seg</v>
      </c>
      <c r="BF251" s="82">
        <f>WEEKNUM(vendaAno[[#This Row],[data]],13)</f>
        <v>36</v>
      </c>
      <c r="BG251" s="27">
        <f>preçodiario[[#This Row],[data]]</f>
        <v>46272</v>
      </c>
      <c r="BH2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Row],[data]]))/12+BJ250,"")</f>
        <v/>
      </c>
      <c r="BK251" s="79" t="str">
        <f ca="1">IF(TODAY()&gt;=vendaAno[[#This Row],[data]],IF(SUMIFS(estoque[quantidade],estoque[fornecedor],"saída",estoque[data],vendaAno[[#This Row],[data]])/12=0,AVERAGE(BK248:BK250),SUMIFS(estoque[quantidade],estoque[fornecedor],"saída",estoque[data],vendaAno[[#This Row],[data]])/12),"")</f>
        <v/>
      </c>
      <c r="BL251" s="8" t="str">
        <f ca="1">IF(vendaAno[[#This Row],[data]]&lt;=TODAY(),IF(SUMIFS(estoque[lucro],estoque[fornecedor],"saída",estoque[data],vendaAno[[#This Row],[data]])=0,AVERAGE(BL248:BL250),SUMIFS(estoque[lucro],estoque[fornecedor],"saída",estoque[data],vendaAno[[#This Row],[data]])),"")</f>
        <v/>
      </c>
      <c r="BM251" s="10" t="str">
        <f ca="1">IFERROR(vendaAno[[#This Row],[lucro]]/vendaAno[[#This Row],[valor de venda]],"")</f>
        <v/>
      </c>
      <c r="BN25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1" s="8" t="str">
        <f ca="1">IF(TODAY()&gt;=vendaAno[[#This Row],[data]],IF(vendaAno[[#This Row],[N°]]=BF250,vendaAno[[#This Row],[lucro]]-173.33+BO250,vendaAno[[#This Row],[lucro]]-150),"")</f>
        <v/>
      </c>
      <c r="BP251" s="81" t="str">
        <f ca="1">IF(TODAY()&gt;=vendaAno[[#This Row],[data]],SUM(BK245:BK251)*12,"")</f>
        <v/>
      </c>
      <c r="BQ251" s="7" t="str">
        <f ca="1">IFERROR(vendaAno[[#This Row],[lucro]]/(vendaAno[[#This Row],[venda]]*12),"")</f>
        <v/>
      </c>
    </row>
    <row r="252" spans="1:69" x14ac:dyDescent="0.25">
      <c r="A2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2" s="18" t="str">
        <f>TEXT(preçodiario[[#This Row],[data]],"MMM")</f>
        <v>set</v>
      </c>
      <c r="C252" s="18" t="str">
        <f>TEXT(preçodiario[[#This Row],[data]],"ddd")</f>
        <v>ter</v>
      </c>
      <c r="D252" s="96">
        <f>WEEKNUM(preçodiario[[#This Row],[data]],13)</f>
        <v>36</v>
      </c>
      <c r="E252" s="37">
        <v>46273</v>
      </c>
      <c r="F2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Row],[data]])),((F251*G251)+SUMIFS(estoque[valor total],estoque[produto],preçodiario[[#Headers],[OVO BRANCO A]],estoque[data],preçodiario[[#This Row],[data]],estoque[fornecedor],"&lt;&gt;saída"))/(G251+(SUMIFS(estoque[quantidade],estoque[produto],preçodiario[[#Headers],[OVO BRANCO A]],estoque[fornecedor],"&lt;&gt;saída",estoque[data],preçodiario[[#This Row],[data]])))))</f>
        <v>15.278182701652089</v>
      </c>
      <c r="G252" s="22">
        <f>IF(preçodiario[[#This Row],[entrada A]]=0,G251-(SUMIFS(estoque[quantidade],estoque[fornecedor],"saída",estoque[produto],preçodiario[[#Headers],[OVO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Row],[data]]))+G251+preçodiario[[#This Row],[entrada A]])</f>
        <v>133</v>
      </c>
      <c r="H252" s="22">
        <f>SUMIFS(estoque[quantidade],estoque[fornecedor],"&lt;&gt;saída",estoque[produto],preçodiario[[#Headers],[OVO BRANCO A]],estoque[data],preçodiario[[#This Row],[data]])</f>
        <v>0</v>
      </c>
      <c r="I252" s="20">
        <f>SUMIFS(estoque[valor total],estoque[fornecedor],"&lt;&gt;saída",estoque[produto],preçodiario[[#Headers],[OVO BRANCO A]],estoque[data],preçodiario[[#This Row],[data]])</f>
        <v>0</v>
      </c>
      <c r="J252" s="20">
        <f>IFERROR(preçodiario[[#This Row],[estoque A]]*preçodiario[[#This Row],[OVO BRANCO A]],0)</f>
        <v>2031.9982993197277</v>
      </c>
      <c r="K2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Row],[data]])),((K251*L251)+SUMIFS(estoque[valor total],estoque[produto],preçodiario[[#Headers],[OVO BRANCO B]],estoque[data],preçodiario[[#This Row],[data]],estoque[fornecedor],"&lt;&gt;saída"))/(L251+(SUMIFS(estoque[quantidade],estoque[produto],preçodiario[[#Headers],[OVO BRANCO B]],estoque[fornecedor],"&lt;&gt;saída",estoque[data],preçodiario[[#This Row],[data]])))))</f>
        <v>14.584252837326604</v>
      </c>
      <c r="L252" s="22">
        <f>IF(preçodiario[[#This Row],[entrada B]]=0,L251-(SUMIFS(estoque[quantidade],estoque[fornecedor],"saída",estoque[produto],preçodiario[[#Headers],[OVO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Row],[data]]))+L251+preçodiario[[#This Row],[entrada B]])</f>
        <v>16</v>
      </c>
      <c r="M252" s="22">
        <f>SUMIFS(estoque[quantidade],estoque[fornecedor],"&lt;&gt;saída",estoque[produto],preçodiario[[#Headers],[OVO BRANCO B]],estoque[data],preçodiario[[#This Row],[data]])</f>
        <v>0</v>
      </c>
      <c r="N252" s="20">
        <f>SUMIFS(estoque[valor total],estoque[fornecedor],"&lt;&gt;saída",estoque[produto],preçodiario[[#Headers],[OVO BRANCO B]],estoque[data],preçodiario[[#This Row],[data]])</f>
        <v>0</v>
      </c>
      <c r="O252" s="20">
        <f>IFERROR(preçodiario[[#This Row],[OVO BRANCO B]]*preçodiario[[#This Row],[estoque B]],0)</f>
        <v>233.34804539722566</v>
      </c>
      <c r="P2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Row],[data]])),((P251*Q251)+SUMIFS(estoque[valor total],estoque[produto],preçodiario[[#Headers],[OVO BRANCO C]],estoque[data],preçodiario[[#This Row],[data]],estoque[fornecedor],"&lt;&gt;saída"))/(Q251+(SUMIFS(estoque[quantidade],estoque[produto],preçodiario[[#Headers],[OVO BRANCO C]],estoque[fornecedor],"&lt;&gt;saída",estoque[data],preçodiario[[#This Row],[data]])))))</f>
        <v>12.5</v>
      </c>
      <c r="Q252" s="22">
        <f>IF(preçodiario[[#This Row],[entrada C]]=0,Q251-(SUMIFS(estoque[quantidade],estoque[fornecedor],"saída",estoque[produto],preçodiario[[#Headers],[OVO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Row],[data]]))+Q251+preçodiario[[#This Row],[entrada C]])</f>
        <v>60</v>
      </c>
      <c r="R252" s="22">
        <f>SUMIFS(estoque[quantidade],estoque[fornecedor],"&lt;&gt;saída",estoque[produto],preçodiario[[#Headers],[OVO BRANCO C]],estoque[data],preçodiario[[#This Row],[data]])</f>
        <v>0</v>
      </c>
      <c r="S252" s="20">
        <f>SUMIFS(estoque[valor total],estoque[fornecedor],"&lt;&gt;saída",estoque[produto],preçodiario[[#Headers],[OVO BRANCO C]],estoque[data],preçodiario[[#This Row],[data]])</f>
        <v>0</v>
      </c>
      <c r="T252" s="20">
        <f>IFERROR(preçodiario[[#This Row],[OVO BRANCO C]]*preçodiario[[#This Row],[estoque C]],0)</f>
        <v>750</v>
      </c>
      <c r="U2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Row],[data]])),((U251*V251)+SUMIFS(estoque[valor total],estoque[produto],preçodiario[[#Headers],[OVO BRANCO EXTRA]],estoque[data],preçodiario[[#This Row],[data]],estoque[fornecedor],"&lt;&gt;saída"))/(V251+(SUMIFS(estoque[quantidade],estoque[produto],preçodiario[[#Headers],[OVO BRANCO EXTRA]],estoque[fornecedor],"&lt;&gt;saída",estoque[data],preçodiario[[#This Row],[data]])))))</f>
        <v>15.725438400674655</v>
      </c>
      <c r="V252" s="22">
        <f>IF(preçodiario[[#This Row],[entrada E]]=0,V251-(SUMIFS(estoque[quantidade],estoque[fornecedor],"saída",estoque[produto],preçodiario[[#Headers],[OVO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Row],[data]]))+V251+preçodiario[[#This Row],[entrada E]])</f>
        <v>46</v>
      </c>
      <c r="W252" s="22">
        <f>SUMIFS(estoque[quantidade],estoque[fornecedor],"&lt;&gt;saída",estoque[produto],preçodiario[[#Headers],[OVO BRANCO EXTRA]],estoque[data],preçodiario[[#This Row],[data]])</f>
        <v>0</v>
      </c>
      <c r="X252" s="20">
        <f>SUMIFS(estoque[valor total],estoque[fornecedor],"&lt;&gt;saída",estoque[produto],preçodiario[[#Headers],[OVO BRANCO EXTRA]],estoque[data],preçodiario[[#This Row],[data]])</f>
        <v>0</v>
      </c>
      <c r="Y252" s="20">
        <f>IFERROR(preçodiario[[#This Row],[estoque E]]*preçodiario[[#This Row],[OVO BRANCO EXTRA]],0)</f>
        <v>723.37016643103414</v>
      </c>
      <c r="Z2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Row],[data]])),((Z251*AA251)+SUMIFS(estoque[valor total],estoque[produto],preçodiario[[#Headers],[OVO BRANCO JUMBO]],estoque[data],preçodiario[[#This Row],[data]],estoque[fornecedor],"&lt;&gt;saída"))/(AA251+(SUMIFS(estoque[quantidade],estoque[produto],preçodiario[[#Headers],[OVO BRANCO JUMBO]],estoque[fornecedor],"&lt;&gt;saída",estoque[data],preçodiario[[#This Row],[data]])))))</f>
        <v>16.50550595238095</v>
      </c>
      <c r="AA252" s="22">
        <f>IF(preçodiario[[#This Row],[entrada J]]=0,AA251-(SUMIFS(estoque[quantidade],estoque[fornecedor],"saída",estoque[produto],preçodiario[[#Headers],[OVO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Row],[data]]))+AA251+preçodiario[[#This Row],[entrada J]])</f>
        <v>75</v>
      </c>
      <c r="AB252" s="22">
        <f>SUMIFS(estoque[quantidade],estoque[fornecedor],"&lt;&gt;saída",estoque[produto],preçodiario[[#Headers],[OVO BRANCO JUMBO]],estoque[data],preçodiario[[#This Row],[data]])</f>
        <v>0</v>
      </c>
      <c r="AC252" s="20">
        <f>SUMIFS(estoque[valor total],estoque[fornecedor],"&lt;&gt;saída",estoque[produto],preçodiario[[#Headers],[OVO BRANCO JUMBO]],estoque[data],preçodiario[[#This Row],[data]])</f>
        <v>0</v>
      </c>
      <c r="AD252" s="20">
        <f>IFERROR(preçodiario[[#This Row],[OVO BRANCO JUMBO]]*preçodiario[[#This Row],[estoque J]],0)</f>
        <v>1237.9129464285713</v>
      </c>
      <c r="AE2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Row],[data]])),((AE251*AF251)+SUMIFS(estoque[valor total],estoque[produto],preçodiario[[#Headers],[OVO VERMELHO A]],estoque[data],preçodiario[[#This Row],[data]],estoque[fornecedor],"&lt;&gt;saída"))/(AF251+(SUMIFS(estoque[quantidade],estoque[produto],preçodiario[[#Headers],[OVO VERMELHO A]],estoque[fornecedor],"&lt;&gt;saída",estoque[data],preçodiario[[#This Row],[data]])))))</f>
        <v/>
      </c>
      <c r="AF252" s="22">
        <f>IF(preçodiario[[#This Row],[entrada AV]]=0,AF251-(SUMIFS(estoque[quantidade],estoque[fornecedor],"saída",estoque[produto],preçodiario[[#Headers],[OVO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Row],[data]]))+AF251+preçodiario[[#This Row],[entrada AV]])</f>
        <v>0</v>
      </c>
      <c r="AG252" s="22">
        <f>SUMIFS(estoque[quantidade],estoque[fornecedor],"&lt;&gt;saída",estoque[produto],preçodiario[[#Headers],[OVO VERMELHO A]],estoque[data],preçodiario[[#This Row],[data]])</f>
        <v>0</v>
      </c>
      <c r="AH252" s="20">
        <f>SUMIFS(estoque[valor total],estoque[fornecedor],"&lt;&gt;saída",estoque[produto],preçodiario[[#Headers],[OVO VERMELHO A]],estoque[data],preçodiario[[#This Row],[data]])</f>
        <v>0</v>
      </c>
      <c r="AI252" s="20">
        <f>IFERROR(preçodiario[[#This Row],[OVO VERMELHO A]]*preçodiario[[#This Row],[estoque AV]],0)</f>
        <v>0</v>
      </c>
      <c r="AJ2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Row],[data]])),((AJ251*AK251)+SUMIFS(estoque[valor total],estoque[produto],preçodiario[[#Headers],[OVO VERMELHO B]],estoque[data],preçodiario[[#This Row],[data]],estoque[fornecedor],"&lt;&gt;saída"))/(AK251+(SUMIFS(estoque[quantidade],estoque[produto],preçodiario[[#Headers],[OVO VERMELHO B]],estoque[fornecedor],"&lt;&gt;saída",estoque[data],preçodiario[[#This Row],[data]])))))</f>
        <v/>
      </c>
      <c r="AK252" s="22">
        <f>IF(preçodiario[[#This Row],[entrada BV]]=0,AK251-(SUMIFS(estoque[quantidade],estoque[fornecedor],"saída",estoque[produto],preçodiario[[#Headers],[OVO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Row],[data]]))+AK251+preçodiario[[#This Row],[entrada BV]])</f>
        <v>0</v>
      </c>
      <c r="AL252" s="22">
        <f>SUMIFS(estoque[quantidade],estoque[fornecedor],"&lt;&gt;saída",estoque[produto],preçodiario[[#Headers],[OVO VERMELHO B]],estoque[data],preçodiario[[#This Row],[data]])</f>
        <v>0</v>
      </c>
      <c r="AM252" s="20">
        <f>SUMIFS(estoque[valor total],estoque[fornecedor],"&lt;&gt;saída",estoque[produto],preçodiario[[#Headers],[OVO VERMELHO B]],estoque[data],preçodiario[[#This Row],[data]])</f>
        <v>0</v>
      </c>
      <c r="AN252" s="20">
        <f>IFERROR(preçodiario[[#This Row],[OVO VERMELHO B]]*preçodiario[[#This Row],[estoque BV]],0)</f>
        <v>0</v>
      </c>
      <c r="AO2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Row],[data]])),((AO251*AP251)+SUMIFS(estoque[valor total],estoque[produto],preçodiario[[#Headers],[OVO VERMELHO C]],estoque[data],preçodiario[[#This Row],[data]],estoque[fornecedor],"&lt;&gt;saída"))/(AP251+(SUMIFS(estoque[quantidade],estoque[produto],preçodiario[[#Headers],[OVO VERMELHO C]],estoque[fornecedor],"&lt;&gt;saída",estoque[data],preçodiario[[#This Row],[data]])))))</f>
        <v/>
      </c>
      <c r="AP252" s="22">
        <f>IF(preçodiario[[#This Row],[entrada CV]]=0,AP251-(SUMIFS(estoque[quantidade],estoque[fornecedor],"saída",estoque[produto],preçodiario[[#Headers],[OVO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Row],[data]]))+AP251+preçodiario[[#This Row],[entrada CV]])</f>
        <v>0</v>
      </c>
      <c r="AQ252" s="22">
        <f>SUMIFS(estoque[quantidade],estoque[fornecedor],"&lt;&gt;saída",estoque[produto],preçodiario[[#Headers],[OVO VERMELHO C]],estoque[data],preçodiario[[#This Row],[data]])</f>
        <v>0</v>
      </c>
      <c r="AR252" s="20">
        <f>SUMIFS(estoque[valor total],estoque[fornecedor],"&lt;&gt;saída",estoque[produto],preçodiario[[#Headers],[OVO VERMELHO C]],estoque[data],preçodiario[[#This Row],[data]])</f>
        <v>0</v>
      </c>
      <c r="AS252" s="20">
        <f>IFERROR(preçodiario[[#This Row],[OVO VERMELHO C]]*preçodiario[[#This Row],[estoque CV]],0)</f>
        <v>0</v>
      </c>
      <c r="AT2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Row],[data]])),((AT251*AU251)+SUMIFS(estoque[valor total],estoque[produto],preçodiario[[#Headers],[OVO VERMELHO EXTRA]],estoque[data],preçodiario[[#This Row],[data]],estoque[fornecedor],"&lt;&gt;saída"))/(AU251+(SUMIFS(estoque[quantidade],estoque[produto],preçodiario[[#Headers],[OVO VERMELHO EXTRA]],estoque[fornecedor],"&lt;&gt;saída",estoque[data],preçodiario[[#This Row],[data]])))))</f>
        <v/>
      </c>
      <c r="AU252" s="22">
        <f>IF(preçodiario[[#This Row],[entrada EV]]=0,AU251-(SUMIFS(estoque[quantidade],estoque[fornecedor],"saída",estoque[produto],preçodiario[[#Headers],[OVO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Row],[data]]))+AU251+preçodiario[[#This Row],[entrada EV]])</f>
        <v>0</v>
      </c>
      <c r="AV252" s="22">
        <f>SUMIFS(estoque[quantidade],estoque[fornecedor],"&lt;&gt;saída",estoque[produto],preçodiario[[#Headers],[OVO VERMELHO EXTRA]],estoque[data],preçodiario[[#This Row],[data]])</f>
        <v>0</v>
      </c>
      <c r="AW252" s="20">
        <f>SUMIFS(estoque[valor total],estoque[fornecedor],"&lt;&gt;saída",estoque[produto],preçodiario[[#Headers],[OVO VERMELHO EXTRA]],estoque[data],preçodiario[[#This Row],[data]])</f>
        <v>0</v>
      </c>
      <c r="AX252" s="20">
        <f>IFERROR(preçodiario[[#This Row],[OVO VERMELHO EXTRA]]*preçodiario[[#This Row],[estoque EV]],0)</f>
        <v>0</v>
      </c>
      <c r="AY2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Row],[data]])),((AY251*AZ251)+SUMIFS(estoque[valor total],estoque[produto],preçodiario[[#Headers],[OVO VERMELHO JUMBO]],estoque[data],preçodiario[[#This Row],[data]],estoque[fornecedor],"&lt;&gt;saída"))/(AZ251+(SUMIFS(estoque[quantidade],estoque[produto],preçodiario[[#Headers],[OVO VERMELHO JUMBO]],estoque[fornecedor],"&lt;&gt;saída",estoque[data],preçodiario[[#This Row],[data]])))))</f>
        <v/>
      </c>
      <c r="AZ252" s="22">
        <f>IF(preçodiario[[#This Row],[entrada JV]]=0,AZ251-(SUMIFS(estoque[quantidade],estoque[fornecedor],"saída",estoque[produto],preçodiario[[#Headers],[OVO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Row],[data]]))+AZ251+preçodiario[[#This Row],[entrada JV]])</f>
        <v>0</v>
      </c>
      <c r="BA252" s="22">
        <f>SUMIFS(estoque[quantidade],estoque[fornecedor],"&lt;&gt;saída",estoque[produto],preçodiario[[#Headers],[OVO VERMELHO JUMBO]],estoque[data],preçodiario[[#This Row],[data]])</f>
        <v>0</v>
      </c>
      <c r="BB252" s="20">
        <f>SUMIFS(estoque[valor total],estoque[fornecedor],"&lt;&gt;saída",estoque[produto],preçodiario[[#Headers],[OVO VERMELHO JUMBO]],estoque[data],preçodiario[[#This Row],[data]])</f>
        <v>0</v>
      </c>
      <c r="BC252" s="20">
        <f>IFERROR(preçodiario[[#This Row],[OVO VERMELHO JUMBO]]*preçodiario[[#This Row],[estoque JV]],0)</f>
        <v>0</v>
      </c>
      <c r="BD252" t="str">
        <f>TEXT(vendaAno[[#This Row],[data]],"mmm")</f>
        <v>set</v>
      </c>
      <c r="BE252" t="str">
        <f>TEXT(vendaAno[[#This Row],[data]],"ddd")</f>
        <v>ter</v>
      </c>
      <c r="BF252" s="82">
        <f>WEEKNUM(vendaAno[[#This Row],[data]],13)</f>
        <v>36</v>
      </c>
      <c r="BG252" s="27">
        <f>preçodiario[[#This Row],[data]]</f>
        <v>46273</v>
      </c>
      <c r="BH2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Row],[data]]))/12+BJ251,"")</f>
        <v/>
      </c>
      <c r="BK252" s="79" t="str">
        <f ca="1">IF(TODAY()&gt;=vendaAno[[#This Row],[data]],IF(SUMIFS(estoque[quantidade],estoque[fornecedor],"saída",estoque[data],vendaAno[[#This Row],[data]])/12=0,AVERAGE(BK249:BK251),SUMIFS(estoque[quantidade],estoque[fornecedor],"saída",estoque[data],vendaAno[[#This Row],[data]])/12),"")</f>
        <v/>
      </c>
      <c r="BL252" s="8" t="str">
        <f ca="1">IF(vendaAno[[#This Row],[data]]&lt;=TODAY(),IF(SUMIFS(estoque[lucro],estoque[fornecedor],"saída",estoque[data],vendaAno[[#This Row],[data]])=0,AVERAGE(BL249:BL251),SUMIFS(estoque[lucro],estoque[fornecedor],"saída",estoque[data],vendaAno[[#This Row],[data]])),"")</f>
        <v/>
      </c>
      <c r="BM252" s="10" t="str">
        <f ca="1">IFERROR(vendaAno[[#This Row],[lucro]]/vendaAno[[#This Row],[valor de venda]],"")</f>
        <v/>
      </c>
      <c r="BN25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2" s="8" t="str">
        <f ca="1">IF(TODAY()&gt;=vendaAno[[#This Row],[data]],IF(vendaAno[[#This Row],[N°]]=BF251,vendaAno[[#This Row],[lucro]]-173.33+BO251,vendaAno[[#This Row],[lucro]]-150),"")</f>
        <v/>
      </c>
      <c r="BP252" s="81" t="str">
        <f ca="1">IF(TODAY()&gt;=vendaAno[[#This Row],[data]],SUM(BK246:BK252)*12,"")</f>
        <v/>
      </c>
      <c r="BQ252" s="7" t="str">
        <f ca="1">IFERROR(vendaAno[[#This Row],[lucro]]/(vendaAno[[#This Row],[venda]]*12),"")</f>
        <v/>
      </c>
    </row>
    <row r="253" spans="1:69" x14ac:dyDescent="0.25">
      <c r="A2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3" s="18" t="str">
        <f>TEXT(preçodiario[[#This Row],[data]],"MMM")</f>
        <v>set</v>
      </c>
      <c r="C253" s="18" t="str">
        <f>TEXT(preçodiario[[#This Row],[data]],"ddd")</f>
        <v>qua</v>
      </c>
      <c r="D253" s="96">
        <f>WEEKNUM(preçodiario[[#This Row],[data]],13)</f>
        <v>37</v>
      </c>
      <c r="E253" s="37">
        <v>46274</v>
      </c>
      <c r="F2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Row],[data]])),((F252*G252)+SUMIFS(estoque[valor total],estoque[produto],preçodiario[[#Headers],[OVO BRANCO A]],estoque[data],preçodiario[[#This Row],[data]],estoque[fornecedor],"&lt;&gt;saída"))/(G252+(SUMIFS(estoque[quantidade],estoque[produto],preçodiario[[#Headers],[OVO BRANCO A]],estoque[fornecedor],"&lt;&gt;saída",estoque[data],preçodiario[[#This Row],[data]])))))</f>
        <v>15.278182701652089</v>
      </c>
      <c r="G253" s="22">
        <f>IF(preçodiario[[#This Row],[entrada A]]=0,G252-(SUMIFS(estoque[quantidade],estoque[fornecedor],"saída",estoque[produto],preçodiario[[#Headers],[OVO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Row],[data]]))+G252+preçodiario[[#This Row],[entrada A]])</f>
        <v>133</v>
      </c>
      <c r="H253" s="22">
        <f>SUMIFS(estoque[quantidade],estoque[fornecedor],"&lt;&gt;saída",estoque[produto],preçodiario[[#Headers],[OVO BRANCO A]],estoque[data],preçodiario[[#This Row],[data]])</f>
        <v>0</v>
      </c>
      <c r="I253" s="20">
        <f>SUMIFS(estoque[valor total],estoque[fornecedor],"&lt;&gt;saída",estoque[produto],preçodiario[[#Headers],[OVO BRANCO A]],estoque[data],preçodiario[[#This Row],[data]])</f>
        <v>0</v>
      </c>
      <c r="J253" s="20">
        <f>IFERROR(preçodiario[[#This Row],[estoque A]]*preçodiario[[#This Row],[OVO BRANCO A]],0)</f>
        <v>2031.9982993197277</v>
      </c>
      <c r="K2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Row],[data]])),((K252*L252)+SUMIFS(estoque[valor total],estoque[produto],preçodiario[[#Headers],[OVO BRANCO B]],estoque[data],preçodiario[[#This Row],[data]],estoque[fornecedor],"&lt;&gt;saída"))/(L252+(SUMIFS(estoque[quantidade],estoque[produto],preçodiario[[#Headers],[OVO BRANCO B]],estoque[fornecedor],"&lt;&gt;saída",estoque[data],preçodiario[[#This Row],[data]])))))</f>
        <v>14.584252837326604</v>
      </c>
      <c r="L253" s="22">
        <f>IF(preçodiario[[#This Row],[entrada B]]=0,L252-(SUMIFS(estoque[quantidade],estoque[fornecedor],"saída",estoque[produto],preçodiario[[#Headers],[OVO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Row],[data]]))+L252+preçodiario[[#This Row],[entrada B]])</f>
        <v>16</v>
      </c>
      <c r="M253" s="22">
        <f>SUMIFS(estoque[quantidade],estoque[fornecedor],"&lt;&gt;saída",estoque[produto],preçodiario[[#Headers],[OVO BRANCO B]],estoque[data],preçodiario[[#This Row],[data]])</f>
        <v>0</v>
      </c>
      <c r="N253" s="20">
        <f>SUMIFS(estoque[valor total],estoque[fornecedor],"&lt;&gt;saída",estoque[produto],preçodiario[[#Headers],[OVO BRANCO B]],estoque[data],preçodiario[[#This Row],[data]])</f>
        <v>0</v>
      </c>
      <c r="O253" s="20">
        <f>IFERROR(preçodiario[[#This Row],[OVO BRANCO B]]*preçodiario[[#This Row],[estoque B]],0)</f>
        <v>233.34804539722566</v>
      </c>
      <c r="P2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Row],[data]])),((P252*Q252)+SUMIFS(estoque[valor total],estoque[produto],preçodiario[[#Headers],[OVO BRANCO C]],estoque[data],preçodiario[[#This Row],[data]],estoque[fornecedor],"&lt;&gt;saída"))/(Q252+(SUMIFS(estoque[quantidade],estoque[produto],preçodiario[[#Headers],[OVO BRANCO C]],estoque[fornecedor],"&lt;&gt;saída",estoque[data],preçodiario[[#This Row],[data]])))))</f>
        <v>12.5</v>
      </c>
      <c r="Q253" s="22">
        <f>IF(preçodiario[[#This Row],[entrada C]]=0,Q252-(SUMIFS(estoque[quantidade],estoque[fornecedor],"saída",estoque[produto],preçodiario[[#Headers],[OVO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Row],[data]]))+Q252+preçodiario[[#This Row],[entrada C]])</f>
        <v>60</v>
      </c>
      <c r="R253" s="22">
        <f>SUMIFS(estoque[quantidade],estoque[fornecedor],"&lt;&gt;saída",estoque[produto],preçodiario[[#Headers],[OVO BRANCO C]],estoque[data],preçodiario[[#This Row],[data]])</f>
        <v>0</v>
      </c>
      <c r="S253" s="20">
        <f>SUMIFS(estoque[valor total],estoque[fornecedor],"&lt;&gt;saída",estoque[produto],preçodiario[[#Headers],[OVO BRANCO C]],estoque[data],preçodiario[[#This Row],[data]])</f>
        <v>0</v>
      </c>
      <c r="T253" s="20">
        <f>IFERROR(preçodiario[[#This Row],[OVO BRANCO C]]*preçodiario[[#This Row],[estoque C]],0)</f>
        <v>750</v>
      </c>
      <c r="U2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Row],[data]])),((U252*V252)+SUMIFS(estoque[valor total],estoque[produto],preçodiario[[#Headers],[OVO BRANCO EXTRA]],estoque[data],preçodiario[[#This Row],[data]],estoque[fornecedor],"&lt;&gt;saída"))/(V252+(SUMIFS(estoque[quantidade],estoque[produto],preçodiario[[#Headers],[OVO BRANCO EXTRA]],estoque[fornecedor],"&lt;&gt;saída",estoque[data],preçodiario[[#This Row],[data]])))))</f>
        <v>15.725438400674655</v>
      </c>
      <c r="V253" s="22">
        <f>IF(preçodiario[[#This Row],[entrada E]]=0,V252-(SUMIFS(estoque[quantidade],estoque[fornecedor],"saída",estoque[produto],preçodiario[[#Headers],[OVO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Row],[data]]))+V252+preçodiario[[#This Row],[entrada E]])</f>
        <v>46</v>
      </c>
      <c r="W253" s="22">
        <f>SUMIFS(estoque[quantidade],estoque[fornecedor],"&lt;&gt;saída",estoque[produto],preçodiario[[#Headers],[OVO BRANCO EXTRA]],estoque[data],preçodiario[[#This Row],[data]])</f>
        <v>0</v>
      </c>
      <c r="X253" s="20">
        <f>SUMIFS(estoque[valor total],estoque[fornecedor],"&lt;&gt;saída",estoque[produto],preçodiario[[#Headers],[OVO BRANCO EXTRA]],estoque[data],preçodiario[[#This Row],[data]])</f>
        <v>0</v>
      </c>
      <c r="Y253" s="20">
        <f>IFERROR(preçodiario[[#This Row],[estoque E]]*preçodiario[[#This Row],[OVO BRANCO EXTRA]],0)</f>
        <v>723.37016643103414</v>
      </c>
      <c r="Z2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Row],[data]])),((Z252*AA252)+SUMIFS(estoque[valor total],estoque[produto],preçodiario[[#Headers],[OVO BRANCO JUMBO]],estoque[data],preçodiario[[#This Row],[data]],estoque[fornecedor],"&lt;&gt;saída"))/(AA252+(SUMIFS(estoque[quantidade],estoque[produto],preçodiario[[#Headers],[OVO BRANCO JUMBO]],estoque[fornecedor],"&lt;&gt;saída",estoque[data],preçodiario[[#This Row],[data]])))))</f>
        <v>16.50550595238095</v>
      </c>
      <c r="AA253" s="22">
        <f>IF(preçodiario[[#This Row],[entrada J]]=0,AA252-(SUMIFS(estoque[quantidade],estoque[fornecedor],"saída",estoque[produto],preçodiario[[#Headers],[OVO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Row],[data]]))+AA252+preçodiario[[#This Row],[entrada J]])</f>
        <v>75</v>
      </c>
      <c r="AB253" s="22">
        <f>SUMIFS(estoque[quantidade],estoque[fornecedor],"&lt;&gt;saída",estoque[produto],preçodiario[[#Headers],[OVO BRANCO JUMBO]],estoque[data],preçodiario[[#This Row],[data]])</f>
        <v>0</v>
      </c>
      <c r="AC253" s="20">
        <f>SUMIFS(estoque[valor total],estoque[fornecedor],"&lt;&gt;saída",estoque[produto],preçodiario[[#Headers],[OVO BRANCO JUMBO]],estoque[data],preçodiario[[#This Row],[data]])</f>
        <v>0</v>
      </c>
      <c r="AD253" s="20">
        <f>IFERROR(preçodiario[[#This Row],[OVO BRANCO JUMBO]]*preçodiario[[#This Row],[estoque J]],0)</f>
        <v>1237.9129464285713</v>
      </c>
      <c r="AE2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Row],[data]])),((AE252*AF252)+SUMIFS(estoque[valor total],estoque[produto],preçodiario[[#Headers],[OVO VERMELHO A]],estoque[data],preçodiario[[#This Row],[data]],estoque[fornecedor],"&lt;&gt;saída"))/(AF252+(SUMIFS(estoque[quantidade],estoque[produto],preçodiario[[#Headers],[OVO VERMELHO A]],estoque[fornecedor],"&lt;&gt;saída",estoque[data],preçodiario[[#This Row],[data]])))))</f>
        <v/>
      </c>
      <c r="AF253" s="22">
        <f>IF(preçodiario[[#This Row],[entrada AV]]=0,AF252-(SUMIFS(estoque[quantidade],estoque[fornecedor],"saída",estoque[produto],preçodiario[[#Headers],[OVO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Row],[data]]))+AF252+preçodiario[[#This Row],[entrada AV]])</f>
        <v>0</v>
      </c>
      <c r="AG253" s="22">
        <f>SUMIFS(estoque[quantidade],estoque[fornecedor],"&lt;&gt;saída",estoque[produto],preçodiario[[#Headers],[OVO VERMELHO A]],estoque[data],preçodiario[[#This Row],[data]])</f>
        <v>0</v>
      </c>
      <c r="AH253" s="20">
        <f>SUMIFS(estoque[valor total],estoque[fornecedor],"&lt;&gt;saída",estoque[produto],preçodiario[[#Headers],[OVO VERMELHO A]],estoque[data],preçodiario[[#This Row],[data]])</f>
        <v>0</v>
      </c>
      <c r="AI253" s="20">
        <f>IFERROR(preçodiario[[#This Row],[OVO VERMELHO A]]*preçodiario[[#This Row],[estoque AV]],0)</f>
        <v>0</v>
      </c>
      <c r="AJ2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Row],[data]])),((AJ252*AK252)+SUMIFS(estoque[valor total],estoque[produto],preçodiario[[#Headers],[OVO VERMELHO B]],estoque[data],preçodiario[[#This Row],[data]],estoque[fornecedor],"&lt;&gt;saída"))/(AK252+(SUMIFS(estoque[quantidade],estoque[produto],preçodiario[[#Headers],[OVO VERMELHO B]],estoque[fornecedor],"&lt;&gt;saída",estoque[data],preçodiario[[#This Row],[data]])))))</f>
        <v/>
      </c>
      <c r="AK253" s="22">
        <f>IF(preçodiario[[#This Row],[entrada BV]]=0,AK252-(SUMIFS(estoque[quantidade],estoque[fornecedor],"saída",estoque[produto],preçodiario[[#Headers],[OVO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Row],[data]]))+AK252+preçodiario[[#This Row],[entrada BV]])</f>
        <v>0</v>
      </c>
      <c r="AL253" s="22">
        <f>SUMIFS(estoque[quantidade],estoque[fornecedor],"&lt;&gt;saída",estoque[produto],preçodiario[[#Headers],[OVO VERMELHO B]],estoque[data],preçodiario[[#This Row],[data]])</f>
        <v>0</v>
      </c>
      <c r="AM253" s="20">
        <f>SUMIFS(estoque[valor total],estoque[fornecedor],"&lt;&gt;saída",estoque[produto],preçodiario[[#Headers],[OVO VERMELHO B]],estoque[data],preçodiario[[#This Row],[data]])</f>
        <v>0</v>
      </c>
      <c r="AN253" s="20">
        <f>IFERROR(preçodiario[[#This Row],[OVO VERMELHO B]]*preçodiario[[#This Row],[estoque BV]],0)</f>
        <v>0</v>
      </c>
      <c r="AO2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Row],[data]])),((AO252*AP252)+SUMIFS(estoque[valor total],estoque[produto],preçodiario[[#Headers],[OVO VERMELHO C]],estoque[data],preçodiario[[#This Row],[data]],estoque[fornecedor],"&lt;&gt;saída"))/(AP252+(SUMIFS(estoque[quantidade],estoque[produto],preçodiario[[#Headers],[OVO VERMELHO C]],estoque[fornecedor],"&lt;&gt;saída",estoque[data],preçodiario[[#This Row],[data]])))))</f>
        <v/>
      </c>
      <c r="AP253" s="22">
        <f>IF(preçodiario[[#This Row],[entrada CV]]=0,AP252-(SUMIFS(estoque[quantidade],estoque[fornecedor],"saída",estoque[produto],preçodiario[[#Headers],[OVO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Row],[data]]))+AP252+preçodiario[[#This Row],[entrada CV]])</f>
        <v>0</v>
      </c>
      <c r="AQ253" s="22">
        <f>SUMIFS(estoque[quantidade],estoque[fornecedor],"&lt;&gt;saída",estoque[produto],preçodiario[[#Headers],[OVO VERMELHO C]],estoque[data],preçodiario[[#This Row],[data]])</f>
        <v>0</v>
      </c>
      <c r="AR253" s="20">
        <f>SUMIFS(estoque[valor total],estoque[fornecedor],"&lt;&gt;saída",estoque[produto],preçodiario[[#Headers],[OVO VERMELHO C]],estoque[data],preçodiario[[#This Row],[data]])</f>
        <v>0</v>
      </c>
      <c r="AS253" s="20">
        <f>IFERROR(preçodiario[[#This Row],[OVO VERMELHO C]]*preçodiario[[#This Row],[estoque CV]],0)</f>
        <v>0</v>
      </c>
      <c r="AT2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Row],[data]])),((AT252*AU252)+SUMIFS(estoque[valor total],estoque[produto],preçodiario[[#Headers],[OVO VERMELHO EXTRA]],estoque[data],preçodiario[[#This Row],[data]],estoque[fornecedor],"&lt;&gt;saída"))/(AU252+(SUMIFS(estoque[quantidade],estoque[produto],preçodiario[[#Headers],[OVO VERMELHO EXTRA]],estoque[fornecedor],"&lt;&gt;saída",estoque[data],preçodiario[[#This Row],[data]])))))</f>
        <v/>
      </c>
      <c r="AU253" s="22">
        <f>IF(preçodiario[[#This Row],[entrada EV]]=0,AU252-(SUMIFS(estoque[quantidade],estoque[fornecedor],"saída",estoque[produto],preçodiario[[#Headers],[OVO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Row],[data]]))+AU252+preçodiario[[#This Row],[entrada EV]])</f>
        <v>0</v>
      </c>
      <c r="AV253" s="22">
        <f>SUMIFS(estoque[quantidade],estoque[fornecedor],"&lt;&gt;saída",estoque[produto],preçodiario[[#Headers],[OVO VERMELHO EXTRA]],estoque[data],preçodiario[[#This Row],[data]])</f>
        <v>0</v>
      </c>
      <c r="AW253" s="20">
        <f>SUMIFS(estoque[valor total],estoque[fornecedor],"&lt;&gt;saída",estoque[produto],preçodiario[[#Headers],[OVO VERMELHO EXTRA]],estoque[data],preçodiario[[#This Row],[data]])</f>
        <v>0</v>
      </c>
      <c r="AX253" s="20">
        <f>IFERROR(preçodiario[[#This Row],[OVO VERMELHO EXTRA]]*preçodiario[[#This Row],[estoque EV]],0)</f>
        <v>0</v>
      </c>
      <c r="AY2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Row],[data]])),((AY252*AZ252)+SUMIFS(estoque[valor total],estoque[produto],preçodiario[[#Headers],[OVO VERMELHO JUMBO]],estoque[data],preçodiario[[#This Row],[data]],estoque[fornecedor],"&lt;&gt;saída"))/(AZ252+(SUMIFS(estoque[quantidade],estoque[produto],preçodiario[[#Headers],[OVO VERMELHO JUMBO]],estoque[fornecedor],"&lt;&gt;saída",estoque[data],preçodiario[[#This Row],[data]])))))</f>
        <v/>
      </c>
      <c r="AZ253" s="22">
        <f>IF(preçodiario[[#This Row],[entrada JV]]=0,AZ252-(SUMIFS(estoque[quantidade],estoque[fornecedor],"saída",estoque[produto],preçodiario[[#Headers],[OVO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Row],[data]]))+AZ252+preçodiario[[#This Row],[entrada JV]])</f>
        <v>0</v>
      </c>
      <c r="BA253" s="22">
        <f>SUMIFS(estoque[quantidade],estoque[fornecedor],"&lt;&gt;saída",estoque[produto],preçodiario[[#Headers],[OVO VERMELHO JUMBO]],estoque[data],preçodiario[[#This Row],[data]])</f>
        <v>0</v>
      </c>
      <c r="BB253" s="20">
        <f>SUMIFS(estoque[valor total],estoque[fornecedor],"&lt;&gt;saída",estoque[produto],preçodiario[[#Headers],[OVO VERMELHO JUMBO]],estoque[data],preçodiario[[#This Row],[data]])</f>
        <v>0</v>
      </c>
      <c r="BC253" s="20">
        <f>IFERROR(preçodiario[[#This Row],[OVO VERMELHO JUMBO]]*preçodiario[[#This Row],[estoque JV]],0)</f>
        <v>0</v>
      </c>
      <c r="BD253" t="str">
        <f>TEXT(vendaAno[[#This Row],[data]],"mmm")</f>
        <v>set</v>
      </c>
      <c r="BE253" t="str">
        <f>TEXT(vendaAno[[#This Row],[data]],"ddd")</f>
        <v>qua</v>
      </c>
      <c r="BF253" s="82">
        <f>WEEKNUM(vendaAno[[#This Row],[data]],13)</f>
        <v>37</v>
      </c>
      <c r="BG253" s="27">
        <f>preçodiario[[#This Row],[data]]</f>
        <v>46274</v>
      </c>
      <c r="BH2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Row],[data]]))/12+BJ252,"")</f>
        <v/>
      </c>
      <c r="BK253" s="79" t="str">
        <f ca="1">IF(TODAY()&gt;=vendaAno[[#This Row],[data]],IF(SUMIFS(estoque[quantidade],estoque[fornecedor],"saída",estoque[data],vendaAno[[#This Row],[data]])/12=0,AVERAGE(BK250:BK252),SUMIFS(estoque[quantidade],estoque[fornecedor],"saída",estoque[data],vendaAno[[#This Row],[data]])/12),"")</f>
        <v/>
      </c>
      <c r="BL253" s="8" t="str">
        <f ca="1">IF(vendaAno[[#This Row],[data]]&lt;=TODAY(),IF(SUMIFS(estoque[lucro],estoque[fornecedor],"saída",estoque[data],vendaAno[[#This Row],[data]])=0,AVERAGE(BL250:BL252),SUMIFS(estoque[lucro],estoque[fornecedor],"saída",estoque[data],vendaAno[[#This Row],[data]])),"")</f>
        <v/>
      </c>
      <c r="BM253" s="10" t="str">
        <f ca="1">IFERROR(vendaAno[[#This Row],[lucro]]/vendaAno[[#This Row],[valor de venda]],"")</f>
        <v/>
      </c>
      <c r="BN25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3" s="8" t="str">
        <f ca="1">IF(TODAY()&gt;=vendaAno[[#This Row],[data]],IF(vendaAno[[#This Row],[N°]]=BF252,vendaAno[[#This Row],[lucro]]-173.33+BO252,vendaAno[[#This Row],[lucro]]-150),"")</f>
        <v/>
      </c>
      <c r="BP253" s="81" t="str">
        <f ca="1">IF(TODAY()&gt;=vendaAno[[#This Row],[data]],SUM(BK247:BK253)*12,"")</f>
        <v/>
      </c>
      <c r="BQ253" s="7" t="str">
        <f ca="1">IFERROR(vendaAno[[#This Row],[lucro]]/(vendaAno[[#This Row],[venda]]*12),"")</f>
        <v/>
      </c>
    </row>
    <row r="254" spans="1:69" x14ac:dyDescent="0.25">
      <c r="A2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4" s="18" t="str">
        <f>TEXT(preçodiario[[#This Row],[data]],"MMM")</f>
        <v>set</v>
      </c>
      <c r="C254" s="18" t="str">
        <f>TEXT(preçodiario[[#This Row],[data]],"ddd")</f>
        <v>qui</v>
      </c>
      <c r="D254" s="96">
        <f>WEEKNUM(preçodiario[[#This Row],[data]],13)</f>
        <v>37</v>
      </c>
      <c r="E254" s="37">
        <v>46275</v>
      </c>
      <c r="F2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Row],[data]])),((F253*G253)+SUMIFS(estoque[valor total],estoque[produto],preçodiario[[#Headers],[OVO BRANCO A]],estoque[data],preçodiario[[#This Row],[data]],estoque[fornecedor],"&lt;&gt;saída"))/(G253+(SUMIFS(estoque[quantidade],estoque[produto],preçodiario[[#Headers],[OVO BRANCO A]],estoque[fornecedor],"&lt;&gt;saída",estoque[data],preçodiario[[#This Row],[data]])))))</f>
        <v>15.278182701652089</v>
      </c>
      <c r="G254" s="22">
        <f>IF(preçodiario[[#This Row],[entrada A]]=0,G253-(SUMIFS(estoque[quantidade],estoque[fornecedor],"saída",estoque[produto],preçodiario[[#Headers],[OVO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Row],[data]]))+G253+preçodiario[[#This Row],[entrada A]])</f>
        <v>133</v>
      </c>
      <c r="H254" s="22">
        <f>SUMIFS(estoque[quantidade],estoque[fornecedor],"&lt;&gt;saída",estoque[produto],preçodiario[[#Headers],[OVO BRANCO A]],estoque[data],preçodiario[[#This Row],[data]])</f>
        <v>0</v>
      </c>
      <c r="I254" s="20">
        <f>SUMIFS(estoque[valor total],estoque[fornecedor],"&lt;&gt;saída",estoque[produto],preçodiario[[#Headers],[OVO BRANCO A]],estoque[data],preçodiario[[#This Row],[data]])</f>
        <v>0</v>
      </c>
      <c r="J254" s="20">
        <f>IFERROR(preçodiario[[#This Row],[estoque A]]*preçodiario[[#This Row],[OVO BRANCO A]],0)</f>
        <v>2031.9982993197277</v>
      </c>
      <c r="K2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Row],[data]])),((K253*L253)+SUMIFS(estoque[valor total],estoque[produto],preçodiario[[#Headers],[OVO BRANCO B]],estoque[data],preçodiario[[#This Row],[data]],estoque[fornecedor],"&lt;&gt;saída"))/(L253+(SUMIFS(estoque[quantidade],estoque[produto],preçodiario[[#Headers],[OVO BRANCO B]],estoque[fornecedor],"&lt;&gt;saída",estoque[data],preçodiario[[#This Row],[data]])))))</f>
        <v>14.584252837326604</v>
      </c>
      <c r="L254" s="22">
        <f>IF(preçodiario[[#This Row],[entrada B]]=0,L253-(SUMIFS(estoque[quantidade],estoque[fornecedor],"saída",estoque[produto],preçodiario[[#Headers],[OVO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Row],[data]]))+L253+preçodiario[[#This Row],[entrada B]])</f>
        <v>16</v>
      </c>
      <c r="M254" s="22">
        <f>SUMIFS(estoque[quantidade],estoque[fornecedor],"&lt;&gt;saída",estoque[produto],preçodiario[[#Headers],[OVO BRANCO B]],estoque[data],preçodiario[[#This Row],[data]])</f>
        <v>0</v>
      </c>
      <c r="N254" s="20">
        <f>SUMIFS(estoque[valor total],estoque[fornecedor],"&lt;&gt;saída",estoque[produto],preçodiario[[#Headers],[OVO BRANCO B]],estoque[data],preçodiario[[#This Row],[data]])</f>
        <v>0</v>
      </c>
      <c r="O254" s="20">
        <f>IFERROR(preçodiario[[#This Row],[OVO BRANCO B]]*preçodiario[[#This Row],[estoque B]],0)</f>
        <v>233.34804539722566</v>
      </c>
      <c r="P2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Row],[data]])),((P253*Q253)+SUMIFS(estoque[valor total],estoque[produto],preçodiario[[#Headers],[OVO BRANCO C]],estoque[data],preçodiario[[#This Row],[data]],estoque[fornecedor],"&lt;&gt;saída"))/(Q253+(SUMIFS(estoque[quantidade],estoque[produto],preçodiario[[#Headers],[OVO BRANCO C]],estoque[fornecedor],"&lt;&gt;saída",estoque[data],preçodiario[[#This Row],[data]])))))</f>
        <v>12.5</v>
      </c>
      <c r="Q254" s="22">
        <f>IF(preçodiario[[#This Row],[entrada C]]=0,Q253-(SUMIFS(estoque[quantidade],estoque[fornecedor],"saída",estoque[produto],preçodiario[[#Headers],[OVO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Row],[data]]))+Q253+preçodiario[[#This Row],[entrada C]])</f>
        <v>60</v>
      </c>
      <c r="R254" s="22">
        <f>SUMIFS(estoque[quantidade],estoque[fornecedor],"&lt;&gt;saída",estoque[produto],preçodiario[[#Headers],[OVO BRANCO C]],estoque[data],preçodiario[[#This Row],[data]])</f>
        <v>0</v>
      </c>
      <c r="S254" s="20">
        <f>SUMIFS(estoque[valor total],estoque[fornecedor],"&lt;&gt;saída",estoque[produto],preçodiario[[#Headers],[OVO BRANCO C]],estoque[data],preçodiario[[#This Row],[data]])</f>
        <v>0</v>
      </c>
      <c r="T254" s="20">
        <f>IFERROR(preçodiario[[#This Row],[OVO BRANCO C]]*preçodiario[[#This Row],[estoque C]],0)</f>
        <v>750</v>
      </c>
      <c r="U2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Row],[data]])),((U253*V253)+SUMIFS(estoque[valor total],estoque[produto],preçodiario[[#Headers],[OVO BRANCO EXTRA]],estoque[data],preçodiario[[#This Row],[data]],estoque[fornecedor],"&lt;&gt;saída"))/(V253+(SUMIFS(estoque[quantidade],estoque[produto],preçodiario[[#Headers],[OVO BRANCO EXTRA]],estoque[fornecedor],"&lt;&gt;saída",estoque[data],preçodiario[[#This Row],[data]])))))</f>
        <v>15.725438400674655</v>
      </c>
      <c r="V254" s="22">
        <f>IF(preçodiario[[#This Row],[entrada E]]=0,V253-(SUMIFS(estoque[quantidade],estoque[fornecedor],"saída",estoque[produto],preçodiario[[#Headers],[OVO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Row],[data]]))+V253+preçodiario[[#This Row],[entrada E]])</f>
        <v>46</v>
      </c>
      <c r="W254" s="22">
        <f>SUMIFS(estoque[quantidade],estoque[fornecedor],"&lt;&gt;saída",estoque[produto],preçodiario[[#Headers],[OVO BRANCO EXTRA]],estoque[data],preçodiario[[#This Row],[data]])</f>
        <v>0</v>
      </c>
      <c r="X254" s="20">
        <f>SUMIFS(estoque[valor total],estoque[fornecedor],"&lt;&gt;saída",estoque[produto],preçodiario[[#Headers],[OVO BRANCO EXTRA]],estoque[data],preçodiario[[#This Row],[data]])</f>
        <v>0</v>
      </c>
      <c r="Y254" s="20">
        <f>IFERROR(preçodiario[[#This Row],[estoque E]]*preçodiario[[#This Row],[OVO BRANCO EXTRA]],0)</f>
        <v>723.37016643103414</v>
      </c>
      <c r="Z2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Row],[data]])),((Z253*AA253)+SUMIFS(estoque[valor total],estoque[produto],preçodiario[[#Headers],[OVO BRANCO JUMBO]],estoque[data],preçodiario[[#This Row],[data]],estoque[fornecedor],"&lt;&gt;saída"))/(AA253+(SUMIFS(estoque[quantidade],estoque[produto],preçodiario[[#Headers],[OVO BRANCO JUMBO]],estoque[fornecedor],"&lt;&gt;saída",estoque[data],preçodiario[[#This Row],[data]])))))</f>
        <v>16.50550595238095</v>
      </c>
      <c r="AA254" s="22">
        <f>IF(preçodiario[[#This Row],[entrada J]]=0,AA253-(SUMIFS(estoque[quantidade],estoque[fornecedor],"saída",estoque[produto],preçodiario[[#Headers],[OVO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Row],[data]]))+AA253+preçodiario[[#This Row],[entrada J]])</f>
        <v>75</v>
      </c>
      <c r="AB254" s="22">
        <f>SUMIFS(estoque[quantidade],estoque[fornecedor],"&lt;&gt;saída",estoque[produto],preçodiario[[#Headers],[OVO BRANCO JUMBO]],estoque[data],preçodiario[[#This Row],[data]])</f>
        <v>0</v>
      </c>
      <c r="AC254" s="20">
        <f>SUMIFS(estoque[valor total],estoque[fornecedor],"&lt;&gt;saída",estoque[produto],preçodiario[[#Headers],[OVO BRANCO JUMBO]],estoque[data],preçodiario[[#This Row],[data]])</f>
        <v>0</v>
      </c>
      <c r="AD254" s="20">
        <f>IFERROR(preçodiario[[#This Row],[OVO BRANCO JUMBO]]*preçodiario[[#This Row],[estoque J]],0)</f>
        <v>1237.9129464285713</v>
      </c>
      <c r="AE2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Row],[data]])),((AE253*AF253)+SUMIFS(estoque[valor total],estoque[produto],preçodiario[[#Headers],[OVO VERMELHO A]],estoque[data],preçodiario[[#This Row],[data]],estoque[fornecedor],"&lt;&gt;saída"))/(AF253+(SUMIFS(estoque[quantidade],estoque[produto],preçodiario[[#Headers],[OVO VERMELHO A]],estoque[fornecedor],"&lt;&gt;saída",estoque[data],preçodiario[[#This Row],[data]])))))</f>
        <v/>
      </c>
      <c r="AF254" s="22">
        <f>IF(preçodiario[[#This Row],[entrada AV]]=0,AF253-(SUMIFS(estoque[quantidade],estoque[fornecedor],"saída",estoque[produto],preçodiario[[#Headers],[OVO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Row],[data]]))+AF253+preçodiario[[#This Row],[entrada AV]])</f>
        <v>0</v>
      </c>
      <c r="AG254" s="22">
        <f>SUMIFS(estoque[quantidade],estoque[fornecedor],"&lt;&gt;saída",estoque[produto],preçodiario[[#Headers],[OVO VERMELHO A]],estoque[data],preçodiario[[#This Row],[data]])</f>
        <v>0</v>
      </c>
      <c r="AH254" s="20">
        <f>SUMIFS(estoque[valor total],estoque[fornecedor],"&lt;&gt;saída",estoque[produto],preçodiario[[#Headers],[OVO VERMELHO A]],estoque[data],preçodiario[[#This Row],[data]])</f>
        <v>0</v>
      </c>
      <c r="AI254" s="20">
        <f>IFERROR(preçodiario[[#This Row],[OVO VERMELHO A]]*preçodiario[[#This Row],[estoque AV]],0)</f>
        <v>0</v>
      </c>
      <c r="AJ2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Row],[data]])),((AJ253*AK253)+SUMIFS(estoque[valor total],estoque[produto],preçodiario[[#Headers],[OVO VERMELHO B]],estoque[data],preçodiario[[#This Row],[data]],estoque[fornecedor],"&lt;&gt;saída"))/(AK253+(SUMIFS(estoque[quantidade],estoque[produto],preçodiario[[#Headers],[OVO VERMELHO B]],estoque[fornecedor],"&lt;&gt;saída",estoque[data],preçodiario[[#This Row],[data]])))))</f>
        <v/>
      </c>
      <c r="AK254" s="22">
        <f>IF(preçodiario[[#This Row],[entrada BV]]=0,AK253-(SUMIFS(estoque[quantidade],estoque[fornecedor],"saída",estoque[produto],preçodiario[[#Headers],[OVO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Row],[data]]))+AK253+preçodiario[[#This Row],[entrada BV]])</f>
        <v>0</v>
      </c>
      <c r="AL254" s="22">
        <f>SUMIFS(estoque[quantidade],estoque[fornecedor],"&lt;&gt;saída",estoque[produto],preçodiario[[#Headers],[OVO VERMELHO B]],estoque[data],preçodiario[[#This Row],[data]])</f>
        <v>0</v>
      </c>
      <c r="AM254" s="20">
        <f>SUMIFS(estoque[valor total],estoque[fornecedor],"&lt;&gt;saída",estoque[produto],preçodiario[[#Headers],[OVO VERMELHO B]],estoque[data],preçodiario[[#This Row],[data]])</f>
        <v>0</v>
      </c>
      <c r="AN254" s="20">
        <f>IFERROR(preçodiario[[#This Row],[OVO VERMELHO B]]*preçodiario[[#This Row],[estoque BV]],0)</f>
        <v>0</v>
      </c>
      <c r="AO2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Row],[data]])),((AO253*AP253)+SUMIFS(estoque[valor total],estoque[produto],preçodiario[[#Headers],[OVO VERMELHO C]],estoque[data],preçodiario[[#This Row],[data]],estoque[fornecedor],"&lt;&gt;saída"))/(AP253+(SUMIFS(estoque[quantidade],estoque[produto],preçodiario[[#Headers],[OVO VERMELHO C]],estoque[fornecedor],"&lt;&gt;saída",estoque[data],preçodiario[[#This Row],[data]])))))</f>
        <v/>
      </c>
      <c r="AP254" s="22">
        <f>IF(preçodiario[[#This Row],[entrada CV]]=0,AP253-(SUMIFS(estoque[quantidade],estoque[fornecedor],"saída",estoque[produto],preçodiario[[#Headers],[OVO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Row],[data]]))+AP253+preçodiario[[#This Row],[entrada CV]])</f>
        <v>0</v>
      </c>
      <c r="AQ254" s="22">
        <f>SUMIFS(estoque[quantidade],estoque[fornecedor],"&lt;&gt;saída",estoque[produto],preçodiario[[#Headers],[OVO VERMELHO C]],estoque[data],preçodiario[[#This Row],[data]])</f>
        <v>0</v>
      </c>
      <c r="AR254" s="20">
        <f>SUMIFS(estoque[valor total],estoque[fornecedor],"&lt;&gt;saída",estoque[produto],preçodiario[[#Headers],[OVO VERMELHO C]],estoque[data],preçodiario[[#This Row],[data]])</f>
        <v>0</v>
      </c>
      <c r="AS254" s="20">
        <f>IFERROR(preçodiario[[#This Row],[OVO VERMELHO C]]*preçodiario[[#This Row],[estoque CV]],0)</f>
        <v>0</v>
      </c>
      <c r="AT2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Row],[data]])),((AT253*AU253)+SUMIFS(estoque[valor total],estoque[produto],preçodiario[[#Headers],[OVO VERMELHO EXTRA]],estoque[data],preçodiario[[#This Row],[data]],estoque[fornecedor],"&lt;&gt;saída"))/(AU253+(SUMIFS(estoque[quantidade],estoque[produto],preçodiario[[#Headers],[OVO VERMELHO EXTRA]],estoque[fornecedor],"&lt;&gt;saída",estoque[data],preçodiario[[#This Row],[data]])))))</f>
        <v/>
      </c>
      <c r="AU254" s="22">
        <f>IF(preçodiario[[#This Row],[entrada EV]]=0,AU253-(SUMIFS(estoque[quantidade],estoque[fornecedor],"saída",estoque[produto],preçodiario[[#Headers],[OVO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Row],[data]]))+AU253+preçodiario[[#This Row],[entrada EV]])</f>
        <v>0</v>
      </c>
      <c r="AV254" s="22">
        <f>SUMIFS(estoque[quantidade],estoque[fornecedor],"&lt;&gt;saída",estoque[produto],preçodiario[[#Headers],[OVO VERMELHO EXTRA]],estoque[data],preçodiario[[#This Row],[data]])</f>
        <v>0</v>
      </c>
      <c r="AW254" s="20">
        <f>SUMIFS(estoque[valor total],estoque[fornecedor],"&lt;&gt;saída",estoque[produto],preçodiario[[#Headers],[OVO VERMELHO EXTRA]],estoque[data],preçodiario[[#This Row],[data]])</f>
        <v>0</v>
      </c>
      <c r="AX254" s="20">
        <f>IFERROR(preçodiario[[#This Row],[OVO VERMELHO EXTRA]]*preçodiario[[#This Row],[estoque EV]],0)</f>
        <v>0</v>
      </c>
      <c r="AY2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Row],[data]])),((AY253*AZ253)+SUMIFS(estoque[valor total],estoque[produto],preçodiario[[#Headers],[OVO VERMELHO JUMBO]],estoque[data],preçodiario[[#This Row],[data]],estoque[fornecedor],"&lt;&gt;saída"))/(AZ253+(SUMIFS(estoque[quantidade],estoque[produto],preçodiario[[#Headers],[OVO VERMELHO JUMBO]],estoque[fornecedor],"&lt;&gt;saída",estoque[data],preçodiario[[#This Row],[data]])))))</f>
        <v/>
      </c>
      <c r="AZ254" s="22">
        <f>IF(preçodiario[[#This Row],[entrada JV]]=0,AZ253-(SUMIFS(estoque[quantidade],estoque[fornecedor],"saída",estoque[produto],preçodiario[[#Headers],[OVO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Row],[data]]))+AZ253+preçodiario[[#This Row],[entrada JV]])</f>
        <v>0</v>
      </c>
      <c r="BA254" s="22">
        <f>SUMIFS(estoque[quantidade],estoque[fornecedor],"&lt;&gt;saída",estoque[produto],preçodiario[[#Headers],[OVO VERMELHO JUMBO]],estoque[data],preçodiario[[#This Row],[data]])</f>
        <v>0</v>
      </c>
      <c r="BB254" s="20">
        <f>SUMIFS(estoque[valor total],estoque[fornecedor],"&lt;&gt;saída",estoque[produto],preçodiario[[#Headers],[OVO VERMELHO JUMBO]],estoque[data],preçodiario[[#This Row],[data]])</f>
        <v>0</v>
      </c>
      <c r="BC254" s="20">
        <f>IFERROR(preçodiario[[#This Row],[OVO VERMELHO JUMBO]]*preçodiario[[#This Row],[estoque JV]],0)</f>
        <v>0</v>
      </c>
      <c r="BD254" t="str">
        <f>TEXT(vendaAno[[#This Row],[data]],"mmm")</f>
        <v>set</v>
      </c>
      <c r="BE254" t="str">
        <f>TEXT(vendaAno[[#This Row],[data]],"ddd")</f>
        <v>qui</v>
      </c>
      <c r="BF254" s="82">
        <f>WEEKNUM(vendaAno[[#This Row],[data]],13)</f>
        <v>37</v>
      </c>
      <c r="BG254" s="27">
        <f>preçodiario[[#This Row],[data]]</f>
        <v>46275</v>
      </c>
      <c r="BH2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Row],[data]]))/12+BJ253,"")</f>
        <v/>
      </c>
      <c r="BK254" s="79" t="str">
        <f ca="1">IF(TODAY()&gt;=vendaAno[[#This Row],[data]],IF(SUMIFS(estoque[quantidade],estoque[fornecedor],"saída",estoque[data],vendaAno[[#This Row],[data]])/12=0,AVERAGE(BK251:BK253),SUMIFS(estoque[quantidade],estoque[fornecedor],"saída",estoque[data],vendaAno[[#This Row],[data]])/12),"")</f>
        <v/>
      </c>
      <c r="BL254" s="8" t="str">
        <f ca="1">IF(vendaAno[[#This Row],[data]]&lt;=TODAY(),IF(SUMIFS(estoque[lucro],estoque[fornecedor],"saída",estoque[data],vendaAno[[#This Row],[data]])=0,AVERAGE(BL251:BL253),SUMIFS(estoque[lucro],estoque[fornecedor],"saída",estoque[data],vendaAno[[#This Row],[data]])),"")</f>
        <v/>
      </c>
      <c r="BM254" s="10" t="str">
        <f ca="1">IFERROR(vendaAno[[#This Row],[lucro]]/vendaAno[[#This Row],[valor de venda]],"")</f>
        <v/>
      </c>
      <c r="BN25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4" s="8" t="str">
        <f ca="1">IF(TODAY()&gt;=vendaAno[[#This Row],[data]],IF(vendaAno[[#This Row],[N°]]=BF253,vendaAno[[#This Row],[lucro]]-173.33+BO253,vendaAno[[#This Row],[lucro]]-150),"")</f>
        <v/>
      </c>
      <c r="BP254" s="81" t="str">
        <f ca="1">IF(TODAY()&gt;=vendaAno[[#This Row],[data]],SUM(BK248:BK254)*12,"")</f>
        <v/>
      </c>
      <c r="BQ254" s="7" t="str">
        <f ca="1">IFERROR(vendaAno[[#This Row],[lucro]]/(vendaAno[[#This Row],[venda]]*12),"")</f>
        <v/>
      </c>
    </row>
    <row r="255" spans="1:69" x14ac:dyDescent="0.25">
      <c r="A2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5" s="18" t="str">
        <f>TEXT(preçodiario[[#This Row],[data]],"MMM")</f>
        <v>set</v>
      </c>
      <c r="C255" s="18" t="str">
        <f>TEXT(preçodiario[[#This Row],[data]],"ddd")</f>
        <v>sex</v>
      </c>
      <c r="D255" s="96">
        <f>WEEKNUM(preçodiario[[#This Row],[data]],13)</f>
        <v>37</v>
      </c>
      <c r="E255" s="37">
        <v>46276</v>
      </c>
      <c r="F2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Row],[data]])),((F254*G254)+SUMIFS(estoque[valor total],estoque[produto],preçodiario[[#Headers],[OVO BRANCO A]],estoque[data],preçodiario[[#This Row],[data]],estoque[fornecedor],"&lt;&gt;saída"))/(G254+(SUMIFS(estoque[quantidade],estoque[produto],preçodiario[[#Headers],[OVO BRANCO A]],estoque[fornecedor],"&lt;&gt;saída",estoque[data],preçodiario[[#This Row],[data]])))))</f>
        <v>15.278182701652089</v>
      </c>
      <c r="G255" s="22">
        <f>IF(preçodiario[[#This Row],[entrada A]]=0,G254-(SUMIFS(estoque[quantidade],estoque[fornecedor],"saída",estoque[produto],preçodiario[[#Headers],[OVO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Row],[data]]))+G254+preçodiario[[#This Row],[entrada A]])</f>
        <v>133</v>
      </c>
      <c r="H255" s="22">
        <f>SUMIFS(estoque[quantidade],estoque[fornecedor],"&lt;&gt;saída",estoque[produto],preçodiario[[#Headers],[OVO BRANCO A]],estoque[data],preçodiario[[#This Row],[data]])</f>
        <v>0</v>
      </c>
      <c r="I255" s="20">
        <f>SUMIFS(estoque[valor total],estoque[fornecedor],"&lt;&gt;saída",estoque[produto],preçodiario[[#Headers],[OVO BRANCO A]],estoque[data],preçodiario[[#This Row],[data]])</f>
        <v>0</v>
      </c>
      <c r="J255" s="20">
        <f>IFERROR(preçodiario[[#This Row],[estoque A]]*preçodiario[[#This Row],[OVO BRANCO A]],0)</f>
        <v>2031.9982993197277</v>
      </c>
      <c r="K2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Row],[data]])),((K254*L254)+SUMIFS(estoque[valor total],estoque[produto],preçodiario[[#Headers],[OVO BRANCO B]],estoque[data],preçodiario[[#This Row],[data]],estoque[fornecedor],"&lt;&gt;saída"))/(L254+(SUMIFS(estoque[quantidade],estoque[produto],preçodiario[[#Headers],[OVO BRANCO B]],estoque[fornecedor],"&lt;&gt;saída",estoque[data],preçodiario[[#This Row],[data]])))))</f>
        <v>14.584252837326604</v>
      </c>
      <c r="L255" s="22">
        <f>IF(preçodiario[[#This Row],[entrada B]]=0,L254-(SUMIFS(estoque[quantidade],estoque[fornecedor],"saída",estoque[produto],preçodiario[[#Headers],[OVO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Row],[data]]))+L254+preçodiario[[#This Row],[entrada B]])</f>
        <v>16</v>
      </c>
      <c r="M255" s="22">
        <f>SUMIFS(estoque[quantidade],estoque[fornecedor],"&lt;&gt;saída",estoque[produto],preçodiario[[#Headers],[OVO BRANCO B]],estoque[data],preçodiario[[#This Row],[data]])</f>
        <v>0</v>
      </c>
      <c r="N255" s="20">
        <f>SUMIFS(estoque[valor total],estoque[fornecedor],"&lt;&gt;saída",estoque[produto],preçodiario[[#Headers],[OVO BRANCO B]],estoque[data],preçodiario[[#This Row],[data]])</f>
        <v>0</v>
      </c>
      <c r="O255" s="20">
        <f>IFERROR(preçodiario[[#This Row],[OVO BRANCO B]]*preçodiario[[#This Row],[estoque B]],0)</f>
        <v>233.34804539722566</v>
      </c>
      <c r="P2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Row],[data]])),((P254*Q254)+SUMIFS(estoque[valor total],estoque[produto],preçodiario[[#Headers],[OVO BRANCO C]],estoque[data],preçodiario[[#This Row],[data]],estoque[fornecedor],"&lt;&gt;saída"))/(Q254+(SUMIFS(estoque[quantidade],estoque[produto],preçodiario[[#Headers],[OVO BRANCO C]],estoque[fornecedor],"&lt;&gt;saída",estoque[data],preçodiario[[#This Row],[data]])))))</f>
        <v>12.5</v>
      </c>
      <c r="Q255" s="22">
        <f>IF(preçodiario[[#This Row],[entrada C]]=0,Q254-(SUMIFS(estoque[quantidade],estoque[fornecedor],"saída",estoque[produto],preçodiario[[#Headers],[OVO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Row],[data]]))+Q254+preçodiario[[#This Row],[entrada C]])</f>
        <v>60</v>
      </c>
      <c r="R255" s="22">
        <f>SUMIFS(estoque[quantidade],estoque[fornecedor],"&lt;&gt;saída",estoque[produto],preçodiario[[#Headers],[OVO BRANCO C]],estoque[data],preçodiario[[#This Row],[data]])</f>
        <v>0</v>
      </c>
      <c r="S255" s="20">
        <f>SUMIFS(estoque[valor total],estoque[fornecedor],"&lt;&gt;saída",estoque[produto],preçodiario[[#Headers],[OVO BRANCO C]],estoque[data],preçodiario[[#This Row],[data]])</f>
        <v>0</v>
      </c>
      <c r="T255" s="20">
        <f>IFERROR(preçodiario[[#This Row],[OVO BRANCO C]]*preçodiario[[#This Row],[estoque C]],0)</f>
        <v>750</v>
      </c>
      <c r="U2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Row],[data]])),((U254*V254)+SUMIFS(estoque[valor total],estoque[produto],preçodiario[[#Headers],[OVO BRANCO EXTRA]],estoque[data],preçodiario[[#This Row],[data]],estoque[fornecedor],"&lt;&gt;saída"))/(V254+(SUMIFS(estoque[quantidade],estoque[produto],preçodiario[[#Headers],[OVO BRANCO EXTRA]],estoque[fornecedor],"&lt;&gt;saída",estoque[data],preçodiario[[#This Row],[data]])))))</f>
        <v>15.725438400674655</v>
      </c>
      <c r="V255" s="22">
        <f>IF(preçodiario[[#This Row],[entrada E]]=0,V254-(SUMIFS(estoque[quantidade],estoque[fornecedor],"saída",estoque[produto],preçodiario[[#Headers],[OVO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Row],[data]]))+V254+preçodiario[[#This Row],[entrada E]])</f>
        <v>46</v>
      </c>
      <c r="W255" s="22">
        <f>SUMIFS(estoque[quantidade],estoque[fornecedor],"&lt;&gt;saída",estoque[produto],preçodiario[[#Headers],[OVO BRANCO EXTRA]],estoque[data],preçodiario[[#This Row],[data]])</f>
        <v>0</v>
      </c>
      <c r="X255" s="20">
        <f>SUMIFS(estoque[valor total],estoque[fornecedor],"&lt;&gt;saída",estoque[produto],preçodiario[[#Headers],[OVO BRANCO EXTRA]],estoque[data],preçodiario[[#This Row],[data]])</f>
        <v>0</v>
      </c>
      <c r="Y255" s="20">
        <f>IFERROR(preçodiario[[#This Row],[estoque E]]*preçodiario[[#This Row],[OVO BRANCO EXTRA]],0)</f>
        <v>723.37016643103414</v>
      </c>
      <c r="Z2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Row],[data]])),((Z254*AA254)+SUMIFS(estoque[valor total],estoque[produto],preçodiario[[#Headers],[OVO BRANCO JUMBO]],estoque[data],preçodiario[[#This Row],[data]],estoque[fornecedor],"&lt;&gt;saída"))/(AA254+(SUMIFS(estoque[quantidade],estoque[produto],preçodiario[[#Headers],[OVO BRANCO JUMBO]],estoque[fornecedor],"&lt;&gt;saída",estoque[data],preçodiario[[#This Row],[data]])))))</f>
        <v>16.50550595238095</v>
      </c>
      <c r="AA255" s="22">
        <f>IF(preçodiario[[#This Row],[entrada J]]=0,AA254-(SUMIFS(estoque[quantidade],estoque[fornecedor],"saída",estoque[produto],preçodiario[[#Headers],[OVO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Row],[data]]))+AA254+preçodiario[[#This Row],[entrada J]])</f>
        <v>75</v>
      </c>
      <c r="AB255" s="22">
        <f>SUMIFS(estoque[quantidade],estoque[fornecedor],"&lt;&gt;saída",estoque[produto],preçodiario[[#Headers],[OVO BRANCO JUMBO]],estoque[data],preçodiario[[#This Row],[data]])</f>
        <v>0</v>
      </c>
      <c r="AC255" s="20">
        <f>SUMIFS(estoque[valor total],estoque[fornecedor],"&lt;&gt;saída",estoque[produto],preçodiario[[#Headers],[OVO BRANCO JUMBO]],estoque[data],preçodiario[[#This Row],[data]])</f>
        <v>0</v>
      </c>
      <c r="AD255" s="20">
        <f>IFERROR(preçodiario[[#This Row],[OVO BRANCO JUMBO]]*preçodiario[[#This Row],[estoque J]],0)</f>
        <v>1237.9129464285713</v>
      </c>
      <c r="AE2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Row],[data]])),((AE254*AF254)+SUMIFS(estoque[valor total],estoque[produto],preçodiario[[#Headers],[OVO VERMELHO A]],estoque[data],preçodiario[[#This Row],[data]],estoque[fornecedor],"&lt;&gt;saída"))/(AF254+(SUMIFS(estoque[quantidade],estoque[produto],preçodiario[[#Headers],[OVO VERMELHO A]],estoque[fornecedor],"&lt;&gt;saída",estoque[data],preçodiario[[#This Row],[data]])))))</f>
        <v/>
      </c>
      <c r="AF255" s="22">
        <f>IF(preçodiario[[#This Row],[entrada AV]]=0,AF254-(SUMIFS(estoque[quantidade],estoque[fornecedor],"saída",estoque[produto],preçodiario[[#Headers],[OVO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Row],[data]]))+AF254+preçodiario[[#This Row],[entrada AV]])</f>
        <v>0</v>
      </c>
      <c r="AG255" s="22">
        <f>SUMIFS(estoque[quantidade],estoque[fornecedor],"&lt;&gt;saída",estoque[produto],preçodiario[[#Headers],[OVO VERMELHO A]],estoque[data],preçodiario[[#This Row],[data]])</f>
        <v>0</v>
      </c>
      <c r="AH255" s="20">
        <f>SUMIFS(estoque[valor total],estoque[fornecedor],"&lt;&gt;saída",estoque[produto],preçodiario[[#Headers],[OVO VERMELHO A]],estoque[data],preçodiario[[#This Row],[data]])</f>
        <v>0</v>
      </c>
      <c r="AI255" s="20">
        <f>IFERROR(preçodiario[[#This Row],[OVO VERMELHO A]]*preçodiario[[#This Row],[estoque AV]],0)</f>
        <v>0</v>
      </c>
      <c r="AJ2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Row],[data]])),((AJ254*AK254)+SUMIFS(estoque[valor total],estoque[produto],preçodiario[[#Headers],[OVO VERMELHO B]],estoque[data],preçodiario[[#This Row],[data]],estoque[fornecedor],"&lt;&gt;saída"))/(AK254+(SUMIFS(estoque[quantidade],estoque[produto],preçodiario[[#Headers],[OVO VERMELHO B]],estoque[fornecedor],"&lt;&gt;saída",estoque[data],preçodiario[[#This Row],[data]])))))</f>
        <v/>
      </c>
      <c r="AK255" s="22">
        <f>IF(preçodiario[[#This Row],[entrada BV]]=0,AK254-(SUMIFS(estoque[quantidade],estoque[fornecedor],"saída",estoque[produto],preçodiario[[#Headers],[OVO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Row],[data]]))+AK254+preçodiario[[#This Row],[entrada BV]])</f>
        <v>0</v>
      </c>
      <c r="AL255" s="22">
        <f>SUMIFS(estoque[quantidade],estoque[fornecedor],"&lt;&gt;saída",estoque[produto],preçodiario[[#Headers],[OVO VERMELHO B]],estoque[data],preçodiario[[#This Row],[data]])</f>
        <v>0</v>
      </c>
      <c r="AM255" s="20">
        <f>SUMIFS(estoque[valor total],estoque[fornecedor],"&lt;&gt;saída",estoque[produto],preçodiario[[#Headers],[OVO VERMELHO B]],estoque[data],preçodiario[[#This Row],[data]])</f>
        <v>0</v>
      </c>
      <c r="AN255" s="20">
        <f>IFERROR(preçodiario[[#This Row],[OVO VERMELHO B]]*preçodiario[[#This Row],[estoque BV]],0)</f>
        <v>0</v>
      </c>
      <c r="AO2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Row],[data]])),((AO254*AP254)+SUMIFS(estoque[valor total],estoque[produto],preçodiario[[#Headers],[OVO VERMELHO C]],estoque[data],preçodiario[[#This Row],[data]],estoque[fornecedor],"&lt;&gt;saída"))/(AP254+(SUMIFS(estoque[quantidade],estoque[produto],preçodiario[[#Headers],[OVO VERMELHO C]],estoque[fornecedor],"&lt;&gt;saída",estoque[data],preçodiario[[#This Row],[data]])))))</f>
        <v/>
      </c>
      <c r="AP255" s="22">
        <f>IF(preçodiario[[#This Row],[entrada CV]]=0,AP254-(SUMIFS(estoque[quantidade],estoque[fornecedor],"saída",estoque[produto],preçodiario[[#Headers],[OVO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Row],[data]]))+AP254+preçodiario[[#This Row],[entrada CV]])</f>
        <v>0</v>
      </c>
      <c r="AQ255" s="22">
        <f>SUMIFS(estoque[quantidade],estoque[fornecedor],"&lt;&gt;saída",estoque[produto],preçodiario[[#Headers],[OVO VERMELHO C]],estoque[data],preçodiario[[#This Row],[data]])</f>
        <v>0</v>
      </c>
      <c r="AR255" s="20">
        <f>SUMIFS(estoque[valor total],estoque[fornecedor],"&lt;&gt;saída",estoque[produto],preçodiario[[#Headers],[OVO VERMELHO C]],estoque[data],preçodiario[[#This Row],[data]])</f>
        <v>0</v>
      </c>
      <c r="AS255" s="20">
        <f>IFERROR(preçodiario[[#This Row],[OVO VERMELHO C]]*preçodiario[[#This Row],[estoque CV]],0)</f>
        <v>0</v>
      </c>
      <c r="AT2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Row],[data]])),((AT254*AU254)+SUMIFS(estoque[valor total],estoque[produto],preçodiario[[#Headers],[OVO VERMELHO EXTRA]],estoque[data],preçodiario[[#This Row],[data]],estoque[fornecedor],"&lt;&gt;saída"))/(AU254+(SUMIFS(estoque[quantidade],estoque[produto],preçodiario[[#Headers],[OVO VERMELHO EXTRA]],estoque[fornecedor],"&lt;&gt;saída",estoque[data],preçodiario[[#This Row],[data]])))))</f>
        <v/>
      </c>
      <c r="AU255" s="22">
        <f>IF(preçodiario[[#This Row],[entrada EV]]=0,AU254-(SUMIFS(estoque[quantidade],estoque[fornecedor],"saída",estoque[produto],preçodiario[[#Headers],[OVO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Row],[data]]))+AU254+preçodiario[[#This Row],[entrada EV]])</f>
        <v>0</v>
      </c>
      <c r="AV255" s="22">
        <f>SUMIFS(estoque[quantidade],estoque[fornecedor],"&lt;&gt;saída",estoque[produto],preçodiario[[#Headers],[OVO VERMELHO EXTRA]],estoque[data],preçodiario[[#This Row],[data]])</f>
        <v>0</v>
      </c>
      <c r="AW255" s="20">
        <f>SUMIFS(estoque[valor total],estoque[fornecedor],"&lt;&gt;saída",estoque[produto],preçodiario[[#Headers],[OVO VERMELHO EXTRA]],estoque[data],preçodiario[[#This Row],[data]])</f>
        <v>0</v>
      </c>
      <c r="AX255" s="20">
        <f>IFERROR(preçodiario[[#This Row],[OVO VERMELHO EXTRA]]*preçodiario[[#This Row],[estoque EV]],0)</f>
        <v>0</v>
      </c>
      <c r="AY2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Row],[data]])),((AY254*AZ254)+SUMIFS(estoque[valor total],estoque[produto],preçodiario[[#Headers],[OVO VERMELHO JUMBO]],estoque[data],preçodiario[[#This Row],[data]],estoque[fornecedor],"&lt;&gt;saída"))/(AZ254+(SUMIFS(estoque[quantidade],estoque[produto],preçodiario[[#Headers],[OVO VERMELHO JUMBO]],estoque[fornecedor],"&lt;&gt;saída",estoque[data],preçodiario[[#This Row],[data]])))))</f>
        <v/>
      </c>
      <c r="AZ255" s="22">
        <f>IF(preçodiario[[#This Row],[entrada JV]]=0,AZ254-(SUMIFS(estoque[quantidade],estoque[fornecedor],"saída",estoque[produto],preçodiario[[#Headers],[OVO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Row],[data]]))+AZ254+preçodiario[[#This Row],[entrada JV]])</f>
        <v>0</v>
      </c>
      <c r="BA255" s="22">
        <f>SUMIFS(estoque[quantidade],estoque[fornecedor],"&lt;&gt;saída",estoque[produto],preçodiario[[#Headers],[OVO VERMELHO JUMBO]],estoque[data],preçodiario[[#This Row],[data]])</f>
        <v>0</v>
      </c>
      <c r="BB255" s="20">
        <f>SUMIFS(estoque[valor total],estoque[fornecedor],"&lt;&gt;saída",estoque[produto],preçodiario[[#Headers],[OVO VERMELHO JUMBO]],estoque[data],preçodiario[[#This Row],[data]])</f>
        <v>0</v>
      </c>
      <c r="BC255" s="20">
        <f>IFERROR(preçodiario[[#This Row],[OVO VERMELHO JUMBO]]*preçodiario[[#This Row],[estoque JV]],0)</f>
        <v>0</v>
      </c>
      <c r="BD255" t="str">
        <f>TEXT(vendaAno[[#This Row],[data]],"mmm")</f>
        <v>set</v>
      </c>
      <c r="BE255" t="str">
        <f>TEXT(vendaAno[[#This Row],[data]],"ddd")</f>
        <v>sex</v>
      </c>
      <c r="BF255" s="82">
        <f>WEEKNUM(vendaAno[[#This Row],[data]],13)</f>
        <v>37</v>
      </c>
      <c r="BG255" s="27">
        <f>preçodiario[[#This Row],[data]]</f>
        <v>46276</v>
      </c>
      <c r="BH2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Row],[data]]))/12+BJ254,"")</f>
        <v/>
      </c>
      <c r="BK255" s="79" t="str">
        <f ca="1">IF(TODAY()&gt;=vendaAno[[#This Row],[data]],IF(SUMIFS(estoque[quantidade],estoque[fornecedor],"saída",estoque[data],vendaAno[[#This Row],[data]])/12=0,AVERAGE(BK252:BK254),SUMIFS(estoque[quantidade],estoque[fornecedor],"saída",estoque[data],vendaAno[[#This Row],[data]])/12),"")</f>
        <v/>
      </c>
      <c r="BL255" s="8" t="str">
        <f ca="1">IF(vendaAno[[#This Row],[data]]&lt;=TODAY(),IF(SUMIFS(estoque[lucro],estoque[fornecedor],"saída",estoque[data],vendaAno[[#This Row],[data]])=0,AVERAGE(BL252:BL254),SUMIFS(estoque[lucro],estoque[fornecedor],"saída",estoque[data],vendaAno[[#This Row],[data]])),"")</f>
        <v/>
      </c>
      <c r="BM255" s="10" t="str">
        <f ca="1">IFERROR(vendaAno[[#This Row],[lucro]]/vendaAno[[#This Row],[valor de venda]],"")</f>
        <v/>
      </c>
      <c r="BN25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5" s="8" t="str">
        <f ca="1">IF(TODAY()&gt;=vendaAno[[#This Row],[data]],IF(vendaAno[[#This Row],[N°]]=BF254,vendaAno[[#This Row],[lucro]]-173.33+BO254,vendaAno[[#This Row],[lucro]]-150),"")</f>
        <v/>
      </c>
      <c r="BP255" s="81" t="str">
        <f ca="1">IF(TODAY()&gt;=vendaAno[[#This Row],[data]],SUM(BK249:BK255)*12,"")</f>
        <v/>
      </c>
      <c r="BQ255" s="7" t="str">
        <f ca="1">IFERROR(vendaAno[[#This Row],[lucro]]/(vendaAno[[#This Row],[venda]]*12),"")</f>
        <v/>
      </c>
    </row>
    <row r="256" spans="1:69" x14ac:dyDescent="0.25">
      <c r="A2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6" s="18" t="str">
        <f>TEXT(preçodiario[[#This Row],[data]],"MMM")</f>
        <v>set</v>
      </c>
      <c r="C256" s="18" t="str">
        <f>TEXT(preçodiario[[#This Row],[data]],"ddd")</f>
        <v>sáb</v>
      </c>
      <c r="D256" s="96">
        <f>WEEKNUM(preçodiario[[#This Row],[data]],13)</f>
        <v>37</v>
      </c>
      <c r="E256" s="37">
        <v>46277</v>
      </c>
      <c r="F2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Row],[data]])),((F255*G255)+SUMIFS(estoque[valor total],estoque[produto],preçodiario[[#Headers],[OVO BRANCO A]],estoque[data],preçodiario[[#This Row],[data]],estoque[fornecedor],"&lt;&gt;saída"))/(G255+(SUMIFS(estoque[quantidade],estoque[produto],preçodiario[[#Headers],[OVO BRANCO A]],estoque[fornecedor],"&lt;&gt;saída",estoque[data],preçodiario[[#This Row],[data]])))))</f>
        <v>15.278182701652089</v>
      </c>
      <c r="G256" s="22">
        <f>IF(preçodiario[[#This Row],[entrada A]]=0,G255-(SUMIFS(estoque[quantidade],estoque[fornecedor],"saída",estoque[produto],preçodiario[[#Headers],[OVO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Row],[data]]))+G255+preçodiario[[#This Row],[entrada A]])</f>
        <v>133</v>
      </c>
      <c r="H256" s="22">
        <f>SUMIFS(estoque[quantidade],estoque[fornecedor],"&lt;&gt;saída",estoque[produto],preçodiario[[#Headers],[OVO BRANCO A]],estoque[data],preçodiario[[#This Row],[data]])</f>
        <v>0</v>
      </c>
      <c r="I256" s="20">
        <f>SUMIFS(estoque[valor total],estoque[fornecedor],"&lt;&gt;saída",estoque[produto],preçodiario[[#Headers],[OVO BRANCO A]],estoque[data],preçodiario[[#This Row],[data]])</f>
        <v>0</v>
      </c>
      <c r="J256" s="20">
        <f>IFERROR(preçodiario[[#This Row],[estoque A]]*preçodiario[[#This Row],[OVO BRANCO A]],0)</f>
        <v>2031.9982993197277</v>
      </c>
      <c r="K2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Row],[data]])),((K255*L255)+SUMIFS(estoque[valor total],estoque[produto],preçodiario[[#Headers],[OVO BRANCO B]],estoque[data],preçodiario[[#This Row],[data]],estoque[fornecedor],"&lt;&gt;saída"))/(L255+(SUMIFS(estoque[quantidade],estoque[produto],preçodiario[[#Headers],[OVO BRANCO B]],estoque[fornecedor],"&lt;&gt;saída",estoque[data],preçodiario[[#This Row],[data]])))))</f>
        <v>14.584252837326604</v>
      </c>
      <c r="L256" s="22">
        <f>IF(preçodiario[[#This Row],[entrada B]]=0,L255-(SUMIFS(estoque[quantidade],estoque[fornecedor],"saída",estoque[produto],preçodiario[[#Headers],[OVO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Row],[data]]))+L255+preçodiario[[#This Row],[entrada B]])</f>
        <v>16</v>
      </c>
      <c r="M256" s="22">
        <f>SUMIFS(estoque[quantidade],estoque[fornecedor],"&lt;&gt;saída",estoque[produto],preçodiario[[#Headers],[OVO BRANCO B]],estoque[data],preçodiario[[#This Row],[data]])</f>
        <v>0</v>
      </c>
      <c r="N256" s="20">
        <f>SUMIFS(estoque[valor total],estoque[fornecedor],"&lt;&gt;saída",estoque[produto],preçodiario[[#Headers],[OVO BRANCO B]],estoque[data],preçodiario[[#This Row],[data]])</f>
        <v>0</v>
      </c>
      <c r="O256" s="20">
        <f>IFERROR(preçodiario[[#This Row],[OVO BRANCO B]]*preçodiario[[#This Row],[estoque B]],0)</f>
        <v>233.34804539722566</v>
      </c>
      <c r="P2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Row],[data]])),((P255*Q255)+SUMIFS(estoque[valor total],estoque[produto],preçodiario[[#Headers],[OVO BRANCO C]],estoque[data],preçodiario[[#This Row],[data]],estoque[fornecedor],"&lt;&gt;saída"))/(Q255+(SUMIFS(estoque[quantidade],estoque[produto],preçodiario[[#Headers],[OVO BRANCO C]],estoque[fornecedor],"&lt;&gt;saída",estoque[data],preçodiario[[#This Row],[data]])))))</f>
        <v>12.5</v>
      </c>
      <c r="Q256" s="22">
        <f>IF(preçodiario[[#This Row],[entrada C]]=0,Q255-(SUMIFS(estoque[quantidade],estoque[fornecedor],"saída",estoque[produto],preçodiario[[#Headers],[OVO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Row],[data]]))+Q255+preçodiario[[#This Row],[entrada C]])</f>
        <v>60</v>
      </c>
      <c r="R256" s="22">
        <f>SUMIFS(estoque[quantidade],estoque[fornecedor],"&lt;&gt;saída",estoque[produto],preçodiario[[#Headers],[OVO BRANCO C]],estoque[data],preçodiario[[#This Row],[data]])</f>
        <v>0</v>
      </c>
      <c r="S256" s="20">
        <f>SUMIFS(estoque[valor total],estoque[fornecedor],"&lt;&gt;saída",estoque[produto],preçodiario[[#Headers],[OVO BRANCO C]],estoque[data],preçodiario[[#This Row],[data]])</f>
        <v>0</v>
      </c>
      <c r="T256" s="20">
        <f>IFERROR(preçodiario[[#This Row],[OVO BRANCO C]]*preçodiario[[#This Row],[estoque C]],0)</f>
        <v>750</v>
      </c>
      <c r="U2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Row],[data]])),((U255*V255)+SUMIFS(estoque[valor total],estoque[produto],preçodiario[[#Headers],[OVO BRANCO EXTRA]],estoque[data],preçodiario[[#This Row],[data]],estoque[fornecedor],"&lt;&gt;saída"))/(V255+(SUMIFS(estoque[quantidade],estoque[produto],preçodiario[[#Headers],[OVO BRANCO EXTRA]],estoque[fornecedor],"&lt;&gt;saída",estoque[data],preçodiario[[#This Row],[data]])))))</f>
        <v>15.725438400674655</v>
      </c>
      <c r="V256" s="22">
        <f>IF(preçodiario[[#This Row],[entrada E]]=0,V255-(SUMIFS(estoque[quantidade],estoque[fornecedor],"saída",estoque[produto],preçodiario[[#Headers],[OVO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Row],[data]]))+V255+preçodiario[[#This Row],[entrada E]])</f>
        <v>46</v>
      </c>
      <c r="W256" s="22">
        <f>SUMIFS(estoque[quantidade],estoque[fornecedor],"&lt;&gt;saída",estoque[produto],preçodiario[[#Headers],[OVO BRANCO EXTRA]],estoque[data],preçodiario[[#This Row],[data]])</f>
        <v>0</v>
      </c>
      <c r="X256" s="20">
        <f>SUMIFS(estoque[valor total],estoque[fornecedor],"&lt;&gt;saída",estoque[produto],preçodiario[[#Headers],[OVO BRANCO EXTRA]],estoque[data],preçodiario[[#This Row],[data]])</f>
        <v>0</v>
      </c>
      <c r="Y256" s="20">
        <f>IFERROR(preçodiario[[#This Row],[estoque E]]*preçodiario[[#This Row],[OVO BRANCO EXTRA]],0)</f>
        <v>723.37016643103414</v>
      </c>
      <c r="Z2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Row],[data]])),((Z255*AA255)+SUMIFS(estoque[valor total],estoque[produto],preçodiario[[#Headers],[OVO BRANCO JUMBO]],estoque[data],preçodiario[[#This Row],[data]],estoque[fornecedor],"&lt;&gt;saída"))/(AA255+(SUMIFS(estoque[quantidade],estoque[produto],preçodiario[[#Headers],[OVO BRANCO JUMBO]],estoque[fornecedor],"&lt;&gt;saída",estoque[data],preçodiario[[#This Row],[data]])))))</f>
        <v>16.50550595238095</v>
      </c>
      <c r="AA256" s="22">
        <f>IF(preçodiario[[#This Row],[entrada J]]=0,AA255-(SUMIFS(estoque[quantidade],estoque[fornecedor],"saída",estoque[produto],preçodiario[[#Headers],[OVO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Row],[data]]))+AA255+preçodiario[[#This Row],[entrada J]])</f>
        <v>75</v>
      </c>
      <c r="AB256" s="22">
        <f>SUMIFS(estoque[quantidade],estoque[fornecedor],"&lt;&gt;saída",estoque[produto],preçodiario[[#Headers],[OVO BRANCO JUMBO]],estoque[data],preçodiario[[#This Row],[data]])</f>
        <v>0</v>
      </c>
      <c r="AC256" s="20">
        <f>SUMIFS(estoque[valor total],estoque[fornecedor],"&lt;&gt;saída",estoque[produto],preçodiario[[#Headers],[OVO BRANCO JUMBO]],estoque[data],preçodiario[[#This Row],[data]])</f>
        <v>0</v>
      </c>
      <c r="AD256" s="20">
        <f>IFERROR(preçodiario[[#This Row],[OVO BRANCO JUMBO]]*preçodiario[[#This Row],[estoque J]],0)</f>
        <v>1237.9129464285713</v>
      </c>
      <c r="AE2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Row],[data]])),((AE255*AF255)+SUMIFS(estoque[valor total],estoque[produto],preçodiario[[#Headers],[OVO VERMELHO A]],estoque[data],preçodiario[[#This Row],[data]],estoque[fornecedor],"&lt;&gt;saída"))/(AF255+(SUMIFS(estoque[quantidade],estoque[produto],preçodiario[[#Headers],[OVO VERMELHO A]],estoque[fornecedor],"&lt;&gt;saída",estoque[data],preçodiario[[#This Row],[data]])))))</f>
        <v/>
      </c>
      <c r="AF256" s="22">
        <f>IF(preçodiario[[#This Row],[entrada AV]]=0,AF255-(SUMIFS(estoque[quantidade],estoque[fornecedor],"saída",estoque[produto],preçodiario[[#Headers],[OVO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Row],[data]]))+AF255+preçodiario[[#This Row],[entrada AV]])</f>
        <v>0</v>
      </c>
      <c r="AG256" s="22">
        <f>SUMIFS(estoque[quantidade],estoque[fornecedor],"&lt;&gt;saída",estoque[produto],preçodiario[[#Headers],[OVO VERMELHO A]],estoque[data],preçodiario[[#This Row],[data]])</f>
        <v>0</v>
      </c>
      <c r="AH256" s="20">
        <f>SUMIFS(estoque[valor total],estoque[fornecedor],"&lt;&gt;saída",estoque[produto],preçodiario[[#Headers],[OVO VERMELHO A]],estoque[data],preçodiario[[#This Row],[data]])</f>
        <v>0</v>
      </c>
      <c r="AI256" s="20">
        <f>IFERROR(preçodiario[[#This Row],[OVO VERMELHO A]]*preçodiario[[#This Row],[estoque AV]],0)</f>
        <v>0</v>
      </c>
      <c r="AJ2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Row],[data]])),((AJ255*AK255)+SUMIFS(estoque[valor total],estoque[produto],preçodiario[[#Headers],[OVO VERMELHO B]],estoque[data],preçodiario[[#This Row],[data]],estoque[fornecedor],"&lt;&gt;saída"))/(AK255+(SUMIFS(estoque[quantidade],estoque[produto],preçodiario[[#Headers],[OVO VERMELHO B]],estoque[fornecedor],"&lt;&gt;saída",estoque[data],preçodiario[[#This Row],[data]])))))</f>
        <v/>
      </c>
      <c r="AK256" s="22">
        <f>IF(preçodiario[[#This Row],[entrada BV]]=0,AK255-(SUMIFS(estoque[quantidade],estoque[fornecedor],"saída",estoque[produto],preçodiario[[#Headers],[OVO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Row],[data]]))+AK255+preçodiario[[#This Row],[entrada BV]])</f>
        <v>0</v>
      </c>
      <c r="AL256" s="22">
        <f>SUMIFS(estoque[quantidade],estoque[fornecedor],"&lt;&gt;saída",estoque[produto],preçodiario[[#Headers],[OVO VERMELHO B]],estoque[data],preçodiario[[#This Row],[data]])</f>
        <v>0</v>
      </c>
      <c r="AM256" s="20">
        <f>SUMIFS(estoque[valor total],estoque[fornecedor],"&lt;&gt;saída",estoque[produto],preçodiario[[#Headers],[OVO VERMELHO B]],estoque[data],preçodiario[[#This Row],[data]])</f>
        <v>0</v>
      </c>
      <c r="AN256" s="20">
        <f>IFERROR(preçodiario[[#This Row],[OVO VERMELHO B]]*preçodiario[[#This Row],[estoque BV]],0)</f>
        <v>0</v>
      </c>
      <c r="AO2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Row],[data]])),((AO255*AP255)+SUMIFS(estoque[valor total],estoque[produto],preçodiario[[#Headers],[OVO VERMELHO C]],estoque[data],preçodiario[[#This Row],[data]],estoque[fornecedor],"&lt;&gt;saída"))/(AP255+(SUMIFS(estoque[quantidade],estoque[produto],preçodiario[[#Headers],[OVO VERMELHO C]],estoque[fornecedor],"&lt;&gt;saída",estoque[data],preçodiario[[#This Row],[data]])))))</f>
        <v/>
      </c>
      <c r="AP256" s="22">
        <f>IF(preçodiario[[#This Row],[entrada CV]]=0,AP255-(SUMIFS(estoque[quantidade],estoque[fornecedor],"saída",estoque[produto],preçodiario[[#Headers],[OVO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Row],[data]]))+AP255+preçodiario[[#This Row],[entrada CV]])</f>
        <v>0</v>
      </c>
      <c r="AQ256" s="22">
        <f>SUMIFS(estoque[quantidade],estoque[fornecedor],"&lt;&gt;saída",estoque[produto],preçodiario[[#Headers],[OVO VERMELHO C]],estoque[data],preçodiario[[#This Row],[data]])</f>
        <v>0</v>
      </c>
      <c r="AR256" s="20">
        <f>SUMIFS(estoque[valor total],estoque[fornecedor],"&lt;&gt;saída",estoque[produto],preçodiario[[#Headers],[OVO VERMELHO C]],estoque[data],preçodiario[[#This Row],[data]])</f>
        <v>0</v>
      </c>
      <c r="AS256" s="20">
        <f>IFERROR(preçodiario[[#This Row],[OVO VERMELHO C]]*preçodiario[[#This Row],[estoque CV]],0)</f>
        <v>0</v>
      </c>
      <c r="AT2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Row],[data]])),((AT255*AU255)+SUMIFS(estoque[valor total],estoque[produto],preçodiario[[#Headers],[OVO VERMELHO EXTRA]],estoque[data],preçodiario[[#This Row],[data]],estoque[fornecedor],"&lt;&gt;saída"))/(AU255+(SUMIFS(estoque[quantidade],estoque[produto],preçodiario[[#Headers],[OVO VERMELHO EXTRA]],estoque[fornecedor],"&lt;&gt;saída",estoque[data],preçodiario[[#This Row],[data]])))))</f>
        <v/>
      </c>
      <c r="AU256" s="22">
        <f>IF(preçodiario[[#This Row],[entrada EV]]=0,AU255-(SUMIFS(estoque[quantidade],estoque[fornecedor],"saída",estoque[produto],preçodiario[[#Headers],[OVO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Row],[data]]))+AU255+preçodiario[[#This Row],[entrada EV]])</f>
        <v>0</v>
      </c>
      <c r="AV256" s="22">
        <f>SUMIFS(estoque[quantidade],estoque[fornecedor],"&lt;&gt;saída",estoque[produto],preçodiario[[#Headers],[OVO VERMELHO EXTRA]],estoque[data],preçodiario[[#This Row],[data]])</f>
        <v>0</v>
      </c>
      <c r="AW256" s="20">
        <f>SUMIFS(estoque[valor total],estoque[fornecedor],"&lt;&gt;saída",estoque[produto],preçodiario[[#Headers],[OVO VERMELHO EXTRA]],estoque[data],preçodiario[[#This Row],[data]])</f>
        <v>0</v>
      </c>
      <c r="AX256" s="20">
        <f>IFERROR(preçodiario[[#This Row],[OVO VERMELHO EXTRA]]*preçodiario[[#This Row],[estoque EV]],0)</f>
        <v>0</v>
      </c>
      <c r="AY2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Row],[data]])),((AY255*AZ255)+SUMIFS(estoque[valor total],estoque[produto],preçodiario[[#Headers],[OVO VERMELHO JUMBO]],estoque[data],preçodiario[[#This Row],[data]],estoque[fornecedor],"&lt;&gt;saída"))/(AZ255+(SUMIFS(estoque[quantidade],estoque[produto],preçodiario[[#Headers],[OVO VERMELHO JUMBO]],estoque[fornecedor],"&lt;&gt;saída",estoque[data],preçodiario[[#This Row],[data]])))))</f>
        <v/>
      </c>
      <c r="AZ256" s="22">
        <f>IF(preçodiario[[#This Row],[entrada JV]]=0,AZ255-(SUMIFS(estoque[quantidade],estoque[fornecedor],"saída",estoque[produto],preçodiario[[#Headers],[OVO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Row],[data]]))+AZ255+preçodiario[[#This Row],[entrada JV]])</f>
        <v>0</v>
      </c>
      <c r="BA256" s="22">
        <f>SUMIFS(estoque[quantidade],estoque[fornecedor],"&lt;&gt;saída",estoque[produto],preçodiario[[#Headers],[OVO VERMELHO JUMBO]],estoque[data],preçodiario[[#This Row],[data]])</f>
        <v>0</v>
      </c>
      <c r="BB256" s="20">
        <f>SUMIFS(estoque[valor total],estoque[fornecedor],"&lt;&gt;saída",estoque[produto],preçodiario[[#Headers],[OVO VERMELHO JUMBO]],estoque[data],preçodiario[[#This Row],[data]])</f>
        <v>0</v>
      </c>
      <c r="BC256" s="20">
        <f>IFERROR(preçodiario[[#This Row],[OVO VERMELHO JUMBO]]*preçodiario[[#This Row],[estoque JV]],0)</f>
        <v>0</v>
      </c>
      <c r="BD256" t="str">
        <f>TEXT(vendaAno[[#This Row],[data]],"mmm")</f>
        <v>set</v>
      </c>
      <c r="BE256" t="str">
        <f>TEXT(vendaAno[[#This Row],[data]],"ddd")</f>
        <v>sáb</v>
      </c>
      <c r="BF256" s="82">
        <f>WEEKNUM(vendaAno[[#This Row],[data]],13)</f>
        <v>37</v>
      </c>
      <c r="BG256" s="27">
        <f>preçodiario[[#This Row],[data]]</f>
        <v>46277</v>
      </c>
      <c r="BH2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Row],[data]]))/12+BJ255,"")</f>
        <v/>
      </c>
      <c r="BK256" s="79" t="str">
        <f ca="1">IF(TODAY()&gt;=vendaAno[[#This Row],[data]],IF(SUMIFS(estoque[quantidade],estoque[fornecedor],"saída",estoque[data],vendaAno[[#This Row],[data]])/12=0,AVERAGE(BK253:BK255),SUMIFS(estoque[quantidade],estoque[fornecedor],"saída",estoque[data],vendaAno[[#This Row],[data]])/12),"")</f>
        <v/>
      </c>
      <c r="BL256" s="8" t="str">
        <f ca="1">IF(vendaAno[[#This Row],[data]]&lt;=TODAY(),IF(SUMIFS(estoque[lucro],estoque[fornecedor],"saída",estoque[data],vendaAno[[#This Row],[data]])=0,AVERAGE(BL253:BL255),SUMIFS(estoque[lucro],estoque[fornecedor],"saída",estoque[data],vendaAno[[#This Row],[data]])),"")</f>
        <v/>
      </c>
      <c r="BM256" s="10" t="str">
        <f ca="1">IFERROR(vendaAno[[#This Row],[lucro]]/vendaAno[[#This Row],[valor de venda]],"")</f>
        <v/>
      </c>
      <c r="BN25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6" s="8" t="str">
        <f ca="1">IF(TODAY()&gt;=vendaAno[[#This Row],[data]],IF(vendaAno[[#This Row],[N°]]=BF255,vendaAno[[#This Row],[lucro]]-173.33+BO255,vendaAno[[#This Row],[lucro]]-150),"")</f>
        <v/>
      </c>
      <c r="BP256" s="81" t="str">
        <f ca="1">IF(TODAY()&gt;=vendaAno[[#This Row],[data]],SUM(BK250:BK256)*12,"")</f>
        <v/>
      </c>
      <c r="BQ256" s="7" t="str">
        <f ca="1">IFERROR(vendaAno[[#This Row],[lucro]]/(vendaAno[[#This Row],[venda]]*12),"")</f>
        <v/>
      </c>
    </row>
    <row r="257" spans="1:69" x14ac:dyDescent="0.25">
      <c r="A2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7" s="18" t="str">
        <f>TEXT(preçodiario[[#This Row],[data]],"MMM")</f>
        <v>set</v>
      </c>
      <c r="C257" s="18" t="str">
        <f>TEXT(preçodiario[[#This Row],[data]],"ddd")</f>
        <v>dom</v>
      </c>
      <c r="D257" s="96">
        <f>WEEKNUM(preçodiario[[#This Row],[data]],13)</f>
        <v>37</v>
      </c>
      <c r="E257" s="37">
        <v>46278</v>
      </c>
      <c r="F2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Row],[data]])),((F256*G256)+SUMIFS(estoque[valor total],estoque[produto],preçodiario[[#Headers],[OVO BRANCO A]],estoque[data],preçodiario[[#This Row],[data]],estoque[fornecedor],"&lt;&gt;saída"))/(G256+(SUMIFS(estoque[quantidade],estoque[produto],preçodiario[[#Headers],[OVO BRANCO A]],estoque[fornecedor],"&lt;&gt;saída",estoque[data],preçodiario[[#This Row],[data]])))))</f>
        <v>15.278182701652089</v>
      </c>
      <c r="G257" s="22">
        <f>IF(preçodiario[[#This Row],[entrada A]]=0,G256-(SUMIFS(estoque[quantidade],estoque[fornecedor],"saída",estoque[produto],preçodiario[[#Headers],[OVO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Row],[data]]))+G256+preçodiario[[#This Row],[entrada A]])</f>
        <v>133</v>
      </c>
      <c r="H257" s="22">
        <f>SUMIFS(estoque[quantidade],estoque[fornecedor],"&lt;&gt;saída",estoque[produto],preçodiario[[#Headers],[OVO BRANCO A]],estoque[data],preçodiario[[#This Row],[data]])</f>
        <v>0</v>
      </c>
      <c r="I257" s="20">
        <f>SUMIFS(estoque[valor total],estoque[fornecedor],"&lt;&gt;saída",estoque[produto],preçodiario[[#Headers],[OVO BRANCO A]],estoque[data],preçodiario[[#This Row],[data]])</f>
        <v>0</v>
      </c>
      <c r="J257" s="20">
        <f>IFERROR(preçodiario[[#This Row],[estoque A]]*preçodiario[[#This Row],[OVO BRANCO A]],0)</f>
        <v>2031.9982993197277</v>
      </c>
      <c r="K2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Row],[data]])),((K256*L256)+SUMIFS(estoque[valor total],estoque[produto],preçodiario[[#Headers],[OVO BRANCO B]],estoque[data],preçodiario[[#This Row],[data]],estoque[fornecedor],"&lt;&gt;saída"))/(L256+(SUMIFS(estoque[quantidade],estoque[produto],preçodiario[[#Headers],[OVO BRANCO B]],estoque[fornecedor],"&lt;&gt;saída",estoque[data],preçodiario[[#This Row],[data]])))))</f>
        <v>14.584252837326604</v>
      </c>
      <c r="L257" s="22">
        <f>IF(preçodiario[[#This Row],[entrada B]]=0,L256-(SUMIFS(estoque[quantidade],estoque[fornecedor],"saída",estoque[produto],preçodiario[[#Headers],[OVO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Row],[data]]))+L256+preçodiario[[#This Row],[entrada B]])</f>
        <v>16</v>
      </c>
      <c r="M257" s="22">
        <f>SUMIFS(estoque[quantidade],estoque[fornecedor],"&lt;&gt;saída",estoque[produto],preçodiario[[#Headers],[OVO BRANCO B]],estoque[data],preçodiario[[#This Row],[data]])</f>
        <v>0</v>
      </c>
      <c r="N257" s="20">
        <f>SUMIFS(estoque[valor total],estoque[fornecedor],"&lt;&gt;saída",estoque[produto],preçodiario[[#Headers],[OVO BRANCO B]],estoque[data],preçodiario[[#This Row],[data]])</f>
        <v>0</v>
      </c>
      <c r="O257" s="20">
        <f>IFERROR(preçodiario[[#This Row],[OVO BRANCO B]]*preçodiario[[#This Row],[estoque B]],0)</f>
        <v>233.34804539722566</v>
      </c>
      <c r="P2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Row],[data]])),((P256*Q256)+SUMIFS(estoque[valor total],estoque[produto],preçodiario[[#Headers],[OVO BRANCO C]],estoque[data],preçodiario[[#This Row],[data]],estoque[fornecedor],"&lt;&gt;saída"))/(Q256+(SUMIFS(estoque[quantidade],estoque[produto],preçodiario[[#Headers],[OVO BRANCO C]],estoque[fornecedor],"&lt;&gt;saída",estoque[data],preçodiario[[#This Row],[data]])))))</f>
        <v>12.5</v>
      </c>
      <c r="Q257" s="22">
        <f>IF(preçodiario[[#This Row],[entrada C]]=0,Q256-(SUMIFS(estoque[quantidade],estoque[fornecedor],"saída",estoque[produto],preçodiario[[#Headers],[OVO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Row],[data]]))+Q256+preçodiario[[#This Row],[entrada C]])</f>
        <v>60</v>
      </c>
      <c r="R257" s="22">
        <f>SUMIFS(estoque[quantidade],estoque[fornecedor],"&lt;&gt;saída",estoque[produto],preçodiario[[#Headers],[OVO BRANCO C]],estoque[data],preçodiario[[#This Row],[data]])</f>
        <v>0</v>
      </c>
      <c r="S257" s="20">
        <f>SUMIFS(estoque[valor total],estoque[fornecedor],"&lt;&gt;saída",estoque[produto],preçodiario[[#Headers],[OVO BRANCO C]],estoque[data],preçodiario[[#This Row],[data]])</f>
        <v>0</v>
      </c>
      <c r="T257" s="20">
        <f>IFERROR(preçodiario[[#This Row],[OVO BRANCO C]]*preçodiario[[#This Row],[estoque C]],0)</f>
        <v>750</v>
      </c>
      <c r="U2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Row],[data]])),((U256*V256)+SUMIFS(estoque[valor total],estoque[produto],preçodiario[[#Headers],[OVO BRANCO EXTRA]],estoque[data],preçodiario[[#This Row],[data]],estoque[fornecedor],"&lt;&gt;saída"))/(V256+(SUMIFS(estoque[quantidade],estoque[produto],preçodiario[[#Headers],[OVO BRANCO EXTRA]],estoque[fornecedor],"&lt;&gt;saída",estoque[data],preçodiario[[#This Row],[data]])))))</f>
        <v>15.725438400674655</v>
      </c>
      <c r="V257" s="22">
        <f>IF(preçodiario[[#This Row],[entrada E]]=0,V256-(SUMIFS(estoque[quantidade],estoque[fornecedor],"saída",estoque[produto],preçodiario[[#Headers],[OVO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Row],[data]]))+V256+preçodiario[[#This Row],[entrada E]])</f>
        <v>46</v>
      </c>
      <c r="W257" s="22">
        <f>SUMIFS(estoque[quantidade],estoque[fornecedor],"&lt;&gt;saída",estoque[produto],preçodiario[[#Headers],[OVO BRANCO EXTRA]],estoque[data],preçodiario[[#This Row],[data]])</f>
        <v>0</v>
      </c>
      <c r="X257" s="20">
        <f>SUMIFS(estoque[valor total],estoque[fornecedor],"&lt;&gt;saída",estoque[produto],preçodiario[[#Headers],[OVO BRANCO EXTRA]],estoque[data],preçodiario[[#This Row],[data]])</f>
        <v>0</v>
      </c>
      <c r="Y257" s="20">
        <f>IFERROR(preçodiario[[#This Row],[estoque E]]*preçodiario[[#This Row],[OVO BRANCO EXTRA]],0)</f>
        <v>723.37016643103414</v>
      </c>
      <c r="Z2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Row],[data]])),((Z256*AA256)+SUMIFS(estoque[valor total],estoque[produto],preçodiario[[#Headers],[OVO BRANCO JUMBO]],estoque[data],preçodiario[[#This Row],[data]],estoque[fornecedor],"&lt;&gt;saída"))/(AA256+(SUMIFS(estoque[quantidade],estoque[produto],preçodiario[[#Headers],[OVO BRANCO JUMBO]],estoque[fornecedor],"&lt;&gt;saída",estoque[data],preçodiario[[#This Row],[data]])))))</f>
        <v>16.50550595238095</v>
      </c>
      <c r="AA257" s="22">
        <f>IF(preçodiario[[#This Row],[entrada J]]=0,AA256-(SUMIFS(estoque[quantidade],estoque[fornecedor],"saída",estoque[produto],preçodiario[[#Headers],[OVO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Row],[data]]))+AA256+preçodiario[[#This Row],[entrada J]])</f>
        <v>75</v>
      </c>
      <c r="AB257" s="22">
        <f>SUMIFS(estoque[quantidade],estoque[fornecedor],"&lt;&gt;saída",estoque[produto],preçodiario[[#Headers],[OVO BRANCO JUMBO]],estoque[data],preçodiario[[#This Row],[data]])</f>
        <v>0</v>
      </c>
      <c r="AC257" s="20">
        <f>SUMIFS(estoque[valor total],estoque[fornecedor],"&lt;&gt;saída",estoque[produto],preçodiario[[#Headers],[OVO BRANCO JUMBO]],estoque[data],preçodiario[[#This Row],[data]])</f>
        <v>0</v>
      </c>
      <c r="AD257" s="20">
        <f>IFERROR(preçodiario[[#This Row],[OVO BRANCO JUMBO]]*preçodiario[[#This Row],[estoque J]],0)</f>
        <v>1237.9129464285713</v>
      </c>
      <c r="AE2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Row],[data]])),((AE256*AF256)+SUMIFS(estoque[valor total],estoque[produto],preçodiario[[#Headers],[OVO VERMELHO A]],estoque[data],preçodiario[[#This Row],[data]],estoque[fornecedor],"&lt;&gt;saída"))/(AF256+(SUMIFS(estoque[quantidade],estoque[produto],preçodiario[[#Headers],[OVO VERMELHO A]],estoque[fornecedor],"&lt;&gt;saída",estoque[data],preçodiario[[#This Row],[data]])))))</f>
        <v/>
      </c>
      <c r="AF257" s="22">
        <f>IF(preçodiario[[#This Row],[entrada AV]]=0,AF256-(SUMIFS(estoque[quantidade],estoque[fornecedor],"saída",estoque[produto],preçodiario[[#Headers],[OVO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Row],[data]]))+AF256+preçodiario[[#This Row],[entrada AV]])</f>
        <v>0</v>
      </c>
      <c r="AG257" s="22">
        <f>SUMIFS(estoque[quantidade],estoque[fornecedor],"&lt;&gt;saída",estoque[produto],preçodiario[[#Headers],[OVO VERMELHO A]],estoque[data],preçodiario[[#This Row],[data]])</f>
        <v>0</v>
      </c>
      <c r="AH257" s="20">
        <f>SUMIFS(estoque[valor total],estoque[fornecedor],"&lt;&gt;saída",estoque[produto],preçodiario[[#Headers],[OVO VERMELHO A]],estoque[data],preçodiario[[#This Row],[data]])</f>
        <v>0</v>
      </c>
      <c r="AI257" s="20">
        <f>IFERROR(preçodiario[[#This Row],[OVO VERMELHO A]]*preçodiario[[#This Row],[estoque AV]],0)</f>
        <v>0</v>
      </c>
      <c r="AJ2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Row],[data]])),((AJ256*AK256)+SUMIFS(estoque[valor total],estoque[produto],preçodiario[[#Headers],[OVO VERMELHO B]],estoque[data],preçodiario[[#This Row],[data]],estoque[fornecedor],"&lt;&gt;saída"))/(AK256+(SUMIFS(estoque[quantidade],estoque[produto],preçodiario[[#Headers],[OVO VERMELHO B]],estoque[fornecedor],"&lt;&gt;saída",estoque[data],preçodiario[[#This Row],[data]])))))</f>
        <v/>
      </c>
      <c r="AK257" s="22">
        <f>IF(preçodiario[[#This Row],[entrada BV]]=0,AK256-(SUMIFS(estoque[quantidade],estoque[fornecedor],"saída",estoque[produto],preçodiario[[#Headers],[OVO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Row],[data]]))+AK256+preçodiario[[#This Row],[entrada BV]])</f>
        <v>0</v>
      </c>
      <c r="AL257" s="22">
        <f>SUMIFS(estoque[quantidade],estoque[fornecedor],"&lt;&gt;saída",estoque[produto],preçodiario[[#Headers],[OVO VERMELHO B]],estoque[data],preçodiario[[#This Row],[data]])</f>
        <v>0</v>
      </c>
      <c r="AM257" s="20">
        <f>SUMIFS(estoque[valor total],estoque[fornecedor],"&lt;&gt;saída",estoque[produto],preçodiario[[#Headers],[OVO VERMELHO B]],estoque[data],preçodiario[[#This Row],[data]])</f>
        <v>0</v>
      </c>
      <c r="AN257" s="20">
        <f>IFERROR(preçodiario[[#This Row],[OVO VERMELHO B]]*preçodiario[[#This Row],[estoque BV]],0)</f>
        <v>0</v>
      </c>
      <c r="AO2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Row],[data]])),((AO256*AP256)+SUMIFS(estoque[valor total],estoque[produto],preçodiario[[#Headers],[OVO VERMELHO C]],estoque[data],preçodiario[[#This Row],[data]],estoque[fornecedor],"&lt;&gt;saída"))/(AP256+(SUMIFS(estoque[quantidade],estoque[produto],preçodiario[[#Headers],[OVO VERMELHO C]],estoque[fornecedor],"&lt;&gt;saída",estoque[data],preçodiario[[#This Row],[data]])))))</f>
        <v/>
      </c>
      <c r="AP257" s="22">
        <f>IF(preçodiario[[#This Row],[entrada CV]]=0,AP256-(SUMIFS(estoque[quantidade],estoque[fornecedor],"saída",estoque[produto],preçodiario[[#Headers],[OVO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Row],[data]]))+AP256+preçodiario[[#This Row],[entrada CV]])</f>
        <v>0</v>
      </c>
      <c r="AQ257" s="22">
        <f>SUMIFS(estoque[quantidade],estoque[fornecedor],"&lt;&gt;saída",estoque[produto],preçodiario[[#Headers],[OVO VERMELHO C]],estoque[data],preçodiario[[#This Row],[data]])</f>
        <v>0</v>
      </c>
      <c r="AR257" s="20">
        <f>SUMIFS(estoque[valor total],estoque[fornecedor],"&lt;&gt;saída",estoque[produto],preçodiario[[#Headers],[OVO VERMELHO C]],estoque[data],preçodiario[[#This Row],[data]])</f>
        <v>0</v>
      </c>
      <c r="AS257" s="20">
        <f>IFERROR(preçodiario[[#This Row],[OVO VERMELHO C]]*preçodiario[[#This Row],[estoque CV]],0)</f>
        <v>0</v>
      </c>
      <c r="AT2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Row],[data]])),((AT256*AU256)+SUMIFS(estoque[valor total],estoque[produto],preçodiario[[#Headers],[OVO VERMELHO EXTRA]],estoque[data],preçodiario[[#This Row],[data]],estoque[fornecedor],"&lt;&gt;saída"))/(AU256+(SUMIFS(estoque[quantidade],estoque[produto],preçodiario[[#Headers],[OVO VERMELHO EXTRA]],estoque[fornecedor],"&lt;&gt;saída",estoque[data],preçodiario[[#This Row],[data]])))))</f>
        <v/>
      </c>
      <c r="AU257" s="22">
        <f>IF(preçodiario[[#This Row],[entrada EV]]=0,AU256-(SUMIFS(estoque[quantidade],estoque[fornecedor],"saída",estoque[produto],preçodiario[[#Headers],[OVO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Row],[data]]))+AU256+preçodiario[[#This Row],[entrada EV]])</f>
        <v>0</v>
      </c>
      <c r="AV257" s="22">
        <f>SUMIFS(estoque[quantidade],estoque[fornecedor],"&lt;&gt;saída",estoque[produto],preçodiario[[#Headers],[OVO VERMELHO EXTRA]],estoque[data],preçodiario[[#This Row],[data]])</f>
        <v>0</v>
      </c>
      <c r="AW257" s="20">
        <f>SUMIFS(estoque[valor total],estoque[fornecedor],"&lt;&gt;saída",estoque[produto],preçodiario[[#Headers],[OVO VERMELHO EXTRA]],estoque[data],preçodiario[[#This Row],[data]])</f>
        <v>0</v>
      </c>
      <c r="AX257" s="20">
        <f>IFERROR(preçodiario[[#This Row],[OVO VERMELHO EXTRA]]*preçodiario[[#This Row],[estoque EV]],0)</f>
        <v>0</v>
      </c>
      <c r="AY2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Row],[data]])),((AY256*AZ256)+SUMIFS(estoque[valor total],estoque[produto],preçodiario[[#Headers],[OVO VERMELHO JUMBO]],estoque[data],preçodiario[[#This Row],[data]],estoque[fornecedor],"&lt;&gt;saída"))/(AZ256+(SUMIFS(estoque[quantidade],estoque[produto],preçodiario[[#Headers],[OVO VERMELHO JUMBO]],estoque[fornecedor],"&lt;&gt;saída",estoque[data],preçodiario[[#This Row],[data]])))))</f>
        <v/>
      </c>
      <c r="AZ257" s="22">
        <f>IF(preçodiario[[#This Row],[entrada JV]]=0,AZ256-(SUMIFS(estoque[quantidade],estoque[fornecedor],"saída",estoque[produto],preçodiario[[#Headers],[OVO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Row],[data]]))+AZ256+preçodiario[[#This Row],[entrada JV]])</f>
        <v>0</v>
      </c>
      <c r="BA257" s="22">
        <f>SUMIFS(estoque[quantidade],estoque[fornecedor],"&lt;&gt;saída",estoque[produto],preçodiario[[#Headers],[OVO VERMELHO JUMBO]],estoque[data],preçodiario[[#This Row],[data]])</f>
        <v>0</v>
      </c>
      <c r="BB257" s="20">
        <f>SUMIFS(estoque[valor total],estoque[fornecedor],"&lt;&gt;saída",estoque[produto],preçodiario[[#Headers],[OVO VERMELHO JUMBO]],estoque[data],preçodiario[[#This Row],[data]])</f>
        <v>0</v>
      </c>
      <c r="BC257" s="20">
        <f>IFERROR(preçodiario[[#This Row],[OVO VERMELHO JUMBO]]*preçodiario[[#This Row],[estoque JV]],0)</f>
        <v>0</v>
      </c>
      <c r="BD257" t="str">
        <f>TEXT(vendaAno[[#This Row],[data]],"mmm")</f>
        <v>set</v>
      </c>
      <c r="BE257" t="str">
        <f>TEXT(vendaAno[[#This Row],[data]],"ddd")</f>
        <v>dom</v>
      </c>
      <c r="BF257" s="82">
        <f>WEEKNUM(vendaAno[[#This Row],[data]],13)</f>
        <v>37</v>
      </c>
      <c r="BG257" s="27">
        <f>preçodiario[[#This Row],[data]]</f>
        <v>46278</v>
      </c>
      <c r="BH2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Row],[data]]))/12+BJ256,"")</f>
        <v/>
      </c>
      <c r="BK257" s="79" t="str">
        <f ca="1">IF(TODAY()&gt;=vendaAno[[#This Row],[data]],IF(SUMIFS(estoque[quantidade],estoque[fornecedor],"saída",estoque[data],vendaAno[[#This Row],[data]])/12=0,AVERAGE(BK254:BK256),SUMIFS(estoque[quantidade],estoque[fornecedor],"saída",estoque[data],vendaAno[[#This Row],[data]])/12),"")</f>
        <v/>
      </c>
      <c r="BL257" s="8" t="str">
        <f ca="1">IF(vendaAno[[#This Row],[data]]&lt;=TODAY(),IF(SUMIFS(estoque[lucro],estoque[fornecedor],"saída",estoque[data],vendaAno[[#This Row],[data]])=0,AVERAGE(BL254:BL256),SUMIFS(estoque[lucro],estoque[fornecedor],"saída",estoque[data],vendaAno[[#This Row],[data]])),"")</f>
        <v/>
      </c>
      <c r="BM257" s="10" t="str">
        <f ca="1">IFERROR(vendaAno[[#This Row],[lucro]]/vendaAno[[#This Row],[valor de venda]],"")</f>
        <v/>
      </c>
      <c r="BN25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7" s="8" t="str">
        <f ca="1">IF(TODAY()&gt;=vendaAno[[#This Row],[data]],IF(vendaAno[[#This Row],[N°]]=BF256,vendaAno[[#This Row],[lucro]]-173.33+BO256,vendaAno[[#This Row],[lucro]]-150),"")</f>
        <v/>
      </c>
      <c r="BP257" s="81" t="str">
        <f ca="1">IF(TODAY()&gt;=vendaAno[[#This Row],[data]],SUM(BK251:BK257)*12,"")</f>
        <v/>
      </c>
      <c r="BQ257" s="7" t="str">
        <f ca="1">IFERROR(vendaAno[[#This Row],[lucro]]/(vendaAno[[#This Row],[venda]]*12),"")</f>
        <v/>
      </c>
    </row>
    <row r="258" spans="1:69" x14ac:dyDescent="0.25">
      <c r="A2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8" s="18" t="str">
        <f>TEXT(preçodiario[[#This Row],[data]],"MMM")</f>
        <v>set</v>
      </c>
      <c r="C258" s="18" t="str">
        <f>TEXT(preçodiario[[#This Row],[data]],"ddd")</f>
        <v>seg</v>
      </c>
      <c r="D258" s="96">
        <f>WEEKNUM(preçodiario[[#This Row],[data]],13)</f>
        <v>37</v>
      </c>
      <c r="E258" s="37">
        <v>46279</v>
      </c>
      <c r="F2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Row],[data]])),((F257*G257)+SUMIFS(estoque[valor total],estoque[produto],preçodiario[[#Headers],[OVO BRANCO A]],estoque[data],preçodiario[[#This Row],[data]],estoque[fornecedor],"&lt;&gt;saída"))/(G257+(SUMIFS(estoque[quantidade],estoque[produto],preçodiario[[#Headers],[OVO BRANCO A]],estoque[fornecedor],"&lt;&gt;saída",estoque[data],preçodiario[[#This Row],[data]])))))</f>
        <v>15.278182701652089</v>
      </c>
      <c r="G258" s="22">
        <f>IF(preçodiario[[#This Row],[entrada A]]=0,G257-(SUMIFS(estoque[quantidade],estoque[fornecedor],"saída",estoque[produto],preçodiario[[#Headers],[OVO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Row],[data]]))+G257+preçodiario[[#This Row],[entrada A]])</f>
        <v>133</v>
      </c>
      <c r="H258" s="22">
        <f>SUMIFS(estoque[quantidade],estoque[fornecedor],"&lt;&gt;saída",estoque[produto],preçodiario[[#Headers],[OVO BRANCO A]],estoque[data],preçodiario[[#This Row],[data]])</f>
        <v>0</v>
      </c>
      <c r="I258" s="20">
        <f>SUMIFS(estoque[valor total],estoque[fornecedor],"&lt;&gt;saída",estoque[produto],preçodiario[[#Headers],[OVO BRANCO A]],estoque[data],preçodiario[[#This Row],[data]])</f>
        <v>0</v>
      </c>
      <c r="J258" s="20">
        <f>IFERROR(preçodiario[[#This Row],[estoque A]]*preçodiario[[#This Row],[OVO BRANCO A]],0)</f>
        <v>2031.9982993197277</v>
      </c>
      <c r="K2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Row],[data]])),((K257*L257)+SUMIFS(estoque[valor total],estoque[produto],preçodiario[[#Headers],[OVO BRANCO B]],estoque[data],preçodiario[[#This Row],[data]],estoque[fornecedor],"&lt;&gt;saída"))/(L257+(SUMIFS(estoque[quantidade],estoque[produto],preçodiario[[#Headers],[OVO BRANCO B]],estoque[fornecedor],"&lt;&gt;saída",estoque[data],preçodiario[[#This Row],[data]])))))</f>
        <v>14.584252837326604</v>
      </c>
      <c r="L258" s="22">
        <f>IF(preçodiario[[#This Row],[entrada B]]=0,L257-(SUMIFS(estoque[quantidade],estoque[fornecedor],"saída",estoque[produto],preçodiario[[#Headers],[OVO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Row],[data]]))+L257+preçodiario[[#This Row],[entrada B]])</f>
        <v>16</v>
      </c>
      <c r="M258" s="22">
        <f>SUMIFS(estoque[quantidade],estoque[fornecedor],"&lt;&gt;saída",estoque[produto],preçodiario[[#Headers],[OVO BRANCO B]],estoque[data],preçodiario[[#This Row],[data]])</f>
        <v>0</v>
      </c>
      <c r="N258" s="20">
        <f>SUMIFS(estoque[valor total],estoque[fornecedor],"&lt;&gt;saída",estoque[produto],preçodiario[[#Headers],[OVO BRANCO B]],estoque[data],preçodiario[[#This Row],[data]])</f>
        <v>0</v>
      </c>
      <c r="O258" s="20">
        <f>IFERROR(preçodiario[[#This Row],[OVO BRANCO B]]*preçodiario[[#This Row],[estoque B]],0)</f>
        <v>233.34804539722566</v>
      </c>
      <c r="P2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Row],[data]])),((P257*Q257)+SUMIFS(estoque[valor total],estoque[produto],preçodiario[[#Headers],[OVO BRANCO C]],estoque[data],preçodiario[[#This Row],[data]],estoque[fornecedor],"&lt;&gt;saída"))/(Q257+(SUMIFS(estoque[quantidade],estoque[produto],preçodiario[[#Headers],[OVO BRANCO C]],estoque[fornecedor],"&lt;&gt;saída",estoque[data],preçodiario[[#This Row],[data]])))))</f>
        <v>12.5</v>
      </c>
      <c r="Q258" s="22">
        <f>IF(preçodiario[[#This Row],[entrada C]]=0,Q257-(SUMIFS(estoque[quantidade],estoque[fornecedor],"saída",estoque[produto],preçodiario[[#Headers],[OVO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Row],[data]]))+Q257+preçodiario[[#This Row],[entrada C]])</f>
        <v>60</v>
      </c>
      <c r="R258" s="22">
        <f>SUMIFS(estoque[quantidade],estoque[fornecedor],"&lt;&gt;saída",estoque[produto],preçodiario[[#Headers],[OVO BRANCO C]],estoque[data],preçodiario[[#This Row],[data]])</f>
        <v>0</v>
      </c>
      <c r="S258" s="20">
        <f>SUMIFS(estoque[valor total],estoque[fornecedor],"&lt;&gt;saída",estoque[produto],preçodiario[[#Headers],[OVO BRANCO C]],estoque[data],preçodiario[[#This Row],[data]])</f>
        <v>0</v>
      </c>
      <c r="T258" s="20">
        <f>IFERROR(preçodiario[[#This Row],[OVO BRANCO C]]*preçodiario[[#This Row],[estoque C]],0)</f>
        <v>750</v>
      </c>
      <c r="U2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Row],[data]])),((U257*V257)+SUMIFS(estoque[valor total],estoque[produto],preçodiario[[#Headers],[OVO BRANCO EXTRA]],estoque[data],preçodiario[[#This Row],[data]],estoque[fornecedor],"&lt;&gt;saída"))/(V257+(SUMIFS(estoque[quantidade],estoque[produto],preçodiario[[#Headers],[OVO BRANCO EXTRA]],estoque[fornecedor],"&lt;&gt;saída",estoque[data],preçodiario[[#This Row],[data]])))))</f>
        <v>15.725438400674655</v>
      </c>
      <c r="V258" s="22">
        <f>IF(preçodiario[[#This Row],[entrada E]]=0,V257-(SUMIFS(estoque[quantidade],estoque[fornecedor],"saída",estoque[produto],preçodiario[[#Headers],[OVO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Row],[data]]))+V257+preçodiario[[#This Row],[entrada E]])</f>
        <v>46</v>
      </c>
      <c r="W258" s="22">
        <f>SUMIFS(estoque[quantidade],estoque[fornecedor],"&lt;&gt;saída",estoque[produto],preçodiario[[#Headers],[OVO BRANCO EXTRA]],estoque[data],preçodiario[[#This Row],[data]])</f>
        <v>0</v>
      </c>
      <c r="X258" s="20">
        <f>SUMIFS(estoque[valor total],estoque[fornecedor],"&lt;&gt;saída",estoque[produto],preçodiario[[#Headers],[OVO BRANCO EXTRA]],estoque[data],preçodiario[[#This Row],[data]])</f>
        <v>0</v>
      </c>
      <c r="Y258" s="20">
        <f>IFERROR(preçodiario[[#This Row],[estoque E]]*preçodiario[[#This Row],[OVO BRANCO EXTRA]],0)</f>
        <v>723.37016643103414</v>
      </c>
      <c r="Z2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Row],[data]])),((Z257*AA257)+SUMIFS(estoque[valor total],estoque[produto],preçodiario[[#Headers],[OVO BRANCO JUMBO]],estoque[data],preçodiario[[#This Row],[data]],estoque[fornecedor],"&lt;&gt;saída"))/(AA257+(SUMIFS(estoque[quantidade],estoque[produto],preçodiario[[#Headers],[OVO BRANCO JUMBO]],estoque[fornecedor],"&lt;&gt;saída",estoque[data],preçodiario[[#This Row],[data]])))))</f>
        <v>16.50550595238095</v>
      </c>
      <c r="AA258" s="22">
        <f>IF(preçodiario[[#This Row],[entrada J]]=0,AA257-(SUMIFS(estoque[quantidade],estoque[fornecedor],"saída",estoque[produto],preçodiario[[#Headers],[OVO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Row],[data]]))+AA257+preçodiario[[#This Row],[entrada J]])</f>
        <v>75</v>
      </c>
      <c r="AB258" s="22">
        <f>SUMIFS(estoque[quantidade],estoque[fornecedor],"&lt;&gt;saída",estoque[produto],preçodiario[[#Headers],[OVO BRANCO JUMBO]],estoque[data],preçodiario[[#This Row],[data]])</f>
        <v>0</v>
      </c>
      <c r="AC258" s="20">
        <f>SUMIFS(estoque[valor total],estoque[fornecedor],"&lt;&gt;saída",estoque[produto],preçodiario[[#Headers],[OVO BRANCO JUMBO]],estoque[data],preçodiario[[#This Row],[data]])</f>
        <v>0</v>
      </c>
      <c r="AD258" s="20">
        <f>IFERROR(preçodiario[[#This Row],[OVO BRANCO JUMBO]]*preçodiario[[#This Row],[estoque J]],0)</f>
        <v>1237.9129464285713</v>
      </c>
      <c r="AE2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Row],[data]])),((AE257*AF257)+SUMIFS(estoque[valor total],estoque[produto],preçodiario[[#Headers],[OVO VERMELHO A]],estoque[data],preçodiario[[#This Row],[data]],estoque[fornecedor],"&lt;&gt;saída"))/(AF257+(SUMIFS(estoque[quantidade],estoque[produto],preçodiario[[#Headers],[OVO VERMELHO A]],estoque[fornecedor],"&lt;&gt;saída",estoque[data],preçodiario[[#This Row],[data]])))))</f>
        <v/>
      </c>
      <c r="AF258" s="22">
        <f>IF(preçodiario[[#This Row],[entrada AV]]=0,AF257-(SUMIFS(estoque[quantidade],estoque[fornecedor],"saída",estoque[produto],preçodiario[[#Headers],[OVO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Row],[data]]))+AF257+preçodiario[[#This Row],[entrada AV]])</f>
        <v>0</v>
      </c>
      <c r="AG258" s="22">
        <f>SUMIFS(estoque[quantidade],estoque[fornecedor],"&lt;&gt;saída",estoque[produto],preçodiario[[#Headers],[OVO VERMELHO A]],estoque[data],preçodiario[[#This Row],[data]])</f>
        <v>0</v>
      </c>
      <c r="AH258" s="20">
        <f>SUMIFS(estoque[valor total],estoque[fornecedor],"&lt;&gt;saída",estoque[produto],preçodiario[[#Headers],[OVO VERMELHO A]],estoque[data],preçodiario[[#This Row],[data]])</f>
        <v>0</v>
      </c>
      <c r="AI258" s="20">
        <f>IFERROR(preçodiario[[#This Row],[OVO VERMELHO A]]*preçodiario[[#This Row],[estoque AV]],0)</f>
        <v>0</v>
      </c>
      <c r="AJ2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Row],[data]])),((AJ257*AK257)+SUMIFS(estoque[valor total],estoque[produto],preçodiario[[#Headers],[OVO VERMELHO B]],estoque[data],preçodiario[[#This Row],[data]],estoque[fornecedor],"&lt;&gt;saída"))/(AK257+(SUMIFS(estoque[quantidade],estoque[produto],preçodiario[[#Headers],[OVO VERMELHO B]],estoque[fornecedor],"&lt;&gt;saída",estoque[data],preçodiario[[#This Row],[data]])))))</f>
        <v/>
      </c>
      <c r="AK258" s="22">
        <f>IF(preçodiario[[#This Row],[entrada BV]]=0,AK257-(SUMIFS(estoque[quantidade],estoque[fornecedor],"saída",estoque[produto],preçodiario[[#Headers],[OVO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Row],[data]]))+AK257+preçodiario[[#This Row],[entrada BV]])</f>
        <v>0</v>
      </c>
      <c r="AL258" s="22">
        <f>SUMIFS(estoque[quantidade],estoque[fornecedor],"&lt;&gt;saída",estoque[produto],preçodiario[[#Headers],[OVO VERMELHO B]],estoque[data],preçodiario[[#This Row],[data]])</f>
        <v>0</v>
      </c>
      <c r="AM258" s="20">
        <f>SUMIFS(estoque[valor total],estoque[fornecedor],"&lt;&gt;saída",estoque[produto],preçodiario[[#Headers],[OVO VERMELHO B]],estoque[data],preçodiario[[#This Row],[data]])</f>
        <v>0</v>
      </c>
      <c r="AN258" s="20">
        <f>IFERROR(preçodiario[[#This Row],[OVO VERMELHO B]]*preçodiario[[#This Row],[estoque BV]],0)</f>
        <v>0</v>
      </c>
      <c r="AO2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Row],[data]])),((AO257*AP257)+SUMIFS(estoque[valor total],estoque[produto],preçodiario[[#Headers],[OVO VERMELHO C]],estoque[data],preçodiario[[#This Row],[data]],estoque[fornecedor],"&lt;&gt;saída"))/(AP257+(SUMIFS(estoque[quantidade],estoque[produto],preçodiario[[#Headers],[OVO VERMELHO C]],estoque[fornecedor],"&lt;&gt;saída",estoque[data],preçodiario[[#This Row],[data]])))))</f>
        <v/>
      </c>
      <c r="AP258" s="22">
        <f>IF(preçodiario[[#This Row],[entrada CV]]=0,AP257-(SUMIFS(estoque[quantidade],estoque[fornecedor],"saída",estoque[produto],preçodiario[[#Headers],[OVO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Row],[data]]))+AP257+preçodiario[[#This Row],[entrada CV]])</f>
        <v>0</v>
      </c>
      <c r="AQ258" s="22">
        <f>SUMIFS(estoque[quantidade],estoque[fornecedor],"&lt;&gt;saída",estoque[produto],preçodiario[[#Headers],[OVO VERMELHO C]],estoque[data],preçodiario[[#This Row],[data]])</f>
        <v>0</v>
      </c>
      <c r="AR258" s="20">
        <f>SUMIFS(estoque[valor total],estoque[fornecedor],"&lt;&gt;saída",estoque[produto],preçodiario[[#Headers],[OVO VERMELHO C]],estoque[data],preçodiario[[#This Row],[data]])</f>
        <v>0</v>
      </c>
      <c r="AS258" s="20">
        <f>IFERROR(preçodiario[[#This Row],[OVO VERMELHO C]]*preçodiario[[#This Row],[estoque CV]],0)</f>
        <v>0</v>
      </c>
      <c r="AT2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Row],[data]])),((AT257*AU257)+SUMIFS(estoque[valor total],estoque[produto],preçodiario[[#Headers],[OVO VERMELHO EXTRA]],estoque[data],preçodiario[[#This Row],[data]],estoque[fornecedor],"&lt;&gt;saída"))/(AU257+(SUMIFS(estoque[quantidade],estoque[produto],preçodiario[[#Headers],[OVO VERMELHO EXTRA]],estoque[fornecedor],"&lt;&gt;saída",estoque[data],preçodiario[[#This Row],[data]])))))</f>
        <v/>
      </c>
      <c r="AU258" s="22">
        <f>IF(preçodiario[[#This Row],[entrada EV]]=0,AU257-(SUMIFS(estoque[quantidade],estoque[fornecedor],"saída",estoque[produto],preçodiario[[#Headers],[OVO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Row],[data]]))+AU257+preçodiario[[#This Row],[entrada EV]])</f>
        <v>0</v>
      </c>
      <c r="AV258" s="22">
        <f>SUMIFS(estoque[quantidade],estoque[fornecedor],"&lt;&gt;saída",estoque[produto],preçodiario[[#Headers],[OVO VERMELHO EXTRA]],estoque[data],preçodiario[[#This Row],[data]])</f>
        <v>0</v>
      </c>
      <c r="AW258" s="20">
        <f>SUMIFS(estoque[valor total],estoque[fornecedor],"&lt;&gt;saída",estoque[produto],preçodiario[[#Headers],[OVO VERMELHO EXTRA]],estoque[data],preçodiario[[#This Row],[data]])</f>
        <v>0</v>
      </c>
      <c r="AX258" s="20">
        <f>IFERROR(preçodiario[[#This Row],[OVO VERMELHO EXTRA]]*preçodiario[[#This Row],[estoque EV]],0)</f>
        <v>0</v>
      </c>
      <c r="AY2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Row],[data]])),((AY257*AZ257)+SUMIFS(estoque[valor total],estoque[produto],preçodiario[[#Headers],[OVO VERMELHO JUMBO]],estoque[data],preçodiario[[#This Row],[data]],estoque[fornecedor],"&lt;&gt;saída"))/(AZ257+(SUMIFS(estoque[quantidade],estoque[produto],preçodiario[[#Headers],[OVO VERMELHO JUMBO]],estoque[fornecedor],"&lt;&gt;saída",estoque[data],preçodiario[[#This Row],[data]])))))</f>
        <v/>
      </c>
      <c r="AZ258" s="22">
        <f>IF(preçodiario[[#This Row],[entrada JV]]=0,AZ257-(SUMIFS(estoque[quantidade],estoque[fornecedor],"saída",estoque[produto],preçodiario[[#Headers],[OVO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Row],[data]]))+AZ257+preçodiario[[#This Row],[entrada JV]])</f>
        <v>0</v>
      </c>
      <c r="BA258" s="22">
        <f>SUMIFS(estoque[quantidade],estoque[fornecedor],"&lt;&gt;saída",estoque[produto],preçodiario[[#Headers],[OVO VERMELHO JUMBO]],estoque[data],preçodiario[[#This Row],[data]])</f>
        <v>0</v>
      </c>
      <c r="BB258" s="20">
        <f>SUMIFS(estoque[valor total],estoque[fornecedor],"&lt;&gt;saída",estoque[produto],preçodiario[[#Headers],[OVO VERMELHO JUMBO]],estoque[data],preçodiario[[#This Row],[data]])</f>
        <v>0</v>
      </c>
      <c r="BC258" s="20">
        <f>IFERROR(preçodiario[[#This Row],[OVO VERMELHO JUMBO]]*preçodiario[[#This Row],[estoque JV]],0)</f>
        <v>0</v>
      </c>
      <c r="BD258" t="str">
        <f>TEXT(vendaAno[[#This Row],[data]],"mmm")</f>
        <v>set</v>
      </c>
      <c r="BE258" t="str">
        <f>TEXT(vendaAno[[#This Row],[data]],"ddd")</f>
        <v>seg</v>
      </c>
      <c r="BF258" s="82">
        <f>WEEKNUM(vendaAno[[#This Row],[data]],13)</f>
        <v>37</v>
      </c>
      <c r="BG258" s="27">
        <f>preçodiario[[#This Row],[data]]</f>
        <v>46279</v>
      </c>
      <c r="BH2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Row],[data]]))/12+BJ257,"")</f>
        <v/>
      </c>
      <c r="BK258" s="79" t="str">
        <f ca="1">IF(TODAY()&gt;=vendaAno[[#This Row],[data]],IF(SUMIFS(estoque[quantidade],estoque[fornecedor],"saída",estoque[data],vendaAno[[#This Row],[data]])/12=0,AVERAGE(BK255:BK257),SUMIFS(estoque[quantidade],estoque[fornecedor],"saída",estoque[data],vendaAno[[#This Row],[data]])/12),"")</f>
        <v/>
      </c>
      <c r="BL258" s="8" t="str">
        <f ca="1">IF(vendaAno[[#This Row],[data]]&lt;=TODAY(),IF(SUMIFS(estoque[lucro],estoque[fornecedor],"saída",estoque[data],vendaAno[[#This Row],[data]])=0,AVERAGE(BL255:BL257),SUMIFS(estoque[lucro],estoque[fornecedor],"saída",estoque[data],vendaAno[[#This Row],[data]])),"")</f>
        <v/>
      </c>
      <c r="BM258" s="10" t="str">
        <f ca="1">IFERROR(vendaAno[[#This Row],[lucro]]/vendaAno[[#This Row],[valor de venda]],"")</f>
        <v/>
      </c>
      <c r="BN25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8" s="8" t="str">
        <f ca="1">IF(TODAY()&gt;=vendaAno[[#This Row],[data]],IF(vendaAno[[#This Row],[N°]]=BF257,vendaAno[[#This Row],[lucro]]-173.33+BO257,vendaAno[[#This Row],[lucro]]-150),"")</f>
        <v/>
      </c>
      <c r="BP258" s="81" t="str">
        <f ca="1">IF(TODAY()&gt;=vendaAno[[#This Row],[data]],SUM(BK252:BK258)*12,"")</f>
        <v/>
      </c>
      <c r="BQ258" s="7" t="str">
        <f ca="1">IFERROR(vendaAno[[#This Row],[lucro]]/(vendaAno[[#This Row],[venda]]*12),"")</f>
        <v/>
      </c>
    </row>
    <row r="259" spans="1:69" x14ac:dyDescent="0.25">
      <c r="A2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59" s="18" t="str">
        <f>TEXT(preçodiario[[#This Row],[data]],"MMM")</f>
        <v>set</v>
      </c>
      <c r="C259" s="18" t="str">
        <f>TEXT(preçodiario[[#This Row],[data]],"ddd")</f>
        <v>ter</v>
      </c>
      <c r="D259" s="96">
        <f>WEEKNUM(preçodiario[[#This Row],[data]],13)</f>
        <v>37</v>
      </c>
      <c r="E259" s="37">
        <v>46280</v>
      </c>
      <c r="F2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Row],[data]])),((F258*G258)+SUMIFS(estoque[valor total],estoque[produto],preçodiario[[#Headers],[OVO BRANCO A]],estoque[data],preçodiario[[#This Row],[data]],estoque[fornecedor],"&lt;&gt;saída"))/(G258+(SUMIFS(estoque[quantidade],estoque[produto],preçodiario[[#Headers],[OVO BRANCO A]],estoque[fornecedor],"&lt;&gt;saída",estoque[data],preçodiario[[#This Row],[data]])))))</f>
        <v>15.278182701652089</v>
      </c>
      <c r="G259" s="22">
        <f>IF(preçodiario[[#This Row],[entrada A]]=0,G258-(SUMIFS(estoque[quantidade],estoque[fornecedor],"saída",estoque[produto],preçodiario[[#Headers],[OVO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Row],[data]]))+G258+preçodiario[[#This Row],[entrada A]])</f>
        <v>133</v>
      </c>
      <c r="H259" s="22">
        <f>SUMIFS(estoque[quantidade],estoque[fornecedor],"&lt;&gt;saída",estoque[produto],preçodiario[[#Headers],[OVO BRANCO A]],estoque[data],preçodiario[[#This Row],[data]])</f>
        <v>0</v>
      </c>
      <c r="I259" s="20">
        <f>SUMIFS(estoque[valor total],estoque[fornecedor],"&lt;&gt;saída",estoque[produto],preçodiario[[#Headers],[OVO BRANCO A]],estoque[data],preçodiario[[#This Row],[data]])</f>
        <v>0</v>
      </c>
      <c r="J259" s="20">
        <f>IFERROR(preçodiario[[#This Row],[estoque A]]*preçodiario[[#This Row],[OVO BRANCO A]],0)</f>
        <v>2031.9982993197277</v>
      </c>
      <c r="K2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Row],[data]])),((K258*L258)+SUMIFS(estoque[valor total],estoque[produto],preçodiario[[#Headers],[OVO BRANCO B]],estoque[data],preçodiario[[#This Row],[data]],estoque[fornecedor],"&lt;&gt;saída"))/(L258+(SUMIFS(estoque[quantidade],estoque[produto],preçodiario[[#Headers],[OVO BRANCO B]],estoque[fornecedor],"&lt;&gt;saída",estoque[data],preçodiario[[#This Row],[data]])))))</f>
        <v>14.584252837326604</v>
      </c>
      <c r="L259" s="22">
        <f>IF(preçodiario[[#This Row],[entrada B]]=0,L258-(SUMIFS(estoque[quantidade],estoque[fornecedor],"saída",estoque[produto],preçodiario[[#Headers],[OVO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Row],[data]]))+L258+preçodiario[[#This Row],[entrada B]])</f>
        <v>16</v>
      </c>
      <c r="M259" s="22">
        <f>SUMIFS(estoque[quantidade],estoque[fornecedor],"&lt;&gt;saída",estoque[produto],preçodiario[[#Headers],[OVO BRANCO B]],estoque[data],preçodiario[[#This Row],[data]])</f>
        <v>0</v>
      </c>
      <c r="N259" s="20">
        <f>SUMIFS(estoque[valor total],estoque[fornecedor],"&lt;&gt;saída",estoque[produto],preçodiario[[#Headers],[OVO BRANCO B]],estoque[data],preçodiario[[#This Row],[data]])</f>
        <v>0</v>
      </c>
      <c r="O259" s="20">
        <f>IFERROR(preçodiario[[#This Row],[OVO BRANCO B]]*preçodiario[[#This Row],[estoque B]],0)</f>
        <v>233.34804539722566</v>
      </c>
      <c r="P2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Row],[data]])),((P258*Q258)+SUMIFS(estoque[valor total],estoque[produto],preçodiario[[#Headers],[OVO BRANCO C]],estoque[data],preçodiario[[#This Row],[data]],estoque[fornecedor],"&lt;&gt;saída"))/(Q258+(SUMIFS(estoque[quantidade],estoque[produto],preçodiario[[#Headers],[OVO BRANCO C]],estoque[fornecedor],"&lt;&gt;saída",estoque[data],preçodiario[[#This Row],[data]])))))</f>
        <v>12.5</v>
      </c>
      <c r="Q259" s="22">
        <f>IF(preçodiario[[#This Row],[entrada C]]=0,Q258-(SUMIFS(estoque[quantidade],estoque[fornecedor],"saída",estoque[produto],preçodiario[[#Headers],[OVO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Row],[data]]))+Q258+preçodiario[[#This Row],[entrada C]])</f>
        <v>60</v>
      </c>
      <c r="R259" s="22">
        <f>SUMIFS(estoque[quantidade],estoque[fornecedor],"&lt;&gt;saída",estoque[produto],preçodiario[[#Headers],[OVO BRANCO C]],estoque[data],preçodiario[[#This Row],[data]])</f>
        <v>0</v>
      </c>
      <c r="S259" s="20">
        <f>SUMIFS(estoque[valor total],estoque[fornecedor],"&lt;&gt;saída",estoque[produto],preçodiario[[#Headers],[OVO BRANCO C]],estoque[data],preçodiario[[#This Row],[data]])</f>
        <v>0</v>
      </c>
      <c r="T259" s="20">
        <f>IFERROR(preçodiario[[#This Row],[OVO BRANCO C]]*preçodiario[[#This Row],[estoque C]],0)</f>
        <v>750</v>
      </c>
      <c r="U2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Row],[data]])),((U258*V258)+SUMIFS(estoque[valor total],estoque[produto],preçodiario[[#Headers],[OVO BRANCO EXTRA]],estoque[data],preçodiario[[#This Row],[data]],estoque[fornecedor],"&lt;&gt;saída"))/(V258+(SUMIFS(estoque[quantidade],estoque[produto],preçodiario[[#Headers],[OVO BRANCO EXTRA]],estoque[fornecedor],"&lt;&gt;saída",estoque[data],preçodiario[[#This Row],[data]])))))</f>
        <v>15.725438400674655</v>
      </c>
      <c r="V259" s="22">
        <f>IF(preçodiario[[#This Row],[entrada E]]=0,V258-(SUMIFS(estoque[quantidade],estoque[fornecedor],"saída",estoque[produto],preçodiario[[#Headers],[OVO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Row],[data]]))+V258+preçodiario[[#This Row],[entrada E]])</f>
        <v>46</v>
      </c>
      <c r="W259" s="22">
        <f>SUMIFS(estoque[quantidade],estoque[fornecedor],"&lt;&gt;saída",estoque[produto],preçodiario[[#Headers],[OVO BRANCO EXTRA]],estoque[data],preçodiario[[#This Row],[data]])</f>
        <v>0</v>
      </c>
      <c r="X259" s="20">
        <f>SUMIFS(estoque[valor total],estoque[fornecedor],"&lt;&gt;saída",estoque[produto],preçodiario[[#Headers],[OVO BRANCO EXTRA]],estoque[data],preçodiario[[#This Row],[data]])</f>
        <v>0</v>
      </c>
      <c r="Y259" s="20">
        <f>IFERROR(preçodiario[[#This Row],[estoque E]]*preçodiario[[#This Row],[OVO BRANCO EXTRA]],0)</f>
        <v>723.37016643103414</v>
      </c>
      <c r="Z2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Row],[data]])),((Z258*AA258)+SUMIFS(estoque[valor total],estoque[produto],preçodiario[[#Headers],[OVO BRANCO JUMBO]],estoque[data],preçodiario[[#This Row],[data]],estoque[fornecedor],"&lt;&gt;saída"))/(AA258+(SUMIFS(estoque[quantidade],estoque[produto],preçodiario[[#Headers],[OVO BRANCO JUMBO]],estoque[fornecedor],"&lt;&gt;saída",estoque[data],preçodiario[[#This Row],[data]])))))</f>
        <v>16.50550595238095</v>
      </c>
      <c r="AA259" s="22">
        <f>IF(preçodiario[[#This Row],[entrada J]]=0,AA258-(SUMIFS(estoque[quantidade],estoque[fornecedor],"saída",estoque[produto],preçodiario[[#Headers],[OVO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Row],[data]]))+AA258+preçodiario[[#This Row],[entrada J]])</f>
        <v>75</v>
      </c>
      <c r="AB259" s="22">
        <f>SUMIFS(estoque[quantidade],estoque[fornecedor],"&lt;&gt;saída",estoque[produto],preçodiario[[#Headers],[OVO BRANCO JUMBO]],estoque[data],preçodiario[[#This Row],[data]])</f>
        <v>0</v>
      </c>
      <c r="AC259" s="20">
        <f>SUMIFS(estoque[valor total],estoque[fornecedor],"&lt;&gt;saída",estoque[produto],preçodiario[[#Headers],[OVO BRANCO JUMBO]],estoque[data],preçodiario[[#This Row],[data]])</f>
        <v>0</v>
      </c>
      <c r="AD259" s="20">
        <f>IFERROR(preçodiario[[#This Row],[OVO BRANCO JUMBO]]*preçodiario[[#This Row],[estoque J]],0)</f>
        <v>1237.9129464285713</v>
      </c>
      <c r="AE2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Row],[data]])),((AE258*AF258)+SUMIFS(estoque[valor total],estoque[produto],preçodiario[[#Headers],[OVO VERMELHO A]],estoque[data],preçodiario[[#This Row],[data]],estoque[fornecedor],"&lt;&gt;saída"))/(AF258+(SUMIFS(estoque[quantidade],estoque[produto],preçodiario[[#Headers],[OVO VERMELHO A]],estoque[fornecedor],"&lt;&gt;saída",estoque[data],preçodiario[[#This Row],[data]])))))</f>
        <v/>
      </c>
      <c r="AF259" s="22">
        <f>IF(preçodiario[[#This Row],[entrada AV]]=0,AF258-(SUMIFS(estoque[quantidade],estoque[fornecedor],"saída",estoque[produto],preçodiario[[#Headers],[OVO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Row],[data]]))+AF258+preçodiario[[#This Row],[entrada AV]])</f>
        <v>0</v>
      </c>
      <c r="AG259" s="22">
        <f>SUMIFS(estoque[quantidade],estoque[fornecedor],"&lt;&gt;saída",estoque[produto],preçodiario[[#Headers],[OVO VERMELHO A]],estoque[data],preçodiario[[#This Row],[data]])</f>
        <v>0</v>
      </c>
      <c r="AH259" s="20">
        <f>SUMIFS(estoque[valor total],estoque[fornecedor],"&lt;&gt;saída",estoque[produto],preçodiario[[#Headers],[OVO VERMELHO A]],estoque[data],preçodiario[[#This Row],[data]])</f>
        <v>0</v>
      </c>
      <c r="AI259" s="20">
        <f>IFERROR(preçodiario[[#This Row],[OVO VERMELHO A]]*preçodiario[[#This Row],[estoque AV]],0)</f>
        <v>0</v>
      </c>
      <c r="AJ2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Row],[data]])),((AJ258*AK258)+SUMIFS(estoque[valor total],estoque[produto],preçodiario[[#Headers],[OVO VERMELHO B]],estoque[data],preçodiario[[#This Row],[data]],estoque[fornecedor],"&lt;&gt;saída"))/(AK258+(SUMIFS(estoque[quantidade],estoque[produto],preçodiario[[#Headers],[OVO VERMELHO B]],estoque[fornecedor],"&lt;&gt;saída",estoque[data],preçodiario[[#This Row],[data]])))))</f>
        <v/>
      </c>
      <c r="AK259" s="22">
        <f>IF(preçodiario[[#This Row],[entrada BV]]=0,AK258-(SUMIFS(estoque[quantidade],estoque[fornecedor],"saída",estoque[produto],preçodiario[[#Headers],[OVO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Row],[data]]))+AK258+preçodiario[[#This Row],[entrada BV]])</f>
        <v>0</v>
      </c>
      <c r="AL259" s="22">
        <f>SUMIFS(estoque[quantidade],estoque[fornecedor],"&lt;&gt;saída",estoque[produto],preçodiario[[#Headers],[OVO VERMELHO B]],estoque[data],preçodiario[[#This Row],[data]])</f>
        <v>0</v>
      </c>
      <c r="AM259" s="20">
        <f>SUMIFS(estoque[valor total],estoque[fornecedor],"&lt;&gt;saída",estoque[produto],preçodiario[[#Headers],[OVO VERMELHO B]],estoque[data],preçodiario[[#This Row],[data]])</f>
        <v>0</v>
      </c>
      <c r="AN259" s="20">
        <f>IFERROR(preçodiario[[#This Row],[OVO VERMELHO B]]*preçodiario[[#This Row],[estoque BV]],0)</f>
        <v>0</v>
      </c>
      <c r="AO2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Row],[data]])),((AO258*AP258)+SUMIFS(estoque[valor total],estoque[produto],preçodiario[[#Headers],[OVO VERMELHO C]],estoque[data],preçodiario[[#This Row],[data]],estoque[fornecedor],"&lt;&gt;saída"))/(AP258+(SUMIFS(estoque[quantidade],estoque[produto],preçodiario[[#Headers],[OVO VERMELHO C]],estoque[fornecedor],"&lt;&gt;saída",estoque[data],preçodiario[[#This Row],[data]])))))</f>
        <v/>
      </c>
      <c r="AP259" s="22">
        <f>IF(preçodiario[[#This Row],[entrada CV]]=0,AP258-(SUMIFS(estoque[quantidade],estoque[fornecedor],"saída",estoque[produto],preçodiario[[#Headers],[OVO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Row],[data]]))+AP258+preçodiario[[#This Row],[entrada CV]])</f>
        <v>0</v>
      </c>
      <c r="AQ259" s="22">
        <f>SUMIFS(estoque[quantidade],estoque[fornecedor],"&lt;&gt;saída",estoque[produto],preçodiario[[#Headers],[OVO VERMELHO C]],estoque[data],preçodiario[[#This Row],[data]])</f>
        <v>0</v>
      </c>
      <c r="AR259" s="20">
        <f>SUMIFS(estoque[valor total],estoque[fornecedor],"&lt;&gt;saída",estoque[produto],preçodiario[[#Headers],[OVO VERMELHO C]],estoque[data],preçodiario[[#This Row],[data]])</f>
        <v>0</v>
      </c>
      <c r="AS259" s="20">
        <f>IFERROR(preçodiario[[#This Row],[OVO VERMELHO C]]*preçodiario[[#This Row],[estoque CV]],0)</f>
        <v>0</v>
      </c>
      <c r="AT2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Row],[data]])),((AT258*AU258)+SUMIFS(estoque[valor total],estoque[produto],preçodiario[[#Headers],[OVO VERMELHO EXTRA]],estoque[data],preçodiario[[#This Row],[data]],estoque[fornecedor],"&lt;&gt;saída"))/(AU258+(SUMIFS(estoque[quantidade],estoque[produto],preçodiario[[#Headers],[OVO VERMELHO EXTRA]],estoque[fornecedor],"&lt;&gt;saída",estoque[data],preçodiario[[#This Row],[data]])))))</f>
        <v/>
      </c>
      <c r="AU259" s="22">
        <f>IF(preçodiario[[#This Row],[entrada EV]]=0,AU258-(SUMIFS(estoque[quantidade],estoque[fornecedor],"saída",estoque[produto],preçodiario[[#Headers],[OVO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Row],[data]]))+AU258+preçodiario[[#This Row],[entrada EV]])</f>
        <v>0</v>
      </c>
      <c r="AV259" s="22">
        <f>SUMIFS(estoque[quantidade],estoque[fornecedor],"&lt;&gt;saída",estoque[produto],preçodiario[[#Headers],[OVO VERMELHO EXTRA]],estoque[data],preçodiario[[#This Row],[data]])</f>
        <v>0</v>
      </c>
      <c r="AW259" s="20">
        <f>SUMIFS(estoque[valor total],estoque[fornecedor],"&lt;&gt;saída",estoque[produto],preçodiario[[#Headers],[OVO VERMELHO EXTRA]],estoque[data],preçodiario[[#This Row],[data]])</f>
        <v>0</v>
      </c>
      <c r="AX259" s="20">
        <f>IFERROR(preçodiario[[#This Row],[OVO VERMELHO EXTRA]]*preçodiario[[#This Row],[estoque EV]],0)</f>
        <v>0</v>
      </c>
      <c r="AY2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Row],[data]])),((AY258*AZ258)+SUMIFS(estoque[valor total],estoque[produto],preçodiario[[#Headers],[OVO VERMELHO JUMBO]],estoque[data],preçodiario[[#This Row],[data]],estoque[fornecedor],"&lt;&gt;saída"))/(AZ258+(SUMIFS(estoque[quantidade],estoque[produto],preçodiario[[#Headers],[OVO VERMELHO JUMBO]],estoque[fornecedor],"&lt;&gt;saída",estoque[data],preçodiario[[#This Row],[data]])))))</f>
        <v/>
      </c>
      <c r="AZ259" s="22">
        <f>IF(preçodiario[[#This Row],[entrada JV]]=0,AZ258-(SUMIFS(estoque[quantidade],estoque[fornecedor],"saída",estoque[produto],preçodiario[[#Headers],[OVO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Row],[data]]))+AZ258+preçodiario[[#This Row],[entrada JV]])</f>
        <v>0</v>
      </c>
      <c r="BA259" s="22">
        <f>SUMIFS(estoque[quantidade],estoque[fornecedor],"&lt;&gt;saída",estoque[produto],preçodiario[[#Headers],[OVO VERMELHO JUMBO]],estoque[data],preçodiario[[#This Row],[data]])</f>
        <v>0</v>
      </c>
      <c r="BB259" s="20">
        <f>SUMIFS(estoque[valor total],estoque[fornecedor],"&lt;&gt;saída",estoque[produto],preçodiario[[#Headers],[OVO VERMELHO JUMBO]],estoque[data],preçodiario[[#This Row],[data]])</f>
        <v>0</v>
      </c>
      <c r="BC259" s="20">
        <f>IFERROR(preçodiario[[#This Row],[OVO VERMELHO JUMBO]]*preçodiario[[#This Row],[estoque JV]],0)</f>
        <v>0</v>
      </c>
      <c r="BD259" t="str">
        <f>TEXT(vendaAno[[#This Row],[data]],"mmm")</f>
        <v>set</v>
      </c>
      <c r="BE259" t="str">
        <f>TEXT(vendaAno[[#This Row],[data]],"ddd")</f>
        <v>ter</v>
      </c>
      <c r="BF259" s="82">
        <f>WEEKNUM(vendaAno[[#This Row],[data]],13)</f>
        <v>37</v>
      </c>
      <c r="BG259" s="27">
        <f>preçodiario[[#This Row],[data]]</f>
        <v>46280</v>
      </c>
      <c r="BH2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5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5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Row],[data]]))/12+BJ258,"")</f>
        <v/>
      </c>
      <c r="BK259" s="79" t="str">
        <f ca="1">IF(TODAY()&gt;=vendaAno[[#This Row],[data]],IF(SUMIFS(estoque[quantidade],estoque[fornecedor],"saída",estoque[data],vendaAno[[#This Row],[data]])/12=0,AVERAGE(BK256:BK258),SUMIFS(estoque[quantidade],estoque[fornecedor],"saída",estoque[data],vendaAno[[#This Row],[data]])/12),"")</f>
        <v/>
      </c>
      <c r="BL259" s="8" t="str">
        <f ca="1">IF(vendaAno[[#This Row],[data]]&lt;=TODAY(),IF(SUMIFS(estoque[lucro],estoque[fornecedor],"saída",estoque[data],vendaAno[[#This Row],[data]])=0,AVERAGE(BL256:BL258),SUMIFS(estoque[lucro],estoque[fornecedor],"saída",estoque[data],vendaAno[[#This Row],[data]])),"")</f>
        <v/>
      </c>
      <c r="BM259" s="10" t="str">
        <f ca="1">IFERROR(vendaAno[[#This Row],[lucro]]/vendaAno[[#This Row],[valor de venda]],"")</f>
        <v/>
      </c>
      <c r="BN25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59" s="8" t="str">
        <f ca="1">IF(TODAY()&gt;=vendaAno[[#This Row],[data]],IF(vendaAno[[#This Row],[N°]]=BF258,vendaAno[[#This Row],[lucro]]-173.33+BO258,vendaAno[[#This Row],[lucro]]-150),"")</f>
        <v/>
      </c>
      <c r="BP259" s="81" t="str">
        <f ca="1">IF(TODAY()&gt;=vendaAno[[#This Row],[data]],SUM(BK253:BK259)*12,"")</f>
        <v/>
      </c>
      <c r="BQ259" s="7" t="str">
        <f ca="1">IFERROR(vendaAno[[#This Row],[lucro]]/(vendaAno[[#This Row],[venda]]*12),"")</f>
        <v/>
      </c>
    </row>
    <row r="260" spans="1:69" x14ac:dyDescent="0.25">
      <c r="A2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0" s="18" t="str">
        <f>TEXT(preçodiario[[#This Row],[data]],"MMM")</f>
        <v>set</v>
      </c>
      <c r="C260" s="18" t="str">
        <f>TEXT(preçodiario[[#This Row],[data]],"ddd")</f>
        <v>qua</v>
      </c>
      <c r="D260" s="96">
        <f>WEEKNUM(preçodiario[[#This Row],[data]],13)</f>
        <v>38</v>
      </c>
      <c r="E260" s="37">
        <v>46281</v>
      </c>
      <c r="F2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Row],[data]])),((F259*G259)+SUMIFS(estoque[valor total],estoque[produto],preçodiario[[#Headers],[OVO BRANCO A]],estoque[data],preçodiario[[#This Row],[data]],estoque[fornecedor],"&lt;&gt;saída"))/(G259+(SUMIFS(estoque[quantidade],estoque[produto],preçodiario[[#Headers],[OVO BRANCO A]],estoque[fornecedor],"&lt;&gt;saída",estoque[data],preçodiario[[#This Row],[data]])))))</f>
        <v>15.278182701652089</v>
      </c>
      <c r="G260" s="22">
        <f>IF(preçodiario[[#This Row],[entrada A]]=0,G259-(SUMIFS(estoque[quantidade],estoque[fornecedor],"saída",estoque[produto],preçodiario[[#Headers],[OVO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Row],[data]]))+G259+preçodiario[[#This Row],[entrada A]])</f>
        <v>133</v>
      </c>
      <c r="H260" s="22">
        <f>SUMIFS(estoque[quantidade],estoque[fornecedor],"&lt;&gt;saída",estoque[produto],preçodiario[[#Headers],[OVO BRANCO A]],estoque[data],preçodiario[[#This Row],[data]])</f>
        <v>0</v>
      </c>
      <c r="I260" s="20">
        <f>SUMIFS(estoque[valor total],estoque[fornecedor],"&lt;&gt;saída",estoque[produto],preçodiario[[#Headers],[OVO BRANCO A]],estoque[data],preçodiario[[#This Row],[data]])</f>
        <v>0</v>
      </c>
      <c r="J260" s="20">
        <f>IFERROR(preçodiario[[#This Row],[estoque A]]*preçodiario[[#This Row],[OVO BRANCO A]],0)</f>
        <v>2031.9982993197277</v>
      </c>
      <c r="K2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Row],[data]])),((K259*L259)+SUMIFS(estoque[valor total],estoque[produto],preçodiario[[#Headers],[OVO BRANCO B]],estoque[data],preçodiario[[#This Row],[data]],estoque[fornecedor],"&lt;&gt;saída"))/(L259+(SUMIFS(estoque[quantidade],estoque[produto],preçodiario[[#Headers],[OVO BRANCO B]],estoque[fornecedor],"&lt;&gt;saída",estoque[data],preçodiario[[#This Row],[data]])))))</f>
        <v>14.584252837326604</v>
      </c>
      <c r="L260" s="22">
        <f>IF(preçodiario[[#This Row],[entrada B]]=0,L259-(SUMIFS(estoque[quantidade],estoque[fornecedor],"saída",estoque[produto],preçodiario[[#Headers],[OVO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Row],[data]]))+L259+preçodiario[[#This Row],[entrada B]])</f>
        <v>16</v>
      </c>
      <c r="M260" s="22">
        <f>SUMIFS(estoque[quantidade],estoque[fornecedor],"&lt;&gt;saída",estoque[produto],preçodiario[[#Headers],[OVO BRANCO B]],estoque[data],preçodiario[[#This Row],[data]])</f>
        <v>0</v>
      </c>
      <c r="N260" s="20">
        <f>SUMIFS(estoque[valor total],estoque[fornecedor],"&lt;&gt;saída",estoque[produto],preçodiario[[#Headers],[OVO BRANCO B]],estoque[data],preçodiario[[#This Row],[data]])</f>
        <v>0</v>
      </c>
      <c r="O260" s="20">
        <f>IFERROR(preçodiario[[#This Row],[OVO BRANCO B]]*preçodiario[[#This Row],[estoque B]],0)</f>
        <v>233.34804539722566</v>
      </c>
      <c r="P2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Row],[data]])),((P259*Q259)+SUMIFS(estoque[valor total],estoque[produto],preçodiario[[#Headers],[OVO BRANCO C]],estoque[data],preçodiario[[#This Row],[data]],estoque[fornecedor],"&lt;&gt;saída"))/(Q259+(SUMIFS(estoque[quantidade],estoque[produto],preçodiario[[#Headers],[OVO BRANCO C]],estoque[fornecedor],"&lt;&gt;saída",estoque[data],preçodiario[[#This Row],[data]])))))</f>
        <v>12.5</v>
      </c>
      <c r="Q260" s="22">
        <f>IF(preçodiario[[#This Row],[entrada C]]=0,Q259-(SUMIFS(estoque[quantidade],estoque[fornecedor],"saída",estoque[produto],preçodiario[[#Headers],[OVO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Row],[data]]))+Q259+preçodiario[[#This Row],[entrada C]])</f>
        <v>60</v>
      </c>
      <c r="R260" s="22">
        <f>SUMIFS(estoque[quantidade],estoque[fornecedor],"&lt;&gt;saída",estoque[produto],preçodiario[[#Headers],[OVO BRANCO C]],estoque[data],preçodiario[[#This Row],[data]])</f>
        <v>0</v>
      </c>
      <c r="S260" s="20">
        <f>SUMIFS(estoque[valor total],estoque[fornecedor],"&lt;&gt;saída",estoque[produto],preçodiario[[#Headers],[OVO BRANCO C]],estoque[data],preçodiario[[#This Row],[data]])</f>
        <v>0</v>
      </c>
      <c r="T260" s="20">
        <f>IFERROR(preçodiario[[#This Row],[OVO BRANCO C]]*preçodiario[[#This Row],[estoque C]],0)</f>
        <v>750</v>
      </c>
      <c r="U2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Row],[data]])),((U259*V259)+SUMIFS(estoque[valor total],estoque[produto],preçodiario[[#Headers],[OVO BRANCO EXTRA]],estoque[data],preçodiario[[#This Row],[data]],estoque[fornecedor],"&lt;&gt;saída"))/(V259+(SUMIFS(estoque[quantidade],estoque[produto],preçodiario[[#Headers],[OVO BRANCO EXTRA]],estoque[fornecedor],"&lt;&gt;saída",estoque[data],preçodiario[[#This Row],[data]])))))</f>
        <v>15.725438400674655</v>
      </c>
      <c r="V260" s="22">
        <f>IF(preçodiario[[#This Row],[entrada E]]=0,V259-(SUMIFS(estoque[quantidade],estoque[fornecedor],"saída",estoque[produto],preçodiario[[#Headers],[OVO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Row],[data]]))+V259+preçodiario[[#This Row],[entrada E]])</f>
        <v>46</v>
      </c>
      <c r="W260" s="22">
        <f>SUMIFS(estoque[quantidade],estoque[fornecedor],"&lt;&gt;saída",estoque[produto],preçodiario[[#Headers],[OVO BRANCO EXTRA]],estoque[data],preçodiario[[#This Row],[data]])</f>
        <v>0</v>
      </c>
      <c r="X260" s="20">
        <f>SUMIFS(estoque[valor total],estoque[fornecedor],"&lt;&gt;saída",estoque[produto],preçodiario[[#Headers],[OVO BRANCO EXTRA]],estoque[data],preçodiario[[#This Row],[data]])</f>
        <v>0</v>
      </c>
      <c r="Y260" s="20">
        <f>IFERROR(preçodiario[[#This Row],[estoque E]]*preçodiario[[#This Row],[OVO BRANCO EXTRA]],0)</f>
        <v>723.37016643103414</v>
      </c>
      <c r="Z2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Row],[data]])),((Z259*AA259)+SUMIFS(estoque[valor total],estoque[produto],preçodiario[[#Headers],[OVO BRANCO JUMBO]],estoque[data],preçodiario[[#This Row],[data]],estoque[fornecedor],"&lt;&gt;saída"))/(AA259+(SUMIFS(estoque[quantidade],estoque[produto],preçodiario[[#Headers],[OVO BRANCO JUMBO]],estoque[fornecedor],"&lt;&gt;saída",estoque[data],preçodiario[[#This Row],[data]])))))</f>
        <v>16.50550595238095</v>
      </c>
      <c r="AA260" s="22">
        <f>IF(preçodiario[[#This Row],[entrada J]]=0,AA259-(SUMIFS(estoque[quantidade],estoque[fornecedor],"saída",estoque[produto],preçodiario[[#Headers],[OVO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Row],[data]]))+AA259+preçodiario[[#This Row],[entrada J]])</f>
        <v>75</v>
      </c>
      <c r="AB260" s="22">
        <f>SUMIFS(estoque[quantidade],estoque[fornecedor],"&lt;&gt;saída",estoque[produto],preçodiario[[#Headers],[OVO BRANCO JUMBO]],estoque[data],preçodiario[[#This Row],[data]])</f>
        <v>0</v>
      </c>
      <c r="AC260" s="20">
        <f>SUMIFS(estoque[valor total],estoque[fornecedor],"&lt;&gt;saída",estoque[produto],preçodiario[[#Headers],[OVO BRANCO JUMBO]],estoque[data],preçodiario[[#This Row],[data]])</f>
        <v>0</v>
      </c>
      <c r="AD260" s="20">
        <f>IFERROR(preçodiario[[#This Row],[OVO BRANCO JUMBO]]*preçodiario[[#This Row],[estoque J]],0)</f>
        <v>1237.9129464285713</v>
      </c>
      <c r="AE2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Row],[data]])),((AE259*AF259)+SUMIFS(estoque[valor total],estoque[produto],preçodiario[[#Headers],[OVO VERMELHO A]],estoque[data],preçodiario[[#This Row],[data]],estoque[fornecedor],"&lt;&gt;saída"))/(AF259+(SUMIFS(estoque[quantidade],estoque[produto],preçodiario[[#Headers],[OVO VERMELHO A]],estoque[fornecedor],"&lt;&gt;saída",estoque[data],preçodiario[[#This Row],[data]])))))</f>
        <v/>
      </c>
      <c r="AF260" s="22">
        <f>IF(preçodiario[[#This Row],[entrada AV]]=0,AF259-(SUMIFS(estoque[quantidade],estoque[fornecedor],"saída",estoque[produto],preçodiario[[#Headers],[OVO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Row],[data]]))+AF259+preçodiario[[#This Row],[entrada AV]])</f>
        <v>0</v>
      </c>
      <c r="AG260" s="22">
        <f>SUMIFS(estoque[quantidade],estoque[fornecedor],"&lt;&gt;saída",estoque[produto],preçodiario[[#Headers],[OVO VERMELHO A]],estoque[data],preçodiario[[#This Row],[data]])</f>
        <v>0</v>
      </c>
      <c r="AH260" s="20">
        <f>SUMIFS(estoque[valor total],estoque[fornecedor],"&lt;&gt;saída",estoque[produto],preçodiario[[#Headers],[OVO VERMELHO A]],estoque[data],preçodiario[[#This Row],[data]])</f>
        <v>0</v>
      </c>
      <c r="AI260" s="20">
        <f>IFERROR(preçodiario[[#This Row],[OVO VERMELHO A]]*preçodiario[[#This Row],[estoque AV]],0)</f>
        <v>0</v>
      </c>
      <c r="AJ2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Row],[data]])),((AJ259*AK259)+SUMIFS(estoque[valor total],estoque[produto],preçodiario[[#Headers],[OVO VERMELHO B]],estoque[data],preçodiario[[#This Row],[data]],estoque[fornecedor],"&lt;&gt;saída"))/(AK259+(SUMIFS(estoque[quantidade],estoque[produto],preçodiario[[#Headers],[OVO VERMELHO B]],estoque[fornecedor],"&lt;&gt;saída",estoque[data],preçodiario[[#This Row],[data]])))))</f>
        <v/>
      </c>
      <c r="AK260" s="22">
        <f>IF(preçodiario[[#This Row],[entrada BV]]=0,AK259-(SUMIFS(estoque[quantidade],estoque[fornecedor],"saída",estoque[produto],preçodiario[[#Headers],[OVO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Row],[data]]))+AK259+preçodiario[[#This Row],[entrada BV]])</f>
        <v>0</v>
      </c>
      <c r="AL260" s="22">
        <f>SUMIFS(estoque[quantidade],estoque[fornecedor],"&lt;&gt;saída",estoque[produto],preçodiario[[#Headers],[OVO VERMELHO B]],estoque[data],preçodiario[[#This Row],[data]])</f>
        <v>0</v>
      </c>
      <c r="AM260" s="20">
        <f>SUMIFS(estoque[valor total],estoque[fornecedor],"&lt;&gt;saída",estoque[produto],preçodiario[[#Headers],[OVO VERMELHO B]],estoque[data],preçodiario[[#This Row],[data]])</f>
        <v>0</v>
      </c>
      <c r="AN260" s="20">
        <f>IFERROR(preçodiario[[#This Row],[OVO VERMELHO B]]*preçodiario[[#This Row],[estoque BV]],0)</f>
        <v>0</v>
      </c>
      <c r="AO2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Row],[data]])),((AO259*AP259)+SUMIFS(estoque[valor total],estoque[produto],preçodiario[[#Headers],[OVO VERMELHO C]],estoque[data],preçodiario[[#This Row],[data]],estoque[fornecedor],"&lt;&gt;saída"))/(AP259+(SUMIFS(estoque[quantidade],estoque[produto],preçodiario[[#Headers],[OVO VERMELHO C]],estoque[fornecedor],"&lt;&gt;saída",estoque[data],preçodiario[[#This Row],[data]])))))</f>
        <v/>
      </c>
      <c r="AP260" s="22">
        <f>IF(preçodiario[[#This Row],[entrada CV]]=0,AP259-(SUMIFS(estoque[quantidade],estoque[fornecedor],"saída",estoque[produto],preçodiario[[#Headers],[OVO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Row],[data]]))+AP259+preçodiario[[#This Row],[entrada CV]])</f>
        <v>0</v>
      </c>
      <c r="AQ260" s="22">
        <f>SUMIFS(estoque[quantidade],estoque[fornecedor],"&lt;&gt;saída",estoque[produto],preçodiario[[#Headers],[OVO VERMELHO C]],estoque[data],preçodiario[[#This Row],[data]])</f>
        <v>0</v>
      </c>
      <c r="AR260" s="20">
        <f>SUMIFS(estoque[valor total],estoque[fornecedor],"&lt;&gt;saída",estoque[produto],preçodiario[[#Headers],[OVO VERMELHO C]],estoque[data],preçodiario[[#This Row],[data]])</f>
        <v>0</v>
      </c>
      <c r="AS260" s="20">
        <f>IFERROR(preçodiario[[#This Row],[OVO VERMELHO C]]*preçodiario[[#This Row],[estoque CV]],0)</f>
        <v>0</v>
      </c>
      <c r="AT2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Row],[data]])),((AT259*AU259)+SUMIFS(estoque[valor total],estoque[produto],preçodiario[[#Headers],[OVO VERMELHO EXTRA]],estoque[data],preçodiario[[#This Row],[data]],estoque[fornecedor],"&lt;&gt;saída"))/(AU259+(SUMIFS(estoque[quantidade],estoque[produto],preçodiario[[#Headers],[OVO VERMELHO EXTRA]],estoque[fornecedor],"&lt;&gt;saída",estoque[data],preçodiario[[#This Row],[data]])))))</f>
        <v/>
      </c>
      <c r="AU260" s="22">
        <f>IF(preçodiario[[#This Row],[entrada EV]]=0,AU259-(SUMIFS(estoque[quantidade],estoque[fornecedor],"saída",estoque[produto],preçodiario[[#Headers],[OVO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Row],[data]]))+AU259+preçodiario[[#This Row],[entrada EV]])</f>
        <v>0</v>
      </c>
      <c r="AV260" s="22">
        <f>SUMIFS(estoque[quantidade],estoque[fornecedor],"&lt;&gt;saída",estoque[produto],preçodiario[[#Headers],[OVO VERMELHO EXTRA]],estoque[data],preçodiario[[#This Row],[data]])</f>
        <v>0</v>
      </c>
      <c r="AW260" s="20">
        <f>SUMIFS(estoque[valor total],estoque[fornecedor],"&lt;&gt;saída",estoque[produto],preçodiario[[#Headers],[OVO VERMELHO EXTRA]],estoque[data],preçodiario[[#This Row],[data]])</f>
        <v>0</v>
      </c>
      <c r="AX260" s="20">
        <f>IFERROR(preçodiario[[#This Row],[OVO VERMELHO EXTRA]]*preçodiario[[#This Row],[estoque EV]],0)</f>
        <v>0</v>
      </c>
      <c r="AY2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Row],[data]])),((AY259*AZ259)+SUMIFS(estoque[valor total],estoque[produto],preçodiario[[#Headers],[OVO VERMELHO JUMBO]],estoque[data],preçodiario[[#This Row],[data]],estoque[fornecedor],"&lt;&gt;saída"))/(AZ259+(SUMIFS(estoque[quantidade],estoque[produto],preçodiario[[#Headers],[OVO VERMELHO JUMBO]],estoque[fornecedor],"&lt;&gt;saída",estoque[data],preçodiario[[#This Row],[data]])))))</f>
        <v/>
      </c>
      <c r="AZ260" s="22">
        <f>IF(preçodiario[[#This Row],[entrada JV]]=0,AZ259-(SUMIFS(estoque[quantidade],estoque[fornecedor],"saída",estoque[produto],preçodiario[[#Headers],[OVO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Row],[data]]))+AZ259+preçodiario[[#This Row],[entrada JV]])</f>
        <v>0</v>
      </c>
      <c r="BA260" s="22">
        <f>SUMIFS(estoque[quantidade],estoque[fornecedor],"&lt;&gt;saída",estoque[produto],preçodiario[[#Headers],[OVO VERMELHO JUMBO]],estoque[data],preçodiario[[#This Row],[data]])</f>
        <v>0</v>
      </c>
      <c r="BB260" s="20">
        <f>SUMIFS(estoque[valor total],estoque[fornecedor],"&lt;&gt;saída",estoque[produto],preçodiario[[#Headers],[OVO VERMELHO JUMBO]],estoque[data],preçodiario[[#This Row],[data]])</f>
        <v>0</v>
      </c>
      <c r="BC260" s="20">
        <f>IFERROR(preçodiario[[#This Row],[OVO VERMELHO JUMBO]]*preçodiario[[#This Row],[estoque JV]],0)</f>
        <v>0</v>
      </c>
      <c r="BD260" t="str">
        <f>TEXT(vendaAno[[#This Row],[data]],"mmm")</f>
        <v>set</v>
      </c>
      <c r="BE260" t="str">
        <f>TEXT(vendaAno[[#This Row],[data]],"ddd")</f>
        <v>qua</v>
      </c>
      <c r="BF260" s="82">
        <f>WEEKNUM(vendaAno[[#This Row],[data]],13)</f>
        <v>38</v>
      </c>
      <c r="BG260" s="27">
        <f>preçodiario[[#This Row],[data]]</f>
        <v>46281</v>
      </c>
      <c r="BH2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Row],[data]]))/12+BJ259,"")</f>
        <v/>
      </c>
      <c r="BK260" s="79" t="str">
        <f ca="1">IF(TODAY()&gt;=vendaAno[[#This Row],[data]],IF(SUMIFS(estoque[quantidade],estoque[fornecedor],"saída",estoque[data],vendaAno[[#This Row],[data]])/12=0,AVERAGE(BK257:BK259),SUMIFS(estoque[quantidade],estoque[fornecedor],"saída",estoque[data],vendaAno[[#This Row],[data]])/12),"")</f>
        <v/>
      </c>
      <c r="BL260" s="8" t="str">
        <f ca="1">IF(vendaAno[[#This Row],[data]]&lt;=TODAY(),IF(SUMIFS(estoque[lucro],estoque[fornecedor],"saída",estoque[data],vendaAno[[#This Row],[data]])=0,AVERAGE(BL257:BL259),SUMIFS(estoque[lucro],estoque[fornecedor],"saída",estoque[data],vendaAno[[#This Row],[data]])),"")</f>
        <v/>
      </c>
      <c r="BM260" s="10" t="str">
        <f ca="1">IFERROR(vendaAno[[#This Row],[lucro]]/vendaAno[[#This Row],[valor de venda]],"")</f>
        <v/>
      </c>
      <c r="BN26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0" s="8" t="str">
        <f ca="1">IF(TODAY()&gt;=vendaAno[[#This Row],[data]],IF(vendaAno[[#This Row],[N°]]=BF259,vendaAno[[#This Row],[lucro]]-173.33+BO259,vendaAno[[#This Row],[lucro]]-150),"")</f>
        <v/>
      </c>
      <c r="BP260" s="81" t="str">
        <f ca="1">IF(TODAY()&gt;=vendaAno[[#This Row],[data]],SUM(BK254:BK260)*12,"")</f>
        <v/>
      </c>
      <c r="BQ260" s="7" t="str">
        <f ca="1">IFERROR(vendaAno[[#This Row],[lucro]]/(vendaAno[[#This Row],[venda]]*12),"")</f>
        <v/>
      </c>
    </row>
    <row r="261" spans="1:69" x14ac:dyDescent="0.25">
      <c r="A2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1" s="18" t="str">
        <f>TEXT(preçodiario[[#This Row],[data]],"MMM")</f>
        <v>set</v>
      </c>
      <c r="C261" s="18" t="str">
        <f>TEXT(preçodiario[[#This Row],[data]],"ddd")</f>
        <v>qui</v>
      </c>
      <c r="D261" s="96">
        <f>WEEKNUM(preçodiario[[#This Row],[data]],13)</f>
        <v>38</v>
      </c>
      <c r="E261" s="37">
        <v>46282</v>
      </c>
      <c r="F2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Row],[data]])),((F260*G260)+SUMIFS(estoque[valor total],estoque[produto],preçodiario[[#Headers],[OVO BRANCO A]],estoque[data],preçodiario[[#This Row],[data]],estoque[fornecedor],"&lt;&gt;saída"))/(G260+(SUMIFS(estoque[quantidade],estoque[produto],preçodiario[[#Headers],[OVO BRANCO A]],estoque[fornecedor],"&lt;&gt;saída",estoque[data],preçodiario[[#This Row],[data]])))))</f>
        <v>15.278182701652089</v>
      </c>
      <c r="G261" s="22">
        <f>IF(preçodiario[[#This Row],[entrada A]]=0,G260-(SUMIFS(estoque[quantidade],estoque[fornecedor],"saída",estoque[produto],preçodiario[[#Headers],[OVO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Row],[data]]))+G260+preçodiario[[#This Row],[entrada A]])</f>
        <v>133</v>
      </c>
      <c r="H261" s="22">
        <f>SUMIFS(estoque[quantidade],estoque[fornecedor],"&lt;&gt;saída",estoque[produto],preçodiario[[#Headers],[OVO BRANCO A]],estoque[data],preçodiario[[#This Row],[data]])</f>
        <v>0</v>
      </c>
      <c r="I261" s="20">
        <f>SUMIFS(estoque[valor total],estoque[fornecedor],"&lt;&gt;saída",estoque[produto],preçodiario[[#Headers],[OVO BRANCO A]],estoque[data],preçodiario[[#This Row],[data]])</f>
        <v>0</v>
      </c>
      <c r="J261" s="20">
        <f>IFERROR(preçodiario[[#This Row],[estoque A]]*preçodiario[[#This Row],[OVO BRANCO A]],0)</f>
        <v>2031.9982993197277</v>
      </c>
      <c r="K2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Row],[data]])),((K260*L260)+SUMIFS(estoque[valor total],estoque[produto],preçodiario[[#Headers],[OVO BRANCO B]],estoque[data],preçodiario[[#This Row],[data]],estoque[fornecedor],"&lt;&gt;saída"))/(L260+(SUMIFS(estoque[quantidade],estoque[produto],preçodiario[[#Headers],[OVO BRANCO B]],estoque[fornecedor],"&lt;&gt;saída",estoque[data],preçodiario[[#This Row],[data]])))))</f>
        <v>14.584252837326604</v>
      </c>
      <c r="L261" s="22">
        <f>IF(preçodiario[[#This Row],[entrada B]]=0,L260-(SUMIFS(estoque[quantidade],estoque[fornecedor],"saída",estoque[produto],preçodiario[[#Headers],[OVO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Row],[data]]))+L260+preçodiario[[#This Row],[entrada B]])</f>
        <v>16</v>
      </c>
      <c r="M261" s="22">
        <f>SUMIFS(estoque[quantidade],estoque[fornecedor],"&lt;&gt;saída",estoque[produto],preçodiario[[#Headers],[OVO BRANCO B]],estoque[data],preçodiario[[#This Row],[data]])</f>
        <v>0</v>
      </c>
      <c r="N261" s="20">
        <f>SUMIFS(estoque[valor total],estoque[fornecedor],"&lt;&gt;saída",estoque[produto],preçodiario[[#Headers],[OVO BRANCO B]],estoque[data],preçodiario[[#This Row],[data]])</f>
        <v>0</v>
      </c>
      <c r="O261" s="20">
        <f>IFERROR(preçodiario[[#This Row],[OVO BRANCO B]]*preçodiario[[#This Row],[estoque B]],0)</f>
        <v>233.34804539722566</v>
      </c>
      <c r="P2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Row],[data]])),((P260*Q260)+SUMIFS(estoque[valor total],estoque[produto],preçodiario[[#Headers],[OVO BRANCO C]],estoque[data],preçodiario[[#This Row],[data]],estoque[fornecedor],"&lt;&gt;saída"))/(Q260+(SUMIFS(estoque[quantidade],estoque[produto],preçodiario[[#Headers],[OVO BRANCO C]],estoque[fornecedor],"&lt;&gt;saída",estoque[data],preçodiario[[#This Row],[data]])))))</f>
        <v>12.5</v>
      </c>
      <c r="Q261" s="22">
        <f>IF(preçodiario[[#This Row],[entrada C]]=0,Q260-(SUMIFS(estoque[quantidade],estoque[fornecedor],"saída",estoque[produto],preçodiario[[#Headers],[OVO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Row],[data]]))+Q260+preçodiario[[#This Row],[entrada C]])</f>
        <v>60</v>
      </c>
      <c r="R261" s="22">
        <f>SUMIFS(estoque[quantidade],estoque[fornecedor],"&lt;&gt;saída",estoque[produto],preçodiario[[#Headers],[OVO BRANCO C]],estoque[data],preçodiario[[#This Row],[data]])</f>
        <v>0</v>
      </c>
      <c r="S261" s="20">
        <f>SUMIFS(estoque[valor total],estoque[fornecedor],"&lt;&gt;saída",estoque[produto],preçodiario[[#Headers],[OVO BRANCO C]],estoque[data],preçodiario[[#This Row],[data]])</f>
        <v>0</v>
      </c>
      <c r="T261" s="20">
        <f>IFERROR(preçodiario[[#This Row],[OVO BRANCO C]]*preçodiario[[#This Row],[estoque C]],0)</f>
        <v>750</v>
      </c>
      <c r="U2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Row],[data]])),((U260*V260)+SUMIFS(estoque[valor total],estoque[produto],preçodiario[[#Headers],[OVO BRANCO EXTRA]],estoque[data],preçodiario[[#This Row],[data]],estoque[fornecedor],"&lt;&gt;saída"))/(V260+(SUMIFS(estoque[quantidade],estoque[produto],preçodiario[[#Headers],[OVO BRANCO EXTRA]],estoque[fornecedor],"&lt;&gt;saída",estoque[data],preçodiario[[#This Row],[data]])))))</f>
        <v>15.725438400674655</v>
      </c>
      <c r="V261" s="22">
        <f>IF(preçodiario[[#This Row],[entrada E]]=0,V260-(SUMIFS(estoque[quantidade],estoque[fornecedor],"saída",estoque[produto],preçodiario[[#Headers],[OVO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Row],[data]]))+V260+preçodiario[[#This Row],[entrada E]])</f>
        <v>46</v>
      </c>
      <c r="W261" s="22">
        <f>SUMIFS(estoque[quantidade],estoque[fornecedor],"&lt;&gt;saída",estoque[produto],preçodiario[[#Headers],[OVO BRANCO EXTRA]],estoque[data],preçodiario[[#This Row],[data]])</f>
        <v>0</v>
      </c>
      <c r="X261" s="20">
        <f>SUMIFS(estoque[valor total],estoque[fornecedor],"&lt;&gt;saída",estoque[produto],preçodiario[[#Headers],[OVO BRANCO EXTRA]],estoque[data],preçodiario[[#This Row],[data]])</f>
        <v>0</v>
      </c>
      <c r="Y261" s="20">
        <f>IFERROR(preçodiario[[#This Row],[estoque E]]*preçodiario[[#This Row],[OVO BRANCO EXTRA]],0)</f>
        <v>723.37016643103414</v>
      </c>
      <c r="Z2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Row],[data]])),((Z260*AA260)+SUMIFS(estoque[valor total],estoque[produto],preçodiario[[#Headers],[OVO BRANCO JUMBO]],estoque[data],preçodiario[[#This Row],[data]],estoque[fornecedor],"&lt;&gt;saída"))/(AA260+(SUMIFS(estoque[quantidade],estoque[produto],preçodiario[[#Headers],[OVO BRANCO JUMBO]],estoque[fornecedor],"&lt;&gt;saída",estoque[data],preçodiario[[#This Row],[data]])))))</f>
        <v>16.50550595238095</v>
      </c>
      <c r="AA261" s="22">
        <f>IF(preçodiario[[#This Row],[entrada J]]=0,AA260-(SUMIFS(estoque[quantidade],estoque[fornecedor],"saída",estoque[produto],preçodiario[[#Headers],[OVO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Row],[data]]))+AA260+preçodiario[[#This Row],[entrada J]])</f>
        <v>75</v>
      </c>
      <c r="AB261" s="22">
        <f>SUMIFS(estoque[quantidade],estoque[fornecedor],"&lt;&gt;saída",estoque[produto],preçodiario[[#Headers],[OVO BRANCO JUMBO]],estoque[data],preçodiario[[#This Row],[data]])</f>
        <v>0</v>
      </c>
      <c r="AC261" s="20">
        <f>SUMIFS(estoque[valor total],estoque[fornecedor],"&lt;&gt;saída",estoque[produto],preçodiario[[#Headers],[OVO BRANCO JUMBO]],estoque[data],preçodiario[[#This Row],[data]])</f>
        <v>0</v>
      </c>
      <c r="AD261" s="20">
        <f>IFERROR(preçodiario[[#This Row],[OVO BRANCO JUMBO]]*preçodiario[[#This Row],[estoque J]],0)</f>
        <v>1237.9129464285713</v>
      </c>
      <c r="AE2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Row],[data]])),((AE260*AF260)+SUMIFS(estoque[valor total],estoque[produto],preçodiario[[#Headers],[OVO VERMELHO A]],estoque[data],preçodiario[[#This Row],[data]],estoque[fornecedor],"&lt;&gt;saída"))/(AF260+(SUMIFS(estoque[quantidade],estoque[produto],preçodiario[[#Headers],[OVO VERMELHO A]],estoque[fornecedor],"&lt;&gt;saída",estoque[data],preçodiario[[#This Row],[data]])))))</f>
        <v/>
      </c>
      <c r="AF261" s="22">
        <f>IF(preçodiario[[#This Row],[entrada AV]]=0,AF260-(SUMIFS(estoque[quantidade],estoque[fornecedor],"saída",estoque[produto],preçodiario[[#Headers],[OVO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Row],[data]]))+AF260+preçodiario[[#This Row],[entrada AV]])</f>
        <v>0</v>
      </c>
      <c r="AG261" s="22">
        <f>SUMIFS(estoque[quantidade],estoque[fornecedor],"&lt;&gt;saída",estoque[produto],preçodiario[[#Headers],[OVO VERMELHO A]],estoque[data],preçodiario[[#This Row],[data]])</f>
        <v>0</v>
      </c>
      <c r="AH261" s="20">
        <f>SUMIFS(estoque[valor total],estoque[fornecedor],"&lt;&gt;saída",estoque[produto],preçodiario[[#Headers],[OVO VERMELHO A]],estoque[data],preçodiario[[#This Row],[data]])</f>
        <v>0</v>
      </c>
      <c r="AI261" s="20">
        <f>IFERROR(preçodiario[[#This Row],[OVO VERMELHO A]]*preçodiario[[#This Row],[estoque AV]],0)</f>
        <v>0</v>
      </c>
      <c r="AJ2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Row],[data]])),((AJ260*AK260)+SUMIFS(estoque[valor total],estoque[produto],preçodiario[[#Headers],[OVO VERMELHO B]],estoque[data],preçodiario[[#This Row],[data]],estoque[fornecedor],"&lt;&gt;saída"))/(AK260+(SUMIFS(estoque[quantidade],estoque[produto],preçodiario[[#Headers],[OVO VERMELHO B]],estoque[fornecedor],"&lt;&gt;saída",estoque[data],preçodiario[[#This Row],[data]])))))</f>
        <v/>
      </c>
      <c r="AK261" s="22">
        <f>IF(preçodiario[[#This Row],[entrada BV]]=0,AK260-(SUMIFS(estoque[quantidade],estoque[fornecedor],"saída",estoque[produto],preçodiario[[#Headers],[OVO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Row],[data]]))+AK260+preçodiario[[#This Row],[entrada BV]])</f>
        <v>0</v>
      </c>
      <c r="AL261" s="22">
        <f>SUMIFS(estoque[quantidade],estoque[fornecedor],"&lt;&gt;saída",estoque[produto],preçodiario[[#Headers],[OVO VERMELHO B]],estoque[data],preçodiario[[#This Row],[data]])</f>
        <v>0</v>
      </c>
      <c r="AM261" s="20">
        <f>SUMIFS(estoque[valor total],estoque[fornecedor],"&lt;&gt;saída",estoque[produto],preçodiario[[#Headers],[OVO VERMELHO B]],estoque[data],preçodiario[[#This Row],[data]])</f>
        <v>0</v>
      </c>
      <c r="AN261" s="20">
        <f>IFERROR(preçodiario[[#This Row],[OVO VERMELHO B]]*preçodiario[[#This Row],[estoque BV]],0)</f>
        <v>0</v>
      </c>
      <c r="AO2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Row],[data]])),((AO260*AP260)+SUMIFS(estoque[valor total],estoque[produto],preçodiario[[#Headers],[OVO VERMELHO C]],estoque[data],preçodiario[[#This Row],[data]],estoque[fornecedor],"&lt;&gt;saída"))/(AP260+(SUMIFS(estoque[quantidade],estoque[produto],preçodiario[[#Headers],[OVO VERMELHO C]],estoque[fornecedor],"&lt;&gt;saída",estoque[data],preçodiario[[#This Row],[data]])))))</f>
        <v/>
      </c>
      <c r="AP261" s="22">
        <f>IF(preçodiario[[#This Row],[entrada CV]]=0,AP260-(SUMIFS(estoque[quantidade],estoque[fornecedor],"saída",estoque[produto],preçodiario[[#Headers],[OVO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Row],[data]]))+AP260+preçodiario[[#This Row],[entrada CV]])</f>
        <v>0</v>
      </c>
      <c r="AQ261" s="22">
        <f>SUMIFS(estoque[quantidade],estoque[fornecedor],"&lt;&gt;saída",estoque[produto],preçodiario[[#Headers],[OVO VERMELHO C]],estoque[data],preçodiario[[#This Row],[data]])</f>
        <v>0</v>
      </c>
      <c r="AR261" s="20">
        <f>SUMIFS(estoque[valor total],estoque[fornecedor],"&lt;&gt;saída",estoque[produto],preçodiario[[#Headers],[OVO VERMELHO C]],estoque[data],preçodiario[[#This Row],[data]])</f>
        <v>0</v>
      </c>
      <c r="AS261" s="20">
        <f>IFERROR(preçodiario[[#This Row],[OVO VERMELHO C]]*preçodiario[[#This Row],[estoque CV]],0)</f>
        <v>0</v>
      </c>
      <c r="AT2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Row],[data]])),((AT260*AU260)+SUMIFS(estoque[valor total],estoque[produto],preçodiario[[#Headers],[OVO VERMELHO EXTRA]],estoque[data],preçodiario[[#This Row],[data]],estoque[fornecedor],"&lt;&gt;saída"))/(AU260+(SUMIFS(estoque[quantidade],estoque[produto],preçodiario[[#Headers],[OVO VERMELHO EXTRA]],estoque[fornecedor],"&lt;&gt;saída",estoque[data],preçodiario[[#This Row],[data]])))))</f>
        <v/>
      </c>
      <c r="AU261" s="22">
        <f>IF(preçodiario[[#This Row],[entrada EV]]=0,AU260-(SUMIFS(estoque[quantidade],estoque[fornecedor],"saída",estoque[produto],preçodiario[[#Headers],[OVO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Row],[data]]))+AU260+preçodiario[[#This Row],[entrada EV]])</f>
        <v>0</v>
      </c>
      <c r="AV261" s="22">
        <f>SUMIFS(estoque[quantidade],estoque[fornecedor],"&lt;&gt;saída",estoque[produto],preçodiario[[#Headers],[OVO VERMELHO EXTRA]],estoque[data],preçodiario[[#This Row],[data]])</f>
        <v>0</v>
      </c>
      <c r="AW261" s="20">
        <f>SUMIFS(estoque[valor total],estoque[fornecedor],"&lt;&gt;saída",estoque[produto],preçodiario[[#Headers],[OVO VERMELHO EXTRA]],estoque[data],preçodiario[[#This Row],[data]])</f>
        <v>0</v>
      </c>
      <c r="AX261" s="20">
        <f>IFERROR(preçodiario[[#This Row],[OVO VERMELHO EXTRA]]*preçodiario[[#This Row],[estoque EV]],0)</f>
        <v>0</v>
      </c>
      <c r="AY2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Row],[data]])),((AY260*AZ260)+SUMIFS(estoque[valor total],estoque[produto],preçodiario[[#Headers],[OVO VERMELHO JUMBO]],estoque[data],preçodiario[[#This Row],[data]],estoque[fornecedor],"&lt;&gt;saída"))/(AZ260+(SUMIFS(estoque[quantidade],estoque[produto],preçodiario[[#Headers],[OVO VERMELHO JUMBO]],estoque[fornecedor],"&lt;&gt;saída",estoque[data],preçodiario[[#This Row],[data]])))))</f>
        <v/>
      </c>
      <c r="AZ261" s="22">
        <f>IF(preçodiario[[#This Row],[entrada JV]]=0,AZ260-(SUMIFS(estoque[quantidade],estoque[fornecedor],"saída",estoque[produto],preçodiario[[#Headers],[OVO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Row],[data]]))+AZ260+preçodiario[[#This Row],[entrada JV]])</f>
        <v>0</v>
      </c>
      <c r="BA261" s="22">
        <f>SUMIFS(estoque[quantidade],estoque[fornecedor],"&lt;&gt;saída",estoque[produto],preçodiario[[#Headers],[OVO VERMELHO JUMBO]],estoque[data],preçodiario[[#This Row],[data]])</f>
        <v>0</v>
      </c>
      <c r="BB261" s="20">
        <f>SUMIFS(estoque[valor total],estoque[fornecedor],"&lt;&gt;saída",estoque[produto],preçodiario[[#Headers],[OVO VERMELHO JUMBO]],estoque[data],preçodiario[[#This Row],[data]])</f>
        <v>0</v>
      </c>
      <c r="BC261" s="20">
        <f>IFERROR(preçodiario[[#This Row],[OVO VERMELHO JUMBO]]*preçodiario[[#This Row],[estoque JV]],0)</f>
        <v>0</v>
      </c>
      <c r="BD261" t="str">
        <f>TEXT(vendaAno[[#This Row],[data]],"mmm")</f>
        <v>set</v>
      </c>
      <c r="BE261" t="str">
        <f>TEXT(vendaAno[[#This Row],[data]],"ddd")</f>
        <v>qui</v>
      </c>
      <c r="BF261" s="82">
        <f>WEEKNUM(vendaAno[[#This Row],[data]],13)</f>
        <v>38</v>
      </c>
      <c r="BG261" s="27">
        <f>preçodiario[[#This Row],[data]]</f>
        <v>46282</v>
      </c>
      <c r="BH2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Row],[data]]))/12+BJ260,"")</f>
        <v/>
      </c>
      <c r="BK261" s="79" t="str">
        <f ca="1">IF(TODAY()&gt;=vendaAno[[#This Row],[data]],IF(SUMIFS(estoque[quantidade],estoque[fornecedor],"saída",estoque[data],vendaAno[[#This Row],[data]])/12=0,AVERAGE(BK258:BK260),SUMIFS(estoque[quantidade],estoque[fornecedor],"saída",estoque[data],vendaAno[[#This Row],[data]])/12),"")</f>
        <v/>
      </c>
      <c r="BL261" s="8" t="str">
        <f ca="1">IF(vendaAno[[#This Row],[data]]&lt;=TODAY(),IF(SUMIFS(estoque[lucro],estoque[fornecedor],"saída",estoque[data],vendaAno[[#This Row],[data]])=0,AVERAGE(BL258:BL260),SUMIFS(estoque[lucro],estoque[fornecedor],"saída",estoque[data],vendaAno[[#This Row],[data]])),"")</f>
        <v/>
      </c>
      <c r="BM261" s="10" t="str">
        <f ca="1">IFERROR(vendaAno[[#This Row],[lucro]]/vendaAno[[#This Row],[valor de venda]],"")</f>
        <v/>
      </c>
      <c r="BN26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1" s="8" t="str">
        <f ca="1">IF(TODAY()&gt;=vendaAno[[#This Row],[data]],IF(vendaAno[[#This Row],[N°]]=BF260,vendaAno[[#This Row],[lucro]]-173.33+BO260,vendaAno[[#This Row],[lucro]]-150),"")</f>
        <v/>
      </c>
      <c r="BP261" s="81" t="str">
        <f ca="1">IF(TODAY()&gt;=vendaAno[[#This Row],[data]],SUM(BK255:BK261)*12,"")</f>
        <v/>
      </c>
      <c r="BQ261" s="7" t="str">
        <f ca="1">IFERROR(vendaAno[[#This Row],[lucro]]/(vendaAno[[#This Row],[venda]]*12),"")</f>
        <v/>
      </c>
    </row>
    <row r="262" spans="1:69" x14ac:dyDescent="0.25">
      <c r="A2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2" s="18" t="str">
        <f>TEXT(preçodiario[[#This Row],[data]],"MMM")</f>
        <v>set</v>
      </c>
      <c r="C262" s="18" t="str">
        <f>TEXT(preçodiario[[#This Row],[data]],"ddd")</f>
        <v>sex</v>
      </c>
      <c r="D262" s="96">
        <f>WEEKNUM(preçodiario[[#This Row],[data]],13)</f>
        <v>38</v>
      </c>
      <c r="E262" s="37">
        <v>46283</v>
      </c>
      <c r="F2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Row],[data]])),((F261*G261)+SUMIFS(estoque[valor total],estoque[produto],preçodiario[[#Headers],[OVO BRANCO A]],estoque[data],preçodiario[[#This Row],[data]],estoque[fornecedor],"&lt;&gt;saída"))/(G261+(SUMIFS(estoque[quantidade],estoque[produto],preçodiario[[#Headers],[OVO BRANCO A]],estoque[fornecedor],"&lt;&gt;saída",estoque[data],preçodiario[[#This Row],[data]])))))</f>
        <v>15.278182701652089</v>
      </c>
      <c r="G262" s="22">
        <f>IF(preçodiario[[#This Row],[entrada A]]=0,G261-(SUMIFS(estoque[quantidade],estoque[fornecedor],"saída",estoque[produto],preçodiario[[#Headers],[OVO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Row],[data]]))+G261+preçodiario[[#This Row],[entrada A]])</f>
        <v>133</v>
      </c>
      <c r="H262" s="22">
        <f>SUMIFS(estoque[quantidade],estoque[fornecedor],"&lt;&gt;saída",estoque[produto],preçodiario[[#Headers],[OVO BRANCO A]],estoque[data],preçodiario[[#This Row],[data]])</f>
        <v>0</v>
      </c>
      <c r="I262" s="20">
        <f>SUMIFS(estoque[valor total],estoque[fornecedor],"&lt;&gt;saída",estoque[produto],preçodiario[[#Headers],[OVO BRANCO A]],estoque[data],preçodiario[[#This Row],[data]])</f>
        <v>0</v>
      </c>
      <c r="J262" s="20">
        <f>IFERROR(preçodiario[[#This Row],[estoque A]]*preçodiario[[#This Row],[OVO BRANCO A]],0)</f>
        <v>2031.9982993197277</v>
      </c>
      <c r="K2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Row],[data]])),((K261*L261)+SUMIFS(estoque[valor total],estoque[produto],preçodiario[[#Headers],[OVO BRANCO B]],estoque[data],preçodiario[[#This Row],[data]],estoque[fornecedor],"&lt;&gt;saída"))/(L261+(SUMIFS(estoque[quantidade],estoque[produto],preçodiario[[#Headers],[OVO BRANCO B]],estoque[fornecedor],"&lt;&gt;saída",estoque[data],preçodiario[[#This Row],[data]])))))</f>
        <v>14.584252837326604</v>
      </c>
      <c r="L262" s="22">
        <f>IF(preçodiario[[#This Row],[entrada B]]=0,L261-(SUMIFS(estoque[quantidade],estoque[fornecedor],"saída",estoque[produto],preçodiario[[#Headers],[OVO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Row],[data]]))+L261+preçodiario[[#This Row],[entrada B]])</f>
        <v>16</v>
      </c>
      <c r="M262" s="22">
        <f>SUMIFS(estoque[quantidade],estoque[fornecedor],"&lt;&gt;saída",estoque[produto],preçodiario[[#Headers],[OVO BRANCO B]],estoque[data],preçodiario[[#This Row],[data]])</f>
        <v>0</v>
      </c>
      <c r="N262" s="20">
        <f>SUMIFS(estoque[valor total],estoque[fornecedor],"&lt;&gt;saída",estoque[produto],preçodiario[[#Headers],[OVO BRANCO B]],estoque[data],preçodiario[[#This Row],[data]])</f>
        <v>0</v>
      </c>
      <c r="O262" s="20">
        <f>IFERROR(preçodiario[[#This Row],[OVO BRANCO B]]*preçodiario[[#This Row],[estoque B]],0)</f>
        <v>233.34804539722566</v>
      </c>
      <c r="P2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Row],[data]])),((P261*Q261)+SUMIFS(estoque[valor total],estoque[produto],preçodiario[[#Headers],[OVO BRANCO C]],estoque[data],preçodiario[[#This Row],[data]],estoque[fornecedor],"&lt;&gt;saída"))/(Q261+(SUMIFS(estoque[quantidade],estoque[produto],preçodiario[[#Headers],[OVO BRANCO C]],estoque[fornecedor],"&lt;&gt;saída",estoque[data],preçodiario[[#This Row],[data]])))))</f>
        <v>12.5</v>
      </c>
      <c r="Q262" s="22">
        <f>IF(preçodiario[[#This Row],[entrada C]]=0,Q261-(SUMIFS(estoque[quantidade],estoque[fornecedor],"saída",estoque[produto],preçodiario[[#Headers],[OVO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Row],[data]]))+Q261+preçodiario[[#This Row],[entrada C]])</f>
        <v>60</v>
      </c>
      <c r="R262" s="22">
        <f>SUMIFS(estoque[quantidade],estoque[fornecedor],"&lt;&gt;saída",estoque[produto],preçodiario[[#Headers],[OVO BRANCO C]],estoque[data],preçodiario[[#This Row],[data]])</f>
        <v>0</v>
      </c>
      <c r="S262" s="20">
        <f>SUMIFS(estoque[valor total],estoque[fornecedor],"&lt;&gt;saída",estoque[produto],preçodiario[[#Headers],[OVO BRANCO C]],estoque[data],preçodiario[[#This Row],[data]])</f>
        <v>0</v>
      </c>
      <c r="T262" s="20">
        <f>IFERROR(preçodiario[[#This Row],[OVO BRANCO C]]*preçodiario[[#This Row],[estoque C]],0)</f>
        <v>750</v>
      </c>
      <c r="U2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Row],[data]])),((U261*V261)+SUMIFS(estoque[valor total],estoque[produto],preçodiario[[#Headers],[OVO BRANCO EXTRA]],estoque[data],preçodiario[[#This Row],[data]],estoque[fornecedor],"&lt;&gt;saída"))/(V261+(SUMIFS(estoque[quantidade],estoque[produto],preçodiario[[#Headers],[OVO BRANCO EXTRA]],estoque[fornecedor],"&lt;&gt;saída",estoque[data],preçodiario[[#This Row],[data]])))))</f>
        <v>15.725438400674655</v>
      </c>
      <c r="V262" s="22">
        <f>IF(preçodiario[[#This Row],[entrada E]]=0,V261-(SUMIFS(estoque[quantidade],estoque[fornecedor],"saída",estoque[produto],preçodiario[[#Headers],[OVO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Row],[data]]))+V261+preçodiario[[#This Row],[entrada E]])</f>
        <v>46</v>
      </c>
      <c r="W262" s="22">
        <f>SUMIFS(estoque[quantidade],estoque[fornecedor],"&lt;&gt;saída",estoque[produto],preçodiario[[#Headers],[OVO BRANCO EXTRA]],estoque[data],preçodiario[[#This Row],[data]])</f>
        <v>0</v>
      </c>
      <c r="X262" s="20">
        <f>SUMIFS(estoque[valor total],estoque[fornecedor],"&lt;&gt;saída",estoque[produto],preçodiario[[#Headers],[OVO BRANCO EXTRA]],estoque[data],preçodiario[[#This Row],[data]])</f>
        <v>0</v>
      </c>
      <c r="Y262" s="20">
        <f>IFERROR(preçodiario[[#This Row],[estoque E]]*preçodiario[[#This Row],[OVO BRANCO EXTRA]],0)</f>
        <v>723.37016643103414</v>
      </c>
      <c r="Z2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Row],[data]])),((Z261*AA261)+SUMIFS(estoque[valor total],estoque[produto],preçodiario[[#Headers],[OVO BRANCO JUMBO]],estoque[data],preçodiario[[#This Row],[data]],estoque[fornecedor],"&lt;&gt;saída"))/(AA261+(SUMIFS(estoque[quantidade],estoque[produto],preçodiario[[#Headers],[OVO BRANCO JUMBO]],estoque[fornecedor],"&lt;&gt;saída",estoque[data],preçodiario[[#This Row],[data]])))))</f>
        <v>16.50550595238095</v>
      </c>
      <c r="AA262" s="22">
        <f>IF(preçodiario[[#This Row],[entrada J]]=0,AA261-(SUMIFS(estoque[quantidade],estoque[fornecedor],"saída",estoque[produto],preçodiario[[#Headers],[OVO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Row],[data]]))+AA261+preçodiario[[#This Row],[entrada J]])</f>
        <v>75</v>
      </c>
      <c r="AB262" s="22">
        <f>SUMIFS(estoque[quantidade],estoque[fornecedor],"&lt;&gt;saída",estoque[produto],preçodiario[[#Headers],[OVO BRANCO JUMBO]],estoque[data],preçodiario[[#This Row],[data]])</f>
        <v>0</v>
      </c>
      <c r="AC262" s="20">
        <f>SUMIFS(estoque[valor total],estoque[fornecedor],"&lt;&gt;saída",estoque[produto],preçodiario[[#Headers],[OVO BRANCO JUMBO]],estoque[data],preçodiario[[#This Row],[data]])</f>
        <v>0</v>
      </c>
      <c r="AD262" s="20">
        <f>IFERROR(preçodiario[[#This Row],[OVO BRANCO JUMBO]]*preçodiario[[#This Row],[estoque J]],0)</f>
        <v>1237.9129464285713</v>
      </c>
      <c r="AE2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Row],[data]])),((AE261*AF261)+SUMIFS(estoque[valor total],estoque[produto],preçodiario[[#Headers],[OVO VERMELHO A]],estoque[data],preçodiario[[#This Row],[data]],estoque[fornecedor],"&lt;&gt;saída"))/(AF261+(SUMIFS(estoque[quantidade],estoque[produto],preçodiario[[#Headers],[OVO VERMELHO A]],estoque[fornecedor],"&lt;&gt;saída",estoque[data],preçodiario[[#This Row],[data]])))))</f>
        <v/>
      </c>
      <c r="AF262" s="22">
        <f>IF(preçodiario[[#This Row],[entrada AV]]=0,AF261-(SUMIFS(estoque[quantidade],estoque[fornecedor],"saída",estoque[produto],preçodiario[[#Headers],[OVO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Row],[data]]))+AF261+preçodiario[[#This Row],[entrada AV]])</f>
        <v>0</v>
      </c>
      <c r="AG262" s="22">
        <f>SUMIFS(estoque[quantidade],estoque[fornecedor],"&lt;&gt;saída",estoque[produto],preçodiario[[#Headers],[OVO VERMELHO A]],estoque[data],preçodiario[[#This Row],[data]])</f>
        <v>0</v>
      </c>
      <c r="AH262" s="20">
        <f>SUMIFS(estoque[valor total],estoque[fornecedor],"&lt;&gt;saída",estoque[produto],preçodiario[[#Headers],[OVO VERMELHO A]],estoque[data],preçodiario[[#This Row],[data]])</f>
        <v>0</v>
      </c>
      <c r="AI262" s="20">
        <f>IFERROR(preçodiario[[#This Row],[OVO VERMELHO A]]*preçodiario[[#This Row],[estoque AV]],0)</f>
        <v>0</v>
      </c>
      <c r="AJ2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Row],[data]])),((AJ261*AK261)+SUMIFS(estoque[valor total],estoque[produto],preçodiario[[#Headers],[OVO VERMELHO B]],estoque[data],preçodiario[[#This Row],[data]],estoque[fornecedor],"&lt;&gt;saída"))/(AK261+(SUMIFS(estoque[quantidade],estoque[produto],preçodiario[[#Headers],[OVO VERMELHO B]],estoque[fornecedor],"&lt;&gt;saída",estoque[data],preçodiario[[#This Row],[data]])))))</f>
        <v/>
      </c>
      <c r="AK262" s="22">
        <f>IF(preçodiario[[#This Row],[entrada BV]]=0,AK261-(SUMIFS(estoque[quantidade],estoque[fornecedor],"saída",estoque[produto],preçodiario[[#Headers],[OVO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Row],[data]]))+AK261+preçodiario[[#This Row],[entrada BV]])</f>
        <v>0</v>
      </c>
      <c r="AL262" s="22">
        <f>SUMIFS(estoque[quantidade],estoque[fornecedor],"&lt;&gt;saída",estoque[produto],preçodiario[[#Headers],[OVO VERMELHO B]],estoque[data],preçodiario[[#This Row],[data]])</f>
        <v>0</v>
      </c>
      <c r="AM262" s="20">
        <f>SUMIFS(estoque[valor total],estoque[fornecedor],"&lt;&gt;saída",estoque[produto],preçodiario[[#Headers],[OVO VERMELHO B]],estoque[data],preçodiario[[#This Row],[data]])</f>
        <v>0</v>
      </c>
      <c r="AN262" s="20">
        <f>IFERROR(preçodiario[[#This Row],[OVO VERMELHO B]]*preçodiario[[#This Row],[estoque BV]],0)</f>
        <v>0</v>
      </c>
      <c r="AO2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Row],[data]])),((AO261*AP261)+SUMIFS(estoque[valor total],estoque[produto],preçodiario[[#Headers],[OVO VERMELHO C]],estoque[data],preçodiario[[#This Row],[data]],estoque[fornecedor],"&lt;&gt;saída"))/(AP261+(SUMIFS(estoque[quantidade],estoque[produto],preçodiario[[#Headers],[OVO VERMELHO C]],estoque[fornecedor],"&lt;&gt;saída",estoque[data],preçodiario[[#This Row],[data]])))))</f>
        <v/>
      </c>
      <c r="AP262" s="22">
        <f>IF(preçodiario[[#This Row],[entrada CV]]=0,AP261-(SUMIFS(estoque[quantidade],estoque[fornecedor],"saída",estoque[produto],preçodiario[[#Headers],[OVO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Row],[data]]))+AP261+preçodiario[[#This Row],[entrada CV]])</f>
        <v>0</v>
      </c>
      <c r="AQ262" s="22">
        <f>SUMIFS(estoque[quantidade],estoque[fornecedor],"&lt;&gt;saída",estoque[produto],preçodiario[[#Headers],[OVO VERMELHO C]],estoque[data],preçodiario[[#This Row],[data]])</f>
        <v>0</v>
      </c>
      <c r="AR262" s="20">
        <f>SUMIFS(estoque[valor total],estoque[fornecedor],"&lt;&gt;saída",estoque[produto],preçodiario[[#Headers],[OVO VERMELHO C]],estoque[data],preçodiario[[#This Row],[data]])</f>
        <v>0</v>
      </c>
      <c r="AS262" s="20">
        <f>IFERROR(preçodiario[[#This Row],[OVO VERMELHO C]]*preçodiario[[#This Row],[estoque CV]],0)</f>
        <v>0</v>
      </c>
      <c r="AT2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Row],[data]])),((AT261*AU261)+SUMIFS(estoque[valor total],estoque[produto],preçodiario[[#Headers],[OVO VERMELHO EXTRA]],estoque[data],preçodiario[[#This Row],[data]],estoque[fornecedor],"&lt;&gt;saída"))/(AU261+(SUMIFS(estoque[quantidade],estoque[produto],preçodiario[[#Headers],[OVO VERMELHO EXTRA]],estoque[fornecedor],"&lt;&gt;saída",estoque[data],preçodiario[[#This Row],[data]])))))</f>
        <v/>
      </c>
      <c r="AU262" s="22">
        <f>IF(preçodiario[[#This Row],[entrada EV]]=0,AU261-(SUMIFS(estoque[quantidade],estoque[fornecedor],"saída",estoque[produto],preçodiario[[#Headers],[OVO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Row],[data]]))+AU261+preçodiario[[#This Row],[entrada EV]])</f>
        <v>0</v>
      </c>
      <c r="AV262" s="22">
        <f>SUMIFS(estoque[quantidade],estoque[fornecedor],"&lt;&gt;saída",estoque[produto],preçodiario[[#Headers],[OVO VERMELHO EXTRA]],estoque[data],preçodiario[[#This Row],[data]])</f>
        <v>0</v>
      </c>
      <c r="AW262" s="20">
        <f>SUMIFS(estoque[valor total],estoque[fornecedor],"&lt;&gt;saída",estoque[produto],preçodiario[[#Headers],[OVO VERMELHO EXTRA]],estoque[data],preçodiario[[#This Row],[data]])</f>
        <v>0</v>
      </c>
      <c r="AX262" s="20">
        <f>IFERROR(preçodiario[[#This Row],[OVO VERMELHO EXTRA]]*preçodiario[[#This Row],[estoque EV]],0)</f>
        <v>0</v>
      </c>
      <c r="AY2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Row],[data]])),((AY261*AZ261)+SUMIFS(estoque[valor total],estoque[produto],preçodiario[[#Headers],[OVO VERMELHO JUMBO]],estoque[data],preçodiario[[#This Row],[data]],estoque[fornecedor],"&lt;&gt;saída"))/(AZ261+(SUMIFS(estoque[quantidade],estoque[produto],preçodiario[[#Headers],[OVO VERMELHO JUMBO]],estoque[fornecedor],"&lt;&gt;saída",estoque[data],preçodiario[[#This Row],[data]])))))</f>
        <v/>
      </c>
      <c r="AZ262" s="22">
        <f>IF(preçodiario[[#This Row],[entrada JV]]=0,AZ261-(SUMIFS(estoque[quantidade],estoque[fornecedor],"saída",estoque[produto],preçodiario[[#Headers],[OVO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Row],[data]]))+AZ261+preçodiario[[#This Row],[entrada JV]])</f>
        <v>0</v>
      </c>
      <c r="BA262" s="22">
        <f>SUMIFS(estoque[quantidade],estoque[fornecedor],"&lt;&gt;saída",estoque[produto],preçodiario[[#Headers],[OVO VERMELHO JUMBO]],estoque[data],preçodiario[[#This Row],[data]])</f>
        <v>0</v>
      </c>
      <c r="BB262" s="20">
        <f>SUMIFS(estoque[valor total],estoque[fornecedor],"&lt;&gt;saída",estoque[produto],preçodiario[[#Headers],[OVO VERMELHO JUMBO]],estoque[data],preçodiario[[#This Row],[data]])</f>
        <v>0</v>
      </c>
      <c r="BC262" s="20">
        <f>IFERROR(preçodiario[[#This Row],[OVO VERMELHO JUMBO]]*preçodiario[[#This Row],[estoque JV]],0)</f>
        <v>0</v>
      </c>
      <c r="BD262" t="str">
        <f>TEXT(vendaAno[[#This Row],[data]],"mmm")</f>
        <v>set</v>
      </c>
      <c r="BE262" t="str">
        <f>TEXT(vendaAno[[#This Row],[data]],"ddd")</f>
        <v>sex</v>
      </c>
      <c r="BF262" s="82">
        <f>WEEKNUM(vendaAno[[#This Row],[data]],13)</f>
        <v>38</v>
      </c>
      <c r="BG262" s="27">
        <f>preçodiario[[#This Row],[data]]</f>
        <v>46283</v>
      </c>
      <c r="BH2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Row],[data]]))/12+BJ261,"")</f>
        <v/>
      </c>
      <c r="BK262" s="79" t="str">
        <f ca="1">IF(TODAY()&gt;=vendaAno[[#This Row],[data]],IF(SUMIFS(estoque[quantidade],estoque[fornecedor],"saída",estoque[data],vendaAno[[#This Row],[data]])/12=0,AVERAGE(BK259:BK261),SUMIFS(estoque[quantidade],estoque[fornecedor],"saída",estoque[data],vendaAno[[#This Row],[data]])/12),"")</f>
        <v/>
      </c>
      <c r="BL262" s="8" t="str">
        <f ca="1">IF(vendaAno[[#This Row],[data]]&lt;=TODAY(),IF(SUMIFS(estoque[lucro],estoque[fornecedor],"saída",estoque[data],vendaAno[[#This Row],[data]])=0,AVERAGE(BL259:BL261),SUMIFS(estoque[lucro],estoque[fornecedor],"saída",estoque[data],vendaAno[[#This Row],[data]])),"")</f>
        <v/>
      </c>
      <c r="BM262" s="10" t="str">
        <f ca="1">IFERROR(vendaAno[[#This Row],[lucro]]/vendaAno[[#This Row],[valor de venda]],"")</f>
        <v/>
      </c>
      <c r="BN26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2" s="8" t="str">
        <f ca="1">IF(TODAY()&gt;=vendaAno[[#This Row],[data]],IF(vendaAno[[#This Row],[N°]]=BF261,vendaAno[[#This Row],[lucro]]-173.33+BO261,vendaAno[[#This Row],[lucro]]-150),"")</f>
        <v/>
      </c>
      <c r="BP262" s="81" t="str">
        <f ca="1">IF(TODAY()&gt;=vendaAno[[#This Row],[data]],SUM(BK256:BK262)*12,"")</f>
        <v/>
      </c>
      <c r="BQ262" s="7" t="str">
        <f ca="1">IFERROR(vendaAno[[#This Row],[lucro]]/(vendaAno[[#This Row],[venda]]*12),"")</f>
        <v/>
      </c>
    </row>
    <row r="263" spans="1:69" x14ac:dyDescent="0.25">
      <c r="A2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3" s="18" t="str">
        <f>TEXT(preçodiario[[#This Row],[data]],"MMM")</f>
        <v>set</v>
      </c>
      <c r="C263" s="18" t="str">
        <f>TEXT(preçodiario[[#This Row],[data]],"ddd")</f>
        <v>sáb</v>
      </c>
      <c r="D263" s="96">
        <f>WEEKNUM(preçodiario[[#This Row],[data]],13)</f>
        <v>38</v>
      </c>
      <c r="E263" s="37">
        <v>46284</v>
      </c>
      <c r="F2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Row],[data]])),((F262*G262)+SUMIFS(estoque[valor total],estoque[produto],preçodiario[[#Headers],[OVO BRANCO A]],estoque[data],preçodiario[[#This Row],[data]],estoque[fornecedor],"&lt;&gt;saída"))/(G262+(SUMIFS(estoque[quantidade],estoque[produto],preçodiario[[#Headers],[OVO BRANCO A]],estoque[fornecedor],"&lt;&gt;saída",estoque[data],preçodiario[[#This Row],[data]])))))</f>
        <v>15.278182701652089</v>
      </c>
      <c r="G263" s="22">
        <f>IF(preçodiario[[#This Row],[entrada A]]=0,G262-(SUMIFS(estoque[quantidade],estoque[fornecedor],"saída",estoque[produto],preçodiario[[#Headers],[OVO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Row],[data]]))+G262+preçodiario[[#This Row],[entrada A]])</f>
        <v>133</v>
      </c>
      <c r="H263" s="22">
        <f>SUMIFS(estoque[quantidade],estoque[fornecedor],"&lt;&gt;saída",estoque[produto],preçodiario[[#Headers],[OVO BRANCO A]],estoque[data],preçodiario[[#This Row],[data]])</f>
        <v>0</v>
      </c>
      <c r="I263" s="20">
        <f>SUMIFS(estoque[valor total],estoque[fornecedor],"&lt;&gt;saída",estoque[produto],preçodiario[[#Headers],[OVO BRANCO A]],estoque[data],preçodiario[[#This Row],[data]])</f>
        <v>0</v>
      </c>
      <c r="J263" s="20">
        <f>IFERROR(preçodiario[[#This Row],[estoque A]]*preçodiario[[#This Row],[OVO BRANCO A]],0)</f>
        <v>2031.9982993197277</v>
      </c>
      <c r="K2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Row],[data]])),((K262*L262)+SUMIFS(estoque[valor total],estoque[produto],preçodiario[[#Headers],[OVO BRANCO B]],estoque[data],preçodiario[[#This Row],[data]],estoque[fornecedor],"&lt;&gt;saída"))/(L262+(SUMIFS(estoque[quantidade],estoque[produto],preçodiario[[#Headers],[OVO BRANCO B]],estoque[fornecedor],"&lt;&gt;saída",estoque[data],preçodiario[[#This Row],[data]])))))</f>
        <v>14.584252837326604</v>
      </c>
      <c r="L263" s="22">
        <f>IF(preçodiario[[#This Row],[entrada B]]=0,L262-(SUMIFS(estoque[quantidade],estoque[fornecedor],"saída",estoque[produto],preçodiario[[#Headers],[OVO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Row],[data]]))+L262+preçodiario[[#This Row],[entrada B]])</f>
        <v>16</v>
      </c>
      <c r="M263" s="22">
        <f>SUMIFS(estoque[quantidade],estoque[fornecedor],"&lt;&gt;saída",estoque[produto],preçodiario[[#Headers],[OVO BRANCO B]],estoque[data],preçodiario[[#This Row],[data]])</f>
        <v>0</v>
      </c>
      <c r="N263" s="20">
        <f>SUMIFS(estoque[valor total],estoque[fornecedor],"&lt;&gt;saída",estoque[produto],preçodiario[[#Headers],[OVO BRANCO B]],estoque[data],preçodiario[[#This Row],[data]])</f>
        <v>0</v>
      </c>
      <c r="O263" s="20">
        <f>IFERROR(preçodiario[[#This Row],[OVO BRANCO B]]*preçodiario[[#This Row],[estoque B]],0)</f>
        <v>233.34804539722566</v>
      </c>
      <c r="P2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Row],[data]])),((P262*Q262)+SUMIFS(estoque[valor total],estoque[produto],preçodiario[[#Headers],[OVO BRANCO C]],estoque[data],preçodiario[[#This Row],[data]],estoque[fornecedor],"&lt;&gt;saída"))/(Q262+(SUMIFS(estoque[quantidade],estoque[produto],preçodiario[[#Headers],[OVO BRANCO C]],estoque[fornecedor],"&lt;&gt;saída",estoque[data],preçodiario[[#This Row],[data]])))))</f>
        <v>12.5</v>
      </c>
      <c r="Q263" s="22">
        <f>IF(preçodiario[[#This Row],[entrada C]]=0,Q262-(SUMIFS(estoque[quantidade],estoque[fornecedor],"saída",estoque[produto],preçodiario[[#Headers],[OVO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Row],[data]]))+Q262+preçodiario[[#This Row],[entrada C]])</f>
        <v>60</v>
      </c>
      <c r="R263" s="22">
        <f>SUMIFS(estoque[quantidade],estoque[fornecedor],"&lt;&gt;saída",estoque[produto],preçodiario[[#Headers],[OVO BRANCO C]],estoque[data],preçodiario[[#This Row],[data]])</f>
        <v>0</v>
      </c>
      <c r="S263" s="20">
        <f>SUMIFS(estoque[valor total],estoque[fornecedor],"&lt;&gt;saída",estoque[produto],preçodiario[[#Headers],[OVO BRANCO C]],estoque[data],preçodiario[[#This Row],[data]])</f>
        <v>0</v>
      </c>
      <c r="T263" s="20">
        <f>IFERROR(preçodiario[[#This Row],[OVO BRANCO C]]*preçodiario[[#This Row],[estoque C]],0)</f>
        <v>750</v>
      </c>
      <c r="U2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Row],[data]])),((U262*V262)+SUMIFS(estoque[valor total],estoque[produto],preçodiario[[#Headers],[OVO BRANCO EXTRA]],estoque[data],preçodiario[[#This Row],[data]],estoque[fornecedor],"&lt;&gt;saída"))/(V262+(SUMIFS(estoque[quantidade],estoque[produto],preçodiario[[#Headers],[OVO BRANCO EXTRA]],estoque[fornecedor],"&lt;&gt;saída",estoque[data],preçodiario[[#This Row],[data]])))))</f>
        <v>15.725438400674655</v>
      </c>
      <c r="V263" s="22">
        <f>IF(preçodiario[[#This Row],[entrada E]]=0,V262-(SUMIFS(estoque[quantidade],estoque[fornecedor],"saída",estoque[produto],preçodiario[[#Headers],[OVO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Row],[data]]))+V262+preçodiario[[#This Row],[entrada E]])</f>
        <v>46</v>
      </c>
      <c r="W263" s="22">
        <f>SUMIFS(estoque[quantidade],estoque[fornecedor],"&lt;&gt;saída",estoque[produto],preçodiario[[#Headers],[OVO BRANCO EXTRA]],estoque[data],preçodiario[[#This Row],[data]])</f>
        <v>0</v>
      </c>
      <c r="X263" s="20">
        <f>SUMIFS(estoque[valor total],estoque[fornecedor],"&lt;&gt;saída",estoque[produto],preçodiario[[#Headers],[OVO BRANCO EXTRA]],estoque[data],preçodiario[[#This Row],[data]])</f>
        <v>0</v>
      </c>
      <c r="Y263" s="20">
        <f>IFERROR(preçodiario[[#This Row],[estoque E]]*preçodiario[[#This Row],[OVO BRANCO EXTRA]],0)</f>
        <v>723.37016643103414</v>
      </c>
      <c r="Z2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Row],[data]])),((Z262*AA262)+SUMIFS(estoque[valor total],estoque[produto],preçodiario[[#Headers],[OVO BRANCO JUMBO]],estoque[data],preçodiario[[#This Row],[data]],estoque[fornecedor],"&lt;&gt;saída"))/(AA262+(SUMIFS(estoque[quantidade],estoque[produto],preçodiario[[#Headers],[OVO BRANCO JUMBO]],estoque[fornecedor],"&lt;&gt;saída",estoque[data],preçodiario[[#This Row],[data]])))))</f>
        <v>16.50550595238095</v>
      </c>
      <c r="AA263" s="22">
        <f>IF(preçodiario[[#This Row],[entrada J]]=0,AA262-(SUMIFS(estoque[quantidade],estoque[fornecedor],"saída",estoque[produto],preçodiario[[#Headers],[OVO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Row],[data]]))+AA262+preçodiario[[#This Row],[entrada J]])</f>
        <v>75</v>
      </c>
      <c r="AB263" s="22">
        <f>SUMIFS(estoque[quantidade],estoque[fornecedor],"&lt;&gt;saída",estoque[produto],preçodiario[[#Headers],[OVO BRANCO JUMBO]],estoque[data],preçodiario[[#This Row],[data]])</f>
        <v>0</v>
      </c>
      <c r="AC263" s="20">
        <f>SUMIFS(estoque[valor total],estoque[fornecedor],"&lt;&gt;saída",estoque[produto],preçodiario[[#Headers],[OVO BRANCO JUMBO]],estoque[data],preçodiario[[#This Row],[data]])</f>
        <v>0</v>
      </c>
      <c r="AD263" s="20">
        <f>IFERROR(preçodiario[[#This Row],[OVO BRANCO JUMBO]]*preçodiario[[#This Row],[estoque J]],0)</f>
        <v>1237.9129464285713</v>
      </c>
      <c r="AE2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Row],[data]])),((AE262*AF262)+SUMIFS(estoque[valor total],estoque[produto],preçodiario[[#Headers],[OVO VERMELHO A]],estoque[data],preçodiario[[#This Row],[data]],estoque[fornecedor],"&lt;&gt;saída"))/(AF262+(SUMIFS(estoque[quantidade],estoque[produto],preçodiario[[#Headers],[OVO VERMELHO A]],estoque[fornecedor],"&lt;&gt;saída",estoque[data],preçodiario[[#This Row],[data]])))))</f>
        <v/>
      </c>
      <c r="AF263" s="22">
        <f>IF(preçodiario[[#This Row],[entrada AV]]=0,AF262-(SUMIFS(estoque[quantidade],estoque[fornecedor],"saída",estoque[produto],preçodiario[[#Headers],[OVO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Row],[data]]))+AF262+preçodiario[[#This Row],[entrada AV]])</f>
        <v>0</v>
      </c>
      <c r="AG263" s="22">
        <f>SUMIFS(estoque[quantidade],estoque[fornecedor],"&lt;&gt;saída",estoque[produto],preçodiario[[#Headers],[OVO VERMELHO A]],estoque[data],preçodiario[[#This Row],[data]])</f>
        <v>0</v>
      </c>
      <c r="AH263" s="20">
        <f>SUMIFS(estoque[valor total],estoque[fornecedor],"&lt;&gt;saída",estoque[produto],preçodiario[[#Headers],[OVO VERMELHO A]],estoque[data],preçodiario[[#This Row],[data]])</f>
        <v>0</v>
      </c>
      <c r="AI263" s="20">
        <f>IFERROR(preçodiario[[#This Row],[OVO VERMELHO A]]*preçodiario[[#This Row],[estoque AV]],0)</f>
        <v>0</v>
      </c>
      <c r="AJ2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Row],[data]])),((AJ262*AK262)+SUMIFS(estoque[valor total],estoque[produto],preçodiario[[#Headers],[OVO VERMELHO B]],estoque[data],preçodiario[[#This Row],[data]],estoque[fornecedor],"&lt;&gt;saída"))/(AK262+(SUMIFS(estoque[quantidade],estoque[produto],preçodiario[[#Headers],[OVO VERMELHO B]],estoque[fornecedor],"&lt;&gt;saída",estoque[data],preçodiario[[#This Row],[data]])))))</f>
        <v/>
      </c>
      <c r="AK263" s="22">
        <f>IF(preçodiario[[#This Row],[entrada BV]]=0,AK262-(SUMIFS(estoque[quantidade],estoque[fornecedor],"saída",estoque[produto],preçodiario[[#Headers],[OVO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Row],[data]]))+AK262+preçodiario[[#This Row],[entrada BV]])</f>
        <v>0</v>
      </c>
      <c r="AL263" s="22">
        <f>SUMIFS(estoque[quantidade],estoque[fornecedor],"&lt;&gt;saída",estoque[produto],preçodiario[[#Headers],[OVO VERMELHO B]],estoque[data],preçodiario[[#This Row],[data]])</f>
        <v>0</v>
      </c>
      <c r="AM263" s="20">
        <f>SUMIFS(estoque[valor total],estoque[fornecedor],"&lt;&gt;saída",estoque[produto],preçodiario[[#Headers],[OVO VERMELHO B]],estoque[data],preçodiario[[#This Row],[data]])</f>
        <v>0</v>
      </c>
      <c r="AN263" s="20">
        <f>IFERROR(preçodiario[[#This Row],[OVO VERMELHO B]]*preçodiario[[#This Row],[estoque BV]],0)</f>
        <v>0</v>
      </c>
      <c r="AO2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Row],[data]])),((AO262*AP262)+SUMIFS(estoque[valor total],estoque[produto],preçodiario[[#Headers],[OVO VERMELHO C]],estoque[data],preçodiario[[#This Row],[data]],estoque[fornecedor],"&lt;&gt;saída"))/(AP262+(SUMIFS(estoque[quantidade],estoque[produto],preçodiario[[#Headers],[OVO VERMELHO C]],estoque[fornecedor],"&lt;&gt;saída",estoque[data],preçodiario[[#This Row],[data]])))))</f>
        <v/>
      </c>
      <c r="AP263" s="22">
        <f>IF(preçodiario[[#This Row],[entrada CV]]=0,AP262-(SUMIFS(estoque[quantidade],estoque[fornecedor],"saída",estoque[produto],preçodiario[[#Headers],[OVO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Row],[data]]))+AP262+preçodiario[[#This Row],[entrada CV]])</f>
        <v>0</v>
      </c>
      <c r="AQ263" s="22">
        <f>SUMIFS(estoque[quantidade],estoque[fornecedor],"&lt;&gt;saída",estoque[produto],preçodiario[[#Headers],[OVO VERMELHO C]],estoque[data],preçodiario[[#This Row],[data]])</f>
        <v>0</v>
      </c>
      <c r="AR263" s="20">
        <f>SUMIFS(estoque[valor total],estoque[fornecedor],"&lt;&gt;saída",estoque[produto],preçodiario[[#Headers],[OVO VERMELHO C]],estoque[data],preçodiario[[#This Row],[data]])</f>
        <v>0</v>
      </c>
      <c r="AS263" s="20">
        <f>IFERROR(preçodiario[[#This Row],[OVO VERMELHO C]]*preçodiario[[#This Row],[estoque CV]],0)</f>
        <v>0</v>
      </c>
      <c r="AT2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Row],[data]])),((AT262*AU262)+SUMIFS(estoque[valor total],estoque[produto],preçodiario[[#Headers],[OVO VERMELHO EXTRA]],estoque[data],preçodiario[[#This Row],[data]],estoque[fornecedor],"&lt;&gt;saída"))/(AU262+(SUMIFS(estoque[quantidade],estoque[produto],preçodiario[[#Headers],[OVO VERMELHO EXTRA]],estoque[fornecedor],"&lt;&gt;saída",estoque[data],preçodiario[[#This Row],[data]])))))</f>
        <v/>
      </c>
      <c r="AU263" s="22">
        <f>IF(preçodiario[[#This Row],[entrada EV]]=0,AU262-(SUMIFS(estoque[quantidade],estoque[fornecedor],"saída",estoque[produto],preçodiario[[#Headers],[OVO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Row],[data]]))+AU262+preçodiario[[#This Row],[entrada EV]])</f>
        <v>0</v>
      </c>
      <c r="AV263" s="22">
        <f>SUMIFS(estoque[quantidade],estoque[fornecedor],"&lt;&gt;saída",estoque[produto],preçodiario[[#Headers],[OVO VERMELHO EXTRA]],estoque[data],preçodiario[[#This Row],[data]])</f>
        <v>0</v>
      </c>
      <c r="AW263" s="20">
        <f>SUMIFS(estoque[valor total],estoque[fornecedor],"&lt;&gt;saída",estoque[produto],preçodiario[[#Headers],[OVO VERMELHO EXTRA]],estoque[data],preçodiario[[#This Row],[data]])</f>
        <v>0</v>
      </c>
      <c r="AX263" s="20">
        <f>IFERROR(preçodiario[[#This Row],[OVO VERMELHO EXTRA]]*preçodiario[[#This Row],[estoque EV]],0)</f>
        <v>0</v>
      </c>
      <c r="AY2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Row],[data]])),((AY262*AZ262)+SUMIFS(estoque[valor total],estoque[produto],preçodiario[[#Headers],[OVO VERMELHO JUMBO]],estoque[data],preçodiario[[#This Row],[data]],estoque[fornecedor],"&lt;&gt;saída"))/(AZ262+(SUMIFS(estoque[quantidade],estoque[produto],preçodiario[[#Headers],[OVO VERMELHO JUMBO]],estoque[fornecedor],"&lt;&gt;saída",estoque[data],preçodiario[[#This Row],[data]])))))</f>
        <v/>
      </c>
      <c r="AZ263" s="22">
        <f>IF(preçodiario[[#This Row],[entrada JV]]=0,AZ262-(SUMIFS(estoque[quantidade],estoque[fornecedor],"saída",estoque[produto],preçodiario[[#Headers],[OVO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Row],[data]]))+AZ262+preçodiario[[#This Row],[entrada JV]])</f>
        <v>0</v>
      </c>
      <c r="BA263" s="22">
        <f>SUMIFS(estoque[quantidade],estoque[fornecedor],"&lt;&gt;saída",estoque[produto],preçodiario[[#Headers],[OVO VERMELHO JUMBO]],estoque[data],preçodiario[[#This Row],[data]])</f>
        <v>0</v>
      </c>
      <c r="BB263" s="20">
        <f>SUMIFS(estoque[valor total],estoque[fornecedor],"&lt;&gt;saída",estoque[produto],preçodiario[[#Headers],[OVO VERMELHO JUMBO]],estoque[data],preçodiario[[#This Row],[data]])</f>
        <v>0</v>
      </c>
      <c r="BC263" s="20">
        <f>IFERROR(preçodiario[[#This Row],[OVO VERMELHO JUMBO]]*preçodiario[[#This Row],[estoque JV]],0)</f>
        <v>0</v>
      </c>
      <c r="BD263" t="str">
        <f>TEXT(vendaAno[[#This Row],[data]],"mmm")</f>
        <v>set</v>
      </c>
      <c r="BE263" t="str">
        <f>TEXT(vendaAno[[#This Row],[data]],"ddd")</f>
        <v>sáb</v>
      </c>
      <c r="BF263" s="82">
        <f>WEEKNUM(vendaAno[[#This Row],[data]],13)</f>
        <v>38</v>
      </c>
      <c r="BG263" s="27">
        <f>preçodiario[[#This Row],[data]]</f>
        <v>46284</v>
      </c>
      <c r="BH2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Row],[data]]))/12+BJ262,"")</f>
        <v/>
      </c>
      <c r="BK263" s="79" t="str">
        <f ca="1">IF(TODAY()&gt;=vendaAno[[#This Row],[data]],IF(SUMIFS(estoque[quantidade],estoque[fornecedor],"saída",estoque[data],vendaAno[[#This Row],[data]])/12=0,AVERAGE(BK260:BK262),SUMIFS(estoque[quantidade],estoque[fornecedor],"saída",estoque[data],vendaAno[[#This Row],[data]])/12),"")</f>
        <v/>
      </c>
      <c r="BL263" s="8" t="str">
        <f ca="1">IF(vendaAno[[#This Row],[data]]&lt;=TODAY(),IF(SUMIFS(estoque[lucro],estoque[fornecedor],"saída",estoque[data],vendaAno[[#This Row],[data]])=0,AVERAGE(BL260:BL262),SUMIFS(estoque[lucro],estoque[fornecedor],"saída",estoque[data],vendaAno[[#This Row],[data]])),"")</f>
        <v/>
      </c>
      <c r="BM263" s="10" t="str">
        <f ca="1">IFERROR(vendaAno[[#This Row],[lucro]]/vendaAno[[#This Row],[valor de venda]],"")</f>
        <v/>
      </c>
      <c r="BN26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3" s="8" t="str">
        <f ca="1">IF(TODAY()&gt;=vendaAno[[#This Row],[data]],IF(vendaAno[[#This Row],[N°]]=BF262,vendaAno[[#This Row],[lucro]]-173.33+BO262,vendaAno[[#This Row],[lucro]]-150),"")</f>
        <v/>
      </c>
      <c r="BP263" s="81" t="str">
        <f ca="1">IF(TODAY()&gt;=vendaAno[[#This Row],[data]],SUM(BK257:BK263)*12,"")</f>
        <v/>
      </c>
      <c r="BQ263" s="7" t="str">
        <f ca="1">IFERROR(vendaAno[[#This Row],[lucro]]/(vendaAno[[#This Row],[venda]]*12),"")</f>
        <v/>
      </c>
    </row>
    <row r="264" spans="1:69" x14ac:dyDescent="0.25">
      <c r="A2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4" s="18" t="str">
        <f>TEXT(preçodiario[[#This Row],[data]],"MMM")</f>
        <v>set</v>
      </c>
      <c r="C264" s="18" t="str">
        <f>TEXT(preçodiario[[#This Row],[data]],"ddd")</f>
        <v>dom</v>
      </c>
      <c r="D264" s="96">
        <f>WEEKNUM(preçodiario[[#This Row],[data]],13)</f>
        <v>38</v>
      </c>
      <c r="E264" s="37">
        <v>46285</v>
      </c>
      <c r="F2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Row],[data]])),((F263*G263)+SUMIFS(estoque[valor total],estoque[produto],preçodiario[[#Headers],[OVO BRANCO A]],estoque[data],preçodiario[[#This Row],[data]],estoque[fornecedor],"&lt;&gt;saída"))/(G263+(SUMIFS(estoque[quantidade],estoque[produto],preçodiario[[#Headers],[OVO BRANCO A]],estoque[fornecedor],"&lt;&gt;saída",estoque[data],preçodiario[[#This Row],[data]])))))</f>
        <v>15.278182701652089</v>
      </c>
      <c r="G264" s="22">
        <f>IF(preçodiario[[#This Row],[entrada A]]=0,G263-(SUMIFS(estoque[quantidade],estoque[fornecedor],"saída",estoque[produto],preçodiario[[#Headers],[OVO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Row],[data]]))+G263+preçodiario[[#This Row],[entrada A]])</f>
        <v>133</v>
      </c>
      <c r="H264" s="22">
        <f>SUMIFS(estoque[quantidade],estoque[fornecedor],"&lt;&gt;saída",estoque[produto],preçodiario[[#Headers],[OVO BRANCO A]],estoque[data],preçodiario[[#This Row],[data]])</f>
        <v>0</v>
      </c>
      <c r="I264" s="20">
        <f>SUMIFS(estoque[valor total],estoque[fornecedor],"&lt;&gt;saída",estoque[produto],preçodiario[[#Headers],[OVO BRANCO A]],estoque[data],preçodiario[[#This Row],[data]])</f>
        <v>0</v>
      </c>
      <c r="J264" s="20">
        <f>IFERROR(preçodiario[[#This Row],[estoque A]]*preçodiario[[#This Row],[OVO BRANCO A]],0)</f>
        <v>2031.9982993197277</v>
      </c>
      <c r="K2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Row],[data]])),((K263*L263)+SUMIFS(estoque[valor total],estoque[produto],preçodiario[[#Headers],[OVO BRANCO B]],estoque[data],preçodiario[[#This Row],[data]],estoque[fornecedor],"&lt;&gt;saída"))/(L263+(SUMIFS(estoque[quantidade],estoque[produto],preçodiario[[#Headers],[OVO BRANCO B]],estoque[fornecedor],"&lt;&gt;saída",estoque[data],preçodiario[[#This Row],[data]])))))</f>
        <v>14.584252837326604</v>
      </c>
      <c r="L264" s="22">
        <f>IF(preçodiario[[#This Row],[entrada B]]=0,L263-(SUMIFS(estoque[quantidade],estoque[fornecedor],"saída",estoque[produto],preçodiario[[#Headers],[OVO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Row],[data]]))+L263+preçodiario[[#This Row],[entrada B]])</f>
        <v>16</v>
      </c>
      <c r="M264" s="22">
        <f>SUMIFS(estoque[quantidade],estoque[fornecedor],"&lt;&gt;saída",estoque[produto],preçodiario[[#Headers],[OVO BRANCO B]],estoque[data],preçodiario[[#This Row],[data]])</f>
        <v>0</v>
      </c>
      <c r="N264" s="20">
        <f>SUMIFS(estoque[valor total],estoque[fornecedor],"&lt;&gt;saída",estoque[produto],preçodiario[[#Headers],[OVO BRANCO B]],estoque[data],preçodiario[[#This Row],[data]])</f>
        <v>0</v>
      </c>
      <c r="O264" s="20">
        <f>IFERROR(preçodiario[[#This Row],[OVO BRANCO B]]*preçodiario[[#This Row],[estoque B]],0)</f>
        <v>233.34804539722566</v>
      </c>
      <c r="P2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Row],[data]])),((P263*Q263)+SUMIFS(estoque[valor total],estoque[produto],preçodiario[[#Headers],[OVO BRANCO C]],estoque[data],preçodiario[[#This Row],[data]],estoque[fornecedor],"&lt;&gt;saída"))/(Q263+(SUMIFS(estoque[quantidade],estoque[produto],preçodiario[[#Headers],[OVO BRANCO C]],estoque[fornecedor],"&lt;&gt;saída",estoque[data],preçodiario[[#This Row],[data]])))))</f>
        <v>12.5</v>
      </c>
      <c r="Q264" s="22">
        <f>IF(preçodiario[[#This Row],[entrada C]]=0,Q263-(SUMIFS(estoque[quantidade],estoque[fornecedor],"saída",estoque[produto],preçodiario[[#Headers],[OVO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Row],[data]]))+Q263+preçodiario[[#This Row],[entrada C]])</f>
        <v>60</v>
      </c>
      <c r="R264" s="22">
        <f>SUMIFS(estoque[quantidade],estoque[fornecedor],"&lt;&gt;saída",estoque[produto],preçodiario[[#Headers],[OVO BRANCO C]],estoque[data],preçodiario[[#This Row],[data]])</f>
        <v>0</v>
      </c>
      <c r="S264" s="20">
        <f>SUMIFS(estoque[valor total],estoque[fornecedor],"&lt;&gt;saída",estoque[produto],preçodiario[[#Headers],[OVO BRANCO C]],estoque[data],preçodiario[[#This Row],[data]])</f>
        <v>0</v>
      </c>
      <c r="T264" s="20">
        <f>IFERROR(preçodiario[[#This Row],[OVO BRANCO C]]*preçodiario[[#This Row],[estoque C]],0)</f>
        <v>750</v>
      </c>
      <c r="U2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Row],[data]])),((U263*V263)+SUMIFS(estoque[valor total],estoque[produto],preçodiario[[#Headers],[OVO BRANCO EXTRA]],estoque[data],preçodiario[[#This Row],[data]],estoque[fornecedor],"&lt;&gt;saída"))/(V263+(SUMIFS(estoque[quantidade],estoque[produto],preçodiario[[#Headers],[OVO BRANCO EXTRA]],estoque[fornecedor],"&lt;&gt;saída",estoque[data],preçodiario[[#This Row],[data]])))))</f>
        <v>15.725438400674655</v>
      </c>
      <c r="V264" s="22">
        <f>IF(preçodiario[[#This Row],[entrada E]]=0,V263-(SUMIFS(estoque[quantidade],estoque[fornecedor],"saída",estoque[produto],preçodiario[[#Headers],[OVO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Row],[data]]))+V263+preçodiario[[#This Row],[entrada E]])</f>
        <v>46</v>
      </c>
      <c r="W264" s="22">
        <f>SUMIFS(estoque[quantidade],estoque[fornecedor],"&lt;&gt;saída",estoque[produto],preçodiario[[#Headers],[OVO BRANCO EXTRA]],estoque[data],preçodiario[[#This Row],[data]])</f>
        <v>0</v>
      </c>
      <c r="X264" s="20">
        <f>SUMIFS(estoque[valor total],estoque[fornecedor],"&lt;&gt;saída",estoque[produto],preçodiario[[#Headers],[OVO BRANCO EXTRA]],estoque[data],preçodiario[[#This Row],[data]])</f>
        <v>0</v>
      </c>
      <c r="Y264" s="20">
        <f>IFERROR(preçodiario[[#This Row],[estoque E]]*preçodiario[[#This Row],[OVO BRANCO EXTRA]],0)</f>
        <v>723.37016643103414</v>
      </c>
      <c r="Z2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Row],[data]])),((Z263*AA263)+SUMIFS(estoque[valor total],estoque[produto],preçodiario[[#Headers],[OVO BRANCO JUMBO]],estoque[data],preçodiario[[#This Row],[data]],estoque[fornecedor],"&lt;&gt;saída"))/(AA263+(SUMIFS(estoque[quantidade],estoque[produto],preçodiario[[#Headers],[OVO BRANCO JUMBO]],estoque[fornecedor],"&lt;&gt;saída",estoque[data],preçodiario[[#This Row],[data]])))))</f>
        <v>16.50550595238095</v>
      </c>
      <c r="AA264" s="22">
        <f>IF(preçodiario[[#This Row],[entrada J]]=0,AA263-(SUMIFS(estoque[quantidade],estoque[fornecedor],"saída",estoque[produto],preçodiario[[#Headers],[OVO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Row],[data]]))+AA263+preçodiario[[#This Row],[entrada J]])</f>
        <v>75</v>
      </c>
      <c r="AB264" s="22">
        <f>SUMIFS(estoque[quantidade],estoque[fornecedor],"&lt;&gt;saída",estoque[produto],preçodiario[[#Headers],[OVO BRANCO JUMBO]],estoque[data],preçodiario[[#This Row],[data]])</f>
        <v>0</v>
      </c>
      <c r="AC264" s="20">
        <f>SUMIFS(estoque[valor total],estoque[fornecedor],"&lt;&gt;saída",estoque[produto],preçodiario[[#Headers],[OVO BRANCO JUMBO]],estoque[data],preçodiario[[#This Row],[data]])</f>
        <v>0</v>
      </c>
      <c r="AD264" s="20">
        <f>IFERROR(preçodiario[[#This Row],[OVO BRANCO JUMBO]]*preçodiario[[#This Row],[estoque J]],0)</f>
        <v>1237.9129464285713</v>
      </c>
      <c r="AE2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Row],[data]])),((AE263*AF263)+SUMIFS(estoque[valor total],estoque[produto],preçodiario[[#Headers],[OVO VERMELHO A]],estoque[data],preçodiario[[#This Row],[data]],estoque[fornecedor],"&lt;&gt;saída"))/(AF263+(SUMIFS(estoque[quantidade],estoque[produto],preçodiario[[#Headers],[OVO VERMELHO A]],estoque[fornecedor],"&lt;&gt;saída",estoque[data],preçodiario[[#This Row],[data]])))))</f>
        <v/>
      </c>
      <c r="AF264" s="22">
        <f>IF(preçodiario[[#This Row],[entrada AV]]=0,AF263-(SUMIFS(estoque[quantidade],estoque[fornecedor],"saída",estoque[produto],preçodiario[[#Headers],[OVO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Row],[data]]))+AF263+preçodiario[[#This Row],[entrada AV]])</f>
        <v>0</v>
      </c>
      <c r="AG264" s="22">
        <f>SUMIFS(estoque[quantidade],estoque[fornecedor],"&lt;&gt;saída",estoque[produto],preçodiario[[#Headers],[OVO VERMELHO A]],estoque[data],preçodiario[[#This Row],[data]])</f>
        <v>0</v>
      </c>
      <c r="AH264" s="20">
        <f>SUMIFS(estoque[valor total],estoque[fornecedor],"&lt;&gt;saída",estoque[produto],preçodiario[[#Headers],[OVO VERMELHO A]],estoque[data],preçodiario[[#This Row],[data]])</f>
        <v>0</v>
      </c>
      <c r="AI264" s="20">
        <f>IFERROR(preçodiario[[#This Row],[OVO VERMELHO A]]*preçodiario[[#This Row],[estoque AV]],0)</f>
        <v>0</v>
      </c>
      <c r="AJ2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Row],[data]])),((AJ263*AK263)+SUMIFS(estoque[valor total],estoque[produto],preçodiario[[#Headers],[OVO VERMELHO B]],estoque[data],preçodiario[[#This Row],[data]],estoque[fornecedor],"&lt;&gt;saída"))/(AK263+(SUMIFS(estoque[quantidade],estoque[produto],preçodiario[[#Headers],[OVO VERMELHO B]],estoque[fornecedor],"&lt;&gt;saída",estoque[data],preçodiario[[#This Row],[data]])))))</f>
        <v/>
      </c>
      <c r="AK264" s="22">
        <f>IF(preçodiario[[#This Row],[entrada BV]]=0,AK263-(SUMIFS(estoque[quantidade],estoque[fornecedor],"saída",estoque[produto],preçodiario[[#Headers],[OVO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Row],[data]]))+AK263+preçodiario[[#This Row],[entrada BV]])</f>
        <v>0</v>
      </c>
      <c r="AL264" s="22">
        <f>SUMIFS(estoque[quantidade],estoque[fornecedor],"&lt;&gt;saída",estoque[produto],preçodiario[[#Headers],[OVO VERMELHO B]],estoque[data],preçodiario[[#This Row],[data]])</f>
        <v>0</v>
      </c>
      <c r="AM264" s="20">
        <f>SUMIFS(estoque[valor total],estoque[fornecedor],"&lt;&gt;saída",estoque[produto],preçodiario[[#Headers],[OVO VERMELHO B]],estoque[data],preçodiario[[#This Row],[data]])</f>
        <v>0</v>
      </c>
      <c r="AN264" s="20">
        <f>IFERROR(preçodiario[[#This Row],[OVO VERMELHO B]]*preçodiario[[#This Row],[estoque BV]],0)</f>
        <v>0</v>
      </c>
      <c r="AO2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Row],[data]])),((AO263*AP263)+SUMIFS(estoque[valor total],estoque[produto],preçodiario[[#Headers],[OVO VERMELHO C]],estoque[data],preçodiario[[#This Row],[data]],estoque[fornecedor],"&lt;&gt;saída"))/(AP263+(SUMIFS(estoque[quantidade],estoque[produto],preçodiario[[#Headers],[OVO VERMELHO C]],estoque[fornecedor],"&lt;&gt;saída",estoque[data],preçodiario[[#This Row],[data]])))))</f>
        <v/>
      </c>
      <c r="AP264" s="22">
        <f>IF(preçodiario[[#This Row],[entrada CV]]=0,AP263-(SUMIFS(estoque[quantidade],estoque[fornecedor],"saída",estoque[produto],preçodiario[[#Headers],[OVO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Row],[data]]))+AP263+preçodiario[[#This Row],[entrada CV]])</f>
        <v>0</v>
      </c>
      <c r="AQ264" s="22">
        <f>SUMIFS(estoque[quantidade],estoque[fornecedor],"&lt;&gt;saída",estoque[produto],preçodiario[[#Headers],[OVO VERMELHO C]],estoque[data],preçodiario[[#This Row],[data]])</f>
        <v>0</v>
      </c>
      <c r="AR264" s="20">
        <f>SUMIFS(estoque[valor total],estoque[fornecedor],"&lt;&gt;saída",estoque[produto],preçodiario[[#Headers],[OVO VERMELHO C]],estoque[data],preçodiario[[#This Row],[data]])</f>
        <v>0</v>
      </c>
      <c r="AS264" s="20">
        <f>IFERROR(preçodiario[[#This Row],[OVO VERMELHO C]]*preçodiario[[#This Row],[estoque CV]],0)</f>
        <v>0</v>
      </c>
      <c r="AT2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Row],[data]])),((AT263*AU263)+SUMIFS(estoque[valor total],estoque[produto],preçodiario[[#Headers],[OVO VERMELHO EXTRA]],estoque[data],preçodiario[[#This Row],[data]],estoque[fornecedor],"&lt;&gt;saída"))/(AU263+(SUMIFS(estoque[quantidade],estoque[produto],preçodiario[[#Headers],[OVO VERMELHO EXTRA]],estoque[fornecedor],"&lt;&gt;saída",estoque[data],preçodiario[[#This Row],[data]])))))</f>
        <v/>
      </c>
      <c r="AU264" s="22">
        <f>IF(preçodiario[[#This Row],[entrada EV]]=0,AU263-(SUMIFS(estoque[quantidade],estoque[fornecedor],"saída",estoque[produto],preçodiario[[#Headers],[OVO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Row],[data]]))+AU263+preçodiario[[#This Row],[entrada EV]])</f>
        <v>0</v>
      </c>
      <c r="AV264" s="22">
        <f>SUMIFS(estoque[quantidade],estoque[fornecedor],"&lt;&gt;saída",estoque[produto],preçodiario[[#Headers],[OVO VERMELHO EXTRA]],estoque[data],preçodiario[[#This Row],[data]])</f>
        <v>0</v>
      </c>
      <c r="AW264" s="20">
        <f>SUMIFS(estoque[valor total],estoque[fornecedor],"&lt;&gt;saída",estoque[produto],preçodiario[[#Headers],[OVO VERMELHO EXTRA]],estoque[data],preçodiario[[#This Row],[data]])</f>
        <v>0</v>
      </c>
      <c r="AX264" s="20">
        <f>IFERROR(preçodiario[[#This Row],[OVO VERMELHO EXTRA]]*preçodiario[[#This Row],[estoque EV]],0)</f>
        <v>0</v>
      </c>
      <c r="AY2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Row],[data]])),((AY263*AZ263)+SUMIFS(estoque[valor total],estoque[produto],preçodiario[[#Headers],[OVO VERMELHO JUMBO]],estoque[data],preçodiario[[#This Row],[data]],estoque[fornecedor],"&lt;&gt;saída"))/(AZ263+(SUMIFS(estoque[quantidade],estoque[produto],preçodiario[[#Headers],[OVO VERMELHO JUMBO]],estoque[fornecedor],"&lt;&gt;saída",estoque[data],preçodiario[[#This Row],[data]])))))</f>
        <v/>
      </c>
      <c r="AZ264" s="22">
        <f>IF(preçodiario[[#This Row],[entrada JV]]=0,AZ263-(SUMIFS(estoque[quantidade],estoque[fornecedor],"saída",estoque[produto],preçodiario[[#Headers],[OVO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Row],[data]]))+AZ263+preçodiario[[#This Row],[entrada JV]])</f>
        <v>0</v>
      </c>
      <c r="BA264" s="22">
        <f>SUMIFS(estoque[quantidade],estoque[fornecedor],"&lt;&gt;saída",estoque[produto],preçodiario[[#Headers],[OVO VERMELHO JUMBO]],estoque[data],preçodiario[[#This Row],[data]])</f>
        <v>0</v>
      </c>
      <c r="BB264" s="20">
        <f>SUMIFS(estoque[valor total],estoque[fornecedor],"&lt;&gt;saída",estoque[produto],preçodiario[[#Headers],[OVO VERMELHO JUMBO]],estoque[data],preçodiario[[#This Row],[data]])</f>
        <v>0</v>
      </c>
      <c r="BC264" s="20">
        <f>IFERROR(preçodiario[[#This Row],[OVO VERMELHO JUMBO]]*preçodiario[[#This Row],[estoque JV]],0)</f>
        <v>0</v>
      </c>
      <c r="BD264" t="str">
        <f>TEXT(vendaAno[[#This Row],[data]],"mmm")</f>
        <v>set</v>
      </c>
      <c r="BE264" t="str">
        <f>TEXT(vendaAno[[#This Row],[data]],"ddd")</f>
        <v>dom</v>
      </c>
      <c r="BF264" s="82">
        <f>WEEKNUM(vendaAno[[#This Row],[data]],13)</f>
        <v>38</v>
      </c>
      <c r="BG264" s="27">
        <f>preçodiario[[#This Row],[data]]</f>
        <v>46285</v>
      </c>
      <c r="BH2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Row],[data]]))/12+BJ263,"")</f>
        <v/>
      </c>
      <c r="BK264" s="79" t="str">
        <f ca="1">IF(TODAY()&gt;=vendaAno[[#This Row],[data]],IF(SUMIFS(estoque[quantidade],estoque[fornecedor],"saída",estoque[data],vendaAno[[#This Row],[data]])/12=0,AVERAGE(BK261:BK263),SUMIFS(estoque[quantidade],estoque[fornecedor],"saída",estoque[data],vendaAno[[#This Row],[data]])/12),"")</f>
        <v/>
      </c>
      <c r="BL264" s="8" t="str">
        <f ca="1">IF(vendaAno[[#This Row],[data]]&lt;=TODAY(),IF(SUMIFS(estoque[lucro],estoque[fornecedor],"saída",estoque[data],vendaAno[[#This Row],[data]])=0,AVERAGE(BL261:BL263),SUMIFS(estoque[lucro],estoque[fornecedor],"saída",estoque[data],vendaAno[[#This Row],[data]])),"")</f>
        <v/>
      </c>
      <c r="BM264" s="10" t="str">
        <f ca="1">IFERROR(vendaAno[[#This Row],[lucro]]/vendaAno[[#This Row],[valor de venda]],"")</f>
        <v/>
      </c>
      <c r="BN26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4" s="8" t="str">
        <f ca="1">IF(TODAY()&gt;=vendaAno[[#This Row],[data]],IF(vendaAno[[#This Row],[N°]]=BF263,vendaAno[[#This Row],[lucro]]-173.33+BO263,vendaAno[[#This Row],[lucro]]-150),"")</f>
        <v/>
      </c>
      <c r="BP264" s="81" t="str">
        <f ca="1">IF(TODAY()&gt;=vendaAno[[#This Row],[data]],SUM(BK258:BK264)*12,"")</f>
        <v/>
      </c>
      <c r="BQ264" s="7" t="str">
        <f ca="1">IFERROR(vendaAno[[#This Row],[lucro]]/(vendaAno[[#This Row],[venda]]*12),"")</f>
        <v/>
      </c>
    </row>
    <row r="265" spans="1:69" x14ac:dyDescent="0.25">
      <c r="A2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5" s="18" t="str">
        <f>TEXT(preçodiario[[#This Row],[data]],"MMM")</f>
        <v>set</v>
      </c>
      <c r="C265" s="18" t="str">
        <f>TEXT(preçodiario[[#This Row],[data]],"ddd")</f>
        <v>seg</v>
      </c>
      <c r="D265" s="96">
        <f>WEEKNUM(preçodiario[[#This Row],[data]],13)</f>
        <v>38</v>
      </c>
      <c r="E265" s="37">
        <v>46286</v>
      </c>
      <c r="F2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Row],[data]])),((F264*G264)+SUMIFS(estoque[valor total],estoque[produto],preçodiario[[#Headers],[OVO BRANCO A]],estoque[data],preçodiario[[#This Row],[data]],estoque[fornecedor],"&lt;&gt;saída"))/(G264+(SUMIFS(estoque[quantidade],estoque[produto],preçodiario[[#Headers],[OVO BRANCO A]],estoque[fornecedor],"&lt;&gt;saída",estoque[data],preçodiario[[#This Row],[data]])))))</f>
        <v>15.278182701652089</v>
      </c>
      <c r="G265" s="22">
        <f>IF(preçodiario[[#This Row],[entrada A]]=0,G264-(SUMIFS(estoque[quantidade],estoque[fornecedor],"saída",estoque[produto],preçodiario[[#Headers],[OVO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Row],[data]]))+G264+preçodiario[[#This Row],[entrada A]])</f>
        <v>133</v>
      </c>
      <c r="H265" s="22">
        <f>SUMIFS(estoque[quantidade],estoque[fornecedor],"&lt;&gt;saída",estoque[produto],preçodiario[[#Headers],[OVO BRANCO A]],estoque[data],preçodiario[[#This Row],[data]])</f>
        <v>0</v>
      </c>
      <c r="I265" s="20">
        <f>SUMIFS(estoque[valor total],estoque[fornecedor],"&lt;&gt;saída",estoque[produto],preçodiario[[#Headers],[OVO BRANCO A]],estoque[data],preçodiario[[#This Row],[data]])</f>
        <v>0</v>
      </c>
      <c r="J265" s="20">
        <f>IFERROR(preçodiario[[#This Row],[estoque A]]*preçodiario[[#This Row],[OVO BRANCO A]],0)</f>
        <v>2031.9982993197277</v>
      </c>
      <c r="K2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Row],[data]])),((K264*L264)+SUMIFS(estoque[valor total],estoque[produto],preçodiario[[#Headers],[OVO BRANCO B]],estoque[data],preçodiario[[#This Row],[data]],estoque[fornecedor],"&lt;&gt;saída"))/(L264+(SUMIFS(estoque[quantidade],estoque[produto],preçodiario[[#Headers],[OVO BRANCO B]],estoque[fornecedor],"&lt;&gt;saída",estoque[data],preçodiario[[#This Row],[data]])))))</f>
        <v>14.584252837326604</v>
      </c>
      <c r="L265" s="22">
        <f>IF(preçodiario[[#This Row],[entrada B]]=0,L264-(SUMIFS(estoque[quantidade],estoque[fornecedor],"saída",estoque[produto],preçodiario[[#Headers],[OVO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Row],[data]]))+L264+preçodiario[[#This Row],[entrada B]])</f>
        <v>16</v>
      </c>
      <c r="M265" s="22">
        <f>SUMIFS(estoque[quantidade],estoque[fornecedor],"&lt;&gt;saída",estoque[produto],preçodiario[[#Headers],[OVO BRANCO B]],estoque[data],preçodiario[[#This Row],[data]])</f>
        <v>0</v>
      </c>
      <c r="N265" s="20">
        <f>SUMIFS(estoque[valor total],estoque[fornecedor],"&lt;&gt;saída",estoque[produto],preçodiario[[#Headers],[OVO BRANCO B]],estoque[data],preçodiario[[#This Row],[data]])</f>
        <v>0</v>
      </c>
      <c r="O265" s="20">
        <f>IFERROR(preçodiario[[#This Row],[OVO BRANCO B]]*preçodiario[[#This Row],[estoque B]],0)</f>
        <v>233.34804539722566</v>
      </c>
      <c r="P2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Row],[data]])),((P264*Q264)+SUMIFS(estoque[valor total],estoque[produto],preçodiario[[#Headers],[OVO BRANCO C]],estoque[data],preçodiario[[#This Row],[data]],estoque[fornecedor],"&lt;&gt;saída"))/(Q264+(SUMIFS(estoque[quantidade],estoque[produto],preçodiario[[#Headers],[OVO BRANCO C]],estoque[fornecedor],"&lt;&gt;saída",estoque[data],preçodiario[[#This Row],[data]])))))</f>
        <v>12.5</v>
      </c>
      <c r="Q265" s="22">
        <f>IF(preçodiario[[#This Row],[entrada C]]=0,Q264-(SUMIFS(estoque[quantidade],estoque[fornecedor],"saída",estoque[produto],preçodiario[[#Headers],[OVO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Row],[data]]))+Q264+preçodiario[[#This Row],[entrada C]])</f>
        <v>60</v>
      </c>
      <c r="R265" s="22">
        <f>SUMIFS(estoque[quantidade],estoque[fornecedor],"&lt;&gt;saída",estoque[produto],preçodiario[[#Headers],[OVO BRANCO C]],estoque[data],preçodiario[[#This Row],[data]])</f>
        <v>0</v>
      </c>
      <c r="S265" s="20">
        <f>SUMIFS(estoque[valor total],estoque[fornecedor],"&lt;&gt;saída",estoque[produto],preçodiario[[#Headers],[OVO BRANCO C]],estoque[data],preçodiario[[#This Row],[data]])</f>
        <v>0</v>
      </c>
      <c r="T265" s="20">
        <f>IFERROR(preçodiario[[#This Row],[OVO BRANCO C]]*preçodiario[[#This Row],[estoque C]],0)</f>
        <v>750</v>
      </c>
      <c r="U2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Row],[data]])),((U264*V264)+SUMIFS(estoque[valor total],estoque[produto],preçodiario[[#Headers],[OVO BRANCO EXTRA]],estoque[data],preçodiario[[#This Row],[data]],estoque[fornecedor],"&lt;&gt;saída"))/(V264+(SUMIFS(estoque[quantidade],estoque[produto],preçodiario[[#Headers],[OVO BRANCO EXTRA]],estoque[fornecedor],"&lt;&gt;saída",estoque[data],preçodiario[[#This Row],[data]])))))</f>
        <v>15.725438400674655</v>
      </c>
      <c r="V265" s="22">
        <f>IF(preçodiario[[#This Row],[entrada E]]=0,V264-(SUMIFS(estoque[quantidade],estoque[fornecedor],"saída",estoque[produto],preçodiario[[#Headers],[OVO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Row],[data]]))+V264+preçodiario[[#This Row],[entrada E]])</f>
        <v>46</v>
      </c>
      <c r="W265" s="22">
        <f>SUMIFS(estoque[quantidade],estoque[fornecedor],"&lt;&gt;saída",estoque[produto],preçodiario[[#Headers],[OVO BRANCO EXTRA]],estoque[data],preçodiario[[#This Row],[data]])</f>
        <v>0</v>
      </c>
      <c r="X265" s="20">
        <f>SUMIFS(estoque[valor total],estoque[fornecedor],"&lt;&gt;saída",estoque[produto],preçodiario[[#Headers],[OVO BRANCO EXTRA]],estoque[data],preçodiario[[#This Row],[data]])</f>
        <v>0</v>
      </c>
      <c r="Y265" s="20">
        <f>IFERROR(preçodiario[[#This Row],[estoque E]]*preçodiario[[#This Row],[OVO BRANCO EXTRA]],0)</f>
        <v>723.37016643103414</v>
      </c>
      <c r="Z2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Row],[data]])),((Z264*AA264)+SUMIFS(estoque[valor total],estoque[produto],preçodiario[[#Headers],[OVO BRANCO JUMBO]],estoque[data],preçodiario[[#This Row],[data]],estoque[fornecedor],"&lt;&gt;saída"))/(AA264+(SUMIFS(estoque[quantidade],estoque[produto],preçodiario[[#Headers],[OVO BRANCO JUMBO]],estoque[fornecedor],"&lt;&gt;saída",estoque[data],preçodiario[[#This Row],[data]])))))</f>
        <v>16.50550595238095</v>
      </c>
      <c r="AA265" s="22">
        <f>IF(preçodiario[[#This Row],[entrada J]]=0,AA264-(SUMIFS(estoque[quantidade],estoque[fornecedor],"saída",estoque[produto],preçodiario[[#Headers],[OVO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Row],[data]]))+AA264+preçodiario[[#This Row],[entrada J]])</f>
        <v>75</v>
      </c>
      <c r="AB265" s="22">
        <f>SUMIFS(estoque[quantidade],estoque[fornecedor],"&lt;&gt;saída",estoque[produto],preçodiario[[#Headers],[OVO BRANCO JUMBO]],estoque[data],preçodiario[[#This Row],[data]])</f>
        <v>0</v>
      </c>
      <c r="AC265" s="20">
        <f>SUMIFS(estoque[valor total],estoque[fornecedor],"&lt;&gt;saída",estoque[produto],preçodiario[[#Headers],[OVO BRANCO JUMBO]],estoque[data],preçodiario[[#This Row],[data]])</f>
        <v>0</v>
      </c>
      <c r="AD265" s="20">
        <f>IFERROR(preçodiario[[#This Row],[OVO BRANCO JUMBO]]*preçodiario[[#This Row],[estoque J]],0)</f>
        <v>1237.9129464285713</v>
      </c>
      <c r="AE2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Row],[data]])),((AE264*AF264)+SUMIFS(estoque[valor total],estoque[produto],preçodiario[[#Headers],[OVO VERMELHO A]],estoque[data],preçodiario[[#This Row],[data]],estoque[fornecedor],"&lt;&gt;saída"))/(AF264+(SUMIFS(estoque[quantidade],estoque[produto],preçodiario[[#Headers],[OVO VERMELHO A]],estoque[fornecedor],"&lt;&gt;saída",estoque[data],preçodiario[[#This Row],[data]])))))</f>
        <v/>
      </c>
      <c r="AF265" s="22">
        <f>IF(preçodiario[[#This Row],[entrada AV]]=0,AF264-(SUMIFS(estoque[quantidade],estoque[fornecedor],"saída",estoque[produto],preçodiario[[#Headers],[OVO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Row],[data]]))+AF264+preçodiario[[#This Row],[entrada AV]])</f>
        <v>0</v>
      </c>
      <c r="AG265" s="22">
        <f>SUMIFS(estoque[quantidade],estoque[fornecedor],"&lt;&gt;saída",estoque[produto],preçodiario[[#Headers],[OVO VERMELHO A]],estoque[data],preçodiario[[#This Row],[data]])</f>
        <v>0</v>
      </c>
      <c r="AH265" s="20">
        <f>SUMIFS(estoque[valor total],estoque[fornecedor],"&lt;&gt;saída",estoque[produto],preçodiario[[#Headers],[OVO VERMELHO A]],estoque[data],preçodiario[[#This Row],[data]])</f>
        <v>0</v>
      </c>
      <c r="AI265" s="20">
        <f>IFERROR(preçodiario[[#This Row],[OVO VERMELHO A]]*preçodiario[[#This Row],[estoque AV]],0)</f>
        <v>0</v>
      </c>
      <c r="AJ2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Row],[data]])),((AJ264*AK264)+SUMIFS(estoque[valor total],estoque[produto],preçodiario[[#Headers],[OVO VERMELHO B]],estoque[data],preçodiario[[#This Row],[data]],estoque[fornecedor],"&lt;&gt;saída"))/(AK264+(SUMIFS(estoque[quantidade],estoque[produto],preçodiario[[#Headers],[OVO VERMELHO B]],estoque[fornecedor],"&lt;&gt;saída",estoque[data],preçodiario[[#This Row],[data]])))))</f>
        <v/>
      </c>
      <c r="AK265" s="22">
        <f>IF(preçodiario[[#This Row],[entrada BV]]=0,AK264-(SUMIFS(estoque[quantidade],estoque[fornecedor],"saída",estoque[produto],preçodiario[[#Headers],[OVO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Row],[data]]))+AK264+preçodiario[[#This Row],[entrada BV]])</f>
        <v>0</v>
      </c>
      <c r="AL265" s="22">
        <f>SUMIFS(estoque[quantidade],estoque[fornecedor],"&lt;&gt;saída",estoque[produto],preçodiario[[#Headers],[OVO VERMELHO B]],estoque[data],preçodiario[[#This Row],[data]])</f>
        <v>0</v>
      </c>
      <c r="AM265" s="20">
        <f>SUMIFS(estoque[valor total],estoque[fornecedor],"&lt;&gt;saída",estoque[produto],preçodiario[[#Headers],[OVO VERMELHO B]],estoque[data],preçodiario[[#This Row],[data]])</f>
        <v>0</v>
      </c>
      <c r="AN265" s="20">
        <f>IFERROR(preçodiario[[#This Row],[OVO VERMELHO B]]*preçodiario[[#This Row],[estoque BV]],0)</f>
        <v>0</v>
      </c>
      <c r="AO2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Row],[data]])),((AO264*AP264)+SUMIFS(estoque[valor total],estoque[produto],preçodiario[[#Headers],[OVO VERMELHO C]],estoque[data],preçodiario[[#This Row],[data]],estoque[fornecedor],"&lt;&gt;saída"))/(AP264+(SUMIFS(estoque[quantidade],estoque[produto],preçodiario[[#Headers],[OVO VERMELHO C]],estoque[fornecedor],"&lt;&gt;saída",estoque[data],preçodiario[[#This Row],[data]])))))</f>
        <v/>
      </c>
      <c r="AP265" s="22">
        <f>IF(preçodiario[[#This Row],[entrada CV]]=0,AP264-(SUMIFS(estoque[quantidade],estoque[fornecedor],"saída",estoque[produto],preçodiario[[#Headers],[OVO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Row],[data]]))+AP264+preçodiario[[#This Row],[entrada CV]])</f>
        <v>0</v>
      </c>
      <c r="AQ265" s="22">
        <f>SUMIFS(estoque[quantidade],estoque[fornecedor],"&lt;&gt;saída",estoque[produto],preçodiario[[#Headers],[OVO VERMELHO C]],estoque[data],preçodiario[[#This Row],[data]])</f>
        <v>0</v>
      </c>
      <c r="AR265" s="20">
        <f>SUMIFS(estoque[valor total],estoque[fornecedor],"&lt;&gt;saída",estoque[produto],preçodiario[[#Headers],[OVO VERMELHO C]],estoque[data],preçodiario[[#This Row],[data]])</f>
        <v>0</v>
      </c>
      <c r="AS265" s="20">
        <f>IFERROR(preçodiario[[#This Row],[OVO VERMELHO C]]*preçodiario[[#This Row],[estoque CV]],0)</f>
        <v>0</v>
      </c>
      <c r="AT2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Row],[data]])),((AT264*AU264)+SUMIFS(estoque[valor total],estoque[produto],preçodiario[[#Headers],[OVO VERMELHO EXTRA]],estoque[data],preçodiario[[#This Row],[data]],estoque[fornecedor],"&lt;&gt;saída"))/(AU264+(SUMIFS(estoque[quantidade],estoque[produto],preçodiario[[#Headers],[OVO VERMELHO EXTRA]],estoque[fornecedor],"&lt;&gt;saída",estoque[data],preçodiario[[#This Row],[data]])))))</f>
        <v/>
      </c>
      <c r="AU265" s="22">
        <f>IF(preçodiario[[#This Row],[entrada EV]]=0,AU264-(SUMIFS(estoque[quantidade],estoque[fornecedor],"saída",estoque[produto],preçodiario[[#Headers],[OVO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Row],[data]]))+AU264+preçodiario[[#This Row],[entrada EV]])</f>
        <v>0</v>
      </c>
      <c r="AV265" s="22">
        <f>SUMIFS(estoque[quantidade],estoque[fornecedor],"&lt;&gt;saída",estoque[produto],preçodiario[[#Headers],[OVO VERMELHO EXTRA]],estoque[data],preçodiario[[#This Row],[data]])</f>
        <v>0</v>
      </c>
      <c r="AW265" s="20">
        <f>SUMIFS(estoque[valor total],estoque[fornecedor],"&lt;&gt;saída",estoque[produto],preçodiario[[#Headers],[OVO VERMELHO EXTRA]],estoque[data],preçodiario[[#This Row],[data]])</f>
        <v>0</v>
      </c>
      <c r="AX265" s="20">
        <f>IFERROR(preçodiario[[#This Row],[OVO VERMELHO EXTRA]]*preçodiario[[#This Row],[estoque EV]],0)</f>
        <v>0</v>
      </c>
      <c r="AY2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Row],[data]])),((AY264*AZ264)+SUMIFS(estoque[valor total],estoque[produto],preçodiario[[#Headers],[OVO VERMELHO JUMBO]],estoque[data],preçodiario[[#This Row],[data]],estoque[fornecedor],"&lt;&gt;saída"))/(AZ264+(SUMIFS(estoque[quantidade],estoque[produto],preçodiario[[#Headers],[OVO VERMELHO JUMBO]],estoque[fornecedor],"&lt;&gt;saída",estoque[data],preçodiario[[#This Row],[data]])))))</f>
        <v/>
      </c>
      <c r="AZ265" s="22">
        <f>IF(preçodiario[[#This Row],[entrada JV]]=0,AZ264-(SUMIFS(estoque[quantidade],estoque[fornecedor],"saída",estoque[produto],preçodiario[[#Headers],[OVO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Row],[data]]))+AZ264+preçodiario[[#This Row],[entrada JV]])</f>
        <v>0</v>
      </c>
      <c r="BA265" s="22">
        <f>SUMIFS(estoque[quantidade],estoque[fornecedor],"&lt;&gt;saída",estoque[produto],preçodiario[[#Headers],[OVO VERMELHO JUMBO]],estoque[data],preçodiario[[#This Row],[data]])</f>
        <v>0</v>
      </c>
      <c r="BB265" s="20">
        <f>SUMIFS(estoque[valor total],estoque[fornecedor],"&lt;&gt;saída",estoque[produto],preçodiario[[#Headers],[OVO VERMELHO JUMBO]],estoque[data],preçodiario[[#This Row],[data]])</f>
        <v>0</v>
      </c>
      <c r="BC265" s="20">
        <f>IFERROR(preçodiario[[#This Row],[OVO VERMELHO JUMBO]]*preçodiario[[#This Row],[estoque JV]],0)</f>
        <v>0</v>
      </c>
      <c r="BD265" t="str">
        <f>TEXT(vendaAno[[#This Row],[data]],"mmm")</f>
        <v>set</v>
      </c>
      <c r="BE265" t="str">
        <f>TEXT(vendaAno[[#This Row],[data]],"ddd")</f>
        <v>seg</v>
      </c>
      <c r="BF265" s="82">
        <f>WEEKNUM(vendaAno[[#This Row],[data]],13)</f>
        <v>38</v>
      </c>
      <c r="BG265" s="27">
        <f>preçodiario[[#This Row],[data]]</f>
        <v>46286</v>
      </c>
      <c r="BH2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Row],[data]]))/12+BJ264,"")</f>
        <v/>
      </c>
      <c r="BK265" s="79" t="str">
        <f ca="1">IF(TODAY()&gt;=vendaAno[[#This Row],[data]],IF(SUMIFS(estoque[quantidade],estoque[fornecedor],"saída",estoque[data],vendaAno[[#This Row],[data]])/12=0,AVERAGE(BK262:BK264),SUMIFS(estoque[quantidade],estoque[fornecedor],"saída",estoque[data],vendaAno[[#This Row],[data]])/12),"")</f>
        <v/>
      </c>
      <c r="BL265" s="8" t="str">
        <f ca="1">IF(vendaAno[[#This Row],[data]]&lt;=TODAY(),IF(SUMIFS(estoque[lucro],estoque[fornecedor],"saída",estoque[data],vendaAno[[#This Row],[data]])=0,AVERAGE(BL262:BL264),SUMIFS(estoque[lucro],estoque[fornecedor],"saída",estoque[data],vendaAno[[#This Row],[data]])),"")</f>
        <v/>
      </c>
      <c r="BM265" s="10" t="str">
        <f ca="1">IFERROR(vendaAno[[#This Row],[lucro]]/vendaAno[[#This Row],[valor de venda]],"")</f>
        <v/>
      </c>
      <c r="BN26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5" s="8" t="str">
        <f ca="1">IF(TODAY()&gt;=vendaAno[[#This Row],[data]],IF(vendaAno[[#This Row],[N°]]=BF264,vendaAno[[#This Row],[lucro]]-173.33+BO264,vendaAno[[#This Row],[lucro]]-150),"")</f>
        <v/>
      </c>
      <c r="BP265" s="81" t="str">
        <f ca="1">IF(TODAY()&gt;=vendaAno[[#This Row],[data]],SUM(BK259:BK265)*12,"")</f>
        <v/>
      </c>
      <c r="BQ265" s="7" t="str">
        <f ca="1">IFERROR(vendaAno[[#This Row],[lucro]]/(vendaAno[[#This Row],[venda]]*12),"")</f>
        <v/>
      </c>
    </row>
    <row r="266" spans="1:69" x14ac:dyDescent="0.25">
      <c r="A2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6" s="18" t="str">
        <f>TEXT(preçodiario[[#This Row],[data]],"MMM")</f>
        <v>set</v>
      </c>
      <c r="C266" s="18" t="str">
        <f>TEXT(preçodiario[[#This Row],[data]],"ddd")</f>
        <v>ter</v>
      </c>
      <c r="D266" s="96">
        <f>WEEKNUM(preçodiario[[#This Row],[data]],13)</f>
        <v>38</v>
      </c>
      <c r="E266" s="37">
        <v>46287</v>
      </c>
      <c r="F2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Row],[data]])),((F265*G265)+SUMIFS(estoque[valor total],estoque[produto],preçodiario[[#Headers],[OVO BRANCO A]],estoque[data],preçodiario[[#This Row],[data]],estoque[fornecedor],"&lt;&gt;saída"))/(G265+(SUMIFS(estoque[quantidade],estoque[produto],preçodiario[[#Headers],[OVO BRANCO A]],estoque[fornecedor],"&lt;&gt;saída",estoque[data],preçodiario[[#This Row],[data]])))))</f>
        <v>15.278182701652089</v>
      </c>
      <c r="G266" s="22">
        <f>IF(preçodiario[[#This Row],[entrada A]]=0,G265-(SUMIFS(estoque[quantidade],estoque[fornecedor],"saída",estoque[produto],preçodiario[[#Headers],[OVO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Row],[data]]))+G265+preçodiario[[#This Row],[entrada A]])</f>
        <v>133</v>
      </c>
      <c r="H266" s="22">
        <f>SUMIFS(estoque[quantidade],estoque[fornecedor],"&lt;&gt;saída",estoque[produto],preçodiario[[#Headers],[OVO BRANCO A]],estoque[data],preçodiario[[#This Row],[data]])</f>
        <v>0</v>
      </c>
      <c r="I266" s="20">
        <f>SUMIFS(estoque[valor total],estoque[fornecedor],"&lt;&gt;saída",estoque[produto],preçodiario[[#Headers],[OVO BRANCO A]],estoque[data],preçodiario[[#This Row],[data]])</f>
        <v>0</v>
      </c>
      <c r="J266" s="20">
        <f>IFERROR(preçodiario[[#This Row],[estoque A]]*preçodiario[[#This Row],[OVO BRANCO A]],0)</f>
        <v>2031.9982993197277</v>
      </c>
      <c r="K2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Row],[data]])),((K265*L265)+SUMIFS(estoque[valor total],estoque[produto],preçodiario[[#Headers],[OVO BRANCO B]],estoque[data],preçodiario[[#This Row],[data]],estoque[fornecedor],"&lt;&gt;saída"))/(L265+(SUMIFS(estoque[quantidade],estoque[produto],preçodiario[[#Headers],[OVO BRANCO B]],estoque[fornecedor],"&lt;&gt;saída",estoque[data],preçodiario[[#This Row],[data]])))))</f>
        <v>14.584252837326604</v>
      </c>
      <c r="L266" s="22">
        <f>IF(preçodiario[[#This Row],[entrada B]]=0,L265-(SUMIFS(estoque[quantidade],estoque[fornecedor],"saída",estoque[produto],preçodiario[[#Headers],[OVO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Row],[data]]))+L265+preçodiario[[#This Row],[entrada B]])</f>
        <v>16</v>
      </c>
      <c r="M266" s="22">
        <f>SUMIFS(estoque[quantidade],estoque[fornecedor],"&lt;&gt;saída",estoque[produto],preçodiario[[#Headers],[OVO BRANCO B]],estoque[data],preçodiario[[#This Row],[data]])</f>
        <v>0</v>
      </c>
      <c r="N266" s="20">
        <f>SUMIFS(estoque[valor total],estoque[fornecedor],"&lt;&gt;saída",estoque[produto],preçodiario[[#Headers],[OVO BRANCO B]],estoque[data],preçodiario[[#This Row],[data]])</f>
        <v>0</v>
      </c>
      <c r="O266" s="20">
        <f>IFERROR(preçodiario[[#This Row],[OVO BRANCO B]]*preçodiario[[#This Row],[estoque B]],0)</f>
        <v>233.34804539722566</v>
      </c>
      <c r="P2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Row],[data]])),((P265*Q265)+SUMIFS(estoque[valor total],estoque[produto],preçodiario[[#Headers],[OVO BRANCO C]],estoque[data],preçodiario[[#This Row],[data]],estoque[fornecedor],"&lt;&gt;saída"))/(Q265+(SUMIFS(estoque[quantidade],estoque[produto],preçodiario[[#Headers],[OVO BRANCO C]],estoque[fornecedor],"&lt;&gt;saída",estoque[data],preçodiario[[#This Row],[data]])))))</f>
        <v>12.5</v>
      </c>
      <c r="Q266" s="22">
        <f>IF(preçodiario[[#This Row],[entrada C]]=0,Q265-(SUMIFS(estoque[quantidade],estoque[fornecedor],"saída",estoque[produto],preçodiario[[#Headers],[OVO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Row],[data]]))+Q265+preçodiario[[#This Row],[entrada C]])</f>
        <v>60</v>
      </c>
      <c r="R266" s="22">
        <f>SUMIFS(estoque[quantidade],estoque[fornecedor],"&lt;&gt;saída",estoque[produto],preçodiario[[#Headers],[OVO BRANCO C]],estoque[data],preçodiario[[#This Row],[data]])</f>
        <v>0</v>
      </c>
      <c r="S266" s="20">
        <f>SUMIFS(estoque[valor total],estoque[fornecedor],"&lt;&gt;saída",estoque[produto],preçodiario[[#Headers],[OVO BRANCO C]],estoque[data],preçodiario[[#This Row],[data]])</f>
        <v>0</v>
      </c>
      <c r="T266" s="20">
        <f>IFERROR(preçodiario[[#This Row],[OVO BRANCO C]]*preçodiario[[#This Row],[estoque C]],0)</f>
        <v>750</v>
      </c>
      <c r="U2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Row],[data]])),((U265*V265)+SUMIFS(estoque[valor total],estoque[produto],preçodiario[[#Headers],[OVO BRANCO EXTRA]],estoque[data],preçodiario[[#This Row],[data]],estoque[fornecedor],"&lt;&gt;saída"))/(V265+(SUMIFS(estoque[quantidade],estoque[produto],preçodiario[[#Headers],[OVO BRANCO EXTRA]],estoque[fornecedor],"&lt;&gt;saída",estoque[data],preçodiario[[#This Row],[data]])))))</f>
        <v>15.725438400674655</v>
      </c>
      <c r="V266" s="22">
        <f>IF(preçodiario[[#This Row],[entrada E]]=0,V265-(SUMIFS(estoque[quantidade],estoque[fornecedor],"saída",estoque[produto],preçodiario[[#Headers],[OVO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Row],[data]]))+V265+preçodiario[[#This Row],[entrada E]])</f>
        <v>46</v>
      </c>
      <c r="W266" s="22">
        <f>SUMIFS(estoque[quantidade],estoque[fornecedor],"&lt;&gt;saída",estoque[produto],preçodiario[[#Headers],[OVO BRANCO EXTRA]],estoque[data],preçodiario[[#This Row],[data]])</f>
        <v>0</v>
      </c>
      <c r="X266" s="20">
        <f>SUMIFS(estoque[valor total],estoque[fornecedor],"&lt;&gt;saída",estoque[produto],preçodiario[[#Headers],[OVO BRANCO EXTRA]],estoque[data],preçodiario[[#This Row],[data]])</f>
        <v>0</v>
      </c>
      <c r="Y266" s="20">
        <f>IFERROR(preçodiario[[#This Row],[estoque E]]*preçodiario[[#This Row],[OVO BRANCO EXTRA]],0)</f>
        <v>723.37016643103414</v>
      </c>
      <c r="Z2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Row],[data]])),((Z265*AA265)+SUMIFS(estoque[valor total],estoque[produto],preçodiario[[#Headers],[OVO BRANCO JUMBO]],estoque[data],preçodiario[[#This Row],[data]],estoque[fornecedor],"&lt;&gt;saída"))/(AA265+(SUMIFS(estoque[quantidade],estoque[produto],preçodiario[[#Headers],[OVO BRANCO JUMBO]],estoque[fornecedor],"&lt;&gt;saída",estoque[data],preçodiario[[#This Row],[data]])))))</f>
        <v>16.50550595238095</v>
      </c>
      <c r="AA266" s="22">
        <f>IF(preçodiario[[#This Row],[entrada J]]=0,AA265-(SUMIFS(estoque[quantidade],estoque[fornecedor],"saída",estoque[produto],preçodiario[[#Headers],[OVO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Row],[data]]))+AA265+preçodiario[[#This Row],[entrada J]])</f>
        <v>75</v>
      </c>
      <c r="AB266" s="22">
        <f>SUMIFS(estoque[quantidade],estoque[fornecedor],"&lt;&gt;saída",estoque[produto],preçodiario[[#Headers],[OVO BRANCO JUMBO]],estoque[data],preçodiario[[#This Row],[data]])</f>
        <v>0</v>
      </c>
      <c r="AC266" s="20">
        <f>SUMIFS(estoque[valor total],estoque[fornecedor],"&lt;&gt;saída",estoque[produto],preçodiario[[#Headers],[OVO BRANCO JUMBO]],estoque[data],preçodiario[[#This Row],[data]])</f>
        <v>0</v>
      </c>
      <c r="AD266" s="20">
        <f>IFERROR(preçodiario[[#This Row],[OVO BRANCO JUMBO]]*preçodiario[[#This Row],[estoque J]],0)</f>
        <v>1237.9129464285713</v>
      </c>
      <c r="AE2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Row],[data]])),((AE265*AF265)+SUMIFS(estoque[valor total],estoque[produto],preçodiario[[#Headers],[OVO VERMELHO A]],estoque[data],preçodiario[[#This Row],[data]],estoque[fornecedor],"&lt;&gt;saída"))/(AF265+(SUMIFS(estoque[quantidade],estoque[produto],preçodiario[[#Headers],[OVO VERMELHO A]],estoque[fornecedor],"&lt;&gt;saída",estoque[data],preçodiario[[#This Row],[data]])))))</f>
        <v/>
      </c>
      <c r="AF266" s="22">
        <f>IF(preçodiario[[#This Row],[entrada AV]]=0,AF265-(SUMIFS(estoque[quantidade],estoque[fornecedor],"saída",estoque[produto],preçodiario[[#Headers],[OVO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Row],[data]]))+AF265+preçodiario[[#This Row],[entrada AV]])</f>
        <v>0</v>
      </c>
      <c r="AG266" s="22">
        <f>SUMIFS(estoque[quantidade],estoque[fornecedor],"&lt;&gt;saída",estoque[produto],preçodiario[[#Headers],[OVO VERMELHO A]],estoque[data],preçodiario[[#This Row],[data]])</f>
        <v>0</v>
      </c>
      <c r="AH266" s="20">
        <f>SUMIFS(estoque[valor total],estoque[fornecedor],"&lt;&gt;saída",estoque[produto],preçodiario[[#Headers],[OVO VERMELHO A]],estoque[data],preçodiario[[#This Row],[data]])</f>
        <v>0</v>
      </c>
      <c r="AI266" s="20">
        <f>IFERROR(preçodiario[[#This Row],[OVO VERMELHO A]]*preçodiario[[#This Row],[estoque AV]],0)</f>
        <v>0</v>
      </c>
      <c r="AJ2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Row],[data]])),((AJ265*AK265)+SUMIFS(estoque[valor total],estoque[produto],preçodiario[[#Headers],[OVO VERMELHO B]],estoque[data],preçodiario[[#This Row],[data]],estoque[fornecedor],"&lt;&gt;saída"))/(AK265+(SUMIFS(estoque[quantidade],estoque[produto],preçodiario[[#Headers],[OVO VERMELHO B]],estoque[fornecedor],"&lt;&gt;saída",estoque[data],preçodiario[[#This Row],[data]])))))</f>
        <v/>
      </c>
      <c r="AK266" s="22">
        <f>IF(preçodiario[[#This Row],[entrada BV]]=0,AK265-(SUMIFS(estoque[quantidade],estoque[fornecedor],"saída",estoque[produto],preçodiario[[#Headers],[OVO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Row],[data]]))+AK265+preçodiario[[#This Row],[entrada BV]])</f>
        <v>0</v>
      </c>
      <c r="AL266" s="22">
        <f>SUMIFS(estoque[quantidade],estoque[fornecedor],"&lt;&gt;saída",estoque[produto],preçodiario[[#Headers],[OVO VERMELHO B]],estoque[data],preçodiario[[#This Row],[data]])</f>
        <v>0</v>
      </c>
      <c r="AM266" s="20">
        <f>SUMIFS(estoque[valor total],estoque[fornecedor],"&lt;&gt;saída",estoque[produto],preçodiario[[#Headers],[OVO VERMELHO B]],estoque[data],preçodiario[[#This Row],[data]])</f>
        <v>0</v>
      </c>
      <c r="AN266" s="20">
        <f>IFERROR(preçodiario[[#This Row],[OVO VERMELHO B]]*preçodiario[[#This Row],[estoque BV]],0)</f>
        <v>0</v>
      </c>
      <c r="AO2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Row],[data]])),((AO265*AP265)+SUMIFS(estoque[valor total],estoque[produto],preçodiario[[#Headers],[OVO VERMELHO C]],estoque[data],preçodiario[[#This Row],[data]],estoque[fornecedor],"&lt;&gt;saída"))/(AP265+(SUMIFS(estoque[quantidade],estoque[produto],preçodiario[[#Headers],[OVO VERMELHO C]],estoque[fornecedor],"&lt;&gt;saída",estoque[data],preçodiario[[#This Row],[data]])))))</f>
        <v/>
      </c>
      <c r="AP266" s="22">
        <f>IF(preçodiario[[#This Row],[entrada CV]]=0,AP265-(SUMIFS(estoque[quantidade],estoque[fornecedor],"saída",estoque[produto],preçodiario[[#Headers],[OVO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Row],[data]]))+AP265+preçodiario[[#This Row],[entrada CV]])</f>
        <v>0</v>
      </c>
      <c r="AQ266" s="22">
        <f>SUMIFS(estoque[quantidade],estoque[fornecedor],"&lt;&gt;saída",estoque[produto],preçodiario[[#Headers],[OVO VERMELHO C]],estoque[data],preçodiario[[#This Row],[data]])</f>
        <v>0</v>
      </c>
      <c r="AR266" s="20">
        <f>SUMIFS(estoque[valor total],estoque[fornecedor],"&lt;&gt;saída",estoque[produto],preçodiario[[#Headers],[OVO VERMELHO C]],estoque[data],preçodiario[[#This Row],[data]])</f>
        <v>0</v>
      </c>
      <c r="AS266" s="20">
        <f>IFERROR(preçodiario[[#This Row],[OVO VERMELHO C]]*preçodiario[[#This Row],[estoque CV]],0)</f>
        <v>0</v>
      </c>
      <c r="AT2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Row],[data]])),((AT265*AU265)+SUMIFS(estoque[valor total],estoque[produto],preçodiario[[#Headers],[OVO VERMELHO EXTRA]],estoque[data],preçodiario[[#This Row],[data]],estoque[fornecedor],"&lt;&gt;saída"))/(AU265+(SUMIFS(estoque[quantidade],estoque[produto],preçodiario[[#Headers],[OVO VERMELHO EXTRA]],estoque[fornecedor],"&lt;&gt;saída",estoque[data],preçodiario[[#This Row],[data]])))))</f>
        <v/>
      </c>
      <c r="AU266" s="22">
        <f>IF(preçodiario[[#This Row],[entrada EV]]=0,AU265-(SUMIFS(estoque[quantidade],estoque[fornecedor],"saída",estoque[produto],preçodiario[[#Headers],[OVO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Row],[data]]))+AU265+preçodiario[[#This Row],[entrada EV]])</f>
        <v>0</v>
      </c>
      <c r="AV266" s="22">
        <f>SUMIFS(estoque[quantidade],estoque[fornecedor],"&lt;&gt;saída",estoque[produto],preçodiario[[#Headers],[OVO VERMELHO EXTRA]],estoque[data],preçodiario[[#This Row],[data]])</f>
        <v>0</v>
      </c>
      <c r="AW266" s="20">
        <f>SUMIFS(estoque[valor total],estoque[fornecedor],"&lt;&gt;saída",estoque[produto],preçodiario[[#Headers],[OVO VERMELHO EXTRA]],estoque[data],preçodiario[[#This Row],[data]])</f>
        <v>0</v>
      </c>
      <c r="AX266" s="20">
        <f>IFERROR(preçodiario[[#This Row],[OVO VERMELHO EXTRA]]*preçodiario[[#This Row],[estoque EV]],0)</f>
        <v>0</v>
      </c>
      <c r="AY2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Row],[data]])),((AY265*AZ265)+SUMIFS(estoque[valor total],estoque[produto],preçodiario[[#Headers],[OVO VERMELHO JUMBO]],estoque[data],preçodiario[[#This Row],[data]],estoque[fornecedor],"&lt;&gt;saída"))/(AZ265+(SUMIFS(estoque[quantidade],estoque[produto],preçodiario[[#Headers],[OVO VERMELHO JUMBO]],estoque[fornecedor],"&lt;&gt;saída",estoque[data],preçodiario[[#This Row],[data]])))))</f>
        <v/>
      </c>
      <c r="AZ266" s="22">
        <f>IF(preçodiario[[#This Row],[entrada JV]]=0,AZ265-(SUMIFS(estoque[quantidade],estoque[fornecedor],"saída",estoque[produto],preçodiario[[#Headers],[OVO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Row],[data]]))+AZ265+preçodiario[[#This Row],[entrada JV]])</f>
        <v>0</v>
      </c>
      <c r="BA266" s="22">
        <f>SUMIFS(estoque[quantidade],estoque[fornecedor],"&lt;&gt;saída",estoque[produto],preçodiario[[#Headers],[OVO VERMELHO JUMBO]],estoque[data],preçodiario[[#This Row],[data]])</f>
        <v>0</v>
      </c>
      <c r="BB266" s="20">
        <f>SUMIFS(estoque[valor total],estoque[fornecedor],"&lt;&gt;saída",estoque[produto],preçodiario[[#Headers],[OVO VERMELHO JUMBO]],estoque[data],preçodiario[[#This Row],[data]])</f>
        <v>0</v>
      </c>
      <c r="BC266" s="20">
        <f>IFERROR(preçodiario[[#This Row],[OVO VERMELHO JUMBO]]*preçodiario[[#This Row],[estoque JV]],0)</f>
        <v>0</v>
      </c>
      <c r="BD266" t="str">
        <f>TEXT(vendaAno[[#This Row],[data]],"mmm")</f>
        <v>set</v>
      </c>
      <c r="BE266" t="str">
        <f>TEXT(vendaAno[[#This Row],[data]],"ddd")</f>
        <v>ter</v>
      </c>
      <c r="BF266" s="82">
        <f>WEEKNUM(vendaAno[[#This Row],[data]],13)</f>
        <v>38</v>
      </c>
      <c r="BG266" s="27">
        <f>preçodiario[[#This Row],[data]]</f>
        <v>46287</v>
      </c>
      <c r="BH2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Row],[data]]))/12+BJ265,"")</f>
        <v/>
      </c>
      <c r="BK266" s="79" t="str">
        <f ca="1">IF(TODAY()&gt;=vendaAno[[#This Row],[data]],IF(SUMIFS(estoque[quantidade],estoque[fornecedor],"saída",estoque[data],vendaAno[[#This Row],[data]])/12=0,AVERAGE(BK263:BK265),SUMIFS(estoque[quantidade],estoque[fornecedor],"saída",estoque[data],vendaAno[[#This Row],[data]])/12),"")</f>
        <v/>
      </c>
      <c r="BL266" s="8" t="str">
        <f ca="1">IF(vendaAno[[#This Row],[data]]&lt;=TODAY(),IF(SUMIFS(estoque[lucro],estoque[fornecedor],"saída",estoque[data],vendaAno[[#This Row],[data]])=0,AVERAGE(BL263:BL265),SUMIFS(estoque[lucro],estoque[fornecedor],"saída",estoque[data],vendaAno[[#This Row],[data]])),"")</f>
        <v/>
      </c>
      <c r="BM266" s="10" t="str">
        <f ca="1">IFERROR(vendaAno[[#This Row],[lucro]]/vendaAno[[#This Row],[valor de venda]],"")</f>
        <v/>
      </c>
      <c r="BN26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6" s="8" t="str">
        <f ca="1">IF(TODAY()&gt;=vendaAno[[#This Row],[data]],IF(vendaAno[[#This Row],[N°]]=BF265,vendaAno[[#This Row],[lucro]]-173.33+BO265,vendaAno[[#This Row],[lucro]]-150),"")</f>
        <v/>
      </c>
      <c r="BP266" s="81" t="str">
        <f ca="1">IF(TODAY()&gt;=vendaAno[[#This Row],[data]],SUM(BK260:BK266)*12,"")</f>
        <v/>
      </c>
      <c r="BQ266" s="7" t="str">
        <f ca="1">IFERROR(vendaAno[[#This Row],[lucro]]/(vendaAno[[#This Row],[venda]]*12),"")</f>
        <v/>
      </c>
    </row>
    <row r="267" spans="1:69" x14ac:dyDescent="0.25">
      <c r="A26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7" s="18" t="str">
        <f>TEXT(preçodiario[[#This Row],[data]],"MMM")</f>
        <v>set</v>
      </c>
      <c r="C267" s="18" t="str">
        <f>TEXT(preçodiario[[#This Row],[data]],"ddd")</f>
        <v>qua</v>
      </c>
      <c r="D267" s="96">
        <f>WEEKNUM(preçodiario[[#This Row],[data]],13)</f>
        <v>39</v>
      </c>
      <c r="E267" s="37">
        <v>46288</v>
      </c>
      <c r="F26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Row],[data]])),((F266*G266)+SUMIFS(estoque[valor total],estoque[produto],preçodiario[[#Headers],[OVO BRANCO A]],estoque[data],preçodiario[[#This Row],[data]],estoque[fornecedor],"&lt;&gt;saída"))/(G266+(SUMIFS(estoque[quantidade],estoque[produto],preçodiario[[#Headers],[OVO BRANCO A]],estoque[fornecedor],"&lt;&gt;saída",estoque[data],preçodiario[[#This Row],[data]])))))</f>
        <v>15.278182701652089</v>
      </c>
      <c r="G267" s="22">
        <f>IF(preçodiario[[#This Row],[entrada A]]=0,G266-(SUMIFS(estoque[quantidade],estoque[fornecedor],"saída",estoque[produto],preçodiario[[#Headers],[OVO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Row],[data]]))+G266+preçodiario[[#This Row],[entrada A]])</f>
        <v>133</v>
      </c>
      <c r="H267" s="22">
        <f>SUMIFS(estoque[quantidade],estoque[fornecedor],"&lt;&gt;saída",estoque[produto],preçodiario[[#Headers],[OVO BRANCO A]],estoque[data],preçodiario[[#This Row],[data]])</f>
        <v>0</v>
      </c>
      <c r="I267" s="20">
        <f>SUMIFS(estoque[valor total],estoque[fornecedor],"&lt;&gt;saída",estoque[produto],preçodiario[[#Headers],[OVO BRANCO A]],estoque[data],preçodiario[[#This Row],[data]])</f>
        <v>0</v>
      </c>
      <c r="J267" s="20">
        <f>IFERROR(preçodiario[[#This Row],[estoque A]]*preçodiario[[#This Row],[OVO BRANCO A]],0)</f>
        <v>2031.9982993197277</v>
      </c>
      <c r="K26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Row],[data]])),((K266*L266)+SUMIFS(estoque[valor total],estoque[produto],preçodiario[[#Headers],[OVO BRANCO B]],estoque[data],preçodiario[[#This Row],[data]],estoque[fornecedor],"&lt;&gt;saída"))/(L266+(SUMIFS(estoque[quantidade],estoque[produto],preçodiario[[#Headers],[OVO BRANCO B]],estoque[fornecedor],"&lt;&gt;saída",estoque[data],preçodiario[[#This Row],[data]])))))</f>
        <v>14.584252837326604</v>
      </c>
      <c r="L267" s="22">
        <f>IF(preçodiario[[#This Row],[entrada B]]=0,L266-(SUMIFS(estoque[quantidade],estoque[fornecedor],"saída",estoque[produto],preçodiario[[#Headers],[OVO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Row],[data]]))+L266+preçodiario[[#This Row],[entrada B]])</f>
        <v>16</v>
      </c>
      <c r="M267" s="22">
        <f>SUMIFS(estoque[quantidade],estoque[fornecedor],"&lt;&gt;saída",estoque[produto],preçodiario[[#Headers],[OVO BRANCO B]],estoque[data],preçodiario[[#This Row],[data]])</f>
        <v>0</v>
      </c>
      <c r="N267" s="20">
        <f>SUMIFS(estoque[valor total],estoque[fornecedor],"&lt;&gt;saída",estoque[produto],preçodiario[[#Headers],[OVO BRANCO B]],estoque[data],preçodiario[[#This Row],[data]])</f>
        <v>0</v>
      </c>
      <c r="O267" s="20">
        <f>IFERROR(preçodiario[[#This Row],[OVO BRANCO B]]*preçodiario[[#This Row],[estoque B]],0)</f>
        <v>233.34804539722566</v>
      </c>
      <c r="P26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Row],[data]])),((P266*Q266)+SUMIFS(estoque[valor total],estoque[produto],preçodiario[[#Headers],[OVO BRANCO C]],estoque[data],preçodiario[[#This Row],[data]],estoque[fornecedor],"&lt;&gt;saída"))/(Q266+(SUMIFS(estoque[quantidade],estoque[produto],preçodiario[[#Headers],[OVO BRANCO C]],estoque[fornecedor],"&lt;&gt;saída",estoque[data],preçodiario[[#This Row],[data]])))))</f>
        <v>12.5</v>
      </c>
      <c r="Q267" s="22">
        <f>IF(preçodiario[[#This Row],[entrada C]]=0,Q266-(SUMIFS(estoque[quantidade],estoque[fornecedor],"saída",estoque[produto],preçodiario[[#Headers],[OVO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Row],[data]]))+Q266+preçodiario[[#This Row],[entrada C]])</f>
        <v>60</v>
      </c>
      <c r="R267" s="22">
        <f>SUMIFS(estoque[quantidade],estoque[fornecedor],"&lt;&gt;saída",estoque[produto],preçodiario[[#Headers],[OVO BRANCO C]],estoque[data],preçodiario[[#This Row],[data]])</f>
        <v>0</v>
      </c>
      <c r="S267" s="20">
        <f>SUMIFS(estoque[valor total],estoque[fornecedor],"&lt;&gt;saída",estoque[produto],preçodiario[[#Headers],[OVO BRANCO C]],estoque[data],preçodiario[[#This Row],[data]])</f>
        <v>0</v>
      </c>
      <c r="T267" s="20">
        <f>IFERROR(preçodiario[[#This Row],[OVO BRANCO C]]*preçodiario[[#This Row],[estoque C]],0)</f>
        <v>750</v>
      </c>
      <c r="U26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Row],[data]])),((U266*V266)+SUMIFS(estoque[valor total],estoque[produto],preçodiario[[#Headers],[OVO BRANCO EXTRA]],estoque[data],preçodiario[[#This Row],[data]],estoque[fornecedor],"&lt;&gt;saída"))/(V266+(SUMIFS(estoque[quantidade],estoque[produto],preçodiario[[#Headers],[OVO BRANCO EXTRA]],estoque[fornecedor],"&lt;&gt;saída",estoque[data],preçodiario[[#This Row],[data]])))))</f>
        <v>15.725438400674655</v>
      </c>
      <c r="V267" s="22">
        <f>IF(preçodiario[[#This Row],[entrada E]]=0,V266-(SUMIFS(estoque[quantidade],estoque[fornecedor],"saída",estoque[produto],preçodiario[[#Headers],[OVO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Row],[data]]))+V266+preçodiario[[#This Row],[entrada E]])</f>
        <v>46</v>
      </c>
      <c r="W267" s="22">
        <f>SUMIFS(estoque[quantidade],estoque[fornecedor],"&lt;&gt;saída",estoque[produto],preçodiario[[#Headers],[OVO BRANCO EXTRA]],estoque[data],preçodiario[[#This Row],[data]])</f>
        <v>0</v>
      </c>
      <c r="X267" s="20">
        <f>SUMIFS(estoque[valor total],estoque[fornecedor],"&lt;&gt;saída",estoque[produto],preçodiario[[#Headers],[OVO BRANCO EXTRA]],estoque[data],preçodiario[[#This Row],[data]])</f>
        <v>0</v>
      </c>
      <c r="Y267" s="20">
        <f>IFERROR(preçodiario[[#This Row],[estoque E]]*preçodiario[[#This Row],[OVO BRANCO EXTRA]],0)</f>
        <v>723.37016643103414</v>
      </c>
      <c r="Z26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Row],[data]])),((Z266*AA266)+SUMIFS(estoque[valor total],estoque[produto],preçodiario[[#Headers],[OVO BRANCO JUMBO]],estoque[data],preçodiario[[#This Row],[data]],estoque[fornecedor],"&lt;&gt;saída"))/(AA266+(SUMIFS(estoque[quantidade],estoque[produto],preçodiario[[#Headers],[OVO BRANCO JUMBO]],estoque[fornecedor],"&lt;&gt;saída",estoque[data],preçodiario[[#This Row],[data]])))))</f>
        <v>16.50550595238095</v>
      </c>
      <c r="AA267" s="22">
        <f>IF(preçodiario[[#This Row],[entrada J]]=0,AA266-(SUMIFS(estoque[quantidade],estoque[fornecedor],"saída",estoque[produto],preçodiario[[#Headers],[OVO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Row],[data]]))+AA266+preçodiario[[#This Row],[entrada J]])</f>
        <v>75</v>
      </c>
      <c r="AB267" s="22">
        <f>SUMIFS(estoque[quantidade],estoque[fornecedor],"&lt;&gt;saída",estoque[produto],preçodiario[[#Headers],[OVO BRANCO JUMBO]],estoque[data],preçodiario[[#This Row],[data]])</f>
        <v>0</v>
      </c>
      <c r="AC267" s="20">
        <f>SUMIFS(estoque[valor total],estoque[fornecedor],"&lt;&gt;saída",estoque[produto],preçodiario[[#Headers],[OVO BRANCO JUMBO]],estoque[data],preçodiario[[#This Row],[data]])</f>
        <v>0</v>
      </c>
      <c r="AD267" s="20">
        <f>IFERROR(preçodiario[[#This Row],[OVO BRANCO JUMBO]]*preçodiario[[#This Row],[estoque J]],0)</f>
        <v>1237.9129464285713</v>
      </c>
      <c r="AE26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Row],[data]])),((AE266*AF266)+SUMIFS(estoque[valor total],estoque[produto],preçodiario[[#Headers],[OVO VERMELHO A]],estoque[data],preçodiario[[#This Row],[data]],estoque[fornecedor],"&lt;&gt;saída"))/(AF266+(SUMIFS(estoque[quantidade],estoque[produto],preçodiario[[#Headers],[OVO VERMELHO A]],estoque[fornecedor],"&lt;&gt;saída",estoque[data],preçodiario[[#This Row],[data]])))))</f>
        <v/>
      </c>
      <c r="AF267" s="22">
        <f>IF(preçodiario[[#This Row],[entrada AV]]=0,AF266-(SUMIFS(estoque[quantidade],estoque[fornecedor],"saída",estoque[produto],preçodiario[[#Headers],[OVO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Row],[data]]))+AF266+preçodiario[[#This Row],[entrada AV]])</f>
        <v>0</v>
      </c>
      <c r="AG267" s="22">
        <f>SUMIFS(estoque[quantidade],estoque[fornecedor],"&lt;&gt;saída",estoque[produto],preçodiario[[#Headers],[OVO VERMELHO A]],estoque[data],preçodiario[[#This Row],[data]])</f>
        <v>0</v>
      </c>
      <c r="AH267" s="20">
        <f>SUMIFS(estoque[valor total],estoque[fornecedor],"&lt;&gt;saída",estoque[produto],preçodiario[[#Headers],[OVO VERMELHO A]],estoque[data],preçodiario[[#This Row],[data]])</f>
        <v>0</v>
      </c>
      <c r="AI267" s="20">
        <f>IFERROR(preçodiario[[#This Row],[OVO VERMELHO A]]*preçodiario[[#This Row],[estoque AV]],0)</f>
        <v>0</v>
      </c>
      <c r="AJ26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Row],[data]])),((AJ266*AK266)+SUMIFS(estoque[valor total],estoque[produto],preçodiario[[#Headers],[OVO VERMELHO B]],estoque[data],preçodiario[[#This Row],[data]],estoque[fornecedor],"&lt;&gt;saída"))/(AK266+(SUMIFS(estoque[quantidade],estoque[produto],preçodiario[[#Headers],[OVO VERMELHO B]],estoque[fornecedor],"&lt;&gt;saída",estoque[data],preçodiario[[#This Row],[data]])))))</f>
        <v/>
      </c>
      <c r="AK267" s="22">
        <f>IF(preçodiario[[#This Row],[entrada BV]]=0,AK266-(SUMIFS(estoque[quantidade],estoque[fornecedor],"saída",estoque[produto],preçodiario[[#Headers],[OVO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Row],[data]]))+AK266+preçodiario[[#This Row],[entrada BV]])</f>
        <v>0</v>
      </c>
      <c r="AL267" s="22">
        <f>SUMIFS(estoque[quantidade],estoque[fornecedor],"&lt;&gt;saída",estoque[produto],preçodiario[[#Headers],[OVO VERMELHO B]],estoque[data],preçodiario[[#This Row],[data]])</f>
        <v>0</v>
      </c>
      <c r="AM267" s="20">
        <f>SUMIFS(estoque[valor total],estoque[fornecedor],"&lt;&gt;saída",estoque[produto],preçodiario[[#Headers],[OVO VERMELHO B]],estoque[data],preçodiario[[#This Row],[data]])</f>
        <v>0</v>
      </c>
      <c r="AN267" s="20">
        <f>IFERROR(preçodiario[[#This Row],[OVO VERMELHO B]]*preçodiario[[#This Row],[estoque BV]],0)</f>
        <v>0</v>
      </c>
      <c r="AO26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Row],[data]])),((AO266*AP266)+SUMIFS(estoque[valor total],estoque[produto],preçodiario[[#Headers],[OVO VERMELHO C]],estoque[data],preçodiario[[#This Row],[data]],estoque[fornecedor],"&lt;&gt;saída"))/(AP266+(SUMIFS(estoque[quantidade],estoque[produto],preçodiario[[#Headers],[OVO VERMELHO C]],estoque[fornecedor],"&lt;&gt;saída",estoque[data],preçodiario[[#This Row],[data]])))))</f>
        <v/>
      </c>
      <c r="AP267" s="22">
        <f>IF(preçodiario[[#This Row],[entrada CV]]=0,AP266-(SUMIFS(estoque[quantidade],estoque[fornecedor],"saída",estoque[produto],preçodiario[[#Headers],[OVO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Row],[data]]))+AP266+preçodiario[[#This Row],[entrada CV]])</f>
        <v>0</v>
      </c>
      <c r="AQ267" s="22">
        <f>SUMIFS(estoque[quantidade],estoque[fornecedor],"&lt;&gt;saída",estoque[produto],preçodiario[[#Headers],[OVO VERMELHO C]],estoque[data],preçodiario[[#This Row],[data]])</f>
        <v>0</v>
      </c>
      <c r="AR267" s="20">
        <f>SUMIFS(estoque[valor total],estoque[fornecedor],"&lt;&gt;saída",estoque[produto],preçodiario[[#Headers],[OVO VERMELHO C]],estoque[data],preçodiario[[#This Row],[data]])</f>
        <v>0</v>
      </c>
      <c r="AS267" s="20">
        <f>IFERROR(preçodiario[[#This Row],[OVO VERMELHO C]]*preçodiario[[#This Row],[estoque CV]],0)</f>
        <v>0</v>
      </c>
      <c r="AT26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Row],[data]])),((AT266*AU266)+SUMIFS(estoque[valor total],estoque[produto],preçodiario[[#Headers],[OVO VERMELHO EXTRA]],estoque[data],preçodiario[[#This Row],[data]],estoque[fornecedor],"&lt;&gt;saída"))/(AU266+(SUMIFS(estoque[quantidade],estoque[produto],preçodiario[[#Headers],[OVO VERMELHO EXTRA]],estoque[fornecedor],"&lt;&gt;saída",estoque[data],preçodiario[[#This Row],[data]])))))</f>
        <v/>
      </c>
      <c r="AU267" s="22">
        <f>IF(preçodiario[[#This Row],[entrada EV]]=0,AU266-(SUMIFS(estoque[quantidade],estoque[fornecedor],"saída",estoque[produto],preçodiario[[#Headers],[OVO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Row],[data]]))+AU266+preçodiario[[#This Row],[entrada EV]])</f>
        <v>0</v>
      </c>
      <c r="AV267" s="22">
        <f>SUMIFS(estoque[quantidade],estoque[fornecedor],"&lt;&gt;saída",estoque[produto],preçodiario[[#Headers],[OVO VERMELHO EXTRA]],estoque[data],preçodiario[[#This Row],[data]])</f>
        <v>0</v>
      </c>
      <c r="AW267" s="20">
        <f>SUMIFS(estoque[valor total],estoque[fornecedor],"&lt;&gt;saída",estoque[produto],preçodiario[[#Headers],[OVO VERMELHO EXTRA]],estoque[data],preçodiario[[#This Row],[data]])</f>
        <v>0</v>
      </c>
      <c r="AX267" s="20">
        <f>IFERROR(preçodiario[[#This Row],[OVO VERMELHO EXTRA]]*preçodiario[[#This Row],[estoque EV]],0)</f>
        <v>0</v>
      </c>
      <c r="AY26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Row],[data]])),((AY266*AZ266)+SUMIFS(estoque[valor total],estoque[produto],preçodiario[[#Headers],[OVO VERMELHO JUMBO]],estoque[data],preçodiario[[#This Row],[data]],estoque[fornecedor],"&lt;&gt;saída"))/(AZ266+(SUMIFS(estoque[quantidade],estoque[produto],preçodiario[[#Headers],[OVO VERMELHO JUMBO]],estoque[fornecedor],"&lt;&gt;saída",estoque[data],preçodiario[[#This Row],[data]])))))</f>
        <v/>
      </c>
      <c r="AZ267" s="22">
        <f>IF(preçodiario[[#This Row],[entrada JV]]=0,AZ266-(SUMIFS(estoque[quantidade],estoque[fornecedor],"saída",estoque[produto],preçodiario[[#Headers],[OVO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Row],[data]]))+AZ266+preçodiario[[#This Row],[entrada JV]])</f>
        <v>0</v>
      </c>
      <c r="BA267" s="22">
        <f>SUMIFS(estoque[quantidade],estoque[fornecedor],"&lt;&gt;saída",estoque[produto],preçodiario[[#Headers],[OVO VERMELHO JUMBO]],estoque[data],preçodiario[[#This Row],[data]])</f>
        <v>0</v>
      </c>
      <c r="BB267" s="20">
        <f>SUMIFS(estoque[valor total],estoque[fornecedor],"&lt;&gt;saída",estoque[produto],preçodiario[[#Headers],[OVO VERMELHO JUMBO]],estoque[data],preçodiario[[#This Row],[data]])</f>
        <v>0</v>
      </c>
      <c r="BC267" s="20">
        <f>IFERROR(preçodiario[[#This Row],[OVO VERMELHO JUMBO]]*preçodiario[[#This Row],[estoque JV]],0)</f>
        <v>0</v>
      </c>
      <c r="BD267" t="str">
        <f>TEXT(vendaAno[[#This Row],[data]],"mmm")</f>
        <v>set</v>
      </c>
      <c r="BE267" t="str">
        <f>TEXT(vendaAno[[#This Row],[data]],"ddd")</f>
        <v>qua</v>
      </c>
      <c r="BF267" s="82">
        <f>WEEKNUM(vendaAno[[#This Row],[data]],13)</f>
        <v>39</v>
      </c>
      <c r="BG267" s="27">
        <f>preçodiario[[#This Row],[data]]</f>
        <v>46288</v>
      </c>
      <c r="BH26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Row],[data]]))/12+BJ266,"")</f>
        <v/>
      </c>
      <c r="BK267" s="79" t="str">
        <f ca="1">IF(TODAY()&gt;=vendaAno[[#This Row],[data]],IF(SUMIFS(estoque[quantidade],estoque[fornecedor],"saída",estoque[data],vendaAno[[#This Row],[data]])/12=0,AVERAGE(BK264:BK266),SUMIFS(estoque[quantidade],estoque[fornecedor],"saída",estoque[data],vendaAno[[#This Row],[data]])/12),"")</f>
        <v/>
      </c>
      <c r="BL267" s="8" t="str">
        <f ca="1">IF(vendaAno[[#This Row],[data]]&lt;=TODAY(),IF(SUMIFS(estoque[lucro],estoque[fornecedor],"saída",estoque[data],vendaAno[[#This Row],[data]])=0,AVERAGE(BL264:BL266),SUMIFS(estoque[lucro],estoque[fornecedor],"saída",estoque[data],vendaAno[[#This Row],[data]])),"")</f>
        <v/>
      </c>
      <c r="BM267" s="10" t="str">
        <f ca="1">IFERROR(vendaAno[[#This Row],[lucro]]/vendaAno[[#This Row],[valor de venda]],"")</f>
        <v/>
      </c>
      <c r="BN26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7" s="8" t="str">
        <f ca="1">IF(TODAY()&gt;=vendaAno[[#This Row],[data]],IF(vendaAno[[#This Row],[N°]]=BF266,vendaAno[[#This Row],[lucro]]-173.33+BO266,vendaAno[[#This Row],[lucro]]-150),"")</f>
        <v/>
      </c>
      <c r="BP267" s="81" t="str">
        <f ca="1">IF(TODAY()&gt;=vendaAno[[#This Row],[data]],SUM(BK261:BK267)*12,"")</f>
        <v/>
      </c>
      <c r="BQ267" s="7" t="str">
        <f ca="1">IFERROR(vendaAno[[#This Row],[lucro]]/(vendaAno[[#This Row],[venda]]*12),"")</f>
        <v/>
      </c>
    </row>
    <row r="268" spans="1:69" x14ac:dyDescent="0.25">
      <c r="A26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8" s="18" t="str">
        <f>TEXT(preçodiario[[#This Row],[data]],"MMM")</f>
        <v>set</v>
      </c>
      <c r="C268" s="18" t="str">
        <f>TEXT(preçodiario[[#This Row],[data]],"ddd")</f>
        <v>qui</v>
      </c>
      <c r="D268" s="96">
        <f>WEEKNUM(preçodiario[[#This Row],[data]],13)</f>
        <v>39</v>
      </c>
      <c r="E268" s="37">
        <v>46289</v>
      </c>
      <c r="F26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Row],[data]])),((F267*G267)+SUMIFS(estoque[valor total],estoque[produto],preçodiario[[#Headers],[OVO BRANCO A]],estoque[data],preçodiario[[#This Row],[data]],estoque[fornecedor],"&lt;&gt;saída"))/(G267+(SUMIFS(estoque[quantidade],estoque[produto],preçodiario[[#Headers],[OVO BRANCO A]],estoque[fornecedor],"&lt;&gt;saída",estoque[data],preçodiario[[#This Row],[data]])))))</f>
        <v>15.278182701652089</v>
      </c>
      <c r="G268" s="22">
        <f>IF(preçodiario[[#This Row],[entrada A]]=0,G267-(SUMIFS(estoque[quantidade],estoque[fornecedor],"saída",estoque[produto],preçodiario[[#Headers],[OVO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Row],[data]]))+G267+preçodiario[[#This Row],[entrada A]])</f>
        <v>133</v>
      </c>
      <c r="H268" s="22">
        <f>SUMIFS(estoque[quantidade],estoque[fornecedor],"&lt;&gt;saída",estoque[produto],preçodiario[[#Headers],[OVO BRANCO A]],estoque[data],preçodiario[[#This Row],[data]])</f>
        <v>0</v>
      </c>
      <c r="I268" s="20">
        <f>SUMIFS(estoque[valor total],estoque[fornecedor],"&lt;&gt;saída",estoque[produto],preçodiario[[#Headers],[OVO BRANCO A]],estoque[data],preçodiario[[#This Row],[data]])</f>
        <v>0</v>
      </c>
      <c r="J268" s="20">
        <f>IFERROR(preçodiario[[#This Row],[estoque A]]*preçodiario[[#This Row],[OVO BRANCO A]],0)</f>
        <v>2031.9982993197277</v>
      </c>
      <c r="K26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Row],[data]])),((K267*L267)+SUMIFS(estoque[valor total],estoque[produto],preçodiario[[#Headers],[OVO BRANCO B]],estoque[data],preçodiario[[#This Row],[data]],estoque[fornecedor],"&lt;&gt;saída"))/(L267+(SUMIFS(estoque[quantidade],estoque[produto],preçodiario[[#Headers],[OVO BRANCO B]],estoque[fornecedor],"&lt;&gt;saída",estoque[data],preçodiario[[#This Row],[data]])))))</f>
        <v>14.584252837326604</v>
      </c>
      <c r="L268" s="22">
        <f>IF(preçodiario[[#This Row],[entrada B]]=0,L267-(SUMIFS(estoque[quantidade],estoque[fornecedor],"saída",estoque[produto],preçodiario[[#Headers],[OVO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Row],[data]]))+L267+preçodiario[[#This Row],[entrada B]])</f>
        <v>16</v>
      </c>
      <c r="M268" s="22">
        <f>SUMIFS(estoque[quantidade],estoque[fornecedor],"&lt;&gt;saída",estoque[produto],preçodiario[[#Headers],[OVO BRANCO B]],estoque[data],preçodiario[[#This Row],[data]])</f>
        <v>0</v>
      </c>
      <c r="N268" s="20">
        <f>SUMIFS(estoque[valor total],estoque[fornecedor],"&lt;&gt;saída",estoque[produto],preçodiario[[#Headers],[OVO BRANCO B]],estoque[data],preçodiario[[#This Row],[data]])</f>
        <v>0</v>
      </c>
      <c r="O268" s="20">
        <f>IFERROR(preçodiario[[#This Row],[OVO BRANCO B]]*preçodiario[[#This Row],[estoque B]],0)</f>
        <v>233.34804539722566</v>
      </c>
      <c r="P26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Row],[data]])),((P267*Q267)+SUMIFS(estoque[valor total],estoque[produto],preçodiario[[#Headers],[OVO BRANCO C]],estoque[data],preçodiario[[#This Row],[data]],estoque[fornecedor],"&lt;&gt;saída"))/(Q267+(SUMIFS(estoque[quantidade],estoque[produto],preçodiario[[#Headers],[OVO BRANCO C]],estoque[fornecedor],"&lt;&gt;saída",estoque[data],preçodiario[[#This Row],[data]])))))</f>
        <v>12.5</v>
      </c>
      <c r="Q268" s="22">
        <f>IF(preçodiario[[#This Row],[entrada C]]=0,Q267-(SUMIFS(estoque[quantidade],estoque[fornecedor],"saída",estoque[produto],preçodiario[[#Headers],[OVO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Row],[data]]))+Q267+preçodiario[[#This Row],[entrada C]])</f>
        <v>60</v>
      </c>
      <c r="R268" s="22">
        <f>SUMIFS(estoque[quantidade],estoque[fornecedor],"&lt;&gt;saída",estoque[produto],preçodiario[[#Headers],[OVO BRANCO C]],estoque[data],preçodiario[[#This Row],[data]])</f>
        <v>0</v>
      </c>
      <c r="S268" s="20">
        <f>SUMIFS(estoque[valor total],estoque[fornecedor],"&lt;&gt;saída",estoque[produto],preçodiario[[#Headers],[OVO BRANCO C]],estoque[data],preçodiario[[#This Row],[data]])</f>
        <v>0</v>
      </c>
      <c r="T268" s="20">
        <f>IFERROR(preçodiario[[#This Row],[OVO BRANCO C]]*preçodiario[[#This Row],[estoque C]],0)</f>
        <v>750</v>
      </c>
      <c r="U26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Row],[data]])),((U267*V267)+SUMIFS(estoque[valor total],estoque[produto],preçodiario[[#Headers],[OVO BRANCO EXTRA]],estoque[data],preçodiario[[#This Row],[data]],estoque[fornecedor],"&lt;&gt;saída"))/(V267+(SUMIFS(estoque[quantidade],estoque[produto],preçodiario[[#Headers],[OVO BRANCO EXTRA]],estoque[fornecedor],"&lt;&gt;saída",estoque[data],preçodiario[[#This Row],[data]])))))</f>
        <v>15.725438400674655</v>
      </c>
      <c r="V268" s="22">
        <f>IF(preçodiario[[#This Row],[entrada E]]=0,V267-(SUMIFS(estoque[quantidade],estoque[fornecedor],"saída",estoque[produto],preçodiario[[#Headers],[OVO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Row],[data]]))+V267+preçodiario[[#This Row],[entrada E]])</f>
        <v>46</v>
      </c>
      <c r="W268" s="22">
        <f>SUMIFS(estoque[quantidade],estoque[fornecedor],"&lt;&gt;saída",estoque[produto],preçodiario[[#Headers],[OVO BRANCO EXTRA]],estoque[data],preçodiario[[#This Row],[data]])</f>
        <v>0</v>
      </c>
      <c r="X268" s="20">
        <f>SUMIFS(estoque[valor total],estoque[fornecedor],"&lt;&gt;saída",estoque[produto],preçodiario[[#Headers],[OVO BRANCO EXTRA]],estoque[data],preçodiario[[#This Row],[data]])</f>
        <v>0</v>
      </c>
      <c r="Y268" s="20">
        <f>IFERROR(preçodiario[[#This Row],[estoque E]]*preçodiario[[#This Row],[OVO BRANCO EXTRA]],0)</f>
        <v>723.37016643103414</v>
      </c>
      <c r="Z26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Row],[data]])),((Z267*AA267)+SUMIFS(estoque[valor total],estoque[produto],preçodiario[[#Headers],[OVO BRANCO JUMBO]],estoque[data],preçodiario[[#This Row],[data]],estoque[fornecedor],"&lt;&gt;saída"))/(AA267+(SUMIFS(estoque[quantidade],estoque[produto],preçodiario[[#Headers],[OVO BRANCO JUMBO]],estoque[fornecedor],"&lt;&gt;saída",estoque[data],preçodiario[[#This Row],[data]])))))</f>
        <v>16.50550595238095</v>
      </c>
      <c r="AA268" s="22">
        <f>IF(preçodiario[[#This Row],[entrada J]]=0,AA267-(SUMIFS(estoque[quantidade],estoque[fornecedor],"saída",estoque[produto],preçodiario[[#Headers],[OVO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Row],[data]]))+AA267+preçodiario[[#This Row],[entrada J]])</f>
        <v>75</v>
      </c>
      <c r="AB268" s="22">
        <f>SUMIFS(estoque[quantidade],estoque[fornecedor],"&lt;&gt;saída",estoque[produto],preçodiario[[#Headers],[OVO BRANCO JUMBO]],estoque[data],preçodiario[[#This Row],[data]])</f>
        <v>0</v>
      </c>
      <c r="AC268" s="20">
        <f>SUMIFS(estoque[valor total],estoque[fornecedor],"&lt;&gt;saída",estoque[produto],preçodiario[[#Headers],[OVO BRANCO JUMBO]],estoque[data],preçodiario[[#This Row],[data]])</f>
        <v>0</v>
      </c>
      <c r="AD268" s="20">
        <f>IFERROR(preçodiario[[#This Row],[OVO BRANCO JUMBO]]*preçodiario[[#This Row],[estoque J]],0)</f>
        <v>1237.9129464285713</v>
      </c>
      <c r="AE26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Row],[data]])),((AE267*AF267)+SUMIFS(estoque[valor total],estoque[produto],preçodiario[[#Headers],[OVO VERMELHO A]],estoque[data],preçodiario[[#This Row],[data]],estoque[fornecedor],"&lt;&gt;saída"))/(AF267+(SUMIFS(estoque[quantidade],estoque[produto],preçodiario[[#Headers],[OVO VERMELHO A]],estoque[fornecedor],"&lt;&gt;saída",estoque[data],preçodiario[[#This Row],[data]])))))</f>
        <v/>
      </c>
      <c r="AF268" s="22">
        <f>IF(preçodiario[[#This Row],[entrada AV]]=0,AF267-(SUMIFS(estoque[quantidade],estoque[fornecedor],"saída",estoque[produto],preçodiario[[#Headers],[OVO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Row],[data]]))+AF267+preçodiario[[#This Row],[entrada AV]])</f>
        <v>0</v>
      </c>
      <c r="AG268" s="22">
        <f>SUMIFS(estoque[quantidade],estoque[fornecedor],"&lt;&gt;saída",estoque[produto],preçodiario[[#Headers],[OVO VERMELHO A]],estoque[data],preçodiario[[#This Row],[data]])</f>
        <v>0</v>
      </c>
      <c r="AH268" s="20">
        <f>SUMIFS(estoque[valor total],estoque[fornecedor],"&lt;&gt;saída",estoque[produto],preçodiario[[#Headers],[OVO VERMELHO A]],estoque[data],preçodiario[[#This Row],[data]])</f>
        <v>0</v>
      </c>
      <c r="AI268" s="20">
        <f>IFERROR(preçodiario[[#This Row],[OVO VERMELHO A]]*preçodiario[[#This Row],[estoque AV]],0)</f>
        <v>0</v>
      </c>
      <c r="AJ26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Row],[data]])),((AJ267*AK267)+SUMIFS(estoque[valor total],estoque[produto],preçodiario[[#Headers],[OVO VERMELHO B]],estoque[data],preçodiario[[#This Row],[data]],estoque[fornecedor],"&lt;&gt;saída"))/(AK267+(SUMIFS(estoque[quantidade],estoque[produto],preçodiario[[#Headers],[OVO VERMELHO B]],estoque[fornecedor],"&lt;&gt;saída",estoque[data],preçodiario[[#This Row],[data]])))))</f>
        <v/>
      </c>
      <c r="AK268" s="22">
        <f>IF(preçodiario[[#This Row],[entrada BV]]=0,AK267-(SUMIFS(estoque[quantidade],estoque[fornecedor],"saída",estoque[produto],preçodiario[[#Headers],[OVO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Row],[data]]))+AK267+preçodiario[[#This Row],[entrada BV]])</f>
        <v>0</v>
      </c>
      <c r="AL268" s="22">
        <f>SUMIFS(estoque[quantidade],estoque[fornecedor],"&lt;&gt;saída",estoque[produto],preçodiario[[#Headers],[OVO VERMELHO B]],estoque[data],preçodiario[[#This Row],[data]])</f>
        <v>0</v>
      </c>
      <c r="AM268" s="20">
        <f>SUMIFS(estoque[valor total],estoque[fornecedor],"&lt;&gt;saída",estoque[produto],preçodiario[[#Headers],[OVO VERMELHO B]],estoque[data],preçodiario[[#This Row],[data]])</f>
        <v>0</v>
      </c>
      <c r="AN268" s="20">
        <f>IFERROR(preçodiario[[#This Row],[OVO VERMELHO B]]*preçodiario[[#This Row],[estoque BV]],0)</f>
        <v>0</v>
      </c>
      <c r="AO26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Row],[data]])),((AO267*AP267)+SUMIFS(estoque[valor total],estoque[produto],preçodiario[[#Headers],[OVO VERMELHO C]],estoque[data],preçodiario[[#This Row],[data]],estoque[fornecedor],"&lt;&gt;saída"))/(AP267+(SUMIFS(estoque[quantidade],estoque[produto],preçodiario[[#Headers],[OVO VERMELHO C]],estoque[fornecedor],"&lt;&gt;saída",estoque[data],preçodiario[[#This Row],[data]])))))</f>
        <v/>
      </c>
      <c r="AP268" s="22">
        <f>IF(preçodiario[[#This Row],[entrada CV]]=0,AP267-(SUMIFS(estoque[quantidade],estoque[fornecedor],"saída",estoque[produto],preçodiario[[#Headers],[OVO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Row],[data]]))+AP267+preçodiario[[#This Row],[entrada CV]])</f>
        <v>0</v>
      </c>
      <c r="AQ268" s="22">
        <f>SUMIFS(estoque[quantidade],estoque[fornecedor],"&lt;&gt;saída",estoque[produto],preçodiario[[#Headers],[OVO VERMELHO C]],estoque[data],preçodiario[[#This Row],[data]])</f>
        <v>0</v>
      </c>
      <c r="AR268" s="20">
        <f>SUMIFS(estoque[valor total],estoque[fornecedor],"&lt;&gt;saída",estoque[produto],preçodiario[[#Headers],[OVO VERMELHO C]],estoque[data],preçodiario[[#This Row],[data]])</f>
        <v>0</v>
      </c>
      <c r="AS268" s="20">
        <f>IFERROR(preçodiario[[#This Row],[OVO VERMELHO C]]*preçodiario[[#This Row],[estoque CV]],0)</f>
        <v>0</v>
      </c>
      <c r="AT26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Row],[data]])),((AT267*AU267)+SUMIFS(estoque[valor total],estoque[produto],preçodiario[[#Headers],[OVO VERMELHO EXTRA]],estoque[data],preçodiario[[#This Row],[data]],estoque[fornecedor],"&lt;&gt;saída"))/(AU267+(SUMIFS(estoque[quantidade],estoque[produto],preçodiario[[#Headers],[OVO VERMELHO EXTRA]],estoque[fornecedor],"&lt;&gt;saída",estoque[data],preçodiario[[#This Row],[data]])))))</f>
        <v/>
      </c>
      <c r="AU268" s="22">
        <f>IF(preçodiario[[#This Row],[entrada EV]]=0,AU267-(SUMIFS(estoque[quantidade],estoque[fornecedor],"saída",estoque[produto],preçodiario[[#Headers],[OVO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Row],[data]]))+AU267+preçodiario[[#This Row],[entrada EV]])</f>
        <v>0</v>
      </c>
      <c r="AV268" s="22">
        <f>SUMIFS(estoque[quantidade],estoque[fornecedor],"&lt;&gt;saída",estoque[produto],preçodiario[[#Headers],[OVO VERMELHO EXTRA]],estoque[data],preçodiario[[#This Row],[data]])</f>
        <v>0</v>
      </c>
      <c r="AW268" s="20">
        <f>SUMIFS(estoque[valor total],estoque[fornecedor],"&lt;&gt;saída",estoque[produto],preçodiario[[#Headers],[OVO VERMELHO EXTRA]],estoque[data],preçodiario[[#This Row],[data]])</f>
        <v>0</v>
      </c>
      <c r="AX268" s="20">
        <f>IFERROR(preçodiario[[#This Row],[OVO VERMELHO EXTRA]]*preçodiario[[#This Row],[estoque EV]],0)</f>
        <v>0</v>
      </c>
      <c r="AY26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Row],[data]])),((AY267*AZ267)+SUMIFS(estoque[valor total],estoque[produto],preçodiario[[#Headers],[OVO VERMELHO JUMBO]],estoque[data],preçodiario[[#This Row],[data]],estoque[fornecedor],"&lt;&gt;saída"))/(AZ267+(SUMIFS(estoque[quantidade],estoque[produto],preçodiario[[#Headers],[OVO VERMELHO JUMBO]],estoque[fornecedor],"&lt;&gt;saída",estoque[data],preçodiario[[#This Row],[data]])))))</f>
        <v/>
      </c>
      <c r="AZ268" s="22">
        <f>IF(preçodiario[[#This Row],[entrada JV]]=0,AZ267-(SUMIFS(estoque[quantidade],estoque[fornecedor],"saída",estoque[produto],preçodiario[[#Headers],[OVO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Row],[data]]))+AZ267+preçodiario[[#This Row],[entrada JV]])</f>
        <v>0</v>
      </c>
      <c r="BA268" s="22">
        <f>SUMIFS(estoque[quantidade],estoque[fornecedor],"&lt;&gt;saída",estoque[produto],preçodiario[[#Headers],[OVO VERMELHO JUMBO]],estoque[data],preçodiario[[#This Row],[data]])</f>
        <v>0</v>
      </c>
      <c r="BB268" s="20">
        <f>SUMIFS(estoque[valor total],estoque[fornecedor],"&lt;&gt;saída",estoque[produto],preçodiario[[#Headers],[OVO VERMELHO JUMBO]],estoque[data],preçodiario[[#This Row],[data]])</f>
        <v>0</v>
      </c>
      <c r="BC268" s="20">
        <f>IFERROR(preçodiario[[#This Row],[OVO VERMELHO JUMBO]]*preçodiario[[#This Row],[estoque JV]],0)</f>
        <v>0</v>
      </c>
      <c r="BD268" t="str">
        <f>TEXT(vendaAno[[#This Row],[data]],"mmm")</f>
        <v>set</v>
      </c>
      <c r="BE268" t="str">
        <f>TEXT(vendaAno[[#This Row],[data]],"ddd")</f>
        <v>qui</v>
      </c>
      <c r="BF268" s="82">
        <f>WEEKNUM(vendaAno[[#This Row],[data]],13)</f>
        <v>39</v>
      </c>
      <c r="BG268" s="27">
        <f>preçodiario[[#This Row],[data]]</f>
        <v>46289</v>
      </c>
      <c r="BH26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Row],[data]]))/12+BJ267,"")</f>
        <v/>
      </c>
      <c r="BK268" s="79" t="str">
        <f ca="1">IF(TODAY()&gt;=vendaAno[[#This Row],[data]],IF(SUMIFS(estoque[quantidade],estoque[fornecedor],"saída",estoque[data],vendaAno[[#This Row],[data]])/12=0,AVERAGE(BK265:BK267),SUMIFS(estoque[quantidade],estoque[fornecedor],"saída",estoque[data],vendaAno[[#This Row],[data]])/12),"")</f>
        <v/>
      </c>
      <c r="BL268" s="8" t="str">
        <f ca="1">IF(vendaAno[[#This Row],[data]]&lt;=TODAY(),IF(SUMIFS(estoque[lucro],estoque[fornecedor],"saída",estoque[data],vendaAno[[#This Row],[data]])=0,AVERAGE(BL265:BL267),SUMIFS(estoque[lucro],estoque[fornecedor],"saída",estoque[data],vendaAno[[#This Row],[data]])),"")</f>
        <v/>
      </c>
      <c r="BM268" s="10" t="str">
        <f ca="1">IFERROR(vendaAno[[#This Row],[lucro]]/vendaAno[[#This Row],[valor de venda]],"")</f>
        <v/>
      </c>
      <c r="BN26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8" s="8" t="str">
        <f ca="1">IF(TODAY()&gt;=vendaAno[[#This Row],[data]],IF(vendaAno[[#This Row],[N°]]=BF267,vendaAno[[#This Row],[lucro]]-173.33+BO267,vendaAno[[#This Row],[lucro]]-150),"")</f>
        <v/>
      </c>
      <c r="BP268" s="81" t="str">
        <f ca="1">IF(TODAY()&gt;=vendaAno[[#This Row],[data]],SUM(BK262:BK268)*12,"")</f>
        <v/>
      </c>
      <c r="BQ268" s="7" t="str">
        <f ca="1">IFERROR(vendaAno[[#This Row],[lucro]]/(vendaAno[[#This Row],[venda]]*12),"")</f>
        <v/>
      </c>
    </row>
    <row r="269" spans="1:69" x14ac:dyDescent="0.25">
      <c r="A26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69" s="18" t="str">
        <f>TEXT(preçodiario[[#This Row],[data]],"MMM")</f>
        <v>set</v>
      </c>
      <c r="C269" s="18" t="str">
        <f>TEXT(preçodiario[[#This Row],[data]],"ddd")</f>
        <v>sex</v>
      </c>
      <c r="D269" s="96">
        <f>WEEKNUM(preçodiario[[#This Row],[data]],13)</f>
        <v>39</v>
      </c>
      <c r="E269" s="37">
        <v>46290</v>
      </c>
      <c r="F26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Row],[data]])),((F268*G268)+SUMIFS(estoque[valor total],estoque[produto],preçodiario[[#Headers],[OVO BRANCO A]],estoque[data],preçodiario[[#This Row],[data]],estoque[fornecedor],"&lt;&gt;saída"))/(G268+(SUMIFS(estoque[quantidade],estoque[produto],preçodiario[[#Headers],[OVO BRANCO A]],estoque[fornecedor],"&lt;&gt;saída",estoque[data],preçodiario[[#This Row],[data]])))))</f>
        <v>15.278182701652089</v>
      </c>
      <c r="G269" s="22">
        <f>IF(preçodiario[[#This Row],[entrada A]]=0,G268-(SUMIFS(estoque[quantidade],estoque[fornecedor],"saída",estoque[produto],preçodiario[[#Headers],[OVO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Row],[data]]))+G268+preçodiario[[#This Row],[entrada A]])</f>
        <v>133</v>
      </c>
      <c r="H269" s="22">
        <f>SUMIFS(estoque[quantidade],estoque[fornecedor],"&lt;&gt;saída",estoque[produto],preçodiario[[#Headers],[OVO BRANCO A]],estoque[data],preçodiario[[#This Row],[data]])</f>
        <v>0</v>
      </c>
      <c r="I269" s="20">
        <f>SUMIFS(estoque[valor total],estoque[fornecedor],"&lt;&gt;saída",estoque[produto],preçodiario[[#Headers],[OVO BRANCO A]],estoque[data],preçodiario[[#This Row],[data]])</f>
        <v>0</v>
      </c>
      <c r="J269" s="20">
        <f>IFERROR(preçodiario[[#This Row],[estoque A]]*preçodiario[[#This Row],[OVO BRANCO A]],0)</f>
        <v>2031.9982993197277</v>
      </c>
      <c r="K26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Row],[data]])),((K268*L268)+SUMIFS(estoque[valor total],estoque[produto],preçodiario[[#Headers],[OVO BRANCO B]],estoque[data],preçodiario[[#This Row],[data]],estoque[fornecedor],"&lt;&gt;saída"))/(L268+(SUMIFS(estoque[quantidade],estoque[produto],preçodiario[[#Headers],[OVO BRANCO B]],estoque[fornecedor],"&lt;&gt;saída",estoque[data],preçodiario[[#This Row],[data]])))))</f>
        <v>14.584252837326604</v>
      </c>
      <c r="L269" s="22">
        <f>IF(preçodiario[[#This Row],[entrada B]]=0,L268-(SUMIFS(estoque[quantidade],estoque[fornecedor],"saída",estoque[produto],preçodiario[[#Headers],[OVO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Row],[data]]))+L268+preçodiario[[#This Row],[entrada B]])</f>
        <v>16</v>
      </c>
      <c r="M269" s="22">
        <f>SUMIFS(estoque[quantidade],estoque[fornecedor],"&lt;&gt;saída",estoque[produto],preçodiario[[#Headers],[OVO BRANCO B]],estoque[data],preçodiario[[#This Row],[data]])</f>
        <v>0</v>
      </c>
      <c r="N269" s="20">
        <f>SUMIFS(estoque[valor total],estoque[fornecedor],"&lt;&gt;saída",estoque[produto],preçodiario[[#Headers],[OVO BRANCO B]],estoque[data],preçodiario[[#This Row],[data]])</f>
        <v>0</v>
      </c>
      <c r="O269" s="20">
        <f>IFERROR(preçodiario[[#This Row],[OVO BRANCO B]]*preçodiario[[#This Row],[estoque B]],0)</f>
        <v>233.34804539722566</v>
      </c>
      <c r="P26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Row],[data]])),((P268*Q268)+SUMIFS(estoque[valor total],estoque[produto],preçodiario[[#Headers],[OVO BRANCO C]],estoque[data],preçodiario[[#This Row],[data]],estoque[fornecedor],"&lt;&gt;saída"))/(Q268+(SUMIFS(estoque[quantidade],estoque[produto],preçodiario[[#Headers],[OVO BRANCO C]],estoque[fornecedor],"&lt;&gt;saída",estoque[data],preçodiario[[#This Row],[data]])))))</f>
        <v>12.5</v>
      </c>
      <c r="Q269" s="22">
        <f>IF(preçodiario[[#This Row],[entrada C]]=0,Q268-(SUMIFS(estoque[quantidade],estoque[fornecedor],"saída",estoque[produto],preçodiario[[#Headers],[OVO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Row],[data]]))+Q268+preçodiario[[#This Row],[entrada C]])</f>
        <v>60</v>
      </c>
      <c r="R269" s="22">
        <f>SUMIFS(estoque[quantidade],estoque[fornecedor],"&lt;&gt;saída",estoque[produto],preçodiario[[#Headers],[OVO BRANCO C]],estoque[data],preçodiario[[#This Row],[data]])</f>
        <v>0</v>
      </c>
      <c r="S269" s="20">
        <f>SUMIFS(estoque[valor total],estoque[fornecedor],"&lt;&gt;saída",estoque[produto],preçodiario[[#Headers],[OVO BRANCO C]],estoque[data],preçodiario[[#This Row],[data]])</f>
        <v>0</v>
      </c>
      <c r="T269" s="20">
        <f>IFERROR(preçodiario[[#This Row],[OVO BRANCO C]]*preçodiario[[#This Row],[estoque C]],0)</f>
        <v>750</v>
      </c>
      <c r="U26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Row],[data]])),((U268*V268)+SUMIFS(estoque[valor total],estoque[produto],preçodiario[[#Headers],[OVO BRANCO EXTRA]],estoque[data],preçodiario[[#This Row],[data]],estoque[fornecedor],"&lt;&gt;saída"))/(V268+(SUMIFS(estoque[quantidade],estoque[produto],preçodiario[[#Headers],[OVO BRANCO EXTRA]],estoque[fornecedor],"&lt;&gt;saída",estoque[data],preçodiario[[#This Row],[data]])))))</f>
        <v>15.725438400674655</v>
      </c>
      <c r="V269" s="22">
        <f>IF(preçodiario[[#This Row],[entrada E]]=0,V268-(SUMIFS(estoque[quantidade],estoque[fornecedor],"saída",estoque[produto],preçodiario[[#Headers],[OVO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Row],[data]]))+V268+preçodiario[[#This Row],[entrada E]])</f>
        <v>46</v>
      </c>
      <c r="W269" s="22">
        <f>SUMIFS(estoque[quantidade],estoque[fornecedor],"&lt;&gt;saída",estoque[produto],preçodiario[[#Headers],[OVO BRANCO EXTRA]],estoque[data],preçodiario[[#This Row],[data]])</f>
        <v>0</v>
      </c>
      <c r="X269" s="20">
        <f>SUMIFS(estoque[valor total],estoque[fornecedor],"&lt;&gt;saída",estoque[produto],preçodiario[[#Headers],[OVO BRANCO EXTRA]],estoque[data],preçodiario[[#This Row],[data]])</f>
        <v>0</v>
      </c>
      <c r="Y269" s="20">
        <f>IFERROR(preçodiario[[#This Row],[estoque E]]*preçodiario[[#This Row],[OVO BRANCO EXTRA]],0)</f>
        <v>723.37016643103414</v>
      </c>
      <c r="Z26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Row],[data]])),((Z268*AA268)+SUMIFS(estoque[valor total],estoque[produto],preçodiario[[#Headers],[OVO BRANCO JUMBO]],estoque[data],preçodiario[[#This Row],[data]],estoque[fornecedor],"&lt;&gt;saída"))/(AA268+(SUMIFS(estoque[quantidade],estoque[produto],preçodiario[[#Headers],[OVO BRANCO JUMBO]],estoque[fornecedor],"&lt;&gt;saída",estoque[data],preçodiario[[#This Row],[data]])))))</f>
        <v>16.50550595238095</v>
      </c>
      <c r="AA269" s="22">
        <f>IF(preçodiario[[#This Row],[entrada J]]=0,AA268-(SUMIFS(estoque[quantidade],estoque[fornecedor],"saída",estoque[produto],preçodiario[[#Headers],[OVO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Row],[data]]))+AA268+preçodiario[[#This Row],[entrada J]])</f>
        <v>75</v>
      </c>
      <c r="AB269" s="22">
        <f>SUMIFS(estoque[quantidade],estoque[fornecedor],"&lt;&gt;saída",estoque[produto],preçodiario[[#Headers],[OVO BRANCO JUMBO]],estoque[data],preçodiario[[#This Row],[data]])</f>
        <v>0</v>
      </c>
      <c r="AC269" s="20">
        <f>SUMIFS(estoque[valor total],estoque[fornecedor],"&lt;&gt;saída",estoque[produto],preçodiario[[#Headers],[OVO BRANCO JUMBO]],estoque[data],preçodiario[[#This Row],[data]])</f>
        <v>0</v>
      </c>
      <c r="AD269" s="20">
        <f>IFERROR(preçodiario[[#This Row],[OVO BRANCO JUMBO]]*preçodiario[[#This Row],[estoque J]],0)</f>
        <v>1237.9129464285713</v>
      </c>
      <c r="AE26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Row],[data]])),((AE268*AF268)+SUMIFS(estoque[valor total],estoque[produto],preçodiario[[#Headers],[OVO VERMELHO A]],estoque[data],preçodiario[[#This Row],[data]],estoque[fornecedor],"&lt;&gt;saída"))/(AF268+(SUMIFS(estoque[quantidade],estoque[produto],preçodiario[[#Headers],[OVO VERMELHO A]],estoque[fornecedor],"&lt;&gt;saída",estoque[data],preçodiario[[#This Row],[data]])))))</f>
        <v/>
      </c>
      <c r="AF269" s="22">
        <f>IF(preçodiario[[#This Row],[entrada AV]]=0,AF268-(SUMIFS(estoque[quantidade],estoque[fornecedor],"saída",estoque[produto],preçodiario[[#Headers],[OVO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Row],[data]]))+AF268+preçodiario[[#This Row],[entrada AV]])</f>
        <v>0</v>
      </c>
      <c r="AG269" s="22">
        <f>SUMIFS(estoque[quantidade],estoque[fornecedor],"&lt;&gt;saída",estoque[produto],preçodiario[[#Headers],[OVO VERMELHO A]],estoque[data],preçodiario[[#This Row],[data]])</f>
        <v>0</v>
      </c>
      <c r="AH269" s="20">
        <f>SUMIFS(estoque[valor total],estoque[fornecedor],"&lt;&gt;saída",estoque[produto],preçodiario[[#Headers],[OVO VERMELHO A]],estoque[data],preçodiario[[#This Row],[data]])</f>
        <v>0</v>
      </c>
      <c r="AI269" s="20">
        <f>IFERROR(preçodiario[[#This Row],[OVO VERMELHO A]]*preçodiario[[#This Row],[estoque AV]],0)</f>
        <v>0</v>
      </c>
      <c r="AJ26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Row],[data]])),((AJ268*AK268)+SUMIFS(estoque[valor total],estoque[produto],preçodiario[[#Headers],[OVO VERMELHO B]],estoque[data],preçodiario[[#This Row],[data]],estoque[fornecedor],"&lt;&gt;saída"))/(AK268+(SUMIFS(estoque[quantidade],estoque[produto],preçodiario[[#Headers],[OVO VERMELHO B]],estoque[fornecedor],"&lt;&gt;saída",estoque[data],preçodiario[[#This Row],[data]])))))</f>
        <v/>
      </c>
      <c r="AK269" s="22">
        <f>IF(preçodiario[[#This Row],[entrada BV]]=0,AK268-(SUMIFS(estoque[quantidade],estoque[fornecedor],"saída",estoque[produto],preçodiario[[#Headers],[OVO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Row],[data]]))+AK268+preçodiario[[#This Row],[entrada BV]])</f>
        <v>0</v>
      </c>
      <c r="AL269" s="22">
        <f>SUMIFS(estoque[quantidade],estoque[fornecedor],"&lt;&gt;saída",estoque[produto],preçodiario[[#Headers],[OVO VERMELHO B]],estoque[data],preçodiario[[#This Row],[data]])</f>
        <v>0</v>
      </c>
      <c r="AM269" s="20">
        <f>SUMIFS(estoque[valor total],estoque[fornecedor],"&lt;&gt;saída",estoque[produto],preçodiario[[#Headers],[OVO VERMELHO B]],estoque[data],preçodiario[[#This Row],[data]])</f>
        <v>0</v>
      </c>
      <c r="AN269" s="20">
        <f>IFERROR(preçodiario[[#This Row],[OVO VERMELHO B]]*preçodiario[[#This Row],[estoque BV]],0)</f>
        <v>0</v>
      </c>
      <c r="AO26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Row],[data]])),((AO268*AP268)+SUMIFS(estoque[valor total],estoque[produto],preçodiario[[#Headers],[OVO VERMELHO C]],estoque[data],preçodiario[[#This Row],[data]],estoque[fornecedor],"&lt;&gt;saída"))/(AP268+(SUMIFS(estoque[quantidade],estoque[produto],preçodiario[[#Headers],[OVO VERMELHO C]],estoque[fornecedor],"&lt;&gt;saída",estoque[data],preçodiario[[#This Row],[data]])))))</f>
        <v/>
      </c>
      <c r="AP269" s="22">
        <f>IF(preçodiario[[#This Row],[entrada CV]]=0,AP268-(SUMIFS(estoque[quantidade],estoque[fornecedor],"saída",estoque[produto],preçodiario[[#Headers],[OVO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Row],[data]]))+AP268+preçodiario[[#This Row],[entrada CV]])</f>
        <v>0</v>
      </c>
      <c r="AQ269" s="22">
        <f>SUMIFS(estoque[quantidade],estoque[fornecedor],"&lt;&gt;saída",estoque[produto],preçodiario[[#Headers],[OVO VERMELHO C]],estoque[data],preçodiario[[#This Row],[data]])</f>
        <v>0</v>
      </c>
      <c r="AR269" s="20">
        <f>SUMIFS(estoque[valor total],estoque[fornecedor],"&lt;&gt;saída",estoque[produto],preçodiario[[#Headers],[OVO VERMELHO C]],estoque[data],preçodiario[[#This Row],[data]])</f>
        <v>0</v>
      </c>
      <c r="AS269" s="20">
        <f>IFERROR(preçodiario[[#This Row],[OVO VERMELHO C]]*preçodiario[[#This Row],[estoque CV]],0)</f>
        <v>0</v>
      </c>
      <c r="AT26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Row],[data]])),((AT268*AU268)+SUMIFS(estoque[valor total],estoque[produto],preçodiario[[#Headers],[OVO VERMELHO EXTRA]],estoque[data],preçodiario[[#This Row],[data]],estoque[fornecedor],"&lt;&gt;saída"))/(AU268+(SUMIFS(estoque[quantidade],estoque[produto],preçodiario[[#Headers],[OVO VERMELHO EXTRA]],estoque[fornecedor],"&lt;&gt;saída",estoque[data],preçodiario[[#This Row],[data]])))))</f>
        <v/>
      </c>
      <c r="AU269" s="22">
        <f>IF(preçodiario[[#This Row],[entrada EV]]=0,AU268-(SUMIFS(estoque[quantidade],estoque[fornecedor],"saída",estoque[produto],preçodiario[[#Headers],[OVO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Row],[data]]))+AU268+preçodiario[[#This Row],[entrada EV]])</f>
        <v>0</v>
      </c>
      <c r="AV269" s="22">
        <f>SUMIFS(estoque[quantidade],estoque[fornecedor],"&lt;&gt;saída",estoque[produto],preçodiario[[#Headers],[OVO VERMELHO EXTRA]],estoque[data],preçodiario[[#This Row],[data]])</f>
        <v>0</v>
      </c>
      <c r="AW269" s="20">
        <f>SUMIFS(estoque[valor total],estoque[fornecedor],"&lt;&gt;saída",estoque[produto],preçodiario[[#Headers],[OVO VERMELHO EXTRA]],estoque[data],preçodiario[[#This Row],[data]])</f>
        <v>0</v>
      </c>
      <c r="AX269" s="20">
        <f>IFERROR(preçodiario[[#This Row],[OVO VERMELHO EXTRA]]*preçodiario[[#This Row],[estoque EV]],0)</f>
        <v>0</v>
      </c>
      <c r="AY26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Row],[data]])),((AY268*AZ268)+SUMIFS(estoque[valor total],estoque[produto],preçodiario[[#Headers],[OVO VERMELHO JUMBO]],estoque[data],preçodiario[[#This Row],[data]],estoque[fornecedor],"&lt;&gt;saída"))/(AZ268+(SUMIFS(estoque[quantidade],estoque[produto],preçodiario[[#Headers],[OVO VERMELHO JUMBO]],estoque[fornecedor],"&lt;&gt;saída",estoque[data],preçodiario[[#This Row],[data]])))))</f>
        <v/>
      </c>
      <c r="AZ269" s="22">
        <f>IF(preçodiario[[#This Row],[entrada JV]]=0,AZ268-(SUMIFS(estoque[quantidade],estoque[fornecedor],"saída",estoque[produto],preçodiario[[#Headers],[OVO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Row],[data]]))+AZ268+preçodiario[[#This Row],[entrada JV]])</f>
        <v>0</v>
      </c>
      <c r="BA269" s="22">
        <f>SUMIFS(estoque[quantidade],estoque[fornecedor],"&lt;&gt;saída",estoque[produto],preçodiario[[#Headers],[OVO VERMELHO JUMBO]],estoque[data],preçodiario[[#This Row],[data]])</f>
        <v>0</v>
      </c>
      <c r="BB269" s="20">
        <f>SUMIFS(estoque[valor total],estoque[fornecedor],"&lt;&gt;saída",estoque[produto],preçodiario[[#Headers],[OVO VERMELHO JUMBO]],estoque[data],preçodiario[[#This Row],[data]])</f>
        <v>0</v>
      </c>
      <c r="BC269" s="20">
        <f>IFERROR(preçodiario[[#This Row],[OVO VERMELHO JUMBO]]*preçodiario[[#This Row],[estoque JV]],0)</f>
        <v>0</v>
      </c>
      <c r="BD269" t="str">
        <f>TEXT(vendaAno[[#This Row],[data]],"mmm")</f>
        <v>set</v>
      </c>
      <c r="BE269" t="str">
        <f>TEXT(vendaAno[[#This Row],[data]],"ddd")</f>
        <v>sex</v>
      </c>
      <c r="BF269" s="82">
        <f>WEEKNUM(vendaAno[[#This Row],[data]],13)</f>
        <v>39</v>
      </c>
      <c r="BG269" s="27">
        <f>preçodiario[[#This Row],[data]]</f>
        <v>46290</v>
      </c>
      <c r="BH26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6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6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Row],[data]]))/12+BJ268,"")</f>
        <v/>
      </c>
      <c r="BK269" s="79" t="str">
        <f ca="1">IF(TODAY()&gt;=vendaAno[[#This Row],[data]],IF(SUMIFS(estoque[quantidade],estoque[fornecedor],"saída",estoque[data],vendaAno[[#This Row],[data]])/12=0,AVERAGE(BK266:BK268),SUMIFS(estoque[quantidade],estoque[fornecedor],"saída",estoque[data],vendaAno[[#This Row],[data]])/12),"")</f>
        <v/>
      </c>
      <c r="BL269" s="8" t="str">
        <f ca="1">IF(vendaAno[[#This Row],[data]]&lt;=TODAY(),IF(SUMIFS(estoque[lucro],estoque[fornecedor],"saída",estoque[data],vendaAno[[#This Row],[data]])=0,AVERAGE(BL266:BL268),SUMIFS(estoque[lucro],estoque[fornecedor],"saída",estoque[data],vendaAno[[#This Row],[data]])),"")</f>
        <v/>
      </c>
      <c r="BM269" s="10" t="str">
        <f ca="1">IFERROR(vendaAno[[#This Row],[lucro]]/vendaAno[[#This Row],[valor de venda]],"")</f>
        <v/>
      </c>
      <c r="BN26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69" s="8" t="str">
        <f ca="1">IF(TODAY()&gt;=vendaAno[[#This Row],[data]],IF(vendaAno[[#This Row],[N°]]=BF268,vendaAno[[#This Row],[lucro]]-173.33+BO268,vendaAno[[#This Row],[lucro]]-150),"")</f>
        <v/>
      </c>
      <c r="BP269" s="81" t="str">
        <f ca="1">IF(TODAY()&gt;=vendaAno[[#This Row],[data]],SUM(BK263:BK269)*12,"")</f>
        <v/>
      </c>
      <c r="BQ269" s="7" t="str">
        <f ca="1">IFERROR(vendaAno[[#This Row],[lucro]]/(vendaAno[[#This Row],[venda]]*12),"")</f>
        <v/>
      </c>
    </row>
    <row r="270" spans="1:69" x14ac:dyDescent="0.25">
      <c r="A27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Row],[data]]-1))*A269+SUMIFS(estoque[valor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0" s="18" t="str">
        <f>TEXT(preçodiario[[#This Row],[data]],"MMM")</f>
        <v>set</v>
      </c>
      <c r="C270" s="18" t="str">
        <f>TEXT(preçodiario[[#This Row],[data]],"ddd")</f>
        <v>sáb</v>
      </c>
      <c r="D270" s="96">
        <f>WEEKNUM(preçodiario[[#This Row],[data]],13)</f>
        <v>39</v>
      </c>
      <c r="E270" s="37">
        <v>46291</v>
      </c>
      <c r="F27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Row],[data]]))),IF(G269=0,SUMIFS(estoque[valor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Row],[data]])),((F269*G269)+SUMIFS(estoque[valor total],estoque[produto],preçodiario[[#Headers],[OVO BRANCO A]],estoque[data],preçodiario[[#This Row],[data]],estoque[fornecedor],"&lt;&gt;saída"))/(G269+(SUMIFS(estoque[quantidade],estoque[produto],preçodiario[[#Headers],[OVO BRANCO A]],estoque[fornecedor],"&lt;&gt;saída",estoque[data],preçodiario[[#This Row],[data]])))))</f>
        <v>15.278182701652089</v>
      </c>
      <c r="G270" s="22">
        <f>IF(preçodiario[[#This Row],[entrada A]]=0,G269-(SUMIFS(estoque[quantidade],estoque[fornecedor],"saída",estoque[produto],preçodiario[[#Headers],[OVO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Row],[data]]))+G269+preçodiario[[#This Row],[entrada A]])</f>
        <v>133</v>
      </c>
      <c r="H270" s="22">
        <f>SUMIFS(estoque[quantidade],estoque[fornecedor],"&lt;&gt;saída",estoque[produto],preçodiario[[#Headers],[OVO BRANCO A]],estoque[data],preçodiario[[#This Row],[data]])</f>
        <v>0</v>
      </c>
      <c r="I270" s="20">
        <f>SUMIFS(estoque[valor total],estoque[fornecedor],"&lt;&gt;saída",estoque[produto],preçodiario[[#Headers],[OVO BRANCO A]],estoque[data],preçodiario[[#This Row],[data]])</f>
        <v>0</v>
      </c>
      <c r="J270" s="20">
        <f>IFERROR(preçodiario[[#This Row],[estoque A]]*preçodiario[[#This Row],[OVO BRANCO A]],0)</f>
        <v>2031.9982993197277</v>
      </c>
      <c r="K27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Row],[data]]))),IF(L269=0,SUMIFS(estoque[valor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Row],[data]])),((K269*L269)+SUMIFS(estoque[valor total],estoque[produto],preçodiario[[#Headers],[OVO BRANCO B]],estoque[data],preçodiario[[#This Row],[data]],estoque[fornecedor],"&lt;&gt;saída"))/(L269+(SUMIFS(estoque[quantidade],estoque[produto],preçodiario[[#Headers],[OVO BRANCO B]],estoque[fornecedor],"&lt;&gt;saída",estoque[data],preçodiario[[#This Row],[data]])))))</f>
        <v>14.584252837326604</v>
      </c>
      <c r="L270" s="22">
        <f>IF(preçodiario[[#This Row],[entrada B]]=0,L269-(SUMIFS(estoque[quantidade],estoque[fornecedor],"saída",estoque[produto],preçodiario[[#Headers],[OVO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Row],[data]]))+L269+preçodiario[[#This Row],[entrada B]])</f>
        <v>16</v>
      </c>
      <c r="M270" s="22">
        <f>SUMIFS(estoque[quantidade],estoque[fornecedor],"&lt;&gt;saída",estoque[produto],preçodiario[[#Headers],[OVO BRANCO B]],estoque[data],preçodiario[[#This Row],[data]])</f>
        <v>0</v>
      </c>
      <c r="N270" s="20">
        <f>SUMIFS(estoque[valor total],estoque[fornecedor],"&lt;&gt;saída",estoque[produto],preçodiario[[#Headers],[OVO BRANCO B]],estoque[data],preçodiario[[#This Row],[data]])</f>
        <v>0</v>
      </c>
      <c r="O270" s="20">
        <f>IFERROR(preçodiario[[#This Row],[OVO BRANCO B]]*preçodiario[[#This Row],[estoque B]],0)</f>
        <v>233.34804539722566</v>
      </c>
      <c r="P27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Row],[data]]))),IF(Q269=0,SUMIFS(estoque[valor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Row],[data]])),((P269*Q269)+SUMIFS(estoque[valor total],estoque[produto],preçodiario[[#Headers],[OVO BRANCO C]],estoque[data],preçodiario[[#This Row],[data]],estoque[fornecedor],"&lt;&gt;saída"))/(Q269+(SUMIFS(estoque[quantidade],estoque[produto],preçodiario[[#Headers],[OVO BRANCO C]],estoque[fornecedor],"&lt;&gt;saída",estoque[data],preçodiario[[#This Row],[data]])))))</f>
        <v>12.5</v>
      </c>
      <c r="Q270" s="22">
        <f>IF(preçodiario[[#This Row],[entrada C]]=0,Q269-(SUMIFS(estoque[quantidade],estoque[fornecedor],"saída",estoque[produto],preçodiario[[#Headers],[OVO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Row],[data]]))+Q269+preçodiario[[#This Row],[entrada C]])</f>
        <v>60</v>
      </c>
      <c r="R270" s="22">
        <f>SUMIFS(estoque[quantidade],estoque[fornecedor],"&lt;&gt;saída",estoque[produto],preçodiario[[#Headers],[OVO BRANCO C]],estoque[data],preçodiario[[#This Row],[data]])</f>
        <v>0</v>
      </c>
      <c r="S270" s="20">
        <f>SUMIFS(estoque[valor total],estoque[fornecedor],"&lt;&gt;saída",estoque[produto],preçodiario[[#Headers],[OVO BRANCO C]],estoque[data],preçodiario[[#This Row],[data]])</f>
        <v>0</v>
      </c>
      <c r="T270" s="20">
        <f>IFERROR(preçodiario[[#This Row],[OVO BRANCO C]]*preçodiario[[#This Row],[estoque C]],0)</f>
        <v>750</v>
      </c>
      <c r="U27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Row],[data]]))),IF(V269=0,SUMIFS(estoque[valor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Row],[data]])),((U269*V269)+SUMIFS(estoque[valor total],estoque[produto],preçodiario[[#Headers],[OVO BRANCO EXTRA]],estoque[data],preçodiario[[#This Row],[data]],estoque[fornecedor],"&lt;&gt;saída"))/(V269+(SUMIFS(estoque[quantidade],estoque[produto],preçodiario[[#Headers],[OVO BRANCO EXTRA]],estoque[fornecedor],"&lt;&gt;saída",estoque[data],preçodiario[[#This Row],[data]])))))</f>
        <v>15.725438400674655</v>
      </c>
      <c r="V270" s="22">
        <f>IF(preçodiario[[#This Row],[entrada E]]=0,V269-(SUMIFS(estoque[quantidade],estoque[fornecedor],"saída",estoque[produto],preçodiario[[#Headers],[OVO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Row],[data]]))+V269+preçodiario[[#This Row],[entrada E]])</f>
        <v>46</v>
      </c>
      <c r="W270" s="22">
        <f>SUMIFS(estoque[quantidade],estoque[fornecedor],"&lt;&gt;saída",estoque[produto],preçodiario[[#Headers],[OVO BRANCO EXTRA]],estoque[data],preçodiario[[#This Row],[data]])</f>
        <v>0</v>
      </c>
      <c r="X270" s="20">
        <f>SUMIFS(estoque[valor total],estoque[fornecedor],"&lt;&gt;saída",estoque[produto],preçodiario[[#Headers],[OVO BRANCO EXTRA]],estoque[data],preçodiario[[#This Row],[data]])</f>
        <v>0</v>
      </c>
      <c r="Y270" s="20">
        <f>IFERROR(preçodiario[[#This Row],[estoque E]]*preçodiario[[#This Row],[OVO BRANCO EXTRA]],0)</f>
        <v>723.37016643103414</v>
      </c>
      <c r="Z27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Row],[data]]))),IF(AA269=0,SUMIFS(estoque[valor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Row],[data]])),((Z269*AA269)+SUMIFS(estoque[valor total],estoque[produto],preçodiario[[#Headers],[OVO BRANCO JUMBO]],estoque[data],preçodiario[[#This Row],[data]],estoque[fornecedor],"&lt;&gt;saída"))/(AA269+(SUMIFS(estoque[quantidade],estoque[produto],preçodiario[[#Headers],[OVO BRANCO JUMBO]],estoque[fornecedor],"&lt;&gt;saída",estoque[data],preçodiario[[#This Row],[data]])))))</f>
        <v>16.50550595238095</v>
      </c>
      <c r="AA270" s="22">
        <f>IF(preçodiario[[#This Row],[entrada J]]=0,AA269-(SUMIFS(estoque[quantidade],estoque[fornecedor],"saída",estoque[produto],preçodiario[[#Headers],[OVO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Row],[data]]))+AA269+preçodiario[[#This Row],[entrada J]])</f>
        <v>75</v>
      </c>
      <c r="AB270" s="22">
        <f>SUMIFS(estoque[quantidade],estoque[fornecedor],"&lt;&gt;saída",estoque[produto],preçodiario[[#Headers],[OVO BRANCO JUMBO]],estoque[data],preçodiario[[#This Row],[data]])</f>
        <v>0</v>
      </c>
      <c r="AC270" s="20">
        <f>SUMIFS(estoque[valor total],estoque[fornecedor],"&lt;&gt;saída",estoque[produto],preçodiario[[#Headers],[OVO BRANCO JUMBO]],estoque[data],preçodiario[[#This Row],[data]])</f>
        <v>0</v>
      </c>
      <c r="AD270" s="20">
        <f>IFERROR(preçodiario[[#This Row],[OVO BRANCO JUMBO]]*preçodiario[[#This Row],[estoque J]],0)</f>
        <v>1237.9129464285713</v>
      </c>
      <c r="AE27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Row],[data]]))),IF(AF269=0,SUMIFS(estoque[valor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Row],[data]])),((AE269*AF269)+SUMIFS(estoque[valor total],estoque[produto],preçodiario[[#Headers],[OVO VERMELHO A]],estoque[data],preçodiario[[#This Row],[data]],estoque[fornecedor],"&lt;&gt;saída"))/(AF269+(SUMIFS(estoque[quantidade],estoque[produto],preçodiario[[#Headers],[OVO VERMELHO A]],estoque[fornecedor],"&lt;&gt;saída",estoque[data],preçodiario[[#This Row],[data]])))))</f>
        <v/>
      </c>
      <c r="AF270" s="22">
        <f>IF(preçodiario[[#This Row],[entrada AV]]=0,AF269-(SUMIFS(estoque[quantidade],estoque[fornecedor],"saída",estoque[produto],preçodiario[[#Headers],[OVO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Row],[data]]))+AF269+preçodiario[[#This Row],[entrada AV]])</f>
        <v>0</v>
      </c>
      <c r="AG270" s="22">
        <f>SUMIFS(estoque[quantidade],estoque[fornecedor],"&lt;&gt;saída",estoque[produto],preçodiario[[#Headers],[OVO VERMELHO A]],estoque[data],preçodiario[[#This Row],[data]])</f>
        <v>0</v>
      </c>
      <c r="AH270" s="20">
        <f>SUMIFS(estoque[valor total],estoque[fornecedor],"&lt;&gt;saída",estoque[produto],preçodiario[[#Headers],[OVO VERMELHO A]],estoque[data],preçodiario[[#This Row],[data]])</f>
        <v>0</v>
      </c>
      <c r="AI270" s="20">
        <f>IFERROR(preçodiario[[#This Row],[OVO VERMELHO A]]*preçodiario[[#This Row],[estoque AV]],0)</f>
        <v>0</v>
      </c>
      <c r="AJ27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Row],[data]]))),IF(AK269=0,SUMIFS(estoque[valor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Row],[data]])),((AJ269*AK269)+SUMIFS(estoque[valor total],estoque[produto],preçodiario[[#Headers],[OVO VERMELHO B]],estoque[data],preçodiario[[#This Row],[data]],estoque[fornecedor],"&lt;&gt;saída"))/(AK269+(SUMIFS(estoque[quantidade],estoque[produto],preçodiario[[#Headers],[OVO VERMELHO B]],estoque[fornecedor],"&lt;&gt;saída",estoque[data],preçodiario[[#This Row],[data]])))))</f>
        <v/>
      </c>
      <c r="AK270" s="22">
        <f>IF(preçodiario[[#This Row],[entrada BV]]=0,AK269-(SUMIFS(estoque[quantidade],estoque[fornecedor],"saída",estoque[produto],preçodiario[[#Headers],[OVO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Row],[data]]))+AK269+preçodiario[[#This Row],[entrada BV]])</f>
        <v>0</v>
      </c>
      <c r="AL270" s="22">
        <f>SUMIFS(estoque[quantidade],estoque[fornecedor],"&lt;&gt;saída",estoque[produto],preçodiario[[#Headers],[OVO VERMELHO B]],estoque[data],preçodiario[[#This Row],[data]])</f>
        <v>0</v>
      </c>
      <c r="AM270" s="20">
        <f>SUMIFS(estoque[valor total],estoque[fornecedor],"&lt;&gt;saída",estoque[produto],preçodiario[[#Headers],[OVO VERMELHO B]],estoque[data],preçodiario[[#This Row],[data]])</f>
        <v>0</v>
      </c>
      <c r="AN270" s="20">
        <f>IFERROR(preçodiario[[#This Row],[OVO VERMELHO B]]*preçodiario[[#This Row],[estoque BV]],0)</f>
        <v>0</v>
      </c>
      <c r="AO27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Row],[data]]))),IF(AP269=0,SUMIFS(estoque[valor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Row],[data]])),((AO269*AP269)+SUMIFS(estoque[valor total],estoque[produto],preçodiario[[#Headers],[OVO VERMELHO C]],estoque[data],preçodiario[[#This Row],[data]],estoque[fornecedor],"&lt;&gt;saída"))/(AP269+(SUMIFS(estoque[quantidade],estoque[produto],preçodiario[[#Headers],[OVO VERMELHO C]],estoque[fornecedor],"&lt;&gt;saída",estoque[data],preçodiario[[#This Row],[data]])))))</f>
        <v/>
      </c>
      <c r="AP270" s="22">
        <f>IF(preçodiario[[#This Row],[entrada CV]]=0,AP269-(SUMIFS(estoque[quantidade],estoque[fornecedor],"saída",estoque[produto],preçodiario[[#Headers],[OVO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Row],[data]]))+AP269+preçodiario[[#This Row],[entrada CV]])</f>
        <v>0</v>
      </c>
      <c r="AQ270" s="22">
        <f>SUMIFS(estoque[quantidade],estoque[fornecedor],"&lt;&gt;saída",estoque[produto],preçodiario[[#Headers],[OVO VERMELHO C]],estoque[data],preçodiario[[#This Row],[data]])</f>
        <v>0</v>
      </c>
      <c r="AR270" s="20">
        <f>SUMIFS(estoque[valor total],estoque[fornecedor],"&lt;&gt;saída",estoque[produto],preçodiario[[#Headers],[OVO VERMELHO C]],estoque[data],preçodiario[[#This Row],[data]])</f>
        <v>0</v>
      </c>
      <c r="AS270" s="20">
        <f>IFERROR(preçodiario[[#This Row],[OVO VERMELHO C]]*preçodiario[[#This Row],[estoque CV]],0)</f>
        <v>0</v>
      </c>
      <c r="AT27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Row],[data]]))),IF(AU269=0,SUMIFS(estoque[valor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Row],[data]])),((AT269*AU269)+SUMIFS(estoque[valor total],estoque[produto],preçodiario[[#Headers],[OVO VERMELHO EXTRA]],estoque[data],preçodiario[[#This Row],[data]],estoque[fornecedor],"&lt;&gt;saída"))/(AU269+(SUMIFS(estoque[quantidade],estoque[produto],preçodiario[[#Headers],[OVO VERMELHO EXTRA]],estoque[fornecedor],"&lt;&gt;saída",estoque[data],preçodiario[[#This Row],[data]])))))</f>
        <v/>
      </c>
      <c r="AU270" s="22">
        <f>IF(preçodiario[[#This Row],[entrada EV]]=0,AU269-(SUMIFS(estoque[quantidade],estoque[fornecedor],"saída",estoque[produto],preçodiario[[#Headers],[OVO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Row],[data]]))+AU269+preçodiario[[#This Row],[entrada EV]])</f>
        <v>0</v>
      </c>
      <c r="AV270" s="22">
        <f>SUMIFS(estoque[quantidade],estoque[fornecedor],"&lt;&gt;saída",estoque[produto],preçodiario[[#Headers],[OVO VERMELHO EXTRA]],estoque[data],preçodiario[[#This Row],[data]])</f>
        <v>0</v>
      </c>
      <c r="AW270" s="20">
        <f>SUMIFS(estoque[valor total],estoque[fornecedor],"&lt;&gt;saída",estoque[produto],preçodiario[[#Headers],[OVO VERMELHO EXTRA]],estoque[data],preçodiario[[#This Row],[data]])</f>
        <v>0</v>
      </c>
      <c r="AX270" s="20">
        <f>IFERROR(preçodiario[[#This Row],[OVO VERMELHO EXTRA]]*preçodiario[[#This Row],[estoque EV]],0)</f>
        <v>0</v>
      </c>
      <c r="AY27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Row],[data]]))),IF(AZ269=0,SUMIFS(estoque[valor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Row],[data]])),((AY269*AZ269)+SUMIFS(estoque[valor total],estoque[produto],preçodiario[[#Headers],[OVO VERMELHO JUMBO]],estoque[data],preçodiario[[#This Row],[data]],estoque[fornecedor],"&lt;&gt;saída"))/(AZ269+(SUMIFS(estoque[quantidade],estoque[produto],preçodiario[[#Headers],[OVO VERMELHO JUMBO]],estoque[fornecedor],"&lt;&gt;saída",estoque[data],preçodiario[[#This Row],[data]])))))</f>
        <v/>
      </c>
      <c r="AZ270" s="22">
        <f>IF(preçodiario[[#This Row],[entrada JV]]=0,AZ269-(SUMIFS(estoque[quantidade],estoque[fornecedor],"saída",estoque[produto],preçodiario[[#Headers],[OVO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Row],[data]]))+AZ269+preçodiario[[#This Row],[entrada JV]])</f>
        <v>0</v>
      </c>
      <c r="BA270" s="22">
        <f>SUMIFS(estoque[quantidade],estoque[fornecedor],"&lt;&gt;saída",estoque[produto],preçodiario[[#Headers],[OVO VERMELHO JUMBO]],estoque[data],preçodiario[[#This Row],[data]])</f>
        <v>0</v>
      </c>
      <c r="BB270" s="20">
        <f>SUMIFS(estoque[valor total],estoque[fornecedor],"&lt;&gt;saída",estoque[produto],preçodiario[[#Headers],[OVO VERMELHO JUMBO]],estoque[data],preçodiario[[#This Row],[data]])</f>
        <v>0</v>
      </c>
      <c r="BC270" s="20">
        <f>IFERROR(preçodiario[[#This Row],[OVO VERMELHO JUMBO]]*preçodiario[[#This Row],[estoque JV]],0)</f>
        <v>0</v>
      </c>
      <c r="BD270" t="str">
        <f>TEXT(vendaAno[[#This Row],[data]],"mmm")</f>
        <v>set</v>
      </c>
      <c r="BE270" t="str">
        <f>TEXT(vendaAno[[#This Row],[data]],"ddd")</f>
        <v>sáb</v>
      </c>
      <c r="BF270" s="82">
        <f>WEEKNUM(vendaAno[[#This Row],[data]],13)</f>
        <v>39</v>
      </c>
      <c r="BG270" s="27">
        <f>preçodiario[[#This Row],[data]]</f>
        <v>46291</v>
      </c>
      <c r="BH27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Row],[data]]))/12+BJ269,"")</f>
        <v/>
      </c>
      <c r="BK270" s="79" t="str">
        <f ca="1">IF(TODAY()&gt;=vendaAno[[#This Row],[data]],IF(SUMIFS(estoque[quantidade],estoque[fornecedor],"saída",estoque[data],vendaAno[[#This Row],[data]])/12=0,AVERAGE(BK267:BK269),SUMIFS(estoque[quantidade],estoque[fornecedor],"saída",estoque[data],vendaAno[[#This Row],[data]])/12),"")</f>
        <v/>
      </c>
      <c r="BL270" s="8" t="str">
        <f ca="1">IF(vendaAno[[#This Row],[data]]&lt;=TODAY(),IF(SUMIFS(estoque[lucro],estoque[fornecedor],"saída",estoque[data],vendaAno[[#This Row],[data]])=0,AVERAGE(BL267:BL269),SUMIFS(estoque[lucro],estoque[fornecedor],"saída",estoque[data],vendaAno[[#This Row],[data]])),"")</f>
        <v/>
      </c>
      <c r="BM270" s="10" t="str">
        <f ca="1">IFERROR(vendaAno[[#This Row],[lucro]]/vendaAno[[#This Row],[valor de venda]],"")</f>
        <v/>
      </c>
      <c r="BN27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0" s="8" t="str">
        <f ca="1">IF(TODAY()&gt;=vendaAno[[#This Row],[data]],IF(vendaAno[[#This Row],[N°]]=BF269,vendaAno[[#This Row],[lucro]]-173.33+BO269,vendaAno[[#This Row],[lucro]]-150),"")</f>
        <v/>
      </c>
      <c r="BP270" s="81" t="str">
        <f ca="1">IF(TODAY()&gt;=vendaAno[[#This Row],[data]],SUM(BK264:BK270)*12,"")</f>
        <v/>
      </c>
      <c r="BQ270" s="7" t="str">
        <f ca="1">IFERROR(vendaAno[[#This Row],[lucro]]/(vendaAno[[#This Row],[venda]]*12),"")</f>
        <v/>
      </c>
    </row>
    <row r="271" spans="1:69" x14ac:dyDescent="0.25">
      <c r="A27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1" s="18" t="str">
        <f>TEXT(preçodiario[[#This Row],[data]],"MMM")</f>
        <v>set</v>
      </c>
      <c r="C271" s="18" t="str">
        <f>TEXT(preçodiario[[#This Row],[data]],"ddd")</f>
        <v>dom</v>
      </c>
      <c r="D271" s="96">
        <f>WEEKNUM(preçodiario[[#This Row],[data]],13)</f>
        <v>39</v>
      </c>
      <c r="E271" s="37">
        <v>46292</v>
      </c>
      <c r="F27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Row],[data]])),((F270*G270)+SUMIFS(estoque[valor total],estoque[produto],preçodiario[[#Headers],[OVO BRANCO A]],estoque[data],preçodiario[[#This Row],[data]],estoque[fornecedor],"&lt;&gt;saída"))/(G270+(SUMIFS(estoque[quantidade],estoque[produto],preçodiario[[#Headers],[OVO BRANCO A]],estoque[fornecedor],"&lt;&gt;saída",estoque[data],preçodiario[[#This Row],[data]])))))</f>
        <v>15.278182701652089</v>
      </c>
      <c r="G271" s="22">
        <f>IF(preçodiario[[#This Row],[entrada A]]=0,G270-(SUMIFS(estoque[quantidade],estoque[fornecedor],"saída",estoque[produto],preçodiario[[#Headers],[OVO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Row],[data]]))+G270+preçodiario[[#This Row],[entrada A]])</f>
        <v>133</v>
      </c>
      <c r="H271" s="22">
        <f>SUMIFS(estoque[quantidade],estoque[fornecedor],"&lt;&gt;saída",estoque[produto],preçodiario[[#Headers],[OVO BRANCO A]],estoque[data],preçodiario[[#This Row],[data]])</f>
        <v>0</v>
      </c>
      <c r="I271" s="20">
        <f>SUMIFS(estoque[valor total],estoque[fornecedor],"&lt;&gt;saída",estoque[produto],preçodiario[[#Headers],[OVO BRANCO A]],estoque[data],preçodiario[[#This Row],[data]])</f>
        <v>0</v>
      </c>
      <c r="J271" s="20">
        <f>IFERROR(preçodiario[[#This Row],[estoque A]]*preçodiario[[#This Row],[OVO BRANCO A]],0)</f>
        <v>2031.9982993197277</v>
      </c>
      <c r="K27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Row],[data]])),((K270*L270)+SUMIFS(estoque[valor total],estoque[produto],preçodiario[[#Headers],[OVO BRANCO B]],estoque[data],preçodiario[[#This Row],[data]],estoque[fornecedor],"&lt;&gt;saída"))/(L270+(SUMIFS(estoque[quantidade],estoque[produto],preçodiario[[#Headers],[OVO BRANCO B]],estoque[fornecedor],"&lt;&gt;saída",estoque[data],preçodiario[[#This Row],[data]])))))</f>
        <v>14.584252837326604</v>
      </c>
      <c r="L271" s="22">
        <f>IF(preçodiario[[#This Row],[entrada B]]=0,L270-(SUMIFS(estoque[quantidade],estoque[fornecedor],"saída",estoque[produto],preçodiario[[#Headers],[OVO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Row],[data]]))+L270+preçodiario[[#This Row],[entrada B]])</f>
        <v>16</v>
      </c>
      <c r="M271" s="22">
        <f>SUMIFS(estoque[quantidade],estoque[fornecedor],"&lt;&gt;saída",estoque[produto],preçodiario[[#Headers],[OVO BRANCO B]],estoque[data],preçodiario[[#This Row],[data]])</f>
        <v>0</v>
      </c>
      <c r="N271" s="20">
        <f>SUMIFS(estoque[valor total],estoque[fornecedor],"&lt;&gt;saída",estoque[produto],preçodiario[[#Headers],[OVO BRANCO B]],estoque[data],preçodiario[[#This Row],[data]])</f>
        <v>0</v>
      </c>
      <c r="O271" s="20">
        <f>IFERROR(preçodiario[[#This Row],[OVO BRANCO B]]*preçodiario[[#This Row],[estoque B]],0)</f>
        <v>233.34804539722566</v>
      </c>
      <c r="P27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Row],[data]])),((P270*Q270)+SUMIFS(estoque[valor total],estoque[produto],preçodiario[[#Headers],[OVO BRANCO C]],estoque[data],preçodiario[[#This Row],[data]],estoque[fornecedor],"&lt;&gt;saída"))/(Q270+(SUMIFS(estoque[quantidade],estoque[produto],preçodiario[[#Headers],[OVO BRANCO C]],estoque[fornecedor],"&lt;&gt;saída",estoque[data],preçodiario[[#This Row],[data]])))))</f>
        <v>12.5</v>
      </c>
      <c r="Q271" s="22">
        <f>IF(preçodiario[[#This Row],[entrada C]]=0,Q270-(SUMIFS(estoque[quantidade],estoque[fornecedor],"saída",estoque[produto],preçodiario[[#Headers],[OVO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Row],[data]]))+Q270+preçodiario[[#This Row],[entrada C]])</f>
        <v>60</v>
      </c>
      <c r="R271" s="22">
        <f>SUMIFS(estoque[quantidade],estoque[fornecedor],"&lt;&gt;saída",estoque[produto],preçodiario[[#Headers],[OVO BRANCO C]],estoque[data],preçodiario[[#This Row],[data]])</f>
        <v>0</v>
      </c>
      <c r="S271" s="20">
        <f>SUMIFS(estoque[valor total],estoque[fornecedor],"&lt;&gt;saída",estoque[produto],preçodiario[[#Headers],[OVO BRANCO C]],estoque[data],preçodiario[[#This Row],[data]])</f>
        <v>0</v>
      </c>
      <c r="T271" s="20">
        <f>IFERROR(preçodiario[[#This Row],[OVO BRANCO C]]*preçodiario[[#This Row],[estoque C]],0)</f>
        <v>750</v>
      </c>
      <c r="U27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Row],[data]])),((U270*V270)+SUMIFS(estoque[valor total],estoque[produto],preçodiario[[#Headers],[OVO BRANCO EXTRA]],estoque[data],preçodiario[[#This Row],[data]],estoque[fornecedor],"&lt;&gt;saída"))/(V270+(SUMIFS(estoque[quantidade],estoque[produto],preçodiario[[#Headers],[OVO BRANCO EXTRA]],estoque[fornecedor],"&lt;&gt;saída",estoque[data],preçodiario[[#This Row],[data]])))))</f>
        <v>15.725438400674655</v>
      </c>
      <c r="V271" s="22">
        <f>IF(preçodiario[[#This Row],[entrada E]]=0,V270-(SUMIFS(estoque[quantidade],estoque[fornecedor],"saída",estoque[produto],preçodiario[[#Headers],[OVO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Row],[data]]))+V270+preçodiario[[#This Row],[entrada E]])</f>
        <v>46</v>
      </c>
      <c r="W271" s="22">
        <f>SUMIFS(estoque[quantidade],estoque[fornecedor],"&lt;&gt;saída",estoque[produto],preçodiario[[#Headers],[OVO BRANCO EXTRA]],estoque[data],preçodiario[[#This Row],[data]])</f>
        <v>0</v>
      </c>
      <c r="X271" s="20">
        <f>SUMIFS(estoque[valor total],estoque[fornecedor],"&lt;&gt;saída",estoque[produto],preçodiario[[#Headers],[OVO BRANCO EXTRA]],estoque[data],preçodiario[[#This Row],[data]])</f>
        <v>0</v>
      </c>
      <c r="Y271" s="20">
        <f>IFERROR(preçodiario[[#This Row],[estoque E]]*preçodiario[[#This Row],[OVO BRANCO EXTRA]],0)</f>
        <v>723.37016643103414</v>
      </c>
      <c r="Z27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Row],[data]])),((Z270*AA270)+SUMIFS(estoque[valor total],estoque[produto],preçodiario[[#Headers],[OVO BRANCO JUMBO]],estoque[data],preçodiario[[#This Row],[data]],estoque[fornecedor],"&lt;&gt;saída"))/(AA270+(SUMIFS(estoque[quantidade],estoque[produto],preçodiario[[#Headers],[OVO BRANCO JUMBO]],estoque[fornecedor],"&lt;&gt;saída",estoque[data],preçodiario[[#This Row],[data]])))))</f>
        <v>16.50550595238095</v>
      </c>
      <c r="AA271" s="22">
        <f>IF(preçodiario[[#This Row],[entrada J]]=0,AA270-(SUMIFS(estoque[quantidade],estoque[fornecedor],"saída",estoque[produto],preçodiario[[#Headers],[OVO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Row],[data]]))+AA270+preçodiario[[#This Row],[entrada J]])</f>
        <v>75</v>
      </c>
      <c r="AB271" s="22">
        <f>SUMIFS(estoque[quantidade],estoque[fornecedor],"&lt;&gt;saída",estoque[produto],preçodiario[[#Headers],[OVO BRANCO JUMBO]],estoque[data],preçodiario[[#This Row],[data]])</f>
        <v>0</v>
      </c>
      <c r="AC271" s="20">
        <f>SUMIFS(estoque[valor total],estoque[fornecedor],"&lt;&gt;saída",estoque[produto],preçodiario[[#Headers],[OVO BRANCO JUMBO]],estoque[data],preçodiario[[#This Row],[data]])</f>
        <v>0</v>
      </c>
      <c r="AD271" s="20">
        <f>IFERROR(preçodiario[[#This Row],[OVO BRANCO JUMBO]]*preçodiario[[#This Row],[estoque J]],0)</f>
        <v>1237.9129464285713</v>
      </c>
      <c r="AE27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Row],[data]])),((AE270*AF270)+SUMIFS(estoque[valor total],estoque[produto],preçodiario[[#Headers],[OVO VERMELHO A]],estoque[data],preçodiario[[#This Row],[data]],estoque[fornecedor],"&lt;&gt;saída"))/(AF270+(SUMIFS(estoque[quantidade],estoque[produto],preçodiario[[#Headers],[OVO VERMELHO A]],estoque[fornecedor],"&lt;&gt;saída",estoque[data],preçodiario[[#This Row],[data]])))))</f>
        <v/>
      </c>
      <c r="AF271" s="22">
        <f>IF(preçodiario[[#This Row],[entrada AV]]=0,AF270-(SUMIFS(estoque[quantidade],estoque[fornecedor],"saída",estoque[produto],preçodiario[[#Headers],[OVO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Row],[data]]))+AF270+preçodiario[[#This Row],[entrada AV]])</f>
        <v>0</v>
      </c>
      <c r="AG271" s="22">
        <f>SUMIFS(estoque[quantidade],estoque[fornecedor],"&lt;&gt;saída",estoque[produto],preçodiario[[#Headers],[OVO VERMELHO A]],estoque[data],preçodiario[[#This Row],[data]])</f>
        <v>0</v>
      </c>
      <c r="AH271" s="20">
        <f>SUMIFS(estoque[valor total],estoque[fornecedor],"&lt;&gt;saída",estoque[produto],preçodiario[[#Headers],[OVO VERMELHO A]],estoque[data],preçodiario[[#This Row],[data]])</f>
        <v>0</v>
      </c>
      <c r="AI271" s="20">
        <f>IFERROR(preçodiario[[#This Row],[OVO VERMELHO A]]*preçodiario[[#This Row],[estoque AV]],0)</f>
        <v>0</v>
      </c>
      <c r="AJ27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Row],[data]])),((AJ270*AK270)+SUMIFS(estoque[valor total],estoque[produto],preçodiario[[#Headers],[OVO VERMELHO B]],estoque[data],preçodiario[[#This Row],[data]],estoque[fornecedor],"&lt;&gt;saída"))/(AK270+(SUMIFS(estoque[quantidade],estoque[produto],preçodiario[[#Headers],[OVO VERMELHO B]],estoque[fornecedor],"&lt;&gt;saída",estoque[data],preçodiario[[#This Row],[data]])))))</f>
        <v/>
      </c>
      <c r="AK271" s="22">
        <f>IF(preçodiario[[#This Row],[entrada BV]]=0,AK270-(SUMIFS(estoque[quantidade],estoque[fornecedor],"saída",estoque[produto],preçodiario[[#Headers],[OVO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Row],[data]]))+AK270+preçodiario[[#This Row],[entrada BV]])</f>
        <v>0</v>
      </c>
      <c r="AL271" s="22">
        <f>SUMIFS(estoque[quantidade],estoque[fornecedor],"&lt;&gt;saída",estoque[produto],preçodiario[[#Headers],[OVO VERMELHO B]],estoque[data],preçodiario[[#This Row],[data]])</f>
        <v>0</v>
      </c>
      <c r="AM271" s="20">
        <f>SUMIFS(estoque[valor total],estoque[fornecedor],"&lt;&gt;saída",estoque[produto],preçodiario[[#Headers],[OVO VERMELHO B]],estoque[data],preçodiario[[#This Row],[data]])</f>
        <v>0</v>
      </c>
      <c r="AN271" s="20">
        <f>IFERROR(preçodiario[[#This Row],[OVO VERMELHO B]]*preçodiario[[#This Row],[estoque BV]],0)</f>
        <v>0</v>
      </c>
      <c r="AO27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Row],[data]])),((AO270*AP270)+SUMIFS(estoque[valor total],estoque[produto],preçodiario[[#Headers],[OVO VERMELHO C]],estoque[data],preçodiario[[#This Row],[data]],estoque[fornecedor],"&lt;&gt;saída"))/(AP270+(SUMIFS(estoque[quantidade],estoque[produto],preçodiario[[#Headers],[OVO VERMELHO C]],estoque[fornecedor],"&lt;&gt;saída",estoque[data],preçodiario[[#This Row],[data]])))))</f>
        <v/>
      </c>
      <c r="AP271" s="22">
        <f>IF(preçodiario[[#This Row],[entrada CV]]=0,AP270-(SUMIFS(estoque[quantidade],estoque[fornecedor],"saída",estoque[produto],preçodiario[[#Headers],[OVO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Row],[data]]))+AP270+preçodiario[[#This Row],[entrada CV]])</f>
        <v>0</v>
      </c>
      <c r="AQ271" s="22">
        <f>SUMIFS(estoque[quantidade],estoque[fornecedor],"&lt;&gt;saída",estoque[produto],preçodiario[[#Headers],[OVO VERMELHO C]],estoque[data],preçodiario[[#This Row],[data]])</f>
        <v>0</v>
      </c>
      <c r="AR271" s="20">
        <f>SUMIFS(estoque[valor total],estoque[fornecedor],"&lt;&gt;saída",estoque[produto],preçodiario[[#Headers],[OVO VERMELHO C]],estoque[data],preçodiario[[#This Row],[data]])</f>
        <v>0</v>
      </c>
      <c r="AS271" s="20">
        <f>IFERROR(preçodiario[[#This Row],[OVO VERMELHO C]]*preçodiario[[#This Row],[estoque CV]],0)</f>
        <v>0</v>
      </c>
      <c r="AT27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Row],[data]])),((AT270*AU270)+SUMIFS(estoque[valor total],estoque[produto],preçodiario[[#Headers],[OVO VERMELHO EXTRA]],estoque[data],preçodiario[[#This Row],[data]],estoque[fornecedor],"&lt;&gt;saída"))/(AU270+(SUMIFS(estoque[quantidade],estoque[produto],preçodiario[[#Headers],[OVO VERMELHO EXTRA]],estoque[fornecedor],"&lt;&gt;saída",estoque[data],preçodiario[[#This Row],[data]])))))</f>
        <v/>
      </c>
      <c r="AU271" s="22">
        <f>IF(preçodiario[[#This Row],[entrada EV]]=0,AU270-(SUMIFS(estoque[quantidade],estoque[fornecedor],"saída",estoque[produto],preçodiario[[#Headers],[OVO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Row],[data]]))+AU270+preçodiario[[#This Row],[entrada EV]])</f>
        <v>0</v>
      </c>
      <c r="AV271" s="22">
        <f>SUMIFS(estoque[quantidade],estoque[fornecedor],"&lt;&gt;saída",estoque[produto],preçodiario[[#Headers],[OVO VERMELHO EXTRA]],estoque[data],preçodiario[[#This Row],[data]])</f>
        <v>0</v>
      </c>
      <c r="AW271" s="20">
        <f>SUMIFS(estoque[valor total],estoque[fornecedor],"&lt;&gt;saída",estoque[produto],preçodiario[[#Headers],[OVO VERMELHO EXTRA]],estoque[data],preçodiario[[#This Row],[data]])</f>
        <v>0</v>
      </c>
      <c r="AX271" s="20">
        <f>IFERROR(preçodiario[[#This Row],[OVO VERMELHO EXTRA]]*preçodiario[[#This Row],[estoque EV]],0)</f>
        <v>0</v>
      </c>
      <c r="AY27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Row],[data]])),((AY270*AZ270)+SUMIFS(estoque[valor total],estoque[produto],preçodiario[[#Headers],[OVO VERMELHO JUMBO]],estoque[data],preçodiario[[#This Row],[data]],estoque[fornecedor],"&lt;&gt;saída"))/(AZ270+(SUMIFS(estoque[quantidade],estoque[produto],preçodiario[[#Headers],[OVO VERMELHO JUMBO]],estoque[fornecedor],"&lt;&gt;saída",estoque[data],preçodiario[[#This Row],[data]])))))</f>
        <v/>
      </c>
      <c r="AZ271" s="22">
        <f>IF(preçodiario[[#This Row],[entrada JV]]=0,AZ270-(SUMIFS(estoque[quantidade],estoque[fornecedor],"saída",estoque[produto],preçodiario[[#Headers],[OVO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Row],[data]]))+AZ270+preçodiario[[#This Row],[entrada JV]])</f>
        <v>0</v>
      </c>
      <c r="BA271" s="22">
        <f>SUMIFS(estoque[quantidade],estoque[fornecedor],"&lt;&gt;saída",estoque[produto],preçodiario[[#Headers],[OVO VERMELHO JUMBO]],estoque[data],preçodiario[[#This Row],[data]])</f>
        <v>0</v>
      </c>
      <c r="BB271" s="20">
        <f>SUMIFS(estoque[valor total],estoque[fornecedor],"&lt;&gt;saída",estoque[produto],preçodiario[[#Headers],[OVO VERMELHO JUMBO]],estoque[data],preçodiario[[#This Row],[data]])</f>
        <v>0</v>
      </c>
      <c r="BC271" s="20">
        <f>IFERROR(preçodiario[[#This Row],[OVO VERMELHO JUMBO]]*preçodiario[[#This Row],[estoque JV]],0)</f>
        <v>0</v>
      </c>
      <c r="BD271" t="str">
        <f>TEXT(vendaAno[[#This Row],[data]],"mmm")</f>
        <v>set</v>
      </c>
      <c r="BE271" t="str">
        <f>TEXT(vendaAno[[#This Row],[data]],"ddd")</f>
        <v>dom</v>
      </c>
      <c r="BF271" s="82">
        <f>WEEKNUM(vendaAno[[#This Row],[data]],13)</f>
        <v>39</v>
      </c>
      <c r="BG271" s="27">
        <f>preçodiario[[#This Row],[data]]</f>
        <v>46292</v>
      </c>
      <c r="BH27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Row],[data]]))/12+BJ270,"")</f>
        <v/>
      </c>
      <c r="BK271" s="79" t="str">
        <f ca="1">IF(TODAY()&gt;=vendaAno[[#This Row],[data]],IF(SUMIFS(estoque[quantidade],estoque[fornecedor],"saída",estoque[data],vendaAno[[#This Row],[data]])/12=0,AVERAGE(BK268:BK270),SUMIFS(estoque[quantidade],estoque[fornecedor],"saída",estoque[data],vendaAno[[#This Row],[data]])/12),"")</f>
        <v/>
      </c>
      <c r="BL271" s="8" t="str">
        <f ca="1">IF(vendaAno[[#This Row],[data]]&lt;=TODAY(),IF(SUMIFS(estoque[lucro],estoque[fornecedor],"saída",estoque[data],vendaAno[[#This Row],[data]])=0,AVERAGE(BL268:BL270),SUMIFS(estoque[lucro],estoque[fornecedor],"saída",estoque[data],vendaAno[[#This Row],[data]])),"")</f>
        <v/>
      </c>
      <c r="BM271" s="10" t="str">
        <f ca="1">IFERROR(vendaAno[[#This Row],[lucro]]/vendaAno[[#This Row],[valor de venda]],"")</f>
        <v/>
      </c>
      <c r="BN27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1" s="8" t="str">
        <f ca="1">IF(TODAY()&gt;=vendaAno[[#This Row],[data]],IF(vendaAno[[#This Row],[N°]]=BF270,vendaAno[[#This Row],[lucro]]-173.33+BO270,vendaAno[[#This Row],[lucro]]-150),"")</f>
        <v/>
      </c>
      <c r="BP271" s="81" t="str">
        <f ca="1">IF(TODAY()&gt;=vendaAno[[#This Row],[data]],SUM(BK265:BK271)*12,"")</f>
        <v/>
      </c>
      <c r="BQ271" s="7" t="str">
        <f ca="1">IFERROR(vendaAno[[#This Row],[lucro]]/(vendaAno[[#This Row],[venda]]*12),"")</f>
        <v/>
      </c>
    </row>
    <row r="272" spans="1:69" x14ac:dyDescent="0.25">
      <c r="A27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2" s="18" t="str">
        <f>TEXT(preçodiario[[#This Row],[data]],"MMM")</f>
        <v>set</v>
      </c>
      <c r="C272" s="18" t="str">
        <f>TEXT(preçodiario[[#This Row],[data]],"ddd")</f>
        <v>seg</v>
      </c>
      <c r="D272" s="96">
        <f>WEEKNUM(preçodiario[[#This Row],[data]],13)</f>
        <v>39</v>
      </c>
      <c r="E272" s="37">
        <v>46293</v>
      </c>
      <c r="F27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Row],[data]])),((F271*G271)+SUMIFS(estoque[valor total],estoque[produto],preçodiario[[#Headers],[OVO BRANCO A]],estoque[data],preçodiario[[#This Row],[data]],estoque[fornecedor],"&lt;&gt;saída"))/(G271+(SUMIFS(estoque[quantidade],estoque[produto],preçodiario[[#Headers],[OVO BRANCO A]],estoque[fornecedor],"&lt;&gt;saída",estoque[data],preçodiario[[#This Row],[data]])))))</f>
        <v>15.278182701652089</v>
      </c>
      <c r="G272" s="22">
        <f>IF(preçodiario[[#This Row],[entrada A]]=0,G271-(SUMIFS(estoque[quantidade],estoque[fornecedor],"saída",estoque[produto],preçodiario[[#Headers],[OVO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Row],[data]]))+G271+preçodiario[[#This Row],[entrada A]])</f>
        <v>133</v>
      </c>
      <c r="H272" s="22">
        <f>SUMIFS(estoque[quantidade],estoque[fornecedor],"&lt;&gt;saída",estoque[produto],preçodiario[[#Headers],[OVO BRANCO A]],estoque[data],preçodiario[[#This Row],[data]])</f>
        <v>0</v>
      </c>
      <c r="I272" s="20">
        <f>SUMIFS(estoque[valor total],estoque[fornecedor],"&lt;&gt;saída",estoque[produto],preçodiario[[#Headers],[OVO BRANCO A]],estoque[data],preçodiario[[#This Row],[data]])</f>
        <v>0</v>
      </c>
      <c r="J272" s="20">
        <f>IFERROR(preçodiario[[#This Row],[estoque A]]*preçodiario[[#This Row],[OVO BRANCO A]],0)</f>
        <v>2031.9982993197277</v>
      </c>
      <c r="K27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Row],[data]])),((K271*L271)+SUMIFS(estoque[valor total],estoque[produto],preçodiario[[#Headers],[OVO BRANCO B]],estoque[data],preçodiario[[#This Row],[data]],estoque[fornecedor],"&lt;&gt;saída"))/(L271+(SUMIFS(estoque[quantidade],estoque[produto],preçodiario[[#Headers],[OVO BRANCO B]],estoque[fornecedor],"&lt;&gt;saída",estoque[data],preçodiario[[#This Row],[data]])))))</f>
        <v>14.584252837326604</v>
      </c>
      <c r="L272" s="22">
        <f>IF(preçodiario[[#This Row],[entrada B]]=0,L271-(SUMIFS(estoque[quantidade],estoque[fornecedor],"saída",estoque[produto],preçodiario[[#Headers],[OVO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Row],[data]]))+L271+preçodiario[[#This Row],[entrada B]])</f>
        <v>16</v>
      </c>
      <c r="M272" s="22">
        <f>SUMIFS(estoque[quantidade],estoque[fornecedor],"&lt;&gt;saída",estoque[produto],preçodiario[[#Headers],[OVO BRANCO B]],estoque[data],preçodiario[[#This Row],[data]])</f>
        <v>0</v>
      </c>
      <c r="N272" s="20">
        <f>SUMIFS(estoque[valor total],estoque[fornecedor],"&lt;&gt;saída",estoque[produto],preçodiario[[#Headers],[OVO BRANCO B]],estoque[data],preçodiario[[#This Row],[data]])</f>
        <v>0</v>
      </c>
      <c r="O272" s="20">
        <f>IFERROR(preçodiario[[#This Row],[OVO BRANCO B]]*preçodiario[[#This Row],[estoque B]],0)</f>
        <v>233.34804539722566</v>
      </c>
      <c r="P27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Row],[data]])),((P271*Q271)+SUMIFS(estoque[valor total],estoque[produto],preçodiario[[#Headers],[OVO BRANCO C]],estoque[data],preçodiario[[#This Row],[data]],estoque[fornecedor],"&lt;&gt;saída"))/(Q271+(SUMIFS(estoque[quantidade],estoque[produto],preçodiario[[#Headers],[OVO BRANCO C]],estoque[fornecedor],"&lt;&gt;saída",estoque[data],preçodiario[[#This Row],[data]])))))</f>
        <v>12.5</v>
      </c>
      <c r="Q272" s="22">
        <f>IF(preçodiario[[#This Row],[entrada C]]=0,Q271-(SUMIFS(estoque[quantidade],estoque[fornecedor],"saída",estoque[produto],preçodiario[[#Headers],[OVO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Row],[data]]))+Q271+preçodiario[[#This Row],[entrada C]])</f>
        <v>60</v>
      </c>
      <c r="R272" s="22">
        <f>SUMIFS(estoque[quantidade],estoque[fornecedor],"&lt;&gt;saída",estoque[produto],preçodiario[[#Headers],[OVO BRANCO C]],estoque[data],preçodiario[[#This Row],[data]])</f>
        <v>0</v>
      </c>
      <c r="S272" s="20">
        <f>SUMIFS(estoque[valor total],estoque[fornecedor],"&lt;&gt;saída",estoque[produto],preçodiario[[#Headers],[OVO BRANCO C]],estoque[data],preçodiario[[#This Row],[data]])</f>
        <v>0</v>
      </c>
      <c r="T272" s="20">
        <f>IFERROR(preçodiario[[#This Row],[OVO BRANCO C]]*preçodiario[[#This Row],[estoque C]],0)</f>
        <v>750</v>
      </c>
      <c r="U27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Row],[data]])),((U271*V271)+SUMIFS(estoque[valor total],estoque[produto],preçodiario[[#Headers],[OVO BRANCO EXTRA]],estoque[data],preçodiario[[#This Row],[data]],estoque[fornecedor],"&lt;&gt;saída"))/(V271+(SUMIFS(estoque[quantidade],estoque[produto],preçodiario[[#Headers],[OVO BRANCO EXTRA]],estoque[fornecedor],"&lt;&gt;saída",estoque[data],preçodiario[[#This Row],[data]])))))</f>
        <v>15.725438400674655</v>
      </c>
      <c r="V272" s="22">
        <f>IF(preçodiario[[#This Row],[entrada E]]=0,V271-(SUMIFS(estoque[quantidade],estoque[fornecedor],"saída",estoque[produto],preçodiario[[#Headers],[OVO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Row],[data]]))+V271+preçodiario[[#This Row],[entrada E]])</f>
        <v>46</v>
      </c>
      <c r="W272" s="22">
        <f>SUMIFS(estoque[quantidade],estoque[fornecedor],"&lt;&gt;saída",estoque[produto],preçodiario[[#Headers],[OVO BRANCO EXTRA]],estoque[data],preçodiario[[#This Row],[data]])</f>
        <v>0</v>
      </c>
      <c r="X272" s="20">
        <f>SUMIFS(estoque[valor total],estoque[fornecedor],"&lt;&gt;saída",estoque[produto],preçodiario[[#Headers],[OVO BRANCO EXTRA]],estoque[data],preçodiario[[#This Row],[data]])</f>
        <v>0</v>
      </c>
      <c r="Y272" s="20">
        <f>IFERROR(preçodiario[[#This Row],[estoque E]]*preçodiario[[#This Row],[OVO BRANCO EXTRA]],0)</f>
        <v>723.37016643103414</v>
      </c>
      <c r="Z27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Row],[data]])),((Z271*AA271)+SUMIFS(estoque[valor total],estoque[produto],preçodiario[[#Headers],[OVO BRANCO JUMBO]],estoque[data],preçodiario[[#This Row],[data]],estoque[fornecedor],"&lt;&gt;saída"))/(AA271+(SUMIFS(estoque[quantidade],estoque[produto],preçodiario[[#Headers],[OVO BRANCO JUMBO]],estoque[fornecedor],"&lt;&gt;saída",estoque[data],preçodiario[[#This Row],[data]])))))</f>
        <v>16.50550595238095</v>
      </c>
      <c r="AA272" s="22">
        <f>IF(preçodiario[[#This Row],[entrada J]]=0,AA271-(SUMIFS(estoque[quantidade],estoque[fornecedor],"saída",estoque[produto],preçodiario[[#Headers],[OVO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Row],[data]]))+AA271+preçodiario[[#This Row],[entrada J]])</f>
        <v>75</v>
      </c>
      <c r="AB272" s="22">
        <f>SUMIFS(estoque[quantidade],estoque[fornecedor],"&lt;&gt;saída",estoque[produto],preçodiario[[#Headers],[OVO BRANCO JUMBO]],estoque[data],preçodiario[[#This Row],[data]])</f>
        <v>0</v>
      </c>
      <c r="AC272" s="20">
        <f>SUMIFS(estoque[valor total],estoque[fornecedor],"&lt;&gt;saída",estoque[produto],preçodiario[[#Headers],[OVO BRANCO JUMBO]],estoque[data],preçodiario[[#This Row],[data]])</f>
        <v>0</v>
      </c>
      <c r="AD272" s="20">
        <f>IFERROR(preçodiario[[#This Row],[OVO BRANCO JUMBO]]*preçodiario[[#This Row],[estoque J]],0)</f>
        <v>1237.9129464285713</v>
      </c>
      <c r="AE27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Row],[data]])),((AE271*AF271)+SUMIFS(estoque[valor total],estoque[produto],preçodiario[[#Headers],[OVO VERMELHO A]],estoque[data],preçodiario[[#This Row],[data]],estoque[fornecedor],"&lt;&gt;saída"))/(AF271+(SUMIFS(estoque[quantidade],estoque[produto],preçodiario[[#Headers],[OVO VERMELHO A]],estoque[fornecedor],"&lt;&gt;saída",estoque[data],preçodiario[[#This Row],[data]])))))</f>
        <v/>
      </c>
      <c r="AF272" s="22">
        <f>IF(preçodiario[[#This Row],[entrada AV]]=0,AF271-(SUMIFS(estoque[quantidade],estoque[fornecedor],"saída",estoque[produto],preçodiario[[#Headers],[OVO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Row],[data]]))+AF271+preçodiario[[#This Row],[entrada AV]])</f>
        <v>0</v>
      </c>
      <c r="AG272" s="22">
        <f>SUMIFS(estoque[quantidade],estoque[fornecedor],"&lt;&gt;saída",estoque[produto],preçodiario[[#Headers],[OVO VERMELHO A]],estoque[data],preçodiario[[#This Row],[data]])</f>
        <v>0</v>
      </c>
      <c r="AH272" s="20">
        <f>SUMIFS(estoque[valor total],estoque[fornecedor],"&lt;&gt;saída",estoque[produto],preçodiario[[#Headers],[OVO VERMELHO A]],estoque[data],preçodiario[[#This Row],[data]])</f>
        <v>0</v>
      </c>
      <c r="AI272" s="20">
        <f>IFERROR(preçodiario[[#This Row],[OVO VERMELHO A]]*preçodiario[[#This Row],[estoque AV]],0)</f>
        <v>0</v>
      </c>
      <c r="AJ27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Row],[data]])),((AJ271*AK271)+SUMIFS(estoque[valor total],estoque[produto],preçodiario[[#Headers],[OVO VERMELHO B]],estoque[data],preçodiario[[#This Row],[data]],estoque[fornecedor],"&lt;&gt;saída"))/(AK271+(SUMIFS(estoque[quantidade],estoque[produto],preçodiario[[#Headers],[OVO VERMELHO B]],estoque[fornecedor],"&lt;&gt;saída",estoque[data],preçodiario[[#This Row],[data]])))))</f>
        <v/>
      </c>
      <c r="AK272" s="22">
        <f>IF(preçodiario[[#This Row],[entrada BV]]=0,AK271-(SUMIFS(estoque[quantidade],estoque[fornecedor],"saída",estoque[produto],preçodiario[[#Headers],[OVO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Row],[data]]))+AK271+preçodiario[[#This Row],[entrada BV]])</f>
        <v>0</v>
      </c>
      <c r="AL272" s="22">
        <f>SUMIFS(estoque[quantidade],estoque[fornecedor],"&lt;&gt;saída",estoque[produto],preçodiario[[#Headers],[OVO VERMELHO B]],estoque[data],preçodiario[[#This Row],[data]])</f>
        <v>0</v>
      </c>
      <c r="AM272" s="20">
        <f>SUMIFS(estoque[valor total],estoque[fornecedor],"&lt;&gt;saída",estoque[produto],preçodiario[[#Headers],[OVO VERMELHO B]],estoque[data],preçodiario[[#This Row],[data]])</f>
        <v>0</v>
      </c>
      <c r="AN272" s="20">
        <f>IFERROR(preçodiario[[#This Row],[OVO VERMELHO B]]*preçodiario[[#This Row],[estoque BV]],0)</f>
        <v>0</v>
      </c>
      <c r="AO27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Row],[data]])),((AO271*AP271)+SUMIFS(estoque[valor total],estoque[produto],preçodiario[[#Headers],[OVO VERMELHO C]],estoque[data],preçodiario[[#This Row],[data]],estoque[fornecedor],"&lt;&gt;saída"))/(AP271+(SUMIFS(estoque[quantidade],estoque[produto],preçodiario[[#Headers],[OVO VERMELHO C]],estoque[fornecedor],"&lt;&gt;saída",estoque[data],preçodiario[[#This Row],[data]])))))</f>
        <v/>
      </c>
      <c r="AP272" s="22">
        <f>IF(preçodiario[[#This Row],[entrada CV]]=0,AP271-(SUMIFS(estoque[quantidade],estoque[fornecedor],"saída",estoque[produto],preçodiario[[#Headers],[OVO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Row],[data]]))+AP271+preçodiario[[#This Row],[entrada CV]])</f>
        <v>0</v>
      </c>
      <c r="AQ272" s="22">
        <f>SUMIFS(estoque[quantidade],estoque[fornecedor],"&lt;&gt;saída",estoque[produto],preçodiario[[#Headers],[OVO VERMELHO C]],estoque[data],preçodiario[[#This Row],[data]])</f>
        <v>0</v>
      </c>
      <c r="AR272" s="20">
        <f>SUMIFS(estoque[valor total],estoque[fornecedor],"&lt;&gt;saída",estoque[produto],preçodiario[[#Headers],[OVO VERMELHO C]],estoque[data],preçodiario[[#This Row],[data]])</f>
        <v>0</v>
      </c>
      <c r="AS272" s="20">
        <f>IFERROR(preçodiario[[#This Row],[OVO VERMELHO C]]*preçodiario[[#This Row],[estoque CV]],0)</f>
        <v>0</v>
      </c>
      <c r="AT27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Row],[data]])),((AT271*AU271)+SUMIFS(estoque[valor total],estoque[produto],preçodiario[[#Headers],[OVO VERMELHO EXTRA]],estoque[data],preçodiario[[#This Row],[data]],estoque[fornecedor],"&lt;&gt;saída"))/(AU271+(SUMIFS(estoque[quantidade],estoque[produto],preçodiario[[#Headers],[OVO VERMELHO EXTRA]],estoque[fornecedor],"&lt;&gt;saída",estoque[data],preçodiario[[#This Row],[data]])))))</f>
        <v/>
      </c>
      <c r="AU272" s="22">
        <f>IF(preçodiario[[#This Row],[entrada EV]]=0,AU271-(SUMIFS(estoque[quantidade],estoque[fornecedor],"saída",estoque[produto],preçodiario[[#Headers],[OVO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Row],[data]]))+AU271+preçodiario[[#This Row],[entrada EV]])</f>
        <v>0</v>
      </c>
      <c r="AV272" s="22">
        <f>SUMIFS(estoque[quantidade],estoque[fornecedor],"&lt;&gt;saída",estoque[produto],preçodiario[[#Headers],[OVO VERMELHO EXTRA]],estoque[data],preçodiario[[#This Row],[data]])</f>
        <v>0</v>
      </c>
      <c r="AW272" s="20">
        <f>SUMIFS(estoque[valor total],estoque[fornecedor],"&lt;&gt;saída",estoque[produto],preçodiario[[#Headers],[OVO VERMELHO EXTRA]],estoque[data],preçodiario[[#This Row],[data]])</f>
        <v>0</v>
      </c>
      <c r="AX272" s="20">
        <f>IFERROR(preçodiario[[#This Row],[OVO VERMELHO EXTRA]]*preçodiario[[#This Row],[estoque EV]],0)</f>
        <v>0</v>
      </c>
      <c r="AY27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Row],[data]])),((AY271*AZ271)+SUMIFS(estoque[valor total],estoque[produto],preçodiario[[#Headers],[OVO VERMELHO JUMBO]],estoque[data],preçodiario[[#This Row],[data]],estoque[fornecedor],"&lt;&gt;saída"))/(AZ271+(SUMIFS(estoque[quantidade],estoque[produto],preçodiario[[#Headers],[OVO VERMELHO JUMBO]],estoque[fornecedor],"&lt;&gt;saída",estoque[data],preçodiario[[#This Row],[data]])))))</f>
        <v/>
      </c>
      <c r="AZ272" s="22">
        <f>IF(preçodiario[[#This Row],[entrada JV]]=0,AZ271-(SUMIFS(estoque[quantidade],estoque[fornecedor],"saída",estoque[produto],preçodiario[[#Headers],[OVO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Row],[data]]))+AZ271+preçodiario[[#This Row],[entrada JV]])</f>
        <v>0</v>
      </c>
      <c r="BA272" s="22">
        <f>SUMIFS(estoque[quantidade],estoque[fornecedor],"&lt;&gt;saída",estoque[produto],preçodiario[[#Headers],[OVO VERMELHO JUMBO]],estoque[data],preçodiario[[#This Row],[data]])</f>
        <v>0</v>
      </c>
      <c r="BB272" s="20">
        <f>SUMIFS(estoque[valor total],estoque[fornecedor],"&lt;&gt;saída",estoque[produto],preçodiario[[#Headers],[OVO VERMELHO JUMBO]],estoque[data],preçodiario[[#This Row],[data]])</f>
        <v>0</v>
      </c>
      <c r="BC272" s="20">
        <f>IFERROR(preçodiario[[#This Row],[OVO VERMELHO JUMBO]]*preçodiario[[#This Row],[estoque JV]],0)</f>
        <v>0</v>
      </c>
      <c r="BD272" t="str">
        <f>TEXT(vendaAno[[#This Row],[data]],"mmm")</f>
        <v>set</v>
      </c>
      <c r="BE272" t="str">
        <f>TEXT(vendaAno[[#This Row],[data]],"ddd")</f>
        <v>seg</v>
      </c>
      <c r="BF272" s="82">
        <f>WEEKNUM(vendaAno[[#This Row],[data]],13)</f>
        <v>39</v>
      </c>
      <c r="BG272" s="27">
        <f>preçodiario[[#This Row],[data]]</f>
        <v>46293</v>
      </c>
      <c r="BH27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Row],[data]]))/12+BJ271,"")</f>
        <v/>
      </c>
      <c r="BK272" s="79" t="str">
        <f ca="1">IF(TODAY()&gt;=vendaAno[[#This Row],[data]],IF(SUMIFS(estoque[quantidade],estoque[fornecedor],"saída",estoque[data],vendaAno[[#This Row],[data]])/12=0,AVERAGE(BK269:BK271),SUMIFS(estoque[quantidade],estoque[fornecedor],"saída",estoque[data],vendaAno[[#This Row],[data]])/12),"")</f>
        <v/>
      </c>
      <c r="BL272" s="8" t="str">
        <f ca="1">IF(vendaAno[[#This Row],[data]]&lt;=TODAY(),IF(SUMIFS(estoque[lucro],estoque[fornecedor],"saída",estoque[data],vendaAno[[#This Row],[data]])=0,AVERAGE(BL269:BL271),SUMIFS(estoque[lucro],estoque[fornecedor],"saída",estoque[data],vendaAno[[#This Row],[data]])),"")</f>
        <v/>
      </c>
      <c r="BM272" s="10" t="str">
        <f ca="1">IFERROR(vendaAno[[#This Row],[lucro]]/vendaAno[[#This Row],[valor de venda]],"")</f>
        <v/>
      </c>
      <c r="BN27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2" s="8" t="str">
        <f ca="1">IF(TODAY()&gt;=vendaAno[[#This Row],[data]],IF(vendaAno[[#This Row],[N°]]=BF271,vendaAno[[#This Row],[lucro]]-173.33+BO271,vendaAno[[#This Row],[lucro]]-150),"")</f>
        <v/>
      </c>
      <c r="BP272" s="81" t="str">
        <f ca="1">IF(TODAY()&gt;=vendaAno[[#This Row],[data]],SUM(BK266:BK272)*12,"")</f>
        <v/>
      </c>
      <c r="BQ272" s="7" t="str">
        <f ca="1">IFERROR(vendaAno[[#This Row],[lucro]]/(vendaAno[[#This Row],[venda]]*12),"")</f>
        <v/>
      </c>
    </row>
    <row r="273" spans="1:69" x14ac:dyDescent="0.25">
      <c r="A27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3" s="18" t="str">
        <f>TEXT(preçodiario[[#This Row],[data]],"MMM")</f>
        <v>set</v>
      </c>
      <c r="C273" s="18" t="str">
        <f>TEXT(preçodiario[[#This Row],[data]],"ddd")</f>
        <v>ter</v>
      </c>
      <c r="D273" s="96">
        <f>WEEKNUM(preçodiario[[#This Row],[data]],13)</f>
        <v>39</v>
      </c>
      <c r="E273" s="37">
        <v>46294</v>
      </c>
      <c r="F27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Row],[data]])),((F272*G272)+SUMIFS(estoque[valor total],estoque[produto],preçodiario[[#Headers],[OVO BRANCO A]],estoque[data],preçodiario[[#This Row],[data]],estoque[fornecedor],"&lt;&gt;saída"))/(G272+(SUMIFS(estoque[quantidade],estoque[produto],preçodiario[[#Headers],[OVO BRANCO A]],estoque[fornecedor],"&lt;&gt;saída",estoque[data],preçodiario[[#This Row],[data]])))))</f>
        <v>15.278182701652089</v>
      </c>
      <c r="G273" s="22">
        <f>IF(preçodiario[[#This Row],[entrada A]]=0,G272-(SUMIFS(estoque[quantidade],estoque[fornecedor],"saída",estoque[produto],preçodiario[[#Headers],[OVO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Row],[data]]))+G272+preçodiario[[#This Row],[entrada A]])</f>
        <v>133</v>
      </c>
      <c r="H273" s="22">
        <f>SUMIFS(estoque[quantidade],estoque[fornecedor],"&lt;&gt;saída",estoque[produto],preçodiario[[#Headers],[OVO BRANCO A]],estoque[data],preçodiario[[#This Row],[data]])</f>
        <v>0</v>
      </c>
      <c r="I273" s="20">
        <f>SUMIFS(estoque[valor total],estoque[fornecedor],"&lt;&gt;saída",estoque[produto],preçodiario[[#Headers],[OVO BRANCO A]],estoque[data],preçodiario[[#This Row],[data]])</f>
        <v>0</v>
      </c>
      <c r="J273" s="20">
        <f>IFERROR(preçodiario[[#This Row],[estoque A]]*preçodiario[[#This Row],[OVO BRANCO A]],0)</f>
        <v>2031.9982993197277</v>
      </c>
      <c r="K27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Row],[data]])),((K272*L272)+SUMIFS(estoque[valor total],estoque[produto],preçodiario[[#Headers],[OVO BRANCO B]],estoque[data],preçodiario[[#This Row],[data]],estoque[fornecedor],"&lt;&gt;saída"))/(L272+(SUMIFS(estoque[quantidade],estoque[produto],preçodiario[[#Headers],[OVO BRANCO B]],estoque[fornecedor],"&lt;&gt;saída",estoque[data],preçodiario[[#This Row],[data]])))))</f>
        <v>14.584252837326604</v>
      </c>
      <c r="L273" s="22">
        <f>IF(preçodiario[[#This Row],[entrada B]]=0,L272-(SUMIFS(estoque[quantidade],estoque[fornecedor],"saída",estoque[produto],preçodiario[[#Headers],[OVO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Row],[data]]))+L272+preçodiario[[#This Row],[entrada B]])</f>
        <v>16</v>
      </c>
      <c r="M273" s="22">
        <f>SUMIFS(estoque[quantidade],estoque[fornecedor],"&lt;&gt;saída",estoque[produto],preçodiario[[#Headers],[OVO BRANCO B]],estoque[data],preçodiario[[#This Row],[data]])</f>
        <v>0</v>
      </c>
      <c r="N273" s="20">
        <f>SUMIFS(estoque[valor total],estoque[fornecedor],"&lt;&gt;saída",estoque[produto],preçodiario[[#Headers],[OVO BRANCO B]],estoque[data],preçodiario[[#This Row],[data]])</f>
        <v>0</v>
      </c>
      <c r="O273" s="20">
        <f>IFERROR(preçodiario[[#This Row],[OVO BRANCO B]]*preçodiario[[#This Row],[estoque B]],0)</f>
        <v>233.34804539722566</v>
      </c>
      <c r="P27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Row],[data]])),((P272*Q272)+SUMIFS(estoque[valor total],estoque[produto],preçodiario[[#Headers],[OVO BRANCO C]],estoque[data],preçodiario[[#This Row],[data]],estoque[fornecedor],"&lt;&gt;saída"))/(Q272+(SUMIFS(estoque[quantidade],estoque[produto],preçodiario[[#Headers],[OVO BRANCO C]],estoque[fornecedor],"&lt;&gt;saída",estoque[data],preçodiario[[#This Row],[data]])))))</f>
        <v>12.5</v>
      </c>
      <c r="Q273" s="22">
        <f>IF(preçodiario[[#This Row],[entrada C]]=0,Q272-(SUMIFS(estoque[quantidade],estoque[fornecedor],"saída",estoque[produto],preçodiario[[#Headers],[OVO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Row],[data]]))+Q272+preçodiario[[#This Row],[entrada C]])</f>
        <v>60</v>
      </c>
      <c r="R273" s="22">
        <f>SUMIFS(estoque[quantidade],estoque[fornecedor],"&lt;&gt;saída",estoque[produto],preçodiario[[#Headers],[OVO BRANCO C]],estoque[data],preçodiario[[#This Row],[data]])</f>
        <v>0</v>
      </c>
      <c r="S273" s="20">
        <f>SUMIFS(estoque[valor total],estoque[fornecedor],"&lt;&gt;saída",estoque[produto],preçodiario[[#Headers],[OVO BRANCO C]],estoque[data],preçodiario[[#This Row],[data]])</f>
        <v>0</v>
      </c>
      <c r="T273" s="20">
        <f>IFERROR(preçodiario[[#This Row],[OVO BRANCO C]]*preçodiario[[#This Row],[estoque C]],0)</f>
        <v>750</v>
      </c>
      <c r="U27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Row],[data]])),((U272*V272)+SUMIFS(estoque[valor total],estoque[produto],preçodiario[[#Headers],[OVO BRANCO EXTRA]],estoque[data],preçodiario[[#This Row],[data]],estoque[fornecedor],"&lt;&gt;saída"))/(V272+(SUMIFS(estoque[quantidade],estoque[produto],preçodiario[[#Headers],[OVO BRANCO EXTRA]],estoque[fornecedor],"&lt;&gt;saída",estoque[data],preçodiario[[#This Row],[data]])))))</f>
        <v>15.725438400674655</v>
      </c>
      <c r="V273" s="22">
        <f>IF(preçodiario[[#This Row],[entrada E]]=0,V272-(SUMIFS(estoque[quantidade],estoque[fornecedor],"saída",estoque[produto],preçodiario[[#Headers],[OVO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Row],[data]]))+V272+preçodiario[[#This Row],[entrada E]])</f>
        <v>46</v>
      </c>
      <c r="W273" s="22">
        <f>SUMIFS(estoque[quantidade],estoque[fornecedor],"&lt;&gt;saída",estoque[produto],preçodiario[[#Headers],[OVO BRANCO EXTRA]],estoque[data],preçodiario[[#This Row],[data]])</f>
        <v>0</v>
      </c>
      <c r="X273" s="20">
        <f>SUMIFS(estoque[valor total],estoque[fornecedor],"&lt;&gt;saída",estoque[produto],preçodiario[[#Headers],[OVO BRANCO EXTRA]],estoque[data],preçodiario[[#This Row],[data]])</f>
        <v>0</v>
      </c>
      <c r="Y273" s="20">
        <f>IFERROR(preçodiario[[#This Row],[estoque E]]*preçodiario[[#This Row],[OVO BRANCO EXTRA]],0)</f>
        <v>723.37016643103414</v>
      </c>
      <c r="Z27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Row],[data]])),((Z272*AA272)+SUMIFS(estoque[valor total],estoque[produto],preçodiario[[#Headers],[OVO BRANCO JUMBO]],estoque[data],preçodiario[[#This Row],[data]],estoque[fornecedor],"&lt;&gt;saída"))/(AA272+(SUMIFS(estoque[quantidade],estoque[produto],preçodiario[[#Headers],[OVO BRANCO JUMBO]],estoque[fornecedor],"&lt;&gt;saída",estoque[data],preçodiario[[#This Row],[data]])))))</f>
        <v>16.50550595238095</v>
      </c>
      <c r="AA273" s="22">
        <f>IF(preçodiario[[#This Row],[entrada J]]=0,AA272-(SUMIFS(estoque[quantidade],estoque[fornecedor],"saída",estoque[produto],preçodiario[[#Headers],[OVO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Row],[data]]))+AA272+preçodiario[[#This Row],[entrada J]])</f>
        <v>75</v>
      </c>
      <c r="AB273" s="22">
        <f>SUMIFS(estoque[quantidade],estoque[fornecedor],"&lt;&gt;saída",estoque[produto],preçodiario[[#Headers],[OVO BRANCO JUMBO]],estoque[data],preçodiario[[#This Row],[data]])</f>
        <v>0</v>
      </c>
      <c r="AC273" s="20">
        <f>SUMIFS(estoque[valor total],estoque[fornecedor],"&lt;&gt;saída",estoque[produto],preçodiario[[#Headers],[OVO BRANCO JUMBO]],estoque[data],preçodiario[[#This Row],[data]])</f>
        <v>0</v>
      </c>
      <c r="AD273" s="20">
        <f>IFERROR(preçodiario[[#This Row],[OVO BRANCO JUMBO]]*preçodiario[[#This Row],[estoque J]],0)</f>
        <v>1237.9129464285713</v>
      </c>
      <c r="AE27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Row],[data]])),((AE272*AF272)+SUMIFS(estoque[valor total],estoque[produto],preçodiario[[#Headers],[OVO VERMELHO A]],estoque[data],preçodiario[[#This Row],[data]],estoque[fornecedor],"&lt;&gt;saída"))/(AF272+(SUMIFS(estoque[quantidade],estoque[produto],preçodiario[[#Headers],[OVO VERMELHO A]],estoque[fornecedor],"&lt;&gt;saída",estoque[data],preçodiario[[#This Row],[data]])))))</f>
        <v/>
      </c>
      <c r="AF273" s="22">
        <f>IF(preçodiario[[#This Row],[entrada AV]]=0,AF272-(SUMIFS(estoque[quantidade],estoque[fornecedor],"saída",estoque[produto],preçodiario[[#Headers],[OVO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Row],[data]]))+AF272+preçodiario[[#This Row],[entrada AV]])</f>
        <v>0</v>
      </c>
      <c r="AG273" s="22">
        <f>SUMIFS(estoque[quantidade],estoque[fornecedor],"&lt;&gt;saída",estoque[produto],preçodiario[[#Headers],[OVO VERMELHO A]],estoque[data],preçodiario[[#This Row],[data]])</f>
        <v>0</v>
      </c>
      <c r="AH273" s="20">
        <f>SUMIFS(estoque[valor total],estoque[fornecedor],"&lt;&gt;saída",estoque[produto],preçodiario[[#Headers],[OVO VERMELHO A]],estoque[data],preçodiario[[#This Row],[data]])</f>
        <v>0</v>
      </c>
      <c r="AI273" s="20">
        <f>IFERROR(preçodiario[[#This Row],[OVO VERMELHO A]]*preçodiario[[#This Row],[estoque AV]],0)</f>
        <v>0</v>
      </c>
      <c r="AJ27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Row],[data]])),((AJ272*AK272)+SUMIFS(estoque[valor total],estoque[produto],preçodiario[[#Headers],[OVO VERMELHO B]],estoque[data],preçodiario[[#This Row],[data]],estoque[fornecedor],"&lt;&gt;saída"))/(AK272+(SUMIFS(estoque[quantidade],estoque[produto],preçodiario[[#Headers],[OVO VERMELHO B]],estoque[fornecedor],"&lt;&gt;saída",estoque[data],preçodiario[[#This Row],[data]])))))</f>
        <v/>
      </c>
      <c r="AK273" s="22">
        <f>IF(preçodiario[[#This Row],[entrada BV]]=0,AK272-(SUMIFS(estoque[quantidade],estoque[fornecedor],"saída",estoque[produto],preçodiario[[#Headers],[OVO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Row],[data]]))+AK272+preçodiario[[#This Row],[entrada BV]])</f>
        <v>0</v>
      </c>
      <c r="AL273" s="22">
        <f>SUMIFS(estoque[quantidade],estoque[fornecedor],"&lt;&gt;saída",estoque[produto],preçodiario[[#Headers],[OVO VERMELHO B]],estoque[data],preçodiario[[#This Row],[data]])</f>
        <v>0</v>
      </c>
      <c r="AM273" s="20">
        <f>SUMIFS(estoque[valor total],estoque[fornecedor],"&lt;&gt;saída",estoque[produto],preçodiario[[#Headers],[OVO VERMELHO B]],estoque[data],preçodiario[[#This Row],[data]])</f>
        <v>0</v>
      </c>
      <c r="AN273" s="20">
        <f>IFERROR(preçodiario[[#This Row],[OVO VERMELHO B]]*preçodiario[[#This Row],[estoque BV]],0)</f>
        <v>0</v>
      </c>
      <c r="AO27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Row],[data]])),((AO272*AP272)+SUMIFS(estoque[valor total],estoque[produto],preçodiario[[#Headers],[OVO VERMELHO C]],estoque[data],preçodiario[[#This Row],[data]],estoque[fornecedor],"&lt;&gt;saída"))/(AP272+(SUMIFS(estoque[quantidade],estoque[produto],preçodiario[[#Headers],[OVO VERMELHO C]],estoque[fornecedor],"&lt;&gt;saída",estoque[data],preçodiario[[#This Row],[data]])))))</f>
        <v/>
      </c>
      <c r="AP273" s="22">
        <f>IF(preçodiario[[#This Row],[entrada CV]]=0,AP272-(SUMIFS(estoque[quantidade],estoque[fornecedor],"saída",estoque[produto],preçodiario[[#Headers],[OVO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Row],[data]]))+AP272+preçodiario[[#This Row],[entrada CV]])</f>
        <v>0</v>
      </c>
      <c r="AQ273" s="22">
        <f>SUMIFS(estoque[quantidade],estoque[fornecedor],"&lt;&gt;saída",estoque[produto],preçodiario[[#Headers],[OVO VERMELHO C]],estoque[data],preçodiario[[#This Row],[data]])</f>
        <v>0</v>
      </c>
      <c r="AR273" s="20">
        <f>SUMIFS(estoque[valor total],estoque[fornecedor],"&lt;&gt;saída",estoque[produto],preçodiario[[#Headers],[OVO VERMELHO C]],estoque[data],preçodiario[[#This Row],[data]])</f>
        <v>0</v>
      </c>
      <c r="AS273" s="20">
        <f>IFERROR(preçodiario[[#This Row],[OVO VERMELHO C]]*preçodiario[[#This Row],[estoque CV]],0)</f>
        <v>0</v>
      </c>
      <c r="AT27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Row],[data]])),((AT272*AU272)+SUMIFS(estoque[valor total],estoque[produto],preçodiario[[#Headers],[OVO VERMELHO EXTRA]],estoque[data],preçodiario[[#This Row],[data]],estoque[fornecedor],"&lt;&gt;saída"))/(AU272+(SUMIFS(estoque[quantidade],estoque[produto],preçodiario[[#Headers],[OVO VERMELHO EXTRA]],estoque[fornecedor],"&lt;&gt;saída",estoque[data],preçodiario[[#This Row],[data]])))))</f>
        <v/>
      </c>
      <c r="AU273" s="22">
        <f>IF(preçodiario[[#This Row],[entrada EV]]=0,AU272-(SUMIFS(estoque[quantidade],estoque[fornecedor],"saída",estoque[produto],preçodiario[[#Headers],[OVO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Row],[data]]))+AU272+preçodiario[[#This Row],[entrada EV]])</f>
        <v>0</v>
      </c>
      <c r="AV273" s="22">
        <f>SUMIFS(estoque[quantidade],estoque[fornecedor],"&lt;&gt;saída",estoque[produto],preçodiario[[#Headers],[OVO VERMELHO EXTRA]],estoque[data],preçodiario[[#This Row],[data]])</f>
        <v>0</v>
      </c>
      <c r="AW273" s="20">
        <f>SUMIFS(estoque[valor total],estoque[fornecedor],"&lt;&gt;saída",estoque[produto],preçodiario[[#Headers],[OVO VERMELHO EXTRA]],estoque[data],preçodiario[[#This Row],[data]])</f>
        <v>0</v>
      </c>
      <c r="AX273" s="20">
        <f>IFERROR(preçodiario[[#This Row],[OVO VERMELHO EXTRA]]*preçodiario[[#This Row],[estoque EV]],0)</f>
        <v>0</v>
      </c>
      <c r="AY27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Row],[data]])),((AY272*AZ272)+SUMIFS(estoque[valor total],estoque[produto],preçodiario[[#Headers],[OVO VERMELHO JUMBO]],estoque[data],preçodiario[[#This Row],[data]],estoque[fornecedor],"&lt;&gt;saída"))/(AZ272+(SUMIFS(estoque[quantidade],estoque[produto],preçodiario[[#Headers],[OVO VERMELHO JUMBO]],estoque[fornecedor],"&lt;&gt;saída",estoque[data],preçodiario[[#This Row],[data]])))))</f>
        <v/>
      </c>
      <c r="AZ273" s="22">
        <f>IF(preçodiario[[#This Row],[entrada JV]]=0,AZ272-(SUMIFS(estoque[quantidade],estoque[fornecedor],"saída",estoque[produto],preçodiario[[#Headers],[OVO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Row],[data]]))+AZ272+preçodiario[[#This Row],[entrada JV]])</f>
        <v>0</v>
      </c>
      <c r="BA273" s="22">
        <f>SUMIFS(estoque[quantidade],estoque[fornecedor],"&lt;&gt;saída",estoque[produto],preçodiario[[#Headers],[OVO VERMELHO JUMBO]],estoque[data],preçodiario[[#This Row],[data]])</f>
        <v>0</v>
      </c>
      <c r="BB273" s="20">
        <f>SUMIFS(estoque[valor total],estoque[fornecedor],"&lt;&gt;saída",estoque[produto],preçodiario[[#Headers],[OVO VERMELHO JUMBO]],estoque[data],preçodiario[[#This Row],[data]])</f>
        <v>0</v>
      </c>
      <c r="BC273" s="20">
        <f>IFERROR(preçodiario[[#This Row],[OVO VERMELHO JUMBO]]*preçodiario[[#This Row],[estoque JV]],0)</f>
        <v>0</v>
      </c>
      <c r="BD273" t="str">
        <f>TEXT(vendaAno[[#This Row],[data]],"mmm")</f>
        <v>set</v>
      </c>
      <c r="BE273" t="str">
        <f>TEXT(vendaAno[[#This Row],[data]],"ddd")</f>
        <v>ter</v>
      </c>
      <c r="BF273" s="82">
        <f>WEEKNUM(vendaAno[[#This Row],[data]],13)</f>
        <v>39</v>
      </c>
      <c r="BG273" s="27">
        <f>preçodiario[[#This Row],[data]]</f>
        <v>46294</v>
      </c>
      <c r="BH27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Row],[data]]))/12+BJ272,"")</f>
        <v/>
      </c>
      <c r="BK273" s="79" t="str">
        <f ca="1">IF(TODAY()&gt;=vendaAno[[#This Row],[data]],IF(SUMIFS(estoque[quantidade],estoque[fornecedor],"saída",estoque[data],vendaAno[[#This Row],[data]])/12=0,AVERAGE(BK270:BK272),SUMIFS(estoque[quantidade],estoque[fornecedor],"saída",estoque[data],vendaAno[[#This Row],[data]])/12),"")</f>
        <v/>
      </c>
      <c r="BL273" s="8" t="str">
        <f ca="1">IF(vendaAno[[#This Row],[data]]&lt;=TODAY(),IF(SUMIFS(estoque[lucro],estoque[fornecedor],"saída",estoque[data],vendaAno[[#This Row],[data]])=0,AVERAGE(BL270:BL272),SUMIFS(estoque[lucro],estoque[fornecedor],"saída",estoque[data],vendaAno[[#This Row],[data]])),"")</f>
        <v/>
      </c>
      <c r="BM273" s="10" t="str">
        <f ca="1">IFERROR(vendaAno[[#This Row],[lucro]]/vendaAno[[#This Row],[valor de venda]],"")</f>
        <v/>
      </c>
      <c r="BN27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3" s="8" t="str">
        <f ca="1">IF(TODAY()&gt;=vendaAno[[#This Row],[data]],IF(vendaAno[[#This Row],[N°]]=BF272,vendaAno[[#This Row],[lucro]]-173.33+BO272,vendaAno[[#This Row],[lucro]]-150),"")</f>
        <v/>
      </c>
      <c r="BP273" s="81" t="str">
        <f ca="1">IF(TODAY()&gt;=vendaAno[[#This Row],[data]],SUM(BK267:BK273)*12,"")</f>
        <v/>
      </c>
      <c r="BQ273" s="7" t="str">
        <f ca="1">IFERROR(vendaAno[[#This Row],[lucro]]/(vendaAno[[#This Row],[venda]]*12),"")</f>
        <v/>
      </c>
    </row>
    <row r="274" spans="1:69" x14ac:dyDescent="0.25">
      <c r="A27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4" s="18" t="str">
        <f>TEXT(preçodiario[[#This Row],[data]],"MMM")</f>
        <v>set</v>
      </c>
      <c r="C274" s="18" t="str">
        <f>TEXT(preçodiario[[#This Row],[data]],"ddd")</f>
        <v>qua</v>
      </c>
      <c r="D274" s="96">
        <f>WEEKNUM(preçodiario[[#This Row],[data]],13)</f>
        <v>40</v>
      </c>
      <c r="E274" s="37">
        <v>46295</v>
      </c>
      <c r="F27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Row],[data]])),((F273*G273)+SUMIFS(estoque[valor total],estoque[produto],preçodiario[[#Headers],[OVO BRANCO A]],estoque[data],preçodiario[[#This Row],[data]],estoque[fornecedor],"&lt;&gt;saída"))/(G273+(SUMIFS(estoque[quantidade],estoque[produto],preçodiario[[#Headers],[OVO BRANCO A]],estoque[fornecedor],"&lt;&gt;saída",estoque[data],preçodiario[[#This Row],[data]])))))</f>
        <v>15.278182701652089</v>
      </c>
      <c r="G274" s="22">
        <f>IF(preçodiario[[#This Row],[entrada A]]=0,G273-(SUMIFS(estoque[quantidade],estoque[fornecedor],"saída",estoque[produto],preçodiario[[#Headers],[OVO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Row],[data]]))+G273+preçodiario[[#This Row],[entrada A]])</f>
        <v>133</v>
      </c>
      <c r="H274" s="22">
        <f>SUMIFS(estoque[quantidade],estoque[fornecedor],"&lt;&gt;saída",estoque[produto],preçodiario[[#Headers],[OVO BRANCO A]],estoque[data],preçodiario[[#This Row],[data]])</f>
        <v>0</v>
      </c>
      <c r="I274" s="20">
        <f>SUMIFS(estoque[valor total],estoque[fornecedor],"&lt;&gt;saída",estoque[produto],preçodiario[[#Headers],[OVO BRANCO A]],estoque[data],preçodiario[[#This Row],[data]])</f>
        <v>0</v>
      </c>
      <c r="J274" s="20">
        <f>IFERROR(preçodiario[[#This Row],[estoque A]]*preçodiario[[#This Row],[OVO BRANCO A]],0)</f>
        <v>2031.9982993197277</v>
      </c>
      <c r="K27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Row],[data]])),((K273*L273)+SUMIFS(estoque[valor total],estoque[produto],preçodiario[[#Headers],[OVO BRANCO B]],estoque[data],preçodiario[[#This Row],[data]],estoque[fornecedor],"&lt;&gt;saída"))/(L273+(SUMIFS(estoque[quantidade],estoque[produto],preçodiario[[#Headers],[OVO BRANCO B]],estoque[fornecedor],"&lt;&gt;saída",estoque[data],preçodiario[[#This Row],[data]])))))</f>
        <v>14.584252837326604</v>
      </c>
      <c r="L274" s="22">
        <f>IF(preçodiario[[#This Row],[entrada B]]=0,L273-(SUMIFS(estoque[quantidade],estoque[fornecedor],"saída",estoque[produto],preçodiario[[#Headers],[OVO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Row],[data]]))+L273+preçodiario[[#This Row],[entrada B]])</f>
        <v>16</v>
      </c>
      <c r="M274" s="22">
        <f>SUMIFS(estoque[quantidade],estoque[fornecedor],"&lt;&gt;saída",estoque[produto],preçodiario[[#Headers],[OVO BRANCO B]],estoque[data],preçodiario[[#This Row],[data]])</f>
        <v>0</v>
      </c>
      <c r="N274" s="20">
        <f>SUMIFS(estoque[valor total],estoque[fornecedor],"&lt;&gt;saída",estoque[produto],preçodiario[[#Headers],[OVO BRANCO B]],estoque[data],preçodiario[[#This Row],[data]])</f>
        <v>0</v>
      </c>
      <c r="O274" s="20">
        <f>IFERROR(preçodiario[[#This Row],[OVO BRANCO B]]*preçodiario[[#This Row],[estoque B]],0)</f>
        <v>233.34804539722566</v>
      </c>
      <c r="P27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Row],[data]])),((P273*Q273)+SUMIFS(estoque[valor total],estoque[produto],preçodiario[[#Headers],[OVO BRANCO C]],estoque[data],preçodiario[[#This Row],[data]],estoque[fornecedor],"&lt;&gt;saída"))/(Q273+(SUMIFS(estoque[quantidade],estoque[produto],preçodiario[[#Headers],[OVO BRANCO C]],estoque[fornecedor],"&lt;&gt;saída",estoque[data],preçodiario[[#This Row],[data]])))))</f>
        <v>12.5</v>
      </c>
      <c r="Q274" s="22">
        <f>IF(preçodiario[[#This Row],[entrada C]]=0,Q273-(SUMIFS(estoque[quantidade],estoque[fornecedor],"saída",estoque[produto],preçodiario[[#Headers],[OVO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Row],[data]]))+Q273+preçodiario[[#This Row],[entrada C]])</f>
        <v>60</v>
      </c>
      <c r="R274" s="22">
        <f>SUMIFS(estoque[quantidade],estoque[fornecedor],"&lt;&gt;saída",estoque[produto],preçodiario[[#Headers],[OVO BRANCO C]],estoque[data],preçodiario[[#This Row],[data]])</f>
        <v>0</v>
      </c>
      <c r="S274" s="20">
        <f>SUMIFS(estoque[valor total],estoque[fornecedor],"&lt;&gt;saída",estoque[produto],preçodiario[[#Headers],[OVO BRANCO C]],estoque[data],preçodiario[[#This Row],[data]])</f>
        <v>0</v>
      </c>
      <c r="T274" s="20">
        <f>IFERROR(preçodiario[[#This Row],[OVO BRANCO C]]*preçodiario[[#This Row],[estoque C]],0)</f>
        <v>750</v>
      </c>
      <c r="U27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Row],[data]])),((U273*V273)+SUMIFS(estoque[valor total],estoque[produto],preçodiario[[#Headers],[OVO BRANCO EXTRA]],estoque[data],preçodiario[[#This Row],[data]],estoque[fornecedor],"&lt;&gt;saída"))/(V273+(SUMIFS(estoque[quantidade],estoque[produto],preçodiario[[#Headers],[OVO BRANCO EXTRA]],estoque[fornecedor],"&lt;&gt;saída",estoque[data],preçodiario[[#This Row],[data]])))))</f>
        <v>15.725438400674655</v>
      </c>
      <c r="V274" s="22">
        <f>IF(preçodiario[[#This Row],[entrada E]]=0,V273-(SUMIFS(estoque[quantidade],estoque[fornecedor],"saída",estoque[produto],preçodiario[[#Headers],[OVO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Row],[data]]))+V273+preçodiario[[#This Row],[entrada E]])</f>
        <v>46</v>
      </c>
      <c r="W274" s="22">
        <f>SUMIFS(estoque[quantidade],estoque[fornecedor],"&lt;&gt;saída",estoque[produto],preçodiario[[#Headers],[OVO BRANCO EXTRA]],estoque[data],preçodiario[[#This Row],[data]])</f>
        <v>0</v>
      </c>
      <c r="X274" s="20">
        <f>SUMIFS(estoque[valor total],estoque[fornecedor],"&lt;&gt;saída",estoque[produto],preçodiario[[#Headers],[OVO BRANCO EXTRA]],estoque[data],preçodiario[[#This Row],[data]])</f>
        <v>0</v>
      </c>
      <c r="Y274" s="20">
        <f>IFERROR(preçodiario[[#This Row],[estoque E]]*preçodiario[[#This Row],[OVO BRANCO EXTRA]],0)</f>
        <v>723.37016643103414</v>
      </c>
      <c r="Z27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Row],[data]])),((Z273*AA273)+SUMIFS(estoque[valor total],estoque[produto],preçodiario[[#Headers],[OVO BRANCO JUMBO]],estoque[data],preçodiario[[#This Row],[data]],estoque[fornecedor],"&lt;&gt;saída"))/(AA273+(SUMIFS(estoque[quantidade],estoque[produto],preçodiario[[#Headers],[OVO BRANCO JUMBO]],estoque[fornecedor],"&lt;&gt;saída",estoque[data],preçodiario[[#This Row],[data]])))))</f>
        <v>16.50550595238095</v>
      </c>
      <c r="AA274" s="22">
        <f>IF(preçodiario[[#This Row],[entrada J]]=0,AA273-(SUMIFS(estoque[quantidade],estoque[fornecedor],"saída",estoque[produto],preçodiario[[#Headers],[OVO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Row],[data]]))+AA273+preçodiario[[#This Row],[entrada J]])</f>
        <v>75</v>
      </c>
      <c r="AB274" s="22">
        <f>SUMIFS(estoque[quantidade],estoque[fornecedor],"&lt;&gt;saída",estoque[produto],preçodiario[[#Headers],[OVO BRANCO JUMBO]],estoque[data],preçodiario[[#This Row],[data]])</f>
        <v>0</v>
      </c>
      <c r="AC274" s="20">
        <f>SUMIFS(estoque[valor total],estoque[fornecedor],"&lt;&gt;saída",estoque[produto],preçodiario[[#Headers],[OVO BRANCO JUMBO]],estoque[data],preçodiario[[#This Row],[data]])</f>
        <v>0</v>
      </c>
      <c r="AD274" s="20">
        <f>IFERROR(preçodiario[[#This Row],[OVO BRANCO JUMBO]]*preçodiario[[#This Row],[estoque J]],0)</f>
        <v>1237.9129464285713</v>
      </c>
      <c r="AE27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Row],[data]])),((AE273*AF273)+SUMIFS(estoque[valor total],estoque[produto],preçodiario[[#Headers],[OVO VERMELHO A]],estoque[data],preçodiario[[#This Row],[data]],estoque[fornecedor],"&lt;&gt;saída"))/(AF273+(SUMIFS(estoque[quantidade],estoque[produto],preçodiario[[#Headers],[OVO VERMELHO A]],estoque[fornecedor],"&lt;&gt;saída",estoque[data],preçodiario[[#This Row],[data]])))))</f>
        <v/>
      </c>
      <c r="AF274" s="22">
        <f>IF(preçodiario[[#This Row],[entrada AV]]=0,AF273-(SUMIFS(estoque[quantidade],estoque[fornecedor],"saída",estoque[produto],preçodiario[[#Headers],[OVO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Row],[data]]))+AF273+preçodiario[[#This Row],[entrada AV]])</f>
        <v>0</v>
      </c>
      <c r="AG274" s="22">
        <f>SUMIFS(estoque[quantidade],estoque[fornecedor],"&lt;&gt;saída",estoque[produto],preçodiario[[#Headers],[OVO VERMELHO A]],estoque[data],preçodiario[[#This Row],[data]])</f>
        <v>0</v>
      </c>
      <c r="AH274" s="20">
        <f>SUMIFS(estoque[valor total],estoque[fornecedor],"&lt;&gt;saída",estoque[produto],preçodiario[[#Headers],[OVO VERMELHO A]],estoque[data],preçodiario[[#This Row],[data]])</f>
        <v>0</v>
      </c>
      <c r="AI274" s="20">
        <f>IFERROR(preçodiario[[#This Row],[OVO VERMELHO A]]*preçodiario[[#This Row],[estoque AV]],0)</f>
        <v>0</v>
      </c>
      <c r="AJ27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Row],[data]])),((AJ273*AK273)+SUMIFS(estoque[valor total],estoque[produto],preçodiario[[#Headers],[OVO VERMELHO B]],estoque[data],preçodiario[[#This Row],[data]],estoque[fornecedor],"&lt;&gt;saída"))/(AK273+(SUMIFS(estoque[quantidade],estoque[produto],preçodiario[[#Headers],[OVO VERMELHO B]],estoque[fornecedor],"&lt;&gt;saída",estoque[data],preçodiario[[#This Row],[data]])))))</f>
        <v/>
      </c>
      <c r="AK274" s="22">
        <f>IF(preçodiario[[#This Row],[entrada BV]]=0,AK273-(SUMIFS(estoque[quantidade],estoque[fornecedor],"saída",estoque[produto],preçodiario[[#Headers],[OVO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Row],[data]]))+AK273+preçodiario[[#This Row],[entrada BV]])</f>
        <v>0</v>
      </c>
      <c r="AL274" s="22">
        <f>SUMIFS(estoque[quantidade],estoque[fornecedor],"&lt;&gt;saída",estoque[produto],preçodiario[[#Headers],[OVO VERMELHO B]],estoque[data],preçodiario[[#This Row],[data]])</f>
        <v>0</v>
      </c>
      <c r="AM274" s="20">
        <f>SUMIFS(estoque[valor total],estoque[fornecedor],"&lt;&gt;saída",estoque[produto],preçodiario[[#Headers],[OVO VERMELHO B]],estoque[data],preçodiario[[#This Row],[data]])</f>
        <v>0</v>
      </c>
      <c r="AN274" s="20">
        <f>IFERROR(preçodiario[[#This Row],[OVO VERMELHO B]]*preçodiario[[#This Row],[estoque BV]],0)</f>
        <v>0</v>
      </c>
      <c r="AO27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Row],[data]])),((AO273*AP273)+SUMIFS(estoque[valor total],estoque[produto],preçodiario[[#Headers],[OVO VERMELHO C]],estoque[data],preçodiario[[#This Row],[data]],estoque[fornecedor],"&lt;&gt;saída"))/(AP273+(SUMIFS(estoque[quantidade],estoque[produto],preçodiario[[#Headers],[OVO VERMELHO C]],estoque[fornecedor],"&lt;&gt;saída",estoque[data],preçodiario[[#This Row],[data]])))))</f>
        <v/>
      </c>
      <c r="AP274" s="22">
        <f>IF(preçodiario[[#This Row],[entrada CV]]=0,AP273-(SUMIFS(estoque[quantidade],estoque[fornecedor],"saída",estoque[produto],preçodiario[[#Headers],[OVO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Row],[data]]))+AP273+preçodiario[[#This Row],[entrada CV]])</f>
        <v>0</v>
      </c>
      <c r="AQ274" s="22">
        <f>SUMIFS(estoque[quantidade],estoque[fornecedor],"&lt;&gt;saída",estoque[produto],preçodiario[[#Headers],[OVO VERMELHO C]],estoque[data],preçodiario[[#This Row],[data]])</f>
        <v>0</v>
      </c>
      <c r="AR274" s="20">
        <f>SUMIFS(estoque[valor total],estoque[fornecedor],"&lt;&gt;saída",estoque[produto],preçodiario[[#Headers],[OVO VERMELHO C]],estoque[data],preçodiario[[#This Row],[data]])</f>
        <v>0</v>
      </c>
      <c r="AS274" s="20">
        <f>IFERROR(preçodiario[[#This Row],[OVO VERMELHO C]]*preçodiario[[#This Row],[estoque CV]],0)</f>
        <v>0</v>
      </c>
      <c r="AT27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Row],[data]])),((AT273*AU273)+SUMIFS(estoque[valor total],estoque[produto],preçodiario[[#Headers],[OVO VERMELHO EXTRA]],estoque[data],preçodiario[[#This Row],[data]],estoque[fornecedor],"&lt;&gt;saída"))/(AU273+(SUMIFS(estoque[quantidade],estoque[produto],preçodiario[[#Headers],[OVO VERMELHO EXTRA]],estoque[fornecedor],"&lt;&gt;saída",estoque[data],preçodiario[[#This Row],[data]])))))</f>
        <v/>
      </c>
      <c r="AU274" s="22">
        <f>IF(preçodiario[[#This Row],[entrada EV]]=0,AU273-(SUMIFS(estoque[quantidade],estoque[fornecedor],"saída",estoque[produto],preçodiario[[#Headers],[OVO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Row],[data]]))+AU273+preçodiario[[#This Row],[entrada EV]])</f>
        <v>0</v>
      </c>
      <c r="AV274" s="22">
        <f>SUMIFS(estoque[quantidade],estoque[fornecedor],"&lt;&gt;saída",estoque[produto],preçodiario[[#Headers],[OVO VERMELHO EXTRA]],estoque[data],preçodiario[[#This Row],[data]])</f>
        <v>0</v>
      </c>
      <c r="AW274" s="20">
        <f>SUMIFS(estoque[valor total],estoque[fornecedor],"&lt;&gt;saída",estoque[produto],preçodiario[[#Headers],[OVO VERMELHO EXTRA]],estoque[data],preçodiario[[#This Row],[data]])</f>
        <v>0</v>
      </c>
      <c r="AX274" s="20">
        <f>IFERROR(preçodiario[[#This Row],[OVO VERMELHO EXTRA]]*preçodiario[[#This Row],[estoque EV]],0)</f>
        <v>0</v>
      </c>
      <c r="AY27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Row],[data]])),((AY273*AZ273)+SUMIFS(estoque[valor total],estoque[produto],preçodiario[[#Headers],[OVO VERMELHO JUMBO]],estoque[data],preçodiario[[#This Row],[data]],estoque[fornecedor],"&lt;&gt;saída"))/(AZ273+(SUMIFS(estoque[quantidade],estoque[produto],preçodiario[[#Headers],[OVO VERMELHO JUMBO]],estoque[fornecedor],"&lt;&gt;saída",estoque[data],preçodiario[[#This Row],[data]])))))</f>
        <v/>
      </c>
      <c r="AZ274" s="22">
        <f>IF(preçodiario[[#This Row],[entrada JV]]=0,AZ273-(SUMIFS(estoque[quantidade],estoque[fornecedor],"saída",estoque[produto],preçodiario[[#Headers],[OVO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Row],[data]]))+AZ273+preçodiario[[#This Row],[entrada JV]])</f>
        <v>0</v>
      </c>
      <c r="BA274" s="22">
        <f>SUMIFS(estoque[quantidade],estoque[fornecedor],"&lt;&gt;saída",estoque[produto],preçodiario[[#Headers],[OVO VERMELHO JUMBO]],estoque[data],preçodiario[[#This Row],[data]])</f>
        <v>0</v>
      </c>
      <c r="BB274" s="20">
        <f>SUMIFS(estoque[valor total],estoque[fornecedor],"&lt;&gt;saída",estoque[produto],preçodiario[[#Headers],[OVO VERMELHO JUMBO]],estoque[data],preçodiario[[#This Row],[data]])</f>
        <v>0</v>
      </c>
      <c r="BC274" s="20">
        <f>IFERROR(preçodiario[[#This Row],[OVO VERMELHO JUMBO]]*preçodiario[[#This Row],[estoque JV]],0)</f>
        <v>0</v>
      </c>
      <c r="BD274" t="str">
        <f>TEXT(vendaAno[[#This Row],[data]],"mmm")</f>
        <v>set</v>
      </c>
      <c r="BE274" t="str">
        <f>TEXT(vendaAno[[#This Row],[data]],"ddd")</f>
        <v>qua</v>
      </c>
      <c r="BF274" s="82">
        <f>WEEKNUM(vendaAno[[#This Row],[data]],13)</f>
        <v>40</v>
      </c>
      <c r="BG274" s="27">
        <f>preçodiario[[#This Row],[data]]</f>
        <v>46295</v>
      </c>
      <c r="BH27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Row],[data]]))/12+BJ273,"")</f>
        <v/>
      </c>
      <c r="BK274" s="79" t="str">
        <f ca="1">IF(TODAY()&gt;=vendaAno[[#This Row],[data]],IF(SUMIFS(estoque[quantidade],estoque[fornecedor],"saída",estoque[data],vendaAno[[#This Row],[data]])/12=0,AVERAGE(BK271:BK273),SUMIFS(estoque[quantidade],estoque[fornecedor],"saída",estoque[data],vendaAno[[#This Row],[data]])/12),"")</f>
        <v/>
      </c>
      <c r="BL274" s="8" t="str">
        <f ca="1">IF(vendaAno[[#This Row],[data]]&lt;=TODAY(),IF(SUMIFS(estoque[lucro],estoque[fornecedor],"saída",estoque[data],vendaAno[[#This Row],[data]])=0,AVERAGE(BL271:BL273),SUMIFS(estoque[lucro],estoque[fornecedor],"saída",estoque[data],vendaAno[[#This Row],[data]])),"")</f>
        <v/>
      </c>
      <c r="BM274" s="10" t="str">
        <f ca="1">IFERROR(vendaAno[[#This Row],[lucro]]/vendaAno[[#This Row],[valor de venda]],"")</f>
        <v/>
      </c>
      <c r="BN27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4" s="8" t="str">
        <f ca="1">IF(TODAY()&gt;=vendaAno[[#This Row],[data]],IF(vendaAno[[#This Row],[N°]]=BF273,vendaAno[[#This Row],[lucro]]-173.33+BO273,vendaAno[[#This Row],[lucro]]-150),"")</f>
        <v/>
      </c>
      <c r="BP274" s="81" t="str">
        <f ca="1">IF(TODAY()&gt;=vendaAno[[#This Row],[data]],SUM(BK268:BK274)*12,"")</f>
        <v/>
      </c>
      <c r="BQ274" s="7" t="str">
        <f ca="1">IFERROR(vendaAno[[#This Row],[lucro]]/(vendaAno[[#This Row],[venda]]*12),"")</f>
        <v/>
      </c>
    </row>
    <row r="275" spans="1:69" x14ac:dyDescent="0.25">
      <c r="A27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5" s="18" t="str">
        <f>TEXT(preçodiario[[#This Row],[data]],"MMM")</f>
        <v>out</v>
      </c>
      <c r="C275" s="18" t="str">
        <f>TEXT(preçodiario[[#This Row],[data]],"ddd")</f>
        <v>qui</v>
      </c>
      <c r="D275" s="96">
        <f>WEEKNUM(preçodiario[[#This Row],[data]],13)</f>
        <v>40</v>
      </c>
      <c r="E275" s="37">
        <v>46296</v>
      </c>
      <c r="F27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Row],[data]])),((F274*G274)+SUMIFS(estoque[valor total],estoque[produto],preçodiario[[#Headers],[OVO BRANCO A]],estoque[data],preçodiario[[#This Row],[data]],estoque[fornecedor],"&lt;&gt;saída"))/(G274+(SUMIFS(estoque[quantidade],estoque[produto],preçodiario[[#Headers],[OVO BRANCO A]],estoque[fornecedor],"&lt;&gt;saída",estoque[data],preçodiario[[#This Row],[data]])))))</f>
        <v>15.278182701652089</v>
      </c>
      <c r="G275" s="22">
        <f>IF(preçodiario[[#This Row],[entrada A]]=0,G274-(SUMIFS(estoque[quantidade],estoque[fornecedor],"saída",estoque[produto],preçodiario[[#Headers],[OVO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Row],[data]]))+G274+preçodiario[[#This Row],[entrada A]])</f>
        <v>133</v>
      </c>
      <c r="H275" s="22">
        <f>SUMIFS(estoque[quantidade],estoque[fornecedor],"&lt;&gt;saída",estoque[produto],preçodiario[[#Headers],[OVO BRANCO A]],estoque[data],preçodiario[[#This Row],[data]])</f>
        <v>0</v>
      </c>
      <c r="I275" s="20">
        <f>SUMIFS(estoque[valor total],estoque[fornecedor],"&lt;&gt;saída",estoque[produto],preçodiario[[#Headers],[OVO BRANCO A]],estoque[data],preçodiario[[#This Row],[data]])</f>
        <v>0</v>
      </c>
      <c r="J275" s="20">
        <f>IFERROR(preçodiario[[#This Row],[estoque A]]*preçodiario[[#This Row],[OVO BRANCO A]],0)</f>
        <v>2031.9982993197277</v>
      </c>
      <c r="K27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Row],[data]])),((K274*L274)+SUMIFS(estoque[valor total],estoque[produto],preçodiario[[#Headers],[OVO BRANCO B]],estoque[data],preçodiario[[#This Row],[data]],estoque[fornecedor],"&lt;&gt;saída"))/(L274+(SUMIFS(estoque[quantidade],estoque[produto],preçodiario[[#Headers],[OVO BRANCO B]],estoque[fornecedor],"&lt;&gt;saída",estoque[data],preçodiario[[#This Row],[data]])))))</f>
        <v>14.584252837326604</v>
      </c>
      <c r="L275" s="22">
        <f>IF(preçodiario[[#This Row],[entrada B]]=0,L274-(SUMIFS(estoque[quantidade],estoque[fornecedor],"saída",estoque[produto],preçodiario[[#Headers],[OVO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Row],[data]]))+L274+preçodiario[[#This Row],[entrada B]])</f>
        <v>16</v>
      </c>
      <c r="M275" s="22">
        <f>SUMIFS(estoque[quantidade],estoque[fornecedor],"&lt;&gt;saída",estoque[produto],preçodiario[[#Headers],[OVO BRANCO B]],estoque[data],preçodiario[[#This Row],[data]])</f>
        <v>0</v>
      </c>
      <c r="N275" s="20">
        <f>SUMIFS(estoque[valor total],estoque[fornecedor],"&lt;&gt;saída",estoque[produto],preçodiario[[#Headers],[OVO BRANCO B]],estoque[data],preçodiario[[#This Row],[data]])</f>
        <v>0</v>
      </c>
      <c r="O275" s="20">
        <f>IFERROR(preçodiario[[#This Row],[OVO BRANCO B]]*preçodiario[[#This Row],[estoque B]],0)</f>
        <v>233.34804539722566</v>
      </c>
      <c r="P27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Row],[data]])),((P274*Q274)+SUMIFS(estoque[valor total],estoque[produto],preçodiario[[#Headers],[OVO BRANCO C]],estoque[data],preçodiario[[#This Row],[data]],estoque[fornecedor],"&lt;&gt;saída"))/(Q274+(SUMIFS(estoque[quantidade],estoque[produto],preçodiario[[#Headers],[OVO BRANCO C]],estoque[fornecedor],"&lt;&gt;saída",estoque[data],preçodiario[[#This Row],[data]])))))</f>
        <v>12.5</v>
      </c>
      <c r="Q275" s="22">
        <f>IF(preçodiario[[#This Row],[entrada C]]=0,Q274-(SUMIFS(estoque[quantidade],estoque[fornecedor],"saída",estoque[produto],preçodiario[[#Headers],[OVO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Row],[data]]))+Q274+preçodiario[[#This Row],[entrada C]])</f>
        <v>60</v>
      </c>
      <c r="R275" s="22">
        <f>SUMIFS(estoque[quantidade],estoque[fornecedor],"&lt;&gt;saída",estoque[produto],preçodiario[[#Headers],[OVO BRANCO C]],estoque[data],preçodiario[[#This Row],[data]])</f>
        <v>0</v>
      </c>
      <c r="S275" s="20">
        <f>SUMIFS(estoque[valor total],estoque[fornecedor],"&lt;&gt;saída",estoque[produto],preçodiario[[#Headers],[OVO BRANCO C]],estoque[data],preçodiario[[#This Row],[data]])</f>
        <v>0</v>
      </c>
      <c r="T275" s="20">
        <f>IFERROR(preçodiario[[#This Row],[OVO BRANCO C]]*preçodiario[[#This Row],[estoque C]],0)</f>
        <v>750</v>
      </c>
      <c r="U27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Row],[data]])),((U274*V274)+SUMIFS(estoque[valor total],estoque[produto],preçodiario[[#Headers],[OVO BRANCO EXTRA]],estoque[data],preçodiario[[#This Row],[data]],estoque[fornecedor],"&lt;&gt;saída"))/(V274+(SUMIFS(estoque[quantidade],estoque[produto],preçodiario[[#Headers],[OVO BRANCO EXTRA]],estoque[fornecedor],"&lt;&gt;saída",estoque[data],preçodiario[[#This Row],[data]])))))</f>
        <v>15.725438400674655</v>
      </c>
      <c r="V275" s="22">
        <f>IF(preçodiario[[#This Row],[entrada E]]=0,V274-(SUMIFS(estoque[quantidade],estoque[fornecedor],"saída",estoque[produto],preçodiario[[#Headers],[OVO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Row],[data]]))+V274+preçodiario[[#This Row],[entrada E]])</f>
        <v>46</v>
      </c>
      <c r="W275" s="22">
        <f>SUMIFS(estoque[quantidade],estoque[fornecedor],"&lt;&gt;saída",estoque[produto],preçodiario[[#Headers],[OVO BRANCO EXTRA]],estoque[data],preçodiario[[#This Row],[data]])</f>
        <v>0</v>
      </c>
      <c r="X275" s="20">
        <f>SUMIFS(estoque[valor total],estoque[fornecedor],"&lt;&gt;saída",estoque[produto],preçodiario[[#Headers],[OVO BRANCO EXTRA]],estoque[data],preçodiario[[#This Row],[data]])</f>
        <v>0</v>
      </c>
      <c r="Y275" s="20">
        <f>IFERROR(preçodiario[[#This Row],[estoque E]]*preçodiario[[#This Row],[OVO BRANCO EXTRA]],0)</f>
        <v>723.37016643103414</v>
      </c>
      <c r="Z27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Row],[data]])),((Z274*AA274)+SUMIFS(estoque[valor total],estoque[produto],preçodiario[[#Headers],[OVO BRANCO JUMBO]],estoque[data],preçodiario[[#This Row],[data]],estoque[fornecedor],"&lt;&gt;saída"))/(AA274+(SUMIFS(estoque[quantidade],estoque[produto],preçodiario[[#Headers],[OVO BRANCO JUMBO]],estoque[fornecedor],"&lt;&gt;saída",estoque[data],preçodiario[[#This Row],[data]])))))</f>
        <v>16.50550595238095</v>
      </c>
      <c r="AA275" s="22">
        <f>IF(preçodiario[[#This Row],[entrada J]]=0,AA274-(SUMIFS(estoque[quantidade],estoque[fornecedor],"saída",estoque[produto],preçodiario[[#Headers],[OVO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Row],[data]]))+AA274+preçodiario[[#This Row],[entrada J]])</f>
        <v>75</v>
      </c>
      <c r="AB275" s="22">
        <f>SUMIFS(estoque[quantidade],estoque[fornecedor],"&lt;&gt;saída",estoque[produto],preçodiario[[#Headers],[OVO BRANCO JUMBO]],estoque[data],preçodiario[[#This Row],[data]])</f>
        <v>0</v>
      </c>
      <c r="AC275" s="20">
        <f>SUMIFS(estoque[valor total],estoque[fornecedor],"&lt;&gt;saída",estoque[produto],preçodiario[[#Headers],[OVO BRANCO JUMBO]],estoque[data],preçodiario[[#This Row],[data]])</f>
        <v>0</v>
      </c>
      <c r="AD275" s="20">
        <f>IFERROR(preçodiario[[#This Row],[OVO BRANCO JUMBO]]*preçodiario[[#This Row],[estoque J]],0)</f>
        <v>1237.9129464285713</v>
      </c>
      <c r="AE27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Row],[data]])),((AE274*AF274)+SUMIFS(estoque[valor total],estoque[produto],preçodiario[[#Headers],[OVO VERMELHO A]],estoque[data],preçodiario[[#This Row],[data]],estoque[fornecedor],"&lt;&gt;saída"))/(AF274+(SUMIFS(estoque[quantidade],estoque[produto],preçodiario[[#Headers],[OVO VERMELHO A]],estoque[fornecedor],"&lt;&gt;saída",estoque[data],preçodiario[[#This Row],[data]])))))</f>
        <v/>
      </c>
      <c r="AF275" s="22">
        <f>IF(preçodiario[[#This Row],[entrada AV]]=0,AF274-(SUMIFS(estoque[quantidade],estoque[fornecedor],"saída",estoque[produto],preçodiario[[#Headers],[OVO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Row],[data]]))+AF274+preçodiario[[#This Row],[entrada AV]])</f>
        <v>0</v>
      </c>
      <c r="AG275" s="22">
        <f>SUMIFS(estoque[quantidade],estoque[fornecedor],"&lt;&gt;saída",estoque[produto],preçodiario[[#Headers],[OVO VERMELHO A]],estoque[data],preçodiario[[#This Row],[data]])</f>
        <v>0</v>
      </c>
      <c r="AH275" s="20">
        <f>SUMIFS(estoque[valor total],estoque[fornecedor],"&lt;&gt;saída",estoque[produto],preçodiario[[#Headers],[OVO VERMELHO A]],estoque[data],preçodiario[[#This Row],[data]])</f>
        <v>0</v>
      </c>
      <c r="AI275" s="20">
        <f>IFERROR(preçodiario[[#This Row],[OVO VERMELHO A]]*preçodiario[[#This Row],[estoque AV]],0)</f>
        <v>0</v>
      </c>
      <c r="AJ27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Row],[data]])),((AJ274*AK274)+SUMIFS(estoque[valor total],estoque[produto],preçodiario[[#Headers],[OVO VERMELHO B]],estoque[data],preçodiario[[#This Row],[data]],estoque[fornecedor],"&lt;&gt;saída"))/(AK274+(SUMIFS(estoque[quantidade],estoque[produto],preçodiario[[#Headers],[OVO VERMELHO B]],estoque[fornecedor],"&lt;&gt;saída",estoque[data],preçodiario[[#This Row],[data]])))))</f>
        <v/>
      </c>
      <c r="AK275" s="22">
        <f>IF(preçodiario[[#This Row],[entrada BV]]=0,AK274-(SUMIFS(estoque[quantidade],estoque[fornecedor],"saída",estoque[produto],preçodiario[[#Headers],[OVO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Row],[data]]))+AK274+preçodiario[[#This Row],[entrada BV]])</f>
        <v>0</v>
      </c>
      <c r="AL275" s="22">
        <f>SUMIFS(estoque[quantidade],estoque[fornecedor],"&lt;&gt;saída",estoque[produto],preçodiario[[#Headers],[OVO VERMELHO B]],estoque[data],preçodiario[[#This Row],[data]])</f>
        <v>0</v>
      </c>
      <c r="AM275" s="20">
        <f>SUMIFS(estoque[valor total],estoque[fornecedor],"&lt;&gt;saída",estoque[produto],preçodiario[[#Headers],[OVO VERMELHO B]],estoque[data],preçodiario[[#This Row],[data]])</f>
        <v>0</v>
      </c>
      <c r="AN275" s="20">
        <f>IFERROR(preçodiario[[#This Row],[OVO VERMELHO B]]*preçodiario[[#This Row],[estoque BV]],0)</f>
        <v>0</v>
      </c>
      <c r="AO27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Row],[data]])),((AO274*AP274)+SUMIFS(estoque[valor total],estoque[produto],preçodiario[[#Headers],[OVO VERMELHO C]],estoque[data],preçodiario[[#This Row],[data]],estoque[fornecedor],"&lt;&gt;saída"))/(AP274+(SUMIFS(estoque[quantidade],estoque[produto],preçodiario[[#Headers],[OVO VERMELHO C]],estoque[fornecedor],"&lt;&gt;saída",estoque[data],preçodiario[[#This Row],[data]])))))</f>
        <v/>
      </c>
      <c r="AP275" s="22">
        <f>IF(preçodiario[[#This Row],[entrada CV]]=0,AP274-(SUMIFS(estoque[quantidade],estoque[fornecedor],"saída",estoque[produto],preçodiario[[#Headers],[OVO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Row],[data]]))+AP274+preçodiario[[#This Row],[entrada CV]])</f>
        <v>0</v>
      </c>
      <c r="AQ275" s="22">
        <f>SUMIFS(estoque[quantidade],estoque[fornecedor],"&lt;&gt;saída",estoque[produto],preçodiario[[#Headers],[OVO VERMELHO C]],estoque[data],preçodiario[[#This Row],[data]])</f>
        <v>0</v>
      </c>
      <c r="AR275" s="20">
        <f>SUMIFS(estoque[valor total],estoque[fornecedor],"&lt;&gt;saída",estoque[produto],preçodiario[[#Headers],[OVO VERMELHO C]],estoque[data],preçodiario[[#This Row],[data]])</f>
        <v>0</v>
      </c>
      <c r="AS275" s="20">
        <f>IFERROR(preçodiario[[#This Row],[OVO VERMELHO C]]*preçodiario[[#This Row],[estoque CV]],0)</f>
        <v>0</v>
      </c>
      <c r="AT27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Row],[data]])),((AT274*AU274)+SUMIFS(estoque[valor total],estoque[produto],preçodiario[[#Headers],[OVO VERMELHO EXTRA]],estoque[data],preçodiario[[#This Row],[data]],estoque[fornecedor],"&lt;&gt;saída"))/(AU274+(SUMIFS(estoque[quantidade],estoque[produto],preçodiario[[#Headers],[OVO VERMELHO EXTRA]],estoque[fornecedor],"&lt;&gt;saída",estoque[data],preçodiario[[#This Row],[data]])))))</f>
        <v/>
      </c>
      <c r="AU275" s="22">
        <f>IF(preçodiario[[#This Row],[entrada EV]]=0,AU274-(SUMIFS(estoque[quantidade],estoque[fornecedor],"saída",estoque[produto],preçodiario[[#Headers],[OVO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Row],[data]]))+AU274+preçodiario[[#This Row],[entrada EV]])</f>
        <v>0</v>
      </c>
      <c r="AV275" s="22">
        <f>SUMIFS(estoque[quantidade],estoque[fornecedor],"&lt;&gt;saída",estoque[produto],preçodiario[[#Headers],[OVO VERMELHO EXTRA]],estoque[data],preçodiario[[#This Row],[data]])</f>
        <v>0</v>
      </c>
      <c r="AW275" s="20">
        <f>SUMIFS(estoque[valor total],estoque[fornecedor],"&lt;&gt;saída",estoque[produto],preçodiario[[#Headers],[OVO VERMELHO EXTRA]],estoque[data],preçodiario[[#This Row],[data]])</f>
        <v>0</v>
      </c>
      <c r="AX275" s="20">
        <f>IFERROR(preçodiario[[#This Row],[OVO VERMELHO EXTRA]]*preçodiario[[#This Row],[estoque EV]],0)</f>
        <v>0</v>
      </c>
      <c r="AY27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Row],[data]])),((AY274*AZ274)+SUMIFS(estoque[valor total],estoque[produto],preçodiario[[#Headers],[OVO VERMELHO JUMBO]],estoque[data],preçodiario[[#This Row],[data]],estoque[fornecedor],"&lt;&gt;saída"))/(AZ274+(SUMIFS(estoque[quantidade],estoque[produto],preçodiario[[#Headers],[OVO VERMELHO JUMBO]],estoque[fornecedor],"&lt;&gt;saída",estoque[data],preçodiario[[#This Row],[data]])))))</f>
        <v/>
      </c>
      <c r="AZ275" s="22">
        <f>IF(preçodiario[[#This Row],[entrada JV]]=0,AZ274-(SUMIFS(estoque[quantidade],estoque[fornecedor],"saída",estoque[produto],preçodiario[[#Headers],[OVO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Row],[data]]))+AZ274+preçodiario[[#This Row],[entrada JV]])</f>
        <v>0</v>
      </c>
      <c r="BA275" s="22">
        <f>SUMIFS(estoque[quantidade],estoque[fornecedor],"&lt;&gt;saída",estoque[produto],preçodiario[[#Headers],[OVO VERMELHO JUMBO]],estoque[data],preçodiario[[#This Row],[data]])</f>
        <v>0</v>
      </c>
      <c r="BB275" s="20">
        <f>SUMIFS(estoque[valor total],estoque[fornecedor],"&lt;&gt;saída",estoque[produto],preçodiario[[#Headers],[OVO VERMELHO JUMBO]],estoque[data],preçodiario[[#This Row],[data]])</f>
        <v>0</v>
      </c>
      <c r="BC275" s="20">
        <f>IFERROR(preçodiario[[#This Row],[OVO VERMELHO JUMBO]]*preçodiario[[#This Row],[estoque JV]],0)</f>
        <v>0</v>
      </c>
      <c r="BD275" t="str">
        <f>TEXT(vendaAno[[#This Row],[data]],"mmm")</f>
        <v>out</v>
      </c>
      <c r="BE275" t="str">
        <f>TEXT(vendaAno[[#This Row],[data]],"ddd")</f>
        <v>qui</v>
      </c>
      <c r="BF275" s="82">
        <f>WEEKNUM(vendaAno[[#This Row],[data]],13)</f>
        <v>40</v>
      </c>
      <c r="BG275" s="27">
        <f>preçodiario[[#This Row],[data]]</f>
        <v>46296</v>
      </c>
      <c r="BH27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Row],[data]]))/12+BJ274,"")</f>
        <v/>
      </c>
      <c r="BK275" s="79" t="str">
        <f ca="1">IF(TODAY()&gt;=vendaAno[[#This Row],[data]],IF(SUMIFS(estoque[quantidade],estoque[fornecedor],"saída",estoque[data],vendaAno[[#This Row],[data]])/12=0,AVERAGE(BK272:BK274),SUMIFS(estoque[quantidade],estoque[fornecedor],"saída",estoque[data],vendaAno[[#This Row],[data]])/12),"")</f>
        <v/>
      </c>
      <c r="BL275" s="8" t="str">
        <f ca="1">IF(vendaAno[[#This Row],[data]]&lt;=TODAY(),IF(SUMIFS(estoque[lucro],estoque[fornecedor],"saída",estoque[data],vendaAno[[#This Row],[data]])=0,AVERAGE(BL272:BL274),SUMIFS(estoque[lucro],estoque[fornecedor],"saída",estoque[data],vendaAno[[#This Row],[data]])),"")</f>
        <v/>
      </c>
      <c r="BM275" s="10" t="str">
        <f ca="1">IFERROR(vendaAno[[#This Row],[lucro]]/vendaAno[[#This Row],[valor de venda]],"")</f>
        <v/>
      </c>
      <c r="BN27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5" s="8" t="str">
        <f ca="1">IF(TODAY()&gt;=vendaAno[[#This Row],[data]],IF(vendaAno[[#This Row],[N°]]=BF274,vendaAno[[#This Row],[lucro]]-173.33+BO274,vendaAno[[#This Row],[lucro]]-150),"")</f>
        <v/>
      </c>
      <c r="BP275" s="81" t="str">
        <f ca="1">IF(TODAY()&gt;=vendaAno[[#This Row],[data]],SUM(BK269:BK275)*12,"")</f>
        <v/>
      </c>
      <c r="BQ275" s="7" t="str">
        <f ca="1">IFERROR(vendaAno[[#This Row],[lucro]]/(vendaAno[[#This Row],[venda]]*12),"")</f>
        <v/>
      </c>
    </row>
    <row r="276" spans="1:69" x14ac:dyDescent="0.25">
      <c r="A27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6" s="18" t="str">
        <f>TEXT(preçodiario[[#This Row],[data]],"MMM")</f>
        <v>out</v>
      </c>
      <c r="C276" s="18" t="str">
        <f>TEXT(preçodiario[[#This Row],[data]],"ddd")</f>
        <v>sex</v>
      </c>
      <c r="D276" s="96">
        <f>WEEKNUM(preçodiario[[#This Row],[data]],13)</f>
        <v>40</v>
      </c>
      <c r="E276" s="37">
        <v>46297</v>
      </c>
      <c r="F27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Row],[data]])),((F275*G275)+SUMIFS(estoque[valor total],estoque[produto],preçodiario[[#Headers],[OVO BRANCO A]],estoque[data],preçodiario[[#This Row],[data]],estoque[fornecedor],"&lt;&gt;saída"))/(G275+(SUMIFS(estoque[quantidade],estoque[produto],preçodiario[[#Headers],[OVO BRANCO A]],estoque[fornecedor],"&lt;&gt;saída",estoque[data],preçodiario[[#This Row],[data]])))))</f>
        <v>15.278182701652089</v>
      </c>
      <c r="G276" s="22">
        <f>IF(preçodiario[[#This Row],[entrada A]]=0,G275-(SUMIFS(estoque[quantidade],estoque[fornecedor],"saída",estoque[produto],preçodiario[[#Headers],[OVO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Row],[data]]))+G275+preçodiario[[#This Row],[entrada A]])</f>
        <v>133</v>
      </c>
      <c r="H276" s="22">
        <f>SUMIFS(estoque[quantidade],estoque[fornecedor],"&lt;&gt;saída",estoque[produto],preçodiario[[#Headers],[OVO BRANCO A]],estoque[data],preçodiario[[#This Row],[data]])</f>
        <v>0</v>
      </c>
      <c r="I276" s="20">
        <f>SUMIFS(estoque[valor total],estoque[fornecedor],"&lt;&gt;saída",estoque[produto],preçodiario[[#Headers],[OVO BRANCO A]],estoque[data],preçodiario[[#This Row],[data]])</f>
        <v>0</v>
      </c>
      <c r="J276" s="20">
        <f>IFERROR(preçodiario[[#This Row],[estoque A]]*preçodiario[[#This Row],[OVO BRANCO A]],0)</f>
        <v>2031.9982993197277</v>
      </c>
      <c r="K27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Row],[data]])),((K275*L275)+SUMIFS(estoque[valor total],estoque[produto],preçodiario[[#Headers],[OVO BRANCO B]],estoque[data],preçodiario[[#This Row],[data]],estoque[fornecedor],"&lt;&gt;saída"))/(L275+(SUMIFS(estoque[quantidade],estoque[produto],preçodiario[[#Headers],[OVO BRANCO B]],estoque[fornecedor],"&lt;&gt;saída",estoque[data],preçodiario[[#This Row],[data]])))))</f>
        <v>14.584252837326604</v>
      </c>
      <c r="L276" s="22">
        <f>IF(preçodiario[[#This Row],[entrada B]]=0,L275-(SUMIFS(estoque[quantidade],estoque[fornecedor],"saída",estoque[produto],preçodiario[[#Headers],[OVO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Row],[data]]))+L275+preçodiario[[#This Row],[entrada B]])</f>
        <v>16</v>
      </c>
      <c r="M276" s="22">
        <f>SUMIFS(estoque[quantidade],estoque[fornecedor],"&lt;&gt;saída",estoque[produto],preçodiario[[#Headers],[OVO BRANCO B]],estoque[data],preçodiario[[#This Row],[data]])</f>
        <v>0</v>
      </c>
      <c r="N276" s="20">
        <f>SUMIFS(estoque[valor total],estoque[fornecedor],"&lt;&gt;saída",estoque[produto],preçodiario[[#Headers],[OVO BRANCO B]],estoque[data],preçodiario[[#This Row],[data]])</f>
        <v>0</v>
      </c>
      <c r="O276" s="20">
        <f>IFERROR(preçodiario[[#This Row],[OVO BRANCO B]]*preçodiario[[#This Row],[estoque B]],0)</f>
        <v>233.34804539722566</v>
      </c>
      <c r="P27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Row],[data]])),((P275*Q275)+SUMIFS(estoque[valor total],estoque[produto],preçodiario[[#Headers],[OVO BRANCO C]],estoque[data],preçodiario[[#This Row],[data]],estoque[fornecedor],"&lt;&gt;saída"))/(Q275+(SUMIFS(estoque[quantidade],estoque[produto],preçodiario[[#Headers],[OVO BRANCO C]],estoque[fornecedor],"&lt;&gt;saída",estoque[data],preçodiario[[#This Row],[data]])))))</f>
        <v>12.5</v>
      </c>
      <c r="Q276" s="22">
        <f>IF(preçodiario[[#This Row],[entrada C]]=0,Q275-(SUMIFS(estoque[quantidade],estoque[fornecedor],"saída",estoque[produto],preçodiario[[#Headers],[OVO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Row],[data]]))+Q275+preçodiario[[#This Row],[entrada C]])</f>
        <v>60</v>
      </c>
      <c r="R276" s="22">
        <f>SUMIFS(estoque[quantidade],estoque[fornecedor],"&lt;&gt;saída",estoque[produto],preçodiario[[#Headers],[OVO BRANCO C]],estoque[data],preçodiario[[#This Row],[data]])</f>
        <v>0</v>
      </c>
      <c r="S276" s="20">
        <f>SUMIFS(estoque[valor total],estoque[fornecedor],"&lt;&gt;saída",estoque[produto],preçodiario[[#Headers],[OVO BRANCO C]],estoque[data],preçodiario[[#This Row],[data]])</f>
        <v>0</v>
      </c>
      <c r="T276" s="20">
        <f>IFERROR(preçodiario[[#This Row],[OVO BRANCO C]]*preçodiario[[#This Row],[estoque C]],0)</f>
        <v>750</v>
      </c>
      <c r="U27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Row],[data]])),((U275*V275)+SUMIFS(estoque[valor total],estoque[produto],preçodiario[[#Headers],[OVO BRANCO EXTRA]],estoque[data],preçodiario[[#This Row],[data]],estoque[fornecedor],"&lt;&gt;saída"))/(V275+(SUMIFS(estoque[quantidade],estoque[produto],preçodiario[[#Headers],[OVO BRANCO EXTRA]],estoque[fornecedor],"&lt;&gt;saída",estoque[data],preçodiario[[#This Row],[data]])))))</f>
        <v>15.725438400674655</v>
      </c>
      <c r="V276" s="22">
        <f>IF(preçodiario[[#This Row],[entrada E]]=0,V275-(SUMIFS(estoque[quantidade],estoque[fornecedor],"saída",estoque[produto],preçodiario[[#Headers],[OVO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Row],[data]]))+V275+preçodiario[[#This Row],[entrada E]])</f>
        <v>46</v>
      </c>
      <c r="W276" s="22">
        <f>SUMIFS(estoque[quantidade],estoque[fornecedor],"&lt;&gt;saída",estoque[produto],preçodiario[[#Headers],[OVO BRANCO EXTRA]],estoque[data],preçodiario[[#This Row],[data]])</f>
        <v>0</v>
      </c>
      <c r="X276" s="20">
        <f>SUMIFS(estoque[valor total],estoque[fornecedor],"&lt;&gt;saída",estoque[produto],preçodiario[[#Headers],[OVO BRANCO EXTRA]],estoque[data],preçodiario[[#This Row],[data]])</f>
        <v>0</v>
      </c>
      <c r="Y276" s="20">
        <f>IFERROR(preçodiario[[#This Row],[estoque E]]*preçodiario[[#This Row],[OVO BRANCO EXTRA]],0)</f>
        <v>723.37016643103414</v>
      </c>
      <c r="Z27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Row],[data]])),((Z275*AA275)+SUMIFS(estoque[valor total],estoque[produto],preçodiario[[#Headers],[OVO BRANCO JUMBO]],estoque[data],preçodiario[[#This Row],[data]],estoque[fornecedor],"&lt;&gt;saída"))/(AA275+(SUMIFS(estoque[quantidade],estoque[produto],preçodiario[[#Headers],[OVO BRANCO JUMBO]],estoque[fornecedor],"&lt;&gt;saída",estoque[data],preçodiario[[#This Row],[data]])))))</f>
        <v>16.50550595238095</v>
      </c>
      <c r="AA276" s="22">
        <f>IF(preçodiario[[#This Row],[entrada J]]=0,AA275-(SUMIFS(estoque[quantidade],estoque[fornecedor],"saída",estoque[produto],preçodiario[[#Headers],[OVO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Row],[data]]))+AA275+preçodiario[[#This Row],[entrada J]])</f>
        <v>75</v>
      </c>
      <c r="AB276" s="22">
        <f>SUMIFS(estoque[quantidade],estoque[fornecedor],"&lt;&gt;saída",estoque[produto],preçodiario[[#Headers],[OVO BRANCO JUMBO]],estoque[data],preçodiario[[#This Row],[data]])</f>
        <v>0</v>
      </c>
      <c r="AC276" s="20">
        <f>SUMIFS(estoque[valor total],estoque[fornecedor],"&lt;&gt;saída",estoque[produto],preçodiario[[#Headers],[OVO BRANCO JUMBO]],estoque[data],preçodiario[[#This Row],[data]])</f>
        <v>0</v>
      </c>
      <c r="AD276" s="20">
        <f>IFERROR(preçodiario[[#This Row],[OVO BRANCO JUMBO]]*preçodiario[[#This Row],[estoque J]],0)</f>
        <v>1237.9129464285713</v>
      </c>
      <c r="AE27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Row],[data]])),((AE275*AF275)+SUMIFS(estoque[valor total],estoque[produto],preçodiario[[#Headers],[OVO VERMELHO A]],estoque[data],preçodiario[[#This Row],[data]],estoque[fornecedor],"&lt;&gt;saída"))/(AF275+(SUMIFS(estoque[quantidade],estoque[produto],preçodiario[[#Headers],[OVO VERMELHO A]],estoque[fornecedor],"&lt;&gt;saída",estoque[data],preçodiario[[#This Row],[data]])))))</f>
        <v/>
      </c>
      <c r="AF276" s="22">
        <f>IF(preçodiario[[#This Row],[entrada AV]]=0,AF275-(SUMIFS(estoque[quantidade],estoque[fornecedor],"saída",estoque[produto],preçodiario[[#Headers],[OVO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Row],[data]]))+AF275+preçodiario[[#This Row],[entrada AV]])</f>
        <v>0</v>
      </c>
      <c r="AG276" s="22">
        <f>SUMIFS(estoque[quantidade],estoque[fornecedor],"&lt;&gt;saída",estoque[produto],preçodiario[[#Headers],[OVO VERMELHO A]],estoque[data],preçodiario[[#This Row],[data]])</f>
        <v>0</v>
      </c>
      <c r="AH276" s="20">
        <f>SUMIFS(estoque[valor total],estoque[fornecedor],"&lt;&gt;saída",estoque[produto],preçodiario[[#Headers],[OVO VERMELHO A]],estoque[data],preçodiario[[#This Row],[data]])</f>
        <v>0</v>
      </c>
      <c r="AI276" s="20">
        <f>IFERROR(preçodiario[[#This Row],[OVO VERMELHO A]]*preçodiario[[#This Row],[estoque AV]],0)</f>
        <v>0</v>
      </c>
      <c r="AJ27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Row],[data]])),((AJ275*AK275)+SUMIFS(estoque[valor total],estoque[produto],preçodiario[[#Headers],[OVO VERMELHO B]],estoque[data],preçodiario[[#This Row],[data]],estoque[fornecedor],"&lt;&gt;saída"))/(AK275+(SUMIFS(estoque[quantidade],estoque[produto],preçodiario[[#Headers],[OVO VERMELHO B]],estoque[fornecedor],"&lt;&gt;saída",estoque[data],preçodiario[[#This Row],[data]])))))</f>
        <v/>
      </c>
      <c r="AK276" s="22">
        <f>IF(preçodiario[[#This Row],[entrada BV]]=0,AK275-(SUMIFS(estoque[quantidade],estoque[fornecedor],"saída",estoque[produto],preçodiario[[#Headers],[OVO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Row],[data]]))+AK275+preçodiario[[#This Row],[entrada BV]])</f>
        <v>0</v>
      </c>
      <c r="AL276" s="22">
        <f>SUMIFS(estoque[quantidade],estoque[fornecedor],"&lt;&gt;saída",estoque[produto],preçodiario[[#Headers],[OVO VERMELHO B]],estoque[data],preçodiario[[#This Row],[data]])</f>
        <v>0</v>
      </c>
      <c r="AM276" s="20">
        <f>SUMIFS(estoque[valor total],estoque[fornecedor],"&lt;&gt;saída",estoque[produto],preçodiario[[#Headers],[OVO VERMELHO B]],estoque[data],preçodiario[[#This Row],[data]])</f>
        <v>0</v>
      </c>
      <c r="AN276" s="20">
        <f>IFERROR(preçodiario[[#This Row],[OVO VERMELHO B]]*preçodiario[[#This Row],[estoque BV]],0)</f>
        <v>0</v>
      </c>
      <c r="AO27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Row],[data]])),((AO275*AP275)+SUMIFS(estoque[valor total],estoque[produto],preçodiario[[#Headers],[OVO VERMELHO C]],estoque[data],preçodiario[[#This Row],[data]],estoque[fornecedor],"&lt;&gt;saída"))/(AP275+(SUMIFS(estoque[quantidade],estoque[produto],preçodiario[[#Headers],[OVO VERMELHO C]],estoque[fornecedor],"&lt;&gt;saída",estoque[data],preçodiario[[#This Row],[data]])))))</f>
        <v/>
      </c>
      <c r="AP276" s="22">
        <f>IF(preçodiario[[#This Row],[entrada CV]]=0,AP275-(SUMIFS(estoque[quantidade],estoque[fornecedor],"saída",estoque[produto],preçodiario[[#Headers],[OVO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Row],[data]]))+AP275+preçodiario[[#This Row],[entrada CV]])</f>
        <v>0</v>
      </c>
      <c r="AQ276" s="22">
        <f>SUMIFS(estoque[quantidade],estoque[fornecedor],"&lt;&gt;saída",estoque[produto],preçodiario[[#Headers],[OVO VERMELHO C]],estoque[data],preçodiario[[#This Row],[data]])</f>
        <v>0</v>
      </c>
      <c r="AR276" s="20">
        <f>SUMIFS(estoque[valor total],estoque[fornecedor],"&lt;&gt;saída",estoque[produto],preçodiario[[#Headers],[OVO VERMELHO C]],estoque[data],preçodiario[[#This Row],[data]])</f>
        <v>0</v>
      </c>
      <c r="AS276" s="20">
        <f>IFERROR(preçodiario[[#This Row],[OVO VERMELHO C]]*preçodiario[[#This Row],[estoque CV]],0)</f>
        <v>0</v>
      </c>
      <c r="AT27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Row],[data]])),((AT275*AU275)+SUMIFS(estoque[valor total],estoque[produto],preçodiario[[#Headers],[OVO VERMELHO EXTRA]],estoque[data],preçodiario[[#This Row],[data]],estoque[fornecedor],"&lt;&gt;saída"))/(AU275+(SUMIFS(estoque[quantidade],estoque[produto],preçodiario[[#Headers],[OVO VERMELHO EXTRA]],estoque[fornecedor],"&lt;&gt;saída",estoque[data],preçodiario[[#This Row],[data]])))))</f>
        <v/>
      </c>
      <c r="AU276" s="22">
        <f>IF(preçodiario[[#This Row],[entrada EV]]=0,AU275-(SUMIFS(estoque[quantidade],estoque[fornecedor],"saída",estoque[produto],preçodiario[[#Headers],[OVO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Row],[data]]))+AU275+preçodiario[[#This Row],[entrada EV]])</f>
        <v>0</v>
      </c>
      <c r="AV276" s="22">
        <f>SUMIFS(estoque[quantidade],estoque[fornecedor],"&lt;&gt;saída",estoque[produto],preçodiario[[#Headers],[OVO VERMELHO EXTRA]],estoque[data],preçodiario[[#This Row],[data]])</f>
        <v>0</v>
      </c>
      <c r="AW276" s="20">
        <f>SUMIFS(estoque[valor total],estoque[fornecedor],"&lt;&gt;saída",estoque[produto],preçodiario[[#Headers],[OVO VERMELHO EXTRA]],estoque[data],preçodiario[[#This Row],[data]])</f>
        <v>0</v>
      </c>
      <c r="AX276" s="20">
        <f>IFERROR(preçodiario[[#This Row],[OVO VERMELHO EXTRA]]*preçodiario[[#This Row],[estoque EV]],0)</f>
        <v>0</v>
      </c>
      <c r="AY27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Row],[data]])),((AY275*AZ275)+SUMIFS(estoque[valor total],estoque[produto],preçodiario[[#Headers],[OVO VERMELHO JUMBO]],estoque[data],preçodiario[[#This Row],[data]],estoque[fornecedor],"&lt;&gt;saída"))/(AZ275+(SUMIFS(estoque[quantidade],estoque[produto],preçodiario[[#Headers],[OVO VERMELHO JUMBO]],estoque[fornecedor],"&lt;&gt;saída",estoque[data],preçodiario[[#This Row],[data]])))))</f>
        <v/>
      </c>
      <c r="AZ276" s="22">
        <f>IF(preçodiario[[#This Row],[entrada JV]]=0,AZ275-(SUMIFS(estoque[quantidade],estoque[fornecedor],"saída",estoque[produto],preçodiario[[#Headers],[OVO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Row],[data]]))+AZ275+preçodiario[[#This Row],[entrada JV]])</f>
        <v>0</v>
      </c>
      <c r="BA276" s="22">
        <f>SUMIFS(estoque[quantidade],estoque[fornecedor],"&lt;&gt;saída",estoque[produto],preçodiario[[#Headers],[OVO VERMELHO JUMBO]],estoque[data],preçodiario[[#This Row],[data]])</f>
        <v>0</v>
      </c>
      <c r="BB276" s="20">
        <f>SUMIFS(estoque[valor total],estoque[fornecedor],"&lt;&gt;saída",estoque[produto],preçodiario[[#Headers],[OVO VERMELHO JUMBO]],estoque[data],preçodiario[[#This Row],[data]])</f>
        <v>0</v>
      </c>
      <c r="BC276" s="20">
        <f>IFERROR(preçodiario[[#This Row],[OVO VERMELHO JUMBO]]*preçodiario[[#This Row],[estoque JV]],0)</f>
        <v>0</v>
      </c>
      <c r="BD276" t="str">
        <f>TEXT(vendaAno[[#This Row],[data]],"mmm")</f>
        <v>out</v>
      </c>
      <c r="BE276" t="str">
        <f>TEXT(vendaAno[[#This Row],[data]],"ddd")</f>
        <v>sex</v>
      </c>
      <c r="BF276" s="82">
        <f>WEEKNUM(vendaAno[[#This Row],[data]],13)</f>
        <v>40</v>
      </c>
      <c r="BG276" s="27">
        <f>preçodiario[[#This Row],[data]]</f>
        <v>46297</v>
      </c>
      <c r="BH27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Row],[data]]))/12+BJ275,"")</f>
        <v/>
      </c>
      <c r="BK276" s="79" t="str">
        <f ca="1">IF(TODAY()&gt;=vendaAno[[#This Row],[data]],IF(SUMIFS(estoque[quantidade],estoque[fornecedor],"saída",estoque[data],vendaAno[[#This Row],[data]])/12=0,AVERAGE(BK273:BK275),SUMIFS(estoque[quantidade],estoque[fornecedor],"saída",estoque[data],vendaAno[[#This Row],[data]])/12),"")</f>
        <v/>
      </c>
      <c r="BL276" s="8" t="str">
        <f ca="1">IF(vendaAno[[#This Row],[data]]&lt;=TODAY(),IF(SUMIFS(estoque[lucro],estoque[fornecedor],"saída",estoque[data],vendaAno[[#This Row],[data]])=0,AVERAGE(BL273:BL275),SUMIFS(estoque[lucro],estoque[fornecedor],"saída",estoque[data],vendaAno[[#This Row],[data]])),"")</f>
        <v/>
      </c>
      <c r="BM276" s="10" t="str">
        <f ca="1">IFERROR(vendaAno[[#This Row],[lucro]]/vendaAno[[#This Row],[valor de venda]],"")</f>
        <v/>
      </c>
      <c r="BN27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6" s="8" t="str">
        <f ca="1">IF(TODAY()&gt;=vendaAno[[#This Row],[data]],IF(vendaAno[[#This Row],[N°]]=BF275,vendaAno[[#This Row],[lucro]]-173.33+BO275,vendaAno[[#This Row],[lucro]]-150),"")</f>
        <v/>
      </c>
      <c r="BP276" s="81" t="str">
        <f ca="1">IF(TODAY()&gt;=vendaAno[[#This Row],[data]],SUM(BK270:BK276)*12,"")</f>
        <v/>
      </c>
      <c r="BQ276" s="7" t="str">
        <f ca="1">IFERROR(vendaAno[[#This Row],[lucro]]/(vendaAno[[#This Row],[venda]]*12),"")</f>
        <v/>
      </c>
    </row>
    <row r="277" spans="1:69" x14ac:dyDescent="0.25">
      <c r="A27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7" s="18" t="str">
        <f>TEXT(preçodiario[[#This Row],[data]],"MMM")</f>
        <v>out</v>
      </c>
      <c r="C277" s="18" t="str">
        <f>TEXT(preçodiario[[#This Row],[data]],"ddd")</f>
        <v>sáb</v>
      </c>
      <c r="D277" s="96">
        <f>WEEKNUM(preçodiario[[#This Row],[data]],13)</f>
        <v>40</v>
      </c>
      <c r="E277" s="37">
        <v>46298</v>
      </c>
      <c r="F27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Row],[data]])),((F276*G276)+SUMIFS(estoque[valor total],estoque[produto],preçodiario[[#Headers],[OVO BRANCO A]],estoque[data],preçodiario[[#This Row],[data]],estoque[fornecedor],"&lt;&gt;saída"))/(G276+(SUMIFS(estoque[quantidade],estoque[produto],preçodiario[[#Headers],[OVO BRANCO A]],estoque[fornecedor],"&lt;&gt;saída",estoque[data],preçodiario[[#This Row],[data]])))))</f>
        <v>15.278182701652089</v>
      </c>
      <c r="G277" s="22">
        <f>IF(preçodiario[[#This Row],[entrada A]]=0,G276-(SUMIFS(estoque[quantidade],estoque[fornecedor],"saída",estoque[produto],preçodiario[[#Headers],[OVO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Row],[data]]))+G276+preçodiario[[#This Row],[entrada A]])</f>
        <v>133</v>
      </c>
      <c r="H277" s="22">
        <f>SUMIFS(estoque[quantidade],estoque[fornecedor],"&lt;&gt;saída",estoque[produto],preçodiario[[#Headers],[OVO BRANCO A]],estoque[data],preçodiario[[#This Row],[data]])</f>
        <v>0</v>
      </c>
      <c r="I277" s="20">
        <f>SUMIFS(estoque[valor total],estoque[fornecedor],"&lt;&gt;saída",estoque[produto],preçodiario[[#Headers],[OVO BRANCO A]],estoque[data],preçodiario[[#This Row],[data]])</f>
        <v>0</v>
      </c>
      <c r="J277" s="20">
        <f>IFERROR(preçodiario[[#This Row],[estoque A]]*preçodiario[[#This Row],[OVO BRANCO A]],0)</f>
        <v>2031.9982993197277</v>
      </c>
      <c r="K27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Row],[data]])),((K276*L276)+SUMIFS(estoque[valor total],estoque[produto],preçodiario[[#Headers],[OVO BRANCO B]],estoque[data],preçodiario[[#This Row],[data]],estoque[fornecedor],"&lt;&gt;saída"))/(L276+(SUMIFS(estoque[quantidade],estoque[produto],preçodiario[[#Headers],[OVO BRANCO B]],estoque[fornecedor],"&lt;&gt;saída",estoque[data],preçodiario[[#This Row],[data]])))))</f>
        <v>14.584252837326604</v>
      </c>
      <c r="L277" s="22">
        <f>IF(preçodiario[[#This Row],[entrada B]]=0,L276-(SUMIFS(estoque[quantidade],estoque[fornecedor],"saída",estoque[produto],preçodiario[[#Headers],[OVO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Row],[data]]))+L276+preçodiario[[#This Row],[entrada B]])</f>
        <v>16</v>
      </c>
      <c r="M277" s="22">
        <f>SUMIFS(estoque[quantidade],estoque[fornecedor],"&lt;&gt;saída",estoque[produto],preçodiario[[#Headers],[OVO BRANCO B]],estoque[data],preçodiario[[#This Row],[data]])</f>
        <v>0</v>
      </c>
      <c r="N277" s="20">
        <f>SUMIFS(estoque[valor total],estoque[fornecedor],"&lt;&gt;saída",estoque[produto],preçodiario[[#Headers],[OVO BRANCO B]],estoque[data],preçodiario[[#This Row],[data]])</f>
        <v>0</v>
      </c>
      <c r="O277" s="20">
        <f>IFERROR(preçodiario[[#This Row],[OVO BRANCO B]]*preçodiario[[#This Row],[estoque B]],0)</f>
        <v>233.34804539722566</v>
      </c>
      <c r="P27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Row],[data]])),((P276*Q276)+SUMIFS(estoque[valor total],estoque[produto],preçodiario[[#Headers],[OVO BRANCO C]],estoque[data],preçodiario[[#This Row],[data]],estoque[fornecedor],"&lt;&gt;saída"))/(Q276+(SUMIFS(estoque[quantidade],estoque[produto],preçodiario[[#Headers],[OVO BRANCO C]],estoque[fornecedor],"&lt;&gt;saída",estoque[data],preçodiario[[#This Row],[data]])))))</f>
        <v>12.5</v>
      </c>
      <c r="Q277" s="22">
        <f>IF(preçodiario[[#This Row],[entrada C]]=0,Q276-(SUMIFS(estoque[quantidade],estoque[fornecedor],"saída",estoque[produto],preçodiario[[#Headers],[OVO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Row],[data]]))+Q276+preçodiario[[#This Row],[entrada C]])</f>
        <v>60</v>
      </c>
      <c r="R277" s="22">
        <f>SUMIFS(estoque[quantidade],estoque[fornecedor],"&lt;&gt;saída",estoque[produto],preçodiario[[#Headers],[OVO BRANCO C]],estoque[data],preçodiario[[#This Row],[data]])</f>
        <v>0</v>
      </c>
      <c r="S277" s="20">
        <f>SUMIFS(estoque[valor total],estoque[fornecedor],"&lt;&gt;saída",estoque[produto],preçodiario[[#Headers],[OVO BRANCO C]],estoque[data],preçodiario[[#This Row],[data]])</f>
        <v>0</v>
      </c>
      <c r="T277" s="20">
        <f>IFERROR(preçodiario[[#This Row],[OVO BRANCO C]]*preçodiario[[#This Row],[estoque C]],0)</f>
        <v>750</v>
      </c>
      <c r="U27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Row],[data]])),((U276*V276)+SUMIFS(estoque[valor total],estoque[produto],preçodiario[[#Headers],[OVO BRANCO EXTRA]],estoque[data],preçodiario[[#This Row],[data]],estoque[fornecedor],"&lt;&gt;saída"))/(V276+(SUMIFS(estoque[quantidade],estoque[produto],preçodiario[[#Headers],[OVO BRANCO EXTRA]],estoque[fornecedor],"&lt;&gt;saída",estoque[data],preçodiario[[#This Row],[data]])))))</f>
        <v>15.725438400674655</v>
      </c>
      <c r="V277" s="22">
        <f>IF(preçodiario[[#This Row],[entrada E]]=0,V276-(SUMIFS(estoque[quantidade],estoque[fornecedor],"saída",estoque[produto],preçodiario[[#Headers],[OVO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Row],[data]]))+V276+preçodiario[[#This Row],[entrada E]])</f>
        <v>46</v>
      </c>
      <c r="W277" s="22">
        <f>SUMIFS(estoque[quantidade],estoque[fornecedor],"&lt;&gt;saída",estoque[produto],preçodiario[[#Headers],[OVO BRANCO EXTRA]],estoque[data],preçodiario[[#This Row],[data]])</f>
        <v>0</v>
      </c>
      <c r="X277" s="20">
        <f>SUMIFS(estoque[valor total],estoque[fornecedor],"&lt;&gt;saída",estoque[produto],preçodiario[[#Headers],[OVO BRANCO EXTRA]],estoque[data],preçodiario[[#This Row],[data]])</f>
        <v>0</v>
      </c>
      <c r="Y277" s="20">
        <f>IFERROR(preçodiario[[#This Row],[estoque E]]*preçodiario[[#This Row],[OVO BRANCO EXTRA]],0)</f>
        <v>723.37016643103414</v>
      </c>
      <c r="Z27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Row],[data]])),((Z276*AA276)+SUMIFS(estoque[valor total],estoque[produto],preçodiario[[#Headers],[OVO BRANCO JUMBO]],estoque[data],preçodiario[[#This Row],[data]],estoque[fornecedor],"&lt;&gt;saída"))/(AA276+(SUMIFS(estoque[quantidade],estoque[produto],preçodiario[[#Headers],[OVO BRANCO JUMBO]],estoque[fornecedor],"&lt;&gt;saída",estoque[data],preçodiario[[#This Row],[data]])))))</f>
        <v>16.50550595238095</v>
      </c>
      <c r="AA277" s="22">
        <f>IF(preçodiario[[#This Row],[entrada J]]=0,AA276-(SUMIFS(estoque[quantidade],estoque[fornecedor],"saída",estoque[produto],preçodiario[[#Headers],[OVO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Row],[data]]))+AA276+preçodiario[[#This Row],[entrada J]])</f>
        <v>75</v>
      </c>
      <c r="AB277" s="22">
        <f>SUMIFS(estoque[quantidade],estoque[fornecedor],"&lt;&gt;saída",estoque[produto],preçodiario[[#Headers],[OVO BRANCO JUMBO]],estoque[data],preçodiario[[#This Row],[data]])</f>
        <v>0</v>
      </c>
      <c r="AC277" s="20">
        <f>SUMIFS(estoque[valor total],estoque[fornecedor],"&lt;&gt;saída",estoque[produto],preçodiario[[#Headers],[OVO BRANCO JUMBO]],estoque[data],preçodiario[[#This Row],[data]])</f>
        <v>0</v>
      </c>
      <c r="AD277" s="20">
        <f>IFERROR(preçodiario[[#This Row],[OVO BRANCO JUMBO]]*preçodiario[[#This Row],[estoque J]],0)</f>
        <v>1237.9129464285713</v>
      </c>
      <c r="AE27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Row],[data]])),((AE276*AF276)+SUMIFS(estoque[valor total],estoque[produto],preçodiario[[#Headers],[OVO VERMELHO A]],estoque[data],preçodiario[[#This Row],[data]],estoque[fornecedor],"&lt;&gt;saída"))/(AF276+(SUMIFS(estoque[quantidade],estoque[produto],preçodiario[[#Headers],[OVO VERMELHO A]],estoque[fornecedor],"&lt;&gt;saída",estoque[data],preçodiario[[#This Row],[data]])))))</f>
        <v/>
      </c>
      <c r="AF277" s="22">
        <f>IF(preçodiario[[#This Row],[entrada AV]]=0,AF276-(SUMIFS(estoque[quantidade],estoque[fornecedor],"saída",estoque[produto],preçodiario[[#Headers],[OVO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Row],[data]]))+AF276+preçodiario[[#This Row],[entrada AV]])</f>
        <v>0</v>
      </c>
      <c r="AG277" s="22">
        <f>SUMIFS(estoque[quantidade],estoque[fornecedor],"&lt;&gt;saída",estoque[produto],preçodiario[[#Headers],[OVO VERMELHO A]],estoque[data],preçodiario[[#This Row],[data]])</f>
        <v>0</v>
      </c>
      <c r="AH277" s="20">
        <f>SUMIFS(estoque[valor total],estoque[fornecedor],"&lt;&gt;saída",estoque[produto],preçodiario[[#Headers],[OVO VERMELHO A]],estoque[data],preçodiario[[#This Row],[data]])</f>
        <v>0</v>
      </c>
      <c r="AI277" s="20">
        <f>IFERROR(preçodiario[[#This Row],[OVO VERMELHO A]]*preçodiario[[#This Row],[estoque AV]],0)</f>
        <v>0</v>
      </c>
      <c r="AJ27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Row],[data]])),((AJ276*AK276)+SUMIFS(estoque[valor total],estoque[produto],preçodiario[[#Headers],[OVO VERMELHO B]],estoque[data],preçodiario[[#This Row],[data]],estoque[fornecedor],"&lt;&gt;saída"))/(AK276+(SUMIFS(estoque[quantidade],estoque[produto],preçodiario[[#Headers],[OVO VERMELHO B]],estoque[fornecedor],"&lt;&gt;saída",estoque[data],preçodiario[[#This Row],[data]])))))</f>
        <v/>
      </c>
      <c r="AK277" s="22">
        <f>IF(preçodiario[[#This Row],[entrada BV]]=0,AK276-(SUMIFS(estoque[quantidade],estoque[fornecedor],"saída",estoque[produto],preçodiario[[#Headers],[OVO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Row],[data]]))+AK276+preçodiario[[#This Row],[entrada BV]])</f>
        <v>0</v>
      </c>
      <c r="AL277" s="22">
        <f>SUMIFS(estoque[quantidade],estoque[fornecedor],"&lt;&gt;saída",estoque[produto],preçodiario[[#Headers],[OVO VERMELHO B]],estoque[data],preçodiario[[#This Row],[data]])</f>
        <v>0</v>
      </c>
      <c r="AM277" s="20">
        <f>SUMIFS(estoque[valor total],estoque[fornecedor],"&lt;&gt;saída",estoque[produto],preçodiario[[#Headers],[OVO VERMELHO B]],estoque[data],preçodiario[[#This Row],[data]])</f>
        <v>0</v>
      </c>
      <c r="AN277" s="20">
        <f>IFERROR(preçodiario[[#This Row],[OVO VERMELHO B]]*preçodiario[[#This Row],[estoque BV]],0)</f>
        <v>0</v>
      </c>
      <c r="AO27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Row],[data]])),((AO276*AP276)+SUMIFS(estoque[valor total],estoque[produto],preçodiario[[#Headers],[OVO VERMELHO C]],estoque[data],preçodiario[[#This Row],[data]],estoque[fornecedor],"&lt;&gt;saída"))/(AP276+(SUMIFS(estoque[quantidade],estoque[produto],preçodiario[[#Headers],[OVO VERMELHO C]],estoque[fornecedor],"&lt;&gt;saída",estoque[data],preçodiario[[#This Row],[data]])))))</f>
        <v/>
      </c>
      <c r="AP277" s="22">
        <f>IF(preçodiario[[#This Row],[entrada CV]]=0,AP276-(SUMIFS(estoque[quantidade],estoque[fornecedor],"saída",estoque[produto],preçodiario[[#Headers],[OVO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Row],[data]]))+AP276+preçodiario[[#This Row],[entrada CV]])</f>
        <v>0</v>
      </c>
      <c r="AQ277" s="22">
        <f>SUMIFS(estoque[quantidade],estoque[fornecedor],"&lt;&gt;saída",estoque[produto],preçodiario[[#Headers],[OVO VERMELHO C]],estoque[data],preçodiario[[#This Row],[data]])</f>
        <v>0</v>
      </c>
      <c r="AR277" s="20">
        <f>SUMIFS(estoque[valor total],estoque[fornecedor],"&lt;&gt;saída",estoque[produto],preçodiario[[#Headers],[OVO VERMELHO C]],estoque[data],preçodiario[[#This Row],[data]])</f>
        <v>0</v>
      </c>
      <c r="AS277" s="20">
        <f>IFERROR(preçodiario[[#This Row],[OVO VERMELHO C]]*preçodiario[[#This Row],[estoque CV]],0)</f>
        <v>0</v>
      </c>
      <c r="AT27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Row],[data]])),((AT276*AU276)+SUMIFS(estoque[valor total],estoque[produto],preçodiario[[#Headers],[OVO VERMELHO EXTRA]],estoque[data],preçodiario[[#This Row],[data]],estoque[fornecedor],"&lt;&gt;saída"))/(AU276+(SUMIFS(estoque[quantidade],estoque[produto],preçodiario[[#Headers],[OVO VERMELHO EXTRA]],estoque[fornecedor],"&lt;&gt;saída",estoque[data],preçodiario[[#This Row],[data]])))))</f>
        <v/>
      </c>
      <c r="AU277" s="22">
        <f>IF(preçodiario[[#This Row],[entrada EV]]=0,AU276-(SUMIFS(estoque[quantidade],estoque[fornecedor],"saída",estoque[produto],preçodiario[[#Headers],[OVO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Row],[data]]))+AU276+preçodiario[[#This Row],[entrada EV]])</f>
        <v>0</v>
      </c>
      <c r="AV277" s="22">
        <f>SUMIFS(estoque[quantidade],estoque[fornecedor],"&lt;&gt;saída",estoque[produto],preçodiario[[#Headers],[OVO VERMELHO EXTRA]],estoque[data],preçodiario[[#This Row],[data]])</f>
        <v>0</v>
      </c>
      <c r="AW277" s="20">
        <f>SUMIFS(estoque[valor total],estoque[fornecedor],"&lt;&gt;saída",estoque[produto],preçodiario[[#Headers],[OVO VERMELHO EXTRA]],estoque[data],preçodiario[[#This Row],[data]])</f>
        <v>0</v>
      </c>
      <c r="AX277" s="20">
        <f>IFERROR(preçodiario[[#This Row],[OVO VERMELHO EXTRA]]*preçodiario[[#This Row],[estoque EV]],0)</f>
        <v>0</v>
      </c>
      <c r="AY27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Row],[data]])),((AY276*AZ276)+SUMIFS(estoque[valor total],estoque[produto],preçodiario[[#Headers],[OVO VERMELHO JUMBO]],estoque[data],preçodiario[[#This Row],[data]],estoque[fornecedor],"&lt;&gt;saída"))/(AZ276+(SUMIFS(estoque[quantidade],estoque[produto],preçodiario[[#Headers],[OVO VERMELHO JUMBO]],estoque[fornecedor],"&lt;&gt;saída",estoque[data],preçodiario[[#This Row],[data]])))))</f>
        <v/>
      </c>
      <c r="AZ277" s="22">
        <f>IF(preçodiario[[#This Row],[entrada JV]]=0,AZ276-(SUMIFS(estoque[quantidade],estoque[fornecedor],"saída",estoque[produto],preçodiario[[#Headers],[OVO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Row],[data]]))+AZ276+preçodiario[[#This Row],[entrada JV]])</f>
        <v>0</v>
      </c>
      <c r="BA277" s="22">
        <f>SUMIFS(estoque[quantidade],estoque[fornecedor],"&lt;&gt;saída",estoque[produto],preçodiario[[#Headers],[OVO VERMELHO JUMBO]],estoque[data],preçodiario[[#This Row],[data]])</f>
        <v>0</v>
      </c>
      <c r="BB277" s="20">
        <f>SUMIFS(estoque[valor total],estoque[fornecedor],"&lt;&gt;saída",estoque[produto],preçodiario[[#Headers],[OVO VERMELHO JUMBO]],estoque[data],preçodiario[[#This Row],[data]])</f>
        <v>0</v>
      </c>
      <c r="BC277" s="20">
        <f>IFERROR(preçodiario[[#This Row],[OVO VERMELHO JUMBO]]*preçodiario[[#This Row],[estoque JV]],0)</f>
        <v>0</v>
      </c>
      <c r="BD277" t="str">
        <f>TEXT(vendaAno[[#This Row],[data]],"mmm")</f>
        <v>out</v>
      </c>
      <c r="BE277" t="str">
        <f>TEXT(vendaAno[[#This Row],[data]],"ddd")</f>
        <v>sáb</v>
      </c>
      <c r="BF277" s="82">
        <f>WEEKNUM(vendaAno[[#This Row],[data]],13)</f>
        <v>40</v>
      </c>
      <c r="BG277" s="27">
        <f>preçodiario[[#This Row],[data]]</f>
        <v>46298</v>
      </c>
      <c r="BH27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Row],[data]]))/12+BJ276,"")</f>
        <v/>
      </c>
      <c r="BK277" s="79" t="str">
        <f ca="1">IF(TODAY()&gt;=vendaAno[[#This Row],[data]],IF(SUMIFS(estoque[quantidade],estoque[fornecedor],"saída",estoque[data],vendaAno[[#This Row],[data]])/12=0,AVERAGE(BK274:BK276),SUMIFS(estoque[quantidade],estoque[fornecedor],"saída",estoque[data],vendaAno[[#This Row],[data]])/12),"")</f>
        <v/>
      </c>
      <c r="BL277" s="8" t="str">
        <f ca="1">IF(vendaAno[[#This Row],[data]]&lt;=TODAY(),IF(SUMIFS(estoque[lucro],estoque[fornecedor],"saída",estoque[data],vendaAno[[#This Row],[data]])=0,AVERAGE(BL274:BL276),SUMIFS(estoque[lucro],estoque[fornecedor],"saída",estoque[data],vendaAno[[#This Row],[data]])),"")</f>
        <v/>
      </c>
      <c r="BM277" s="10" t="str">
        <f ca="1">IFERROR(vendaAno[[#This Row],[lucro]]/vendaAno[[#This Row],[valor de venda]],"")</f>
        <v/>
      </c>
      <c r="BN27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7" s="8" t="str">
        <f ca="1">IF(TODAY()&gt;=vendaAno[[#This Row],[data]],IF(vendaAno[[#This Row],[N°]]=BF276,vendaAno[[#This Row],[lucro]]-173.33+BO276,vendaAno[[#This Row],[lucro]]-150),"")</f>
        <v/>
      </c>
      <c r="BP277" s="81" t="str">
        <f ca="1">IF(TODAY()&gt;=vendaAno[[#This Row],[data]],SUM(BK271:BK277)*12,"")</f>
        <v/>
      </c>
      <c r="BQ277" s="7" t="str">
        <f ca="1">IFERROR(vendaAno[[#This Row],[lucro]]/(vendaAno[[#This Row],[venda]]*12),"")</f>
        <v/>
      </c>
    </row>
    <row r="278" spans="1:69" x14ac:dyDescent="0.25">
      <c r="A27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8" s="18" t="str">
        <f>TEXT(preçodiario[[#This Row],[data]],"MMM")</f>
        <v>out</v>
      </c>
      <c r="C278" s="18" t="str">
        <f>TEXT(preçodiario[[#This Row],[data]],"ddd")</f>
        <v>dom</v>
      </c>
      <c r="D278" s="96">
        <f>WEEKNUM(preçodiario[[#This Row],[data]],13)</f>
        <v>40</v>
      </c>
      <c r="E278" s="37">
        <v>46299</v>
      </c>
      <c r="F27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Row],[data]])),((F277*G277)+SUMIFS(estoque[valor total],estoque[produto],preçodiario[[#Headers],[OVO BRANCO A]],estoque[data],preçodiario[[#This Row],[data]],estoque[fornecedor],"&lt;&gt;saída"))/(G277+(SUMIFS(estoque[quantidade],estoque[produto],preçodiario[[#Headers],[OVO BRANCO A]],estoque[fornecedor],"&lt;&gt;saída",estoque[data],preçodiario[[#This Row],[data]])))))</f>
        <v>15.278182701652089</v>
      </c>
      <c r="G278" s="22">
        <f>IF(preçodiario[[#This Row],[entrada A]]=0,G277-(SUMIFS(estoque[quantidade],estoque[fornecedor],"saída",estoque[produto],preçodiario[[#Headers],[OVO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Row],[data]]))+G277+preçodiario[[#This Row],[entrada A]])</f>
        <v>133</v>
      </c>
      <c r="H278" s="22">
        <f>SUMIFS(estoque[quantidade],estoque[fornecedor],"&lt;&gt;saída",estoque[produto],preçodiario[[#Headers],[OVO BRANCO A]],estoque[data],preçodiario[[#This Row],[data]])</f>
        <v>0</v>
      </c>
      <c r="I278" s="20">
        <f>SUMIFS(estoque[valor total],estoque[fornecedor],"&lt;&gt;saída",estoque[produto],preçodiario[[#Headers],[OVO BRANCO A]],estoque[data],preçodiario[[#This Row],[data]])</f>
        <v>0</v>
      </c>
      <c r="J278" s="20">
        <f>IFERROR(preçodiario[[#This Row],[estoque A]]*preçodiario[[#This Row],[OVO BRANCO A]],0)</f>
        <v>2031.9982993197277</v>
      </c>
      <c r="K27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Row],[data]])),((K277*L277)+SUMIFS(estoque[valor total],estoque[produto],preçodiario[[#Headers],[OVO BRANCO B]],estoque[data],preçodiario[[#This Row],[data]],estoque[fornecedor],"&lt;&gt;saída"))/(L277+(SUMIFS(estoque[quantidade],estoque[produto],preçodiario[[#Headers],[OVO BRANCO B]],estoque[fornecedor],"&lt;&gt;saída",estoque[data],preçodiario[[#This Row],[data]])))))</f>
        <v>14.584252837326604</v>
      </c>
      <c r="L278" s="22">
        <f>IF(preçodiario[[#This Row],[entrada B]]=0,L277-(SUMIFS(estoque[quantidade],estoque[fornecedor],"saída",estoque[produto],preçodiario[[#Headers],[OVO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Row],[data]]))+L277+preçodiario[[#This Row],[entrada B]])</f>
        <v>16</v>
      </c>
      <c r="M278" s="22">
        <f>SUMIFS(estoque[quantidade],estoque[fornecedor],"&lt;&gt;saída",estoque[produto],preçodiario[[#Headers],[OVO BRANCO B]],estoque[data],preçodiario[[#This Row],[data]])</f>
        <v>0</v>
      </c>
      <c r="N278" s="20">
        <f>SUMIFS(estoque[valor total],estoque[fornecedor],"&lt;&gt;saída",estoque[produto],preçodiario[[#Headers],[OVO BRANCO B]],estoque[data],preçodiario[[#This Row],[data]])</f>
        <v>0</v>
      </c>
      <c r="O278" s="20">
        <f>IFERROR(preçodiario[[#This Row],[OVO BRANCO B]]*preçodiario[[#This Row],[estoque B]],0)</f>
        <v>233.34804539722566</v>
      </c>
      <c r="P27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Row],[data]])),((P277*Q277)+SUMIFS(estoque[valor total],estoque[produto],preçodiario[[#Headers],[OVO BRANCO C]],estoque[data],preçodiario[[#This Row],[data]],estoque[fornecedor],"&lt;&gt;saída"))/(Q277+(SUMIFS(estoque[quantidade],estoque[produto],preçodiario[[#Headers],[OVO BRANCO C]],estoque[fornecedor],"&lt;&gt;saída",estoque[data],preçodiario[[#This Row],[data]])))))</f>
        <v>12.5</v>
      </c>
      <c r="Q278" s="22">
        <f>IF(preçodiario[[#This Row],[entrada C]]=0,Q277-(SUMIFS(estoque[quantidade],estoque[fornecedor],"saída",estoque[produto],preçodiario[[#Headers],[OVO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Row],[data]]))+Q277+preçodiario[[#This Row],[entrada C]])</f>
        <v>60</v>
      </c>
      <c r="R278" s="22">
        <f>SUMIFS(estoque[quantidade],estoque[fornecedor],"&lt;&gt;saída",estoque[produto],preçodiario[[#Headers],[OVO BRANCO C]],estoque[data],preçodiario[[#This Row],[data]])</f>
        <v>0</v>
      </c>
      <c r="S278" s="20">
        <f>SUMIFS(estoque[valor total],estoque[fornecedor],"&lt;&gt;saída",estoque[produto],preçodiario[[#Headers],[OVO BRANCO C]],estoque[data],preçodiario[[#This Row],[data]])</f>
        <v>0</v>
      </c>
      <c r="T278" s="20">
        <f>IFERROR(preçodiario[[#This Row],[OVO BRANCO C]]*preçodiario[[#This Row],[estoque C]],0)</f>
        <v>750</v>
      </c>
      <c r="U27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Row],[data]])),((U277*V277)+SUMIFS(estoque[valor total],estoque[produto],preçodiario[[#Headers],[OVO BRANCO EXTRA]],estoque[data],preçodiario[[#This Row],[data]],estoque[fornecedor],"&lt;&gt;saída"))/(V277+(SUMIFS(estoque[quantidade],estoque[produto],preçodiario[[#Headers],[OVO BRANCO EXTRA]],estoque[fornecedor],"&lt;&gt;saída",estoque[data],preçodiario[[#This Row],[data]])))))</f>
        <v>15.725438400674655</v>
      </c>
      <c r="V278" s="22">
        <f>IF(preçodiario[[#This Row],[entrada E]]=0,V277-(SUMIFS(estoque[quantidade],estoque[fornecedor],"saída",estoque[produto],preçodiario[[#Headers],[OVO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Row],[data]]))+V277+preçodiario[[#This Row],[entrada E]])</f>
        <v>46</v>
      </c>
      <c r="W278" s="22">
        <f>SUMIFS(estoque[quantidade],estoque[fornecedor],"&lt;&gt;saída",estoque[produto],preçodiario[[#Headers],[OVO BRANCO EXTRA]],estoque[data],preçodiario[[#This Row],[data]])</f>
        <v>0</v>
      </c>
      <c r="X278" s="20">
        <f>SUMIFS(estoque[valor total],estoque[fornecedor],"&lt;&gt;saída",estoque[produto],preçodiario[[#Headers],[OVO BRANCO EXTRA]],estoque[data],preçodiario[[#This Row],[data]])</f>
        <v>0</v>
      </c>
      <c r="Y278" s="20">
        <f>IFERROR(preçodiario[[#This Row],[estoque E]]*preçodiario[[#This Row],[OVO BRANCO EXTRA]],0)</f>
        <v>723.37016643103414</v>
      </c>
      <c r="Z27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Row],[data]])),((Z277*AA277)+SUMIFS(estoque[valor total],estoque[produto],preçodiario[[#Headers],[OVO BRANCO JUMBO]],estoque[data],preçodiario[[#This Row],[data]],estoque[fornecedor],"&lt;&gt;saída"))/(AA277+(SUMIFS(estoque[quantidade],estoque[produto],preçodiario[[#Headers],[OVO BRANCO JUMBO]],estoque[fornecedor],"&lt;&gt;saída",estoque[data],preçodiario[[#This Row],[data]])))))</f>
        <v>16.50550595238095</v>
      </c>
      <c r="AA278" s="22">
        <f>IF(preçodiario[[#This Row],[entrada J]]=0,AA277-(SUMIFS(estoque[quantidade],estoque[fornecedor],"saída",estoque[produto],preçodiario[[#Headers],[OVO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Row],[data]]))+AA277+preçodiario[[#This Row],[entrada J]])</f>
        <v>75</v>
      </c>
      <c r="AB278" s="22">
        <f>SUMIFS(estoque[quantidade],estoque[fornecedor],"&lt;&gt;saída",estoque[produto],preçodiario[[#Headers],[OVO BRANCO JUMBO]],estoque[data],preçodiario[[#This Row],[data]])</f>
        <v>0</v>
      </c>
      <c r="AC278" s="20">
        <f>SUMIFS(estoque[valor total],estoque[fornecedor],"&lt;&gt;saída",estoque[produto],preçodiario[[#Headers],[OVO BRANCO JUMBO]],estoque[data],preçodiario[[#This Row],[data]])</f>
        <v>0</v>
      </c>
      <c r="AD278" s="20">
        <f>IFERROR(preçodiario[[#This Row],[OVO BRANCO JUMBO]]*preçodiario[[#This Row],[estoque J]],0)</f>
        <v>1237.9129464285713</v>
      </c>
      <c r="AE27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Row],[data]])),((AE277*AF277)+SUMIFS(estoque[valor total],estoque[produto],preçodiario[[#Headers],[OVO VERMELHO A]],estoque[data],preçodiario[[#This Row],[data]],estoque[fornecedor],"&lt;&gt;saída"))/(AF277+(SUMIFS(estoque[quantidade],estoque[produto],preçodiario[[#Headers],[OVO VERMELHO A]],estoque[fornecedor],"&lt;&gt;saída",estoque[data],preçodiario[[#This Row],[data]])))))</f>
        <v/>
      </c>
      <c r="AF278" s="22">
        <f>IF(preçodiario[[#This Row],[entrada AV]]=0,AF277-(SUMIFS(estoque[quantidade],estoque[fornecedor],"saída",estoque[produto],preçodiario[[#Headers],[OVO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Row],[data]]))+AF277+preçodiario[[#This Row],[entrada AV]])</f>
        <v>0</v>
      </c>
      <c r="AG278" s="22">
        <f>SUMIFS(estoque[quantidade],estoque[fornecedor],"&lt;&gt;saída",estoque[produto],preçodiario[[#Headers],[OVO VERMELHO A]],estoque[data],preçodiario[[#This Row],[data]])</f>
        <v>0</v>
      </c>
      <c r="AH278" s="20">
        <f>SUMIFS(estoque[valor total],estoque[fornecedor],"&lt;&gt;saída",estoque[produto],preçodiario[[#Headers],[OVO VERMELHO A]],estoque[data],preçodiario[[#This Row],[data]])</f>
        <v>0</v>
      </c>
      <c r="AI278" s="20">
        <f>IFERROR(preçodiario[[#This Row],[OVO VERMELHO A]]*preçodiario[[#This Row],[estoque AV]],0)</f>
        <v>0</v>
      </c>
      <c r="AJ27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Row],[data]])),((AJ277*AK277)+SUMIFS(estoque[valor total],estoque[produto],preçodiario[[#Headers],[OVO VERMELHO B]],estoque[data],preçodiario[[#This Row],[data]],estoque[fornecedor],"&lt;&gt;saída"))/(AK277+(SUMIFS(estoque[quantidade],estoque[produto],preçodiario[[#Headers],[OVO VERMELHO B]],estoque[fornecedor],"&lt;&gt;saída",estoque[data],preçodiario[[#This Row],[data]])))))</f>
        <v/>
      </c>
      <c r="AK278" s="22">
        <f>IF(preçodiario[[#This Row],[entrada BV]]=0,AK277-(SUMIFS(estoque[quantidade],estoque[fornecedor],"saída",estoque[produto],preçodiario[[#Headers],[OVO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Row],[data]]))+AK277+preçodiario[[#This Row],[entrada BV]])</f>
        <v>0</v>
      </c>
      <c r="AL278" s="22">
        <f>SUMIFS(estoque[quantidade],estoque[fornecedor],"&lt;&gt;saída",estoque[produto],preçodiario[[#Headers],[OVO VERMELHO B]],estoque[data],preçodiario[[#This Row],[data]])</f>
        <v>0</v>
      </c>
      <c r="AM278" s="20">
        <f>SUMIFS(estoque[valor total],estoque[fornecedor],"&lt;&gt;saída",estoque[produto],preçodiario[[#Headers],[OVO VERMELHO B]],estoque[data],preçodiario[[#This Row],[data]])</f>
        <v>0</v>
      </c>
      <c r="AN278" s="20">
        <f>IFERROR(preçodiario[[#This Row],[OVO VERMELHO B]]*preçodiario[[#This Row],[estoque BV]],0)</f>
        <v>0</v>
      </c>
      <c r="AO27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Row],[data]])),((AO277*AP277)+SUMIFS(estoque[valor total],estoque[produto],preçodiario[[#Headers],[OVO VERMELHO C]],estoque[data],preçodiario[[#This Row],[data]],estoque[fornecedor],"&lt;&gt;saída"))/(AP277+(SUMIFS(estoque[quantidade],estoque[produto],preçodiario[[#Headers],[OVO VERMELHO C]],estoque[fornecedor],"&lt;&gt;saída",estoque[data],preçodiario[[#This Row],[data]])))))</f>
        <v/>
      </c>
      <c r="AP278" s="22">
        <f>IF(preçodiario[[#This Row],[entrada CV]]=0,AP277-(SUMIFS(estoque[quantidade],estoque[fornecedor],"saída",estoque[produto],preçodiario[[#Headers],[OVO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Row],[data]]))+AP277+preçodiario[[#This Row],[entrada CV]])</f>
        <v>0</v>
      </c>
      <c r="AQ278" s="22">
        <f>SUMIFS(estoque[quantidade],estoque[fornecedor],"&lt;&gt;saída",estoque[produto],preçodiario[[#Headers],[OVO VERMELHO C]],estoque[data],preçodiario[[#This Row],[data]])</f>
        <v>0</v>
      </c>
      <c r="AR278" s="20">
        <f>SUMIFS(estoque[valor total],estoque[fornecedor],"&lt;&gt;saída",estoque[produto],preçodiario[[#Headers],[OVO VERMELHO C]],estoque[data],preçodiario[[#This Row],[data]])</f>
        <v>0</v>
      </c>
      <c r="AS278" s="20">
        <f>IFERROR(preçodiario[[#This Row],[OVO VERMELHO C]]*preçodiario[[#This Row],[estoque CV]],0)</f>
        <v>0</v>
      </c>
      <c r="AT27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Row],[data]])),((AT277*AU277)+SUMIFS(estoque[valor total],estoque[produto],preçodiario[[#Headers],[OVO VERMELHO EXTRA]],estoque[data],preçodiario[[#This Row],[data]],estoque[fornecedor],"&lt;&gt;saída"))/(AU277+(SUMIFS(estoque[quantidade],estoque[produto],preçodiario[[#Headers],[OVO VERMELHO EXTRA]],estoque[fornecedor],"&lt;&gt;saída",estoque[data],preçodiario[[#This Row],[data]])))))</f>
        <v/>
      </c>
      <c r="AU278" s="22">
        <f>IF(preçodiario[[#This Row],[entrada EV]]=0,AU277-(SUMIFS(estoque[quantidade],estoque[fornecedor],"saída",estoque[produto],preçodiario[[#Headers],[OVO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Row],[data]]))+AU277+preçodiario[[#This Row],[entrada EV]])</f>
        <v>0</v>
      </c>
      <c r="AV278" s="22">
        <f>SUMIFS(estoque[quantidade],estoque[fornecedor],"&lt;&gt;saída",estoque[produto],preçodiario[[#Headers],[OVO VERMELHO EXTRA]],estoque[data],preçodiario[[#This Row],[data]])</f>
        <v>0</v>
      </c>
      <c r="AW278" s="20">
        <f>SUMIFS(estoque[valor total],estoque[fornecedor],"&lt;&gt;saída",estoque[produto],preçodiario[[#Headers],[OVO VERMELHO EXTRA]],estoque[data],preçodiario[[#This Row],[data]])</f>
        <v>0</v>
      </c>
      <c r="AX278" s="20">
        <f>IFERROR(preçodiario[[#This Row],[OVO VERMELHO EXTRA]]*preçodiario[[#This Row],[estoque EV]],0)</f>
        <v>0</v>
      </c>
      <c r="AY27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Row],[data]])),((AY277*AZ277)+SUMIFS(estoque[valor total],estoque[produto],preçodiario[[#Headers],[OVO VERMELHO JUMBO]],estoque[data],preçodiario[[#This Row],[data]],estoque[fornecedor],"&lt;&gt;saída"))/(AZ277+(SUMIFS(estoque[quantidade],estoque[produto],preçodiario[[#Headers],[OVO VERMELHO JUMBO]],estoque[fornecedor],"&lt;&gt;saída",estoque[data],preçodiario[[#This Row],[data]])))))</f>
        <v/>
      </c>
      <c r="AZ278" s="22">
        <f>IF(preçodiario[[#This Row],[entrada JV]]=0,AZ277-(SUMIFS(estoque[quantidade],estoque[fornecedor],"saída",estoque[produto],preçodiario[[#Headers],[OVO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Row],[data]]))+AZ277+preçodiario[[#This Row],[entrada JV]])</f>
        <v>0</v>
      </c>
      <c r="BA278" s="22">
        <f>SUMIFS(estoque[quantidade],estoque[fornecedor],"&lt;&gt;saída",estoque[produto],preçodiario[[#Headers],[OVO VERMELHO JUMBO]],estoque[data],preçodiario[[#This Row],[data]])</f>
        <v>0</v>
      </c>
      <c r="BB278" s="20">
        <f>SUMIFS(estoque[valor total],estoque[fornecedor],"&lt;&gt;saída",estoque[produto],preçodiario[[#Headers],[OVO VERMELHO JUMBO]],estoque[data],preçodiario[[#This Row],[data]])</f>
        <v>0</v>
      </c>
      <c r="BC278" s="20">
        <f>IFERROR(preçodiario[[#This Row],[OVO VERMELHO JUMBO]]*preçodiario[[#This Row],[estoque JV]],0)</f>
        <v>0</v>
      </c>
      <c r="BD278" t="str">
        <f>TEXT(vendaAno[[#This Row],[data]],"mmm")</f>
        <v>out</v>
      </c>
      <c r="BE278" t="str">
        <f>TEXT(vendaAno[[#This Row],[data]],"ddd")</f>
        <v>dom</v>
      </c>
      <c r="BF278" s="82">
        <f>WEEKNUM(vendaAno[[#This Row],[data]],13)</f>
        <v>40</v>
      </c>
      <c r="BG278" s="27">
        <f>preçodiario[[#This Row],[data]]</f>
        <v>46299</v>
      </c>
      <c r="BH27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Row],[data]]))/12+BJ277,"")</f>
        <v/>
      </c>
      <c r="BK278" s="79" t="str">
        <f ca="1">IF(TODAY()&gt;=vendaAno[[#This Row],[data]],IF(SUMIFS(estoque[quantidade],estoque[fornecedor],"saída",estoque[data],vendaAno[[#This Row],[data]])/12=0,AVERAGE(BK275:BK277),SUMIFS(estoque[quantidade],estoque[fornecedor],"saída",estoque[data],vendaAno[[#This Row],[data]])/12),"")</f>
        <v/>
      </c>
      <c r="BL278" s="8" t="str">
        <f ca="1">IF(vendaAno[[#This Row],[data]]&lt;=TODAY(),IF(SUMIFS(estoque[lucro],estoque[fornecedor],"saída",estoque[data],vendaAno[[#This Row],[data]])=0,AVERAGE(BL275:BL277),SUMIFS(estoque[lucro],estoque[fornecedor],"saída",estoque[data],vendaAno[[#This Row],[data]])),"")</f>
        <v/>
      </c>
      <c r="BM278" s="10" t="str">
        <f ca="1">IFERROR(vendaAno[[#This Row],[lucro]]/vendaAno[[#This Row],[valor de venda]],"")</f>
        <v/>
      </c>
      <c r="BN27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8" s="8" t="str">
        <f ca="1">IF(TODAY()&gt;=vendaAno[[#This Row],[data]],IF(vendaAno[[#This Row],[N°]]=BF277,vendaAno[[#This Row],[lucro]]-173.33+BO277,vendaAno[[#This Row],[lucro]]-150),"")</f>
        <v/>
      </c>
      <c r="BP278" s="81" t="str">
        <f ca="1">IF(TODAY()&gt;=vendaAno[[#This Row],[data]],SUM(BK272:BK278)*12,"")</f>
        <v/>
      </c>
      <c r="BQ278" s="7" t="str">
        <f ca="1">IFERROR(vendaAno[[#This Row],[lucro]]/(vendaAno[[#This Row],[venda]]*12),"")</f>
        <v/>
      </c>
    </row>
    <row r="279" spans="1:69" x14ac:dyDescent="0.25">
      <c r="A27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79" s="18" t="str">
        <f>TEXT(preçodiario[[#This Row],[data]],"MMM")</f>
        <v>out</v>
      </c>
      <c r="C279" s="18" t="str">
        <f>TEXT(preçodiario[[#This Row],[data]],"ddd")</f>
        <v>seg</v>
      </c>
      <c r="D279" s="96">
        <f>WEEKNUM(preçodiario[[#This Row],[data]],13)</f>
        <v>40</v>
      </c>
      <c r="E279" s="37">
        <v>46300</v>
      </c>
      <c r="F27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Row],[data]])),((F278*G278)+SUMIFS(estoque[valor total],estoque[produto],preçodiario[[#Headers],[OVO BRANCO A]],estoque[data],preçodiario[[#This Row],[data]],estoque[fornecedor],"&lt;&gt;saída"))/(G278+(SUMIFS(estoque[quantidade],estoque[produto],preçodiario[[#Headers],[OVO BRANCO A]],estoque[fornecedor],"&lt;&gt;saída",estoque[data],preçodiario[[#This Row],[data]])))))</f>
        <v>15.278182701652089</v>
      </c>
      <c r="G279" s="22">
        <f>IF(preçodiario[[#This Row],[entrada A]]=0,G278-(SUMIFS(estoque[quantidade],estoque[fornecedor],"saída",estoque[produto],preçodiario[[#Headers],[OVO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Row],[data]]))+G278+preçodiario[[#This Row],[entrada A]])</f>
        <v>133</v>
      </c>
      <c r="H279" s="22">
        <f>SUMIFS(estoque[quantidade],estoque[fornecedor],"&lt;&gt;saída",estoque[produto],preçodiario[[#Headers],[OVO BRANCO A]],estoque[data],preçodiario[[#This Row],[data]])</f>
        <v>0</v>
      </c>
      <c r="I279" s="20">
        <f>SUMIFS(estoque[valor total],estoque[fornecedor],"&lt;&gt;saída",estoque[produto],preçodiario[[#Headers],[OVO BRANCO A]],estoque[data],preçodiario[[#This Row],[data]])</f>
        <v>0</v>
      </c>
      <c r="J279" s="20">
        <f>IFERROR(preçodiario[[#This Row],[estoque A]]*preçodiario[[#This Row],[OVO BRANCO A]],0)</f>
        <v>2031.9982993197277</v>
      </c>
      <c r="K27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Row],[data]])),((K278*L278)+SUMIFS(estoque[valor total],estoque[produto],preçodiario[[#Headers],[OVO BRANCO B]],estoque[data],preçodiario[[#This Row],[data]],estoque[fornecedor],"&lt;&gt;saída"))/(L278+(SUMIFS(estoque[quantidade],estoque[produto],preçodiario[[#Headers],[OVO BRANCO B]],estoque[fornecedor],"&lt;&gt;saída",estoque[data],preçodiario[[#This Row],[data]])))))</f>
        <v>14.584252837326604</v>
      </c>
      <c r="L279" s="22">
        <f>IF(preçodiario[[#This Row],[entrada B]]=0,L278-(SUMIFS(estoque[quantidade],estoque[fornecedor],"saída",estoque[produto],preçodiario[[#Headers],[OVO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Row],[data]]))+L278+preçodiario[[#This Row],[entrada B]])</f>
        <v>16</v>
      </c>
      <c r="M279" s="22">
        <f>SUMIFS(estoque[quantidade],estoque[fornecedor],"&lt;&gt;saída",estoque[produto],preçodiario[[#Headers],[OVO BRANCO B]],estoque[data],preçodiario[[#This Row],[data]])</f>
        <v>0</v>
      </c>
      <c r="N279" s="20">
        <f>SUMIFS(estoque[valor total],estoque[fornecedor],"&lt;&gt;saída",estoque[produto],preçodiario[[#Headers],[OVO BRANCO B]],estoque[data],preçodiario[[#This Row],[data]])</f>
        <v>0</v>
      </c>
      <c r="O279" s="20">
        <f>IFERROR(preçodiario[[#This Row],[OVO BRANCO B]]*preçodiario[[#This Row],[estoque B]],0)</f>
        <v>233.34804539722566</v>
      </c>
      <c r="P27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Row],[data]])),((P278*Q278)+SUMIFS(estoque[valor total],estoque[produto],preçodiario[[#Headers],[OVO BRANCO C]],estoque[data],preçodiario[[#This Row],[data]],estoque[fornecedor],"&lt;&gt;saída"))/(Q278+(SUMIFS(estoque[quantidade],estoque[produto],preçodiario[[#Headers],[OVO BRANCO C]],estoque[fornecedor],"&lt;&gt;saída",estoque[data],preçodiario[[#This Row],[data]])))))</f>
        <v>12.5</v>
      </c>
      <c r="Q279" s="22">
        <f>IF(preçodiario[[#This Row],[entrada C]]=0,Q278-(SUMIFS(estoque[quantidade],estoque[fornecedor],"saída",estoque[produto],preçodiario[[#Headers],[OVO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Row],[data]]))+Q278+preçodiario[[#This Row],[entrada C]])</f>
        <v>60</v>
      </c>
      <c r="R279" s="22">
        <f>SUMIFS(estoque[quantidade],estoque[fornecedor],"&lt;&gt;saída",estoque[produto],preçodiario[[#Headers],[OVO BRANCO C]],estoque[data],preçodiario[[#This Row],[data]])</f>
        <v>0</v>
      </c>
      <c r="S279" s="20">
        <f>SUMIFS(estoque[valor total],estoque[fornecedor],"&lt;&gt;saída",estoque[produto],preçodiario[[#Headers],[OVO BRANCO C]],estoque[data],preçodiario[[#This Row],[data]])</f>
        <v>0</v>
      </c>
      <c r="T279" s="20">
        <f>IFERROR(preçodiario[[#This Row],[OVO BRANCO C]]*preçodiario[[#This Row],[estoque C]],0)</f>
        <v>750</v>
      </c>
      <c r="U27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Row],[data]])),((U278*V278)+SUMIFS(estoque[valor total],estoque[produto],preçodiario[[#Headers],[OVO BRANCO EXTRA]],estoque[data],preçodiario[[#This Row],[data]],estoque[fornecedor],"&lt;&gt;saída"))/(V278+(SUMIFS(estoque[quantidade],estoque[produto],preçodiario[[#Headers],[OVO BRANCO EXTRA]],estoque[fornecedor],"&lt;&gt;saída",estoque[data],preçodiario[[#This Row],[data]])))))</f>
        <v>15.725438400674655</v>
      </c>
      <c r="V279" s="22">
        <f>IF(preçodiario[[#This Row],[entrada E]]=0,V278-(SUMIFS(estoque[quantidade],estoque[fornecedor],"saída",estoque[produto],preçodiario[[#Headers],[OVO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Row],[data]]))+V278+preçodiario[[#This Row],[entrada E]])</f>
        <v>46</v>
      </c>
      <c r="W279" s="22">
        <f>SUMIFS(estoque[quantidade],estoque[fornecedor],"&lt;&gt;saída",estoque[produto],preçodiario[[#Headers],[OVO BRANCO EXTRA]],estoque[data],preçodiario[[#This Row],[data]])</f>
        <v>0</v>
      </c>
      <c r="X279" s="20">
        <f>SUMIFS(estoque[valor total],estoque[fornecedor],"&lt;&gt;saída",estoque[produto],preçodiario[[#Headers],[OVO BRANCO EXTRA]],estoque[data],preçodiario[[#This Row],[data]])</f>
        <v>0</v>
      </c>
      <c r="Y279" s="20">
        <f>IFERROR(preçodiario[[#This Row],[estoque E]]*preçodiario[[#This Row],[OVO BRANCO EXTRA]],0)</f>
        <v>723.37016643103414</v>
      </c>
      <c r="Z27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Row],[data]])),((Z278*AA278)+SUMIFS(estoque[valor total],estoque[produto],preçodiario[[#Headers],[OVO BRANCO JUMBO]],estoque[data],preçodiario[[#This Row],[data]],estoque[fornecedor],"&lt;&gt;saída"))/(AA278+(SUMIFS(estoque[quantidade],estoque[produto],preçodiario[[#Headers],[OVO BRANCO JUMBO]],estoque[fornecedor],"&lt;&gt;saída",estoque[data],preçodiario[[#This Row],[data]])))))</f>
        <v>16.50550595238095</v>
      </c>
      <c r="AA279" s="22">
        <f>IF(preçodiario[[#This Row],[entrada J]]=0,AA278-(SUMIFS(estoque[quantidade],estoque[fornecedor],"saída",estoque[produto],preçodiario[[#Headers],[OVO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Row],[data]]))+AA278+preçodiario[[#This Row],[entrada J]])</f>
        <v>75</v>
      </c>
      <c r="AB279" s="22">
        <f>SUMIFS(estoque[quantidade],estoque[fornecedor],"&lt;&gt;saída",estoque[produto],preçodiario[[#Headers],[OVO BRANCO JUMBO]],estoque[data],preçodiario[[#This Row],[data]])</f>
        <v>0</v>
      </c>
      <c r="AC279" s="20">
        <f>SUMIFS(estoque[valor total],estoque[fornecedor],"&lt;&gt;saída",estoque[produto],preçodiario[[#Headers],[OVO BRANCO JUMBO]],estoque[data],preçodiario[[#This Row],[data]])</f>
        <v>0</v>
      </c>
      <c r="AD279" s="20">
        <f>IFERROR(preçodiario[[#This Row],[OVO BRANCO JUMBO]]*preçodiario[[#This Row],[estoque J]],0)</f>
        <v>1237.9129464285713</v>
      </c>
      <c r="AE27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Row],[data]])),((AE278*AF278)+SUMIFS(estoque[valor total],estoque[produto],preçodiario[[#Headers],[OVO VERMELHO A]],estoque[data],preçodiario[[#This Row],[data]],estoque[fornecedor],"&lt;&gt;saída"))/(AF278+(SUMIFS(estoque[quantidade],estoque[produto],preçodiario[[#Headers],[OVO VERMELHO A]],estoque[fornecedor],"&lt;&gt;saída",estoque[data],preçodiario[[#This Row],[data]])))))</f>
        <v/>
      </c>
      <c r="AF279" s="22">
        <f>IF(preçodiario[[#This Row],[entrada AV]]=0,AF278-(SUMIFS(estoque[quantidade],estoque[fornecedor],"saída",estoque[produto],preçodiario[[#Headers],[OVO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Row],[data]]))+AF278+preçodiario[[#This Row],[entrada AV]])</f>
        <v>0</v>
      </c>
      <c r="AG279" s="22">
        <f>SUMIFS(estoque[quantidade],estoque[fornecedor],"&lt;&gt;saída",estoque[produto],preçodiario[[#Headers],[OVO VERMELHO A]],estoque[data],preçodiario[[#This Row],[data]])</f>
        <v>0</v>
      </c>
      <c r="AH279" s="20">
        <f>SUMIFS(estoque[valor total],estoque[fornecedor],"&lt;&gt;saída",estoque[produto],preçodiario[[#Headers],[OVO VERMELHO A]],estoque[data],preçodiario[[#This Row],[data]])</f>
        <v>0</v>
      </c>
      <c r="AI279" s="20">
        <f>IFERROR(preçodiario[[#This Row],[OVO VERMELHO A]]*preçodiario[[#This Row],[estoque AV]],0)</f>
        <v>0</v>
      </c>
      <c r="AJ27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Row],[data]])),((AJ278*AK278)+SUMIFS(estoque[valor total],estoque[produto],preçodiario[[#Headers],[OVO VERMELHO B]],estoque[data],preçodiario[[#This Row],[data]],estoque[fornecedor],"&lt;&gt;saída"))/(AK278+(SUMIFS(estoque[quantidade],estoque[produto],preçodiario[[#Headers],[OVO VERMELHO B]],estoque[fornecedor],"&lt;&gt;saída",estoque[data],preçodiario[[#This Row],[data]])))))</f>
        <v/>
      </c>
      <c r="AK279" s="22">
        <f>IF(preçodiario[[#This Row],[entrada BV]]=0,AK278-(SUMIFS(estoque[quantidade],estoque[fornecedor],"saída",estoque[produto],preçodiario[[#Headers],[OVO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Row],[data]]))+AK278+preçodiario[[#This Row],[entrada BV]])</f>
        <v>0</v>
      </c>
      <c r="AL279" s="22">
        <f>SUMIFS(estoque[quantidade],estoque[fornecedor],"&lt;&gt;saída",estoque[produto],preçodiario[[#Headers],[OVO VERMELHO B]],estoque[data],preçodiario[[#This Row],[data]])</f>
        <v>0</v>
      </c>
      <c r="AM279" s="20">
        <f>SUMIFS(estoque[valor total],estoque[fornecedor],"&lt;&gt;saída",estoque[produto],preçodiario[[#Headers],[OVO VERMELHO B]],estoque[data],preçodiario[[#This Row],[data]])</f>
        <v>0</v>
      </c>
      <c r="AN279" s="20">
        <f>IFERROR(preçodiario[[#This Row],[OVO VERMELHO B]]*preçodiario[[#This Row],[estoque BV]],0)</f>
        <v>0</v>
      </c>
      <c r="AO27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Row],[data]])),((AO278*AP278)+SUMIFS(estoque[valor total],estoque[produto],preçodiario[[#Headers],[OVO VERMELHO C]],estoque[data],preçodiario[[#This Row],[data]],estoque[fornecedor],"&lt;&gt;saída"))/(AP278+(SUMIFS(estoque[quantidade],estoque[produto],preçodiario[[#Headers],[OVO VERMELHO C]],estoque[fornecedor],"&lt;&gt;saída",estoque[data],preçodiario[[#This Row],[data]])))))</f>
        <v/>
      </c>
      <c r="AP279" s="22">
        <f>IF(preçodiario[[#This Row],[entrada CV]]=0,AP278-(SUMIFS(estoque[quantidade],estoque[fornecedor],"saída",estoque[produto],preçodiario[[#Headers],[OVO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Row],[data]]))+AP278+preçodiario[[#This Row],[entrada CV]])</f>
        <v>0</v>
      </c>
      <c r="AQ279" s="22">
        <f>SUMIFS(estoque[quantidade],estoque[fornecedor],"&lt;&gt;saída",estoque[produto],preçodiario[[#Headers],[OVO VERMELHO C]],estoque[data],preçodiario[[#This Row],[data]])</f>
        <v>0</v>
      </c>
      <c r="AR279" s="20">
        <f>SUMIFS(estoque[valor total],estoque[fornecedor],"&lt;&gt;saída",estoque[produto],preçodiario[[#Headers],[OVO VERMELHO C]],estoque[data],preçodiario[[#This Row],[data]])</f>
        <v>0</v>
      </c>
      <c r="AS279" s="20">
        <f>IFERROR(preçodiario[[#This Row],[OVO VERMELHO C]]*preçodiario[[#This Row],[estoque CV]],0)</f>
        <v>0</v>
      </c>
      <c r="AT27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Row],[data]])),((AT278*AU278)+SUMIFS(estoque[valor total],estoque[produto],preçodiario[[#Headers],[OVO VERMELHO EXTRA]],estoque[data],preçodiario[[#This Row],[data]],estoque[fornecedor],"&lt;&gt;saída"))/(AU278+(SUMIFS(estoque[quantidade],estoque[produto],preçodiario[[#Headers],[OVO VERMELHO EXTRA]],estoque[fornecedor],"&lt;&gt;saída",estoque[data],preçodiario[[#This Row],[data]])))))</f>
        <v/>
      </c>
      <c r="AU279" s="22">
        <f>IF(preçodiario[[#This Row],[entrada EV]]=0,AU278-(SUMIFS(estoque[quantidade],estoque[fornecedor],"saída",estoque[produto],preçodiario[[#Headers],[OVO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Row],[data]]))+AU278+preçodiario[[#This Row],[entrada EV]])</f>
        <v>0</v>
      </c>
      <c r="AV279" s="22">
        <f>SUMIFS(estoque[quantidade],estoque[fornecedor],"&lt;&gt;saída",estoque[produto],preçodiario[[#Headers],[OVO VERMELHO EXTRA]],estoque[data],preçodiario[[#This Row],[data]])</f>
        <v>0</v>
      </c>
      <c r="AW279" s="20">
        <f>SUMIFS(estoque[valor total],estoque[fornecedor],"&lt;&gt;saída",estoque[produto],preçodiario[[#Headers],[OVO VERMELHO EXTRA]],estoque[data],preçodiario[[#This Row],[data]])</f>
        <v>0</v>
      </c>
      <c r="AX279" s="20">
        <f>IFERROR(preçodiario[[#This Row],[OVO VERMELHO EXTRA]]*preçodiario[[#This Row],[estoque EV]],0)</f>
        <v>0</v>
      </c>
      <c r="AY27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Row],[data]])),((AY278*AZ278)+SUMIFS(estoque[valor total],estoque[produto],preçodiario[[#Headers],[OVO VERMELHO JUMBO]],estoque[data],preçodiario[[#This Row],[data]],estoque[fornecedor],"&lt;&gt;saída"))/(AZ278+(SUMIFS(estoque[quantidade],estoque[produto],preçodiario[[#Headers],[OVO VERMELHO JUMBO]],estoque[fornecedor],"&lt;&gt;saída",estoque[data],preçodiario[[#This Row],[data]])))))</f>
        <v/>
      </c>
      <c r="AZ279" s="22">
        <f>IF(preçodiario[[#This Row],[entrada JV]]=0,AZ278-(SUMIFS(estoque[quantidade],estoque[fornecedor],"saída",estoque[produto],preçodiario[[#Headers],[OVO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Row],[data]]))+AZ278+preçodiario[[#This Row],[entrada JV]])</f>
        <v>0</v>
      </c>
      <c r="BA279" s="22">
        <f>SUMIFS(estoque[quantidade],estoque[fornecedor],"&lt;&gt;saída",estoque[produto],preçodiario[[#Headers],[OVO VERMELHO JUMBO]],estoque[data],preçodiario[[#This Row],[data]])</f>
        <v>0</v>
      </c>
      <c r="BB279" s="20">
        <f>SUMIFS(estoque[valor total],estoque[fornecedor],"&lt;&gt;saída",estoque[produto],preçodiario[[#Headers],[OVO VERMELHO JUMBO]],estoque[data],preçodiario[[#This Row],[data]])</f>
        <v>0</v>
      </c>
      <c r="BC279" s="20">
        <f>IFERROR(preçodiario[[#This Row],[OVO VERMELHO JUMBO]]*preçodiario[[#This Row],[estoque JV]],0)</f>
        <v>0</v>
      </c>
      <c r="BD279" t="str">
        <f>TEXT(vendaAno[[#This Row],[data]],"mmm")</f>
        <v>out</v>
      </c>
      <c r="BE279" t="str">
        <f>TEXT(vendaAno[[#This Row],[data]],"ddd")</f>
        <v>seg</v>
      </c>
      <c r="BF279" s="82">
        <f>WEEKNUM(vendaAno[[#This Row],[data]],13)</f>
        <v>40</v>
      </c>
      <c r="BG279" s="27">
        <f>preçodiario[[#This Row],[data]]</f>
        <v>46300</v>
      </c>
      <c r="BH27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7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7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Row],[data]]))/12+BJ278,"")</f>
        <v/>
      </c>
      <c r="BK279" s="79" t="str">
        <f ca="1">IF(TODAY()&gt;=vendaAno[[#This Row],[data]],IF(SUMIFS(estoque[quantidade],estoque[fornecedor],"saída",estoque[data],vendaAno[[#This Row],[data]])/12=0,AVERAGE(BK276:BK278),SUMIFS(estoque[quantidade],estoque[fornecedor],"saída",estoque[data],vendaAno[[#This Row],[data]])/12),"")</f>
        <v/>
      </c>
      <c r="BL279" s="8" t="str">
        <f ca="1">IF(vendaAno[[#This Row],[data]]&lt;=TODAY(),IF(SUMIFS(estoque[lucro],estoque[fornecedor],"saída",estoque[data],vendaAno[[#This Row],[data]])=0,AVERAGE(BL276:BL278),SUMIFS(estoque[lucro],estoque[fornecedor],"saída",estoque[data],vendaAno[[#This Row],[data]])),"")</f>
        <v/>
      </c>
      <c r="BM279" s="10" t="str">
        <f ca="1">IFERROR(vendaAno[[#This Row],[lucro]]/vendaAno[[#This Row],[valor de venda]],"")</f>
        <v/>
      </c>
      <c r="BN27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79" s="8" t="str">
        <f ca="1">IF(TODAY()&gt;=vendaAno[[#This Row],[data]],IF(vendaAno[[#This Row],[N°]]=BF278,vendaAno[[#This Row],[lucro]]-173.33+BO278,vendaAno[[#This Row],[lucro]]-150),"")</f>
        <v/>
      </c>
      <c r="BP279" s="81" t="str">
        <f ca="1">IF(TODAY()&gt;=vendaAno[[#This Row],[data]],SUM(BK273:BK279)*12,"")</f>
        <v/>
      </c>
      <c r="BQ279" s="7" t="str">
        <f ca="1">IFERROR(vendaAno[[#This Row],[lucro]]/(vendaAno[[#This Row],[venda]]*12),"")</f>
        <v/>
      </c>
    </row>
    <row r="280" spans="1:69" x14ac:dyDescent="0.25">
      <c r="A28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Row],[data]]-1))*A279+SUMIFS(estoque[valor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0" s="18" t="str">
        <f>TEXT(preçodiario[[#This Row],[data]],"MMM")</f>
        <v>out</v>
      </c>
      <c r="C280" s="18" t="str">
        <f>TEXT(preçodiario[[#This Row],[data]],"ddd")</f>
        <v>ter</v>
      </c>
      <c r="D280" s="96">
        <f>WEEKNUM(preçodiario[[#This Row],[data]],13)</f>
        <v>40</v>
      </c>
      <c r="E280" s="37">
        <v>46301</v>
      </c>
      <c r="F28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Row],[data]]))),IF(G279=0,SUMIFS(estoque[valor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Row],[data]])),((F279*G279)+SUMIFS(estoque[valor total],estoque[produto],preçodiario[[#Headers],[OVO BRANCO A]],estoque[data],preçodiario[[#This Row],[data]],estoque[fornecedor],"&lt;&gt;saída"))/(G279+(SUMIFS(estoque[quantidade],estoque[produto],preçodiario[[#Headers],[OVO BRANCO A]],estoque[fornecedor],"&lt;&gt;saída",estoque[data],preçodiario[[#This Row],[data]])))))</f>
        <v>15.278182701652089</v>
      </c>
      <c r="G280" s="22">
        <f>IF(preçodiario[[#This Row],[entrada A]]=0,G279-(SUMIFS(estoque[quantidade],estoque[fornecedor],"saída",estoque[produto],preçodiario[[#Headers],[OVO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Row],[data]]))+G279+preçodiario[[#This Row],[entrada A]])</f>
        <v>133</v>
      </c>
      <c r="H280" s="22">
        <f>SUMIFS(estoque[quantidade],estoque[fornecedor],"&lt;&gt;saída",estoque[produto],preçodiario[[#Headers],[OVO BRANCO A]],estoque[data],preçodiario[[#This Row],[data]])</f>
        <v>0</v>
      </c>
      <c r="I280" s="20">
        <f>SUMIFS(estoque[valor total],estoque[fornecedor],"&lt;&gt;saída",estoque[produto],preçodiario[[#Headers],[OVO BRANCO A]],estoque[data],preçodiario[[#This Row],[data]])</f>
        <v>0</v>
      </c>
      <c r="J280" s="20">
        <f>IFERROR(preçodiario[[#This Row],[estoque A]]*preçodiario[[#This Row],[OVO BRANCO A]],0)</f>
        <v>2031.9982993197277</v>
      </c>
      <c r="K28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Row],[data]]))),IF(L279=0,SUMIFS(estoque[valor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Row],[data]])),((K279*L279)+SUMIFS(estoque[valor total],estoque[produto],preçodiario[[#Headers],[OVO BRANCO B]],estoque[data],preçodiario[[#This Row],[data]],estoque[fornecedor],"&lt;&gt;saída"))/(L279+(SUMIFS(estoque[quantidade],estoque[produto],preçodiario[[#Headers],[OVO BRANCO B]],estoque[fornecedor],"&lt;&gt;saída",estoque[data],preçodiario[[#This Row],[data]])))))</f>
        <v>14.584252837326604</v>
      </c>
      <c r="L280" s="22">
        <f>IF(preçodiario[[#This Row],[entrada B]]=0,L279-(SUMIFS(estoque[quantidade],estoque[fornecedor],"saída",estoque[produto],preçodiario[[#Headers],[OVO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Row],[data]]))+L279+preçodiario[[#This Row],[entrada B]])</f>
        <v>16</v>
      </c>
      <c r="M280" s="22">
        <f>SUMIFS(estoque[quantidade],estoque[fornecedor],"&lt;&gt;saída",estoque[produto],preçodiario[[#Headers],[OVO BRANCO B]],estoque[data],preçodiario[[#This Row],[data]])</f>
        <v>0</v>
      </c>
      <c r="N280" s="20">
        <f>SUMIFS(estoque[valor total],estoque[fornecedor],"&lt;&gt;saída",estoque[produto],preçodiario[[#Headers],[OVO BRANCO B]],estoque[data],preçodiario[[#This Row],[data]])</f>
        <v>0</v>
      </c>
      <c r="O280" s="20">
        <f>IFERROR(preçodiario[[#This Row],[OVO BRANCO B]]*preçodiario[[#This Row],[estoque B]],0)</f>
        <v>233.34804539722566</v>
      </c>
      <c r="P28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Row],[data]]))),IF(Q279=0,SUMIFS(estoque[valor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Row],[data]])),((P279*Q279)+SUMIFS(estoque[valor total],estoque[produto],preçodiario[[#Headers],[OVO BRANCO C]],estoque[data],preçodiario[[#This Row],[data]],estoque[fornecedor],"&lt;&gt;saída"))/(Q279+(SUMIFS(estoque[quantidade],estoque[produto],preçodiario[[#Headers],[OVO BRANCO C]],estoque[fornecedor],"&lt;&gt;saída",estoque[data],preçodiario[[#This Row],[data]])))))</f>
        <v>12.5</v>
      </c>
      <c r="Q280" s="22">
        <f>IF(preçodiario[[#This Row],[entrada C]]=0,Q279-(SUMIFS(estoque[quantidade],estoque[fornecedor],"saída",estoque[produto],preçodiario[[#Headers],[OVO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Row],[data]]))+Q279+preçodiario[[#This Row],[entrada C]])</f>
        <v>60</v>
      </c>
      <c r="R280" s="22">
        <f>SUMIFS(estoque[quantidade],estoque[fornecedor],"&lt;&gt;saída",estoque[produto],preçodiario[[#Headers],[OVO BRANCO C]],estoque[data],preçodiario[[#This Row],[data]])</f>
        <v>0</v>
      </c>
      <c r="S280" s="20">
        <f>SUMIFS(estoque[valor total],estoque[fornecedor],"&lt;&gt;saída",estoque[produto],preçodiario[[#Headers],[OVO BRANCO C]],estoque[data],preçodiario[[#This Row],[data]])</f>
        <v>0</v>
      </c>
      <c r="T280" s="20">
        <f>IFERROR(preçodiario[[#This Row],[OVO BRANCO C]]*preçodiario[[#This Row],[estoque C]],0)</f>
        <v>750</v>
      </c>
      <c r="U28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Row],[data]]))),IF(V279=0,SUMIFS(estoque[valor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Row],[data]])),((U279*V279)+SUMIFS(estoque[valor total],estoque[produto],preçodiario[[#Headers],[OVO BRANCO EXTRA]],estoque[data],preçodiario[[#This Row],[data]],estoque[fornecedor],"&lt;&gt;saída"))/(V279+(SUMIFS(estoque[quantidade],estoque[produto],preçodiario[[#Headers],[OVO BRANCO EXTRA]],estoque[fornecedor],"&lt;&gt;saída",estoque[data],preçodiario[[#This Row],[data]])))))</f>
        <v>15.725438400674655</v>
      </c>
      <c r="V280" s="22">
        <f>IF(preçodiario[[#This Row],[entrada E]]=0,V279-(SUMIFS(estoque[quantidade],estoque[fornecedor],"saída",estoque[produto],preçodiario[[#Headers],[OVO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Row],[data]]))+V279+preçodiario[[#This Row],[entrada E]])</f>
        <v>46</v>
      </c>
      <c r="W280" s="22">
        <f>SUMIFS(estoque[quantidade],estoque[fornecedor],"&lt;&gt;saída",estoque[produto],preçodiario[[#Headers],[OVO BRANCO EXTRA]],estoque[data],preçodiario[[#This Row],[data]])</f>
        <v>0</v>
      </c>
      <c r="X280" s="20">
        <f>SUMIFS(estoque[valor total],estoque[fornecedor],"&lt;&gt;saída",estoque[produto],preçodiario[[#Headers],[OVO BRANCO EXTRA]],estoque[data],preçodiario[[#This Row],[data]])</f>
        <v>0</v>
      </c>
      <c r="Y280" s="20">
        <f>IFERROR(preçodiario[[#This Row],[estoque E]]*preçodiario[[#This Row],[OVO BRANCO EXTRA]],0)</f>
        <v>723.37016643103414</v>
      </c>
      <c r="Z28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Row],[data]]))),IF(AA279=0,SUMIFS(estoque[valor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Row],[data]])),((Z279*AA279)+SUMIFS(estoque[valor total],estoque[produto],preçodiario[[#Headers],[OVO BRANCO JUMBO]],estoque[data],preçodiario[[#This Row],[data]],estoque[fornecedor],"&lt;&gt;saída"))/(AA279+(SUMIFS(estoque[quantidade],estoque[produto],preçodiario[[#Headers],[OVO BRANCO JUMBO]],estoque[fornecedor],"&lt;&gt;saída",estoque[data],preçodiario[[#This Row],[data]])))))</f>
        <v>16.50550595238095</v>
      </c>
      <c r="AA280" s="22">
        <f>IF(preçodiario[[#This Row],[entrada J]]=0,AA279-(SUMIFS(estoque[quantidade],estoque[fornecedor],"saída",estoque[produto],preçodiario[[#Headers],[OVO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Row],[data]]))+AA279+preçodiario[[#This Row],[entrada J]])</f>
        <v>75</v>
      </c>
      <c r="AB280" s="22">
        <f>SUMIFS(estoque[quantidade],estoque[fornecedor],"&lt;&gt;saída",estoque[produto],preçodiario[[#Headers],[OVO BRANCO JUMBO]],estoque[data],preçodiario[[#This Row],[data]])</f>
        <v>0</v>
      </c>
      <c r="AC280" s="20">
        <f>SUMIFS(estoque[valor total],estoque[fornecedor],"&lt;&gt;saída",estoque[produto],preçodiario[[#Headers],[OVO BRANCO JUMBO]],estoque[data],preçodiario[[#This Row],[data]])</f>
        <v>0</v>
      </c>
      <c r="AD280" s="20">
        <f>IFERROR(preçodiario[[#This Row],[OVO BRANCO JUMBO]]*preçodiario[[#This Row],[estoque J]],0)</f>
        <v>1237.9129464285713</v>
      </c>
      <c r="AE28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Row],[data]]))),IF(AF279=0,SUMIFS(estoque[valor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Row],[data]])),((AE279*AF279)+SUMIFS(estoque[valor total],estoque[produto],preçodiario[[#Headers],[OVO VERMELHO A]],estoque[data],preçodiario[[#This Row],[data]],estoque[fornecedor],"&lt;&gt;saída"))/(AF279+(SUMIFS(estoque[quantidade],estoque[produto],preçodiario[[#Headers],[OVO VERMELHO A]],estoque[fornecedor],"&lt;&gt;saída",estoque[data],preçodiario[[#This Row],[data]])))))</f>
        <v/>
      </c>
      <c r="AF280" s="22">
        <f>IF(preçodiario[[#This Row],[entrada AV]]=0,AF279-(SUMIFS(estoque[quantidade],estoque[fornecedor],"saída",estoque[produto],preçodiario[[#Headers],[OVO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Row],[data]]))+AF279+preçodiario[[#This Row],[entrada AV]])</f>
        <v>0</v>
      </c>
      <c r="AG280" s="22">
        <f>SUMIFS(estoque[quantidade],estoque[fornecedor],"&lt;&gt;saída",estoque[produto],preçodiario[[#Headers],[OVO VERMELHO A]],estoque[data],preçodiario[[#This Row],[data]])</f>
        <v>0</v>
      </c>
      <c r="AH280" s="20">
        <f>SUMIFS(estoque[valor total],estoque[fornecedor],"&lt;&gt;saída",estoque[produto],preçodiario[[#Headers],[OVO VERMELHO A]],estoque[data],preçodiario[[#This Row],[data]])</f>
        <v>0</v>
      </c>
      <c r="AI280" s="20">
        <f>IFERROR(preçodiario[[#This Row],[OVO VERMELHO A]]*preçodiario[[#This Row],[estoque AV]],0)</f>
        <v>0</v>
      </c>
      <c r="AJ28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Row],[data]]))),IF(AK279=0,SUMIFS(estoque[valor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Row],[data]])),((AJ279*AK279)+SUMIFS(estoque[valor total],estoque[produto],preçodiario[[#Headers],[OVO VERMELHO B]],estoque[data],preçodiario[[#This Row],[data]],estoque[fornecedor],"&lt;&gt;saída"))/(AK279+(SUMIFS(estoque[quantidade],estoque[produto],preçodiario[[#Headers],[OVO VERMELHO B]],estoque[fornecedor],"&lt;&gt;saída",estoque[data],preçodiario[[#This Row],[data]])))))</f>
        <v/>
      </c>
      <c r="AK280" s="22">
        <f>IF(preçodiario[[#This Row],[entrada BV]]=0,AK279-(SUMIFS(estoque[quantidade],estoque[fornecedor],"saída",estoque[produto],preçodiario[[#Headers],[OVO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Row],[data]]))+AK279+preçodiario[[#This Row],[entrada BV]])</f>
        <v>0</v>
      </c>
      <c r="AL280" s="22">
        <f>SUMIFS(estoque[quantidade],estoque[fornecedor],"&lt;&gt;saída",estoque[produto],preçodiario[[#Headers],[OVO VERMELHO B]],estoque[data],preçodiario[[#This Row],[data]])</f>
        <v>0</v>
      </c>
      <c r="AM280" s="20">
        <f>SUMIFS(estoque[valor total],estoque[fornecedor],"&lt;&gt;saída",estoque[produto],preçodiario[[#Headers],[OVO VERMELHO B]],estoque[data],preçodiario[[#This Row],[data]])</f>
        <v>0</v>
      </c>
      <c r="AN280" s="20">
        <f>IFERROR(preçodiario[[#This Row],[OVO VERMELHO B]]*preçodiario[[#This Row],[estoque BV]],0)</f>
        <v>0</v>
      </c>
      <c r="AO28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Row],[data]]))),IF(AP279=0,SUMIFS(estoque[valor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Row],[data]])),((AO279*AP279)+SUMIFS(estoque[valor total],estoque[produto],preçodiario[[#Headers],[OVO VERMELHO C]],estoque[data],preçodiario[[#This Row],[data]],estoque[fornecedor],"&lt;&gt;saída"))/(AP279+(SUMIFS(estoque[quantidade],estoque[produto],preçodiario[[#Headers],[OVO VERMELHO C]],estoque[fornecedor],"&lt;&gt;saída",estoque[data],preçodiario[[#This Row],[data]])))))</f>
        <v/>
      </c>
      <c r="AP280" s="22">
        <f>IF(preçodiario[[#This Row],[entrada CV]]=0,AP279-(SUMIFS(estoque[quantidade],estoque[fornecedor],"saída",estoque[produto],preçodiario[[#Headers],[OVO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Row],[data]]))+AP279+preçodiario[[#This Row],[entrada CV]])</f>
        <v>0</v>
      </c>
      <c r="AQ280" s="22">
        <f>SUMIFS(estoque[quantidade],estoque[fornecedor],"&lt;&gt;saída",estoque[produto],preçodiario[[#Headers],[OVO VERMELHO C]],estoque[data],preçodiario[[#This Row],[data]])</f>
        <v>0</v>
      </c>
      <c r="AR280" s="20">
        <f>SUMIFS(estoque[valor total],estoque[fornecedor],"&lt;&gt;saída",estoque[produto],preçodiario[[#Headers],[OVO VERMELHO C]],estoque[data],preçodiario[[#This Row],[data]])</f>
        <v>0</v>
      </c>
      <c r="AS280" s="20">
        <f>IFERROR(preçodiario[[#This Row],[OVO VERMELHO C]]*preçodiario[[#This Row],[estoque CV]],0)</f>
        <v>0</v>
      </c>
      <c r="AT28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Row],[data]]))),IF(AU279=0,SUMIFS(estoque[valor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Row],[data]])),((AT279*AU279)+SUMIFS(estoque[valor total],estoque[produto],preçodiario[[#Headers],[OVO VERMELHO EXTRA]],estoque[data],preçodiario[[#This Row],[data]],estoque[fornecedor],"&lt;&gt;saída"))/(AU279+(SUMIFS(estoque[quantidade],estoque[produto],preçodiario[[#Headers],[OVO VERMELHO EXTRA]],estoque[fornecedor],"&lt;&gt;saída",estoque[data],preçodiario[[#This Row],[data]])))))</f>
        <v/>
      </c>
      <c r="AU280" s="22">
        <f>IF(preçodiario[[#This Row],[entrada EV]]=0,AU279-(SUMIFS(estoque[quantidade],estoque[fornecedor],"saída",estoque[produto],preçodiario[[#Headers],[OVO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Row],[data]]))+AU279+preçodiario[[#This Row],[entrada EV]])</f>
        <v>0</v>
      </c>
      <c r="AV280" s="22">
        <f>SUMIFS(estoque[quantidade],estoque[fornecedor],"&lt;&gt;saída",estoque[produto],preçodiario[[#Headers],[OVO VERMELHO EXTRA]],estoque[data],preçodiario[[#This Row],[data]])</f>
        <v>0</v>
      </c>
      <c r="AW280" s="20">
        <f>SUMIFS(estoque[valor total],estoque[fornecedor],"&lt;&gt;saída",estoque[produto],preçodiario[[#Headers],[OVO VERMELHO EXTRA]],estoque[data],preçodiario[[#This Row],[data]])</f>
        <v>0</v>
      </c>
      <c r="AX280" s="20">
        <f>IFERROR(preçodiario[[#This Row],[OVO VERMELHO EXTRA]]*preçodiario[[#This Row],[estoque EV]],0)</f>
        <v>0</v>
      </c>
      <c r="AY28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Row],[data]]))),IF(AZ279=0,SUMIFS(estoque[valor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Row],[data]])),((AY279*AZ279)+SUMIFS(estoque[valor total],estoque[produto],preçodiario[[#Headers],[OVO VERMELHO JUMBO]],estoque[data],preçodiario[[#This Row],[data]],estoque[fornecedor],"&lt;&gt;saída"))/(AZ279+(SUMIFS(estoque[quantidade],estoque[produto],preçodiario[[#Headers],[OVO VERMELHO JUMBO]],estoque[fornecedor],"&lt;&gt;saída",estoque[data],preçodiario[[#This Row],[data]])))))</f>
        <v/>
      </c>
      <c r="AZ280" s="22">
        <f>IF(preçodiario[[#This Row],[entrada JV]]=0,AZ279-(SUMIFS(estoque[quantidade],estoque[fornecedor],"saída",estoque[produto],preçodiario[[#Headers],[OVO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Row],[data]]))+AZ279+preçodiario[[#This Row],[entrada JV]])</f>
        <v>0</v>
      </c>
      <c r="BA280" s="22">
        <f>SUMIFS(estoque[quantidade],estoque[fornecedor],"&lt;&gt;saída",estoque[produto],preçodiario[[#Headers],[OVO VERMELHO JUMBO]],estoque[data],preçodiario[[#This Row],[data]])</f>
        <v>0</v>
      </c>
      <c r="BB280" s="20">
        <f>SUMIFS(estoque[valor total],estoque[fornecedor],"&lt;&gt;saída",estoque[produto],preçodiario[[#Headers],[OVO VERMELHO JUMBO]],estoque[data],preçodiario[[#This Row],[data]])</f>
        <v>0</v>
      </c>
      <c r="BC280" s="20">
        <f>IFERROR(preçodiario[[#This Row],[OVO VERMELHO JUMBO]]*preçodiario[[#This Row],[estoque JV]],0)</f>
        <v>0</v>
      </c>
      <c r="BD280" t="str">
        <f>TEXT(vendaAno[[#This Row],[data]],"mmm")</f>
        <v>out</v>
      </c>
      <c r="BE280" t="str">
        <f>TEXT(vendaAno[[#This Row],[data]],"ddd")</f>
        <v>ter</v>
      </c>
      <c r="BF280" s="82">
        <f>WEEKNUM(vendaAno[[#This Row],[data]],13)</f>
        <v>40</v>
      </c>
      <c r="BG280" s="27">
        <f>preçodiario[[#This Row],[data]]</f>
        <v>46301</v>
      </c>
      <c r="BH28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Row],[data]]))/12+BJ279,"")</f>
        <v/>
      </c>
      <c r="BK280" s="79" t="str">
        <f ca="1">IF(TODAY()&gt;=vendaAno[[#This Row],[data]],IF(SUMIFS(estoque[quantidade],estoque[fornecedor],"saída",estoque[data],vendaAno[[#This Row],[data]])/12=0,AVERAGE(BK277:BK279),SUMIFS(estoque[quantidade],estoque[fornecedor],"saída",estoque[data],vendaAno[[#This Row],[data]])/12),"")</f>
        <v/>
      </c>
      <c r="BL280" s="8" t="str">
        <f ca="1">IF(vendaAno[[#This Row],[data]]&lt;=TODAY(),IF(SUMIFS(estoque[lucro],estoque[fornecedor],"saída",estoque[data],vendaAno[[#This Row],[data]])=0,AVERAGE(BL277:BL279),SUMIFS(estoque[lucro],estoque[fornecedor],"saída",estoque[data],vendaAno[[#This Row],[data]])),"")</f>
        <v/>
      </c>
      <c r="BM280" s="10" t="str">
        <f ca="1">IFERROR(vendaAno[[#This Row],[lucro]]/vendaAno[[#This Row],[valor de venda]],"")</f>
        <v/>
      </c>
      <c r="BN28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0" s="8" t="str">
        <f ca="1">IF(TODAY()&gt;=vendaAno[[#This Row],[data]],IF(vendaAno[[#This Row],[N°]]=BF279,vendaAno[[#This Row],[lucro]]-173.33+BO279,vendaAno[[#This Row],[lucro]]-150),"")</f>
        <v/>
      </c>
      <c r="BP280" s="81" t="str">
        <f ca="1">IF(TODAY()&gt;=vendaAno[[#This Row],[data]],SUM(BK274:BK280)*12,"")</f>
        <v/>
      </c>
      <c r="BQ280" s="7" t="str">
        <f ca="1">IFERROR(vendaAno[[#This Row],[lucro]]/(vendaAno[[#This Row],[venda]]*12),"")</f>
        <v/>
      </c>
    </row>
    <row r="281" spans="1:69" x14ac:dyDescent="0.25">
      <c r="A28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1" s="18" t="str">
        <f>TEXT(preçodiario[[#This Row],[data]],"MMM")</f>
        <v>out</v>
      </c>
      <c r="C281" s="18" t="str">
        <f>TEXT(preçodiario[[#This Row],[data]],"ddd")</f>
        <v>qua</v>
      </c>
      <c r="D281" s="96">
        <f>WEEKNUM(preçodiario[[#This Row],[data]],13)</f>
        <v>41</v>
      </c>
      <c r="E281" s="37">
        <v>46302</v>
      </c>
      <c r="F28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Row],[data]])),((F280*G280)+SUMIFS(estoque[valor total],estoque[produto],preçodiario[[#Headers],[OVO BRANCO A]],estoque[data],preçodiario[[#This Row],[data]],estoque[fornecedor],"&lt;&gt;saída"))/(G280+(SUMIFS(estoque[quantidade],estoque[produto],preçodiario[[#Headers],[OVO BRANCO A]],estoque[fornecedor],"&lt;&gt;saída",estoque[data],preçodiario[[#This Row],[data]])))))</f>
        <v>15.278182701652089</v>
      </c>
      <c r="G281" s="22">
        <f>IF(preçodiario[[#This Row],[entrada A]]=0,G280-(SUMIFS(estoque[quantidade],estoque[fornecedor],"saída",estoque[produto],preçodiario[[#Headers],[OVO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Row],[data]]))+G280+preçodiario[[#This Row],[entrada A]])</f>
        <v>133</v>
      </c>
      <c r="H281" s="22">
        <f>SUMIFS(estoque[quantidade],estoque[fornecedor],"&lt;&gt;saída",estoque[produto],preçodiario[[#Headers],[OVO BRANCO A]],estoque[data],preçodiario[[#This Row],[data]])</f>
        <v>0</v>
      </c>
      <c r="I281" s="20">
        <f>SUMIFS(estoque[valor total],estoque[fornecedor],"&lt;&gt;saída",estoque[produto],preçodiario[[#Headers],[OVO BRANCO A]],estoque[data],preçodiario[[#This Row],[data]])</f>
        <v>0</v>
      </c>
      <c r="J281" s="20">
        <f>IFERROR(preçodiario[[#This Row],[estoque A]]*preçodiario[[#This Row],[OVO BRANCO A]],0)</f>
        <v>2031.9982993197277</v>
      </c>
      <c r="K28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Row],[data]])),((K280*L280)+SUMIFS(estoque[valor total],estoque[produto],preçodiario[[#Headers],[OVO BRANCO B]],estoque[data],preçodiario[[#This Row],[data]],estoque[fornecedor],"&lt;&gt;saída"))/(L280+(SUMIFS(estoque[quantidade],estoque[produto],preçodiario[[#Headers],[OVO BRANCO B]],estoque[fornecedor],"&lt;&gt;saída",estoque[data],preçodiario[[#This Row],[data]])))))</f>
        <v>14.584252837326604</v>
      </c>
      <c r="L281" s="22">
        <f>IF(preçodiario[[#This Row],[entrada B]]=0,L280-(SUMIFS(estoque[quantidade],estoque[fornecedor],"saída",estoque[produto],preçodiario[[#Headers],[OVO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Row],[data]]))+L280+preçodiario[[#This Row],[entrada B]])</f>
        <v>16</v>
      </c>
      <c r="M281" s="22">
        <f>SUMIFS(estoque[quantidade],estoque[fornecedor],"&lt;&gt;saída",estoque[produto],preçodiario[[#Headers],[OVO BRANCO B]],estoque[data],preçodiario[[#This Row],[data]])</f>
        <v>0</v>
      </c>
      <c r="N281" s="20">
        <f>SUMIFS(estoque[valor total],estoque[fornecedor],"&lt;&gt;saída",estoque[produto],preçodiario[[#Headers],[OVO BRANCO B]],estoque[data],preçodiario[[#This Row],[data]])</f>
        <v>0</v>
      </c>
      <c r="O281" s="20">
        <f>IFERROR(preçodiario[[#This Row],[OVO BRANCO B]]*preçodiario[[#This Row],[estoque B]],0)</f>
        <v>233.34804539722566</v>
      </c>
      <c r="P28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Row],[data]])),((P280*Q280)+SUMIFS(estoque[valor total],estoque[produto],preçodiario[[#Headers],[OVO BRANCO C]],estoque[data],preçodiario[[#This Row],[data]],estoque[fornecedor],"&lt;&gt;saída"))/(Q280+(SUMIFS(estoque[quantidade],estoque[produto],preçodiario[[#Headers],[OVO BRANCO C]],estoque[fornecedor],"&lt;&gt;saída",estoque[data],preçodiario[[#This Row],[data]])))))</f>
        <v>12.5</v>
      </c>
      <c r="Q281" s="22">
        <f>IF(preçodiario[[#This Row],[entrada C]]=0,Q280-(SUMIFS(estoque[quantidade],estoque[fornecedor],"saída",estoque[produto],preçodiario[[#Headers],[OVO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Row],[data]]))+Q280+preçodiario[[#This Row],[entrada C]])</f>
        <v>60</v>
      </c>
      <c r="R281" s="22">
        <f>SUMIFS(estoque[quantidade],estoque[fornecedor],"&lt;&gt;saída",estoque[produto],preçodiario[[#Headers],[OVO BRANCO C]],estoque[data],preçodiario[[#This Row],[data]])</f>
        <v>0</v>
      </c>
      <c r="S281" s="20">
        <f>SUMIFS(estoque[valor total],estoque[fornecedor],"&lt;&gt;saída",estoque[produto],preçodiario[[#Headers],[OVO BRANCO C]],estoque[data],preçodiario[[#This Row],[data]])</f>
        <v>0</v>
      </c>
      <c r="T281" s="20">
        <f>IFERROR(preçodiario[[#This Row],[OVO BRANCO C]]*preçodiario[[#This Row],[estoque C]],0)</f>
        <v>750</v>
      </c>
      <c r="U28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Row],[data]])),((U280*V280)+SUMIFS(estoque[valor total],estoque[produto],preçodiario[[#Headers],[OVO BRANCO EXTRA]],estoque[data],preçodiario[[#This Row],[data]],estoque[fornecedor],"&lt;&gt;saída"))/(V280+(SUMIFS(estoque[quantidade],estoque[produto],preçodiario[[#Headers],[OVO BRANCO EXTRA]],estoque[fornecedor],"&lt;&gt;saída",estoque[data],preçodiario[[#This Row],[data]])))))</f>
        <v>15.725438400674655</v>
      </c>
      <c r="V281" s="22">
        <f>IF(preçodiario[[#This Row],[entrada E]]=0,V280-(SUMIFS(estoque[quantidade],estoque[fornecedor],"saída",estoque[produto],preçodiario[[#Headers],[OVO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Row],[data]]))+V280+preçodiario[[#This Row],[entrada E]])</f>
        <v>46</v>
      </c>
      <c r="W281" s="22">
        <f>SUMIFS(estoque[quantidade],estoque[fornecedor],"&lt;&gt;saída",estoque[produto],preçodiario[[#Headers],[OVO BRANCO EXTRA]],estoque[data],preçodiario[[#This Row],[data]])</f>
        <v>0</v>
      </c>
      <c r="X281" s="20">
        <f>SUMIFS(estoque[valor total],estoque[fornecedor],"&lt;&gt;saída",estoque[produto],preçodiario[[#Headers],[OVO BRANCO EXTRA]],estoque[data],preçodiario[[#This Row],[data]])</f>
        <v>0</v>
      </c>
      <c r="Y281" s="20">
        <f>IFERROR(preçodiario[[#This Row],[estoque E]]*preçodiario[[#This Row],[OVO BRANCO EXTRA]],0)</f>
        <v>723.37016643103414</v>
      </c>
      <c r="Z28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Row],[data]])),((Z280*AA280)+SUMIFS(estoque[valor total],estoque[produto],preçodiario[[#Headers],[OVO BRANCO JUMBO]],estoque[data],preçodiario[[#This Row],[data]],estoque[fornecedor],"&lt;&gt;saída"))/(AA280+(SUMIFS(estoque[quantidade],estoque[produto],preçodiario[[#Headers],[OVO BRANCO JUMBO]],estoque[fornecedor],"&lt;&gt;saída",estoque[data],preçodiario[[#This Row],[data]])))))</f>
        <v>16.50550595238095</v>
      </c>
      <c r="AA281" s="22">
        <f>IF(preçodiario[[#This Row],[entrada J]]=0,AA280-(SUMIFS(estoque[quantidade],estoque[fornecedor],"saída",estoque[produto],preçodiario[[#Headers],[OVO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Row],[data]]))+AA280+preçodiario[[#This Row],[entrada J]])</f>
        <v>75</v>
      </c>
      <c r="AB281" s="22">
        <f>SUMIFS(estoque[quantidade],estoque[fornecedor],"&lt;&gt;saída",estoque[produto],preçodiario[[#Headers],[OVO BRANCO JUMBO]],estoque[data],preçodiario[[#This Row],[data]])</f>
        <v>0</v>
      </c>
      <c r="AC281" s="20">
        <f>SUMIFS(estoque[valor total],estoque[fornecedor],"&lt;&gt;saída",estoque[produto],preçodiario[[#Headers],[OVO BRANCO JUMBO]],estoque[data],preçodiario[[#This Row],[data]])</f>
        <v>0</v>
      </c>
      <c r="AD281" s="20">
        <f>IFERROR(preçodiario[[#This Row],[OVO BRANCO JUMBO]]*preçodiario[[#This Row],[estoque J]],0)</f>
        <v>1237.9129464285713</v>
      </c>
      <c r="AE28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Row],[data]])),((AE280*AF280)+SUMIFS(estoque[valor total],estoque[produto],preçodiario[[#Headers],[OVO VERMELHO A]],estoque[data],preçodiario[[#This Row],[data]],estoque[fornecedor],"&lt;&gt;saída"))/(AF280+(SUMIFS(estoque[quantidade],estoque[produto],preçodiario[[#Headers],[OVO VERMELHO A]],estoque[fornecedor],"&lt;&gt;saída",estoque[data],preçodiario[[#This Row],[data]])))))</f>
        <v/>
      </c>
      <c r="AF281" s="22">
        <f>IF(preçodiario[[#This Row],[entrada AV]]=0,AF280-(SUMIFS(estoque[quantidade],estoque[fornecedor],"saída",estoque[produto],preçodiario[[#Headers],[OVO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Row],[data]]))+AF280+preçodiario[[#This Row],[entrada AV]])</f>
        <v>0</v>
      </c>
      <c r="AG281" s="22">
        <f>SUMIFS(estoque[quantidade],estoque[fornecedor],"&lt;&gt;saída",estoque[produto],preçodiario[[#Headers],[OVO VERMELHO A]],estoque[data],preçodiario[[#This Row],[data]])</f>
        <v>0</v>
      </c>
      <c r="AH281" s="20">
        <f>SUMIFS(estoque[valor total],estoque[fornecedor],"&lt;&gt;saída",estoque[produto],preçodiario[[#Headers],[OVO VERMELHO A]],estoque[data],preçodiario[[#This Row],[data]])</f>
        <v>0</v>
      </c>
      <c r="AI281" s="20">
        <f>IFERROR(preçodiario[[#This Row],[OVO VERMELHO A]]*preçodiario[[#This Row],[estoque AV]],0)</f>
        <v>0</v>
      </c>
      <c r="AJ28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Row],[data]])),((AJ280*AK280)+SUMIFS(estoque[valor total],estoque[produto],preçodiario[[#Headers],[OVO VERMELHO B]],estoque[data],preçodiario[[#This Row],[data]],estoque[fornecedor],"&lt;&gt;saída"))/(AK280+(SUMIFS(estoque[quantidade],estoque[produto],preçodiario[[#Headers],[OVO VERMELHO B]],estoque[fornecedor],"&lt;&gt;saída",estoque[data],preçodiario[[#This Row],[data]])))))</f>
        <v/>
      </c>
      <c r="AK281" s="22">
        <f>IF(preçodiario[[#This Row],[entrada BV]]=0,AK280-(SUMIFS(estoque[quantidade],estoque[fornecedor],"saída",estoque[produto],preçodiario[[#Headers],[OVO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Row],[data]]))+AK280+preçodiario[[#This Row],[entrada BV]])</f>
        <v>0</v>
      </c>
      <c r="AL281" s="22">
        <f>SUMIFS(estoque[quantidade],estoque[fornecedor],"&lt;&gt;saída",estoque[produto],preçodiario[[#Headers],[OVO VERMELHO B]],estoque[data],preçodiario[[#This Row],[data]])</f>
        <v>0</v>
      </c>
      <c r="AM281" s="20">
        <f>SUMIFS(estoque[valor total],estoque[fornecedor],"&lt;&gt;saída",estoque[produto],preçodiario[[#Headers],[OVO VERMELHO B]],estoque[data],preçodiario[[#This Row],[data]])</f>
        <v>0</v>
      </c>
      <c r="AN281" s="20">
        <f>IFERROR(preçodiario[[#This Row],[OVO VERMELHO B]]*preçodiario[[#This Row],[estoque BV]],0)</f>
        <v>0</v>
      </c>
      <c r="AO28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Row],[data]])),((AO280*AP280)+SUMIFS(estoque[valor total],estoque[produto],preçodiario[[#Headers],[OVO VERMELHO C]],estoque[data],preçodiario[[#This Row],[data]],estoque[fornecedor],"&lt;&gt;saída"))/(AP280+(SUMIFS(estoque[quantidade],estoque[produto],preçodiario[[#Headers],[OVO VERMELHO C]],estoque[fornecedor],"&lt;&gt;saída",estoque[data],preçodiario[[#This Row],[data]])))))</f>
        <v/>
      </c>
      <c r="AP281" s="22">
        <f>IF(preçodiario[[#This Row],[entrada CV]]=0,AP280-(SUMIFS(estoque[quantidade],estoque[fornecedor],"saída",estoque[produto],preçodiario[[#Headers],[OVO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Row],[data]]))+AP280+preçodiario[[#This Row],[entrada CV]])</f>
        <v>0</v>
      </c>
      <c r="AQ281" s="22">
        <f>SUMIFS(estoque[quantidade],estoque[fornecedor],"&lt;&gt;saída",estoque[produto],preçodiario[[#Headers],[OVO VERMELHO C]],estoque[data],preçodiario[[#This Row],[data]])</f>
        <v>0</v>
      </c>
      <c r="AR281" s="20">
        <f>SUMIFS(estoque[valor total],estoque[fornecedor],"&lt;&gt;saída",estoque[produto],preçodiario[[#Headers],[OVO VERMELHO C]],estoque[data],preçodiario[[#This Row],[data]])</f>
        <v>0</v>
      </c>
      <c r="AS281" s="20">
        <f>IFERROR(preçodiario[[#This Row],[OVO VERMELHO C]]*preçodiario[[#This Row],[estoque CV]],0)</f>
        <v>0</v>
      </c>
      <c r="AT28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Row],[data]])),((AT280*AU280)+SUMIFS(estoque[valor total],estoque[produto],preçodiario[[#Headers],[OVO VERMELHO EXTRA]],estoque[data],preçodiario[[#This Row],[data]],estoque[fornecedor],"&lt;&gt;saída"))/(AU280+(SUMIFS(estoque[quantidade],estoque[produto],preçodiario[[#Headers],[OVO VERMELHO EXTRA]],estoque[fornecedor],"&lt;&gt;saída",estoque[data],preçodiario[[#This Row],[data]])))))</f>
        <v/>
      </c>
      <c r="AU281" s="22">
        <f>IF(preçodiario[[#This Row],[entrada EV]]=0,AU280-(SUMIFS(estoque[quantidade],estoque[fornecedor],"saída",estoque[produto],preçodiario[[#Headers],[OVO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Row],[data]]))+AU280+preçodiario[[#This Row],[entrada EV]])</f>
        <v>0</v>
      </c>
      <c r="AV281" s="22">
        <f>SUMIFS(estoque[quantidade],estoque[fornecedor],"&lt;&gt;saída",estoque[produto],preçodiario[[#Headers],[OVO VERMELHO EXTRA]],estoque[data],preçodiario[[#This Row],[data]])</f>
        <v>0</v>
      </c>
      <c r="AW281" s="20">
        <f>SUMIFS(estoque[valor total],estoque[fornecedor],"&lt;&gt;saída",estoque[produto],preçodiario[[#Headers],[OVO VERMELHO EXTRA]],estoque[data],preçodiario[[#This Row],[data]])</f>
        <v>0</v>
      </c>
      <c r="AX281" s="20">
        <f>IFERROR(preçodiario[[#This Row],[OVO VERMELHO EXTRA]]*preçodiario[[#This Row],[estoque EV]],0)</f>
        <v>0</v>
      </c>
      <c r="AY28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Row],[data]])),((AY280*AZ280)+SUMIFS(estoque[valor total],estoque[produto],preçodiario[[#Headers],[OVO VERMELHO JUMBO]],estoque[data],preçodiario[[#This Row],[data]],estoque[fornecedor],"&lt;&gt;saída"))/(AZ280+(SUMIFS(estoque[quantidade],estoque[produto],preçodiario[[#Headers],[OVO VERMELHO JUMBO]],estoque[fornecedor],"&lt;&gt;saída",estoque[data],preçodiario[[#This Row],[data]])))))</f>
        <v/>
      </c>
      <c r="AZ281" s="22">
        <f>IF(preçodiario[[#This Row],[entrada JV]]=0,AZ280-(SUMIFS(estoque[quantidade],estoque[fornecedor],"saída",estoque[produto],preçodiario[[#Headers],[OVO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Row],[data]]))+AZ280+preçodiario[[#This Row],[entrada JV]])</f>
        <v>0</v>
      </c>
      <c r="BA281" s="22">
        <f>SUMIFS(estoque[quantidade],estoque[fornecedor],"&lt;&gt;saída",estoque[produto],preçodiario[[#Headers],[OVO VERMELHO JUMBO]],estoque[data],preçodiario[[#This Row],[data]])</f>
        <v>0</v>
      </c>
      <c r="BB281" s="20">
        <f>SUMIFS(estoque[valor total],estoque[fornecedor],"&lt;&gt;saída",estoque[produto],preçodiario[[#Headers],[OVO VERMELHO JUMBO]],estoque[data],preçodiario[[#This Row],[data]])</f>
        <v>0</v>
      </c>
      <c r="BC281" s="20">
        <f>IFERROR(preçodiario[[#This Row],[OVO VERMELHO JUMBO]]*preçodiario[[#This Row],[estoque JV]],0)</f>
        <v>0</v>
      </c>
      <c r="BD281" t="str">
        <f>TEXT(vendaAno[[#This Row],[data]],"mmm")</f>
        <v>out</v>
      </c>
      <c r="BE281" t="str">
        <f>TEXT(vendaAno[[#This Row],[data]],"ddd")</f>
        <v>qua</v>
      </c>
      <c r="BF281" s="82">
        <f>WEEKNUM(vendaAno[[#This Row],[data]],13)</f>
        <v>41</v>
      </c>
      <c r="BG281" s="27">
        <f>preçodiario[[#This Row],[data]]</f>
        <v>46302</v>
      </c>
      <c r="BH28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Row],[data]]))/12+BJ280,"")</f>
        <v/>
      </c>
      <c r="BK281" s="79" t="str">
        <f ca="1">IF(TODAY()&gt;=vendaAno[[#This Row],[data]],IF(SUMIFS(estoque[quantidade],estoque[fornecedor],"saída",estoque[data],vendaAno[[#This Row],[data]])/12=0,AVERAGE(BK278:BK280),SUMIFS(estoque[quantidade],estoque[fornecedor],"saída",estoque[data],vendaAno[[#This Row],[data]])/12),"")</f>
        <v/>
      </c>
      <c r="BL281" s="8" t="str">
        <f ca="1">IF(vendaAno[[#This Row],[data]]&lt;=TODAY(),IF(SUMIFS(estoque[lucro],estoque[fornecedor],"saída",estoque[data],vendaAno[[#This Row],[data]])=0,AVERAGE(BL278:BL280),SUMIFS(estoque[lucro],estoque[fornecedor],"saída",estoque[data],vendaAno[[#This Row],[data]])),"")</f>
        <v/>
      </c>
      <c r="BM281" s="10" t="str">
        <f ca="1">IFERROR(vendaAno[[#This Row],[lucro]]/vendaAno[[#This Row],[valor de venda]],"")</f>
        <v/>
      </c>
      <c r="BN28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1" s="8" t="str">
        <f ca="1">IF(TODAY()&gt;=vendaAno[[#This Row],[data]],IF(vendaAno[[#This Row],[N°]]=BF280,vendaAno[[#This Row],[lucro]]-173.33+BO280,vendaAno[[#This Row],[lucro]]-150),"")</f>
        <v/>
      </c>
      <c r="BP281" s="81" t="str">
        <f ca="1">IF(TODAY()&gt;=vendaAno[[#This Row],[data]],SUM(BK275:BK281)*12,"")</f>
        <v/>
      </c>
      <c r="BQ281" s="7" t="str">
        <f ca="1">IFERROR(vendaAno[[#This Row],[lucro]]/(vendaAno[[#This Row],[venda]]*12),"")</f>
        <v/>
      </c>
    </row>
    <row r="282" spans="1:69" x14ac:dyDescent="0.25">
      <c r="A28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2" s="18" t="str">
        <f>TEXT(preçodiario[[#This Row],[data]],"MMM")</f>
        <v>out</v>
      </c>
      <c r="C282" s="18" t="str">
        <f>TEXT(preçodiario[[#This Row],[data]],"ddd")</f>
        <v>qui</v>
      </c>
      <c r="D282" s="96">
        <f>WEEKNUM(preçodiario[[#This Row],[data]],13)</f>
        <v>41</v>
      </c>
      <c r="E282" s="37">
        <v>46303</v>
      </c>
      <c r="F28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Row],[data]])),((F281*G281)+SUMIFS(estoque[valor total],estoque[produto],preçodiario[[#Headers],[OVO BRANCO A]],estoque[data],preçodiario[[#This Row],[data]],estoque[fornecedor],"&lt;&gt;saída"))/(G281+(SUMIFS(estoque[quantidade],estoque[produto],preçodiario[[#Headers],[OVO BRANCO A]],estoque[fornecedor],"&lt;&gt;saída",estoque[data],preçodiario[[#This Row],[data]])))))</f>
        <v>15.278182701652089</v>
      </c>
      <c r="G282" s="22">
        <f>IF(preçodiario[[#This Row],[entrada A]]=0,G281-(SUMIFS(estoque[quantidade],estoque[fornecedor],"saída",estoque[produto],preçodiario[[#Headers],[OVO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Row],[data]]))+G281+preçodiario[[#This Row],[entrada A]])</f>
        <v>133</v>
      </c>
      <c r="H282" s="22">
        <f>SUMIFS(estoque[quantidade],estoque[fornecedor],"&lt;&gt;saída",estoque[produto],preçodiario[[#Headers],[OVO BRANCO A]],estoque[data],preçodiario[[#This Row],[data]])</f>
        <v>0</v>
      </c>
      <c r="I282" s="20">
        <f>SUMIFS(estoque[valor total],estoque[fornecedor],"&lt;&gt;saída",estoque[produto],preçodiario[[#Headers],[OVO BRANCO A]],estoque[data],preçodiario[[#This Row],[data]])</f>
        <v>0</v>
      </c>
      <c r="J282" s="20">
        <f>IFERROR(preçodiario[[#This Row],[estoque A]]*preçodiario[[#This Row],[OVO BRANCO A]],0)</f>
        <v>2031.9982993197277</v>
      </c>
      <c r="K28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Row],[data]])),((K281*L281)+SUMIFS(estoque[valor total],estoque[produto],preçodiario[[#Headers],[OVO BRANCO B]],estoque[data],preçodiario[[#This Row],[data]],estoque[fornecedor],"&lt;&gt;saída"))/(L281+(SUMIFS(estoque[quantidade],estoque[produto],preçodiario[[#Headers],[OVO BRANCO B]],estoque[fornecedor],"&lt;&gt;saída",estoque[data],preçodiario[[#This Row],[data]])))))</f>
        <v>14.584252837326604</v>
      </c>
      <c r="L282" s="22">
        <f>IF(preçodiario[[#This Row],[entrada B]]=0,L281-(SUMIFS(estoque[quantidade],estoque[fornecedor],"saída",estoque[produto],preçodiario[[#Headers],[OVO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Row],[data]]))+L281+preçodiario[[#This Row],[entrada B]])</f>
        <v>16</v>
      </c>
      <c r="M282" s="22">
        <f>SUMIFS(estoque[quantidade],estoque[fornecedor],"&lt;&gt;saída",estoque[produto],preçodiario[[#Headers],[OVO BRANCO B]],estoque[data],preçodiario[[#This Row],[data]])</f>
        <v>0</v>
      </c>
      <c r="N282" s="20">
        <f>SUMIFS(estoque[valor total],estoque[fornecedor],"&lt;&gt;saída",estoque[produto],preçodiario[[#Headers],[OVO BRANCO B]],estoque[data],preçodiario[[#This Row],[data]])</f>
        <v>0</v>
      </c>
      <c r="O282" s="20">
        <f>IFERROR(preçodiario[[#This Row],[OVO BRANCO B]]*preçodiario[[#This Row],[estoque B]],0)</f>
        <v>233.34804539722566</v>
      </c>
      <c r="P28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Row],[data]])),((P281*Q281)+SUMIFS(estoque[valor total],estoque[produto],preçodiario[[#Headers],[OVO BRANCO C]],estoque[data],preçodiario[[#This Row],[data]],estoque[fornecedor],"&lt;&gt;saída"))/(Q281+(SUMIFS(estoque[quantidade],estoque[produto],preçodiario[[#Headers],[OVO BRANCO C]],estoque[fornecedor],"&lt;&gt;saída",estoque[data],preçodiario[[#This Row],[data]])))))</f>
        <v>12.5</v>
      </c>
      <c r="Q282" s="22">
        <f>IF(preçodiario[[#This Row],[entrada C]]=0,Q281-(SUMIFS(estoque[quantidade],estoque[fornecedor],"saída",estoque[produto],preçodiario[[#Headers],[OVO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Row],[data]]))+Q281+preçodiario[[#This Row],[entrada C]])</f>
        <v>60</v>
      </c>
      <c r="R282" s="22">
        <f>SUMIFS(estoque[quantidade],estoque[fornecedor],"&lt;&gt;saída",estoque[produto],preçodiario[[#Headers],[OVO BRANCO C]],estoque[data],preçodiario[[#This Row],[data]])</f>
        <v>0</v>
      </c>
      <c r="S282" s="20">
        <f>SUMIFS(estoque[valor total],estoque[fornecedor],"&lt;&gt;saída",estoque[produto],preçodiario[[#Headers],[OVO BRANCO C]],estoque[data],preçodiario[[#This Row],[data]])</f>
        <v>0</v>
      </c>
      <c r="T282" s="20">
        <f>IFERROR(preçodiario[[#This Row],[OVO BRANCO C]]*preçodiario[[#This Row],[estoque C]],0)</f>
        <v>750</v>
      </c>
      <c r="U28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Row],[data]])),((U281*V281)+SUMIFS(estoque[valor total],estoque[produto],preçodiario[[#Headers],[OVO BRANCO EXTRA]],estoque[data],preçodiario[[#This Row],[data]],estoque[fornecedor],"&lt;&gt;saída"))/(V281+(SUMIFS(estoque[quantidade],estoque[produto],preçodiario[[#Headers],[OVO BRANCO EXTRA]],estoque[fornecedor],"&lt;&gt;saída",estoque[data],preçodiario[[#This Row],[data]])))))</f>
        <v>15.725438400674655</v>
      </c>
      <c r="V282" s="22">
        <f>IF(preçodiario[[#This Row],[entrada E]]=0,V281-(SUMIFS(estoque[quantidade],estoque[fornecedor],"saída",estoque[produto],preçodiario[[#Headers],[OVO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Row],[data]]))+V281+preçodiario[[#This Row],[entrada E]])</f>
        <v>46</v>
      </c>
      <c r="W282" s="22">
        <f>SUMIFS(estoque[quantidade],estoque[fornecedor],"&lt;&gt;saída",estoque[produto],preçodiario[[#Headers],[OVO BRANCO EXTRA]],estoque[data],preçodiario[[#This Row],[data]])</f>
        <v>0</v>
      </c>
      <c r="X282" s="20">
        <f>SUMIFS(estoque[valor total],estoque[fornecedor],"&lt;&gt;saída",estoque[produto],preçodiario[[#Headers],[OVO BRANCO EXTRA]],estoque[data],preçodiario[[#This Row],[data]])</f>
        <v>0</v>
      </c>
      <c r="Y282" s="20">
        <f>IFERROR(preçodiario[[#This Row],[estoque E]]*preçodiario[[#This Row],[OVO BRANCO EXTRA]],0)</f>
        <v>723.37016643103414</v>
      </c>
      <c r="Z28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Row],[data]])),((Z281*AA281)+SUMIFS(estoque[valor total],estoque[produto],preçodiario[[#Headers],[OVO BRANCO JUMBO]],estoque[data],preçodiario[[#This Row],[data]],estoque[fornecedor],"&lt;&gt;saída"))/(AA281+(SUMIFS(estoque[quantidade],estoque[produto],preçodiario[[#Headers],[OVO BRANCO JUMBO]],estoque[fornecedor],"&lt;&gt;saída",estoque[data],preçodiario[[#This Row],[data]])))))</f>
        <v>16.50550595238095</v>
      </c>
      <c r="AA282" s="22">
        <f>IF(preçodiario[[#This Row],[entrada J]]=0,AA281-(SUMIFS(estoque[quantidade],estoque[fornecedor],"saída",estoque[produto],preçodiario[[#Headers],[OVO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Row],[data]]))+AA281+preçodiario[[#This Row],[entrada J]])</f>
        <v>75</v>
      </c>
      <c r="AB282" s="22">
        <f>SUMIFS(estoque[quantidade],estoque[fornecedor],"&lt;&gt;saída",estoque[produto],preçodiario[[#Headers],[OVO BRANCO JUMBO]],estoque[data],preçodiario[[#This Row],[data]])</f>
        <v>0</v>
      </c>
      <c r="AC282" s="20">
        <f>SUMIFS(estoque[valor total],estoque[fornecedor],"&lt;&gt;saída",estoque[produto],preçodiario[[#Headers],[OVO BRANCO JUMBO]],estoque[data],preçodiario[[#This Row],[data]])</f>
        <v>0</v>
      </c>
      <c r="AD282" s="20">
        <f>IFERROR(preçodiario[[#This Row],[OVO BRANCO JUMBO]]*preçodiario[[#This Row],[estoque J]],0)</f>
        <v>1237.9129464285713</v>
      </c>
      <c r="AE28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Row],[data]])),((AE281*AF281)+SUMIFS(estoque[valor total],estoque[produto],preçodiario[[#Headers],[OVO VERMELHO A]],estoque[data],preçodiario[[#This Row],[data]],estoque[fornecedor],"&lt;&gt;saída"))/(AF281+(SUMIFS(estoque[quantidade],estoque[produto],preçodiario[[#Headers],[OVO VERMELHO A]],estoque[fornecedor],"&lt;&gt;saída",estoque[data],preçodiario[[#This Row],[data]])))))</f>
        <v/>
      </c>
      <c r="AF282" s="22">
        <f>IF(preçodiario[[#This Row],[entrada AV]]=0,AF281-(SUMIFS(estoque[quantidade],estoque[fornecedor],"saída",estoque[produto],preçodiario[[#Headers],[OVO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Row],[data]]))+AF281+preçodiario[[#This Row],[entrada AV]])</f>
        <v>0</v>
      </c>
      <c r="AG282" s="22">
        <f>SUMIFS(estoque[quantidade],estoque[fornecedor],"&lt;&gt;saída",estoque[produto],preçodiario[[#Headers],[OVO VERMELHO A]],estoque[data],preçodiario[[#This Row],[data]])</f>
        <v>0</v>
      </c>
      <c r="AH282" s="20">
        <f>SUMIFS(estoque[valor total],estoque[fornecedor],"&lt;&gt;saída",estoque[produto],preçodiario[[#Headers],[OVO VERMELHO A]],estoque[data],preçodiario[[#This Row],[data]])</f>
        <v>0</v>
      </c>
      <c r="AI282" s="20">
        <f>IFERROR(preçodiario[[#This Row],[OVO VERMELHO A]]*preçodiario[[#This Row],[estoque AV]],0)</f>
        <v>0</v>
      </c>
      <c r="AJ28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Row],[data]])),((AJ281*AK281)+SUMIFS(estoque[valor total],estoque[produto],preçodiario[[#Headers],[OVO VERMELHO B]],estoque[data],preçodiario[[#This Row],[data]],estoque[fornecedor],"&lt;&gt;saída"))/(AK281+(SUMIFS(estoque[quantidade],estoque[produto],preçodiario[[#Headers],[OVO VERMELHO B]],estoque[fornecedor],"&lt;&gt;saída",estoque[data],preçodiario[[#This Row],[data]])))))</f>
        <v/>
      </c>
      <c r="AK282" s="22">
        <f>IF(preçodiario[[#This Row],[entrada BV]]=0,AK281-(SUMIFS(estoque[quantidade],estoque[fornecedor],"saída",estoque[produto],preçodiario[[#Headers],[OVO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Row],[data]]))+AK281+preçodiario[[#This Row],[entrada BV]])</f>
        <v>0</v>
      </c>
      <c r="AL282" s="22">
        <f>SUMIFS(estoque[quantidade],estoque[fornecedor],"&lt;&gt;saída",estoque[produto],preçodiario[[#Headers],[OVO VERMELHO B]],estoque[data],preçodiario[[#This Row],[data]])</f>
        <v>0</v>
      </c>
      <c r="AM282" s="20">
        <f>SUMIFS(estoque[valor total],estoque[fornecedor],"&lt;&gt;saída",estoque[produto],preçodiario[[#Headers],[OVO VERMELHO B]],estoque[data],preçodiario[[#This Row],[data]])</f>
        <v>0</v>
      </c>
      <c r="AN282" s="20">
        <f>IFERROR(preçodiario[[#This Row],[OVO VERMELHO B]]*preçodiario[[#This Row],[estoque BV]],0)</f>
        <v>0</v>
      </c>
      <c r="AO28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Row],[data]])),((AO281*AP281)+SUMIFS(estoque[valor total],estoque[produto],preçodiario[[#Headers],[OVO VERMELHO C]],estoque[data],preçodiario[[#This Row],[data]],estoque[fornecedor],"&lt;&gt;saída"))/(AP281+(SUMIFS(estoque[quantidade],estoque[produto],preçodiario[[#Headers],[OVO VERMELHO C]],estoque[fornecedor],"&lt;&gt;saída",estoque[data],preçodiario[[#This Row],[data]])))))</f>
        <v/>
      </c>
      <c r="AP282" s="22">
        <f>IF(preçodiario[[#This Row],[entrada CV]]=0,AP281-(SUMIFS(estoque[quantidade],estoque[fornecedor],"saída",estoque[produto],preçodiario[[#Headers],[OVO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Row],[data]]))+AP281+preçodiario[[#This Row],[entrada CV]])</f>
        <v>0</v>
      </c>
      <c r="AQ282" s="22">
        <f>SUMIFS(estoque[quantidade],estoque[fornecedor],"&lt;&gt;saída",estoque[produto],preçodiario[[#Headers],[OVO VERMELHO C]],estoque[data],preçodiario[[#This Row],[data]])</f>
        <v>0</v>
      </c>
      <c r="AR282" s="20">
        <f>SUMIFS(estoque[valor total],estoque[fornecedor],"&lt;&gt;saída",estoque[produto],preçodiario[[#Headers],[OVO VERMELHO C]],estoque[data],preçodiario[[#This Row],[data]])</f>
        <v>0</v>
      </c>
      <c r="AS282" s="20">
        <f>IFERROR(preçodiario[[#This Row],[OVO VERMELHO C]]*preçodiario[[#This Row],[estoque CV]],0)</f>
        <v>0</v>
      </c>
      <c r="AT28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Row],[data]])),((AT281*AU281)+SUMIFS(estoque[valor total],estoque[produto],preçodiario[[#Headers],[OVO VERMELHO EXTRA]],estoque[data],preçodiario[[#This Row],[data]],estoque[fornecedor],"&lt;&gt;saída"))/(AU281+(SUMIFS(estoque[quantidade],estoque[produto],preçodiario[[#Headers],[OVO VERMELHO EXTRA]],estoque[fornecedor],"&lt;&gt;saída",estoque[data],preçodiario[[#This Row],[data]])))))</f>
        <v/>
      </c>
      <c r="AU282" s="22">
        <f>IF(preçodiario[[#This Row],[entrada EV]]=0,AU281-(SUMIFS(estoque[quantidade],estoque[fornecedor],"saída",estoque[produto],preçodiario[[#Headers],[OVO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Row],[data]]))+AU281+preçodiario[[#This Row],[entrada EV]])</f>
        <v>0</v>
      </c>
      <c r="AV282" s="22">
        <f>SUMIFS(estoque[quantidade],estoque[fornecedor],"&lt;&gt;saída",estoque[produto],preçodiario[[#Headers],[OVO VERMELHO EXTRA]],estoque[data],preçodiario[[#This Row],[data]])</f>
        <v>0</v>
      </c>
      <c r="AW282" s="20">
        <f>SUMIFS(estoque[valor total],estoque[fornecedor],"&lt;&gt;saída",estoque[produto],preçodiario[[#Headers],[OVO VERMELHO EXTRA]],estoque[data],preçodiario[[#This Row],[data]])</f>
        <v>0</v>
      </c>
      <c r="AX282" s="20">
        <f>IFERROR(preçodiario[[#This Row],[OVO VERMELHO EXTRA]]*preçodiario[[#This Row],[estoque EV]],0)</f>
        <v>0</v>
      </c>
      <c r="AY28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Row],[data]])),((AY281*AZ281)+SUMIFS(estoque[valor total],estoque[produto],preçodiario[[#Headers],[OVO VERMELHO JUMBO]],estoque[data],preçodiario[[#This Row],[data]],estoque[fornecedor],"&lt;&gt;saída"))/(AZ281+(SUMIFS(estoque[quantidade],estoque[produto],preçodiario[[#Headers],[OVO VERMELHO JUMBO]],estoque[fornecedor],"&lt;&gt;saída",estoque[data],preçodiario[[#This Row],[data]])))))</f>
        <v/>
      </c>
      <c r="AZ282" s="22">
        <f>IF(preçodiario[[#This Row],[entrada JV]]=0,AZ281-(SUMIFS(estoque[quantidade],estoque[fornecedor],"saída",estoque[produto],preçodiario[[#Headers],[OVO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Row],[data]]))+AZ281+preçodiario[[#This Row],[entrada JV]])</f>
        <v>0</v>
      </c>
      <c r="BA282" s="22">
        <f>SUMIFS(estoque[quantidade],estoque[fornecedor],"&lt;&gt;saída",estoque[produto],preçodiario[[#Headers],[OVO VERMELHO JUMBO]],estoque[data],preçodiario[[#This Row],[data]])</f>
        <v>0</v>
      </c>
      <c r="BB282" s="20">
        <f>SUMIFS(estoque[valor total],estoque[fornecedor],"&lt;&gt;saída",estoque[produto],preçodiario[[#Headers],[OVO VERMELHO JUMBO]],estoque[data],preçodiario[[#This Row],[data]])</f>
        <v>0</v>
      </c>
      <c r="BC282" s="20">
        <f>IFERROR(preçodiario[[#This Row],[OVO VERMELHO JUMBO]]*preçodiario[[#This Row],[estoque JV]],0)</f>
        <v>0</v>
      </c>
      <c r="BD282" t="str">
        <f>TEXT(vendaAno[[#This Row],[data]],"mmm")</f>
        <v>out</v>
      </c>
      <c r="BE282" t="str">
        <f>TEXT(vendaAno[[#This Row],[data]],"ddd")</f>
        <v>qui</v>
      </c>
      <c r="BF282" s="82">
        <f>WEEKNUM(vendaAno[[#This Row],[data]],13)</f>
        <v>41</v>
      </c>
      <c r="BG282" s="27">
        <f>preçodiario[[#This Row],[data]]</f>
        <v>46303</v>
      </c>
      <c r="BH28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Row],[data]]))/12+BJ281,"")</f>
        <v/>
      </c>
      <c r="BK282" s="79" t="str">
        <f ca="1">IF(TODAY()&gt;=vendaAno[[#This Row],[data]],IF(SUMIFS(estoque[quantidade],estoque[fornecedor],"saída",estoque[data],vendaAno[[#This Row],[data]])/12=0,AVERAGE(BK279:BK281),SUMIFS(estoque[quantidade],estoque[fornecedor],"saída",estoque[data],vendaAno[[#This Row],[data]])/12),"")</f>
        <v/>
      </c>
      <c r="BL282" s="8" t="str">
        <f ca="1">IF(vendaAno[[#This Row],[data]]&lt;=TODAY(),IF(SUMIFS(estoque[lucro],estoque[fornecedor],"saída",estoque[data],vendaAno[[#This Row],[data]])=0,AVERAGE(BL279:BL281),SUMIFS(estoque[lucro],estoque[fornecedor],"saída",estoque[data],vendaAno[[#This Row],[data]])),"")</f>
        <v/>
      </c>
      <c r="BM282" s="10" t="str">
        <f ca="1">IFERROR(vendaAno[[#This Row],[lucro]]/vendaAno[[#This Row],[valor de venda]],"")</f>
        <v/>
      </c>
      <c r="BN28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2" s="8" t="str">
        <f ca="1">IF(TODAY()&gt;=vendaAno[[#This Row],[data]],IF(vendaAno[[#This Row],[N°]]=BF281,vendaAno[[#This Row],[lucro]]-173.33+BO281,vendaAno[[#This Row],[lucro]]-150),"")</f>
        <v/>
      </c>
      <c r="BP282" s="81" t="str">
        <f ca="1">IF(TODAY()&gt;=vendaAno[[#This Row],[data]],SUM(BK276:BK282)*12,"")</f>
        <v/>
      </c>
      <c r="BQ282" s="7" t="str">
        <f ca="1">IFERROR(vendaAno[[#This Row],[lucro]]/(vendaAno[[#This Row],[venda]]*12),"")</f>
        <v/>
      </c>
    </row>
    <row r="283" spans="1:69" x14ac:dyDescent="0.25">
      <c r="A28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3" s="18" t="str">
        <f>TEXT(preçodiario[[#This Row],[data]],"MMM")</f>
        <v>out</v>
      </c>
      <c r="C283" s="18" t="str">
        <f>TEXT(preçodiario[[#This Row],[data]],"ddd")</f>
        <v>sex</v>
      </c>
      <c r="D283" s="96">
        <f>WEEKNUM(preçodiario[[#This Row],[data]],13)</f>
        <v>41</v>
      </c>
      <c r="E283" s="37">
        <v>46304</v>
      </c>
      <c r="F28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Row],[data]])),((F282*G282)+SUMIFS(estoque[valor total],estoque[produto],preçodiario[[#Headers],[OVO BRANCO A]],estoque[data],preçodiario[[#This Row],[data]],estoque[fornecedor],"&lt;&gt;saída"))/(G282+(SUMIFS(estoque[quantidade],estoque[produto],preçodiario[[#Headers],[OVO BRANCO A]],estoque[fornecedor],"&lt;&gt;saída",estoque[data],preçodiario[[#This Row],[data]])))))</f>
        <v>15.278182701652089</v>
      </c>
      <c r="G283" s="22">
        <f>IF(preçodiario[[#This Row],[entrada A]]=0,G282-(SUMIFS(estoque[quantidade],estoque[fornecedor],"saída",estoque[produto],preçodiario[[#Headers],[OVO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Row],[data]]))+G282+preçodiario[[#This Row],[entrada A]])</f>
        <v>133</v>
      </c>
      <c r="H283" s="22">
        <f>SUMIFS(estoque[quantidade],estoque[fornecedor],"&lt;&gt;saída",estoque[produto],preçodiario[[#Headers],[OVO BRANCO A]],estoque[data],preçodiario[[#This Row],[data]])</f>
        <v>0</v>
      </c>
      <c r="I283" s="20">
        <f>SUMIFS(estoque[valor total],estoque[fornecedor],"&lt;&gt;saída",estoque[produto],preçodiario[[#Headers],[OVO BRANCO A]],estoque[data],preçodiario[[#This Row],[data]])</f>
        <v>0</v>
      </c>
      <c r="J283" s="20">
        <f>IFERROR(preçodiario[[#This Row],[estoque A]]*preçodiario[[#This Row],[OVO BRANCO A]],0)</f>
        <v>2031.9982993197277</v>
      </c>
      <c r="K28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Row],[data]])),((K282*L282)+SUMIFS(estoque[valor total],estoque[produto],preçodiario[[#Headers],[OVO BRANCO B]],estoque[data],preçodiario[[#This Row],[data]],estoque[fornecedor],"&lt;&gt;saída"))/(L282+(SUMIFS(estoque[quantidade],estoque[produto],preçodiario[[#Headers],[OVO BRANCO B]],estoque[fornecedor],"&lt;&gt;saída",estoque[data],preçodiario[[#This Row],[data]])))))</f>
        <v>14.584252837326604</v>
      </c>
      <c r="L283" s="22">
        <f>IF(preçodiario[[#This Row],[entrada B]]=0,L282-(SUMIFS(estoque[quantidade],estoque[fornecedor],"saída",estoque[produto],preçodiario[[#Headers],[OVO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Row],[data]]))+L282+preçodiario[[#This Row],[entrada B]])</f>
        <v>16</v>
      </c>
      <c r="M283" s="22">
        <f>SUMIFS(estoque[quantidade],estoque[fornecedor],"&lt;&gt;saída",estoque[produto],preçodiario[[#Headers],[OVO BRANCO B]],estoque[data],preçodiario[[#This Row],[data]])</f>
        <v>0</v>
      </c>
      <c r="N283" s="20">
        <f>SUMIFS(estoque[valor total],estoque[fornecedor],"&lt;&gt;saída",estoque[produto],preçodiario[[#Headers],[OVO BRANCO B]],estoque[data],preçodiario[[#This Row],[data]])</f>
        <v>0</v>
      </c>
      <c r="O283" s="20">
        <f>IFERROR(preçodiario[[#This Row],[OVO BRANCO B]]*preçodiario[[#This Row],[estoque B]],0)</f>
        <v>233.34804539722566</v>
      </c>
      <c r="P28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Row],[data]])),((P282*Q282)+SUMIFS(estoque[valor total],estoque[produto],preçodiario[[#Headers],[OVO BRANCO C]],estoque[data],preçodiario[[#This Row],[data]],estoque[fornecedor],"&lt;&gt;saída"))/(Q282+(SUMIFS(estoque[quantidade],estoque[produto],preçodiario[[#Headers],[OVO BRANCO C]],estoque[fornecedor],"&lt;&gt;saída",estoque[data],preçodiario[[#This Row],[data]])))))</f>
        <v>12.5</v>
      </c>
      <c r="Q283" s="22">
        <f>IF(preçodiario[[#This Row],[entrada C]]=0,Q282-(SUMIFS(estoque[quantidade],estoque[fornecedor],"saída",estoque[produto],preçodiario[[#Headers],[OVO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Row],[data]]))+Q282+preçodiario[[#This Row],[entrada C]])</f>
        <v>60</v>
      </c>
      <c r="R283" s="22">
        <f>SUMIFS(estoque[quantidade],estoque[fornecedor],"&lt;&gt;saída",estoque[produto],preçodiario[[#Headers],[OVO BRANCO C]],estoque[data],preçodiario[[#This Row],[data]])</f>
        <v>0</v>
      </c>
      <c r="S283" s="20">
        <f>SUMIFS(estoque[valor total],estoque[fornecedor],"&lt;&gt;saída",estoque[produto],preçodiario[[#Headers],[OVO BRANCO C]],estoque[data],preçodiario[[#This Row],[data]])</f>
        <v>0</v>
      </c>
      <c r="T283" s="20">
        <f>IFERROR(preçodiario[[#This Row],[OVO BRANCO C]]*preçodiario[[#This Row],[estoque C]],0)</f>
        <v>750</v>
      </c>
      <c r="U28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Row],[data]])),((U282*V282)+SUMIFS(estoque[valor total],estoque[produto],preçodiario[[#Headers],[OVO BRANCO EXTRA]],estoque[data],preçodiario[[#This Row],[data]],estoque[fornecedor],"&lt;&gt;saída"))/(V282+(SUMIFS(estoque[quantidade],estoque[produto],preçodiario[[#Headers],[OVO BRANCO EXTRA]],estoque[fornecedor],"&lt;&gt;saída",estoque[data],preçodiario[[#This Row],[data]])))))</f>
        <v>15.725438400674655</v>
      </c>
      <c r="V283" s="22">
        <f>IF(preçodiario[[#This Row],[entrada E]]=0,V282-(SUMIFS(estoque[quantidade],estoque[fornecedor],"saída",estoque[produto],preçodiario[[#Headers],[OVO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Row],[data]]))+V282+preçodiario[[#This Row],[entrada E]])</f>
        <v>46</v>
      </c>
      <c r="W283" s="22">
        <f>SUMIFS(estoque[quantidade],estoque[fornecedor],"&lt;&gt;saída",estoque[produto],preçodiario[[#Headers],[OVO BRANCO EXTRA]],estoque[data],preçodiario[[#This Row],[data]])</f>
        <v>0</v>
      </c>
      <c r="X283" s="20">
        <f>SUMIFS(estoque[valor total],estoque[fornecedor],"&lt;&gt;saída",estoque[produto],preçodiario[[#Headers],[OVO BRANCO EXTRA]],estoque[data],preçodiario[[#This Row],[data]])</f>
        <v>0</v>
      </c>
      <c r="Y283" s="20">
        <f>IFERROR(preçodiario[[#This Row],[estoque E]]*preçodiario[[#This Row],[OVO BRANCO EXTRA]],0)</f>
        <v>723.37016643103414</v>
      </c>
      <c r="Z28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Row],[data]])),((Z282*AA282)+SUMIFS(estoque[valor total],estoque[produto],preçodiario[[#Headers],[OVO BRANCO JUMBO]],estoque[data],preçodiario[[#This Row],[data]],estoque[fornecedor],"&lt;&gt;saída"))/(AA282+(SUMIFS(estoque[quantidade],estoque[produto],preçodiario[[#Headers],[OVO BRANCO JUMBO]],estoque[fornecedor],"&lt;&gt;saída",estoque[data],preçodiario[[#This Row],[data]])))))</f>
        <v>16.50550595238095</v>
      </c>
      <c r="AA283" s="22">
        <f>IF(preçodiario[[#This Row],[entrada J]]=0,AA282-(SUMIFS(estoque[quantidade],estoque[fornecedor],"saída",estoque[produto],preçodiario[[#Headers],[OVO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Row],[data]]))+AA282+preçodiario[[#This Row],[entrada J]])</f>
        <v>75</v>
      </c>
      <c r="AB283" s="22">
        <f>SUMIFS(estoque[quantidade],estoque[fornecedor],"&lt;&gt;saída",estoque[produto],preçodiario[[#Headers],[OVO BRANCO JUMBO]],estoque[data],preçodiario[[#This Row],[data]])</f>
        <v>0</v>
      </c>
      <c r="AC283" s="20">
        <f>SUMIFS(estoque[valor total],estoque[fornecedor],"&lt;&gt;saída",estoque[produto],preçodiario[[#Headers],[OVO BRANCO JUMBO]],estoque[data],preçodiario[[#This Row],[data]])</f>
        <v>0</v>
      </c>
      <c r="AD283" s="20">
        <f>IFERROR(preçodiario[[#This Row],[OVO BRANCO JUMBO]]*preçodiario[[#This Row],[estoque J]],0)</f>
        <v>1237.9129464285713</v>
      </c>
      <c r="AE28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Row],[data]])),((AE282*AF282)+SUMIFS(estoque[valor total],estoque[produto],preçodiario[[#Headers],[OVO VERMELHO A]],estoque[data],preçodiario[[#This Row],[data]],estoque[fornecedor],"&lt;&gt;saída"))/(AF282+(SUMIFS(estoque[quantidade],estoque[produto],preçodiario[[#Headers],[OVO VERMELHO A]],estoque[fornecedor],"&lt;&gt;saída",estoque[data],preçodiario[[#This Row],[data]])))))</f>
        <v/>
      </c>
      <c r="AF283" s="22">
        <f>IF(preçodiario[[#This Row],[entrada AV]]=0,AF282-(SUMIFS(estoque[quantidade],estoque[fornecedor],"saída",estoque[produto],preçodiario[[#Headers],[OVO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Row],[data]]))+AF282+preçodiario[[#This Row],[entrada AV]])</f>
        <v>0</v>
      </c>
      <c r="AG283" s="22">
        <f>SUMIFS(estoque[quantidade],estoque[fornecedor],"&lt;&gt;saída",estoque[produto],preçodiario[[#Headers],[OVO VERMELHO A]],estoque[data],preçodiario[[#This Row],[data]])</f>
        <v>0</v>
      </c>
      <c r="AH283" s="20">
        <f>SUMIFS(estoque[valor total],estoque[fornecedor],"&lt;&gt;saída",estoque[produto],preçodiario[[#Headers],[OVO VERMELHO A]],estoque[data],preçodiario[[#This Row],[data]])</f>
        <v>0</v>
      </c>
      <c r="AI283" s="20">
        <f>IFERROR(preçodiario[[#This Row],[OVO VERMELHO A]]*preçodiario[[#This Row],[estoque AV]],0)</f>
        <v>0</v>
      </c>
      <c r="AJ28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Row],[data]])),((AJ282*AK282)+SUMIFS(estoque[valor total],estoque[produto],preçodiario[[#Headers],[OVO VERMELHO B]],estoque[data],preçodiario[[#This Row],[data]],estoque[fornecedor],"&lt;&gt;saída"))/(AK282+(SUMIFS(estoque[quantidade],estoque[produto],preçodiario[[#Headers],[OVO VERMELHO B]],estoque[fornecedor],"&lt;&gt;saída",estoque[data],preçodiario[[#This Row],[data]])))))</f>
        <v/>
      </c>
      <c r="AK283" s="22">
        <f>IF(preçodiario[[#This Row],[entrada BV]]=0,AK282-(SUMIFS(estoque[quantidade],estoque[fornecedor],"saída",estoque[produto],preçodiario[[#Headers],[OVO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Row],[data]]))+AK282+preçodiario[[#This Row],[entrada BV]])</f>
        <v>0</v>
      </c>
      <c r="AL283" s="22">
        <f>SUMIFS(estoque[quantidade],estoque[fornecedor],"&lt;&gt;saída",estoque[produto],preçodiario[[#Headers],[OVO VERMELHO B]],estoque[data],preçodiario[[#This Row],[data]])</f>
        <v>0</v>
      </c>
      <c r="AM283" s="20">
        <f>SUMIFS(estoque[valor total],estoque[fornecedor],"&lt;&gt;saída",estoque[produto],preçodiario[[#Headers],[OVO VERMELHO B]],estoque[data],preçodiario[[#This Row],[data]])</f>
        <v>0</v>
      </c>
      <c r="AN283" s="20">
        <f>IFERROR(preçodiario[[#This Row],[OVO VERMELHO B]]*preçodiario[[#This Row],[estoque BV]],0)</f>
        <v>0</v>
      </c>
      <c r="AO28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Row],[data]])),((AO282*AP282)+SUMIFS(estoque[valor total],estoque[produto],preçodiario[[#Headers],[OVO VERMELHO C]],estoque[data],preçodiario[[#This Row],[data]],estoque[fornecedor],"&lt;&gt;saída"))/(AP282+(SUMIFS(estoque[quantidade],estoque[produto],preçodiario[[#Headers],[OVO VERMELHO C]],estoque[fornecedor],"&lt;&gt;saída",estoque[data],preçodiario[[#This Row],[data]])))))</f>
        <v/>
      </c>
      <c r="AP283" s="22">
        <f>IF(preçodiario[[#This Row],[entrada CV]]=0,AP282-(SUMIFS(estoque[quantidade],estoque[fornecedor],"saída",estoque[produto],preçodiario[[#Headers],[OVO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Row],[data]]))+AP282+preçodiario[[#This Row],[entrada CV]])</f>
        <v>0</v>
      </c>
      <c r="AQ283" s="22">
        <f>SUMIFS(estoque[quantidade],estoque[fornecedor],"&lt;&gt;saída",estoque[produto],preçodiario[[#Headers],[OVO VERMELHO C]],estoque[data],preçodiario[[#This Row],[data]])</f>
        <v>0</v>
      </c>
      <c r="AR283" s="20">
        <f>SUMIFS(estoque[valor total],estoque[fornecedor],"&lt;&gt;saída",estoque[produto],preçodiario[[#Headers],[OVO VERMELHO C]],estoque[data],preçodiario[[#This Row],[data]])</f>
        <v>0</v>
      </c>
      <c r="AS283" s="20">
        <f>IFERROR(preçodiario[[#This Row],[OVO VERMELHO C]]*preçodiario[[#This Row],[estoque CV]],0)</f>
        <v>0</v>
      </c>
      <c r="AT28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Row],[data]])),((AT282*AU282)+SUMIFS(estoque[valor total],estoque[produto],preçodiario[[#Headers],[OVO VERMELHO EXTRA]],estoque[data],preçodiario[[#This Row],[data]],estoque[fornecedor],"&lt;&gt;saída"))/(AU282+(SUMIFS(estoque[quantidade],estoque[produto],preçodiario[[#Headers],[OVO VERMELHO EXTRA]],estoque[fornecedor],"&lt;&gt;saída",estoque[data],preçodiario[[#This Row],[data]])))))</f>
        <v/>
      </c>
      <c r="AU283" s="22">
        <f>IF(preçodiario[[#This Row],[entrada EV]]=0,AU282-(SUMIFS(estoque[quantidade],estoque[fornecedor],"saída",estoque[produto],preçodiario[[#Headers],[OVO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Row],[data]]))+AU282+preçodiario[[#This Row],[entrada EV]])</f>
        <v>0</v>
      </c>
      <c r="AV283" s="22">
        <f>SUMIFS(estoque[quantidade],estoque[fornecedor],"&lt;&gt;saída",estoque[produto],preçodiario[[#Headers],[OVO VERMELHO EXTRA]],estoque[data],preçodiario[[#This Row],[data]])</f>
        <v>0</v>
      </c>
      <c r="AW283" s="20">
        <f>SUMIFS(estoque[valor total],estoque[fornecedor],"&lt;&gt;saída",estoque[produto],preçodiario[[#Headers],[OVO VERMELHO EXTRA]],estoque[data],preçodiario[[#This Row],[data]])</f>
        <v>0</v>
      </c>
      <c r="AX283" s="20">
        <f>IFERROR(preçodiario[[#This Row],[OVO VERMELHO EXTRA]]*preçodiario[[#This Row],[estoque EV]],0)</f>
        <v>0</v>
      </c>
      <c r="AY28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Row],[data]])),((AY282*AZ282)+SUMIFS(estoque[valor total],estoque[produto],preçodiario[[#Headers],[OVO VERMELHO JUMBO]],estoque[data],preçodiario[[#This Row],[data]],estoque[fornecedor],"&lt;&gt;saída"))/(AZ282+(SUMIFS(estoque[quantidade],estoque[produto],preçodiario[[#Headers],[OVO VERMELHO JUMBO]],estoque[fornecedor],"&lt;&gt;saída",estoque[data],preçodiario[[#This Row],[data]])))))</f>
        <v/>
      </c>
      <c r="AZ283" s="22">
        <f>IF(preçodiario[[#This Row],[entrada JV]]=0,AZ282-(SUMIFS(estoque[quantidade],estoque[fornecedor],"saída",estoque[produto],preçodiario[[#Headers],[OVO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Row],[data]]))+AZ282+preçodiario[[#This Row],[entrada JV]])</f>
        <v>0</v>
      </c>
      <c r="BA283" s="22">
        <f>SUMIFS(estoque[quantidade],estoque[fornecedor],"&lt;&gt;saída",estoque[produto],preçodiario[[#Headers],[OVO VERMELHO JUMBO]],estoque[data],preçodiario[[#This Row],[data]])</f>
        <v>0</v>
      </c>
      <c r="BB283" s="20">
        <f>SUMIFS(estoque[valor total],estoque[fornecedor],"&lt;&gt;saída",estoque[produto],preçodiario[[#Headers],[OVO VERMELHO JUMBO]],estoque[data],preçodiario[[#This Row],[data]])</f>
        <v>0</v>
      </c>
      <c r="BC283" s="20">
        <f>IFERROR(preçodiario[[#This Row],[OVO VERMELHO JUMBO]]*preçodiario[[#This Row],[estoque JV]],0)</f>
        <v>0</v>
      </c>
      <c r="BD283" t="str">
        <f>TEXT(vendaAno[[#This Row],[data]],"mmm")</f>
        <v>out</v>
      </c>
      <c r="BE283" t="str">
        <f>TEXT(vendaAno[[#This Row],[data]],"ddd")</f>
        <v>sex</v>
      </c>
      <c r="BF283" s="82">
        <f>WEEKNUM(vendaAno[[#This Row],[data]],13)</f>
        <v>41</v>
      </c>
      <c r="BG283" s="27">
        <f>preçodiario[[#This Row],[data]]</f>
        <v>46304</v>
      </c>
      <c r="BH28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Row],[data]]))/12+BJ282,"")</f>
        <v/>
      </c>
      <c r="BK283" s="79" t="str">
        <f ca="1">IF(TODAY()&gt;=vendaAno[[#This Row],[data]],IF(SUMIFS(estoque[quantidade],estoque[fornecedor],"saída",estoque[data],vendaAno[[#This Row],[data]])/12=0,AVERAGE(BK280:BK282),SUMIFS(estoque[quantidade],estoque[fornecedor],"saída",estoque[data],vendaAno[[#This Row],[data]])/12),"")</f>
        <v/>
      </c>
      <c r="BL283" s="8" t="str">
        <f ca="1">IF(vendaAno[[#This Row],[data]]&lt;=TODAY(),IF(SUMIFS(estoque[lucro],estoque[fornecedor],"saída",estoque[data],vendaAno[[#This Row],[data]])=0,AVERAGE(BL280:BL282),SUMIFS(estoque[lucro],estoque[fornecedor],"saída",estoque[data],vendaAno[[#This Row],[data]])),"")</f>
        <v/>
      </c>
      <c r="BM283" s="10" t="str">
        <f ca="1">IFERROR(vendaAno[[#This Row],[lucro]]/vendaAno[[#This Row],[valor de venda]],"")</f>
        <v/>
      </c>
      <c r="BN28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3" s="8" t="str">
        <f ca="1">IF(TODAY()&gt;=vendaAno[[#This Row],[data]],IF(vendaAno[[#This Row],[N°]]=BF282,vendaAno[[#This Row],[lucro]]-173.33+BO282,vendaAno[[#This Row],[lucro]]-150),"")</f>
        <v/>
      </c>
      <c r="BP283" s="81" t="str">
        <f ca="1">IF(TODAY()&gt;=vendaAno[[#This Row],[data]],SUM(BK277:BK283)*12,"")</f>
        <v/>
      </c>
      <c r="BQ283" s="7" t="str">
        <f ca="1">IFERROR(vendaAno[[#This Row],[lucro]]/(vendaAno[[#This Row],[venda]]*12),"")</f>
        <v/>
      </c>
    </row>
    <row r="284" spans="1:69" x14ac:dyDescent="0.25">
      <c r="A28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4" s="18" t="str">
        <f>TEXT(preçodiario[[#This Row],[data]],"MMM")</f>
        <v>out</v>
      </c>
      <c r="C284" s="18" t="str">
        <f>TEXT(preçodiario[[#This Row],[data]],"ddd")</f>
        <v>sáb</v>
      </c>
      <c r="D284" s="96">
        <f>WEEKNUM(preçodiario[[#This Row],[data]],13)</f>
        <v>41</v>
      </c>
      <c r="E284" s="37">
        <v>46305</v>
      </c>
      <c r="F28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Row],[data]])),((F283*G283)+SUMIFS(estoque[valor total],estoque[produto],preçodiario[[#Headers],[OVO BRANCO A]],estoque[data],preçodiario[[#This Row],[data]],estoque[fornecedor],"&lt;&gt;saída"))/(G283+(SUMIFS(estoque[quantidade],estoque[produto],preçodiario[[#Headers],[OVO BRANCO A]],estoque[fornecedor],"&lt;&gt;saída",estoque[data],preçodiario[[#This Row],[data]])))))</f>
        <v>15.278182701652089</v>
      </c>
      <c r="G284" s="22">
        <f>IF(preçodiario[[#This Row],[entrada A]]=0,G283-(SUMIFS(estoque[quantidade],estoque[fornecedor],"saída",estoque[produto],preçodiario[[#Headers],[OVO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Row],[data]]))+G283+preçodiario[[#This Row],[entrada A]])</f>
        <v>133</v>
      </c>
      <c r="H284" s="22">
        <f>SUMIFS(estoque[quantidade],estoque[fornecedor],"&lt;&gt;saída",estoque[produto],preçodiario[[#Headers],[OVO BRANCO A]],estoque[data],preçodiario[[#This Row],[data]])</f>
        <v>0</v>
      </c>
      <c r="I284" s="20">
        <f>SUMIFS(estoque[valor total],estoque[fornecedor],"&lt;&gt;saída",estoque[produto],preçodiario[[#Headers],[OVO BRANCO A]],estoque[data],preçodiario[[#This Row],[data]])</f>
        <v>0</v>
      </c>
      <c r="J284" s="20">
        <f>IFERROR(preçodiario[[#This Row],[estoque A]]*preçodiario[[#This Row],[OVO BRANCO A]],0)</f>
        <v>2031.9982993197277</v>
      </c>
      <c r="K28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Row],[data]])),((K283*L283)+SUMIFS(estoque[valor total],estoque[produto],preçodiario[[#Headers],[OVO BRANCO B]],estoque[data],preçodiario[[#This Row],[data]],estoque[fornecedor],"&lt;&gt;saída"))/(L283+(SUMIFS(estoque[quantidade],estoque[produto],preçodiario[[#Headers],[OVO BRANCO B]],estoque[fornecedor],"&lt;&gt;saída",estoque[data],preçodiario[[#This Row],[data]])))))</f>
        <v>14.584252837326604</v>
      </c>
      <c r="L284" s="22">
        <f>IF(preçodiario[[#This Row],[entrada B]]=0,L283-(SUMIFS(estoque[quantidade],estoque[fornecedor],"saída",estoque[produto],preçodiario[[#Headers],[OVO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Row],[data]]))+L283+preçodiario[[#This Row],[entrada B]])</f>
        <v>16</v>
      </c>
      <c r="M284" s="22">
        <f>SUMIFS(estoque[quantidade],estoque[fornecedor],"&lt;&gt;saída",estoque[produto],preçodiario[[#Headers],[OVO BRANCO B]],estoque[data],preçodiario[[#This Row],[data]])</f>
        <v>0</v>
      </c>
      <c r="N284" s="20">
        <f>SUMIFS(estoque[valor total],estoque[fornecedor],"&lt;&gt;saída",estoque[produto],preçodiario[[#Headers],[OVO BRANCO B]],estoque[data],preçodiario[[#This Row],[data]])</f>
        <v>0</v>
      </c>
      <c r="O284" s="20">
        <f>IFERROR(preçodiario[[#This Row],[OVO BRANCO B]]*preçodiario[[#This Row],[estoque B]],0)</f>
        <v>233.34804539722566</v>
      </c>
      <c r="P28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Row],[data]])),((P283*Q283)+SUMIFS(estoque[valor total],estoque[produto],preçodiario[[#Headers],[OVO BRANCO C]],estoque[data],preçodiario[[#This Row],[data]],estoque[fornecedor],"&lt;&gt;saída"))/(Q283+(SUMIFS(estoque[quantidade],estoque[produto],preçodiario[[#Headers],[OVO BRANCO C]],estoque[fornecedor],"&lt;&gt;saída",estoque[data],preçodiario[[#This Row],[data]])))))</f>
        <v>12.5</v>
      </c>
      <c r="Q284" s="22">
        <f>IF(preçodiario[[#This Row],[entrada C]]=0,Q283-(SUMIFS(estoque[quantidade],estoque[fornecedor],"saída",estoque[produto],preçodiario[[#Headers],[OVO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Row],[data]]))+Q283+preçodiario[[#This Row],[entrada C]])</f>
        <v>60</v>
      </c>
      <c r="R284" s="22">
        <f>SUMIFS(estoque[quantidade],estoque[fornecedor],"&lt;&gt;saída",estoque[produto],preçodiario[[#Headers],[OVO BRANCO C]],estoque[data],preçodiario[[#This Row],[data]])</f>
        <v>0</v>
      </c>
      <c r="S284" s="20">
        <f>SUMIFS(estoque[valor total],estoque[fornecedor],"&lt;&gt;saída",estoque[produto],preçodiario[[#Headers],[OVO BRANCO C]],estoque[data],preçodiario[[#This Row],[data]])</f>
        <v>0</v>
      </c>
      <c r="T284" s="20">
        <f>IFERROR(preçodiario[[#This Row],[OVO BRANCO C]]*preçodiario[[#This Row],[estoque C]],0)</f>
        <v>750</v>
      </c>
      <c r="U28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Row],[data]])),((U283*V283)+SUMIFS(estoque[valor total],estoque[produto],preçodiario[[#Headers],[OVO BRANCO EXTRA]],estoque[data],preçodiario[[#This Row],[data]],estoque[fornecedor],"&lt;&gt;saída"))/(V283+(SUMIFS(estoque[quantidade],estoque[produto],preçodiario[[#Headers],[OVO BRANCO EXTRA]],estoque[fornecedor],"&lt;&gt;saída",estoque[data],preçodiario[[#This Row],[data]])))))</f>
        <v>15.725438400674655</v>
      </c>
      <c r="V284" s="22">
        <f>IF(preçodiario[[#This Row],[entrada E]]=0,V283-(SUMIFS(estoque[quantidade],estoque[fornecedor],"saída",estoque[produto],preçodiario[[#Headers],[OVO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Row],[data]]))+V283+preçodiario[[#This Row],[entrada E]])</f>
        <v>46</v>
      </c>
      <c r="W284" s="22">
        <f>SUMIFS(estoque[quantidade],estoque[fornecedor],"&lt;&gt;saída",estoque[produto],preçodiario[[#Headers],[OVO BRANCO EXTRA]],estoque[data],preçodiario[[#This Row],[data]])</f>
        <v>0</v>
      </c>
      <c r="X284" s="20">
        <f>SUMIFS(estoque[valor total],estoque[fornecedor],"&lt;&gt;saída",estoque[produto],preçodiario[[#Headers],[OVO BRANCO EXTRA]],estoque[data],preçodiario[[#This Row],[data]])</f>
        <v>0</v>
      </c>
      <c r="Y284" s="20">
        <f>IFERROR(preçodiario[[#This Row],[estoque E]]*preçodiario[[#This Row],[OVO BRANCO EXTRA]],0)</f>
        <v>723.37016643103414</v>
      </c>
      <c r="Z28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Row],[data]])),((Z283*AA283)+SUMIFS(estoque[valor total],estoque[produto],preçodiario[[#Headers],[OVO BRANCO JUMBO]],estoque[data],preçodiario[[#This Row],[data]],estoque[fornecedor],"&lt;&gt;saída"))/(AA283+(SUMIFS(estoque[quantidade],estoque[produto],preçodiario[[#Headers],[OVO BRANCO JUMBO]],estoque[fornecedor],"&lt;&gt;saída",estoque[data],preçodiario[[#This Row],[data]])))))</f>
        <v>16.50550595238095</v>
      </c>
      <c r="AA284" s="22">
        <f>IF(preçodiario[[#This Row],[entrada J]]=0,AA283-(SUMIFS(estoque[quantidade],estoque[fornecedor],"saída",estoque[produto],preçodiario[[#Headers],[OVO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Row],[data]]))+AA283+preçodiario[[#This Row],[entrada J]])</f>
        <v>75</v>
      </c>
      <c r="AB284" s="22">
        <f>SUMIFS(estoque[quantidade],estoque[fornecedor],"&lt;&gt;saída",estoque[produto],preçodiario[[#Headers],[OVO BRANCO JUMBO]],estoque[data],preçodiario[[#This Row],[data]])</f>
        <v>0</v>
      </c>
      <c r="AC284" s="20">
        <f>SUMIFS(estoque[valor total],estoque[fornecedor],"&lt;&gt;saída",estoque[produto],preçodiario[[#Headers],[OVO BRANCO JUMBO]],estoque[data],preçodiario[[#This Row],[data]])</f>
        <v>0</v>
      </c>
      <c r="AD284" s="20">
        <f>IFERROR(preçodiario[[#This Row],[OVO BRANCO JUMBO]]*preçodiario[[#This Row],[estoque J]],0)</f>
        <v>1237.9129464285713</v>
      </c>
      <c r="AE28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Row],[data]])),((AE283*AF283)+SUMIFS(estoque[valor total],estoque[produto],preçodiario[[#Headers],[OVO VERMELHO A]],estoque[data],preçodiario[[#This Row],[data]],estoque[fornecedor],"&lt;&gt;saída"))/(AF283+(SUMIFS(estoque[quantidade],estoque[produto],preçodiario[[#Headers],[OVO VERMELHO A]],estoque[fornecedor],"&lt;&gt;saída",estoque[data],preçodiario[[#This Row],[data]])))))</f>
        <v/>
      </c>
      <c r="AF284" s="22">
        <f>IF(preçodiario[[#This Row],[entrada AV]]=0,AF283-(SUMIFS(estoque[quantidade],estoque[fornecedor],"saída",estoque[produto],preçodiario[[#Headers],[OVO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Row],[data]]))+AF283+preçodiario[[#This Row],[entrada AV]])</f>
        <v>0</v>
      </c>
      <c r="AG284" s="22">
        <f>SUMIFS(estoque[quantidade],estoque[fornecedor],"&lt;&gt;saída",estoque[produto],preçodiario[[#Headers],[OVO VERMELHO A]],estoque[data],preçodiario[[#This Row],[data]])</f>
        <v>0</v>
      </c>
      <c r="AH284" s="20">
        <f>SUMIFS(estoque[valor total],estoque[fornecedor],"&lt;&gt;saída",estoque[produto],preçodiario[[#Headers],[OVO VERMELHO A]],estoque[data],preçodiario[[#This Row],[data]])</f>
        <v>0</v>
      </c>
      <c r="AI284" s="20">
        <f>IFERROR(preçodiario[[#This Row],[OVO VERMELHO A]]*preçodiario[[#This Row],[estoque AV]],0)</f>
        <v>0</v>
      </c>
      <c r="AJ28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Row],[data]])),((AJ283*AK283)+SUMIFS(estoque[valor total],estoque[produto],preçodiario[[#Headers],[OVO VERMELHO B]],estoque[data],preçodiario[[#This Row],[data]],estoque[fornecedor],"&lt;&gt;saída"))/(AK283+(SUMIFS(estoque[quantidade],estoque[produto],preçodiario[[#Headers],[OVO VERMELHO B]],estoque[fornecedor],"&lt;&gt;saída",estoque[data],preçodiario[[#This Row],[data]])))))</f>
        <v/>
      </c>
      <c r="AK284" s="22">
        <f>IF(preçodiario[[#This Row],[entrada BV]]=0,AK283-(SUMIFS(estoque[quantidade],estoque[fornecedor],"saída",estoque[produto],preçodiario[[#Headers],[OVO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Row],[data]]))+AK283+preçodiario[[#This Row],[entrada BV]])</f>
        <v>0</v>
      </c>
      <c r="AL284" s="22">
        <f>SUMIFS(estoque[quantidade],estoque[fornecedor],"&lt;&gt;saída",estoque[produto],preçodiario[[#Headers],[OVO VERMELHO B]],estoque[data],preçodiario[[#This Row],[data]])</f>
        <v>0</v>
      </c>
      <c r="AM284" s="20">
        <f>SUMIFS(estoque[valor total],estoque[fornecedor],"&lt;&gt;saída",estoque[produto],preçodiario[[#Headers],[OVO VERMELHO B]],estoque[data],preçodiario[[#This Row],[data]])</f>
        <v>0</v>
      </c>
      <c r="AN284" s="20">
        <f>IFERROR(preçodiario[[#This Row],[OVO VERMELHO B]]*preçodiario[[#This Row],[estoque BV]],0)</f>
        <v>0</v>
      </c>
      <c r="AO28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Row],[data]])),((AO283*AP283)+SUMIFS(estoque[valor total],estoque[produto],preçodiario[[#Headers],[OVO VERMELHO C]],estoque[data],preçodiario[[#This Row],[data]],estoque[fornecedor],"&lt;&gt;saída"))/(AP283+(SUMIFS(estoque[quantidade],estoque[produto],preçodiario[[#Headers],[OVO VERMELHO C]],estoque[fornecedor],"&lt;&gt;saída",estoque[data],preçodiario[[#This Row],[data]])))))</f>
        <v/>
      </c>
      <c r="AP284" s="22">
        <f>IF(preçodiario[[#This Row],[entrada CV]]=0,AP283-(SUMIFS(estoque[quantidade],estoque[fornecedor],"saída",estoque[produto],preçodiario[[#Headers],[OVO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Row],[data]]))+AP283+preçodiario[[#This Row],[entrada CV]])</f>
        <v>0</v>
      </c>
      <c r="AQ284" s="22">
        <f>SUMIFS(estoque[quantidade],estoque[fornecedor],"&lt;&gt;saída",estoque[produto],preçodiario[[#Headers],[OVO VERMELHO C]],estoque[data],preçodiario[[#This Row],[data]])</f>
        <v>0</v>
      </c>
      <c r="AR284" s="20">
        <f>SUMIFS(estoque[valor total],estoque[fornecedor],"&lt;&gt;saída",estoque[produto],preçodiario[[#Headers],[OVO VERMELHO C]],estoque[data],preçodiario[[#This Row],[data]])</f>
        <v>0</v>
      </c>
      <c r="AS284" s="20">
        <f>IFERROR(preçodiario[[#This Row],[OVO VERMELHO C]]*preçodiario[[#This Row],[estoque CV]],0)</f>
        <v>0</v>
      </c>
      <c r="AT28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Row],[data]])),((AT283*AU283)+SUMIFS(estoque[valor total],estoque[produto],preçodiario[[#Headers],[OVO VERMELHO EXTRA]],estoque[data],preçodiario[[#This Row],[data]],estoque[fornecedor],"&lt;&gt;saída"))/(AU283+(SUMIFS(estoque[quantidade],estoque[produto],preçodiario[[#Headers],[OVO VERMELHO EXTRA]],estoque[fornecedor],"&lt;&gt;saída",estoque[data],preçodiario[[#This Row],[data]])))))</f>
        <v/>
      </c>
      <c r="AU284" s="22">
        <f>IF(preçodiario[[#This Row],[entrada EV]]=0,AU283-(SUMIFS(estoque[quantidade],estoque[fornecedor],"saída",estoque[produto],preçodiario[[#Headers],[OVO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Row],[data]]))+AU283+preçodiario[[#This Row],[entrada EV]])</f>
        <v>0</v>
      </c>
      <c r="AV284" s="22">
        <f>SUMIFS(estoque[quantidade],estoque[fornecedor],"&lt;&gt;saída",estoque[produto],preçodiario[[#Headers],[OVO VERMELHO EXTRA]],estoque[data],preçodiario[[#This Row],[data]])</f>
        <v>0</v>
      </c>
      <c r="AW284" s="20">
        <f>SUMIFS(estoque[valor total],estoque[fornecedor],"&lt;&gt;saída",estoque[produto],preçodiario[[#Headers],[OVO VERMELHO EXTRA]],estoque[data],preçodiario[[#This Row],[data]])</f>
        <v>0</v>
      </c>
      <c r="AX284" s="20">
        <f>IFERROR(preçodiario[[#This Row],[OVO VERMELHO EXTRA]]*preçodiario[[#This Row],[estoque EV]],0)</f>
        <v>0</v>
      </c>
      <c r="AY28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Row],[data]])),((AY283*AZ283)+SUMIFS(estoque[valor total],estoque[produto],preçodiario[[#Headers],[OVO VERMELHO JUMBO]],estoque[data],preçodiario[[#This Row],[data]],estoque[fornecedor],"&lt;&gt;saída"))/(AZ283+(SUMIFS(estoque[quantidade],estoque[produto],preçodiario[[#Headers],[OVO VERMELHO JUMBO]],estoque[fornecedor],"&lt;&gt;saída",estoque[data],preçodiario[[#This Row],[data]])))))</f>
        <v/>
      </c>
      <c r="AZ284" s="22">
        <f>IF(preçodiario[[#This Row],[entrada JV]]=0,AZ283-(SUMIFS(estoque[quantidade],estoque[fornecedor],"saída",estoque[produto],preçodiario[[#Headers],[OVO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Row],[data]]))+AZ283+preçodiario[[#This Row],[entrada JV]])</f>
        <v>0</v>
      </c>
      <c r="BA284" s="22">
        <f>SUMIFS(estoque[quantidade],estoque[fornecedor],"&lt;&gt;saída",estoque[produto],preçodiario[[#Headers],[OVO VERMELHO JUMBO]],estoque[data],preçodiario[[#This Row],[data]])</f>
        <v>0</v>
      </c>
      <c r="BB284" s="20">
        <f>SUMIFS(estoque[valor total],estoque[fornecedor],"&lt;&gt;saída",estoque[produto],preçodiario[[#Headers],[OVO VERMELHO JUMBO]],estoque[data],preçodiario[[#This Row],[data]])</f>
        <v>0</v>
      </c>
      <c r="BC284" s="20">
        <f>IFERROR(preçodiario[[#This Row],[OVO VERMELHO JUMBO]]*preçodiario[[#This Row],[estoque JV]],0)</f>
        <v>0</v>
      </c>
      <c r="BD284" t="str">
        <f>TEXT(vendaAno[[#This Row],[data]],"mmm")</f>
        <v>out</v>
      </c>
      <c r="BE284" t="str">
        <f>TEXT(vendaAno[[#This Row],[data]],"ddd")</f>
        <v>sáb</v>
      </c>
      <c r="BF284" s="82">
        <f>WEEKNUM(vendaAno[[#This Row],[data]],13)</f>
        <v>41</v>
      </c>
      <c r="BG284" s="27">
        <f>preçodiario[[#This Row],[data]]</f>
        <v>46305</v>
      </c>
      <c r="BH28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Row],[data]]))/12+BJ283,"")</f>
        <v/>
      </c>
      <c r="BK284" s="79" t="str">
        <f ca="1">IF(TODAY()&gt;=vendaAno[[#This Row],[data]],IF(SUMIFS(estoque[quantidade],estoque[fornecedor],"saída",estoque[data],vendaAno[[#This Row],[data]])/12=0,AVERAGE(BK281:BK283),SUMIFS(estoque[quantidade],estoque[fornecedor],"saída",estoque[data],vendaAno[[#This Row],[data]])/12),"")</f>
        <v/>
      </c>
      <c r="BL284" s="8" t="str">
        <f ca="1">IF(vendaAno[[#This Row],[data]]&lt;=TODAY(),IF(SUMIFS(estoque[lucro],estoque[fornecedor],"saída",estoque[data],vendaAno[[#This Row],[data]])=0,AVERAGE(BL281:BL283),SUMIFS(estoque[lucro],estoque[fornecedor],"saída",estoque[data],vendaAno[[#This Row],[data]])),"")</f>
        <v/>
      </c>
      <c r="BM284" s="10" t="str">
        <f ca="1">IFERROR(vendaAno[[#This Row],[lucro]]/vendaAno[[#This Row],[valor de venda]],"")</f>
        <v/>
      </c>
      <c r="BN28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4" s="8" t="str">
        <f ca="1">IF(TODAY()&gt;=vendaAno[[#This Row],[data]],IF(vendaAno[[#This Row],[N°]]=BF283,vendaAno[[#This Row],[lucro]]-173.33+BO283,vendaAno[[#This Row],[lucro]]-150),"")</f>
        <v/>
      </c>
      <c r="BP284" s="81" t="str">
        <f ca="1">IF(TODAY()&gt;=vendaAno[[#This Row],[data]],SUM(BK278:BK284)*12,"")</f>
        <v/>
      </c>
      <c r="BQ284" s="7" t="str">
        <f ca="1">IFERROR(vendaAno[[#This Row],[lucro]]/(vendaAno[[#This Row],[venda]]*12),"")</f>
        <v/>
      </c>
    </row>
    <row r="285" spans="1:69" x14ac:dyDescent="0.25">
      <c r="A28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5" s="18" t="str">
        <f>TEXT(preçodiario[[#This Row],[data]],"MMM")</f>
        <v>out</v>
      </c>
      <c r="C285" s="18" t="str">
        <f>TEXT(preçodiario[[#This Row],[data]],"ddd")</f>
        <v>dom</v>
      </c>
      <c r="D285" s="96">
        <f>WEEKNUM(preçodiario[[#This Row],[data]],13)</f>
        <v>41</v>
      </c>
      <c r="E285" s="37">
        <v>46306</v>
      </c>
      <c r="F28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Row],[data]])),((F284*G284)+SUMIFS(estoque[valor total],estoque[produto],preçodiario[[#Headers],[OVO BRANCO A]],estoque[data],preçodiario[[#This Row],[data]],estoque[fornecedor],"&lt;&gt;saída"))/(G284+(SUMIFS(estoque[quantidade],estoque[produto],preçodiario[[#Headers],[OVO BRANCO A]],estoque[fornecedor],"&lt;&gt;saída",estoque[data],preçodiario[[#This Row],[data]])))))</f>
        <v>15.278182701652089</v>
      </c>
      <c r="G285" s="22">
        <f>IF(preçodiario[[#This Row],[entrada A]]=0,G284-(SUMIFS(estoque[quantidade],estoque[fornecedor],"saída",estoque[produto],preçodiario[[#Headers],[OVO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Row],[data]]))+G284+preçodiario[[#This Row],[entrada A]])</f>
        <v>133</v>
      </c>
      <c r="H285" s="22">
        <f>SUMIFS(estoque[quantidade],estoque[fornecedor],"&lt;&gt;saída",estoque[produto],preçodiario[[#Headers],[OVO BRANCO A]],estoque[data],preçodiario[[#This Row],[data]])</f>
        <v>0</v>
      </c>
      <c r="I285" s="20">
        <f>SUMIFS(estoque[valor total],estoque[fornecedor],"&lt;&gt;saída",estoque[produto],preçodiario[[#Headers],[OVO BRANCO A]],estoque[data],preçodiario[[#This Row],[data]])</f>
        <v>0</v>
      </c>
      <c r="J285" s="20">
        <f>IFERROR(preçodiario[[#This Row],[estoque A]]*preçodiario[[#This Row],[OVO BRANCO A]],0)</f>
        <v>2031.9982993197277</v>
      </c>
      <c r="K28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Row],[data]])),((K284*L284)+SUMIFS(estoque[valor total],estoque[produto],preçodiario[[#Headers],[OVO BRANCO B]],estoque[data],preçodiario[[#This Row],[data]],estoque[fornecedor],"&lt;&gt;saída"))/(L284+(SUMIFS(estoque[quantidade],estoque[produto],preçodiario[[#Headers],[OVO BRANCO B]],estoque[fornecedor],"&lt;&gt;saída",estoque[data],preçodiario[[#This Row],[data]])))))</f>
        <v>14.584252837326604</v>
      </c>
      <c r="L285" s="22">
        <f>IF(preçodiario[[#This Row],[entrada B]]=0,L284-(SUMIFS(estoque[quantidade],estoque[fornecedor],"saída",estoque[produto],preçodiario[[#Headers],[OVO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Row],[data]]))+L284+preçodiario[[#This Row],[entrada B]])</f>
        <v>16</v>
      </c>
      <c r="M285" s="22">
        <f>SUMIFS(estoque[quantidade],estoque[fornecedor],"&lt;&gt;saída",estoque[produto],preçodiario[[#Headers],[OVO BRANCO B]],estoque[data],preçodiario[[#This Row],[data]])</f>
        <v>0</v>
      </c>
      <c r="N285" s="20">
        <f>SUMIFS(estoque[valor total],estoque[fornecedor],"&lt;&gt;saída",estoque[produto],preçodiario[[#Headers],[OVO BRANCO B]],estoque[data],preçodiario[[#This Row],[data]])</f>
        <v>0</v>
      </c>
      <c r="O285" s="20">
        <f>IFERROR(preçodiario[[#This Row],[OVO BRANCO B]]*preçodiario[[#This Row],[estoque B]],0)</f>
        <v>233.34804539722566</v>
      </c>
      <c r="P28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Row],[data]])),((P284*Q284)+SUMIFS(estoque[valor total],estoque[produto],preçodiario[[#Headers],[OVO BRANCO C]],estoque[data],preçodiario[[#This Row],[data]],estoque[fornecedor],"&lt;&gt;saída"))/(Q284+(SUMIFS(estoque[quantidade],estoque[produto],preçodiario[[#Headers],[OVO BRANCO C]],estoque[fornecedor],"&lt;&gt;saída",estoque[data],preçodiario[[#This Row],[data]])))))</f>
        <v>12.5</v>
      </c>
      <c r="Q285" s="22">
        <f>IF(preçodiario[[#This Row],[entrada C]]=0,Q284-(SUMIFS(estoque[quantidade],estoque[fornecedor],"saída",estoque[produto],preçodiario[[#Headers],[OVO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Row],[data]]))+Q284+preçodiario[[#This Row],[entrada C]])</f>
        <v>60</v>
      </c>
      <c r="R285" s="22">
        <f>SUMIFS(estoque[quantidade],estoque[fornecedor],"&lt;&gt;saída",estoque[produto],preçodiario[[#Headers],[OVO BRANCO C]],estoque[data],preçodiario[[#This Row],[data]])</f>
        <v>0</v>
      </c>
      <c r="S285" s="20">
        <f>SUMIFS(estoque[valor total],estoque[fornecedor],"&lt;&gt;saída",estoque[produto],preçodiario[[#Headers],[OVO BRANCO C]],estoque[data],preçodiario[[#This Row],[data]])</f>
        <v>0</v>
      </c>
      <c r="T285" s="20">
        <f>IFERROR(preçodiario[[#This Row],[OVO BRANCO C]]*preçodiario[[#This Row],[estoque C]],0)</f>
        <v>750</v>
      </c>
      <c r="U28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Row],[data]])),((U284*V284)+SUMIFS(estoque[valor total],estoque[produto],preçodiario[[#Headers],[OVO BRANCO EXTRA]],estoque[data],preçodiario[[#This Row],[data]],estoque[fornecedor],"&lt;&gt;saída"))/(V284+(SUMIFS(estoque[quantidade],estoque[produto],preçodiario[[#Headers],[OVO BRANCO EXTRA]],estoque[fornecedor],"&lt;&gt;saída",estoque[data],preçodiario[[#This Row],[data]])))))</f>
        <v>15.725438400674655</v>
      </c>
      <c r="V285" s="22">
        <f>IF(preçodiario[[#This Row],[entrada E]]=0,V284-(SUMIFS(estoque[quantidade],estoque[fornecedor],"saída",estoque[produto],preçodiario[[#Headers],[OVO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Row],[data]]))+V284+preçodiario[[#This Row],[entrada E]])</f>
        <v>46</v>
      </c>
      <c r="W285" s="22">
        <f>SUMIFS(estoque[quantidade],estoque[fornecedor],"&lt;&gt;saída",estoque[produto],preçodiario[[#Headers],[OVO BRANCO EXTRA]],estoque[data],preçodiario[[#This Row],[data]])</f>
        <v>0</v>
      </c>
      <c r="X285" s="20">
        <f>SUMIFS(estoque[valor total],estoque[fornecedor],"&lt;&gt;saída",estoque[produto],preçodiario[[#Headers],[OVO BRANCO EXTRA]],estoque[data],preçodiario[[#This Row],[data]])</f>
        <v>0</v>
      </c>
      <c r="Y285" s="20">
        <f>IFERROR(preçodiario[[#This Row],[estoque E]]*preçodiario[[#This Row],[OVO BRANCO EXTRA]],0)</f>
        <v>723.37016643103414</v>
      </c>
      <c r="Z28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Row],[data]])),((Z284*AA284)+SUMIFS(estoque[valor total],estoque[produto],preçodiario[[#Headers],[OVO BRANCO JUMBO]],estoque[data],preçodiario[[#This Row],[data]],estoque[fornecedor],"&lt;&gt;saída"))/(AA284+(SUMIFS(estoque[quantidade],estoque[produto],preçodiario[[#Headers],[OVO BRANCO JUMBO]],estoque[fornecedor],"&lt;&gt;saída",estoque[data],preçodiario[[#This Row],[data]])))))</f>
        <v>16.50550595238095</v>
      </c>
      <c r="AA285" s="22">
        <f>IF(preçodiario[[#This Row],[entrada J]]=0,AA284-(SUMIFS(estoque[quantidade],estoque[fornecedor],"saída",estoque[produto],preçodiario[[#Headers],[OVO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Row],[data]]))+AA284+preçodiario[[#This Row],[entrada J]])</f>
        <v>75</v>
      </c>
      <c r="AB285" s="22">
        <f>SUMIFS(estoque[quantidade],estoque[fornecedor],"&lt;&gt;saída",estoque[produto],preçodiario[[#Headers],[OVO BRANCO JUMBO]],estoque[data],preçodiario[[#This Row],[data]])</f>
        <v>0</v>
      </c>
      <c r="AC285" s="20">
        <f>SUMIFS(estoque[valor total],estoque[fornecedor],"&lt;&gt;saída",estoque[produto],preçodiario[[#Headers],[OVO BRANCO JUMBO]],estoque[data],preçodiario[[#This Row],[data]])</f>
        <v>0</v>
      </c>
      <c r="AD285" s="20">
        <f>IFERROR(preçodiario[[#This Row],[OVO BRANCO JUMBO]]*preçodiario[[#This Row],[estoque J]],0)</f>
        <v>1237.9129464285713</v>
      </c>
      <c r="AE28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Row],[data]])),((AE284*AF284)+SUMIFS(estoque[valor total],estoque[produto],preçodiario[[#Headers],[OVO VERMELHO A]],estoque[data],preçodiario[[#This Row],[data]],estoque[fornecedor],"&lt;&gt;saída"))/(AF284+(SUMIFS(estoque[quantidade],estoque[produto],preçodiario[[#Headers],[OVO VERMELHO A]],estoque[fornecedor],"&lt;&gt;saída",estoque[data],preçodiario[[#This Row],[data]])))))</f>
        <v/>
      </c>
      <c r="AF285" s="22">
        <f>IF(preçodiario[[#This Row],[entrada AV]]=0,AF284-(SUMIFS(estoque[quantidade],estoque[fornecedor],"saída",estoque[produto],preçodiario[[#Headers],[OVO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Row],[data]]))+AF284+preçodiario[[#This Row],[entrada AV]])</f>
        <v>0</v>
      </c>
      <c r="AG285" s="22">
        <f>SUMIFS(estoque[quantidade],estoque[fornecedor],"&lt;&gt;saída",estoque[produto],preçodiario[[#Headers],[OVO VERMELHO A]],estoque[data],preçodiario[[#This Row],[data]])</f>
        <v>0</v>
      </c>
      <c r="AH285" s="20">
        <f>SUMIFS(estoque[valor total],estoque[fornecedor],"&lt;&gt;saída",estoque[produto],preçodiario[[#Headers],[OVO VERMELHO A]],estoque[data],preçodiario[[#This Row],[data]])</f>
        <v>0</v>
      </c>
      <c r="AI285" s="20">
        <f>IFERROR(preçodiario[[#This Row],[OVO VERMELHO A]]*preçodiario[[#This Row],[estoque AV]],0)</f>
        <v>0</v>
      </c>
      <c r="AJ28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Row],[data]])),((AJ284*AK284)+SUMIFS(estoque[valor total],estoque[produto],preçodiario[[#Headers],[OVO VERMELHO B]],estoque[data],preçodiario[[#This Row],[data]],estoque[fornecedor],"&lt;&gt;saída"))/(AK284+(SUMIFS(estoque[quantidade],estoque[produto],preçodiario[[#Headers],[OVO VERMELHO B]],estoque[fornecedor],"&lt;&gt;saída",estoque[data],preçodiario[[#This Row],[data]])))))</f>
        <v/>
      </c>
      <c r="AK285" s="22">
        <f>IF(preçodiario[[#This Row],[entrada BV]]=0,AK284-(SUMIFS(estoque[quantidade],estoque[fornecedor],"saída",estoque[produto],preçodiario[[#Headers],[OVO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Row],[data]]))+AK284+preçodiario[[#This Row],[entrada BV]])</f>
        <v>0</v>
      </c>
      <c r="AL285" s="22">
        <f>SUMIFS(estoque[quantidade],estoque[fornecedor],"&lt;&gt;saída",estoque[produto],preçodiario[[#Headers],[OVO VERMELHO B]],estoque[data],preçodiario[[#This Row],[data]])</f>
        <v>0</v>
      </c>
      <c r="AM285" s="20">
        <f>SUMIFS(estoque[valor total],estoque[fornecedor],"&lt;&gt;saída",estoque[produto],preçodiario[[#Headers],[OVO VERMELHO B]],estoque[data],preçodiario[[#This Row],[data]])</f>
        <v>0</v>
      </c>
      <c r="AN285" s="20">
        <f>IFERROR(preçodiario[[#This Row],[OVO VERMELHO B]]*preçodiario[[#This Row],[estoque BV]],0)</f>
        <v>0</v>
      </c>
      <c r="AO28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Row],[data]])),((AO284*AP284)+SUMIFS(estoque[valor total],estoque[produto],preçodiario[[#Headers],[OVO VERMELHO C]],estoque[data],preçodiario[[#This Row],[data]],estoque[fornecedor],"&lt;&gt;saída"))/(AP284+(SUMIFS(estoque[quantidade],estoque[produto],preçodiario[[#Headers],[OVO VERMELHO C]],estoque[fornecedor],"&lt;&gt;saída",estoque[data],preçodiario[[#This Row],[data]])))))</f>
        <v/>
      </c>
      <c r="AP285" s="22">
        <f>IF(preçodiario[[#This Row],[entrada CV]]=0,AP284-(SUMIFS(estoque[quantidade],estoque[fornecedor],"saída",estoque[produto],preçodiario[[#Headers],[OVO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Row],[data]]))+AP284+preçodiario[[#This Row],[entrada CV]])</f>
        <v>0</v>
      </c>
      <c r="AQ285" s="22">
        <f>SUMIFS(estoque[quantidade],estoque[fornecedor],"&lt;&gt;saída",estoque[produto],preçodiario[[#Headers],[OVO VERMELHO C]],estoque[data],preçodiario[[#This Row],[data]])</f>
        <v>0</v>
      </c>
      <c r="AR285" s="20">
        <f>SUMIFS(estoque[valor total],estoque[fornecedor],"&lt;&gt;saída",estoque[produto],preçodiario[[#Headers],[OVO VERMELHO C]],estoque[data],preçodiario[[#This Row],[data]])</f>
        <v>0</v>
      </c>
      <c r="AS285" s="20">
        <f>IFERROR(preçodiario[[#This Row],[OVO VERMELHO C]]*preçodiario[[#This Row],[estoque CV]],0)</f>
        <v>0</v>
      </c>
      <c r="AT28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Row],[data]])),((AT284*AU284)+SUMIFS(estoque[valor total],estoque[produto],preçodiario[[#Headers],[OVO VERMELHO EXTRA]],estoque[data],preçodiario[[#This Row],[data]],estoque[fornecedor],"&lt;&gt;saída"))/(AU284+(SUMIFS(estoque[quantidade],estoque[produto],preçodiario[[#Headers],[OVO VERMELHO EXTRA]],estoque[fornecedor],"&lt;&gt;saída",estoque[data],preçodiario[[#This Row],[data]])))))</f>
        <v/>
      </c>
      <c r="AU285" s="22">
        <f>IF(preçodiario[[#This Row],[entrada EV]]=0,AU284-(SUMIFS(estoque[quantidade],estoque[fornecedor],"saída",estoque[produto],preçodiario[[#Headers],[OVO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Row],[data]]))+AU284+preçodiario[[#This Row],[entrada EV]])</f>
        <v>0</v>
      </c>
      <c r="AV285" s="22">
        <f>SUMIFS(estoque[quantidade],estoque[fornecedor],"&lt;&gt;saída",estoque[produto],preçodiario[[#Headers],[OVO VERMELHO EXTRA]],estoque[data],preçodiario[[#This Row],[data]])</f>
        <v>0</v>
      </c>
      <c r="AW285" s="20">
        <f>SUMIFS(estoque[valor total],estoque[fornecedor],"&lt;&gt;saída",estoque[produto],preçodiario[[#Headers],[OVO VERMELHO EXTRA]],estoque[data],preçodiario[[#This Row],[data]])</f>
        <v>0</v>
      </c>
      <c r="AX285" s="20">
        <f>IFERROR(preçodiario[[#This Row],[OVO VERMELHO EXTRA]]*preçodiario[[#This Row],[estoque EV]],0)</f>
        <v>0</v>
      </c>
      <c r="AY28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Row],[data]])),((AY284*AZ284)+SUMIFS(estoque[valor total],estoque[produto],preçodiario[[#Headers],[OVO VERMELHO JUMBO]],estoque[data],preçodiario[[#This Row],[data]],estoque[fornecedor],"&lt;&gt;saída"))/(AZ284+(SUMIFS(estoque[quantidade],estoque[produto],preçodiario[[#Headers],[OVO VERMELHO JUMBO]],estoque[fornecedor],"&lt;&gt;saída",estoque[data],preçodiario[[#This Row],[data]])))))</f>
        <v/>
      </c>
      <c r="AZ285" s="22">
        <f>IF(preçodiario[[#This Row],[entrada JV]]=0,AZ284-(SUMIFS(estoque[quantidade],estoque[fornecedor],"saída",estoque[produto],preçodiario[[#Headers],[OVO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Row],[data]]))+AZ284+preçodiario[[#This Row],[entrada JV]])</f>
        <v>0</v>
      </c>
      <c r="BA285" s="22">
        <f>SUMIFS(estoque[quantidade],estoque[fornecedor],"&lt;&gt;saída",estoque[produto],preçodiario[[#Headers],[OVO VERMELHO JUMBO]],estoque[data],preçodiario[[#This Row],[data]])</f>
        <v>0</v>
      </c>
      <c r="BB285" s="20">
        <f>SUMIFS(estoque[valor total],estoque[fornecedor],"&lt;&gt;saída",estoque[produto],preçodiario[[#Headers],[OVO VERMELHO JUMBO]],estoque[data],preçodiario[[#This Row],[data]])</f>
        <v>0</v>
      </c>
      <c r="BC285" s="20">
        <f>IFERROR(preçodiario[[#This Row],[OVO VERMELHO JUMBO]]*preçodiario[[#This Row],[estoque JV]],0)</f>
        <v>0</v>
      </c>
      <c r="BD285" t="str">
        <f>TEXT(vendaAno[[#This Row],[data]],"mmm")</f>
        <v>out</v>
      </c>
      <c r="BE285" t="str">
        <f>TEXT(vendaAno[[#This Row],[data]],"ddd")</f>
        <v>dom</v>
      </c>
      <c r="BF285" s="82">
        <f>WEEKNUM(vendaAno[[#This Row],[data]],13)</f>
        <v>41</v>
      </c>
      <c r="BG285" s="27">
        <f>preçodiario[[#This Row],[data]]</f>
        <v>46306</v>
      </c>
      <c r="BH28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Row],[data]]))/12+BJ284,"")</f>
        <v/>
      </c>
      <c r="BK285" s="79" t="str">
        <f ca="1">IF(TODAY()&gt;=vendaAno[[#This Row],[data]],IF(SUMIFS(estoque[quantidade],estoque[fornecedor],"saída",estoque[data],vendaAno[[#This Row],[data]])/12=0,AVERAGE(BK282:BK284),SUMIFS(estoque[quantidade],estoque[fornecedor],"saída",estoque[data],vendaAno[[#This Row],[data]])/12),"")</f>
        <v/>
      </c>
      <c r="BL285" s="8" t="str">
        <f ca="1">IF(vendaAno[[#This Row],[data]]&lt;=TODAY(),IF(SUMIFS(estoque[lucro],estoque[fornecedor],"saída",estoque[data],vendaAno[[#This Row],[data]])=0,AVERAGE(BL282:BL284),SUMIFS(estoque[lucro],estoque[fornecedor],"saída",estoque[data],vendaAno[[#This Row],[data]])),"")</f>
        <v/>
      </c>
      <c r="BM285" s="10" t="str">
        <f ca="1">IFERROR(vendaAno[[#This Row],[lucro]]/vendaAno[[#This Row],[valor de venda]],"")</f>
        <v/>
      </c>
      <c r="BN28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5" s="8" t="str">
        <f ca="1">IF(TODAY()&gt;=vendaAno[[#This Row],[data]],IF(vendaAno[[#This Row],[N°]]=BF284,vendaAno[[#This Row],[lucro]]-173.33+BO284,vendaAno[[#This Row],[lucro]]-150),"")</f>
        <v/>
      </c>
      <c r="BP285" s="81" t="str">
        <f ca="1">IF(TODAY()&gt;=vendaAno[[#This Row],[data]],SUM(BK279:BK285)*12,"")</f>
        <v/>
      </c>
      <c r="BQ285" s="7" t="str">
        <f ca="1">IFERROR(vendaAno[[#This Row],[lucro]]/(vendaAno[[#This Row],[venda]]*12),"")</f>
        <v/>
      </c>
    </row>
    <row r="286" spans="1:69" x14ac:dyDescent="0.25">
      <c r="A28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6" s="18" t="str">
        <f>TEXT(preçodiario[[#This Row],[data]],"MMM")</f>
        <v>out</v>
      </c>
      <c r="C286" s="18" t="str">
        <f>TEXT(preçodiario[[#This Row],[data]],"ddd")</f>
        <v>seg</v>
      </c>
      <c r="D286" s="96">
        <f>WEEKNUM(preçodiario[[#This Row],[data]],13)</f>
        <v>41</v>
      </c>
      <c r="E286" s="37">
        <v>46307</v>
      </c>
      <c r="F28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Row],[data]])),((F285*G285)+SUMIFS(estoque[valor total],estoque[produto],preçodiario[[#Headers],[OVO BRANCO A]],estoque[data],preçodiario[[#This Row],[data]],estoque[fornecedor],"&lt;&gt;saída"))/(G285+(SUMIFS(estoque[quantidade],estoque[produto],preçodiario[[#Headers],[OVO BRANCO A]],estoque[fornecedor],"&lt;&gt;saída",estoque[data],preçodiario[[#This Row],[data]])))))</f>
        <v>15.278182701652089</v>
      </c>
      <c r="G286" s="22">
        <f>IF(preçodiario[[#This Row],[entrada A]]=0,G285-(SUMIFS(estoque[quantidade],estoque[fornecedor],"saída",estoque[produto],preçodiario[[#Headers],[OVO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Row],[data]]))+G285+preçodiario[[#This Row],[entrada A]])</f>
        <v>133</v>
      </c>
      <c r="H286" s="22">
        <f>SUMIFS(estoque[quantidade],estoque[fornecedor],"&lt;&gt;saída",estoque[produto],preçodiario[[#Headers],[OVO BRANCO A]],estoque[data],preçodiario[[#This Row],[data]])</f>
        <v>0</v>
      </c>
      <c r="I286" s="20">
        <f>SUMIFS(estoque[valor total],estoque[fornecedor],"&lt;&gt;saída",estoque[produto],preçodiario[[#Headers],[OVO BRANCO A]],estoque[data],preçodiario[[#This Row],[data]])</f>
        <v>0</v>
      </c>
      <c r="J286" s="20">
        <f>IFERROR(preçodiario[[#This Row],[estoque A]]*preçodiario[[#This Row],[OVO BRANCO A]],0)</f>
        <v>2031.9982993197277</v>
      </c>
      <c r="K28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Row],[data]])),((K285*L285)+SUMIFS(estoque[valor total],estoque[produto],preçodiario[[#Headers],[OVO BRANCO B]],estoque[data],preçodiario[[#This Row],[data]],estoque[fornecedor],"&lt;&gt;saída"))/(L285+(SUMIFS(estoque[quantidade],estoque[produto],preçodiario[[#Headers],[OVO BRANCO B]],estoque[fornecedor],"&lt;&gt;saída",estoque[data],preçodiario[[#This Row],[data]])))))</f>
        <v>14.584252837326604</v>
      </c>
      <c r="L286" s="22">
        <f>IF(preçodiario[[#This Row],[entrada B]]=0,L285-(SUMIFS(estoque[quantidade],estoque[fornecedor],"saída",estoque[produto],preçodiario[[#Headers],[OVO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Row],[data]]))+L285+preçodiario[[#This Row],[entrada B]])</f>
        <v>16</v>
      </c>
      <c r="M286" s="22">
        <f>SUMIFS(estoque[quantidade],estoque[fornecedor],"&lt;&gt;saída",estoque[produto],preçodiario[[#Headers],[OVO BRANCO B]],estoque[data],preçodiario[[#This Row],[data]])</f>
        <v>0</v>
      </c>
      <c r="N286" s="20">
        <f>SUMIFS(estoque[valor total],estoque[fornecedor],"&lt;&gt;saída",estoque[produto],preçodiario[[#Headers],[OVO BRANCO B]],estoque[data],preçodiario[[#This Row],[data]])</f>
        <v>0</v>
      </c>
      <c r="O286" s="20">
        <f>IFERROR(preçodiario[[#This Row],[OVO BRANCO B]]*preçodiario[[#This Row],[estoque B]],0)</f>
        <v>233.34804539722566</v>
      </c>
      <c r="P28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Row],[data]])),((P285*Q285)+SUMIFS(estoque[valor total],estoque[produto],preçodiario[[#Headers],[OVO BRANCO C]],estoque[data],preçodiario[[#This Row],[data]],estoque[fornecedor],"&lt;&gt;saída"))/(Q285+(SUMIFS(estoque[quantidade],estoque[produto],preçodiario[[#Headers],[OVO BRANCO C]],estoque[fornecedor],"&lt;&gt;saída",estoque[data],preçodiario[[#This Row],[data]])))))</f>
        <v>12.5</v>
      </c>
      <c r="Q286" s="22">
        <f>IF(preçodiario[[#This Row],[entrada C]]=0,Q285-(SUMIFS(estoque[quantidade],estoque[fornecedor],"saída",estoque[produto],preçodiario[[#Headers],[OVO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Row],[data]]))+Q285+preçodiario[[#This Row],[entrada C]])</f>
        <v>60</v>
      </c>
      <c r="R286" s="22">
        <f>SUMIFS(estoque[quantidade],estoque[fornecedor],"&lt;&gt;saída",estoque[produto],preçodiario[[#Headers],[OVO BRANCO C]],estoque[data],preçodiario[[#This Row],[data]])</f>
        <v>0</v>
      </c>
      <c r="S286" s="20">
        <f>SUMIFS(estoque[valor total],estoque[fornecedor],"&lt;&gt;saída",estoque[produto],preçodiario[[#Headers],[OVO BRANCO C]],estoque[data],preçodiario[[#This Row],[data]])</f>
        <v>0</v>
      </c>
      <c r="T286" s="20">
        <f>IFERROR(preçodiario[[#This Row],[OVO BRANCO C]]*preçodiario[[#This Row],[estoque C]],0)</f>
        <v>750</v>
      </c>
      <c r="U28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Row],[data]])),((U285*V285)+SUMIFS(estoque[valor total],estoque[produto],preçodiario[[#Headers],[OVO BRANCO EXTRA]],estoque[data],preçodiario[[#This Row],[data]],estoque[fornecedor],"&lt;&gt;saída"))/(V285+(SUMIFS(estoque[quantidade],estoque[produto],preçodiario[[#Headers],[OVO BRANCO EXTRA]],estoque[fornecedor],"&lt;&gt;saída",estoque[data],preçodiario[[#This Row],[data]])))))</f>
        <v>15.725438400674655</v>
      </c>
      <c r="V286" s="22">
        <f>IF(preçodiario[[#This Row],[entrada E]]=0,V285-(SUMIFS(estoque[quantidade],estoque[fornecedor],"saída",estoque[produto],preçodiario[[#Headers],[OVO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Row],[data]]))+V285+preçodiario[[#This Row],[entrada E]])</f>
        <v>46</v>
      </c>
      <c r="W286" s="22">
        <f>SUMIFS(estoque[quantidade],estoque[fornecedor],"&lt;&gt;saída",estoque[produto],preçodiario[[#Headers],[OVO BRANCO EXTRA]],estoque[data],preçodiario[[#This Row],[data]])</f>
        <v>0</v>
      </c>
      <c r="X286" s="20">
        <f>SUMIFS(estoque[valor total],estoque[fornecedor],"&lt;&gt;saída",estoque[produto],preçodiario[[#Headers],[OVO BRANCO EXTRA]],estoque[data],preçodiario[[#This Row],[data]])</f>
        <v>0</v>
      </c>
      <c r="Y286" s="20">
        <f>IFERROR(preçodiario[[#This Row],[estoque E]]*preçodiario[[#This Row],[OVO BRANCO EXTRA]],0)</f>
        <v>723.37016643103414</v>
      </c>
      <c r="Z28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Row],[data]])),((Z285*AA285)+SUMIFS(estoque[valor total],estoque[produto],preçodiario[[#Headers],[OVO BRANCO JUMBO]],estoque[data],preçodiario[[#This Row],[data]],estoque[fornecedor],"&lt;&gt;saída"))/(AA285+(SUMIFS(estoque[quantidade],estoque[produto],preçodiario[[#Headers],[OVO BRANCO JUMBO]],estoque[fornecedor],"&lt;&gt;saída",estoque[data],preçodiario[[#This Row],[data]])))))</f>
        <v>16.50550595238095</v>
      </c>
      <c r="AA286" s="22">
        <f>IF(preçodiario[[#This Row],[entrada J]]=0,AA285-(SUMIFS(estoque[quantidade],estoque[fornecedor],"saída",estoque[produto],preçodiario[[#Headers],[OVO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Row],[data]]))+AA285+preçodiario[[#This Row],[entrada J]])</f>
        <v>75</v>
      </c>
      <c r="AB286" s="22">
        <f>SUMIFS(estoque[quantidade],estoque[fornecedor],"&lt;&gt;saída",estoque[produto],preçodiario[[#Headers],[OVO BRANCO JUMBO]],estoque[data],preçodiario[[#This Row],[data]])</f>
        <v>0</v>
      </c>
      <c r="AC286" s="20">
        <f>SUMIFS(estoque[valor total],estoque[fornecedor],"&lt;&gt;saída",estoque[produto],preçodiario[[#Headers],[OVO BRANCO JUMBO]],estoque[data],preçodiario[[#This Row],[data]])</f>
        <v>0</v>
      </c>
      <c r="AD286" s="20">
        <f>IFERROR(preçodiario[[#This Row],[OVO BRANCO JUMBO]]*preçodiario[[#This Row],[estoque J]],0)</f>
        <v>1237.9129464285713</v>
      </c>
      <c r="AE28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Row],[data]])),((AE285*AF285)+SUMIFS(estoque[valor total],estoque[produto],preçodiario[[#Headers],[OVO VERMELHO A]],estoque[data],preçodiario[[#This Row],[data]],estoque[fornecedor],"&lt;&gt;saída"))/(AF285+(SUMIFS(estoque[quantidade],estoque[produto],preçodiario[[#Headers],[OVO VERMELHO A]],estoque[fornecedor],"&lt;&gt;saída",estoque[data],preçodiario[[#This Row],[data]])))))</f>
        <v/>
      </c>
      <c r="AF286" s="22">
        <f>IF(preçodiario[[#This Row],[entrada AV]]=0,AF285-(SUMIFS(estoque[quantidade],estoque[fornecedor],"saída",estoque[produto],preçodiario[[#Headers],[OVO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Row],[data]]))+AF285+preçodiario[[#This Row],[entrada AV]])</f>
        <v>0</v>
      </c>
      <c r="AG286" s="22">
        <f>SUMIFS(estoque[quantidade],estoque[fornecedor],"&lt;&gt;saída",estoque[produto],preçodiario[[#Headers],[OVO VERMELHO A]],estoque[data],preçodiario[[#This Row],[data]])</f>
        <v>0</v>
      </c>
      <c r="AH286" s="20">
        <f>SUMIFS(estoque[valor total],estoque[fornecedor],"&lt;&gt;saída",estoque[produto],preçodiario[[#Headers],[OVO VERMELHO A]],estoque[data],preçodiario[[#This Row],[data]])</f>
        <v>0</v>
      </c>
      <c r="AI286" s="20">
        <f>IFERROR(preçodiario[[#This Row],[OVO VERMELHO A]]*preçodiario[[#This Row],[estoque AV]],0)</f>
        <v>0</v>
      </c>
      <c r="AJ28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Row],[data]])),((AJ285*AK285)+SUMIFS(estoque[valor total],estoque[produto],preçodiario[[#Headers],[OVO VERMELHO B]],estoque[data],preçodiario[[#This Row],[data]],estoque[fornecedor],"&lt;&gt;saída"))/(AK285+(SUMIFS(estoque[quantidade],estoque[produto],preçodiario[[#Headers],[OVO VERMELHO B]],estoque[fornecedor],"&lt;&gt;saída",estoque[data],preçodiario[[#This Row],[data]])))))</f>
        <v/>
      </c>
      <c r="AK286" s="22">
        <f>IF(preçodiario[[#This Row],[entrada BV]]=0,AK285-(SUMIFS(estoque[quantidade],estoque[fornecedor],"saída",estoque[produto],preçodiario[[#Headers],[OVO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Row],[data]]))+AK285+preçodiario[[#This Row],[entrada BV]])</f>
        <v>0</v>
      </c>
      <c r="AL286" s="22">
        <f>SUMIFS(estoque[quantidade],estoque[fornecedor],"&lt;&gt;saída",estoque[produto],preçodiario[[#Headers],[OVO VERMELHO B]],estoque[data],preçodiario[[#This Row],[data]])</f>
        <v>0</v>
      </c>
      <c r="AM286" s="20">
        <f>SUMIFS(estoque[valor total],estoque[fornecedor],"&lt;&gt;saída",estoque[produto],preçodiario[[#Headers],[OVO VERMELHO B]],estoque[data],preçodiario[[#This Row],[data]])</f>
        <v>0</v>
      </c>
      <c r="AN286" s="20">
        <f>IFERROR(preçodiario[[#This Row],[OVO VERMELHO B]]*preçodiario[[#This Row],[estoque BV]],0)</f>
        <v>0</v>
      </c>
      <c r="AO28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Row],[data]])),((AO285*AP285)+SUMIFS(estoque[valor total],estoque[produto],preçodiario[[#Headers],[OVO VERMELHO C]],estoque[data],preçodiario[[#This Row],[data]],estoque[fornecedor],"&lt;&gt;saída"))/(AP285+(SUMIFS(estoque[quantidade],estoque[produto],preçodiario[[#Headers],[OVO VERMELHO C]],estoque[fornecedor],"&lt;&gt;saída",estoque[data],preçodiario[[#This Row],[data]])))))</f>
        <v/>
      </c>
      <c r="AP286" s="22">
        <f>IF(preçodiario[[#This Row],[entrada CV]]=0,AP285-(SUMIFS(estoque[quantidade],estoque[fornecedor],"saída",estoque[produto],preçodiario[[#Headers],[OVO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Row],[data]]))+AP285+preçodiario[[#This Row],[entrada CV]])</f>
        <v>0</v>
      </c>
      <c r="AQ286" s="22">
        <f>SUMIFS(estoque[quantidade],estoque[fornecedor],"&lt;&gt;saída",estoque[produto],preçodiario[[#Headers],[OVO VERMELHO C]],estoque[data],preçodiario[[#This Row],[data]])</f>
        <v>0</v>
      </c>
      <c r="AR286" s="20">
        <f>SUMIFS(estoque[valor total],estoque[fornecedor],"&lt;&gt;saída",estoque[produto],preçodiario[[#Headers],[OVO VERMELHO C]],estoque[data],preçodiario[[#This Row],[data]])</f>
        <v>0</v>
      </c>
      <c r="AS286" s="20">
        <f>IFERROR(preçodiario[[#This Row],[OVO VERMELHO C]]*preçodiario[[#This Row],[estoque CV]],0)</f>
        <v>0</v>
      </c>
      <c r="AT28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Row],[data]])),((AT285*AU285)+SUMIFS(estoque[valor total],estoque[produto],preçodiario[[#Headers],[OVO VERMELHO EXTRA]],estoque[data],preçodiario[[#This Row],[data]],estoque[fornecedor],"&lt;&gt;saída"))/(AU285+(SUMIFS(estoque[quantidade],estoque[produto],preçodiario[[#Headers],[OVO VERMELHO EXTRA]],estoque[fornecedor],"&lt;&gt;saída",estoque[data],preçodiario[[#This Row],[data]])))))</f>
        <v/>
      </c>
      <c r="AU286" s="22">
        <f>IF(preçodiario[[#This Row],[entrada EV]]=0,AU285-(SUMIFS(estoque[quantidade],estoque[fornecedor],"saída",estoque[produto],preçodiario[[#Headers],[OVO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Row],[data]]))+AU285+preçodiario[[#This Row],[entrada EV]])</f>
        <v>0</v>
      </c>
      <c r="AV286" s="22">
        <f>SUMIFS(estoque[quantidade],estoque[fornecedor],"&lt;&gt;saída",estoque[produto],preçodiario[[#Headers],[OVO VERMELHO EXTRA]],estoque[data],preçodiario[[#This Row],[data]])</f>
        <v>0</v>
      </c>
      <c r="AW286" s="20">
        <f>SUMIFS(estoque[valor total],estoque[fornecedor],"&lt;&gt;saída",estoque[produto],preçodiario[[#Headers],[OVO VERMELHO EXTRA]],estoque[data],preçodiario[[#This Row],[data]])</f>
        <v>0</v>
      </c>
      <c r="AX286" s="20">
        <f>IFERROR(preçodiario[[#This Row],[OVO VERMELHO EXTRA]]*preçodiario[[#This Row],[estoque EV]],0)</f>
        <v>0</v>
      </c>
      <c r="AY28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Row],[data]])),((AY285*AZ285)+SUMIFS(estoque[valor total],estoque[produto],preçodiario[[#Headers],[OVO VERMELHO JUMBO]],estoque[data],preçodiario[[#This Row],[data]],estoque[fornecedor],"&lt;&gt;saída"))/(AZ285+(SUMIFS(estoque[quantidade],estoque[produto],preçodiario[[#Headers],[OVO VERMELHO JUMBO]],estoque[fornecedor],"&lt;&gt;saída",estoque[data],preçodiario[[#This Row],[data]])))))</f>
        <v/>
      </c>
      <c r="AZ286" s="22">
        <f>IF(preçodiario[[#This Row],[entrada JV]]=0,AZ285-(SUMIFS(estoque[quantidade],estoque[fornecedor],"saída",estoque[produto],preçodiario[[#Headers],[OVO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Row],[data]]))+AZ285+preçodiario[[#This Row],[entrada JV]])</f>
        <v>0</v>
      </c>
      <c r="BA286" s="22">
        <f>SUMIFS(estoque[quantidade],estoque[fornecedor],"&lt;&gt;saída",estoque[produto],preçodiario[[#Headers],[OVO VERMELHO JUMBO]],estoque[data],preçodiario[[#This Row],[data]])</f>
        <v>0</v>
      </c>
      <c r="BB286" s="20">
        <f>SUMIFS(estoque[valor total],estoque[fornecedor],"&lt;&gt;saída",estoque[produto],preçodiario[[#Headers],[OVO VERMELHO JUMBO]],estoque[data],preçodiario[[#This Row],[data]])</f>
        <v>0</v>
      </c>
      <c r="BC286" s="20">
        <f>IFERROR(preçodiario[[#This Row],[OVO VERMELHO JUMBO]]*preçodiario[[#This Row],[estoque JV]],0)</f>
        <v>0</v>
      </c>
      <c r="BD286" t="str">
        <f>TEXT(vendaAno[[#This Row],[data]],"mmm")</f>
        <v>out</v>
      </c>
      <c r="BE286" t="str">
        <f>TEXT(vendaAno[[#This Row],[data]],"ddd")</f>
        <v>seg</v>
      </c>
      <c r="BF286" s="82">
        <f>WEEKNUM(vendaAno[[#This Row],[data]],13)</f>
        <v>41</v>
      </c>
      <c r="BG286" s="27">
        <f>preçodiario[[#This Row],[data]]</f>
        <v>46307</v>
      </c>
      <c r="BH28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Row],[data]]))/12+BJ285,"")</f>
        <v/>
      </c>
      <c r="BK286" s="79" t="str">
        <f ca="1">IF(TODAY()&gt;=vendaAno[[#This Row],[data]],IF(SUMIFS(estoque[quantidade],estoque[fornecedor],"saída",estoque[data],vendaAno[[#This Row],[data]])/12=0,AVERAGE(BK283:BK285),SUMIFS(estoque[quantidade],estoque[fornecedor],"saída",estoque[data],vendaAno[[#This Row],[data]])/12),"")</f>
        <v/>
      </c>
      <c r="BL286" s="8" t="str">
        <f ca="1">IF(vendaAno[[#This Row],[data]]&lt;=TODAY(),IF(SUMIFS(estoque[lucro],estoque[fornecedor],"saída",estoque[data],vendaAno[[#This Row],[data]])=0,AVERAGE(BL283:BL285),SUMIFS(estoque[lucro],estoque[fornecedor],"saída",estoque[data],vendaAno[[#This Row],[data]])),"")</f>
        <v/>
      </c>
      <c r="BM286" s="10" t="str">
        <f ca="1">IFERROR(vendaAno[[#This Row],[lucro]]/vendaAno[[#This Row],[valor de venda]],"")</f>
        <v/>
      </c>
      <c r="BN28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6" s="8" t="str">
        <f ca="1">IF(TODAY()&gt;=vendaAno[[#This Row],[data]],IF(vendaAno[[#This Row],[N°]]=BF285,vendaAno[[#This Row],[lucro]]-173.33+BO285,vendaAno[[#This Row],[lucro]]-150),"")</f>
        <v/>
      </c>
      <c r="BP286" s="81" t="str">
        <f ca="1">IF(TODAY()&gt;=vendaAno[[#This Row],[data]],SUM(BK280:BK286)*12,"")</f>
        <v/>
      </c>
      <c r="BQ286" s="7" t="str">
        <f ca="1">IFERROR(vendaAno[[#This Row],[lucro]]/(vendaAno[[#This Row],[venda]]*12),"")</f>
        <v/>
      </c>
    </row>
    <row r="287" spans="1:69" x14ac:dyDescent="0.25">
      <c r="A28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7" s="18" t="str">
        <f>TEXT(preçodiario[[#This Row],[data]],"MMM")</f>
        <v>out</v>
      </c>
      <c r="C287" s="18" t="str">
        <f>TEXT(preçodiario[[#This Row],[data]],"ddd")</f>
        <v>ter</v>
      </c>
      <c r="D287" s="96">
        <f>WEEKNUM(preçodiario[[#This Row],[data]],13)</f>
        <v>41</v>
      </c>
      <c r="E287" s="37">
        <v>46308</v>
      </c>
      <c r="F28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Row],[data]])),((F286*G286)+SUMIFS(estoque[valor total],estoque[produto],preçodiario[[#Headers],[OVO BRANCO A]],estoque[data],preçodiario[[#This Row],[data]],estoque[fornecedor],"&lt;&gt;saída"))/(G286+(SUMIFS(estoque[quantidade],estoque[produto],preçodiario[[#Headers],[OVO BRANCO A]],estoque[fornecedor],"&lt;&gt;saída",estoque[data],preçodiario[[#This Row],[data]])))))</f>
        <v>15.278182701652089</v>
      </c>
      <c r="G287" s="22">
        <f>IF(preçodiario[[#This Row],[entrada A]]=0,G286-(SUMIFS(estoque[quantidade],estoque[fornecedor],"saída",estoque[produto],preçodiario[[#Headers],[OVO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Row],[data]]))+G286+preçodiario[[#This Row],[entrada A]])</f>
        <v>133</v>
      </c>
      <c r="H287" s="22">
        <f>SUMIFS(estoque[quantidade],estoque[fornecedor],"&lt;&gt;saída",estoque[produto],preçodiario[[#Headers],[OVO BRANCO A]],estoque[data],preçodiario[[#This Row],[data]])</f>
        <v>0</v>
      </c>
      <c r="I287" s="20">
        <f>SUMIFS(estoque[valor total],estoque[fornecedor],"&lt;&gt;saída",estoque[produto],preçodiario[[#Headers],[OVO BRANCO A]],estoque[data],preçodiario[[#This Row],[data]])</f>
        <v>0</v>
      </c>
      <c r="J287" s="20">
        <f>IFERROR(preçodiario[[#This Row],[estoque A]]*preçodiario[[#This Row],[OVO BRANCO A]],0)</f>
        <v>2031.9982993197277</v>
      </c>
      <c r="K28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Row],[data]])),((K286*L286)+SUMIFS(estoque[valor total],estoque[produto],preçodiario[[#Headers],[OVO BRANCO B]],estoque[data],preçodiario[[#This Row],[data]],estoque[fornecedor],"&lt;&gt;saída"))/(L286+(SUMIFS(estoque[quantidade],estoque[produto],preçodiario[[#Headers],[OVO BRANCO B]],estoque[fornecedor],"&lt;&gt;saída",estoque[data],preçodiario[[#This Row],[data]])))))</f>
        <v>14.584252837326604</v>
      </c>
      <c r="L287" s="22">
        <f>IF(preçodiario[[#This Row],[entrada B]]=0,L286-(SUMIFS(estoque[quantidade],estoque[fornecedor],"saída",estoque[produto],preçodiario[[#Headers],[OVO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Row],[data]]))+L286+preçodiario[[#This Row],[entrada B]])</f>
        <v>16</v>
      </c>
      <c r="M287" s="22">
        <f>SUMIFS(estoque[quantidade],estoque[fornecedor],"&lt;&gt;saída",estoque[produto],preçodiario[[#Headers],[OVO BRANCO B]],estoque[data],preçodiario[[#This Row],[data]])</f>
        <v>0</v>
      </c>
      <c r="N287" s="20">
        <f>SUMIFS(estoque[valor total],estoque[fornecedor],"&lt;&gt;saída",estoque[produto],preçodiario[[#Headers],[OVO BRANCO B]],estoque[data],preçodiario[[#This Row],[data]])</f>
        <v>0</v>
      </c>
      <c r="O287" s="20">
        <f>IFERROR(preçodiario[[#This Row],[OVO BRANCO B]]*preçodiario[[#This Row],[estoque B]],0)</f>
        <v>233.34804539722566</v>
      </c>
      <c r="P28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Row],[data]])),((P286*Q286)+SUMIFS(estoque[valor total],estoque[produto],preçodiario[[#Headers],[OVO BRANCO C]],estoque[data],preçodiario[[#This Row],[data]],estoque[fornecedor],"&lt;&gt;saída"))/(Q286+(SUMIFS(estoque[quantidade],estoque[produto],preçodiario[[#Headers],[OVO BRANCO C]],estoque[fornecedor],"&lt;&gt;saída",estoque[data],preçodiario[[#This Row],[data]])))))</f>
        <v>12.5</v>
      </c>
      <c r="Q287" s="22">
        <f>IF(preçodiario[[#This Row],[entrada C]]=0,Q286-(SUMIFS(estoque[quantidade],estoque[fornecedor],"saída",estoque[produto],preçodiario[[#Headers],[OVO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Row],[data]]))+Q286+preçodiario[[#This Row],[entrada C]])</f>
        <v>60</v>
      </c>
      <c r="R287" s="22">
        <f>SUMIFS(estoque[quantidade],estoque[fornecedor],"&lt;&gt;saída",estoque[produto],preçodiario[[#Headers],[OVO BRANCO C]],estoque[data],preçodiario[[#This Row],[data]])</f>
        <v>0</v>
      </c>
      <c r="S287" s="20">
        <f>SUMIFS(estoque[valor total],estoque[fornecedor],"&lt;&gt;saída",estoque[produto],preçodiario[[#Headers],[OVO BRANCO C]],estoque[data],preçodiario[[#This Row],[data]])</f>
        <v>0</v>
      </c>
      <c r="T287" s="20">
        <f>IFERROR(preçodiario[[#This Row],[OVO BRANCO C]]*preçodiario[[#This Row],[estoque C]],0)</f>
        <v>750</v>
      </c>
      <c r="U28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Row],[data]])),((U286*V286)+SUMIFS(estoque[valor total],estoque[produto],preçodiario[[#Headers],[OVO BRANCO EXTRA]],estoque[data],preçodiario[[#This Row],[data]],estoque[fornecedor],"&lt;&gt;saída"))/(V286+(SUMIFS(estoque[quantidade],estoque[produto],preçodiario[[#Headers],[OVO BRANCO EXTRA]],estoque[fornecedor],"&lt;&gt;saída",estoque[data],preçodiario[[#This Row],[data]])))))</f>
        <v>15.725438400674655</v>
      </c>
      <c r="V287" s="22">
        <f>IF(preçodiario[[#This Row],[entrada E]]=0,V286-(SUMIFS(estoque[quantidade],estoque[fornecedor],"saída",estoque[produto],preçodiario[[#Headers],[OVO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Row],[data]]))+V286+preçodiario[[#This Row],[entrada E]])</f>
        <v>46</v>
      </c>
      <c r="W287" s="22">
        <f>SUMIFS(estoque[quantidade],estoque[fornecedor],"&lt;&gt;saída",estoque[produto],preçodiario[[#Headers],[OVO BRANCO EXTRA]],estoque[data],preçodiario[[#This Row],[data]])</f>
        <v>0</v>
      </c>
      <c r="X287" s="20">
        <f>SUMIFS(estoque[valor total],estoque[fornecedor],"&lt;&gt;saída",estoque[produto],preçodiario[[#Headers],[OVO BRANCO EXTRA]],estoque[data],preçodiario[[#This Row],[data]])</f>
        <v>0</v>
      </c>
      <c r="Y287" s="20">
        <f>IFERROR(preçodiario[[#This Row],[estoque E]]*preçodiario[[#This Row],[OVO BRANCO EXTRA]],0)</f>
        <v>723.37016643103414</v>
      </c>
      <c r="Z28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Row],[data]])),((Z286*AA286)+SUMIFS(estoque[valor total],estoque[produto],preçodiario[[#Headers],[OVO BRANCO JUMBO]],estoque[data],preçodiario[[#This Row],[data]],estoque[fornecedor],"&lt;&gt;saída"))/(AA286+(SUMIFS(estoque[quantidade],estoque[produto],preçodiario[[#Headers],[OVO BRANCO JUMBO]],estoque[fornecedor],"&lt;&gt;saída",estoque[data],preçodiario[[#This Row],[data]])))))</f>
        <v>16.50550595238095</v>
      </c>
      <c r="AA287" s="22">
        <f>IF(preçodiario[[#This Row],[entrada J]]=0,AA286-(SUMIFS(estoque[quantidade],estoque[fornecedor],"saída",estoque[produto],preçodiario[[#Headers],[OVO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Row],[data]]))+AA286+preçodiario[[#This Row],[entrada J]])</f>
        <v>75</v>
      </c>
      <c r="AB287" s="22">
        <f>SUMIFS(estoque[quantidade],estoque[fornecedor],"&lt;&gt;saída",estoque[produto],preçodiario[[#Headers],[OVO BRANCO JUMBO]],estoque[data],preçodiario[[#This Row],[data]])</f>
        <v>0</v>
      </c>
      <c r="AC287" s="20">
        <f>SUMIFS(estoque[valor total],estoque[fornecedor],"&lt;&gt;saída",estoque[produto],preçodiario[[#Headers],[OVO BRANCO JUMBO]],estoque[data],preçodiario[[#This Row],[data]])</f>
        <v>0</v>
      </c>
      <c r="AD287" s="20">
        <f>IFERROR(preçodiario[[#This Row],[OVO BRANCO JUMBO]]*preçodiario[[#This Row],[estoque J]],0)</f>
        <v>1237.9129464285713</v>
      </c>
      <c r="AE28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Row],[data]])),((AE286*AF286)+SUMIFS(estoque[valor total],estoque[produto],preçodiario[[#Headers],[OVO VERMELHO A]],estoque[data],preçodiario[[#This Row],[data]],estoque[fornecedor],"&lt;&gt;saída"))/(AF286+(SUMIFS(estoque[quantidade],estoque[produto],preçodiario[[#Headers],[OVO VERMELHO A]],estoque[fornecedor],"&lt;&gt;saída",estoque[data],preçodiario[[#This Row],[data]])))))</f>
        <v/>
      </c>
      <c r="AF287" s="22">
        <f>IF(preçodiario[[#This Row],[entrada AV]]=0,AF286-(SUMIFS(estoque[quantidade],estoque[fornecedor],"saída",estoque[produto],preçodiario[[#Headers],[OVO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Row],[data]]))+AF286+preçodiario[[#This Row],[entrada AV]])</f>
        <v>0</v>
      </c>
      <c r="AG287" s="22">
        <f>SUMIFS(estoque[quantidade],estoque[fornecedor],"&lt;&gt;saída",estoque[produto],preçodiario[[#Headers],[OVO VERMELHO A]],estoque[data],preçodiario[[#This Row],[data]])</f>
        <v>0</v>
      </c>
      <c r="AH287" s="20">
        <f>SUMIFS(estoque[valor total],estoque[fornecedor],"&lt;&gt;saída",estoque[produto],preçodiario[[#Headers],[OVO VERMELHO A]],estoque[data],preçodiario[[#This Row],[data]])</f>
        <v>0</v>
      </c>
      <c r="AI287" s="20">
        <f>IFERROR(preçodiario[[#This Row],[OVO VERMELHO A]]*preçodiario[[#This Row],[estoque AV]],0)</f>
        <v>0</v>
      </c>
      <c r="AJ28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Row],[data]])),((AJ286*AK286)+SUMIFS(estoque[valor total],estoque[produto],preçodiario[[#Headers],[OVO VERMELHO B]],estoque[data],preçodiario[[#This Row],[data]],estoque[fornecedor],"&lt;&gt;saída"))/(AK286+(SUMIFS(estoque[quantidade],estoque[produto],preçodiario[[#Headers],[OVO VERMELHO B]],estoque[fornecedor],"&lt;&gt;saída",estoque[data],preçodiario[[#This Row],[data]])))))</f>
        <v/>
      </c>
      <c r="AK287" s="22">
        <f>IF(preçodiario[[#This Row],[entrada BV]]=0,AK286-(SUMIFS(estoque[quantidade],estoque[fornecedor],"saída",estoque[produto],preçodiario[[#Headers],[OVO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Row],[data]]))+AK286+preçodiario[[#This Row],[entrada BV]])</f>
        <v>0</v>
      </c>
      <c r="AL287" s="22">
        <f>SUMIFS(estoque[quantidade],estoque[fornecedor],"&lt;&gt;saída",estoque[produto],preçodiario[[#Headers],[OVO VERMELHO B]],estoque[data],preçodiario[[#This Row],[data]])</f>
        <v>0</v>
      </c>
      <c r="AM287" s="20">
        <f>SUMIFS(estoque[valor total],estoque[fornecedor],"&lt;&gt;saída",estoque[produto],preçodiario[[#Headers],[OVO VERMELHO B]],estoque[data],preçodiario[[#This Row],[data]])</f>
        <v>0</v>
      </c>
      <c r="AN287" s="20">
        <f>IFERROR(preçodiario[[#This Row],[OVO VERMELHO B]]*preçodiario[[#This Row],[estoque BV]],0)</f>
        <v>0</v>
      </c>
      <c r="AO28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Row],[data]])),((AO286*AP286)+SUMIFS(estoque[valor total],estoque[produto],preçodiario[[#Headers],[OVO VERMELHO C]],estoque[data],preçodiario[[#This Row],[data]],estoque[fornecedor],"&lt;&gt;saída"))/(AP286+(SUMIFS(estoque[quantidade],estoque[produto],preçodiario[[#Headers],[OVO VERMELHO C]],estoque[fornecedor],"&lt;&gt;saída",estoque[data],preçodiario[[#This Row],[data]])))))</f>
        <v/>
      </c>
      <c r="AP287" s="22">
        <f>IF(preçodiario[[#This Row],[entrada CV]]=0,AP286-(SUMIFS(estoque[quantidade],estoque[fornecedor],"saída",estoque[produto],preçodiario[[#Headers],[OVO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Row],[data]]))+AP286+preçodiario[[#This Row],[entrada CV]])</f>
        <v>0</v>
      </c>
      <c r="AQ287" s="22">
        <f>SUMIFS(estoque[quantidade],estoque[fornecedor],"&lt;&gt;saída",estoque[produto],preçodiario[[#Headers],[OVO VERMELHO C]],estoque[data],preçodiario[[#This Row],[data]])</f>
        <v>0</v>
      </c>
      <c r="AR287" s="20">
        <f>SUMIFS(estoque[valor total],estoque[fornecedor],"&lt;&gt;saída",estoque[produto],preçodiario[[#Headers],[OVO VERMELHO C]],estoque[data],preçodiario[[#This Row],[data]])</f>
        <v>0</v>
      </c>
      <c r="AS287" s="20">
        <f>IFERROR(preçodiario[[#This Row],[OVO VERMELHO C]]*preçodiario[[#This Row],[estoque CV]],0)</f>
        <v>0</v>
      </c>
      <c r="AT28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Row],[data]])),((AT286*AU286)+SUMIFS(estoque[valor total],estoque[produto],preçodiario[[#Headers],[OVO VERMELHO EXTRA]],estoque[data],preçodiario[[#This Row],[data]],estoque[fornecedor],"&lt;&gt;saída"))/(AU286+(SUMIFS(estoque[quantidade],estoque[produto],preçodiario[[#Headers],[OVO VERMELHO EXTRA]],estoque[fornecedor],"&lt;&gt;saída",estoque[data],preçodiario[[#This Row],[data]])))))</f>
        <v/>
      </c>
      <c r="AU287" s="22">
        <f>IF(preçodiario[[#This Row],[entrada EV]]=0,AU286-(SUMIFS(estoque[quantidade],estoque[fornecedor],"saída",estoque[produto],preçodiario[[#Headers],[OVO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Row],[data]]))+AU286+preçodiario[[#This Row],[entrada EV]])</f>
        <v>0</v>
      </c>
      <c r="AV287" s="22">
        <f>SUMIFS(estoque[quantidade],estoque[fornecedor],"&lt;&gt;saída",estoque[produto],preçodiario[[#Headers],[OVO VERMELHO EXTRA]],estoque[data],preçodiario[[#This Row],[data]])</f>
        <v>0</v>
      </c>
      <c r="AW287" s="20">
        <f>SUMIFS(estoque[valor total],estoque[fornecedor],"&lt;&gt;saída",estoque[produto],preçodiario[[#Headers],[OVO VERMELHO EXTRA]],estoque[data],preçodiario[[#This Row],[data]])</f>
        <v>0</v>
      </c>
      <c r="AX287" s="20">
        <f>IFERROR(preçodiario[[#This Row],[OVO VERMELHO EXTRA]]*preçodiario[[#This Row],[estoque EV]],0)</f>
        <v>0</v>
      </c>
      <c r="AY28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Row],[data]])),((AY286*AZ286)+SUMIFS(estoque[valor total],estoque[produto],preçodiario[[#Headers],[OVO VERMELHO JUMBO]],estoque[data],preçodiario[[#This Row],[data]],estoque[fornecedor],"&lt;&gt;saída"))/(AZ286+(SUMIFS(estoque[quantidade],estoque[produto],preçodiario[[#Headers],[OVO VERMELHO JUMBO]],estoque[fornecedor],"&lt;&gt;saída",estoque[data],preçodiario[[#This Row],[data]])))))</f>
        <v/>
      </c>
      <c r="AZ287" s="22">
        <f>IF(preçodiario[[#This Row],[entrada JV]]=0,AZ286-(SUMIFS(estoque[quantidade],estoque[fornecedor],"saída",estoque[produto],preçodiario[[#Headers],[OVO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Row],[data]]))+AZ286+preçodiario[[#This Row],[entrada JV]])</f>
        <v>0</v>
      </c>
      <c r="BA287" s="22">
        <f>SUMIFS(estoque[quantidade],estoque[fornecedor],"&lt;&gt;saída",estoque[produto],preçodiario[[#Headers],[OVO VERMELHO JUMBO]],estoque[data],preçodiario[[#This Row],[data]])</f>
        <v>0</v>
      </c>
      <c r="BB287" s="20">
        <f>SUMIFS(estoque[valor total],estoque[fornecedor],"&lt;&gt;saída",estoque[produto],preçodiario[[#Headers],[OVO VERMELHO JUMBO]],estoque[data],preçodiario[[#This Row],[data]])</f>
        <v>0</v>
      </c>
      <c r="BC287" s="20">
        <f>IFERROR(preçodiario[[#This Row],[OVO VERMELHO JUMBO]]*preçodiario[[#This Row],[estoque JV]],0)</f>
        <v>0</v>
      </c>
      <c r="BD287" t="str">
        <f>TEXT(vendaAno[[#This Row],[data]],"mmm")</f>
        <v>out</v>
      </c>
      <c r="BE287" t="str">
        <f>TEXT(vendaAno[[#This Row],[data]],"ddd")</f>
        <v>ter</v>
      </c>
      <c r="BF287" s="82">
        <f>WEEKNUM(vendaAno[[#This Row],[data]],13)</f>
        <v>41</v>
      </c>
      <c r="BG287" s="27">
        <f>preçodiario[[#This Row],[data]]</f>
        <v>46308</v>
      </c>
      <c r="BH28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Row],[data]]))/12+BJ286,"")</f>
        <v/>
      </c>
      <c r="BK287" s="79" t="str">
        <f ca="1">IF(TODAY()&gt;=vendaAno[[#This Row],[data]],IF(SUMIFS(estoque[quantidade],estoque[fornecedor],"saída",estoque[data],vendaAno[[#This Row],[data]])/12=0,AVERAGE(BK284:BK286),SUMIFS(estoque[quantidade],estoque[fornecedor],"saída",estoque[data],vendaAno[[#This Row],[data]])/12),"")</f>
        <v/>
      </c>
      <c r="BL287" s="8" t="str">
        <f ca="1">IF(vendaAno[[#This Row],[data]]&lt;=TODAY(),IF(SUMIFS(estoque[lucro],estoque[fornecedor],"saída",estoque[data],vendaAno[[#This Row],[data]])=0,AVERAGE(BL284:BL286),SUMIFS(estoque[lucro],estoque[fornecedor],"saída",estoque[data],vendaAno[[#This Row],[data]])),"")</f>
        <v/>
      </c>
      <c r="BM287" s="10" t="str">
        <f ca="1">IFERROR(vendaAno[[#This Row],[lucro]]/vendaAno[[#This Row],[valor de venda]],"")</f>
        <v/>
      </c>
      <c r="BN28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7" s="8" t="str">
        <f ca="1">IF(TODAY()&gt;=vendaAno[[#This Row],[data]],IF(vendaAno[[#This Row],[N°]]=BF286,vendaAno[[#This Row],[lucro]]-173.33+BO286,vendaAno[[#This Row],[lucro]]-150),"")</f>
        <v/>
      </c>
      <c r="BP287" s="81" t="str">
        <f ca="1">IF(TODAY()&gt;=vendaAno[[#This Row],[data]],SUM(BK281:BK287)*12,"")</f>
        <v/>
      </c>
      <c r="BQ287" s="7" t="str">
        <f ca="1">IFERROR(vendaAno[[#This Row],[lucro]]/(vendaAno[[#This Row],[venda]]*12),"")</f>
        <v/>
      </c>
    </row>
    <row r="288" spans="1:69" x14ac:dyDescent="0.25">
      <c r="A28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8" s="18" t="str">
        <f>TEXT(preçodiario[[#This Row],[data]],"MMM")</f>
        <v>out</v>
      </c>
      <c r="C288" s="18" t="str">
        <f>TEXT(preçodiario[[#This Row],[data]],"ddd")</f>
        <v>qua</v>
      </c>
      <c r="D288" s="96">
        <f>WEEKNUM(preçodiario[[#This Row],[data]],13)</f>
        <v>42</v>
      </c>
      <c r="E288" s="37">
        <v>46309</v>
      </c>
      <c r="F28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Row],[data]])),((F287*G287)+SUMIFS(estoque[valor total],estoque[produto],preçodiario[[#Headers],[OVO BRANCO A]],estoque[data],preçodiario[[#This Row],[data]],estoque[fornecedor],"&lt;&gt;saída"))/(G287+(SUMIFS(estoque[quantidade],estoque[produto],preçodiario[[#Headers],[OVO BRANCO A]],estoque[fornecedor],"&lt;&gt;saída",estoque[data],preçodiario[[#This Row],[data]])))))</f>
        <v>15.278182701652089</v>
      </c>
      <c r="G288" s="22">
        <f>IF(preçodiario[[#This Row],[entrada A]]=0,G287-(SUMIFS(estoque[quantidade],estoque[fornecedor],"saída",estoque[produto],preçodiario[[#Headers],[OVO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Row],[data]]))+G287+preçodiario[[#This Row],[entrada A]])</f>
        <v>133</v>
      </c>
      <c r="H288" s="22">
        <f>SUMIFS(estoque[quantidade],estoque[fornecedor],"&lt;&gt;saída",estoque[produto],preçodiario[[#Headers],[OVO BRANCO A]],estoque[data],preçodiario[[#This Row],[data]])</f>
        <v>0</v>
      </c>
      <c r="I288" s="20">
        <f>SUMIFS(estoque[valor total],estoque[fornecedor],"&lt;&gt;saída",estoque[produto],preçodiario[[#Headers],[OVO BRANCO A]],estoque[data],preçodiario[[#This Row],[data]])</f>
        <v>0</v>
      </c>
      <c r="J288" s="20">
        <f>IFERROR(preçodiario[[#This Row],[estoque A]]*preçodiario[[#This Row],[OVO BRANCO A]],0)</f>
        <v>2031.9982993197277</v>
      </c>
      <c r="K28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Row],[data]])),((K287*L287)+SUMIFS(estoque[valor total],estoque[produto],preçodiario[[#Headers],[OVO BRANCO B]],estoque[data],preçodiario[[#This Row],[data]],estoque[fornecedor],"&lt;&gt;saída"))/(L287+(SUMIFS(estoque[quantidade],estoque[produto],preçodiario[[#Headers],[OVO BRANCO B]],estoque[fornecedor],"&lt;&gt;saída",estoque[data],preçodiario[[#This Row],[data]])))))</f>
        <v>14.584252837326604</v>
      </c>
      <c r="L288" s="22">
        <f>IF(preçodiario[[#This Row],[entrada B]]=0,L287-(SUMIFS(estoque[quantidade],estoque[fornecedor],"saída",estoque[produto],preçodiario[[#Headers],[OVO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Row],[data]]))+L287+preçodiario[[#This Row],[entrada B]])</f>
        <v>16</v>
      </c>
      <c r="M288" s="22">
        <f>SUMIFS(estoque[quantidade],estoque[fornecedor],"&lt;&gt;saída",estoque[produto],preçodiario[[#Headers],[OVO BRANCO B]],estoque[data],preçodiario[[#This Row],[data]])</f>
        <v>0</v>
      </c>
      <c r="N288" s="20">
        <f>SUMIFS(estoque[valor total],estoque[fornecedor],"&lt;&gt;saída",estoque[produto],preçodiario[[#Headers],[OVO BRANCO B]],estoque[data],preçodiario[[#This Row],[data]])</f>
        <v>0</v>
      </c>
      <c r="O288" s="20">
        <f>IFERROR(preçodiario[[#This Row],[OVO BRANCO B]]*preçodiario[[#This Row],[estoque B]],0)</f>
        <v>233.34804539722566</v>
      </c>
      <c r="P28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Row],[data]])),((P287*Q287)+SUMIFS(estoque[valor total],estoque[produto],preçodiario[[#Headers],[OVO BRANCO C]],estoque[data],preçodiario[[#This Row],[data]],estoque[fornecedor],"&lt;&gt;saída"))/(Q287+(SUMIFS(estoque[quantidade],estoque[produto],preçodiario[[#Headers],[OVO BRANCO C]],estoque[fornecedor],"&lt;&gt;saída",estoque[data],preçodiario[[#This Row],[data]])))))</f>
        <v>12.5</v>
      </c>
      <c r="Q288" s="22">
        <f>IF(preçodiario[[#This Row],[entrada C]]=0,Q287-(SUMIFS(estoque[quantidade],estoque[fornecedor],"saída",estoque[produto],preçodiario[[#Headers],[OVO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Row],[data]]))+Q287+preçodiario[[#This Row],[entrada C]])</f>
        <v>60</v>
      </c>
      <c r="R288" s="22">
        <f>SUMIFS(estoque[quantidade],estoque[fornecedor],"&lt;&gt;saída",estoque[produto],preçodiario[[#Headers],[OVO BRANCO C]],estoque[data],preçodiario[[#This Row],[data]])</f>
        <v>0</v>
      </c>
      <c r="S288" s="20">
        <f>SUMIFS(estoque[valor total],estoque[fornecedor],"&lt;&gt;saída",estoque[produto],preçodiario[[#Headers],[OVO BRANCO C]],estoque[data],preçodiario[[#This Row],[data]])</f>
        <v>0</v>
      </c>
      <c r="T288" s="20">
        <f>IFERROR(preçodiario[[#This Row],[OVO BRANCO C]]*preçodiario[[#This Row],[estoque C]],0)</f>
        <v>750</v>
      </c>
      <c r="U28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Row],[data]])),((U287*V287)+SUMIFS(estoque[valor total],estoque[produto],preçodiario[[#Headers],[OVO BRANCO EXTRA]],estoque[data],preçodiario[[#This Row],[data]],estoque[fornecedor],"&lt;&gt;saída"))/(V287+(SUMIFS(estoque[quantidade],estoque[produto],preçodiario[[#Headers],[OVO BRANCO EXTRA]],estoque[fornecedor],"&lt;&gt;saída",estoque[data],preçodiario[[#This Row],[data]])))))</f>
        <v>15.725438400674655</v>
      </c>
      <c r="V288" s="22">
        <f>IF(preçodiario[[#This Row],[entrada E]]=0,V287-(SUMIFS(estoque[quantidade],estoque[fornecedor],"saída",estoque[produto],preçodiario[[#Headers],[OVO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Row],[data]]))+V287+preçodiario[[#This Row],[entrada E]])</f>
        <v>46</v>
      </c>
      <c r="W288" s="22">
        <f>SUMIFS(estoque[quantidade],estoque[fornecedor],"&lt;&gt;saída",estoque[produto],preçodiario[[#Headers],[OVO BRANCO EXTRA]],estoque[data],preçodiario[[#This Row],[data]])</f>
        <v>0</v>
      </c>
      <c r="X288" s="20">
        <f>SUMIFS(estoque[valor total],estoque[fornecedor],"&lt;&gt;saída",estoque[produto],preçodiario[[#Headers],[OVO BRANCO EXTRA]],estoque[data],preçodiario[[#This Row],[data]])</f>
        <v>0</v>
      </c>
      <c r="Y288" s="20">
        <f>IFERROR(preçodiario[[#This Row],[estoque E]]*preçodiario[[#This Row],[OVO BRANCO EXTRA]],0)</f>
        <v>723.37016643103414</v>
      </c>
      <c r="Z28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Row],[data]])),((Z287*AA287)+SUMIFS(estoque[valor total],estoque[produto],preçodiario[[#Headers],[OVO BRANCO JUMBO]],estoque[data],preçodiario[[#This Row],[data]],estoque[fornecedor],"&lt;&gt;saída"))/(AA287+(SUMIFS(estoque[quantidade],estoque[produto],preçodiario[[#Headers],[OVO BRANCO JUMBO]],estoque[fornecedor],"&lt;&gt;saída",estoque[data],preçodiario[[#This Row],[data]])))))</f>
        <v>16.50550595238095</v>
      </c>
      <c r="AA288" s="22">
        <f>IF(preçodiario[[#This Row],[entrada J]]=0,AA287-(SUMIFS(estoque[quantidade],estoque[fornecedor],"saída",estoque[produto],preçodiario[[#Headers],[OVO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Row],[data]]))+AA287+preçodiario[[#This Row],[entrada J]])</f>
        <v>75</v>
      </c>
      <c r="AB288" s="22">
        <f>SUMIFS(estoque[quantidade],estoque[fornecedor],"&lt;&gt;saída",estoque[produto],preçodiario[[#Headers],[OVO BRANCO JUMBO]],estoque[data],preçodiario[[#This Row],[data]])</f>
        <v>0</v>
      </c>
      <c r="AC288" s="20">
        <f>SUMIFS(estoque[valor total],estoque[fornecedor],"&lt;&gt;saída",estoque[produto],preçodiario[[#Headers],[OVO BRANCO JUMBO]],estoque[data],preçodiario[[#This Row],[data]])</f>
        <v>0</v>
      </c>
      <c r="AD288" s="20">
        <f>IFERROR(preçodiario[[#This Row],[OVO BRANCO JUMBO]]*preçodiario[[#This Row],[estoque J]],0)</f>
        <v>1237.9129464285713</v>
      </c>
      <c r="AE28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Row],[data]])),((AE287*AF287)+SUMIFS(estoque[valor total],estoque[produto],preçodiario[[#Headers],[OVO VERMELHO A]],estoque[data],preçodiario[[#This Row],[data]],estoque[fornecedor],"&lt;&gt;saída"))/(AF287+(SUMIFS(estoque[quantidade],estoque[produto],preçodiario[[#Headers],[OVO VERMELHO A]],estoque[fornecedor],"&lt;&gt;saída",estoque[data],preçodiario[[#This Row],[data]])))))</f>
        <v/>
      </c>
      <c r="AF288" s="22">
        <f>IF(preçodiario[[#This Row],[entrada AV]]=0,AF287-(SUMIFS(estoque[quantidade],estoque[fornecedor],"saída",estoque[produto],preçodiario[[#Headers],[OVO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Row],[data]]))+AF287+preçodiario[[#This Row],[entrada AV]])</f>
        <v>0</v>
      </c>
      <c r="AG288" s="22">
        <f>SUMIFS(estoque[quantidade],estoque[fornecedor],"&lt;&gt;saída",estoque[produto],preçodiario[[#Headers],[OVO VERMELHO A]],estoque[data],preçodiario[[#This Row],[data]])</f>
        <v>0</v>
      </c>
      <c r="AH288" s="20">
        <f>SUMIFS(estoque[valor total],estoque[fornecedor],"&lt;&gt;saída",estoque[produto],preçodiario[[#Headers],[OVO VERMELHO A]],estoque[data],preçodiario[[#This Row],[data]])</f>
        <v>0</v>
      </c>
      <c r="AI288" s="20">
        <f>IFERROR(preçodiario[[#This Row],[OVO VERMELHO A]]*preçodiario[[#This Row],[estoque AV]],0)</f>
        <v>0</v>
      </c>
      <c r="AJ28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Row],[data]])),((AJ287*AK287)+SUMIFS(estoque[valor total],estoque[produto],preçodiario[[#Headers],[OVO VERMELHO B]],estoque[data],preçodiario[[#This Row],[data]],estoque[fornecedor],"&lt;&gt;saída"))/(AK287+(SUMIFS(estoque[quantidade],estoque[produto],preçodiario[[#Headers],[OVO VERMELHO B]],estoque[fornecedor],"&lt;&gt;saída",estoque[data],preçodiario[[#This Row],[data]])))))</f>
        <v/>
      </c>
      <c r="AK288" s="22">
        <f>IF(preçodiario[[#This Row],[entrada BV]]=0,AK287-(SUMIFS(estoque[quantidade],estoque[fornecedor],"saída",estoque[produto],preçodiario[[#Headers],[OVO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Row],[data]]))+AK287+preçodiario[[#This Row],[entrada BV]])</f>
        <v>0</v>
      </c>
      <c r="AL288" s="22">
        <f>SUMIFS(estoque[quantidade],estoque[fornecedor],"&lt;&gt;saída",estoque[produto],preçodiario[[#Headers],[OVO VERMELHO B]],estoque[data],preçodiario[[#This Row],[data]])</f>
        <v>0</v>
      </c>
      <c r="AM288" s="20">
        <f>SUMIFS(estoque[valor total],estoque[fornecedor],"&lt;&gt;saída",estoque[produto],preçodiario[[#Headers],[OVO VERMELHO B]],estoque[data],preçodiario[[#This Row],[data]])</f>
        <v>0</v>
      </c>
      <c r="AN288" s="20">
        <f>IFERROR(preçodiario[[#This Row],[OVO VERMELHO B]]*preçodiario[[#This Row],[estoque BV]],0)</f>
        <v>0</v>
      </c>
      <c r="AO28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Row],[data]])),((AO287*AP287)+SUMIFS(estoque[valor total],estoque[produto],preçodiario[[#Headers],[OVO VERMELHO C]],estoque[data],preçodiario[[#This Row],[data]],estoque[fornecedor],"&lt;&gt;saída"))/(AP287+(SUMIFS(estoque[quantidade],estoque[produto],preçodiario[[#Headers],[OVO VERMELHO C]],estoque[fornecedor],"&lt;&gt;saída",estoque[data],preçodiario[[#This Row],[data]])))))</f>
        <v/>
      </c>
      <c r="AP288" s="22">
        <f>IF(preçodiario[[#This Row],[entrada CV]]=0,AP287-(SUMIFS(estoque[quantidade],estoque[fornecedor],"saída",estoque[produto],preçodiario[[#Headers],[OVO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Row],[data]]))+AP287+preçodiario[[#This Row],[entrada CV]])</f>
        <v>0</v>
      </c>
      <c r="AQ288" s="22">
        <f>SUMIFS(estoque[quantidade],estoque[fornecedor],"&lt;&gt;saída",estoque[produto],preçodiario[[#Headers],[OVO VERMELHO C]],estoque[data],preçodiario[[#This Row],[data]])</f>
        <v>0</v>
      </c>
      <c r="AR288" s="20">
        <f>SUMIFS(estoque[valor total],estoque[fornecedor],"&lt;&gt;saída",estoque[produto],preçodiario[[#Headers],[OVO VERMELHO C]],estoque[data],preçodiario[[#This Row],[data]])</f>
        <v>0</v>
      </c>
      <c r="AS288" s="20">
        <f>IFERROR(preçodiario[[#This Row],[OVO VERMELHO C]]*preçodiario[[#This Row],[estoque CV]],0)</f>
        <v>0</v>
      </c>
      <c r="AT28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Row],[data]])),((AT287*AU287)+SUMIFS(estoque[valor total],estoque[produto],preçodiario[[#Headers],[OVO VERMELHO EXTRA]],estoque[data],preçodiario[[#This Row],[data]],estoque[fornecedor],"&lt;&gt;saída"))/(AU287+(SUMIFS(estoque[quantidade],estoque[produto],preçodiario[[#Headers],[OVO VERMELHO EXTRA]],estoque[fornecedor],"&lt;&gt;saída",estoque[data],preçodiario[[#This Row],[data]])))))</f>
        <v/>
      </c>
      <c r="AU288" s="22">
        <f>IF(preçodiario[[#This Row],[entrada EV]]=0,AU287-(SUMIFS(estoque[quantidade],estoque[fornecedor],"saída",estoque[produto],preçodiario[[#Headers],[OVO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Row],[data]]))+AU287+preçodiario[[#This Row],[entrada EV]])</f>
        <v>0</v>
      </c>
      <c r="AV288" s="22">
        <f>SUMIFS(estoque[quantidade],estoque[fornecedor],"&lt;&gt;saída",estoque[produto],preçodiario[[#Headers],[OVO VERMELHO EXTRA]],estoque[data],preçodiario[[#This Row],[data]])</f>
        <v>0</v>
      </c>
      <c r="AW288" s="20">
        <f>SUMIFS(estoque[valor total],estoque[fornecedor],"&lt;&gt;saída",estoque[produto],preçodiario[[#Headers],[OVO VERMELHO EXTRA]],estoque[data],preçodiario[[#This Row],[data]])</f>
        <v>0</v>
      </c>
      <c r="AX288" s="20">
        <f>IFERROR(preçodiario[[#This Row],[OVO VERMELHO EXTRA]]*preçodiario[[#This Row],[estoque EV]],0)</f>
        <v>0</v>
      </c>
      <c r="AY28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Row],[data]])),((AY287*AZ287)+SUMIFS(estoque[valor total],estoque[produto],preçodiario[[#Headers],[OVO VERMELHO JUMBO]],estoque[data],preçodiario[[#This Row],[data]],estoque[fornecedor],"&lt;&gt;saída"))/(AZ287+(SUMIFS(estoque[quantidade],estoque[produto],preçodiario[[#Headers],[OVO VERMELHO JUMBO]],estoque[fornecedor],"&lt;&gt;saída",estoque[data],preçodiario[[#This Row],[data]])))))</f>
        <v/>
      </c>
      <c r="AZ288" s="22">
        <f>IF(preçodiario[[#This Row],[entrada JV]]=0,AZ287-(SUMIFS(estoque[quantidade],estoque[fornecedor],"saída",estoque[produto],preçodiario[[#Headers],[OVO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Row],[data]]))+AZ287+preçodiario[[#This Row],[entrada JV]])</f>
        <v>0</v>
      </c>
      <c r="BA288" s="22">
        <f>SUMIFS(estoque[quantidade],estoque[fornecedor],"&lt;&gt;saída",estoque[produto],preçodiario[[#Headers],[OVO VERMELHO JUMBO]],estoque[data],preçodiario[[#This Row],[data]])</f>
        <v>0</v>
      </c>
      <c r="BB288" s="20">
        <f>SUMIFS(estoque[valor total],estoque[fornecedor],"&lt;&gt;saída",estoque[produto],preçodiario[[#Headers],[OVO VERMELHO JUMBO]],estoque[data],preçodiario[[#This Row],[data]])</f>
        <v>0</v>
      </c>
      <c r="BC288" s="20">
        <f>IFERROR(preçodiario[[#This Row],[OVO VERMELHO JUMBO]]*preçodiario[[#This Row],[estoque JV]],0)</f>
        <v>0</v>
      </c>
      <c r="BD288" t="str">
        <f>TEXT(vendaAno[[#This Row],[data]],"mmm")</f>
        <v>out</v>
      </c>
      <c r="BE288" t="str">
        <f>TEXT(vendaAno[[#This Row],[data]],"ddd")</f>
        <v>qua</v>
      </c>
      <c r="BF288" s="82">
        <f>WEEKNUM(vendaAno[[#This Row],[data]],13)</f>
        <v>42</v>
      </c>
      <c r="BG288" s="27">
        <f>preçodiario[[#This Row],[data]]</f>
        <v>46309</v>
      </c>
      <c r="BH28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Row],[data]]))/12+BJ287,"")</f>
        <v/>
      </c>
      <c r="BK288" s="79" t="str">
        <f ca="1">IF(TODAY()&gt;=vendaAno[[#This Row],[data]],IF(SUMIFS(estoque[quantidade],estoque[fornecedor],"saída",estoque[data],vendaAno[[#This Row],[data]])/12=0,AVERAGE(BK285:BK287),SUMIFS(estoque[quantidade],estoque[fornecedor],"saída",estoque[data],vendaAno[[#This Row],[data]])/12),"")</f>
        <v/>
      </c>
      <c r="BL288" s="8" t="str">
        <f ca="1">IF(vendaAno[[#This Row],[data]]&lt;=TODAY(),IF(SUMIFS(estoque[lucro],estoque[fornecedor],"saída",estoque[data],vendaAno[[#This Row],[data]])=0,AVERAGE(BL285:BL287),SUMIFS(estoque[lucro],estoque[fornecedor],"saída",estoque[data],vendaAno[[#This Row],[data]])),"")</f>
        <v/>
      </c>
      <c r="BM288" s="10" t="str">
        <f ca="1">IFERROR(vendaAno[[#This Row],[lucro]]/vendaAno[[#This Row],[valor de venda]],"")</f>
        <v/>
      </c>
      <c r="BN28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8" s="8" t="str">
        <f ca="1">IF(TODAY()&gt;=vendaAno[[#This Row],[data]],IF(vendaAno[[#This Row],[N°]]=BF287,vendaAno[[#This Row],[lucro]]-173.33+BO287,vendaAno[[#This Row],[lucro]]-150),"")</f>
        <v/>
      </c>
      <c r="BP288" s="81" t="str">
        <f ca="1">IF(TODAY()&gt;=vendaAno[[#This Row],[data]],SUM(BK282:BK288)*12,"")</f>
        <v/>
      </c>
      <c r="BQ288" s="7" t="str">
        <f ca="1">IFERROR(vendaAno[[#This Row],[lucro]]/(vendaAno[[#This Row],[venda]]*12),"")</f>
        <v/>
      </c>
    </row>
    <row r="289" spans="1:69" x14ac:dyDescent="0.25">
      <c r="A28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89" s="18" t="str">
        <f>TEXT(preçodiario[[#This Row],[data]],"MMM")</f>
        <v>out</v>
      </c>
      <c r="C289" s="18" t="str">
        <f>TEXT(preçodiario[[#This Row],[data]],"ddd")</f>
        <v>qui</v>
      </c>
      <c r="D289" s="96">
        <f>WEEKNUM(preçodiario[[#This Row],[data]],13)</f>
        <v>42</v>
      </c>
      <c r="E289" s="37">
        <v>46310</v>
      </c>
      <c r="F28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Row],[data]])),((F288*G288)+SUMIFS(estoque[valor total],estoque[produto],preçodiario[[#Headers],[OVO BRANCO A]],estoque[data],preçodiario[[#This Row],[data]],estoque[fornecedor],"&lt;&gt;saída"))/(G288+(SUMIFS(estoque[quantidade],estoque[produto],preçodiario[[#Headers],[OVO BRANCO A]],estoque[fornecedor],"&lt;&gt;saída",estoque[data],preçodiario[[#This Row],[data]])))))</f>
        <v>15.278182701652089</v>
      </c>
      <c r="G289" s="22">
        <f>IF(preçodiario[[#This Row],[entrada A]]=0,G288-(SUMIFS(estoque[quantidade],estoque[fornecedor],"saída",estoque[produto],preçodiario[[#Headers],[OVO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Row],[data]]))+G288+preçodiario[[#This Row],[entrada A]])</f>
        <v>133</v>
      </c>
      <c r="H289" s="22">
        <f>SUMIFS(estoque[quantidade],estoque[fornecedor],"&lt;&gt;saída",estoque[produto],preçodiario[[#Headers],[OVO BRANCO A]],estoque[data],preçodiario[[#This Row],[data]])</f>
        <v>0</v>
      </c>
      <c r="I289" s="20">
        <f>SUMIFS(estoque[valor total],estoque[fornecedor],"&lt;&gt;saída",estoque[produto],preçodiario[[#Headers],[OVO BRANCO A]],estoque[data],preçodiario[[#This Row],[data]])</f>
        <v>0</v>
      </c>
      <c r="J289" s="20">
        <f>IFERROR(preçodiario[[#This Row],[estoque A]]*preçodiario[[#This Row],[OVO BRANCO A]],0)</f>
        <v>2031.9982993197277</v>
      </c>
      <c r="K28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Row],[data]])),((K288*L288)+SUMIFS(estoque[valor total],estoque[produto],preçodiario[[#Headers],[OVO BRANCO B]],estoque[data],preçodiario[[#This Row],[data]],estoque[fornecedor],"&lt;&gt;saída"))/(L288+(SUMIFS(estoque[quantidade],estoque[produto],preçodiario[[#Headers],[OVO BRANCO B]],estoque[fornecedor],"&lt;&gt;saída",estoque[data],preçodiario[[#This Row],[data]])))))</f>
        <v>14.584252837326604</v>
      </c>
      <c r="L289" s="22">
        <f>IF(preçodiario[[#This Row],[entrada B]]=0,L288-(SUMIFS(estoque[quantidade],estoque[fornecedor],"saída",estoque[produto],preçodiario[[#Headers],[OVO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Row],[data]]))+L288+preçodiario[[#This Row],[entrada B]])</f>
        <v>16</v>
      </c>
      <c r="M289" s="22">
        <f>SUMIFS(estoque[quantidade],estoque[fornecedor],"&lt;&gt;saída",estoque[produto],preçodiario[[#Headers],[OVO BRANCO B]],estoque[data],preçodiario[[#This Row],[data]])</f>
        <v>0</v>
      </c>
      <c r="N289" s="20">
        <f>SUMIFS(estoque[valor total],estoque[fornecedor],"&lt;&gt;saída",estoque[produto],preçodiario[[#Headers],[OVO BRANCO B]],estoque[data],preçodiario[[#This Row],[data]])</f>
        <v>0</v>
      </c>
      <c r="O289" s="20">
        <f>IFERROR(preçodiario[[#This Row],[OVO BRANCO B]]*preçodiario[[#This Row],[estoque B]],0)</f>
        <v>233.34804539722566</v>
      </c>
      <c r="P28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Row],[data]])),((P288*Q288)+SUMIFS(estoque[valor total],estoque[produto],preçodiario[[#Headers],[OVO BRANCO C]],estoque[data],preçodiario[[#This Row],[data]],estoque[fornecedor],"&lt;&gt;saída"))/(Q288+(SUMIFS(estoque[quantidade],estoque[produto],preçodiario[[#Headers],[OVO BRANCO C]],estoque[fornecedor],"&lt;&gt;saída",estoque[data],preçodiario[[#This Row],[data]])))))</f>
        <v>12.5</v>
      </c>
      <c r="Q289" s="22">
        <f>IF(preçodiario[[#This Row],[entrada C]]=0,Q288-(SUMIFS(estoque[quantidade],estoque[fornecedor],"saída",estoque[produto],preçodiario[[#Headers],[OVO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Row],[data]]))+Q288+preçodiario[[#This Row],[entrada C]])</f>
        <v>60</v>
      </c>
      <c r="R289" s="22">
        <f>SUMIFS(estoque[quantidade],estoque[fornecedor],"&lt;&gt;saída",estoque[produto],preçodiario[[#Headers],[OVO BRANCO C]],estoque[data],preçodiario[[#This Row],[data]])</f>
        <v>0</v>
      </c>
      <c r="S289" s="20">
        <f>SUMIFS(estoque[valor total],estoque[fornecedor],"&lt;&gt;saída",estoque[produto],preçodiario[[#Headers],[OVO BRANCO C]],estoque[data],preçodiario[[#This Row],[data]])</f>
        <v>0</v>
      </c>
      <c r="T289" s="20">
        <f>IFERROR(preçodiario[[#This Row],[OVO BRANCO C]]*preçodiario[[#This Row],[estoque C]],0)</f>
        <v>750</v>
      </c>
      <c r="U28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Row],[data]])),((U288*V288)+SUMIFS(estoque[valor total],estoque[produto],preçodiario[[#Headers],[OVO BRANCO EXTRA]],estoque[data],preçodiario[[#This Row],[data]],estoque[fornecedor],"&lt;&gt;saída"))/(V288+(SUMIFS(estoque[quantidade],estoque[produto],preçodiario[[#Headers],[OVO BRANCO EXTRA]],estoque[fornecedor],"&lt;&gt;saída",estoque[data],preçodiario[[#This Row],[data]])))))</f>
        <v>15.725438400674655</v>
      </c>
      <c r="V289" s="22">
        <f>IF(preçodiario[[#This Row],[entrada E]]=0,V288-(SUMIFS(estoque[quantidade],estoque[fornecedor],"saída",estoque[produto],preçodiario[[#Headers],[OVO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Row],[data]]))+V288+preçodiario[[#This Row],[entrada E]])</f>
        <v>46</v>
      </c>
      <c r="W289" s="22">
        <f>SUMIFS(estoque[quantidade],estoque[fornecedor],"&lt;&gt;saída",estoque[produto],preçodiario[[#Headers],[OVO BRANCO EXTRA]],estoque[data],preçodiario[[#This Row],[data]])</f>
        <v>0</v>
      </c>
      <c r="X289" s="20">
        <f>SUMIFS(estoque[valor total],estoque[fornecedor],"&lt;&gt;saída",estoque[produto],preçodiario[[#Headers],[OVO BRANCO EXTRA]],estoque[data],preçodiario[[#This Row],[data]])</f>
        <v>0</v>
      </c>
      <c r="Y289" s="20">
        <f>IFERROR(preçodiario[[#This Row],[estoque E]]*preçodiario[[#This Row],[OVO BRANCO EXTRA]],0)</f>
        <v>723.37016643103414</v>
      </c>
      <c r="Z28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Row],[data]])),((Z288*AA288)+SUMIFS(estoque[valor total],estoque[produto],preçodiario[[#Headers],[OVO BRANCO JUMBO]],estoque[data],preçodiario[[#This Row],[data]],estoque[fornecedor],"&lt;&gt;saída"))/(AA288+(SUMIFS(estoque[quantidade],estoque[produto],preçodiario[[#Headers],[OVO BRANCO JUMBO]],estoque[fornecedor],"&lt;&gt;saída",estoque[data],preçodiario[[#This Row],[data]])))))</f>
        <v>16.50550595238095</v>
      </c>
      <c r="AA289" s="22">
        <f>IF(preçodiario[[#This Row],[entrada J]]=0,AA288-(SUMIFS(estoque[quantidade],estoque[fornecedor],"saída",estoque[produto],preçodiario[[#Headers],[OVO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Row],[data]]))+AA288+preçodiario[[#This Row],[entrada J]])</f>
        <v>75</v>
      </c>
      <c r="AB289" s="22">
        <f>SUMIFS(estoque[quantidade],estoque[fornecedor],"&lt;&gt;saída",estoque[produto],preçodiario[[#Headers],[OVO BRANCO JUMBO]],estoque[data],preçodiario[[#This Row],[data]])</f>
        <v>0</v>
      </c>
      <c r="AC289" s="20">
        <f>SUMIFS(estoque[valor total],estoque[fornecedor],"&lt;&gt;saída",estoque[produto],preçodiario[[#Headers],[OVO BRANCO JUMBO]],estoque[data],preçodiario[[#This Row],[data]])</f>
        <v>0</v>
      </c>
      <c r="AD289" s="20">
        <f>IFERROR(preçodiario[[#This Row],[OVO BRANCO JUMBO]]*preçodiario[[#This Row],[estoque J]],0)</f>
        <v>1237.9129464285713</v>
      </c>
      <c r="AE28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Row],[data]])),((AE288*AF288)+SUMIFS(estoque[valor total],estoque[produto],preçodiario[[#Headers],[OVO VERMELHO A]],estoque[data],preçodiario[[#This Row],[data]],estoque[fornecedor],"&lt;&gt;saída"))/(AF288+(SUMIFS(estoque[quantidade],estoque[produto],preçodiario[[#Headers],[OVO VERMELHO A]],estoque[fornecedor],"&lt;&gt;saída",estoque[data],preçodiario[[#This Row],[data]])))))</f>
        <v/>
      </c>
      <c r="AF289" s="22">
        <f>IF(preçodiario[[#This Row],[entrada AV]]=0,AF288-(SUMIFS(estoque[quantidade],estoque[fornecedor],"saída",estoque[produto],preçodiario[[#Headers],[OVO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Row],[data]]))+AF288+preçodiario[[#This Row],[entrada AV]])</f>
        <v>0</v>
      </c>
      <c r="AG289" s="22">
        <f>SUMIFS(estoque[quantidade],estoque[fornecedor],"&lt;&gt;saída",estoque[produto],preçodiario[[#Headers],[OVO VERMELHO A]],estoque[data],preçodiario[[#This Row],[data]])</f>
        <v>0</v>
      </c>
      <c r="AH289" s="20">
        <f>SUMIFS(estoque[valor total],estoque[fornecedor],"&lt;&gt;saída",estoque[produto],preçodiario[[#Headers],[OVO VERMELHO A]],estoque[data],preçodiario[[#This Row],[data]])</f>
        <v>0</v>
      </c>
      <c r="AI289" s="20">
        <f>IFERROR(preçodiario[[#This Row],[OVO VERMELHO A]]*preçodiario[[#This Row],[estoque AV]],0)</f>
        <v>0</v>
      </c>
      <c r="AJ28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Row],[data]])),((AJ288*AK288)+SUMIFS(estoque[valor total],estoque[produto],preçodiario[[#Headers],[OVO VERMELHO B]],estoque[data],preçodiario[[#This Row],[data]],estoque[fornecedor],"&lt;&gt;saída"))/(AK288+(SUMIFS(estoque[quantidade],estoque[produto],preçodiario[[#Headers],[OVO VERMELHO B]],estoque[fornecedor],"&lt;&gt;saída",estoque[data],preçodiario[[#This Row],[data]])))))</f>
        <v/>
      </c>
      <c r="AK289" s="22">
        <f>IF(preçodiario[[#This Row],[entrada BV]]=0,AK288-(SUMIFS(estoque[quantidade],estoque[fornecedor],"saída",estoque[produto],preçodiario[[#Headers],[OVO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Row],[data]]))+AK288+preçodiario[[#This Row],[entrada BV]])</f>
        <v>0</v>
      </c>
      <c r="AL289" s="22">
        <f>SUMIFS(estoque[quantidade],estoque[fornecedor],"&lt;&gt;saída",estoque[produto],preçodiario[[#Headers],[OVO VERMELHO B]],estoque[data],preçodiario[[#This Row],[data]])</f>
        <v>0</v>
      </c>
      <c r="AM289" s="20">
        <f>SUMIFS(estoque[valor total],estoque[fornecedor],"&lt;&gt;saída",estoque[produto],preçodiario[[#Headers],[OVO VERMELHO B]],estoque[data],preçodiario[[#This Row],[data]])</f>
        <v>0</v>
      </c>
      <c r="AN289" s="20">
        <f>IFERROR(preçodiario[[#This Row],[OVO VERMELHO B]]*preçodiario[[#This Row],[estoque BV]],0)</f>
        <v>0</v>
      </c>
      <c r="AO28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Row],[data]])),((AO288*AP288)+SUMIFS(estoque[valor total],estoque[produto],preçodiario[[#Headers],[OVO VERMELHO C]],estoque[data],preçodiario[[#This Row],[data]],estoque[fornecedor],"&lt;&gt;saída"))/(AP288+(SUMIFS(estoque[quantidade],estoque[produto],preçodiario[[#Headers],[OVO VERMELHO C]],estoque[fornecedor],"&lt;&gt;saída",estoque[data],preçodiario[[#This Row],[data]])))))</f>
        <v/>
      </c>
      <c r="AP289" s="22">
        <f>IF(preçodiario[[#This Row],[entrada CV]]=0,AP288-(SUMIFS(estoque[quantidade],estoque[fornecedor],"saída",estoque[produto],preçodiario[[#Headers],[OVO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Row],[data]]))+AP288+preçodiario[[#This Row],[entrada CV]])</f>
        <v>0</v>
      </c>
      <c r="AQ289" s="22">
        <f>SUMIFS(estoque[quantidade],estoque[fornecedor],"&lt;&gt;saída",estoque[produto],preçodiario[[#Headers],[OVO VERMELHO C]],estoque[data],preçodiario[[#This Row],[data]])</f>
        <v>0</v>
      </c>
      <c r="AR289" s="20">
        <f>SUMIFS(estoque[valor total],estoque[fornecedor],"&lt;&gt;saída",estoque[produto],preçodiario[[#Headers],[OVO VERMELHO C]],estoque[data],preçodiario[[#This Row],[data]])</f>
        <v>0</v>
      </c>
      <c r="AS289" s="20">
        <f>IFERROR(preçodiario[[#This Row],[OVO VERMELHO C]]*preçodiario[[#This Row],[estoque CV]],0)</f>
        <v>0</v>
      </c>
      <c r="AT28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Row],[data]])),((AT288*AU288)+SUMIFS(estoque[valor total],estoque[produto],preçodiario[[#Headers],[OVO VERMELHO EXTRA]],estoque[data],preçodiario[[#This Row],[data]],estoque[fornecedor],"&lt;&gt;saída"))/(AU288+(SUMIFS(estoque[quantidade],estoque[produto],preçodiario[[#Headers],[OVO VERMELHO EXTRA]],estoque[fornecedor],"&lt;&gt;saída",estoque[data],preçodiario[[#This Row],[data]])))))</f>
        <v/>
      </c>
      <c r="AU289" s="22">
        <f>IF(preçodiario[[#This Row],[entrada EV]]=0,AU288-(SUMIFS(estoque[quantidade],estoque[fornecedor],"saída",estoque[produto],preçodiario[[#Headers],[OVO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Row],[data]]))+AU288+preçodiario[[#This Row],[entrada EV]])</f>
        <v>0</v>
      </c>
      <c r="AV289" s="22">
        <f>SUMIFS(estoque[quantidade],estoque[fornecedor],"&lt;&gt;saída",estoque[produto],preçodiario[[#Headers],[OVO VERMELHO EXTRA]],estoque[data],preçodiario[[#This Row],[data]])</f>
        <v>0</v>
      </c>
      <c r="AW289" s="20">
        <f>SUMIFS(estoque[valor total],estoque[fornecedor],"&lt;&gt;saída",estoque[produto],preçodiario[[#Headers],[OVO VERMELHO EXTRA]],estoque[data],preçodiario[[#This Row],[data]])</f>
        <v>0</v>
      </c>
      <c r="AX289" s="20">
        <f>IFERROR(preçodiario[[#This Row],[OVO VERMELHO EXTRA]]*preçodiario[[#This Row],[estoque EV]],0)</f>
        <v>0</v>
      </c>
      <c r="AY28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Row],[data]])),((AY288*AZ288)+SUMIFS(estoque[valor total],estoque[produto],preçodiario[[#Headers],[OVO VERMELHO JUMBO]],estoque[data],preçodiario[[#This Row],[data]],estoque[fornecedor],"&lt;&gt;saída"))/(AZ288+(SUMIFS(estoque[quantidade],estoque[produto],preçodiario[[#Headers],[OVO VERMELHO JUMBO]],estoque[fornecedor],"&lt;&gt;saída",estoque[data],preçodiario[[#This Row],[data]])))))</f>
        <v/>
      </c>
      <c r="AZ289" s="22">
        <f>IF(preçodiario[[#This Row],[entrada JV]]=0,AZ288-(SUMIFS(estoque[quantidade],estoque[fornecedor],"saída",estoque[produto],preçodiario[[#Headers],[OVO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Row],[data]]))+AZ288+preçodiario[[#This Row],[entrada JV]])</f>
        <v>0</v>
      </c>
      <c r="BA289" s="22">
        <f>SUMIFS(estoque[quantidade],estoque[fornecedor],"&lt;&gt;saída",estoque[produto],preçodiario[[#Headers],[OVO VERMELHO JUMBO]],estoque[data],preçodiario[[#This Row],[data]])</f>
        <v>0</v>
      </c>
      <c r="BB289" s="20">
        <f>SUMIFS(estoque[valor total],estoque[fornecedor],"&lt;&gt;saída",estoque[produto],preçodiario[[#Headers],[OVO VERMELHO JUMBO]],estoque[data],preçodiario[[#This Row],[data]])</f>
        <v>0</v>
      </c>
      <c r="BC289" s="20">
        <f>IFERROR(preçodiario[[#This Row],[OVO VERMELHO JUMBO]]*preçodiario[[#This Row],[estoque JV]],0)</f>
        <v>0</v>
      </c>
      <c r="BD289" t="str">
        <f>TEXT(vendaAno[[#This Row],[data]],"mmm")</f>
        <v>out</v>
      </c>
      <c r="BE289" t="str">
        <f>TEXT(vendaAno[[#This Row],[data]],"ddd")</f>
        <v>qui</v>
      </c>
      <c r="BF289" s="82">
        <f>WEEKNUM(vendaAno[[#This Row],[data]],13)</f>
        <v>42</v>
      </c>
      <c r="BG289" s="27">
        <f>preçodiario[[#This Row],[data]]</f>
        <v>46310</v>
      </c>
      <c r="BH28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8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8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Row],[data]]))/12+BJ288,"")</f>
        <v/>
      </c>
      <c r="BK289" s="79" t="str">
        <f ca="1">IF(TODAY()&gt;=vendaAno[[#This Row],[data]],IF(SUMIFS(estoque[quantidade],estoque[fornecedor],"saída",estoque[data],vendaAno[[#This Row],[data]])/12=0,AVERAGE(BK286:BK288),SUMIFS(estoque[quantidade],estoque[fornecedor],"saída",estoque[data],vendaAno[[#This Row],[data]])/12),"")</f>
        <v/>
      </c>
      <c r="BL289" s="8" t="str">
        <f ca="1">IF(vendaAno[[#This Row],[data]]&lt;=TODAY(),IF(SUMIFS(estoque[lucro],estoque[fornecedor],"saída",estoque[data],vendaAno[[#This Row],[data]])=0,AVERAGE(BL286:BL288),SUMIFS(estoque[lucro],estoque[fornecedor],"saída",estoque[data],vendaAno[[#This Row],[data]])),"")</f>
        <v/>
      </c>
      <c r="BM289" s="10" t="str">
        <f ca="1">IFERROR(vendaAno[[#This Row],[lucro]]/vendaAno[[#This Row],[valor de venda]],"")</f>
        <v/>
      </c>
      <c r="BN28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89" s="8" t="str">
        <f ca="1">IF(TODAY()&gt;=vendaAno[[#This Row],[data]],IF(vendaAno[[#This Row],[N°]]=BF288,vendaAno[[#This Row],[lucro]]-173.33+BO288,vendaAno[[#This Row],[lucro]]-150),"")</f>
        <v/>
      </c>
      <c r="BP289" s="81" t="str">
        <f ca="1">IF(TODAY()&gt;=vendaAno[[#This Row],[data]],SUM(BK283:BK289)*12,"")</f>
        <v/>
      </c>
      <c r="BQ289" s="7" t="str">
        <f ca="1">IFERROR(vendaAno[[#This Row],[lucro]]/(vendaAno[[#This Row],[venda]]*12),"")</f>
        <v/>
      </c>
    </row>
    <row r="290" spans="1:69" x14ac:dyDescent="0.25">
      <c r="A29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Row],[data]]-1))*A289+SUMIFS(estoque[valor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0" s="18" t="str">
        <f>TEXT(preçodiario[[#This Row],[data]],"MMM")</f>
        <v>out</v>
      </c>
      <c r="C290" s="18" t="str">
        <f>TEXT(preçodiario[[#This Row],[data]],"ddd")</f>
        <v>sex</v>
      </c>
      <c r="D290" s="96">
        <f>WEEKNUM(preçodiario[[#This Row],[data]],13)</f>
        <v>42</v>
      </c>
      <c r="E290" s="37">
        <v>46311</v>
      </c>
      <c r="F29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Row],[data]]))),IF(G289=0,SUMIFS(estoque[valor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Row],[data]])),((F289*G289)+SUMIFS(estoque[valor total],estoque[produto],preçodiario[[#Headers],[OVO BRANCO A]],estoque[data],preçodiario[[#This Row],[data]],estoque[fornecedor],"&lt;&gt;saída"))/(G289+(SUMIFS(estoque[quantidade],estoque[produto],preçodiario[[#Headers],[OVO BRANCO A]],estoque[fornecedor],"&lt;&gt;saída",estoque[data],preçodiario[[#This Row],[data]])))))</f>
        <v>15.278182701652089</v>
      </c>
      <c r="G290" s="22">
        <f>IF(preçodiario[[#This Row],[entrada A]]=0,G289-(SUMIFS(estoque[quantidade],estoque[fornecedor],"saída",estoque[produto],preçodiario[[#Headers],[OVO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Row],[data]]))+G289+preçodiario[[#This Row],[entrada A]])</f>
        <v>133</v>
      </c>
      <c r="H290" s="22">
        <f>SUMIFS(estoque[quantidade],estoque[fornecedor],"&lt;&gt;saída",estoque[produto],preçodiario[[#Headers],[OVO BRANCO A]],estoque[data],preçodiario[[#This Row],[data]])</f>
        <v>0</v>
      </c>
      <c r="I290" s="20">
        <f>SUMIFS(estoque[valor total],estoque[fornecedor],"&lt;&gt;saída",estoque[produto],preçodiario[[#Headers],[OVO BRANCO A]],estoque[data],preçodiario[[#This Row],[data]])</f>
        <v>0</v>
      </c>
      <c r="J290" s="20">
        <f>IFERROR(preçodiario[[#This Row],[estoque A]]*preçodiario[[#This Row],[OVO BRANCO A]],0)</f>
        <v>2031.9982993197277</v>
      </c>
      <c r="K29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Row],[data]]))),IF(L289=0,SUMIFS(estoque[valor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Row],[data]])),((K289*L289)+SUMIFS(estoque[valor total],estoque[produto],preçodiario[[#Headers],[OVO BRANCO B]],estoque[data],preçodiario[[#This Row],[data]],estoque[fornecedor],"&lt;&gt;saída"))/(L289+(SUMIFS(estoque[quantidade],estoque[produto],preçodiario[[#Headers],[OVO BRANCO B]],estoque[fornecedor],"&lt;&gt;saída",estoque[data],preçodiario[[#This Row],[data]])))))</f>
        <v>14.584252837326604</v>
      </c>
      <c r="L290" s="22">
        <f>IF(preçodiario[[#This Row],[entrada B]]=0,L289-(SUMIFS(estoque[quantidade],estoque[fornecedor],"saída",estoque[produto],preçodiario[[#Headers],[OVO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Row],[data]]))+L289+preçodiario[[#This Row],[entrada B]])</f>
        <v>16</v>
      </c>
      <c r="M290" s="22">
        <f>SUMIFS(estoque[quantidade],estoque[fornecedor],"&lt;&gt;saída",estoque[produto],preçodiario[[#Headers],[OVO BRANCO B]],estoque[data],preçodiario[[#This Row],[data]])</f>
        <v>0</v>
      </c>
      <c r="N290" s="20">
        <f>SUMIFS(estoque[valor total],estoque[fornecedor],"&lt;&gt;saída",estoque[produto],preçodiario[[#Headers],[OVO BRANCO B]],estoque[data],preçodiario[[#This Row],[data]])</f>
        <v>0</v>
      </c>
      <c r="O290" s="20">
        <f>IFERROR(preçodiario[[#This Row],[OVO BRANCO B]]*preçodiario[[#This Row],[estoque B]],0)</f>
        <v>233.34804539722566</v>
      </c>
      <c r="P29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Row],[data]]))),IF(Q289=0,SUMIFS(estoque[valor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Row],[data]])),((P289*Q289)+SUMIFS(estoque[valor total],estoque[produto],preçodiario[[#Headers],[OVO BRANCO C]],estoque[data],preçodiario[[#This Row],[data]],estoque[fornecedor],"&lt;&gt;saída"))/(Q289+(SUMIFS(estoque[quantidade],estoque[produto],preçodiario[[#Headers],[OVO BRANCO C]],estoque[fornecedor],"&lt;&gt;saída",estoque[data],preçodiario[[#This Row],[data]])))))</f>
        <v>12.5</v>
      </c>
      <c r="Q290" s="22">
        <f>IF(preçodiario[[#This Row],[entrada C]]=0,Q289-(SUMIFS(estoque[quantidade],estoque[fornecedor],"saída",estoque[produto],preçodiario[[#Headers],[OVO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Row],[data]]))+Q289+preçodiario[[#This Row],[entrada C]])</f>
        <v>60</v>
      </c>
      <c r="R290" s="22">
        <f>SUMIFS(estoque[quantidade],estoque[fornecedor],"&lt;&gt;saída",estoque[produto],preçodiario[[#Headers],[OVO BRANCO C]],estoque[data],preçodiario[[#This Row],[data]])</f>
        <v>0</v>
      </c>
      <c r="S290" s="20">
        <f>SUMIFS(estoque[valor total],estoque[fornecedor],"&lt;&gt;saída",estoque[produto],preçodiario[[#Headers],[OVO BRANCO C]],estoque[data],preçodiario[[#This Row],[data]])</f>
        <v>0</v>
      </c>
      <c r="T290" s="20">
        <f>IFERROR(preçodiario[[#This Row],[OVO BRANCO C]]*preçodiario[[#This Row],[estoque C]],0)</f>
        <v>750</v>
      </c>
      <c r="U29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Row],[data]]))),IF(V289=0,SUMIFS(estoque[valor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Row],[data]])),((U289*V289)+SUMIFS(estoque[valor total],estoque[produto],preçodiario[[#Headers],[OVO BRANCO EXTRA]],estoque[data],preçodiario[[#This Row],[data]],estoque[fornecedor],"&lt;&gt;saída"))/(V289+(SUMIFS(estoque[quantidade],estoque[produto],preçodiario[[#Headers],[OVO BRANCO EXTRA]],estoque[fornecedor],"&lt;&gt;saída",estoque[data],preçodiario[[#This Row],[data]])))))</f>
        <v>15.725438400674655</v>
      </c>
      <c r="V290" s="22">
        <f>IF(preçodiario[[#This Row],[entrada E]]=0,V289-(SUMIFS(estoque[quantidade],estoque[fornecedor],"saída",estoque[produto],preçodiario[[#Headers],[OVO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Row],[data]]))+V289+preçodiario[[#This Row],[entrada E]])</f>
        <v>46</v>
      </c>
      <c r="W290" s="22">
        <f>SUMIFS(estoque[quantidade],estoque[fornecedor],"&lt;&gt;saída",estoque[produto],preçodiario[[#Headers],[OVO BRANCO EXTRA]],estoque[data],preçodiario[[#This Row],[data]])</f>
        <v>0</v>
      </c>
      <c r="X290" s="20">
        <f>SUMIFS(estoque[valor total],estoque[fornecedor],"&lt;&gt;saída",estoque[produto],preçodiario[[#Headers],[OVO BRANCO EXTRA]],estoque[data],preçodiario[[#This Row],[data]])</f>
        <v>0</v>
      </c>
      <c r="Y290" s="20">
        <f>IFERROR(preçodiario[[#This Row],[estoque E]]*preçodiario[[#This Row],[OVO BRANCO EXTRA]],0)</f>
        <v>723.37016643103414</v>
      </c>
      <c r="Z29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Row],[data]]))),IF(AA289=0,SUMIFS(estoque[valor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Row],[data]])),((Z289*AA289)+SUMIFS(estoque[valor total],estoque[produto],preçodiario[[#Headers],[OVO BRANCO JUMBO]],estoque[data],preçodiario[[#This Row],[data]],estoque[fornecedor],"&lt;&gt;saída"))/(AA289+(SUMIFS(estoque[quantidade],estoque[produto],preçodiario[[#Headers],[OVO BRANCO JUMBO]],estoque[fornecedor],"&lt;&gt;saída",estoque[data],preçodiario[[#This Row],[data]])))))</f>
        <v>16.50550595238095</v>
      </c>
      <c r="AA290" s="22">
        <f>IF(preçodiario[[#This Row],[entrada J]]=0,AA289-(SUMIFS(estoque[quantidade],estoque[fornecedor],"saída",estoque[produto],preçodiario[[#Headers],[OVO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Row],[data]]))+AA289+preçodiario[[#This Row],[entrada J]])</f>
        <v>75</v>
      </c>
      <c r="AB290" s="22">
        <f>SUMIFS(estoque[quantidade],estoque[fornecedor],"&lt;&gt;saída",estoque[produto],preçodiario[[#Headers],[OVO BRANCO JUMBO]],estoque[data],preçodiario[[#This Row],[data]])</f>
        <v>0</v>
      </c>
      <c r="AC290" s="20">
        <f>SUMIFS(estoque[valor total],estoque[fornecedor],"&lt;&gt;saída",estoque[produto],preçodiario[[#Headers],[OVO BRANCO JUMBO]],estoque[data],preçodiario[[#This Row],[data]])</f>
        <v>0</v>
      </c>
      <c r="AD290" s="20">
        <f>IFERROR(preçodiario[[#This Row],[OVO BRANCO JUMBO]]*preçodiario[[#This Row],[estoque J]],0)</f>
        <v>1237.9129464285713</v>
      </c>
      <c r="AE29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Row],[data]]))),IF(AF289=0,SUMIFS(estoque[valor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Row],[data]])),((AE289*AF289)+SUMIFS(estoque[valor total],estoque[produto],preçodiario[[#Headers],[OVO VERMELHO A]],estoque[data],preçodiario[[#This Row],[data]],estoque[fornecedor],"&lt;&gt;saída"))/(AF289+(SUMIFS(estoque[quantidade],estoque[produto],preçodiario[[#Headers],[OVO VERMELHO A]],estoque[fornecedor],"&lt;&gt;saída",estoque[data],preçodiario[[#This Row],[data]])))))</f>
        <v/>
      </c>
      <c r="AF290" s="22">
        <f>IF(preçodiario[[#This Row],[entrada AV]]=0,AF289-(SUMIFS(estoque[quantidade],estoque[fornecedor],"saída",estoque[produto],preçodiario[[#Headers],[OVO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Row],[data]]))+AF289+preçodiario[[#This Row],[entrada AV]])</f>
        <v>0</v>
      </c>
      <c r="AG290" s="22">
        <f>SUMIFS(estoque[quantidade],estoque[fornecedor],"&lt;&gt;saída",estoque[produto],preçodiario[[#Headers],[OVO VERMELHO A]],estoque[data],preçodiario[[#This Row],[data]])</f>
        <v>0</v>
      </c>
      <c r="AH290" s="20">
        <f>SUMIFS(estoque[valor total],estoque[fornecedor],"&lt;&gt;saída",estoque[produto],preçodiario[[#Headers],[OVO VERMELHO A]],estoque[data],preçodiario[[#This Row],[data]])</f>
        <v>0</v>
      </c>
      <c r="AI290" s="20">
        <f>IFERROR(preçodiario[[#This Row],[OVO VERMELHO A]]*preçodiario[[#This Row],[estoque AV]],0)</f>
        <v>0</v>
      </c>
      <c r="AJ29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Row],[data]]))),IF(AK289=0,SUMIFS(estoque[valor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Row],[data]])),((AJ289*AK289)+SUMIFS(estoque[valor total],estoque[produto],preçodiario[[#Headers],[OVO VERMELHO B]],estoque[data],preçodiario[[#This Row],[data]],estoque[fornecedor],"&lt;&gt;saída"))/(AK289+(SUMIFS(estoque[quantidade],estoque[produto],preçodiario[[#Headers],[OVO VERMELHO B]],estoque[fornecedor],"&lt;&gt;saída",estoque[data],preçodiario[[#This Row],[data]])))))</f>
        <v/>
      </c>
      <c r="AK290" s="22">
        <f>IF(preçodiario[[#This Row],[entrada BV]]=0,AK289-(SUMIFS(estoque[quantidade],estoque[fornecedor],"saída",estoque[produto],preçodiario[[#Headers],[OVO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Row],[data]]))+AK289+preçodiario[[#This Row],[entrada BV]])</f>
        <v>0</v>
      </c>
      <c r="AL290" s="22">
        <f>SUMIFS(estoque[quantidade],estoque[fornecedor],"&lt;&gt;saída",estoque[produto],preçodiario[[#Headers],[OVO VERMELHO B]],estoque[data],preçodiario[[#This Row],[data]])</f>
        <v>0</v>
      </c>
      <c r="AM290" s="20">
        <f>SUMIFS(estoque[valor total],estoque[fornecedor],"&lt;&gt;saída",estoque[produto],preçodiario[[#Headers],[OVO VERMELHO B]],estoque[data],preçodiario[[#This Row],[data]])</f>
        <v>0</v>
      </c>
      <c r="AN290" s="20">
        <f>IFERROR(preçodiario[[#This Row],[OVO VERMELHO B]]*preçodiario[[#This Row],[estoque BV]],0)</f>
        <v>0</v>
      </c>
      <c r="AO29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Row],[data]]))),IF(AP289=0,SUMIFS(estoque[valor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Row],[data]])),((AO289*AP289)+SUMIFS(estoque[valor total],estoque[produto],preçodiario[[#Headers],[OVO VERMELHO C]],estoque[data],preçodiario[[#This Row],[data]],estoque[fornecedor],"&lt;&gt;saída"))/(AP289+(SUMIFS(estoque[quantidade],estoque[produto],preçodiario[[#Headers],[OVO VERMELHO C]],estoque[fornecedor],"&lt;&gt;saída",estoque[data],preçodiario[[#This Row],[data]])))))</f>
        <v/>
      </c>
      <c r="AP290" s="22">
        <f>IF(preçodiario[[#This Row],[entrada CV]]=0,AP289-(SUMIFS(estoque[quantidade],estoque[fornecedor],"saída",estoque[produto],preçodiario[[#Headers],[OVO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Row],[data]]))+AP289+preçodiario[[#This Row],[entrada CV]])</f>
        <v>0</v>
      </c>
      <c r="AQ290" s="22">
        <f>SUMIFS(estoque[quantidade],estoque[fornecedor],"&lt;&gt;saída",estoque[produto],preçodiario[[#Headers],[OVO VERMELHO C]],estoque[data],preçodiario[[#This Row],[data]])</f>
        <v>0</v>
      </c>
      <c r="AR290" s="20">
        <f>SUMIFS(estoque[valor total],estoque[fornecedor],"&lt;&gt;saída",estoque[produto],preçodiario[[#Headers],[OVO VERMELHO C]],estoque[data],preçodiario[[#This Row],[data]])</f>
        <v>0</v>
      </c>
      <c r="AS290" s="20">
        <f>IFERROR(preçodiario[[#This Row],[OVO VERMELHO C]]*preçodiario[[#This Row],[estoque CV]],0)</f>
        <v>0</v>
      </c>
      <c r="AT29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Row],[data]]))),IF(AU289=0,SUMIFS(estoque[valor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Row],[data]])),((AT289*AU289)+SUMIFS(estoque[valor total],estoque[produto],preçodiario[[#Headers],[OVO VERMELHO EXTRA]],estoque[data],preçodiario[[#This Row],[data]],estoque[fornecedor],"&lt;&gt;saída"))/(AU289+(SUMIFS(estoque[quantidade],estoque[produto],preçodiario[[#Headers],[OVO VERMELHO EXTRA]],estoque[fornecedor],"&lt;&gt;saída",estoque[data],preçodiario[[#This Row],[data]])))))</f>
        <v/>
      </c>
      <c r="AU290" s="22">
        <f>IF(preçodiario[[#This Row],[entrada EV]]=0,AU289-(SUMIFS(estoque[quantidade],estoque[fornecedor],"saída",estoque[produto],preçodiario[[#Headers],[OVO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Row],[data]]))+AU289+preçodiario[[#This Row],[entrada EV]])</f>
        <v>0</v>
      </c>
      <c r="AV290" s="22">
        <f>SUMIFS(estoque[quantidade],estoque[fornecedor],"&lt;&gt;saída",estoque[produto],preçodiario[[#Headers],[OVO VERMELHO EXTRA]],estoque[data],preçodiario[[#This Row],[data]])</f>
        <v>0</v>
      </c>
      <c r="AW290" s="20">
        <f>SUMIFS(estoque[valor total],estoque[fornecedor],"&lt;&gt;saída",estoque[produto],preçodiario[[#Headers],[OVO VERMELHO EXTRA]],estoque[data],preçodiario[[#This Row],[data]])</f>
        <v>0</v>
      </c>
      <c r="AX290" s="20">
        <f>IFERROR(preçodiario[[#This Row],[OVO VERMELHO EXTRA]]*preçodiario[[#This Row],[estoque EV]],0)</f>
        <v>0</v>
      </c>
      <c r="AY29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Row],[data]]))),IF(AZ289=0,SUMIFS(estoque[valor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Row],[data]])),((AY289*AZ289)+SUMIFS(estoque[valor total],estoque[produto],preçodiario[[#Headers],[OVO VERMELHO JUMBO]],estoque[data],preçodiario[[#This Row],[data]],estoque[fornecedor],"&lt;&gt;saída"))/(AZ289+(SUMIFS(estoque[quantidade],estoque[produto],preçodiario[[#Headers],[OVO VERMELHO JUMBO]],estoque[fornecedor],"&lt;&gt;saída",estoque[data],preçodiario[[#This Row],[data]])))))</f>
        <v/>
      </c>
      <c r="AZ290" s="22">
        <f>IF(preçodiario[[#This Row],[entrada JV]]=0,AZ289-(SUMIFS(estoque[quantidade],estoque[fornecedor],"saída",estoque[produto],preçodiario[[#Headers],[OVO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Row],[data]]))+AZ289+preçodiario[[#This Row],[entrada JV]])</f>
        <v>0</v>
      </c>
      <c r="BA290" s="22">
        <f>SUMIFS(estoque[quantidade],estoque[fornecedor],"&lt;&gt;saída",estoque[produto],preçodiario[[#Headers],[OVO VERMELHO JUMBO]],estoque[data],preçodiario[[#This Row],[data]])</f>
        <v>0</v>
      </c>
      <c r="BB290" s="20">
        <f>SUMIFS(estoque[valor total],estoque[fornecedor],"&lt;&gt;saída",estoque[produto],preçodiario[[#Headers],[OVO VERMELHO JUMBO]],estoque[data],preçodiario[[#This Row],[data]])</f>
        <v>0</v>
      </c>
      <c r="BC290" s="20">
        <f>IFERROR(preçodiario[[#This Row],[OVO VERMELHO JUMBO]]*preçodiario[[#This Row],[estoque JV]],0)</f>
        <v>0</v>
      </c>
      <c r="BD290" t="str">
        <f>TEXT(vendaAno[[#This Row],[data]],"mmm")</f>
        <v>out</v>
      </c>
      <c r="BE290" t="str">
        <f>TEXT(vendaAno[[#This Row],[data]],"ddd")</f>
        <v>sex</v>
      </c>
      <c r="BF290" s="82">
        <f>WEEKNUM(vendaAno[[#This Row],[data]],13)</f>
        <v>42</v>
      </c>
      <c r="BG290" s="27">
        <f>preçodiario[[#This Row],[data]]</f>
        <v>46311</v>
      </c>
      <c r="BH29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Row],[data]]))/12+BJ289,"")</f>
        <v/>
      </c>
      <c r="BK290" s="79" t="str">
        <f ca="1">IF(TODAY()&gt;=vendaAno[[#This Row],[data]],IF(SUMIFS(estoque[quantidade],estoque[fornecedor],"saída",estoque[data],vendaAno[[#This Row],[data]])/12=0,AVERAGE(BK287:BK289),SUMIFS(estoque[quantidade],estoque[fornecedor],"saída",estoque[data],vendaAno[[#This Row],[data]])/12),"")</f>
        <v/>
      </c>
      <c r="BL290" s="8" t="str">
        <f ca="1">IF(vendaAno[[#This Row],[data]]&lt;=TODAY(),IF(SUMIFS(estoque[lucro],estoque[fornecedor],"saída",estoque[data],vendaAno[[#This Row],[data]])=0,AVERAGE(BL287:BL289),SUMIFS(estoque[lucro],estoque[fornecedor],"saída",estoque[data],vendaAno[[#This Row],[data]])),"")</f>
        <v/>
      </c>
      <c r="BM290" s="10" t="str">
        <f ca="1">IFERROR(vendaAno[[#This Row],[lucro]]/vendaAno[[#This Row],[valor de venda]],"")</f>
        <v/>
      </c>
      <c r="BN29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0" s="8" t="str">
        <f ca="1">IF(TODAY()&gt;=vendaAno[[#This Row],[data]],IF(vendaAno[[#This Row],[N°]]=BF289,vendaAno[[#This Row],[lucro]]-173.33+BO289,vendaAno[[#This Row],[lucro]]-150),"")</f>
        <v/>
      </c>
      <c r="BP290" s="81" t="str">
        <f ca="1">IF(TODAY()&gt;=vendaAno[[#This Row],[data]],SUM(BK284:BK290)*12,"")</f>
        <v/>
      </c>
      <c r="BQ290" s="7" t="str">
        <f ca="1">IFERROR(vendaAno[[#This Row],[lucro]]/(vendaAno[[#This Row],[venda]]*12),"")</f>
        <v/>
      </c>
    </row>
    <row r="291" spans="1:69" x14ac:dyDescent="0.25">
      <c r="A29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1" s="18" t="str">
        <f>TEXT(preçodiario[[#This Row],[data]],"MMM")</f>
        <v>out</v>
      </c>
      <c r="C291" s="18" t="str">
        <f>TEXT(preçodiario[[#This Row],[data]],"ddd")</f>
        <v>sáb</v>
      </c>
      <c r="D291" s="96">
        <f>WEEKNUM(preçodiario[[#This Row],[data]],13)</f>
        <v>42</v>
      </c>
      <c r="E291" s="37">
        <v>46312</v>
      </c>
      <c r="F29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Row],[data]])),((F290*G290)+SUMIFS(estoque[valor total],estoque[produto],preçodiario[[#Headers],[OVO BRANCO A]],estoque[data],preçodiario[[#This Row],[data]],estoque[fornecedor],"&lt;&gt;saída"))/(G290+(SUMIFS(estoque[quantidade],estoque[produto],preçodiario[[#Headers],[OVO BRANCO A]],estoque[fornecedor],"&lt;&gt;saída",estoque[data],preçodiario[[#This Row],[data]])))))</f>
        <v>15.278182701652089</v>
      </c>
      <c r="G291" s="22">
        <f>IF(preçodiario[[#This Row],[entrada A]]=0,G290-(SUMIFS(estoque[quantidade],estoque[fornecedor],"saída",estoque[produto],preçodiario[[#Headers],[OVO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Row],[data]]))+G290+preçodiario[[#This Row],[entrada A]])</f>
        <v>133</v>
      </c>
      <c r="H291" s="22">
        <f>SUMIFS(estoque[quantidade],estoque[fornecedor],"&lt;&gt;saída",estoque[produto],preçodiario[[#Headers],[OVO BRANCO A]],estoque[data],preçodiario[[#This Row],[data]])</f>
        <v>0</v>
      </c>
      <c r="I291" s="20">
        <f>SUMIFS(estoque[valor total],estoque[fornecedor],"&lt;&gt;saída",estoque[produto],preçodiario[[#Headers],[OVO BRANCO A]],estoque[data],preçodiario[[#This Row],[data]])</f>
        <v>0</v>
      </c>
      <c r="J291" s="20">
        <f>IFERROR(preçodiario[[#This Row],[estoque A]]*preçodiario[[#This Row],[OVO BRANCO A]],0)</f>
        <v>2031.9982993197277</v>
      </c>
      <c r="K29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Row],[data]])),((K290*L290)+SUMIFS(estoque[valor total],estoque[produto],preçodiario[[#Headers],[OVO BRANCO B]],estoque[data],preçodiario[[#This Row],[data]],estoque[fornecedor],"&lt;&gt;saída"))/(L290+(SUMIFS(estoque[quantidade],estoque[produto],preçodiario[[#Headers],[OVO BRANCO B]],estoque[fornecedor],"&lt;&gt;saída",estoque[data],preçodiario[[#This Row],[data]])))))</f>
        <v>14.584252837326604</v>
      </c>
      <c r="L291" s="22">
        <f>IF(preçodiario[[#This Row],[entrada B]]=0,L290-(SUMIFS(estoque[quantidade],estoque[fornecedor],"saída",estoque[produto],preçodiario[[#Headers],[OVO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Row],[data]]))+L290+preçodiario[[#This Row],[entrada B]])</f>
        <v>16</v>
      </c>
      <c r="M291" s="22">
        <f>SUMIFS(estoque[quantidade],estoque[fornecedor],"&lt;&gt;saída",estoque[produto],preçodiario[[#Headers],[OVO BRANCO B]],estoque[data],preçodiario[[#This Row],[data]])</f>
        <v>0</v>
      </c>
      <c r="N291" s="20">
        <f>SUMIFS(estoque[valor total],estoque[fornecedor],"&lt;&gt;saída",estoque[produto],preçodiario[[#Headers],[OVO BRANCO B]],estoque[data],preçodiario[[#This Row],[data]])</f>
        <v>0</v>
      </c>
      <c r="O291" s="20">
        <f>IFERROR(preçodiario[[#This Row],[OVO BRANCO B]]*preçodiario[[#This Row],[estoque B]],0)</f>
        <v>233.34804539722566</v>
      </c>
      <c r="P29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Row],[data]])),((P290*Q290)+SUMIFS(estoque[valor total],estoque[produto],preçodiario[[#Headers],[OVO BRANCO C]],estoque[data],preçodiario[[#This Row],[data]],estoque[fornecedor],"&lt;&gt;saída"))/(Q290+(SUMIFS(estoque[quantidade],estoque[produto],preçodiario[[#Headers],[OVO BRANCO C]],estoque[fornecedor],"&lt;&gt;saída",estoque[data],preçodiario[[#This Row],[data]])))))</f>
        <v>12.5</v>
      </c>
      <c r="Q291" s="22">
        <f>IF(preçodiario[[#This Row],[entrada C]]=0,Q290-(SUMIFS(estoque[quantidade],estoque[fornecedor],"saída",estoque[produto],preçodiario[[#Headers],[OVO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Row],[data]]))+Q290+preçodiario[[#This Row],[entrada C]])</f>
        <v>60</v>
      </c>
      <c r="R291" s="22">
        <f>SUMIFS(estoque[quantidade],estoque[fornecedor],"&lt;&gt;saída",estoque[produto],preçodiario[[#Headers],[OVO BRANCO C]],estoque[data],preçodiario[[#This Row],[data]])</f>
        <v>0</v>
      </c>
      <c r="S291" s="20">
        <f>SUMIFS(estoque[valor total],estoque[fornecedor],"&lt;&gt;saída",estoque[produto],preçodiario[[#Headers],[OVO BRANCO C]],estoque[data],preçodiario[[#This Row],[data]])</f>
        <v>0</v>
      </c>
      <c r="T291" s="20">
        <f>IFERROR(preçodiario[[#This Row],[OVO BRANCO C]]*preçodiario[[#This Row],[estoque C]],0)</f>
        <v>750</v>
      </c>
      <c r="U29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Row],[data]])),((U290*V290)+SUMIFS(estoque[valor total],estoque[produto],preçodiario[[#Headers],[OVO BRANCO EXTRA]],estoque[data],preçodiario[[#This Row],[data]],estoque[fornecedor],"&lt;&gt;saída"))/(V290+(SUMIFS(estoque[quantidade],estoque[produto],preçodiario[[#Headers],[OVO BRANCO EXTRA]],estoque[fornecedor],"&lt;&gt;saída",estoque[data],preçodiario[[#This Row],[data]])))))</f>
        <v>15.725438400674655</v>
      </c>
      <c r="V291" s="22">
        <f>IF(preçodiario[[#This Row],[entrada E]]=0,V290-(SUMIFS(estoque[quantidade],estoque[fornecedor],"saída",estoque[produto],preçodiario[[#Headers],[OVO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Row],[data]]))+V290+preçodiario[[#This Row],[entrada E]])</f>
        <v>46</v>
      </c>
      <c r="W291" s="22">
        <f>SUMIFS(estoque[quantidade],estoque[fornecedor],"&lt;&gt;saída",estoque[produto],preçodiario[[#Headers],[OVO BRANCO EXTRA]],estoque[data],preçodiario[[#This Row],[data]])</f>
        <v>0</v>
      </c>
      <c r="X291" s="20">
        <f>SUMIFS(estoque[valor total],estoque[fornecedor],"&lt;&gt;saída",estoque[produto],preçodiario[[#Headers],[OVO BRANCO EXTRA]],estoque[data],preçodiario[[#This Row],[data]])</f>
        <v>0</v>
      </c>
      <c r="Y291" s="20">
        <f>IFERROR(preçodiario[[#This Row],[estoque E]]*preçodiario[[#This Row],[OVO BRANCO EXTRA]],0)</f>
        <v>723.37016643103414</v>
      </c>
      <c r="Z29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Row],[data]])),((Z290*AA290)+SUMIFS(estoque[valor total],estoque[produto],preçodiario[[#Headers],[OVO BRANCO JUMBO]],estoque[data],preçodiario[[#This Row],[data]],estoque[fornecedor],"&lt;&gt;saída"))/(AA290+(SUMIFS(estoque[quantidade],estoque[produto],preçodiario[[#Headers],[OVO BRANCO JUMBO]],estoque[fornecedor],"&lt;&gt;saída",estoque[data],preçodiario[[#This Row],[data]])))))</f>
        <v>16.50550595238095</v>
      </c>
      <c r="AA291" s="22">
        <f>IF(preçodiario[[#This Row],[entrada J]]=0,AA290-(SUMIFS(estoque[quantidade],estoque[fornecedor],"saída",estoque[produto],preçodiario[[#Headers],[OVO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Row],[data]]))+AA290+preçodiario[[#This Row],[entrada J]])</f>
        <v>75</v>
      </c>
      <c r="AB291" s="22">
        <f>SUMIFS(estoque[quantidade],estoque[fornecedor],"&lt;&gt;saída",estoque[produto],preçodiario[[#Headers],[OVO BRANCO JUMBO]],estoque[data],preçodiario[[#This Row],[data]])</f>
        <v>0</v>
      </c>
      <c r="AC291" s="20">
        <f>SUMIFS(estoque[valor total],estoque[fornecedor],"&lt;&gt;saída",estoque[produto],preçodiario[[#Headers],[OVO BRANCO JUMBO]],estoque[data],preçodiario[[#This Row],[data]])</f>
        <v>0</v>
      </c>
      <c r="AD291" s="20">
        <f>IFERROR(preçodiario[[#This Row],[OVO BRANCO JUMBO]]*preçodiario[[#This Row],[estoque J]],0)</f>
        <v>1237.9129464285713</v>
      </c>
      <c r="AE29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Row],[data]])),((AE290*AF290)+SUMIFS(estoque[valor total],estoque[produto],preçodiario[[#Headers],[OVO VERMELHO A]],estoque[data],preçodiario[[#This Row],[data]],estoque[fornecedor],"&lt;&gt;saída"))/(AF290+(SUMIFS(estoque[quantidade],estoque[produto],preçodiario[[#Headers],[OVO VERMELHO A]],estoque[fornecedor],"&lt;&gt;saída",estoque[data],preçodiario[[#This Row],[data]])))))</f>
        <v/>
      </c>
      <c r="AF291" s="22">
        <f>IF(preçodiario[[#This Row],[entrada AV]]=0,AF290-(SUMIFS(estoque[quantidade],estoque[fornecedor],"saída",estoque[produto],preçodiario[[#Headers],[OVO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Row],[data]]))+AF290+preçodiario[[#This Row],[entrada AV]])</f>
        <v>0</v>
      </c>
      <c r="AG291" s="22">
        <f>SUMIFS(estoque[quantidade],estoque[fornecedor],"&lt;&gt;saída",estoque[produto],preçodiario[[#Headers],[OVO VERMELHO A]],estoque[data],preçodiario[[#This Row],[data]])</f>
        <v>0</v>
      </c>
      <c r="AH291" s="20">
        <f>SUMIFS(estoque[valor total],estoque[fornecedor],"&lt;&gt;saída",estoque[produto],preçodiario[[#Headers],[OVO VERMELHO A]],estoque[data],preçodiario[[#This Row],[data]])</f>
        <v>0</v>
      </c>
      <c r="AI291" s="20">
        <f>IFERROR(preçodiario[[#This Row],[OVO VERMELHO A]]*preçodiario[[#This Row],[estoque AV]],0)</f>
        <v>0</v>
      </c>
      <c r="AJ29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Row],[data]])),((AJ290*AK290)+SUMIFS(estoque[valor total],estoque[produto],preçodiario[[#Headers],[OVO VERMELHO B]],estoque[data],preçodiario[[#This Row],[data]],estoque[fornecedor],"&lt;&gt;saída"))/(AK290+(SUMIFS(estoque[quantidade],estoque[produto],preçodiario[[#Headers],[OVO VERMELHO B]],estoque[fornecedor],"&lt;&gt;saída",estoque[data],preçodiario[[#This Row],[data]])))))</f>
        <v/>
      </c>
      <c r="AK291" s="22">
        <f>IF(preçodiario[[#This Row],[entrada BV]]=0,AK290-(SUMIFS(estoque[quantidade],estoque[fornecedor],"saída",estoque[produto],preçodiario[[#Headers],[OVO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Row],[data]]))+AK290+preçodiario[[#This Row],[entrada BV]])</f>
        <v>0</v>
      </c>
      <c r="AL291" s="22">
        <f>SUMIFS(estoque[quantidade],estoque[fornecedor],"&lt;&gt;saída",estoque[produto],preçodiario[[#Headers],[OVO VERMELHO B]],estoque[data],preçodiario[[#This Row],[data]])</f>
        <v>0</v>
      </c>
      <c r="AM291" s="20">
        <f>SUMIFS(estoque[valor total],estoque[fornecedor],"&lt;&gt;saída",estoque[produto],preçodiario[[#Headers],[OVO VERMELHO B]],estoque[data],preçodiario[[#This Row],[data]])</f>
        <v>0</v>
      </c>
      <c r="AN291" s="20">
        <f>IFERROR(preçodiario[[#This Row],[OVO VERMELHO B]]*preçodiario[[#This Row],[estoque BV]],0)</f>
        <v>0</v>
      </c>
      <c r="AO29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Row],[data]])),((AO290*AP290)+SUMIFS(estoque[valor total],estoque[produto],preçodiario[[#Headers],[OVO VERMELHO C]],estoque[data],preçodiario[[#This Row],[data]],estoque[fornecedor],"&lt;&gt;saída"))/(AP290+(SUMIFS(estoque[quantidade],estoque[produto],preçodiario[[#Headers],[OVO VERMELHO C]],estoque[fornecedor],"&lt;&gt;saída",estoque[data],preçodiario[[#This Row],[data]])))))</f>
        <v/>
      </c>
      <c r="AP291" s="22">
        <f>IF(preçodiario[[#This Row],[entrada CV]]=0,AP290-(SUMIFS(estoque[quantidade],estoque[fornecedor],"saída",estoque[produto],preçodiario[[#Headers],[OVO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Row],[data]]))+AP290+preçodiario[[#This Row],[entrada CV]])</f>
        <v>0</v>
      </c>
      <c r="AQ291" s="22">
        <f>SUMIFS(estoque[quantidade],estoque[fornecedor],"&lt;&gt;saída",estoque[produto],preçodiario[[#Headers],[OVO VERMELHO C]],estoque[data],preçodiario[[#This Row],[data]])</f>
        <v>0</v>
      </c>
      <c r="AR291" s="20">
        <f>SUMIFS(estoque[valor total],estoque[fornecedor],"&lt;&gt;saída",estoque[produto],preçodiario[[#Headers],[OVO VERMELHO C]],estoque[data],preçodiario[[#This Row],[data]])</f>
        <v>0</v>
      </c>
      <c r="AS291" s="20">
        <f>IFERROR(preçodiario[[#This Row],[OVO VERMELHO C]]*preçodiario[[#This Row],[estoque CV]],0)</f>
        <v>0</v>
      </c>
      <c r="AT29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Row],[data]])),((AT290*AU290)+SUMIFS(estoque[valor total],estoque[produto],preçodiario[[#Headers],[OVO VERMELHO EXTRA]],estoque[data],preçodiario[[#This Row],[data]],estoque[fornecedor],"&lt;&gt;saída"))/(AU290+(SUMIFS(estoque[quantidade],estoque[produto],preçodiario[[#Headers],[OVO VERMELHO EXTRA]],estoque[fornecedor],"&lt;&gt;saída",estoque[data],preçodiario[[#This Row],[data]])))))</f>
        <v/>
      </c>
      <c r="AU291" s="22">
        <f>IF(preçodiario[[#This Row],[entrada EV]]=0,AU290-(SUMIFS(estoque[quantidade],estoque[fornecedor],"saída",estoque[produto],preçodiario[[#Headers],[OVO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Row],[data]]))+AU290+preçodiario[[#This Row],[entrada EV]])</f>
        <v>0</v>
      </c>
      <c r="AV291" s="22">
        <f>SUMIFS(estoque[quantidade],estoque[fornecedor],"&lt;&gt;saída",estoque[produto],preçodiario[[#Headers],[OVO VERMELHO EXTRA]],estoque[data],preçodiario[[#This Row],[data]])</f>
        <v>0</v>
      </c>
      <c r="AW291" s="20">
        <f>SUMIFS(estoque[valor total],estoque[fornecedor],"&lt;&gt;saída",estoque[produto],preçodiario[[#Headers],[OVO VERMELHO EXTRA]],estoque[data],preçodiario[[#This Row],[data]])</f>
        <v>0</v>
      </c>
      <c r="AX291" s="20">
        <f>IFERROR(preçodiario[[#This Row],[OVO VERMELHO EXTRA]]*preçodiario[[#This Row],[estoque EV]],0)</f>
        <v>0</v>
      </c>
      <c r="AY29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Row],[data]])),((AY290*AZ290)+SUMIFS(estoque[valor total],estoque[produto],preçodiario[[#Headers],[OVO VERMELHO JUMBO]],estoque[data],preçodiario[[#This Row],[data]],estoque[fornecedor],"&lt;&gt;saída"))/(AZ290+(SUMIFS(estoque[quantidade],estoque[produto],preçodiario[[#Headers],[OVO VERMELHO JUMBO]],estoque[fornecedor],"&lt;&gt;saída",estoque[data],preçodiario[[#This Row],[data]])))))</f>
        <v/>
      </c>
      <c r="AZ291" s="22">
        <f>IF(preçodiario[[#This Row],[entrada JV]]=0,AZ290-(SUMIFS(estoque[quantidade],estoque[fornecedor],"saída",estoque[produto],preçodiario[[#Headers],[OVO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Row],[data]]))+AZ290+preçodiario[[#This Row],[entrada JV]])</f>
        <v>0</v>
      </c>
      <c r="BA291" s="22">
        <f>SUMIFS(estoque[quantidade],estoque[fornecedor],"&lt;&gt;saída",estoque[produto],preçodiario[[#Headers],[OVO VERMELHO JUMBO]],estoque[data],preçodiario[[#This Row],[data]])</f>
        <v>0</v>
      </c>
      <c r="BB291" s="20">
        <f>SUMIFS(estoque[valor total],estoque[fornecedor],"&lt;&gt;saída",estoque[produto],preçodiario[[#Headers],[OVO VERMELHO JUMBO]],estoque[data],preçodiario[[#This Row],[data]])</f>
        <v>0</v>
      </c>
      <c r="BC291" s="20">
        <f>IFERROR(preçodiario[[#This Row],[OVO VERMELHO JUMBO]]*preçodiario[[#This Row],[estoque JV]],0)</f>
        <v>0</v>
      </c>
      <c r="BD291" t="str">
        <f>TEXT(vendaAno[[#This Row],[data]],"mmm")</f>
        <v>out</v>
      </c>
      <c r="BE291" t="str">
        <f>TEXT(vendaAno[[#This Row],[data]],"ddd")</f>
        <v>sáb</v>
      </c>
      <c r="BF291" s="82">
        <f>WEEKNUM(vendaAno[[#This Row],[data]],13)</f>
        <v>42</v>
      </c>
      <c r="BG291" s="27">
        <f>preçodiario[[#This Row],[data]]</f>
        <v>46312</v>
      </c>
      <c r="BH29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Row],[data]]))/12+BJ290,"")</f>
        <v/>
      </c>
      <c r="BK291" s="79" t="str">
        <f ca="1">IF(TODAY()&gt;=vendaAno[[#This Row],[data]],IF(SUMIFS(estoque[quantidade],estoque[fornecedor],"saída",estoque[data],vendaAno[[#This Row],[data]])/12=0,AVERAGE(BK288:BK290),SUMIFS(estoque[quantidade],estoque[fornecedor],"saída",estoque[data],vendaAno[[#This Row],[data]])/12),"")</f>
        <v/>
      </c>
      <c r="BL291" s="8" t="str">
        <f ca="1">IF(vendaAno[[#This Row],[data]]&lt;=TODAY(),IF(SUMIFS(estoque[lucro],estoque[fornecedor],"saída",estoque[data],vendaAno[[#This Row],[data]])=0,AVERAGE(BL288:BL290),SUMIFS(estoque[lucro],estoque[fornecedor],"saída",estoque[data],vendaAno[[#This Row],[data]])),"")</f>
        <v/>
      </c>
      <c r="BM291" s="10" t="str">
        <f ca="1">IFERROR(vendaAno[[#This Row],[lucro]]/vendaAno[[#This Row],[valor de venda]],"")</f>
        <v/>
      </c>
      <c r="BN29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1" s="8" t="str">
        <f ca="1">IF(TODAY()&gt;=vendaAno[[#This Row],[data]],IF(vendaAno[[#This Row],[N°]]=BF290,vendaAno[[#This Row],[lucro]]-173.33+BO290,vendaAno[[#This Row],[lucro]]-150),"")</f>
        <v/>
      </c>
      <c r="BP291" s="81" t="str">
        <f ca="1">IF(TODAY()&gt;=vendaAno[[#This Row],[data]],SUM(BK285:BK291)*12,"")</f>
        <v/>
      </c>
      <c r="BQ291" s="7" t="str">
        <f ca="1">IFERROR(vendaAno[[#This Row],[lucro]]/(vendaAno[[#This Row],[venda]]*12),"")</f>
        <v/>
      </c>
    </row>
    <row r="292" spans="1:69" x14ac:dyDescent="0.25">
      <c r="A29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2" s="18" t="str">
        <f>TEXT(preçodiario[[#This Row],[data]],"MMM")</f>
        <v>out</v>
      </c>
      <c r="C292" s="18" t="str">
        <f>TEXT(preçodiario[[#This Row],[data]],"ddd")</f>
        <v>dom</v>
      </c>
      <c r="D292" s="96">
        <f>WEEKNUM(preçodiario[[#This Row],[data]],13)</f>
        <v>42</v>
      </c>
      <c r="E292" s="37">
        <v>46313</v>
      </c>
      <c r="F29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Row],[data]])),((F291*G291)+SUMIFS(estoque[valor total],estoque[produto],preçodiario[[#Headers],[OVO BRANCO A]],estoque[data],preçodiario[[#This Row],[data]],estoque[fornecedor],"&lt;&gt;saída"))/(G291+(SUMIFS(estoque[quantidade],estoque[produto],preçodiario[[#Headers],[OVO BRANCO A]],estoque[fornecedor],"&lt;&gt;saída",estoque[data],preçodiario[[#This Row],[data]])))))</f>
        <v>15.278182701652089</v>
      </c>
      <c r="G292" s="22">
        <f>IF(preçodiario[[#This Row],[entrada A]]=0,G291-(SUMIFS(estoque[quantidade],estoque[fornecedor],"saída",estoque[produto],preçodiario[[#Headers],[OVO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Row],[data]]))+G291+preçodiario[[#This Row],[entrada A]])</f>
        <v>133</v>
      </c>
      <c r="H292" s="22">
        <f>SUMIFS(estoque[quantidade],estoque[fornecedor],"&lt;&gt;saída",estoque[produto],preçodiario[[#Headers],[OVO BRANCO A]],estoque[data],preçodiario[[#This Row],[data]])</f>
        <v>0</v>
      </c>
      <c r="I292" s="20">
        <f>SUMIFS(estoque[valor total],estoque[fornecedor],"&lt;&gt;saída",estoque[produto],preçodiario[[#Headers],[OVO BRANCO A]],estoque[data],preçodiario[[#This Row],[data]])</f>
        <v>0</v>
      </c>
      <c r="J292" s="20">
        <f>IFERROR(preçodiario[[#This Row],[estoque A]]*preçodiario[[#This Row],[OVO BRANCO A]],0)</f>
        <v>2031.9982993197277</v>
      </c>
      <c r="K29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Row],[data]])),((K291*L291)+SUMIFS(estoque[valor total],estoque[produto],preçodiario[[#Headers],[OVO BRANCO B]],estoque[data],preçodiario[[#This Row],[data]],estoque[fornecedor],"&lt;&gt;saída"))/(L291+(SUMIFS(estoque[quantidade],estoque[produto],preçodiario[[#Headers],[OVO BRANCO B]],estoque[fornecedor],"&lt;&gt;saída",estoque[data],preçodiario[[#This Row],[data]])))))</f>
        <v>14.584252837326604</v>
      </c>
      <c r="L292" s="22">
        <f>IF(preçodiario[[#This Row],[entrada B]]=0,L291-(SUMIFS(estoque[quantidade],estoque[fornecedor],"saída",estoque[produto],preçodiario[[#Headers],[OVO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Row],[data]]))+L291+preçodiario[[#This Row],[entrada B]])</f>
        <v>16</v>
      </c>
      <c r="M292" s="22">
        <f>SUMIFS(estoque[quantidade],estoque[fornecedor],"&lt;&gt;saída",estoque[produto],preçodiario[[#Headers],[OVO BRANCO B]],estoque[data],preçodiario[[#This Row],[data]])</f>
        <v>0</v>
      </c>
      <c r="N292" s="20">
        <f>SUMIFS(estoque[valor total],estoque[fornecedor],"&lt;&gt;saída",estoque[produto],preçodiario[[#Headers],[OVO BRANCO B]],estoque[data],preçodiario[[#This Row],[data]])</f>
        <v>0</v>
      </c>
      <c r="O292" s="20">
        <f>IFERROR(preçodiario[[#This Row],[OVO BRANCO B]]*preçodiario[[#This Row],[estoque B]],0)</f>
        <v>233.34804539722566</v>
      </c>
      <c r="P29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Row],[data]])),((P291*Q291)+SUMIFS(estoque[valor total],estoque[produto],preçodiario[[#Headers],[OVO BRANCO C]],estoque[data],preçodiario[[#This Row],[data]],estoque[fornecedor],"&lt;&gt;saída"))/(Q291+(SUMIFS(estoque[quantidade],estoque[produto],preçodiario[[#Headers],[OVO BRANCO C]],estoque[fornecedor],"&lt;&gt;saída",estoque[data],preçodiario[[#This Row],[data]])))))</f>
        <v>12.5</v>
      </c>
      <c r="Q292" s="22">
        <f>IF(preçodiario[[#This Row],[entrada C]]=0,Q291-(SUMIFS(estoque[quantidade],estoque[fornecedor],"saída",estoque[produto],preçodiario[[#Headers],[OVO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Row],[data]]))+Q291+preçodiario[[#This Row],[entrada C]])</f>
        <v>60</v>
      </c>
      <c r="R292" s="22">
        <f>SUMIFS(estoque[quantidade],estoque[fornecedor],"&lt;&gt;saída",estoque[produto],preçodiario[[#Headers],[OVO BRANCO C]],estoque[data],preçodiario[[#This Row],[data]])</f>
        <v>0</v>
      </c>
      <c r="S292" s="20">
        <f>SUMIFS(estoque[valor total],estoque[fornecedor],"&lt;&gt;saída",estoque[produto],preçodiario[[#Headers],[OVO BRANCO C]],estoque[data],preçodiario[[#This Row],[data]])</f>
        <v>0</v>
      </c>
      <c r="T292" s="20">
        <f>IFERROR(preçodiario[[#This Row],[OVO BRANCO C]]*preçodiario[[#This Row],[estoque C]],0)</f>
        <v>750</v>
      </c>
      <c r="U29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Row],[data]])),((U291*V291)+SUMIFS(estoque[valor total],estoque[produto],preçodiario[[#Headers],[OVO BRANCO EXTRA]],estoque[data],preçodiario[[#This Row],[data]],estoque[fornecedor],"&lt;&gt;saída"))/(V291+(SUMIFS(estoque[quantidade],estoque[produto],preçodiario[[#Headers],[OVO BRANCO EXTRA]],estoque[fornecedor],"&lt;&gt;saída",estoque[data],preçodiario[[#This Row],[data]])))))</f>
        <v>15.725438400674655</v>
      </c>
      <c r="V292" s="22">
        <f>IF(preçodiario[[#This Row],[entrada E]]=0,V291-(SUMIFS(estoque[quantidade],estoque[fornecedor],"saída",estoque[produto],preçodiario[[#Headers],[OVO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Row],[data]]))+V291+preçodiario[[#This Row],[entrada E]])</f>
        <v>46</v>
      </c>
      <c r="W292" s="22">
        <f>SUMIFS(estoque[quantidade],estoque[fornecedor],"&lt;&gt;saída",estoque[produto],preçodiario[[#Headers],[OVO BRANCO EXTRA]],estoque[data],preçodiario[[#This Row],[data]])</f>
        <v>0</v>
      </c>
      <c r="X292" s="20">
        <f>SUMIFS(estoque[valor total],estoque[fornecedor],"&lt;&gt;saída",estoque[produto],preçodiario[[#Headers],[OVO BRANCO EXTRA]],estoque[data],preçodiario[[#This Row],[data]])</f>
        <v>0</v>
      </c>
      <c r="Y292" s="20">
        <f>IFERROR(preçodiario[[#This Row],[estoque E]]*preçodiario[[#This Row],[OVO BRANCO EXTRA]],0)</f>
        <v>723.37016643103414</v>
      </c>
      <c r="Z29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Row],[data]])),((Z291*AA291)+SUMIFS(estoque[valor total],estoque[produto],preçodiario[[#Headers],[OVO BRANCO JUMBO]],estoque[data],preçodiario[[#This Row],[data]],estoque[fornecedor],"&lt;&gt;saída"))/(AA291+(SUMIFS(estoque[quantidade],estoque[produto],preçodiario[[#Headers],[OVO BRANCO JUMBO]],estoque[fornecedor],"&lt;&gt;saída",estoque[data],preçodiario[[#This Row],[data]])))))</f>
        <v>16.50550595238095</v>
      </c>
      <c r="AA292" s="22">
        <f>IF(preçodiario[[#This Row],[entrada J]]=0,AA291-(SUMIFS(estoque[quantidade],estoque[fornecedor],"saída",estoque[produto],preçodiario[[#Headers],[OVO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Row],[data]]))+AA291+preçodiario[[#This Row],[entrada J]])</f>
        <v>75</v>
      </c>
      <c r="AB292" s="22">
        <f>SUMIFS(estoque[quantidade],estoque[fornecedor],"&lt;&gt;saída",estoque[produto],preçodiario[[#Headers],[OVO BRANCO JUMBO]],estoque[data],preçodiario[[#This Row],[data]])</f>
        <v>0</v>
      </c>
      <c r="AC292" s="20">
        <f>SUMIFS(estoque[valor total],estoque[fornecedor],"&lt;&gt;saída",estoque[produto],preçodiario[[#Headers],[OVO BRANCO JUMBO]],estoque[data],preçodiario[[#This Row],[data]])</f>
        <v>0</v>
      </c>
      <c r="AD292" s="20">
        <f>IFERROR(preçodiario[[#This Row],[OVO BRANCO JUMBO]]*preçodiario[[#This Row],[estoque J]],0)</f>
        <v>1237.9129464285713</v>
      </c>
      <c r="AE29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Row],[data]])),((AE291*AF291)+SUMIFS(estoque[valor total],estoque[produto],preçodiario[[#Headers],[OVO VERMELHO A]],estoque[data],preçodiario[[#This Row],[data]],estoque[fornecedor],"&lt;&gt;saída"))/(AF291+(SUMIFS(estoque[quantidade],estoque[produto],preçodiario[[#Headers],[OVO VERMELHO A]],estoque[fornecedor],"&lt;&gt;saída",estoque[data],preçodiario[[#This Row],[data]])))))</f>
        <v/>
      </c>
      <c r="AF292" s="22">
        <f>IF(preçodiario[[#This Row],[entrada AV]]=0,AF291-(SUMIFS(estoque[quantidade],estoque[fornecedor],"saída",estoque[produto],preçodiario[[#Headers],[OVO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Row],[data]]))+AF291+preçodiario[[#This Row],[entrada AV]])</f>
        <v>0</v>
      </c>
      <c r="AG292" s="22">
        <f>SUMIFS(estoque[quantidade],estoque[fornecedor],"&lt;&gt;saída",estoque[produto],preçodiario[[#Headers],[OVO VERMELHO A]],estoque[data],preçodiario[[#This Row],[data]])</f>
        <v>0</v>
      </c>
      <c r="AH292" s="20">
        <f>SUMIFS(estoque[valor total],estoque[fornecedor],"&lt;&gt;saída",estoque[produto],preçodiario[[#Headers],[OVO VERMELHO A]],estoque[data],preçodiario[[#This Row],[data]])</f>
        <v>0</v>
      </c>
      <c r="AI292" s="20">
        <f>IFERROR(preçodiario[[#This Row],[OVO VERMELHO A]]*preçodiario[[#This Row],[estoque AV]],0)</f>
        <v>0</v>
      </c>
      <c r="AJ29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Row],[data]])),((AJ291*AK291)+SUMIFS(estoque[valor total],estoque[produto],preçodiario[[#Headers],[OVO VERMELHO B]],estoque[data],preçodiario[[#This Row],[data]],estoque[fornecedor],"&lt;&gt;saída"))/(AK291+(SUMIFS(estoque[quantidade],estoque[produto],preçodiario[[#Headers],[OVO VERMELHO B]],estoque[fornecedor],"&lt;&gt;saída",estoque[data],preçodiario[[#This Row],[data]])))))</f>
        <v/>
      </c>
      <c r="AK292" s="22">
        <f>IF(preçodiario[[#This Row],[entrada BV]]=0,AK291-(SUMIFS(estoque[quantidade],estoque[fornecedor],"saída",estoque[produto],preçodiario[[#Headers],[OVO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Row],[data]]))+AK291+preçodiario[[#This Row],[entrada BV]])</f>
        <v>0</v>
      </c>
      <c r="AL292" s="22">
        <f>SUMIFS(estoque[quantidade],estoque[fornecedor],"&lt;&gt;saída",estoque[produto],preçodiario[[#Headers],[OVO VERMELHO B]],estoque[data],preçodiario[[#This Row],[data]])</f>
        <v>0</v>
      </c>
      <c r="AM292" s="20">
        <f>SUMIFS(estoque[valor total],estoque[fornecedor],"&lt;&gt;saída",estoque[produto],preçodiario[[#Headers],[OVO VERMELHO B]],estoque[data],preçodiario[[#This Row],[data]])</f>
        <v>0</v>
      </c>
      <c r="AN292" s="20">
        <f>IFERROR(preçodiario[[#This Row],[OVO VERMELHO B]]*preçodiario[[#This Row],[estoque BV]],0)</f>
        <v>0</v>
      </c>
      <c r="AO29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Row],[data]])),((AO291*AP291)+SUMIFS(estoque[valor total],estoque[produto],preçodiario[[#Headers],[OVO VERMELHO C]],estoque[data],preçodiario[[#This Row],[data]],estoque[fornecedor],"&lt;&gt;saída"))/(AP291+(SUMIFS(estoque[quantidade],estoque[produto],preçodiario[[#Headers],[OVO VERMELHO C]],estoque[fornecedor],"&lt;&gt;saída",estoque[data],preçodiario[[#This Row],[data]])))))</f>
        <v/>
      </c>
      <c r="AP292" s="22">
        <f>IF(preçodiario[[#This Row],[entrada CV]]=0,AP291-(SUMIFS(estoque[quantidade],estoque[fornecedor],"saída",estoque[produto],preçodiario[[#Headers],[OVO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Row],[data]]))+AP291+preçodiario[[#This Row],[entrada CV]])</f>
        <v>0</v>
      </c>
      <c r="AQ292" s="22">
        <f>SUMIFS(estoque[quantidade],estoque[fornecedor],"&lt;&gt;saída",estoque[produto],preçodiario[[#Headers],[OVO VERMELHO C]],estoque[data],preçodiario[[#This Row],[data]])</f>
        <v>0</v>
      </c>
      <c r="AR292" s="20">
        <f>SUMIFS(estoque[valor total],estoque[fornecedor],"&lt;&gt;saída",estoque[produto],preçodiario[[#Headers],[OVO VERMELHO C]],estoque[data],preçodiario[[#This Row],[data]])</f>
        <v>0</v>
      </c>
      <c r="AS292" s="20">
        <f>IFERROR(preçodiario[[#This Row],[OVO VERMELHO C]]*preçodiario[[#This Row],[estoque CV]],0)</f>
        <v>0</v>
      </c>
      <c r="AT29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Row],[data]])),((AT291*AU291)+SUMIFS(estoque[valor total],estoque[produto],preçodiario[[#Headers],[OVO VERMELHO EXTRA]],estoque[data],preçodiario[[#This Row],[data]],estoque[fornecedor],"&lt;&gt;saída"))/(AU291+(SUMIFS(estoque[quantidade],estoque[produto],preçodiario[[#Headers],[OVO VERMELHO EXTRA]],estoque[fornecedor],"&lt;&gt;saída",estoque[data],preçodiario[[#This Row],[data]])))))</f>
        <v/>
      </c>
      <c r="AU292" s="22">
        <f>IF(preçodiario[[#This Row],[entrada EV]]=0,AU291-(SUMIFS(estoque[quantidade],estoque[fornecedor],"saída",estoque[produto],preçodiario[[#Headers],[OVO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Row],[data]]))+AU291+preçodiario[[#This Row],[entrada EV]])</f>
        <v>0</v>
      </c>
      <c r="AV292" s="22">
        <f>SUMIFS(estoque[quantidade],estoque[fornecedor],"&lt;&gt;saída",estoque[produto],preçodiario[[#Headers],[OVO VERMELHO EXTRA]],estoque[data],preçodiario[[#This Row],[data]])</f>
        <v>0</v>
      </c>
      <c r="AW292" s="20">
        <f>SUMIFS(estoque[valor total],estoque[fornecedor],"&lt;&gt;saída",estoque[produto],preçodiario[[#Headers],[OVO VERMELHO EXTRA]],estoque[data],preçodiario[[#This Row],[data]])</f>
        <v>0</v>
      </c>
      <c r="AX292" s="20">
        <f>IFERROR(preçodiario[[#This Row],[OVO VERMELHO EXTRA]]*preçodiario[[#This Row],[estoque EV]],0)</f>
        <v>0</v>
      </c>
      <c r="AY29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Row],[data]])),((AY291*AZ291)+SUMIFS(estoque[valor total],estoque[produto],preçodiario[[#Headers],[OVO VERMELHO JUMBO]],estoque[data],preçodiario[[#This Row],[data]],estoque[fornecedor],"&lt;&gt;saída"))/(AZ291+(SUMIFS(estoque[quantidade],estoque[produto],preçodiario[[#Headers],[OVO VERMELHO JUMBO]],estoque[fornecedor],"&lt;&gt;saída",estoque[data],preçodiario[[#This Row],[data]])))))</f>
        <v/>
      </c>
      <c r="AZ292" s="22">
        <f>IF(preçodiario[[#This Row],[entrada JV]]=0,AZ291-(SUMIFS(estoque[quantidade],estoque[fornecedor],"saída",estoque[produto],preçodiario[[#Headers],[OVO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Row],[data]]))+AZ291+preçodiario[[#This Row],[entrada JV]])</f>
        <v>0</v>
      </c>
      <c r="BA292" s="22">
        <f>SUMIFS(estoque[quantidade],estoque[fornecedor],"&lt;&gt;saída",estoque[produto],preçodiario[[#Headers],[OVO VERMELHO JUMBO]],estoque[data],preçodiario[[#This Row],[data]])</f>
        <v>0</v>
      </c>
      <c r="BB292" s="20">
        <f>SUMIFS(estoque[valor total],estoque[fornecedor],"&lt;&gt;saída",estoque[produto],preçodiario[[#Headers],[OVO VERMELHO JUMBO]],estoque[data],preçodiario[[#This Row],[data]])</f>
        <v>0</v>
      </c>
      <c r="BC292" s="20">
        <f>IFERROR(preçodiario[[#This Row],[OVO VERMELHO JUMBO]]*preçodiario[[#This Row],[estoque JV]],0)</f>
        <v>0</v>
      </c>
      <c r="BD292" t="str">
        <f>TEXT(vendaAno[[#This Row],[data]],"mmm")</f>
        <v>out</v>
      </c>
      <c r="BE292" t="str">
        <f>TEXT(vendaAno[[#This Row],[data]],"ddd")</f>
        <v>dom</v>
      </c>
      <c r="BF292" s="82">
        <f>WEEKNUM(vendaAno[[#This Row],[data]],13)</f>
        <v>42</v>
      </c>
      <c r="BG292" s="27">
        <f>preçodiario[[#This Row],[data]]</f>
        <v>46313</v>
      </c>
      <c r="BH29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Row],[data]]))/12+BJ291,"")</f>
        <v/>
      </c>
      <c r="BK292" s="79" t="str">
        <f ca="1">IF(TODAY()&gt;=vendaAno[[#This Row],[data]],IF(SUMIFS(estoque[quantidade],estoque[fornecedor],"saída",estoque[data],vendaAno[[#This Row],[data]])/12=0,AVERAGE(BK289:BK291),SUMIFS(estoque[quantidade],estoque[fornecedor],"saída",estoque[data],vendaAno[[#This Row],[data]])/12),"")</f>
        <v/>
      </c>
      <c r="BL292" s="8" t="str">
        <f ca="1">IF(vendaAno[[#This Row],[data]]&lt;=TODAY(),IF(SUMIFS(estoque[lucro],estoque[fornecedor],"saída",estoque[data],vendaAno[[#This Row],[data]])=0,AVERAGE(BL289:BL291),SUMIFS(estoque[lucro],estoque[fornecedor],"saída",estoque[data],vendaAno[[#This Row],[data]])),"")</f>
        <v/>
      </c>
      <c r="BM292" s="10" t="str">
        <f ca="1">IFERROR(vendaAno[[#This Row],[lucro]]/vendaAno[[#This Row],[valor de venda]],"")</f>
        <v/>
      </c>
      <c r="BN29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2" s="8" t="str">
        <f ca="1">IF(TODAY()&gt;=vendaAno[[#This Row],[data]],IF(vendaAno[[#This Row],[N°]]=BF291,vendaAno[[#This Row],[lucro]]-173.33+BO291,vendaAno[[#This Row],[lucro]]-150),"")</f>
        <v/>
      </c>
      <c r="BP292" s="81" t="str">
        <f ca="1">IF(TODAY()&gt;=vendaAno[[#This Row],[data]],SUM(BK286:BK292)*12,"")</f>
        <v/>
      </c>
      <c r="BQ292" s="7" t="str">
        <f ca="1">IFERROR(vendaAno[[#This Row],[lucro]]/(vendaAno[[#This Row],[venda]]*12),"")</f>
        <v/>
      </c>
    </row>
    <row r="293" spans="1:69" x14ac:dyDescent="0.25">
      <c r="A29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3" s="18" t="str">
        <f>TEXT(preçodiario[[#This Row],[data]],"MMM")</f>
        <v>out</v>
      </c>
      <c r="C293" s="18" t="str">
        <f>TEXT(preçodiario[[#This Row],[data]],"ddd")</f>
        <v>seg</v>
      </c>
      <c r="D293" s="96">
        <f>WEEKNUM(preçodiario[[#This Row],[data]],13)</f>
        <v>42</v>
      </c>
      <c r="E293" s="37">
        <v>46314</v>
      </c>
      <c r="F29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Row],[data]])),((F292*G292)+SUMIFS(estoque[valor total],estoque[produto],preçodiario[[#Headers],[OVO BRANCO A]],estoque[data],preçodiario[[#This Row],[data]],estoque[fornecedor],"&lt;&gt;saída"))/(G292+(SUMIFS(estoque[quantidade],estoque[produto],preçodiario[[#Headers],[OVO BRANCO A]],estoque[fornecedor],"&lt;&gt;saída",estoque[data],preçodiario[[#This Row],[data]])))))</f>
        <v>15.278182701652089</v>
      </c>
      <c r="G293" s="22">
        <f>IF(preçodiario[[#This Row],[entrada A]]=0,G292-(SUMIFS(estoque[quantidade],estoque[fornecedor],"saída",estoque[produto],preçodiario[[#Headers],[OVO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Row],[data]]))+G292+preçodiario[[#This Row],[entrada A]])</f>
        <v>133</v>
      </c>
      <c r="H293" s="22">
        <f>SUMIFS(estoque[quantidade],estoque[fornecedor],"&lt;&gt;saída",estoque[produto],preçodiario[[#Headers],[OVO BRANCO A]],estoque[data],preçodiario[[#This Row],[data]])</f>
        <v>0</v>
      </c>
      <c r="I293" s="20">
        <f>SUMIFS(estoque[valor total],estoque[fornecedor],"&lt;&gt;saída",estoque[produto],preçodiario[[#Headers],[OVO BRANCO A]],estoque[data],preçodiario[[#This Row],[data]])</f>
        <v>0</v>
      </c>
      <c r="J293" s="20">
        <f>IFERROR(preçodiario[[#This Row],[estoque A]]*preçodiario[[#This Row],[OVO BRANCO A]],0)</f>
        <v>2031.9982993197277</v>
      </c>
      <c r="K29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Row],[data]])),((K292*L292)+SUMIFS(estoque[valor total],estoque[produto],preçodiario[[#Headers],[OVO BRANCO B]],estoque[data],preçodiario[[#This Row],[data]],estoque[fornecedor],"&lt;&gt;saída"))/(L292+(SUMIFS(estoque[quantidade],estoque[produto],preçodiario[[#Headers],[OVO BRANCO B]],estoque[fornecedor],"&lt;&gt;saída",estoque[data],preçodiario[[#This Row],[data]])))))</f>
        <v>14.584252837326604</v>
      </c>
      <c r="L293" s="22">
        <f>IF(preçodiario[[#This Row],[entrada B]]=0,L292-(SUMIFS(estoque[quantidade],estoque[fornecedor],"saída",estoque[produto],preçodiario[[#Headers],[OVO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Row],[data]]))+L292+preçodiario[[#This Row],[entrada B]])</f>
        <v>16</v>
      </c>
      <c r="M293" s="22">
        <f>SUMIFS(estoque[quantidade],estoque[fornecedor],"&lt;&gt;saída",estoque[produto],preçodiario[[#Headers],[OVO BRANCO B]],estoque[data],preçodiario[[#This Row],[data]])</f>
        <v>0</v>
      </c>
      <c r="N293" s="20">
        <f>SUMIFS(estoque[valor total],estoque[fornecedor],"&lt;&gt;saída",estoque[produto],preçodiario[[#Headers],[OVO BRANCO B]],estoque[data],preçodiario[[#This Row],[data]])</f>
        <v>0</v>
      </c>
      <c r="O293" s="20">
        <f>IFERROR(preçodiario[[#This Row],[OVO BRANCO B]]*preçodiario[[#This Row],[estoque B]],0)</f>
        <v>233.34804539722566</v>
      </c>
      <c r="P29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Row],[data]])),((P292*Q292)+SUMIFS(estoque[valor total],estoque[produto],preçodiario[[#Headers],[OVO BRANCO C]],estoque[data],preçodiario[[#This Row],[data]],estoque[fornecedor],"&lt;&gt;saída"))/(Q292+(SUMIFS(estoque[quantidade],estoque[produto],preçodiario[[#Headers],[OVO BRANCO C]],estoque[fornecedor],"&lt;&gt;saída",estoque[data],preçodiario[[#This Row],[data]])))))</f>
        <v>12.5</v>
      </c>
      <c r="Q293" s="22">
        <f>IF(preçodiario[[#This Row],[entrada C]]=0,Q292-(SUMIFS(estoque[quantidade],estoque[fornecedor],"saída",estoque[produto],preçodiario[[#Headers],[OVO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Row],[data]]))+Q292+preçodiario[[#This Row],[entrada C]])</f>
        <v>60</v>
      </c>
      <c r="R293" s="22">
        <f>SUMIFS(estoque[quantidade],estoque[fornecedor],"&lt;&gt;saída",estoque[produto],preçodiario[[#Headers],[OVO BRANCO C]],estoque[data],preçodiario[[#This Row],[data]])</f>
        <v>0</v>
      </c>
      <c r="S293" s="20">
        <f>SUMIFS(estoque[valor total],estoque[fornecedor],"&lt;&gt;saída",estoque[produto],preçodiario[[#Headers],[OVO BRANCO C]],estoque[data],preçodiario[[#This Row],[data]])</f>
        <v>0</v>
      </c>
      <c r="T293" s="20">
        <f>IFERROR(preçodiario[[#This Row],[OVO BRANCO C]]*preçodiario[[#This Row],[estoque C]],0)</f>
        <v>750</v>
      </c>
      <c r="U29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Row],[data]])),((U292*V292)+SUMIFS(estoque[valor total],estoque[produto],preçodiario[[#Headers],[OVO BRANCO EXTRA]],estoque[data],preçodiario[[#This Row],[data]],estoque[fornecedor],"&lt;&gt;saída"))/(V292+(SUMIFS(estoque[quantidade],estoque[produto],preçodiario[[#Headers],[OVO BRANCO EXTRA]],estoque[fornecedor],"&lt;&gt;saída",estoque[data],preçodiario[[#This Row],[data]])))))</f>
        <v>15.725438400674655</v>
      </c>
      <c r="V293" s="22">
        <f>IF(preçodiario[[#This Row],[entrada E]]=0,V292-(SUMIFS(estoque[quantidade],estoque[fornecedor],"saída",estoque[produto],preçodiario[[#Headers],[OVO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Row],[data]]))+V292+preçodiario[[#This Row],[entrada E]])</f>
        <v>46</v>
      </c>
      <c r="W293" s="22">
        <f>SUMIFS(estoque[quantidade],estoque[fornecedor],"&lt;&gt;saída",estoque[produto],preçodiario[[#Headers],[OVO BRANCO EXTRA]],estoque[data],preçodiario[[#This Row],[data]])</f>
        <v>0</v>
      </c>
      <c r="X293" s="20">
        <f>SUMIFS(estoque[valor total],estoque[fornecedor],"&lt;&gt;saída",estoque[produto],preçodiario[[#Headers],[OVO BRANCO EXTRA]],estoque[data],preçodiario[[#This Row],[data]])</f>
        <v>0</v>
      </c>
      <c r="Y293" s="20">
        <f>IFERROR(preçodiario[[#This Row],[estoque E]]*preçodiario[[#This Row],[OVO BRANCO EXTRA]],0)</f>
        <v>723.37016643103414</v>
      </c>
      <c r="Z29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Row],[data]])),((Z292*AA292)+SUMIFS(estoque[valor total],estoque[produto],preçodiario[[#Headers],[OVO BRANCO JUMBO]],estoque[data],preçodiario[[#This Row],[data]],estoque[fornecedor],"&lt;&gt;saída"))/(AA292+(SUMIFS(estoque[quantidade],estoque[produto],preçodiario[[#Headers],[OVO BRANCO JUMBO]],estoque[fornecedor],"&lt;&gt;saída",estoque[data],preçodiario[[#This Row],[data]])))))</f>
        <v>16.50550595238095</v>
      </c>
      <c r="AA293" s="22">
        <f>IF(preçodiario[[#This Row],[entrada J]]=0,AA292-(SUMIFS(estoque[quantidade],estoque[fornecedor],"saída",estoque[produto],preçodiario[[#Headers],[OVO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Row],[data]]))+AA292+preçodiario[[#This Row],[entrada J]])</f>
        <v>75</v>
      </c>
      <c r="AB293" s="22">
        <f>SUMIFS(estoque[quantidade],estoque[fornecedor],"&lt;&gt;saída",estoque[produto],preçodiario[[#Headers],[OVO BRANCO JUMBO]],estoque[data],preçodiario[[#This Row],[data]])</f>
        <v>0</v>
      </c>
      <c r="AC293" s="20">
        <f>SUMIFS(estoque[valor total],estoque[fornecedor],"&lt;&gt;saída",estoque[produto],preçodiario[[#Headers],[OVO BRANCO JUMBO]],estoque[data],preçodiario[[#This Row],[data]])</f>
        <v>0</v>
      </c>
      <c r="AD293" s="20">
        <f>IFERROR(preçodiario[[#This Row],[OVO BRANCO JUMBO]]*preçodiario[[#This Row],[estoque J]],0)</f>
        <v>1237.9129464285713</v>
      </c>
      <c r="AE29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Row],[data]])),((AE292*AF292)+SUMIFS(estoque[valor total],estoque[produto],preçodiario[[#Headers],[OVO VERMELHO A]],estoque[data],preçodiario[[#This Row],[data]],estoque[fornecedor],"&lt;&gt;saída"))/(AF292+(SUMIFS(estoque[quantidade],estoque[produto],preçodiario[[#Headers],[OVO VERMELHO A]],estoque[fornecedor],"&lt;&gt;saída",estoque[data],preçodiario[[#This Row],[data]])))))</f>
        <v/>
      </c>
      <c r="AF293" s="22">
        <f>IF(preçodiario[[#This Row],[entrada AV]]=0,AF292-(SUMIFS(estoque[quantidade],estoque[fornecedor],"saída",estoque[produto],preçodiario[[#Headers],[OVO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Row],[data]]))+AF292+preçodiario[[#This Row],[entrada AV]])</f>
        <v>0</v>
      </c>
      <c r="AG293" s="22">
        <f>SUMIFS(estoque[quantidade],estoque[fornecedor],"&lt;&gt;saída",estoque[produto],preçodiario[[#Headers],[OVO VERMELHO A]],estoque[data],preçodiario[[#This Row],[data]])</f>
        <v>0</v>
      </c>
      <c r="AH293" s="20">
        <f>SUMIFS(estoque[valor total],estoque[fornecedor],"&lt;&gt;saída",estoque[produto],preçodiario[[#Headers],[OVO VERMELHO A]],estoque[data],preçodiario[[#This Row],[data]])</f>
        <v>0</v>
      </c>
      <c r="AI293" s="20">
        <f>IFERROR(preçodiario[[#This Row],[OVO VERMELHO A]]*preçodiario[[#This Row],[estoque AV]],0)</f>
        <v>0</v>
      </c>
      <c r="AJ29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Row],[data]])),((AJ292*AK292)+SUMIFS(estoque[valor total],estoque[produto],preçodiario[[#Headers],[OVO VERMELHO B]],estoque[data],preçodiario[[#This Row],[data]],estoque[fornecedor],"&lt;&gt;saída"))/(AK292+(SUMIFS(estoque[quantidade],estoque[produto],preçodiario[[#Headers],[OVO VERMELHO B]],estoque[fornecedor],"&lt;&gt;saída",estoque[data],preçodiario[[#This Row],[data]])))))</f>
        <v/>
      </c>
      <c r="AK293" s="22">
        <f>IF(preçodiario[[#This Row],[entrada BV]]=0,AK292-(SUMIFS(estoque[quantidade],estoque[fornecedor],"saída",estoque[produto],preçodiario[[#Headers],[OVO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Row],[data]]))+AK292+preçodiario[[#This Row],[entrada BV]])</f>
        <v>0</v>
      </c>
      <c r="AL293" s="22">
        <f>SUMIFS(estoque[quantidade],estoque[fornecedor],"&lt;&gt;saída",estoque[produto],preçodiario[[#Headers],[OVO VERMELHO B]],estoque[data],preçodiario[[#This Row],[data]])</f>
        <v>0</v>
      </c>
      <c r="AM293" s="20">
        <f>SUMIFS(estoque[valor total],estoque[fornecedor],"&lt;&gt;saída",estoque[produto],preçodiario[[#Headers],[OVO VERMELHO B]],estoque[data],preçodiario[[#This Row],[data]])</f>
        <v>0</v>
      </c>
      <c r="AN293" s="20">
        <f>IFERROR(preçodiario[[#This Row],[OVO VERMELHO B]]*preçodiario[[#This Row],[estoque BV]],0)</f>
        <v>0</v>
      </c>
      <c r="AO29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Row],[data]])),((AO292*AP292)+SUMIFS(estoque[valor total],estoque[produto],preçodiario[[#Headers],[OVO VERMELHO C]],estoque[data],preçodiario[[#This Row],[data]],estoque[fornecedor],"&lt;&gt;saída"))/(AP292+(SUMIFS(estoque[quantidade],estoque[produto],preçodiario[[#Headers],[OVO VERMELHO C]],estoque[fornecedor],"&lt;&gt;saída",estoque[data],preçodiario[[#This Row],[data]])))))</f>
        <v/>
      </c>
      <c r="AP293" s="22">
        <f>IF(preçodiario[[#This Row],[entrada CV]]=0,AP292-(SUMIFS(estoque[quantidade],estoque[fornecedor],"saída",estoque[produto],preçodiario[[#Headers],[OVO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Row],[data]]))+AP292+preçodiario[[#This Row],[entrada CV]])</f>
        <v>0</v>
      </c>
      <c r="AQ293" s="22">
        <f>SUMIFS(estoque[quantidade],estoque[fornecedor],"&lt;&gt;saída",estoque[produto],preçodiario[[#Headers],[OVO VERMELHO C]],estoque[data],preçodiario[[#This Row],[data]])</f>
        <v>0</v>
      </c>
      <c r="AR293" s="20">
        <f>SUMIFS(estoque[valor total],estoque[fornecedor],"&lt;&gt;saída",estoque[produto],preçodiario[[#Headers],[OVO VERMELHO C]],estoque[data],preçodiario[[#This Row],[data]])</f>
        <v>0</v>
      </c>
      <c r="AS293" s="20">
        <f>IFERROR(preçodiario[[#This Row],[OVO VERMELHO C]]*preçodiario[[#This Row],[estoque CV]],0)</f>
        <v>0</v>
      </c>
      <c r="AT29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Row],[data]])),((AT292*AU292)+SUMIFS(estoque[valor total],estoque[produto],preçodiario[[#Headers],[OVO VERMELHO EXTRA]],estoque[data],preçodiario[[#This Row],[data]],estoque[fornecedor],"&lt;&gt;saída"))/(AU292+(SUMIFS(estoque[quantidade],estoque[produto],preçodiario[[#Headers],[OVO VERMELHO EXTRA]],estoque[fornecedor],"&lt;&gt;saída",estoque[data],preçodiario[[#This Row],[data]])))))</f>
        <v/>
      </c>
      <c r="AU293" s="22">
        <f>IF(preçodiario[[#This Row],[entrada EV]]=0,AU292-(SUMIFS(estoque[quantidade],estoque[fornecedor],"saída",estoque[produto],preçodiario[[#Headers],[OVO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Row],[data]]))+AU292+preçodiario[[#This Row],[entrada EV]])</f>
        <v>0</v>
      </c>
      <c r="AV293" s="22">
        <f>SUMIFS(estoque[quantidade],estoque[fornecedor],"&lt;&gt;saída",estoque[produto],preçodiario[[#Headers],[OVO VERMELHO EXTRA]],estoque[data],preçodiario[[#This Row],[data]])</f>
        <v>0</v>
      </c>
      <c r="AW293" s="20">
        <f>SUMIFS(estoque[valor total],estoque[fornecedor],"&lt;&gt;saída",estoque[produto],preçodiario[[#Headers],[OVO VERMELHO EXTRA]],estoque[data],preçodiario[[#This Row],[data]])</f>
        <v>0</v>
      </c>
      <c r="AX293" s="20">
        <f>IFERROR(preçodiario[[#This Row],[OVO VERMELHO EXTRA]]*preçodiario[[#This Row],[estoque EV]],0)</f>
        <v>0</v>
      </c>
      <c r="AY29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Row],[data]])),((AY292*AZ292)+SUMIFS(estoque[valor total],estoque[produto],preçodiario[[#Headers],[OVO VERMELHO JUMBO]],estoque[data],preçodiario[[#This Row],[data]],estoque[fornecedor],"&lt;&gt;saída"))/(AZ292+(SUMIFS(estoque[quantidade],estoque[produto],preçodiario[[#Headers],[OVO VERMELHO JUMBO]],estoque[fornecedor],"&lt;&gt;saída",estoque[data],preçodiario[[#This Row],[data]])))))</f>
        <v/>
      </c>
      <c r="AZ293" s="22">
        <f>IF(preçodiario[[#This Row],[entrada JV]]=0,AZ292-(SUMIFS(estoque[quantidade],estoque[fornecedor],"saída",estoque[produto],preçodiario[[#Headers],[OVO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Row],[data]]))+AZ292+preçodiario[[#This Row],[entrada JV]])</f>
        <v>0</v>
      </c>
      <c r="BA293" s="22">
        <f>SUMIFS(estoque[quantidade],estoque[fornecedor],"&lt;&gt;saída",estoque[produto],preçodiario[[#Headers],[OVO VERMELHO JUMBO]],estoque[data],preçodiario[[#This Row],[data]])</f>
        <v>0</v>
      </c>
      <c r="BB293" s="20">
        <f>SUMIFS(estoque[valor total],estoque[fornecedor],"&lt;&gt;saída",estoque[produto],preçodiario[[#Headers],[OVO VERMELHO JUMBO]],estoque[data],preçodiario[[#This Row],[data]])</f>
        <v>0</v>
      </c>
      <c r="BC293" s="20">
        <f>IFERROR(preçodiario[[#This Row],[OVO VERMELHO JUMBO]]*preçodiario[[#This Row],[estoque JV]],0)</f>
        <v>0</v>
      </c>
      <c r="BD293" t="str">
        <f>TEXT(vendaAno[[#This Row],[data]],"mmm")</f>
        <v>out</v>
      </c>
      <c r="BE293" t="str">
        <f>TEXT(vendaAno[[#This Row],[data]],"ddd")</f>
        <v>seg</v>
      </c>
      <c r="BF293" s="82">
        <f>WEEKNUM(vendaAno[[#This Row],[data]],13)</f>
        <v>42</v>
      </c>
      <c r="BG293" s="27">
        <f>preçodiario[[#This Row],[data]]</f>
        <v>46314</v>
      </c>
      <c r="BH29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Row],[data]]))/12+BJ292,"")</f>
        <v/>
      </c>
      <c r="BK293" s="79" t="str">
        <f ca="1">IF(TODAY()&gt;=vendaAno[[#This Row],[data]],IF(SUMIFS(estoque[quantidade],estoque[fornecedor],"saída",estoque[data],vendaAno[[#This Row],[data]])/12=0,AVERAGE(BK290:BK292),SUMIFS(estoque[quantidade],estoque[fornecedor],"saída",estoque[data],vendaAno[[#This Row],[data]])/12),"")</f>
        <v/>
      </c>
      <c r="BL293" s="8" t="str">
        <f ca="1">IF(vendaAno[[#This Row],[data]]&lt;=TODAY(),IF(SUMIFS(estoque[lucro],estoque[fornecedor],"saída",estoque[data],vendaAno[[#This Row],[data]])=0,AVERAGE(BL290:BL292),SUMIFS(estoque[lucro],estoque[fornecedor],"saída",estoque[data],vendaAno[[#This Row],[data]])),"")</f>
        <v/>
      </c>
      <c r="BM293" s="10" t="str">
        <f ca="1">IFERROR(vendaAno[[#This Row],[lucro]]/vendaAno[[#This Row],[valor de venda]],"")</f>
        <v/>
      </c>
      <c r="BN29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3" s="8" t="str">
        <f ca="1">IF(TODAY()&gt;=vendaAno[[#This Row],[data]],IF(vendaAno[[#This Row],[N°]]=BF292,vendaAno[[#This Row],[lucro]]-173.33+BO292,vendaAno[[#This Row],[lucro]]-150),"")</f>
        <v/>
      </c>
      <c r="BP293" s="81" t="str">
        <f ca="1">IF(TODAY()&gt;=vendaAno[[#This Row],[data]],SUM(BK287:BK293)*12,"")</f>
        <v/>
      </c>
      <c r="BQ293" s="7" t="str">
        <f ca="1">IFERROR(vendaAno[[#This Row],[lucro]]/(vendaAno[[#This Row],[venda]]*12),"")</f>
        <v/>
      </c>
    </row>
    <row r="294" spans="1:69" x14ac:dyDescent="0.25">
      <c r="A29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4" s="18" t="str">
        <f>TEXT(preçodiario[[#This Row],[data]],"MMM")</f>
        <v>out</v>
      </c>
      <c r="C294" s="18" t="str">
        <f>TEXT(preçodiario[[#This Row],[data]],"ddd")</f>
        <v>ter</v>
      </c>
      <c r="D294" s="96">
        <f>WEEKNUM(preçodiario[[#This Row],[data]],13)</f>
        <v>42</v>
      </c>
      <c r="E294" s="37">
        <v>46315</v>
      </c>
      <c r="F29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Row],[data]])),((F293*G293)+SUMIFS(estoque[valor total],estoque[produto],preçodiario[[#Headers],[OVO BRANCO A]],estoque[data],preçodiario[[#This Row],[data]],estoque[fornecedor],"&lt;&gt;saída"))/(G293+(SUMIFS(estoque[quantidade],estoque[produto],preçodiario[[#Headers],[OVO BRANCO A]],estoque[fornecedor],"&lt;&gt;saída",estoque[data],preçodiario[[#This Row],[data]])))))</f>
        <v>15.278182701652089</v>
      </c>
      <c r="G294" s="22">
        <f>IF(preçodiario[[#This Row],[entrada A]]=0,G293-(SUMIFS(estoque[quantidade],estoque[fornecedor],"saída",estoque[produto],preçodiario[[#Headers],[OVO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Row],[data]]))+G293+preçodiario[[#This Row],[entrada A]])</f>
        <v>133</v>
      </c>
      <c r="H294" s="22">
        <f>SUMIFS(estoque[quantidade],estoque[fornecedor],"&lt;&gt;saída",estoque[produto],preçodiario[[#Headers],[OVO BRANCO A]],estoque[data],preçodiario[[#This Row],[data]])</f>
        <v>0</v>
      </c>
      <c r="I294" s="20">
        <f>SUMIFS(estoque[valor total],estoque[fornecedor],"&lt;&gt;saída",estoque[produto],preçodiario[[#Headers],[OVO BRANCO A]],estoque[data],preçodiario[[#This Row],[data]])</f>
        <v>0</v>
      </c>
      <c r="J294" s="20">
        <f>IFERROR(preçodiario[[#This Row],[estoque A]]*preçodiario[[#This Row],[OVO BRANCO A]],0)</f>
        <v>2031.9982993197277</v>
      </c>
      <c r="K29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Row],[data]])),((K293*L293)+SUMIFS(estoque[valor total],estoque[produto],preçodiario[[#Headers],[OVO BRANCO B]],estoque[data],preçodiario[[#This Row],[data]],estoque[fornecedor],"&lt;&gt;saída"))/(L293+(SUMIFS(estoque[quantidade],estoque[produto],preçodiario[[#Headers],[OVO BRANCO B]],estoque[fornecedor],"&lt;&gt;saída",estoque[data],preçodiario[[#This Row],[data]])))))</f>
        <v>14.584252837326604</v>
      </c>
      <c r="L294" s="22">
        <f>IF(preçodiario[[#This Row],[entrada B]]=0,L293-(SUMIFS(estoque[quantidade],estoque[fornecedor],"saída",estoque[produto],preçodiario[[#Headers],[OVO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Row],[data]]))+L293+preçodiario[[#This Row],[entrada B]])</f>
        <v>16</v>
      </c>
      <c r="M294" s="22">
        <f>SUMIFS(estoque[quantidade],estoque[fornecedor],"&lt;&gt;saída",estoque[produto],preçodiario[[#Headers],[OVO BRANCO B]],estoque[data],preçodiario[[#This Row],[data]])</f>
        <v>0</v>
      </c>
      <c r="N294" s="20">
        <f>SUMIFS(estoque[valor total],estoque[fornecedor],"&lt;&gt;saída",estoque[produto],preçodiario[[#Headers],[OVO BRANCO B]],estoque[data],preçodiario[[#This Row],[data]])</f>
        <v>0</v>
      </c>
      <c r="O294" s="20">
        <f>IFERROR(preçodiario[[#This Row],[OVO BRANCO B]]*preçodiario[[#This Row],[estoque B]],0)</f>
        <v>233.34804539722566</v>
      </c>
      <c r="P29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Row],[data]])),((P293*Q293)+SUMIFS(estoque[valor total],estoque[produto],preçodiario[[#Headers],[OVO BRANCO C]],estoque[data],preçodiario[[#This Row],[data]],estoque[fornecedor],"&lt;&gt;saída"))/(Q293+(SUMIFS(estoque[quantidade],estoque[produto],preçodiario[[#Headers],[OVO BRANCO C]],estoque[fornecedor],"&lt;&gt;saída",estoque[data],preçodiario[[#This Row],[data]])))))</f>
        <v>12.5</v>
      </c>
      <c r="Q294" s="22">
        <f>IF(preçodiario[[#This Row],[entrada C]]=0,Q293-(SUMIFS(estoque[quantidade],estoque[fornecedor],"saída",estoque[produto],preçodiario[[#Headers],[OVO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Row],[data]]))+Q293+preçodiario[[#This Row],[entrada C]])</f>
        <v>60</v>
      </c>
      <c r="R294" s="22">
        <f>SUMIFS(estoque[quantidade],estoque[fornecedor],"&lt;&gt;saída",estoque[produto],preçodiario[[#Headers],[OVO BRANCO C]],estoque[data],preçodiario[[#This Row],[data]])</f>
        <v>0</v>
      </c>
      <c r="S294" s="20">
        <f>SUMIFS(estoque[valor total],estoque[fornecedor],"&lt;&gt;saída",estoque[produto],preçodiario[[#Headers],[OVO BRANCO C]],estoque[data],preçodiario[[#This Row],[data]])</f>
        <v>0</v>
      </c>
      <c r="T294" s="20">
        <f>IFERROR(preçodiario[[#This Row],[OVO BRANCO C]]*preçodiario[[#This Row],[estoque C]],0)</f>
        <v>750</v>
      </c>
      <c r="U29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Row],[data]])),((U293*V293)+SUMIFS(estoque[valor total],estoque[produto],preçodiario[[#Headers],[OVO BRANCO EXTRA]],estoque[data],preçodiario[[#This Row],[data]],estoque[fornecedor],"&lt;&gt;saída"))/(V293+(SUMIFS(estoque[quantidade],estoque[produto],preçodiario[[#Headers],[OVO BRANCO EXTRA]],estoque[fornecedor],"&lt;&gt;saída",estoque[data],preçodiario[[#This Row],[data]])))))</f>
        <v>15.725438400674655</v>
      </c>
      <c r="V294" s="22">
        <f>IF(preçodiario[[#This Row],[entrada E]]=0,V293-(SUMIFS(estoque[quantidade],estoque[fornecedor],"saída",estoque[produto],preçodiario[[#Headers],[OVO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Row],[data]]))+V293+preçodiario[[#This Row],[entrada E]])</f>
        <v>46</v>
      </c>
      <c r="W294" s="22">
        <f>SUMIFS(estoque[quantidade],estoque[fornecedor],"&lt;&gt;saída",estoque[produto],preçodiario[[#Headers],[OVO BRANCO EXTRA]],estoque[data],preçodiario[[#This Row],[data]])</f>
        <v>0</v>
      </c>
      <c r="X294" s="20">
        <f>SUMIFS(estoque[valor total],estoque[fornecedor],"&lt;&gt;saída",estoque[produto],preçodiario[[#Headers],[OVO BRANCO EXTRA]],estoque[data],preçodiario[[#This Row],[data]])</f>
        <v>0</v>
      </c>
      <c r="Y294" s="20">
        <f>IFERROR(preçodiario[[#This Row],[estoque E]]*preçodiario[[#This Row],[OVO BRANCO EXTRA]],0)</f>
        <v>723.37016643103414</v>
      </c>
      <c r="Z29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Row],[data]])),((Z293*AA293)+SUMIFS(estoque[valor total],estoque[produto],preçodiario[[#Headers],[OVO BRANCO JUMBO]],estoque[data],preçodiario[[#This Row],[data]],estoque[fornecedor],"&lt;&gt;saída"))/(AA293+(SUMIFS(estoque[quantidade],estoque[produto],preçodiario[[#Headers],[OVO BRANCO JUMBO]],estoque[fornecedor],"&lt;&gt;saída",estoque[data],preçodiario[[#This Row],[data]])))))</f>
        <v>16.50550595238095</v>
      </c>
      <c r="AA294" s="22">
        <f>IF(preçodiario[[#This Row],[entrada J]]=0,AA293-(SUMIFS(estoque[quantidade],estoque[fornecedor],"saída",estoque[produto],preçodiario[[#Headers],[OVO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Row],[data]]))+AA293+preçodiario[[#This Row],[entrada J]])</f>
        <v>75</v>
      </c>
      <c r="AB294" s="22">
        <f>SUMIFS(estoque[quantidade],estoque[fornecedor],"&lt;&gt;saída",estoque[produto],preçodiario[[#Headers],[OVO BRANCO JUMBO]],estoque[data],preçodiario[[#This Row],[data]])</f>
        <v>0</v>
      </c>
      <c r="AC294" s="20">
        <f>SUMIFS(estoque[valor total],estoque[fornecedor],"&lt;&gt;saída",estoque[produto],preçodiario[[#Headers],[OVO BRANCO JUMBO]],estoque[data],preçodiario[[#This Row],[data]])</f>
        <v>0</v>
      </c>
      <c r="AD294" s="20">
        <f>IFERROR(preçodiario[[#This Row],[OVO BRANCO JUMBO]]*preçodiario[[#This Row],[estoque J]],0)</f>
        <v>1237.9129464285713</v>
      </c>
      <c r="AE29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Row],[data]])),((AE293*AF293)+SUMIFS(estoque[valor total],estoque[produto],preçodiario[[#Headers],[OVO VERMELHO A]],estoque[data],preçodiario[[#This Row],[data]],estoque[fornecedor],"&lt;&gt;saída"))/(AF293+(SUMIFS(estoque[quantidade],estoque[produto],preçodiario[[#Headers],[OVO VERMELHO A]],estoque[fornecedor],"&lt;&gt;saída",estoque[data],preçodiario[[#This Row],[data]])))))</f>
        <v/>
      </c>
      <c r="AF294" s="22">
        <f>IF(preçodiario[[#This Row],[entrada AV]]=0,AF293-(SUMIFS(estoque[quantidade],estoque[fornecedor],"saída",estoque[produto],preçodiario[[#Headers],[OVO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Row],[data]]))+AF293+preçodiario[[#This Row],[entrada AV]])</f>
        <v>0</v>
      </c>
      <c r="AG294" s="22">
        <f>SUMIFS(estoque[quantidade],estoque[fornecedor],"&lt;&gt;saída",estoque[produto],preçodiario[[#Headers],[OVO VERMELHO A]],estoque[data],preçodiario[[#This Row],[data]])</f>
        <v>0</v>
      </c>
      <c r="AH294" s="20">
        <f>SUMIFS(estoque[valor total],estoque[fornecedor],"&lt;&gt;saída",estoque[produto],preçodiario[[#Headers],[OVO VERMELHO A]],estoque[data],preçodiario[[#This Row],[data]])</f>
        <v>0</v>
      </c>
      <c r="AI294" s="20">
        <f>IFERROR(preçodiario[[#This Row],[OVO VERMELHO A]]*preçodiario[[#This Row],[estoque AV]],0)</f>
        <v>0</v>
      </c>
      <c r="AJ29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Row],[data]])),((AJ293*AK293)+SUMIFS(estoque[valor total],estoque[produto],preçodiario[[#Headers],[OVO VERMELHO B]],estoque[data],preçodiario[[#This Row],[data]],estoque[fornecedor],"&lt;&gt;saída"))/(AK293+(SUMIFS(estoque[quantidade],estoque[produto],preçodiario[[#Headers],[OVO VERMELHO B]],estoque[fornecedor],"&lt;&gt;saída",estoque[data],preçodiario[[#This Row],[data]])))))</f>
        <v/>
      </c>
      <c r="AK294" s="22">
        <f>IF(preçodiario[[#This Row],[entrada BV]]=0,AK293-(SUMIFS(estoque[quantidade],estoque[fornecedor],"saída",estoque[produto],preçodiario[[#Headers],[OVO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Row],[data]]))+AK293+preçodiario[[#This Row],[entrada BV]])</f>
        <v>0</v>
      </c>
      <c r="AL294" s="22">
        <f>SUMIFS(estoque[quantidade],estoque[fornecedor],"&lt;&gt;saída",estoque[produto],preçodiario[[#Headers],[OVO VERMELHO B]],estoque[data],preçodiario[[#This Row],[data]])</f>
        <v>0</v>
      </c>
      <c r="AM294" s="20">
        <f>SUMIFS(estoque[valor total],estoque[fornecedor],"&lt;&gt;saída",estoque[produto],preçodiario[[#Headers],[OVO VERMELHO B]],estoque[data],preçodiario[[#This Row],[data]])</f>
        <v>0</v>
      </c>
      <c r="AN294" s="20">
        <f>IFERROR(preçodiario[[#This Row],[OVO VERMELHO B]]*preçodiario[[#This Row],[estoque BV]],0)</f>
        <v>0</v>
      </c>
      <c r="AO29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Row],[data]])),((AO293*AP293)+SUMIFS(estoque[valor total],estoque[produto],preçodiario[[#Headers],[OVO VERMELHO C]],estoque[data],preçodiario[[#This Row],[data]],estoque[fornecedor],"&lt;&gt;saída"))/(AP293+(SUMIFS(estoque[quantidade],estoque[produto],preçodiario[[#Headers],[OVO VERMELHO C]],estoque[fornecedor],"&lt;&gt;saída",estoque[data],preçodiario[[#This Row],[data]])))))</f>
        <v/>
      </c>
      <c r="AP294" s="22">
        <f>IF(preçodiario[[#This Row],[entrada CV]]=0,AP293-(SUMIFS(estoque[quantidade],estoque[fornecedor],"saída",estoque[produto],preçodiario[[#Headers],[OVO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Row],[data]]))+AP293+preçodiario[[#This Row],[entrada CV]])</f>
        <v>0</v>
      </c>
      <c r="AQ294" s="22">
        <f>SUMIFS(estoque[quantidade],estoque[fornecedor],"&lt;&gt;saída",estoque[produto],preçodiario[[#Headers],[OVO VERMELHO C]],estoque[data],preçodiario[[#This Row],[data]])</f>
        <v>0</v>
      </c>
      <c r="AR294" s="20">
        <f>SUMIFS(estoque[valor total],estoque[fornecedor],"&lt;&gt;saída",estoque[produto],preçodiario[[#Headers],[OVO VERMELHO C]],estoque[data],preçodiario[[#This Row],[data]])</f>
        <v>0</v>
      </c>
      <c r="AS294" s="20">
        <f>IFERROR(preçodiario[[#This Row],[OVO VERMELHO C]]*preçodiario[[#This Row],[estoque CV]],0)</f>
        <v>0</v>
      </c>
      <c r="AT29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Row],[data]])),((AT293*AU293)+SUMIFS(estoque[valor total],estoque[produto],preçodiario[[#Headers],[OVO VERMELHO EXTRA]],estoque[data],preçodiario[[#This Row],[data]],estoque[fornecedor],"&lt;&gt;saída"))/(AU293+(SUMIFS(estoque[quantidade],estoque[produto],preçodiario[[#Headers],[OVO VERMELHO EXTRA]],estoque[fornecedor],"&lt;&gt;saída",estoque[data],preçodiario[[#This Row],[data]])))))</f>
        <v/>
      </c>
      <c r="AU294" s="22">
        <f>IF(preçodiario[[#This Row],[entrada EV]]=0,AU293-(SUMIFS(estoque[quantidade],estoque[fornecedor],"saída",estoque[produto],preçodiario[[#Headers],[OVO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Row],[data]]))+AU293+preçodiario[[#This Row],[entrada EV]])</f>
        <v>0</v>
      </c>
      <c r="AV294" s="22">
        <f>SUMIFS(estoque[quantidade],estoque[fornecedor],"&lt;&gt;saída",estoque[produto],preçodiario[[#Headers],[OVO VERMELHO EXTRA]],estoque[data],preçodiario[[#This Row],[data]])</f>
        <v>0</v>
      </c>
      <c r="AW294" s="20">
        <f>SUMIFS(estoque[valor total],estoque[fornecedor],"&lt;&gt;saída",estoque[produto],preçodiario[[#Headers],[OVO VERMELHO EXTRA]],estoque[data],preçodiario[[#This Row],[data]])</f>
        <v>0</v>
      </c>
      <c r="AX294" s="20">
        <f>IFERROR(preçodiario[[#This Row],[OVO VERMELHO EXTRA]]*preçodiario[[#This Row],[estoque EV]],0)</f>
        <v>0</v>
      </c>
      <c r="AY29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Row],[data]])),((AY293*AZ293)+SUMIFS(estoque[valor total],estoque[produto],preçodiario[[#Headers],[OVO VERMELHO JUMBO]],estoque[data],preçodiario[[#This Row],[data]],estoque[fornecedor],"&lt;&gt;saída"))/(AZ293+(SUMIFS(estoque[quantidade],estoque[produto],preçodiario[[#Headers],[OVO VERMELHO JUMBO]],estoque[fornecedor],"&lt;&gt;saída",estoque[data],preçodiario[[#This Row],[data]])))))</f>
        <v/>
      </c>
      <c r="AZ294" s="22">
        <f>IF(preçodiario[[#This Row],[entrada JV]]=0,AZ293-(SUMIFS(estoque[quantidade],estoque[fornecedor],"saída",estoque[produto],preçodiario[[#Headers],[OVO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Row],[data]]))+AZ293+preçodiario[[#This Row],[entrada JV]])</f>
        <v>0</v>
      </c>
      <c r="BA294" s="22">
        <f>SUMIFS(estoque[quantidade],estoque[fornecedor],"&lt;&gt;saída",estoque[produto],preçodiario[[#Headers],[OVO VERMELHO JUMBO]],estoque[data],preçodiario[[#This Row],[data]])</f>
        <v>0</v>
      </c>
      <c r="BB294" s="20">
        <f>SUMIFS(estoque[valor total],estoque[fornecedor],"&lt;&gt;saída",estoque[produto],preçodiario[[#Headers],[OVO VERMELHO JUMBO]],estoque[data],preçodiario[[#This Row],[data]])</f>
        <v>0</v>
      </c>
      <c r="BC294" s="20">
        <f>IFERROR(preçodiario[[#This Row],[OVO VERMELHO JUMBO]]*preçodiario[[#This Row],[estoque JV]],0)</f>
        <v>0</v>
      </c>
      <c r="BD294" t="str">
        <f>TEXT(vendaAno[[#This Row],[data]],"mmm")</f>
        <v>out</v>
      </c>
      <c r="BE294" t="str">
        <f>TEXT(vendaAno[[#This Row],[data]],"ddd")</f>
        <v>ter</v>
      </c>
      <c r="BF294" s="82">
        <f>WEEKNUM(vendaAno[[#This Row],[data]],13)</f>
        <v>42</v>
      </c>
      <c r="BG294" s="27">
        <f>preçodiario[[#This Row],[data]]</f>
        <v>46315</v>
      </c>
      <c r="BH29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Row],[data]]))/12+BJ293,"")</f>
        <v/>
      </c>
      <c r="BK294" s="79" t="str">
        <f ca="1">IF(TODAY()&gt;=vendaAno[[#This Row],[data]],IF(SUMIFS(estoque[quantidade],estoque[fornecedor],"saída",estoque[data],vendaAno[[#This Row],[data]])/12=0,AVERAGE(BK291:BK293),SUMIFS(estoque[quantidade],estoque[fornecedor],"saída",estoque[data],vendaAno[[#This Row],[data]])/12),"")</f>
        <v/>
      </c>
      <c r="BL294" s="8" t="str">
        <f ca="1">IF(vendaAno[[#This Row],[data]]&lt;=TODAY(),IF(SUMIFS(estoque[lucro],estoque[fornecedor],"saída",estoque[data],vendaAno[[#This Row],[data]])=0,AVERAGE(BL291:BL293),SUMIFS(estoque[lucro],estoque[fornecedor],"saída",estoque[data],vendaAno[[#This Row],[data]])),"")</f>
        <v/>
      </c>
      <c r="BM294" s="10" t="str">
        <f ca="1">IFERROR(vendaAno[[#This Row],[lucro]]/vendaAno[[#This Row],[valor de venda]],"")</f>
        <v/>
      </c>
      <c r="BN29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4" s="8" t="str">
        <f ca="1">IF(TODAY()&gt;=vendaAno[[#This Row],[data]],IF(vendaAno[[#This Row],[N°]]=BF293,vendaAno[[#This Row],[lucro]]-173.33+BO293,vendaAno[[#This Row],[lucro]]-150),"")</f>
        <v/>
      </c>
      <c r="BP294" s="81" t="str">
        <f ca="1">IF(TODAY()&gt;=vendaAno[[#This Row],[data]],SUM(BK288:BK294)*12,"")</f>
        <v/>
      </c>
      <c r="BQ294" s="7" t="str">
        <f ca="1">IFERROR(vendaAno[[#This Row],[lucro]]/(vendaAno[[#This Row],[venda]]*12),"")</f>
        <v/>
      </c>
    </row>
    <row r="295" spans="1:69" x14ac:dyDescent="0.25">
      <c r="A29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5" s="18" t="str">
        <f>TEXT(preçodiario[[#This Row],[data]],"MMM")</f>
        <v>out</v>
      </c>
      <c r="C295" s="18" t="str">
        <f>TEXT(preçodiario[[#This Row],[data]],"ddd")</f>
        <v>qua</v>
      </c>
      <c r="D295" s="96">
        <f>WEEKNUM(preçodiario[[#This Row],[data]],13)</f>
        <v>43</v>
      </c>
      <c r="E295" s="37">
        <v>46316</v>
      </c>
      <c r="F29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Row],[data]])),((F294*G294)+SUMIFS(estoque[valor total],estoque[produto],preçodiario[[#Headers],[OVO BRANCO A]],estoque[data],preçodiario[[#This Row],[data]],estoque[fornecedor],"&lt;&gt;saída"))/(G294+(SUMIFS(estoque[quantidade],estoque[produto],preçodiario[[#Headers],[OVO BRANCO A]],estoque[fornecedor],"&lt;&gt;saída",estoque[data],preçodiario[[#This Row],[data]])))))</f>
        <v>15.278182701652089</v>
      </c>
      <c r="G295" s="22">
        <f>IF(preçodiario[[#This Row],[entrada A]]=0,G294-(SUMIFS(estoque[quantidade],estoque[fornecedor],"saída",estoque[produto],preçodiario[[#Headers],[OVO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Row],[data]]))+G294+preçodiario[[#This Row],[entrada A]])</f>
        <v>133</v>
      </c>
      <c r="H295" s="22">
        <f>SUMIFS(estoque[quantidade],estoque[fornecedor],"&lt;&gt;saída",estoque[produto],preçodiario[[#Headers],[OVO BRANCO A]],estoque[data],preçodiario[[#This Row],[data]])</f>
        <v>0</v>
      </c>
      <c r="I295" s="20">
        <f>SUMIFS(estoque[valor total],estoque[fornecedor],"&lt;&gt;saída",estoque[produto],preçodiario[[#Headers],[OVO BRANCO A]],estoque[data],preçodiario[[#This Row],[data]])</f>
        <v>0</v>
      </c>
      <c r="J295" s="20">
        <f>IFERROR(preçodiario[[#This Row],[estoque A]]*preçodiario[[#This Row],[OVO BRANCO A]],0)</f>
        <v>2031.9982993197277</v>
      </c>
      <c r="K29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Row],[data]])),((K294*L294)+SUMIFS(estoque[valor total],estoque[produto],preçodiario[[#Headers],[OVO BRANCO B]],estoque[data],preçodiario[[#This Row],[data]],estoque[fornecedor],"&lt;&gt;saída"))/(L294+(SUMIFS(estoque[quantidade],estoque[produto],preçodiario[[#Headers],[OVO BRANCO B]],estoque[fornecedor],"&lt;&gt;saída",estoque[data],preçodiario[[#This Row],[data]])))))</f>
        <v>14.584252837326604</v>
      </c>
      <c r="L295" s="22">
        <f>IF(preçodiario[[#This Row],[entrada B]]=0,L294-(SUMIFS(estoque[quantidade],estoque[fornecedor],"saída",estoque[produto],preçodiario[[#Headers],[OVO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Row],[data]]))+L294+preçodiario[[#This Row],[entrada B]])</f>
        <v>16</v>
      </c>
      <c r="M295" s="22">
        <f>SUMIFS(estoque[quantidade],estoque[fornecedor],"&lt;&gt;saída",estoque[produto],preçodiario[[#Headers],[OVO BRANCO B]],estoque[data],preçodiario[[#This Row],[data]])</f>
        <v>0</v>
      </c>
      <c r="N295" s="20">
        <f>SUMIFS(estoque[valor total],estoque[fornecedor],"&lt;&gt;saída",estoque[produto],preçodiario[[#Headers],[OVO BRANCO B]],estoque[data],preçodiario[[#This Row],[data]])</f>
        <v>0</v>
      </c>
      <c r="O295" s="20">
        <f>IFERROR(preçodiario[[#This Row],[OVO BRANCO B]]*preçodiario[[#This Row],[estoque B]],0)</f>
        <v>233.34804539722566</v>
      </c>
      <c r="P29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Row],[data]])),((P294*Q294)+SUMIFS(estoque[valor total],estoque[produto],preçodiario[[#Headers],[OVO BRANCO C]],estoque[data],preçodiario[[#This Row],[data]],estoque[fornecedor],"&lt;&gt;saída"))/(Q294+(SUMIFS(estoque[quantidade],estoque[produto],preçodiario[[#Headers],[OVO BRANCO C]],estoque[fornecedor],"&lt;&gt;saída",estoque[data],preçodiario[[#This Row],[data]])))))</f>
        <v>12.5</v>
      </c>
      <c r="Q295" s="22">
        <f>IF(preçodiario[[#This Row],[entrada C]]=0,Q294-(SUMIFS(estoque[quantidade],estoque[fornecedor],"saída",estoque[produto],preçodiario[[#Headers],[OVO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Row],[data]]))+Q294+preçodiario[[#This Row],[entrada C]])</f>
        <v>60</v>
      </c>
      <c r="R295" s="22">
        <f>SUMIFS(estoque[quantidade],estoque[fornecedor],"&lt;&gt;saída",estoque[produto],preçodiario[[#Headers],[OVO BRANCO C]],estoque[data],preçodiario[[#This Row],[data]])</f>
        <v>0</v>
      </c>
      <c r="S295" s="20">
        <f>SUMIFS(estoque[valor total],estoque[fornecedor],"&lt;&gt;saída",estoque[produto],preçodiario[[#Headers],[OVO BRANCO C]],estoque[data],preçodiario[[#This Row],[data]])</f>
        <v>0</v>
      </c>
      <c r="T295" s="20">
        <f>IFERROR(preçodiario[[#This Row],[OVO BRANCO C]]*preçodiario[[#This Row],[estoque C]],0)</f>
        <v>750</v>
      </c>
      <c r="U29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Row],[data]])),((U294*V294)+SUMIFS(estoque[valor total],estoque[produto],preçodiario[[#Headers],[OVO BRANCO EXTRA]],estoque[data],preçodiario[[#This Row],[data]],estoque[fornecedor],"&lt;&gt;saída"))/(V294+(SUMIFS(estoque[quantidade],estoque[produto],preçodiario[[#Headers],[OVO BRANCO EXTRA]],estoque[fornecedor],"&lt;&gt;saída",estoque[data],preçodiario[[#This Row],[data]])))))</f>
        <v>15.725438400674655</v>
      </c>
      <c r="V295" s="22">
        <f>IF(preçodiario[[#This Row],[entrada E]]=0,V294-(SUMIFS(estoque[quantidade],estoque[fornecedor],"saída",estoque[produto],preçodiario[[#Headers],[OVO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Row],[data]]))+V294+preçodiario[[#This Row],[entrada E]])</f>
        <v>46</v>
      </c>
      <c r="W295" s="22">
        <f>SUMIFS(estoque[quantidade],estoque[fornecedor],"&lt;&gt;saída",estoque[produto],preçodiario[[#Headers],[OVO BRANCO EXTRA]],estoque[data],preçodiario[[#This Row],[data]])</f>
        <v>0</v>
      </c>
      <c r="X295" s="20">
        <f>SUMIFS(estoque[valor total],estoque[fornecedor],"&lt;&gt;saída",estoque[produto],preçodiario[[#Headers],[OVO BRANCO EXTRA]],estoque[data],preçodiario[[#This Row],[data]])</f>
        <v>0</v>
      </c>
      <c r="Y295" s="20">
        <f>IFERROR(preçodiario[[#This Row],[estoque E]]*preçodiario[[#This Row],[OVO BRANCO EXTRA]],0)</f>
        <v>723.37016643103414</v>
      </c>
      <c r="Z29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Row],[data]])),((Z294*AA294)+SUMIFS(estoque[valor total],estoque[produto],preçodiario[[#Headers],[OVO BRANCO JUMBO]],estoque[data],preçodiario[[#This Row],[data]],estoque[fornecedor],"&lt;&gt;saída"))/(AA294+(SUMIFS(estoque[quantidade],estoque[produto],preçodiario[[#Headers],[OVO BRANCO JUMBO]],estoque[fornecedor],"&lt;&gt;saída",estoque[data],preçodiario[[#This Row],[data]])))))</f>
        <v>16.50550595238095</v>
      </c>
      <c r="AA295" s="22">
        <f>IF(preçodiario[[#This Row],[entrada J]]=0,AA294-(SUMIFS(estoque[quantidade],estoque[fornecedor],"saída",estoque[produto],preçodiario[[#Headers],[OVO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Row],[data]]))+AA294+preçodiario[[#This Row],[entrada J]])</f>
        <v>75</v>
      </c>
      <c r="AB295" s="22">
        <f>SUMIFS(estoque[quantidade],estoque[fornecedor],"&lt;&gt;saída",estoque[produto],preçodiario[[#Headers],[OVO BRANCO JUMBO]],estoque[data],preçodiario[[#This Row],[data]])</f>
        <v>0</v>
      </c>
      <c r="AC295" s="20">
        <f>SUMIFS(estoque[valor total],estoque[fornecedor],"&lt;&gt;saída",estoque[produto],preçodiario[[#Headers],[OVO BRANCO JUMBO]],estoque[data],preçodiario[[#This Row],[data]])</f>
        <v>0</v>
      </c>
      <c r="AD295" s="20">
        <f>IFERROR(preçodiario[[#This Row],[OVO BRANCO JUMBO]]*preçodiario[[#This Row],[estoque J]],0)</f>
        <v>1237.9129464285713</v>
      </c>
      <c r="AE29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Row],[data]])),((AE294*AF294)+SUMIFS(estoque[valor total],estoque[produto],preçodiario[[#Headers],[OVO VERMELHO A]],estoque[data],preçodiario[[#This Row],[data]],estoque[fornecedor],"&lt;&gt;saída"))/(AF294+(SUMIFS(estoque[quantidade],estoque[produto],preçodiario[[#Headers],[OVO VERMELHO A]],estoque[fornecedor],"&lt;&gt;saída",estoque[data],preçodiario[[#This Row],[data]])))))</f>
        <v/>
      </c>
      <c r="AF295" s="22">
        <f>IF(preçodiario[[#This Row],[entrada AV]]=0,AF294-(SUMIFS(estoque[quantidade],estoque[fornecedor],"saída",estoque[produto],preçodiario[[#Headers],[OVO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Row],[data]]))+AF294+preçodiario[[#This Row],[entrada AV]])</f>
        <v>0</v>
      </c>
      <c r="AG295" s="22">
        <f>SUMIFS(estoque[quantidade],estoque[fornecedor],"&lt;&gt;saída",estoque[produto],preçodiario[[#Headers],[OVO VERMELHO A]],estoque[data],preçodiario[[#This Row],[data]])</f>
        <v>0</v>
      </c>
      <c r="AH295" s="20">
        <f>SUMIFS(estoque[valor total],estoque[fornecedor],"&lt;&gt;saída",estoque[produto],preçodiario[[#Headers],[OVO VERMELHO A]],estoque[data],preçodiario[[#This Row],[data]])</f>
        <v>0</v>
      </c>
      <c r="AI295" s="20">
        <f>IFERROR(preçodiario[[#This Row],[OVO VERMELHO A]]*preçodiario[[#This Row],[estoque AV]],0)</f>
        <v>0</v>
      </c>
      <c r="AJ29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Row],[data]])),((AJ294*AK294)+SUMIFS(estoque[valor total],estoque[produto],preçodiario[[#Headers],[OVO VERMELHO B]],estoque[data],preçodiario[[#This Row],[data]],estoque[fornecedor],"&lt;&gt;saída"))/(AK294+(SUMIFS(estoque[quantidade],estoque[produto],preçodiario[[#Headers],[OVO VERMELHO B]],estoque[fornecedor],"&lt;&gt;saída",estoque[data],preçodiario[[#This Row],[data]])))))</f>
        <v/>
      </c>
      <c r="AK295" s="22">
        <f>IF(preçodiario[[#This Row],[entrada BV]]=0,AK294-(SUMIFS(estoque[quantidade],estoque[fornecedor],"saída",estoque[produto],preçodiario[[#Headers],[OVO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Row],[data]]))+AK294+preçodiario[[#This Row],[entrada BV]])</f>
        <v>0</v>
      </c>
      <c r="AL295" s="22">
        <f>SUMIFS(estoque[quantidade],estoque[fornecedor],"&lt;&gt;saída",estoque[produto],preçodiario[[#Headers],[OVO VERMELHO B]],estoque[data],preçodiario[[#This Row],[data]])</f>
        <v>0</v>
      </c>
      <c r="AM295" s="20">
        <f>SUMIFS(estoque[valor total],estoque[fornecedor],"&lt;&gt;saída",estoque[produto],preçodiario[[#Headers],[OVO VERMELHO B]],estoque[data],preçodiario[[#This Row],[data]])</f>
        <v>0</v>
      </c>
      <c r="AN295" s="20">
        <f>IFERROR(preçodiario[[#This Row],[OVO VERMELHO B]]*preçodiario[[#This Row],[estoque BV]],0)</f>
        <v>0</v>
      </c>
      <c r="AO29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Row],[data]])),((AO294*AP294)+SUMIFS(estoque[valor total],estoque[produto],preçodiario[[#Headers],[OVO VERMELHO C]],estoque[data],preçodiario[[#This Row],[data]],estoque[fornecedor],"&lt;&gt;saída"))/(AP294+(SUMIFS(estoque[quantidade],estoque[produto],preçodiario[[#Headers],[OVO VERMELHO C]],estoque[fornecedor],"&lt;&gt;saída",estoque[data],preçodiario[[#This Row],[data]])))))</f>
        <v/>
      </c>
      <c r="AP295" s="22">
        <f>IF(preçodiario[[#This Row],[entrada CV]]=0,AP294-(SUMIFS(estoque[quantidade],estoque[fornecedor],"saída",estoque[produto],preçodiario[[#Headers],[OVO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Row],[data]]))+AP294+preçodiario[[#This Row],[entrada CV]])</f>
        <v>0</v>
      </c>
      <c r="AQ295" s="22">
        <f>SUMIFS(estoque[quantidade],estoque[fornecedor],"&lt;&gt;saída",estoque[produto],preçodiario[[#Headers],[OVO VERMELHO C]],estoque[data],preçodiario[[#This Row],[data]])</f>
        <v>0</v>
      </c>
      <c r="AR295" s="20">
        <f>SUMIFS(estoque[valor total],estoque[fornecedor],"&lt;&gt;saída",estoque[produto],preçodiario[[#Headers],[OVO VERMELHO C]],estoque[data],preçodiario[[#This Row],[data]])</f>
        <v>0</v>
      </c>
      <c r="AS295" s="20">
        <f>IFERROR(preçodiario[[#This Row],[OVO VERMELHO C]]*preçodiario[[#This Row],[estoque CV]],0)</f>
        <v>0</v>
      </c>
      <c r="AT29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Row],[data]])),((AT294*AU294)+SUMIFS(estoque[valor total],estoque[produto],preçodiario[[#Headers],[OVO VERMELHO EXTRA]],estoque[data],preçodiario[[#This Row],[data]],estoque[fornecedor],"&lt;&gt;saída"))/(AU294+(SUMIFS(estoque[quantidade],estoque[produto],preçodiario[[#Headers],[OVO VERMELHO EXTRA]],estoque[fornecedor],"&lt;&gt;saída",estoque[data],preçodiario[[#This Row],[data]])))))</f>
        <v/>
      </c>
      <c r="AU295" s="22">
        <f>IF(preçodiario[[#This Row],[entrada EV]]=0,AU294-(SUMIFS(estoque[quantidade],estoque[fornecedor],"saída",estoque[produto],preçodiario[[#Headers],[OVO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Row],[data]]))+AU294+preçodiario[[#This Row],[entrada EV]])</f>
        <v>0</v>
      </c>
      <c r="AV295" s="22">
        <f>SUMIFS(estoque[quantidade],estoque[fornecedor],"&lt;&gt;saída",estoque[produto],preçodiario[[#Headers],[OVO VERMELHO EXTRA]],estoque[data],preçodiario[[#This Row],[data]])</f>
        <v>0</v>
      </c>
      <c r="AW295" s="20">
        <f>SUMIFS(estoque[valor total],estoque[fornecedor],"&lt;&gt;saída",estoque[produto],preçodiario[[#Headers],[OVO VERMELHO EXTRA]],estoque[data],preçodiario[[#This Row],[data]])</f>
        <v>0</v>
      </c>
      <c r="AX295" s="20">
        <f>IFERROR(preçodiario[[#This Row],[OVO VERMELHO EXTRA]]*preçodiario[[#This Row],[estoque EV]],0)</f>
        <v>0</v>
      </c>
      <c r="AY29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Row],[data]])),((AY294*AZ294)+SUMIFS(estoque[valor total],estoque[produto],preçodiario[[#Headers],[OVO VERMELHO JUMBO]],estoque[data],preçodiario[[#This Row],[data]],estoque[fornecedor],"&lt;&gt;saída"))/(AZ294+(SUMIFS(estoque[quantidade],estoque[produto],preçodiario[[#Headers],[OVO VERMELHO JUMBO]],estoque[fornecedor],"&lt;&gt;saída",estoque[data],preçodiario[[#This Row],[data]])))))</f>
        <v/>
      </c>
      <c r="AZ295" s="22">
        <f>IF(preçodiario[[#This Row],[entrada JV]]=0,AZ294-(SUMIFS(estoque[quantidade],estoque[fornecedor],"saída",estoque[produto],preçodiario[[#Headers],[OVO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Row],[data]]))+AZ294+preçodiario[[#This Row],[entrada JV]])</f>
        <v>0</v>
      </c>
      <c r="BA295" s="22">
        <f>SUMIFS(estoque[quantidade],estoque[fornecedor],"&lt;&gt;saída",estoque[produto],preçodiario[[#Headers],[OVO VERMELHO JUMBO]],estoque[data],preçodiario[[#This Row],[data]])</f>
        <v>0</v>
      </c>
      <c r="BB295" s="20">
        <f>SUMIFS(estoque[valor total],estoque[fornecedor],"&lt;&gt;saída",estoque[produto],preçodiario[[#Headers],[OVO VERMELHO JUMBO]],estoque[data],preçodiario[[#This Row],[data]])</f>
        <v>0</v>
      </c>
      <c r="BC295" s="20">
        <f>IFERROR(preçodiario[[#This Row],[OVO VERMELHO JUMBO]]*preçodiario[[#This Row],[estoque JV]],0)</f>
        <v>0</v>
      </c>
      <c r="BD295" t="str">
        <f>TEXT(vendaAno[[#This Row],[data]],"mmm")</f>
        <v>out</v>
      </c>
      <c r="BE295" t="str">
        <f>TEXT(vendaAno[[#This Row],[data]],"ddd")</f>
        <v>qua</v>
      </c>
      <c r="BF295" s="82">
        <f>WEEKNUM(vendaAno[[#This Row],[data]],13)</f>
        <v>43</v>
      </c>
      <c r="BG295" s="27">
        <f>preçodiario[[#This Row],[data]]</f>
        <v>46316</v>
      </c>
      <c r="BH29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Row],[data]]))/12+BJ294,"")</f>
        <v/>
      </c>
      <c r="BK295" s="79" t="str">
        <f ca="1">IF(TODAY()&gt;=vendaAno[[#This Row],[data]],IF(SUMIFS(estoque[quantidade],estoque[fornecedor],"saída",estoque[data],vendaAno[[#This Row],[data]])/12=0,AVERAGE(BK292:BK294),SUMIFS(estoque[quantidade],estoque[fornecedor],"saída",estoque[data],vendaAno[[#This Row],[data]])/12),"")</f>
        <v/>
      </c>
      <c r="BL295" s="8" t="str">
        <f ca="1">IF(vendaAno[[#This Row],[data]]&lt;=TODAY(),IF(SUMIFS(estoque[lucro],estoque[fornecedor],"saída",estoque[data],vendaAno[[#This Row],[data]])=0,AVERAGE(BL292:BL294),SUMIFS(estoque[lucro],estoque[fornecedor],"saída",estoque[data],vendaAno[[#This Row],[data]])),"")</f>
        <v/>
      </c>
      <c r="BM295" s="10" t="str">
        <f ca="1">IFERROR(vendaAno[[#This Row],[lucro]]/vendaAno[[#This Row],[valor de venda]],"")</f>
        <v/>
      </c>
      <c r="BN29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5" s="8" t="str">
        <f ca="1">IF(TODAY()&gt;=vendaAno[[#This Row],[data]],IF(vendaAno[[#This Row],[N°]]=BF294,vendaAno[[#This Row],[lucro]]-173.33+BO294,vendaAno[[#This Row],[lucro]]-150),"")</f>
        <v/>
      </c>
      <c r="BP295" s="81" t="str">
        <f ca="1">IF(TODAY()&gt;=vendaAno[[#This Row],[data]],SUM(BK289:BK295)*12,"")</f>
        <v/>
      </c>
      <c r="BQ295" s="7" t="str">
        <f ca="1">IFERROR(vendaAno[[#This Row],[lucro]]/(vendaAno[[#This Row],[venda]]*12),"")</f>
        <v/>
      </c>
    </row>
    <row r="296" spans="1:69" x14ac:dyDescent="0.25">
      <c r="A29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6" s="18" t="str">
        <f>TEXT(preçodiario[[#This Row],[data]],"MMM")</f>
        <v>out</v>
      </c>
      <c r="C296" s="18" t="str">
        <f>TEXT(preçodiario[[#This Row],[data]],"ddd")</f>
        <v>qui</v>
      </c>
      <c r="D296" s="96">
        <f>WEEKNUM(preçodiario[[#This Row],[data]],13)</f>
        <v>43</v>
      </c>
      <c r="E296" s="37">
        <v>46317</v>
      </c>
      <c r="F29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Row],[data]])),((F295*G295)+SUMIFS(estoque[valor total],estoque[produto],preçodiario[[#Headers],[OVO BRANCO A]],estoque[data],preçodiario[[#This Row],[data]],estoque[fornecedor],"&lt;&gt;saída"))/(G295+(SUMIFS(estoque[quantidade],estoque[produto],preçodiario[[#Headers],[OVO BRANCO A]],estoque[fornecedor],"&lt;&gt;saída",estoque[data],preçodiario[[#This Row],[data]])))))</f>
        <v>15.278182701652089</v>
      </c>
      <c r="G296" s="22">
        <f>IF(preçodiario[[#This Row],[entrada A]]=0,G295-(SUMIFS(estoque[quantidade],estoque[fornecedor],"saída",estoque[produto],preçodiario[[#Headers],[OVO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Row],[data]]))+G295+preçodiario[[#This Row],[entrada A]])</f>
        <v>133</v>
      </c>
      <c r="H296" s="22">
        <f>SUMIFS(estoque[quantidade],estoque[fornecedor],"&lt;&gt;saída",estoque[produto],preçodiario[[#Headers],[OVO BRANCO A]],estoque[data],preçodiario[[#This Row],[data]])</f>
        <v>0</v>
      </c>
      <c r="I296" s="20">
        <f>SUMIFS(estoque[valor total],estoque[fornecedor],"&lt;&gt;saída",estoque[produto],preçodiario[[#Headers],[OVO BRANCO A]],estoque[data],preçodiario[[#This Row],[data]])</f>
        <v>0</v>
      </c>
      <c r="J296" s="20">
        <f>IFERROR(preçodiario[[#This Row],[estoque A]]*preçodiario[[#This Row],[OVO BRANCO A]],0)</f>
        <v>2031.9982993197277</v>
      </c>
      <c r="K29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Row],[data]])),((K295*L295)+SUMIFS(estoque[valor total],estoque[produto],preçodiario[[#Headers],[OVO BRANCO B]],estoque[data],preçodiario[[#This Row],[data]],estoque[fornecedor],"&lt;&gt;saída"))/(L295+(SUMIFS(estoque[quantidade],estoque[produto],preçodiario[[#Headers],[OVO BRANCO B]],estoque[fornecedor],"&lt;&gt;saída",estoque[data],preçodiario[[#This Row],[data]])))))</f>
        <v>14.584252837326604</v>
      </c>
      <c r="L296" s="22">
        <f>IF(preçodiario[[#This Row],[entrada B]]=0,L295-(SUMIFS(estoque[quantidade],estoque[fornecedor],"saída",estoque[produto],preçodiario[[#Headers],[OVO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Row],[data]]))+L295+preçodiario[[#This Row],[entrada B]])</f>
        <v>16</v>
      </c>
      <c r="M296" s="22">
        <f>SUMIFS(estoque[quantidade],estoque[fornecedor],"&lt;&gt;saída",estoque[produto],preçodiario[[#Headers],[OVO BRANCO B]],estoque[data],preçodiario[[#This Row],[data]])</f>
        <v>0</v>
      </c>
      <c r="N296" s="20">
        <f>SUMIFS(estoque[valor total],estoque[fornecedor],"&lt;&gt;saída",estoque[produto],preçodiario[[#Headers],[OVO BRANCO B]],estoque[data],preçodiario[[#This Row],[data]])</f>
        <v>0</v>
      </c>
      <c r="O296" s="20">
        <f>IFERROR(preçodiario[[#This Row],[OVO BRANCO B]]*preçodiario[[#This Row],[estoque B]],0)</f>
        <v>233.34804539722566</v>
      </c>
      <c r="P29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Row],[data]])),((P295*Q295)+SUMIFS(estoque[valor total],estoque[produto],preçodiario[[#Headers],[OVO BRANCO C]],estoque[data],preçodiario[[#This Row],[data]],estoque[fornecedor],"&lt;&gt;saída"))/(Q295+(SUMIFS(estoque[quantidade],estoque[produto],preçodiario[[#Headers],[OVO BRANCO C]],estoque[fornecedor],"&lt;&gt;saída",estoque[data],preçodiario[[#This Row],[data]])))))</f>
        <v>12.5</v>
      </c>
      <c r="Q296" s="22">
        <f>IF(preçodiario[[#This Row],[entrada C]]=0,Q295-(SUMIFS(estoque[quantidade],estoque[fornecedor],"saída",estoque[produto],preçodiario[[#Headers],[OVO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Row],[data]]))+Q295+preçodiario[[#This Row],[entrada C]])</f>
        <v>60</v>
      </c>
      <c r="R296" s="22">
        <f>SUMIFS(estoque[quantidade],estoque[fornecedor],"&lt;&gt;saída",estoque[produto],preçodiario[[#Headers],[OVO BRANCO C]],estoque[data],preçodiario[[#This Row],[data]])</f>
        <v>0</v>
      </c>
      <c r="S296" s="20">
        <f>SUMIFS(estoque[valor total],estoque[fornecedor],"&lt;&gt;saída",estoque[produto],preçodiario[[#Headers],[OVO BRANCO C]],estoque[data],preçodiario[[#This Row],[data]])</f>
        <v>0</v>
      </c>
      <c r="T296" s="20">
        <f>IFERROR(preçodiario[[#This Row],[OVO BRANCO C]]*preçodiario[[#This Row],[estoque C]],0)</f>
        <v>750</v>
      </c>
      <c r="U29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Row],[data]])),((U295*V295)+SUMIFS(estoque[valor total],estoque[produto],preçodiario[[#Headers],[OVO BRANCO EXTRA]],estoque[data],preçodiario[[#This Row],[data]],estoque[fornecedor],"&lt;&gt;saída"))/(V295+(SUMIFS(estoque[quantidade],estoque[produto],preçodiario[[#Headers],[OVO BRANCO EXTRA]],estoque[fornecedor],"&lt;&gt;saída",estoque[data],preçodiario[[#This Row],[data]])))))</f>
        <v>15.725438400674655</v>
      </c>
      <c r="V296" s="22">
        <f>IF(preçodiario[[#This Row],[entrada E]]=0,V295-(SUMIFS(estoque[quantidade],estoque[fornecedor],"saída",estoque[produto],preçodiario[[#Headers],[OVO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Row],[data]]))+V295+preçodiario[[#This Row],[entrada E]])</f>
        <v>46</v>
      </c>
      <c r="W296" s="22">
        <f>SUMIFS(estoque[quantidade],estoque[fornecedor],"&lt;&gt;saída",estoque[produto],preçodiario[[#Headers],[OVO BRANCO EXTRA]],estoque[data],preçodiario[[#This Row],[data]])</f>
        <v>0</v>
      </c>
      <c r="X296" s="20">
        <f>SUMIFS(estoque[valor total],estoque[fornecedor],"&lt;&gt;saída",estoque[produto],preçodiario[[#Headers],[OVO BRANCO EXTRA]],estoque[data],preçodiario[[#This Row],[data]])</f>
        <v>0</v>
      </c>
      <c r="Y296" s="20">
        <f>IFERROR(preçodiario[[#This Row],[estoque E]]*preçodiario[[#This Row],[OVO BRANCO EXTRA]],0)</f>
        <v>723.37016643103414</v>
      </c>
      <c r="Z29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Row],[data]])),((Z295*AA295)+SUMIFS(estoque[valor total],estoque[produto],preçodiario[[#Headers],[OVO BRANCO JUMBO]],estoque[data],preçodiario[[#This Row],[data]],estoque[fornecedor],"&lt;&gt;saída"))/(AA295+(SUMIFS(estoque[quantidade],estoque[produto],preçodiario[[#Headers],[OVO BRANCO JUMBO]],estoque[fornecedor],"&lt;&gt;saída",estoque[data],preçodiario[[#This Row],[data]])))))</f>
        <v>16.50550595238095</v>
      </c>
      <c r="AA296" s="22">
        <f>IF(preçodiario[[#This Row],[entrada J]]=0,AA295-(SUMIFS(estoque[quantidade],estoque[fornecedor],"saída",estoque[produto],preçodiario[[#Headers],[OVO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Row],[data]]))+AA295+preçodiario[[#This Row],[entrada J]])</f>
        <v>75</v>
      </c>
      <c r="AB296" s="22">
        <f>SUMIFS(estoque[quantidade],estoque[fornecedor],"&lt;&gt;saída",estoque[produto],preçodiario[[#Headers],[OVO BRANCO JUMBO]],estoque[data],preçodiario[[#This Row],[data]])</f>
        <v>0</v>
      </c>
      <c r="AC296" s="20">
        <f>SUMIFS(estoque[valor total],estoque[fornecedor],"&lt;&gt;saída",estoque[produto],preçodiario[[#Headers],[OVO BRANCO JUMBO]],estoque[data],preçodiario[[#This Row],[data]])</f>
        <v>0</v>
      </c>
      <c r="AD296" s="20">
        <f>IFERROR(preçodiario[[#This Row],[OVO BRANCO JUMBO]]*preçodiario[[#This Row],[estoque J]],0)</f>
        <v>1237.9129464285713</v>
      </c>
      <c r="AE29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Row],[data]])),((AE295*AF295)+SUMIFS(estoque[valor total],estoque[produto],preçodiario[[#Headers],[OVO VERMELHO A]],estoque[data],preçodiario[[#This Row],[data]],estoque[fornecedor],"&lt;&gt;saída"))/(AF295+(SUMIFS(estoque[quantidade],estoque[produto],preçodiario[[#Headers],[OVO VERMELHO A]],estoque[fornecedor],"&lt;&gt;saída",estoque[data],preçodiario[[#This Row],[data]])))))</f>
        <v/>
      </c>
      <c r="AF296" s="22">
        <f>IF(preçodiario[[#This Row],[entrada AV]]=0,AF295-(SUMIFS(estoque[quantidade],estoque[fornecedor],"saída",estoque[produto],preçodiario[[#Headers],[OVO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Row],[data]]))+AF295+preçodiario[[#This Row],[entrada AV]])</f>
        <v>0</v>
      </c>
      <c r="AG296" s="22">
        <f>SUMIFS(estoque[quantidade],estoque[fornecedor],"&lt;&gt;saída",estoque[produto],preçodiario[[#Headers],[OVO VERMELHO A]],estoque[data],preçodiario[[#This Row],[data]])</f>
        <v>0</v>
      </c>
      <c r="AH296" s="20">
        <f>SUMIFS(estoque[valor total],estoque[fornecedor],"&lt;&gt;saída",estoque[produto],preçodiario[[#Headers],[OVO VERMELHO A]],estoque[data],preçodiario[[#This Row],[data]])</f>
        <v>0</v>
      </c>
      <c r="AI296" s="20">
        <f>IFERROR(preçodiario[[#This Row],[OVO VERMELHO A]]*preçodiario[[#This Row],[estoque AV]],0)</f>
        <v>0</v>
      </c>
      <c r="AJ29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Row],[data]])),((AJ295*AK295)+SUMIFS(estoque[valor total],estoque[produto],preçodiario[[#Headers],[OVO VERMELHO B]],estoque[data],preçodiario[[#This Row],[data]],estoque[fornecedor],"&lt;&gt;saída"))/(AK295+(SUMIFS(estoque[quantidade],estoque[produto],preçodiario[[#Headers],[OVO VERMELHO B]],estoque[fornecedor],"&lt;&gt;saída",estoque[data],preçodiario[[#This Row],[data]])))))</f>
        <v/>
      </c>
      <c r="AK296" s="22">
        <f>IF(preçodiario[[#This Row],[entrada BV]]=0,AK295-(SUMIFS(estoque[quantidade],estoque[fornecedor],"saída",estoque[produto],preçodiario[[#Headers],[OVO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Row],[data]]))+AK295+preçodiario[[#This Row],[entrada BV]])</f>
        <v>0</v>
      </c>
      <c r="AL296" s="22">
        <f>SUMIFS(estoque[quantidade],estoque[fornecedor],"&lt;&gt;saída",estoque[produto],preçodiario[[#Headers],[OVO VERMELHO B]],estoque[data],preçodiario[[#This Row],[data]])</f>
        <v>0</v>
      </c>
      <c r="AM296" s="20">
        <f>SUMIFS(estoque[valor total],estoque[fornecedor],"&lt;&gt;saída",estoque[produto],preçodiario[[#Headers],[OVO VERMELHO B]],estoque[data],preçodiario[[#This Row],[data]])</f>
        <v>0</v>
      </c>
      <c r="AN296" s="20">
        <f>IFERROR(preçodiario[[#This Row],[OVO VERMELHO B]]*preçodiario[[#This Row],[estoque BV]],0)</f>
        <v>0</v>
      </c>
      <c r="AO29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Row],[data]])),((AO295*AP295)+SUMIFS(estoque[valor total],estoque[produto],preçodiario[[#Headers],[OVO VERMELHO C]],estoque[data],preçodiario[[#This Row],[data]],estoque[fornecedor],"&lt;&gt;saída"))/(AP295+(SUMIFS(estoque[quantidade],estoque[produto],preçodiario[[#Headers],[OVO VERMELHO C]],estoque[fornecedor],"&lt;&gt;saída",estoque[data],preçodiario[[#This Row],[data]])))))</f>
        <v/>
      </c>
      <c r="AP296" s="22">
        <f>IF(preçodiario[[#This Row],[entrada CV]]=0,AP295-(SUMIFS(estoque[quantidade],estoque[fornecedor],"saída",estoque[produto],preçodiario[[#Headers],[OVO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Row],[data]]))+AP295+preçodiario[[#This Row],[entrada CV]])</f>
        <v>0</v>
      </c>
      <c r="AQ296" s="22">
        <f>SUMIFS(estoque[quantidade],estoque[fornecedor],"&lt;&gt;saída",estoque[produto],preçodiario[[#Headers],[OVO VERMELHO C]],estoque[data],preçodiario[[#This Row],[data]])</f>
        <v>0</v>
      </c>
      <c r="AR296" s="20">
        <f>SUMIFS(estoque[valor total],estoque[fornecedor],"&lt;&gt;saída",estoque[produto],preçodiario[[#Headers],[OVO VERMELHO C]],estoque[data],preçodiario[[#This Row],[data]])</f>
        <v>0</v>
      </c>
      <c r="AS296" s="20">
        <f>IFERROR(preçodiario[[#This Row],[OVO VERMELHO C]]*preçodiario[[#This Row],[estoque CV]],0)</f>
        <v>0</v>
      </c>
      <c r="AT29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Row],[data]])),((AT295*AU295)+SUMIFS(estoque[valor total],estoque[produto],preçodiario[[#Headers],[OVO VERMELHO EXTRA]],estoque[data],preçodiario[[#This Row],[data]],estoque[fornecedor],"&lt;&gt;saída"))/(AU295+(SUMIFS(estoque[quantidade],estoque[produto],preçodiario[[#Headers],[OVO VERMELHO EXTRA]],estoque[fornecedor],"&lt;&gt;saída",estoque[data],preçodiario[[#This Row],[data]])))))</f>
        <v/>
      </c>
      <c r="AU296" s="22">
        <f>IF(preçodiario[[#This Row],[entrada EV]]=0,AU295-(SUMIFS(estoque[quantidade],estoque[fornecedor],"saída",estoque[produto],preçodiario[[#Headers],[OVO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Row],[data]]))+AU295+preçodiario[[#This Row],[entrada EV]])</f>
        <v>0</v>
      </c>
      <c r="AV296" s="22">
        <f>SUMIFS(estoque[quantidade],estoque[fornecedor],"&lt;&gt;saída",estoque[produto],preçodiario[[#Headers],[OVO VERMELHO EXTRA]],estoque[data],preçodiario[[#This Row],[data]])</f>
        <v>0</v>
      </c>
      <c r="AW296" s="20">
        <f>SUMIFS(estoque[valor total],estoque[fornecedor],"&lt;&gt;saída",estoque[produto],preçodiario[[#Headers],[OVO VERMELHO EXTRA]],estoque[data],preçodiario[[#This Row],[data]])</f>
        <v>0</v>
      </c>
      <c r="AX296" s="20">
        <f>IFERROR(preçodiario[[#This Row],[OVO VERMELHO EXTRA]]*preçodiario[[#This Row],[estoque EV]],0)</f>
        <v>0</v>
      </c>
      <c r="AY29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Row],[data]])),((AY295*AZ295)+SUMIFS(estoque[valor total],estoque[produto],preçodiario[[#Headers],[OVO VERMELHO JUMBO]],estoque[data],preçodiario[[#This Row],[data]],estoque[fornecedor],"&lt;&gt;saída"))/(AZ295+(SUMIFS(estoque[quantidade],estoque[produto],preçodiario[[#Headers],[OVO VERMELHO JUMBO]],estoque[fornecedor],"&lt;&gt;saída",estoque[data],preçodiario[[#This Row],[data]])))))</f>
        <v/>
      </c>
      <c r="AZ296" s="22">
        <f>IF(preçodiario[[#This Row],[entrada JV]]=0,AZ295-(SUMIFS(estoque[quantidade],estoque[fornecedor],"saída",estoque[produto],preçodiario[[#Headers],[OVO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Row],[data]]))+AZ295+preçodiario[[#This Row],[entrada JV]])</f>
        <v>0</v>
      </c>
      <c r="BA296" s="22">
        <f>SUMIFS(estoque[quantidade],estoque[fornecedor],"&lt;&gt;saída",estoque[produto],preçodiario[[#Headers],[OVO VERMELHO JUMBO]],estoque[data],preçodiario[[#This Row],[data]])</f>
        <v>0</v>
      </c>
      <c r="BB296" s="20">
        <f>SUMIFS(estoque[valor total],estoque[fornecedor],"&lt;&gt;saída",estoque[produto],preçodiario[[#Headers],[OVO VERMELHO JUMBO]],estoque[data],preçodiario[[#This Row],[data]])</f>
        <v>0</v>
      </c>
      <c r="BC296" s="20">
        <f>IFERROR(preçodiario[[#This Row],[OVO VERMELHO JUMBO]]*preçodiario[[#This Row],[estoque JV]],0)</f>
        <v>0</v>
      </c>
      <c r="BD296" t="str">
        <f>TEXT(vendaAno[[#This Row],[data]],"mmm")</f>
        <v>out</v>
      </c>
      <c r="BE296" t="str">
        <f>TEXT(vendaAno[[#This Row],[data]],"ddd")</f>
        <v>qui</v>
      </c>
      <c r="BF296" s="82">
        <f>WEEKNUM(vendaAno[[#This Row],[data]],13)</f>
        <v>43</v>
      </c>
      <c r="BG296" s="27">
        <f>preçodiario[[#This Row],[data]]</f>
        <v>46317</v>
      </c>
      <c r="BH29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Row],[data]]))/12+BJ295,"")</f>
        <v/>
      </c>
      <c r="BK296" s="79" t="str">
        <f ca="1">IF(TODAY()&gt;=vendaAno[[#This Row],[data]],IF(SUMIFS(estoque[quantidade],estoque[fornecedor],"saída",estoque[data],vendaAno[[#This Row],[data]])/12=0,AVERAGE(BK293:BK295),SUMIFS(estoque[quantidade],estoque[fornecedor],"saída",estoque[data],vendaAno[[#This Row],[data]])/12),"")</f>
        <v/>
      </c>
      <c r="BL296" s="8" t="str">
        <f ca="1">IF(vendaAno[[#This Row],[data]]&lt;=TODAY(),IF(SUMIFS(estoque[lucro],estoque[fornecedor],"saída",estoque[data],vendaAno[[#This Row],[data]])=0,AVERAGE(BL293:BL295),SUMIFS(estoque[lucro],estoque[fornecedor],"saída",estoque[data],vendaAno[[#This Row],[data]])),"")</f>
        <v/>
      </c>
      <c r="BM296" s="10" t="str">
        <f ca="1">IFERROR(vendaAno[[#This Row],[lucro]]/vendaAno[[#This Row],[valor de venda]],"")</f>
        <v/>
      </c>
      <c r="BN29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6" s="8" t="str">
        <f ca="1">IF(TODAY()&gt;=vendaAno[[#This Row],[data]],IF(vendaAno[[#This Row],[N°]]=BF295,vendaAno[[#This Row],[lucro]]-173.33+BO295,vendaAno[[#This Row],[lucro]]-150),"")</f>
        <v/>
      </c>
      <c r="BP296" s="81" t="str">
        <f ca="1">IF(TODAY()&gt;=vendaAno[[#This Row],[data]],SUM(BK290:BK296)*12,"")</f>
        <v/>
      </c>
      <c r="BQ296" s="7" t="str">
        <f ca="1">IFERROR(vendaAno[[#This Row],[lucro]]/(vendaAno[[#This Row],[venda]]*12),"")</f>
        <v/>
      </c>
    </row>
    <row r="297" spans="1:69" x14ac:dyDescent="0.25">
      <c r="A29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7" s="18" t="str">
        <f>TEXT(preçodiario[[#This Row],[data]],"MMM")</f>
        <v>out</v>
      </c>
      <c r="C297" s="18" t="str">
        <f>TEXT(preçodiario[[#This Row],[data]],"ddd")</f>
        <v>sex</v>
      </c>
      <c r="D297" s="96">
        <f>WEEKNUM(preçodiario[[#This Row],[data]],13)</f>
        <v>43</v>
      </c>
      <c r="E297" s="37">
        <v>46318</v>
      </c>
      <c r="F29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Row],[data]])),((F296*G296)+SUMIFS(estoque[valor total],estoque[produto],preçodiario[[#Headers],[OVO BRANCO A]],estoque[data],preçodiario[[#This Row],[data]],estoque[fornecedor],"&lt;&gt;saída"))/(G296+(SUMIFS(estoque[quantidade],estoque[produto],preçodiario[[#Headers],[OVO BRANCO A]],estoque[fornecedor],"&lt;&gt;saída",estoque[data],preçodiario[[#This Row],[data]])))))</f>
        <v>15.278182701652089</v>
      </c>
      <c r="G297" s="22">
        <f>IF(preçodiario[[#This Row],[entrada A]]=0,G296-(SUMIFS(estoque[quantidade],estoque[fornecedor],"saída",estoque[produto],preçodiario[[#Headers],[OVO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Row],[data]]))+G296+preçodiario[[#This Row],[entrada A]])</f>
        <v>133</v>
      </c>
      <c r="H297" s="22">
        <f>SUMIFS(estoque[quantidade],estoque[fornecedor],"&lt;&gt;saída",estoque[produto],preçodiario[[#Headers],[OVO BRANCO A]],estoque[data],preçodiario[[#This Row],[data]])</f>
        <v>0</v>
      </c>
      <c r="I297" s="20">
        <f>SUMIFS(estoque[valor total],estoque[fornecedor],"&lt;&gt;saída",estoque[produto],preçodiario[[#Headers],[OVO BRANCO A]],estoque[data],preçodiario[[#This Row],[data]])</f>
        <v>0</v>
      </c>
      <c r="J297" s="20">
        <f>IFERROR(preçodiario[[#This Row],[estoque A]]*preçodiario[[#This Row],[OVO BRANCO A]],0)</f>
        <v>2031.9982993197277</v>
      </c>
      <c r="K29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Row],[data]])),((K296*L296)+SUMIFS(estoque[valor total],estoque[produto],preçodiario[[#Headers],[OVO BRANCO B]],estoque[data],preçodiario[[#This Row],[data]],estoque[fornecedor],"&lt;&gt;saída"))/(L296+(SUMIFS(estoque[quantidade],estoque[produto],preçodiario[[#Headers],[OVO BRANCO B]],estoque[fornecedor],"&lt;&gt;saída",estoque[data],preçodiario[[#This Row],[data]])))))</f>
        <v>14.584252837326604</v>
      </c>
      <c r="L297" s="22">
        <f>IF(preçodiario[[#This Row],[entrada B]]=0,L296-(SUMIFS(estoque[quantidade],estoque[fornecedor],"saída",estoque[produto],preçodiario[[#Headers],[OVO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Row],[data]]))+L296+preçodiario[[#This Row],[entrada B]])</f>
        <v>16</v>
      </c>
      <c r="M297" s="22">
        <f>SUMIFS(estoque[quantidade],estoque[fornecedor],"&lt;&gt;saída",estoque[produto],preçodiario[[#Headers],[OVO BRANCO B]],estoque[data],preçodiario[[#This Row],[data]])</f>
        <v>0</v>
      </c>
      <c r="N297" s="20">
        <f>SUMIFS(estoque[valor total],estoque[fornecedor],"&lt;&gt;saída",estoque[produto],preçodiario[[#Headers],[OVO BRANCO B]],estoque[data],preçodiario[[#This Row],[data]])</f>
        <v>0</v>
      </c>
      <c r="O297" s="20">
        <f>IFERROR(preçodiario[[#This Row],[OVO BRANCO B]]*preçodiario[[#This Row],[estoque B]],0)</f>
        <v>233.34804539722566</v>
      </c>
      <c r="P29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Row],[data]])),((P296*Q296)+SUMIFS(estoque[valor total],estoque[produto],preçodiario[[#Headers],[OVO BRANCO C]],estoque[data],preçodiario[[#This Row],[data]],estoque[fornecedor],"&lt;&gt;saída"))/(Q296+(SUMIFS(estoque[quantidade],estoque[produto],preçodiario[[#Headers],[OVO BRANCO C]],estoque[fornecedor],"&lt;&gt;saída",estoque[data],preçodiario[[#This Row],[data]])))))</f>
        <v>12.5</v>
      </c>
      <c r="Q297" s="22">
        <f>IF(preçodiario[[#This Row],[entrada C]]=0,Q296-(SUMIFS(estoque[quantidade],estoque[fornecedor],"saída",estoque[produto],preçodiario[[#Headers],[OVO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Row],[data]]))+Q296+preçodiario[[#This Row],[entrada C]])</f>
        <v>60</v>
      </c>
      <c r="R297" s="22">
        <f>SUMIFS(estoque[quantidade],estoque[fornecedor],"&lt;&gt;saída",estoque[produto],preçodiario[[#Headers],[OVO BRANCO C]],estoque[data],preçodiario[[#This Row],[data]])</f>
        <v>0</v>
      </c>
      <c r="S297" s="20">
        <f>SUMIFS(estoque[valor total],estoque[fornecedor],"&lt;&gt;saída",estoque[produto],preçodiario[[#Headers],[OVO BRANCO C]],estoque[data],preçodiario[[#This Row],[data]])</f>
        <v>0</v>
      </c>
      <c r="T297" s="20">
        <f>IFERROR(preçodiario[[#This Row],[OVO BRANCO C]]*preçodiario[[#This Row],[estoque C]],0)</f>
        <v>750</v>
      </c>
      <c r="U29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Row],[data]])),((U296*V296)+SUMIFS(estoque[valor total],estoque[produto],preçodiario[[#Headers],[OVO BRANCO EXTRA]],estoque[data],preçodiario[[#This Row],[data]],estoque[fornecedor],"&lt;&gt;saída"))/(V296+(SUMIFS(estoque[quantidade],estoque[produto],preçodiario[[#Headers],[OVO BRANCO EXTRA]],estoque[fornecedor],"&lt;&gt;saída",estoque[data],preçodiario[[#This Row],[data]])))))</f>
        <v>15.725438400674655</v>
      </c>
      <c r="V297" s="22">
        <f>IF(preçodiario[[#This Row],[entrada E]]=0,V296-(SUMIFS(estoque[quantidade],estoque[fornecedor],"saída",estoque[produto],preçodiario[[#Headers],[OVO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Row],[data]]))+V296+preçodiario[[#This Row],[entrada E]])</f>
        <v>46</v>
      </c>
      <c r="W297" s="22">
        <f>SUMIFS(estoque[quantidade],estoque[fornecedor],"&lt;&gt;saída",estoque[produto],preçodiario[[#Headers],[OVO BRANCO EXTRA]],estoque[data],preçodiario[[#This Row],[data]])</f>
        <v>0</v>
      </c>
      <c r="X297" s="20">
        <f>SUMIFS(estoque[valor total],estoque[fornecedor],"&lt;&gt;saída",estoque[produto],preçodiario[[#Headers],[OVO BRANCO EXTRA]],estoque[data],preçodiario[[#This Row],[data]])</f>
        <v>0</v>
      </c>
      <c r="Y297" s="20">
        <f>IFERROR(preçodiario[[#This Row],[estoque E]]*preçodiario[[#This Row],[OVO BRANCO EXTRA]],0)</f>
        <v>723.37016643103414</v>
      </c>
      <c r="Z29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Row],[data]])),((Z296*AA296)+SUMIFS(estoque[valor total],estoque[produto],preçodiario[[#Headers],[OVO BRANCO JUMBO]],estoque[data],preçodiario[[#This Row],[data]],estoque[fornecedor],"&lt;&gt;saída"))/(AA296+(SUMIFS(estoque[quantidade],estoque[produto],preçodiario[[#Headers],[OVO BRANCO JUMBO]],estoque[fornecedor],"&lt;&gt;saída",estoque[data],preçodiario[[#This Row],[data]])))))</f>
        <v>16.50550595238095</v>
      </c>
      <c r="AA297" s="22">
        <f>IF(preçodiario[[#This Row],[entrada J]]=0,AA296-(SUMIFS(estoque[quantidade],estoque[fornecedor],"saída",estoque[produto],preçodiario[[#Headers],[OVO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Row],[data]]))+AA296+preçodiario[[#This Row],[entrada J]])</f>
        <v>75</v>
      </c>
      <c r="AB297" s="22">
        <f>SUMIFS(estoque[quantidade],estoque[fornecedor],"&lt;&gt;saída",estoque[produto],preçodiario[[#Headers],[OVO BRANCO JUMBO]],estoque[data],preçodiario[[#This Row],[data]])</f>
        <v>0</v>
      </c>
      <c r="AC297" s="20">
        <f>SUMIFS(estoque[valor total],estoque[fornecedor],"&lt;&gt;saída",estoque[produto],preçodiario[[#Headers],[OVO BRANCO JUMBO]],estoque[data],preçodiario[[#This Row],[data]])</f>
        <v>0</v>
      </c>
      <c r="AD297" s="20">
        <f>IFERROR(preçodiario[[#This Row],[OVO BRANCO JUMBO]]*preçodiario[[#This Row],[estoque J]],0)</f>
        <v>1237.9129464285713</v>
      </c>
      <c r="AE29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Row],[data]])),((AE296*AF296)+SUMIFS(estoque[valor total],estoque[produto],preçodiario[[#Headers],[OVO VERMELHO A]],estoque[data],preçodiario[[#This Row],[data]],estoque[fornecedor],"&lt;&gt;saída"))/(AF296+(SUMIFS(estoque[quantidade],estoque[produto],preçodiario[[#Headers],[OVO VERMELHO A]],estoque[fornecedor],"&lt;&gt;saída",estoque[data],preçodiario[[#This Row],[data]])))))</f>
        <v/>
      </c>
      <c r="AF297" s="22">
        <f>IF(preçodiario[[#This Row],[entrada AV]]=0,AF296-(SUMIFS(estoque[quantidade],estoque[fornecedor],"saída",estoque[produto],preçodiario[[#Headers],[OVO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Row],[data]]))+AF296+preçodiario[[#This Row],[entrada AV]])</f>
        <v>0</v>
      </c>
      <c r="AG297" s="22">
        <f>SUMIFS(estoque[quantidade],estoque[fornecedor],"&lt;&gt;saída",estoque[produto],preçodiario[[#Headers],[OVO VERMELHO A]],estoque[data],preçodiario[[#This Row],[data]])</f>
        <v>0</v>
      </c>
      <c r="AH297" s="20">
        <f>SUMIFS(estoque[valor total],estoque[fornecedor],"&lt;&gt;saída",estoque[produto],preçodiario[[#Headers],[OVO VERMELHO A]],estoque[data],preçodiario[[#This Row],[data]])</f>
        <v>0</v>
      </c>
      <c r="AI297" s="20">
        <f>IFERROR(preçodiario[[#This Row],[OVO VERMELHO A]]*preçodiario[[#This Row],[estoque AV]],0)</f>
        <v>0</v>
      </c>
      <c r="AJ29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Row],[data]])),((AJ296*AK296)+SUMIFS(estoque[valor total],estoque[produto],preçodiario[[#Headers],[OVO VERMELHO B]],estoque[data],preçodiario[[#This Row],[data]],estoque[fornecedor],"&lt;&gt;saída"))/(AK296+(SUMIFS(estoque[quantidade],estoque[produto],preçodiario[[#Headers],[OVO VERMELHO B]],estoque[fornecedor],"&lt;&gt;saída",estoque[data],preçodiario[[#This Row],[data]])))))</f>
        <v/>
      </c>
      <c r="AK297" s="22">
        <f>IF(preçodiario[[#This Row],[entrada BV]]=0,AK296-(SUMIFS(estoque[quantidade],estoque[fornecedor],"saída",estoque[produto],preçodiario[[#Headers],[OVO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Row],[data]]))+AK296+preçodiario[[#This Row],[entrada BV]])</f>
        <v>0</v>
      </c>
      <c r="AL297" s="22">
        <f>SUMIFS(estoque[quantidade],estoque[fornecedor],"&lt;&gt;saída",estoque[produto],preçodiario[[#Headers],[OVO VERMELHO B]],estoque[data],preçodiario[[#This Row],[data]])</f>
        <v>0</v>
      </c>
      <c r="AM297" s="20">
        <f>SUMIFS(estoque[valor total],estoque[fornecedor],"&lt;&gt;saída",estoque[produto],preçodiario[[#Headers],[OVO VERMELHO B]],estoque[data],preçodiario[[#This Row],[data]])</f>
        <v>0</v>
      </c>
      <c r="AN297" s="20">
        <f>IFERROR(preçodiario[[#This Row],[OVO VERMELHO B]]*preçodiario[[#This Row],[estoque BV]],0)</f>
        <v>0</v>
      </c>
      <c r="AO29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Row],[data]])),((AO296*AP296)+SUMIFS(estoque[valor total],estoque[produto],preçodiario[[#Headers],[OVO VERMELHO C]],estoque[data],preçodiario[[#This Row],[data]],estoque[fornecedor],"&lt;&gt;saída"))/(AP296+(SUMIFS(estoque[quantidade],estoque[produto],preçodiario[[#Headers],[OVO VERMELHO C]],estoque[fornecedor],"&lt;&gt;saída",estoque[data],preçodiario[[#This Row],[data]])))))</f>
        <v/>
      </c>
      <c r="AP297" s="22">
        <f>IF(preçodiario[[#This Row],[entrada CV]]=0,AP296-(SUMIFS(estoque[quantidade],estoque[fornecedor],"saída",estoque[produto],preçodiario[[#Headers],[OVO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Row],[data]]))+AP296+preçodiario[[#This Row],[entrada CV]])</f>
        <v>0</v>
      </c>
      <c r="AQ297" s="22">
        <f>SUMIFS(estoque[quantidade],estoque[fornecedor],"&lt;&gt;saída",estoque[produto],preçodiario[[#Headers],[OVO VERMELHO C]],estoque[data],preçodiario[[#This Row],[data]])</f>
        <v>0</v>
      </c>
      <c r="AR297" s="20">
        <f>SUMIFS(estoque[valor total],estoque[fornecedor],"&lt;&gt;saída",estoque[produto],preçodiario[[#Headers],[OVO VERMELHO C]],estoque[data],preçodiario[[#This Row],[data]])</f>
        <v>0</v>
      </c>
      <c r="AS297" s="20">
        <f>IFERROR(preçodiario[[#This Row],[OVO VERMELHO C]]*preçodiario[[#This Row],[estoque CV]],0)</f>
        <v>0</v>
      </c>
      <c r="AT29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Row],[data]])),((AT296*AU296)+SUMIFS(estoque[valor total],estoque[produto],preçodiario[[#Headers],[OVO VERMELHO EXTRA]],estoque[data],preçodiario[[#This Row],[data]],estoque[fornecedor],"&lt;&gt;saída"))/(AU296+(SUMIFS(estoque[quantidade],estoque[produto],preçodiario[[#Headers],[OVO VERMELHO EXTRA]],estoque[fornecedor],"&lt;&gt;saída",estoque[data],preçodiario[[#This Row],[data]])))))</f>
        <v/>
      </c>
      <c r="AU297" s="22">
        <f>IF(preçodiario[[#This Row],[entrada EV]]=0,AU296-(SUMIFS(estoque[quantidade],estoque[fornecedor],"saída",estoque[produto],preçodiario[[#Headers],[OVO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Row],[data]]))+AU296+preçodiario[[#This Row],[entrada EV]])</f>
        <v>0</v>
      </c>
      <c r="AV297" s="22">
        <f>SUMIFS(estoque[quantidade],estoque[fornecedor],"&lt;&gt;saída",estoque[produto],preçodiario[[#Headers],[OVO VERMELHO EXTRA]],estoque[data],preçodiario[[#This Row],[data]])</f>
        <v>0</v>
      </c>
      <c r="AW297" s="20">
        <f>SUMIFS(estoque[valor total],estoque[fornecedor],"&lt;&gt;saída",estoque[produto],preçodiario[[#Headers],[OVO VERMELHO EXTRA]],estoque[data],preçodiario[[#This Row],[data]])</f>
        <v>0</v>
      </c>
      <c r="AX297" s="20">
        <f>IFERROR(preçodiario[[#This Row],[OVO VERMELHO EXTRA]]*preçodiario[[#This Row],[estoque EV]],0)</f>
        <v>0</v>
      </c>
      <c r="AY29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Row],[data]])),((AY296*AZ296)+SUMIFS(estoque[valor total],estoque[produto],preçodiario[[#Headers],[OVO VERMELHO JUMBO]],estoque[data],preçodiario[[#This Row],[data]],estoque[fornecedor],"&lt;&gt;saída"))/(AZ296+(SUMIFS(estoque[quantidade],estoque[produto],preçodiario[[#Headers],[OVO VERMELHO JUMBO]],estoque[fornecedor],"&lt;&gt;saída",estoque[data],preçodiario[[#This Row],[data]])))))</f>
        <v/>
      </c>
      <c r="AZ297" s="22">
        <f>IF(preçodiario[[#This Row],[entrada JV]]=0,AZ296-(SUMIFS(estoque[quantidade],estoque[fornecedor],"saída",estoque[produto],preçodiario[[#Headers],[OVO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Row],[data]]))+AZ296+preçodiario[[#This Row],[entrada JV]])</f>
        <v>0</v>
      </c>
      <c r="BA297" s="22">
        <f>SUMIFS(estoque[quantidade],estoque[fornecedor],"&lt;&gt;saída",estoque[produto],preçodiario[[#Headers],[OVO VERMELHO JUMBO]],estoque[data],preçodiario[[#This Row],[data]])</f>
        <v>0</v>
      </c>
      <c r="BB297" s="20">
        <f>SUMIFS(estoque[valor total],estoque[fornecedor],"&lt;&gt;saída",estoque[produto],preçodiario[[#Headers],[OVO VERMELHO JUMBO]],estoque[data],preçodiario[[#This Row],[data]])</f>
        <v>0</v>
      </c>
      <c r="BC297" s="20">
        <f>IFERROR(preçodiario[[#This Row],[OVO VERMELHO JUMBO]]*preçodiario[[#This Row],[estoque JV]],0)</f>
        <v>0</v>
      </c>
      <c r="BD297" t="str">
        <f>TEXT(vendaAno[[#This Row],[data]],"mmm")</f>
        <v>out</v>
      </c>
      <c r="BE297" t="str">
        <f>TEXT(vendaAno[[#This Row],[data]],"ddd")</f>
        <v>sex</v>
      </c>
      <c r="BF297" s="82">
        <f>WEEKNUM(vendaAno[[#This Row],[data]],13)</f>
        <v>43</v>
      </c>
      <c r="BG297" s="27">
        <f>preçodiario[[#This Row],[data]]</f>
        <v>46318</v>
      </c>
      <c r="BH29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Row],[data]]))/12+BJ296,"")</f>
        <v/>
      </c>
      <c r="BK297" s="79" t="str">
        <f ca="1">IF(TODAY()&gt;=vendaAno[[#This Row],[data]],IF(SUMIFS(estoque[quantidade],estoque[fornecedor],"saída",estoque[data],vendaAno[[#This Row],[data]])/12=0,AVERAGE(BK294:BK296),SUMIFS(estoque[quantidade],estoque[fornecedor],"saída",estoque[data],vendaAno[[#This Row],[data]])/12),"")</f>
        <v/>
      </c>
      <c r="BL297" s="8" t="str">
        <f ca="1">IF(vendaAno[[#This Row],[data]]&lt;=TODAY(),IF(SUMIFS(estoque[lucro],estoque[fornecedor],"saída",estoque[data],vendaAno[[#This Row],[data]])=0,AVERAGE(BL294:BL296),SUMIFS(estoque[lucro],estoque[fornecedor],"saída",estoque[data],vendaAno[[#This Row],[data]])),"")</f>
        <v/>
      </c>
      <c r="BM297" s="10" t="str">
        <f ca="1">IFERROR(vendaAno[[#This Row],[lucro]]/vendaAno[[#This Row],[valor de venda]],"")</f>
        <v/>
      </c>
      <c r="BN29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7" s="8" t="str">
        <f ca="1">IF(TODAY()&gt;=vendaAno[[#This Row],[data]],IF(vendaAno[[#This Row],[N°]]=BF296,vendaAno[[#This Row],[lucro]]-173.33+BO296,vendaAno[[#This Row],[lucro]]-150),"")</f>
        <v/>
      </c>
      <c r="BP297" s="81" t="str">
        <f ca="1">IF(TODAY()&gt;=vendaAno[[#This Row],[data]],SUM(BK291:BK297)*12,"")</f>
        <v/>
      </c>
      <c r="BQ297" s="7" t="str">
        <f ca="1">IFERROR(vendaAno[[#This Row],[lucro]]/(vendaAno[[#This Row],[venda]]*12),"")</f>
        <v/>
      </c>
    </row>
    <row r="298" spans="1:69" x14ac:dyDescent="0.25">
      <c r="A29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8" s="18" t="str">
        <f>TEXT(preçodiario[[#This Row],[data]],"MMM")</f>
        <v>out</v>
      </c>
      <c r="C298" s="18" t="str">
        <f>TEXT(preçodiario[[#This Row],[data]],"ddd")</f>
        <v>sáb</v>
      </c>
      <c r="D298" s="96">
        <f>WEEKNUM(preçodiario[[#This Row],[data]],13)</f>
        <v>43</v>
      </c>
      <c r="E298" s="37">
        <v>46319</v>
      </c>
      <c r="F29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Row],[data]])),((F297*G297)+SUMIFS(estoque[valor total],estoque[produto],preçodiario[[#Headers],[OVO BRANCO A]],estoque[data],preçodiario[[#This Row],[data]],estoque[fornecedor],"&lt;&gt;saída"))/(G297+(SUMIFS(estoque[quantidade],estoque[produto],preçodiario[[#Headers],[OVO BRANCO A]],estoque[fornecedor],"&lt;&gt;saída",estoque[data],preçodiario[[#This Row],[data]])))))</f>
        <v>15.278182701652089</v>
      </c>
      <c r="G298" s="22">
        <f>IF(preçodiario[[#This Row],[entrada A]]=0,G297-(SUMIFS(estoque[quantidade],estoque[fornecedor],"saída",estoque[produto],preçodiario[[#Headers],[OVO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Row],[data]]))+G297+preçodiario[[#This Row],[entrada A]])</f>
        <v>133</v>
      </c>
      <c r="H298" s="22">
        <f>SUMIFS(estoque[quantidade],estoque[fornecedor],"&lt;&gt;saída",estoque[produto],preçodiario[[#Headers],[OVO BRANCO A]],estoque[data],preçodiario[[#This Row],[data]])</f>
        <v>0</v>
      </c>
      <c r="I298" s="20">
        <f>SUMIFS(estoque[valor total],estoque[fornecedor],"&lt;&gt;saída",estoque[produto],preçodiario[[#Headers],[OVO BRANCO A]],estoque[data],preçodiario[[#This Row],[data]])</f>
        <v>0</v>
      </c>
      <c r="J298" s="20">
        <f>IFERROR(preçodiario[[#This Row],[estoque A]]*preçodiario[[#This Row],[OVO BRANCO A]],0)</f>
        <v>2031.9982993197277</v>
      </c>
      <c r="K29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Row],[data]])),((K297*L297)+SUMIFS(estoque[valor total],estoque[produto],preçodiario[[#Headers],[OVO BRANCO B]],estoque[data],preçodiario[[#This Row],[data]],estoque[fornecedor],"&lt;&gt;saída"))/(L297+(SUMIFS(estoque[quantidade],estoque[produto],preçodiario[[#Headers],[OVO BRANCO B]],estoque[fornecedor],"&lt;&gt;saída",estoque[data],preçodiario[[#This Row],[data]])))))</f>
        <v>14.584252837326604</v>
      </c>
      <c r="L298" s="22">
        <f>IF(preçodiario[[#This Row],[entrada B]]=0,L297-(SUMIFS(estoque[quantidade],estoque[fornecedor],"saída",estoque[produto],preçodiario[[#Headers],[OVO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Row],[data]]))+L297+preçodiario[[#This Row],[entrada B]])</f>
        <v>16</v>
      </c>
      <c r="M298" s="22">
        <f>SUMIFS(estoque[quantidade],estoque[fornecedor],"&lt;&gt;saída",estoque[produto],preçodiario[[#Headers],[OVO BRANCO B]],estoque[data],preçodiario[[#This Row],[data]])</f>
        <v>0</v>
      </c>
      <c r="N298" s="20">
        <f>SUMIFS(estoque[valor total],estoque[fornecedor],"&lt;&gt;saída",estoque[produto],preçodiario[[#Headers],[OVO BRANCO B]],estoque[data],preçodiario[[#This Row],[data]])</f>
        <v>0</v>
      </c>
      <c r="O298" s="20">
        <f>IFERROR(preçodiario[[#This Row],[OVO BRANCO B]]*preçodiario[[#This Row],[estoque B]],0)</f>
        <v>233.34804539722566</v>
      </c>
      <c r="P29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Row],[data]])),((P297*Q297)+SUMIFS(estoque[valor total],estoque[produto],preçodiario[[#Headers],[OVO BRANCO C]],estoque[data],preçodiario[[#This Row],[data]],estoque[fornecedor],"&lt;&gt;saída"))/(Q297+(SUMIFS(estoque[quantidade],estoque[produto],preçodiario[[#Headers],[OVO BRANCO C]],estoque[fornecedor],"&lt;&gt;saída",estoque[data],preçodiario[[#This Row],[data]])))))</f>
        <v>12.5</v>
      </c>
      <c r="Q298" s="22">
        <f>IF(preçodiario[[#This Row],[entrada C]]=0,Q297-(SUMIFS(estoque[quantidade],estoque[fornecedor],"saída",estoque[produto],preçodiario[[#Headers],[OVO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Row],[data]]))+Q297+preçodiario[[#This Row],[entrada C]])</f>
        <v>60</v>
      </c>
      <c r="R298" s="22">
        <f>SUMIFS(estoque[quantidade],estoque[fornecedor],"&lt;&gt;saída",estoque[produto],preçodiario[[#Headers],[OVO BRANCO C]],estoque[data],preçodiario[[#This Row],[data]])</f>
        <v>0</v>
      </c>
      <c r="S298" s="20">
        <f>SUMIFS(estoque[valor total],estoque[fornecedor],"&lt;&gt;saída",estoque[produto],preçodiario[[#Headers],[OVO BRANCO C]],estoque[data],preçodiario[[#This Row],[data]])</f>
        <v>0</v>
      </c>
      <c r="T298" s="20">
        <f>IFERROR(preçodiario[[#This Row],[OVO BRANCO C]]*preçodiario[[#This Row],[estoque C]],0)</f>
        <v>750</v>
      </c>
      <c r="U29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Row],[data]])),((U297*V297)+SUMIFS(estoque[valor total],estoque[produto],preçodiario[[#Headers],[OVO BRANCO EXTRA]],estoque[data],preçodiario[[#This Row],[data]],estoque[fornecedor],"&lt;&gt;saída"))/(V297+(SUMIFS(estoque[quantidade],estoque[produto],preçodiario[[#Headers],[OVO BRANCO EXTRA]],estoque[fornecedor],"&lt;&gt;saída",estoque[data],preçodiario[[#This Row],[data]])))))</f>
        <v>15.725438400674655</v>
      </c>
      <c r="V298" s="22">
        <f>IF(preçodiario[[#This Row],[entrada E]]=0,V297-(SUMIFS(estoque[quantidade],estoque[fornecedor],"saída",estoque[produto],preçodiario[[#Headers],[OVO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Row],[data]]))+V297+preçodiario[[#This Row],[entrada E]])</f>
        <v>46</v>
      </c>
      <c r="W298" s="22">
        <f>SUMIFS(estoque[quantidade],estoque[fornecedor],"&lt;&gt;saída",estoque[produto],preçodiario[[#Headers],[OVO BRANCO EXTRA]],estoque[data],preçodiario[[#This Row],[data]])</f>
        <v>0</v>
      </c>
      <c r="X298" s="20">
        <f>SUMIFS(estoque[valor total],estoque[fornecedor],"&lt;&gt;saída",estoque[produto],preçodiario[[#Headers],[OVO BRANCO EXTRA]],estoque[data],preçodiario[[#This Row],[data]])</f>
        <v>0</v>
      </c>
      <c r="Y298" s="20">
        <f>IFERROR(preçodiario[[#This Row],[estoque E]]*preçodiario[[#This Row],[OVO BRANCO EXTRA]],0)</f>
        <v>723.37016643103414</v>
      </c>
      <c r="Z29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Row],[data]])),((Z297*AA297)+SUMIFS(estoque[valor total],estoque[produto],preçodiario[[#Headers],[OVO BRANCO JUMBO]],estoque[data],preçodiario[[#This Row],[data]],estoque[fornecedor],"&lt;&gt;saída"))/(AA297+(SUMIFS(estoque[quantidade],estoque[produto],preçodiario[[#Headers],[OVO BRANCO JUMBO]],estoque[fornecedor],"&lt;&gt;saída",estoque[data],preçodiario[[#This Row],[data]])))))</f>
        <v>16.50550595238095</v>
      </c>
      <c r="AA298" s="22">
        <f>IF(preçodiario[[#This Row],[entrada J]]=0,AA297-(SUMIFS(estoque[quantidade],estoque[fornecedor],"saída",estoque[produto],preçodiario[[#Headers],[OVO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Row],[data]]))+AA297+preçodiario[[#This Row],[entrada J]])</f>
        <v>75</v>
      </c>
      <c r="AB298" s="22">
        <f>SUMIFS(estoque[quantidade],estoque[fornecedor],"&lt;&gt;saída",estoque[produto],preçodiario[[#Headers],[OVO BRANCO JUMBO]],estoque[data],preçodiario[[#This Row],[data]])</f>
        <v>0</v>
      </c>
      <c r="AC298" s="20">
        <f>SUMIFS(estoque[valor total],estoque[fornecedor],"&lt;&gt;saída",estoque[produto],preçodiario[[#Headers],[OVO BRANCO JUMBO]],estoque[data],preçodiario[[#This Row],[data]])</f>
        <v>0</v>
      </c>
      <c r="AD298" s="20">
        <f>IFERROR(preçodiario[[#This Row],[OVO BRANCO JUMBO]]*preçodiario[[#This Row],[estoque J]],0)</f>
        <v>1237.9129464285713</v>
      </c>
      <c r="AE29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Row],[data]])),((AE297*AF297)+SUMIFS(estoque[valor total],estoque[produto],preçodiario[[#Headers],[OVO VERMELHO A]],estoque[data],preçodiario[[#This Row],[data]],estoque[fornecedor],"&lt;&gt;saída"))/(AF297+(SUMIFS(estoque[quantidade],estoque[produto],preçodiario[[#Headers],[OVO VERMELHO A]],estoque[fornecedor],"&lt;&gt;saída",estoque[data],preçodiario[[#This Row],[data]])))))</f>
        <v/>
      </c>
      <c r="AF298" s="22">
        <f>IF(preçodiario[[#This Row],[entrada AV]]=0,AF297-(SUMIFS(estoque[quantidade],estoque[fornecedor],"saída",estoque[produto],preçodiario[[#Headers],[OVO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Row],[data]]))+AF297+preçodiario[[#This Row],[entrada AV]])</f>
        <v>0</v>
      </c>
      <c r="AG298" s="22">
        <f>SUMIFS(estoque[quantidade],estoque[fornecedor],"&lt;&gt;saída",estoque[produto],preçodiario[[#Headers],[OVO VERMELHO A]],estoque[data],preçodiario[[#This Row],[data]])</f>
        <v>0</v>
      </c>
      <c r="AH298" s="20">
        <f>SUMIFS(estoque[valor total],estoque[fornecedor],"&lt;&gt;saída",estoque[produto],preçodiario[[#Headers],[OVO VERMELHO A]],estoque[data],preçodiario[[#This Row],[data]])</f>
        <v>0</v>
      </c>
      <c r="AI298" s="20">
        <f>IFERROR(preçodiario[[#This Row],[OVO VERMELHO A]]*preçodiario[[#This Row],[estoque AV]],0)</f>
        <v>0</v>
      </c>
      <c r="AJ29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Row],[data]])),((AJ297*AK297)+SUMIFS(estoque[valor total],estoque[produto],preçodiario[[#Headers],[OVO VERMELHO B]],estoque[data],preçodiario[[#This Row],[data]],estoque[fornecedor],"&lt;&gt;saída"))/(AK297+(SUMIFS(estoque[quantidade],estoque[produto],preçodiario[[#Headers],[OVO VERMELHO B]],estoque[fornecedor],"&lt;&gt;saída",estoque[data],preçodiario[[#This Row],[data]])))))</f>
        <v/>
      </c>
      <c r="AK298" s="22">
        <f>IF(preçodiario[[#This Row],[entrada BV]]=0,AK297-(SUMIFS(estoque[quantidade],estoque[fornecedor],"saída",estoque[produto],preçodiario[[#Headers],[OVO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Row],[data]]))+AK297+preçodiario[[#This Row],[entrada BV]])</f>
        <v>0</v>
      </c>
      <c r="AL298" s="22">
        <f>SUMIFS(estoque[quantidade],estoque[fornecedor],"&lt;&gt;saída",estoque[produto],preçodiario[[#Headers],[OVO VERMELHO B]],estoque[data],preçodiario[[#This Row],[data]])</f>
        <v>0</v>
      </c>
      <c r="AM298" s="20">
        <f>SUMIFS(estoque[valor total],estoque[fornecedor],"&lt;&gt;saída",estoque[produto],preçodiario[[#Headers],[OVO VERMELHO B]],estoque[data],preçodiario[[#This Row],[data]])</f>
        <v>0</v>
      </c>
      <c r="AN298" s="20">
        <f>IFERROR(preçodiario[[#This Row],[OVO VERMELHO B]]*preçodiario[[#This Row],[estoque BV]],0)</f>
        <v>0</v>
      </c>
      <c r="AO29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Row],[data]])),((AO297*AP297)+SUMIFS(estoque[valor total],estoque[produto],preçodiario[[#Headers],[OVO VERMELHO C]],estoque[data],preçodiario[[#This Row],[data]],estoque[fornecedor],"&lt;&gt;saída"))/(AP297+(SUMIFS(estoque[quantidade],estoque[produto],preçodiario[[#Headers],[OVO VERMELHO C]],estoque[fornecedor],"&lt;&gt;saída",estoque[data],preçodiario[[#This Row],[data]])))))</f>
        <v/>
      </c>
      <c r="AP298" s="22">
        <f>IF(preçodiario[[#This Row],[entrada CV]]=0,AP297-(SUMIFS(estoque[quantidade],estoque[fornecedor],"saída",estoque[produto],preçodiario[[#Headers],[OVO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Row],[data]]))+AP297+preçodiario[[#This Row],[entrada CV]])</f>
        <v>0</v>
      </c>
      <c r="AQ298" s="22">
        <f>SUMIFS(estoque[quantidade],estoque[fornecedor],"&lt;&gt;saída",estoque[produto],preçodiario[[#Headers],[OVO VERMELHO C]],estoque[data],preçodiario[[#This Row],[data]])</f>
        <v>0</v>
      </c>
      <c r="AR298" s="20">
        <f>SUMIFS(estoque[valor total],estoque[fornecedor],"&lt;&gt;saída",estoque[produto],preçodiario[[#Headers],[OVO VERMELHO C]],estoque[data],preçodiario[[#This Row],[data]])</f>
        <v>0</v>
      </c>
      <c r="AS298" s="20">
        <f>IFERROR(preçodiario[[#This Row],[OVO VERMELHO C]]*preçodiario[[#This Row],[estoque CV]],0)</f>
        <v>0</v>
      </c>
      <c r="AT29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Row],[data]])),((AT297*AU297)+SUMIFS(estoque[valor total],estoque[produto],preçodiario[[#Headers],[OVO VERMELHO EXTRA]],estoque[data],preçodiario[[#This Row],[data]],estoque[fornecedor],"&lt;&gt;saída"))/(AU297+(SUMIFS(estoque[quantidade],estoque[produto],preçodiario[[#Headers],[OVO VERMELHO EXTRA]],estoque[fornecedor],"&lt;&gt;saída",estoque[data],preçodiario[[#This Row],[data]])))))</f>
        <v/>
      </c>
      <c r="AU298" s="22">
        <f>IF(preçodiario[[#This Row],[entrada EV]]=0,AU297-(SUMIFS(estoque[quantidade],estoque[fornecedor],"saída",estoque[produto],preçodiario[[#Headers],[OVO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Row],[data]]))+AU297+preçodiario[[#This Row],[entrada EV]])</f>
        <v>0</v>
      </c>
      <c r="AV298" s="22">
        <f>SUMIFS(estoque[quantidade],estoque[fornecedor],"&lt;&gt;saída",estoque[produto],preçodiario[[#Headers],[OVO VERMELHO EXTRA]],estoque[data],preçodiario[[#This Row],[data]])</f>
        <v>0</v>
      </c>
      <c r="AW298" s="20">
        <f>SUMIFS(estoque[valor total],estoque[fornecedor],"&lt;&gt;saída",estoque[produto],preçodiario[[#Headers],[OVO VERMELHO EXTRA]],estoque[data],preçodiario[[#This Row],[data]])</f>
        <v>0</v>
      </c>
      <c r="AX298" s="20">
        <f>IFERROR(preçodiario[[#This Row],[OVO VERMELHO EXTRA]]*preçodiario[[#This Row],[estoque EV]],0)</f>
        <v>0</v>
      </c>
      <c r="AY29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Row],[data]])),((AY297*AZ297)+SUMIFS(estoque[valor total],estoque[produto],preçodiario[[#Headers],[OVO VERMELHO JUMBO]],estoque[data],preçodiario[[#This Row],[data]],estoque[fornecedor],"&lt;&gt;saída"))/(AZ297+(SUMIFS(estoque[quantidade],estoque[produto],preçodiario[[#Headers],[OVO VERMELHO JUMBO]],estoque[fornecedor],"&lt;&gt;saída",estoque[data],preçodiario[[#This Row],[data]])))))</f>
        <v/>
      </c>
      <c r="AZ298" s="22">
        <f>IF(preçodiario[[#This Row],[entrada JV]]=0,AZ297-(SUMIFS(estoque[quantidade],estoque[fornecedor],"saída",estoque[produto],preçodiario[[#Headers],[OVO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Row],[data]]))+AZ297+preçodiario[[#This Row],[entrada JV]])</f>
        <v>0</v>
      </c>
      <c r="BA298" s="22">
        <f>SUMIFS(estoque[quantidade],estoque[fornecedor],"&lt;&gt;saída",estoque[produto],preçodiario[[#Headers],[OVO VERMELHO JUMBO]],estoque[data],preçodiario[[#This Row],[data]])</f>
        <v>0</v>
      </c>
      <c r="BB298" s="20">
        <f>SUMIFS(estoque[valor total],estoque[fornecedor],"&lt;&gt;saída",estoque[produto],preçodiario[[#Headers],[OVO VERMELHO JUMBO]],estoque[data],preçodiario[[#This Row],[data]])</f>
        <v>0</v>
      </c>
      <c r="BC298" s="20">
        <f>IFERROR(preçodiario[[#This Row],[OVO VERMELHO JUMBO]]*preçodiario[[#This Row],[estoque JV]],0)</f>
        <v>0</v>
      </c>
      <c r="BD298" t="str">
        <f>TEXT(vendaAno[[#This Row],[data]],"mmm")</f>
        <v>out</v>
      </c>
      <c r="BE298" t="str">
        <f>TEXT(vendaAno[[#This Row],[data]],"ddd")</f>
        <v>sáb</v>
      </c>
      <c r="BF298" s="82">
        <f>WEEKNUM(vendaAno[[#This Row],[data]],13)</f>
        <v>43</v>
      </c>
      <c r="BG298" s="27">
        <f>preçodiario[[#This Row],[data]]</f>
        <v>46319</v>
      </c>
      <c r="BH29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Row],[data]]))/12+BJ297,"")</f>
        <v/>
      </c>
      <c r="BK298" s="79" t="str">
        <f ca="1">IF(TODAY()&gt;=vendaAno[[#This Row],[data]],IF(SUMIFS(estoque[quantidade],estoque[fornecedor],"saída",estoque[data],vendaAno[[#This Row],[data]])/12=0,AVERAGE(BK295:BK297),SUMIFS(estoque[quantidade],estoque[fornecedor],"saída",estoque[data],vendaAno[[#This Row],[data]])/12),"")</f>
        <v/>
      </c>
      <c r="BL298" s="8" t="str">
        <f ca="1">IF(vendaAno[[#This Row],[data]]&lt;=TODAY(),IF(SUMIFS(estoque[lucro],estoque[fornecedor],"saída",estoque[data],vendaAno[[#This Row],[data]])=0,AVERAGE(BL295:BL297),SUMIFS(estoque[lucro],estoque[fornecedor],"saída",estoque[data],vendaAno[[#This Row],[data]])),"")</f>
        <v/>
      </c>
      <c r="BM298" s="10" t="str">
        <f ca="1">IFERROR(vendaAno[[#This Row],[lucro]]/vendaAno[[#This Row],[valor de venda]],"")</f>
        <v/>
      </c>
      <c r="BN29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8" s="8" t="str">
        <f ca="1">IF(TODAY()&gt;=vendaAno[[#This Row],[data]],IF(vendaAno[[#This Row],[N°]]=BF297,vendaAno[[#This Row],[lucro]]-173.33+BO297,vendaAno[[#This Row],[lucro]]-150),"")</f>
        <v/>
      </c>
      <c r="BP298" s="81" t="str">
        <f ca="1">IF(TODAY()&gt;=vendaAno[[#This Row],[data]],SUM(BK292:BK298)*12,"")</f>
        <v/>
      </c>
      <c r="BQ298" s="7" t="str">
        <f ca="1">IFERROR(vendaAno[[#This Row],[lucro]]/(vendaAno[[#This Row],[venda]]*12),"")</f>
        <v/>
      </c>
    </row>
    <row r="299" spans="1:69" x14ac:dyDescent="0.25">
      <c r="A29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299" s="18" t="str">
        <f>TEXT(preçodiario[[#This Row],[data]],"MMM")</f>
        <v>out</v>
      </c>
      <c r="C299" s="18" t="str">
        <f>TEXT(preçodiario[[#This Row],[data]],"ddd")</f>
        <v>dom</v>
      </c>
      <c r="D299" s="96">
        <f>WEEKNUM(preçodiario[[#This Row],[data]],13)</f>
        <v>43</v>
      </c>
      <c r="E299" s="37">
        <v>46320</v>
      </c>
      <c r="F29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Row],[data]])),((F298*G298)+SUMIFS(estoque[valor total],estoque[produto],preçodiario[[#Headers],[OVO BRANCO A]],estoque[data],preçodiario[[#This Row],[data]],estoque[fornecedor],"&lt;&gt;saída"))/(G298+(SUMIFS(estoque[quantidade],estoque[produto],preçodiario[[#Headers],[OVO BRANCO A]],estoque[fornecedor],"&lt;&gt;saída",estoque[data],preçodiario[[#This Row],[data]])))))</f>
        <v>15.278182701652089</v>
      </c>
      <c r="G299" s="22">
        <f>IF(preçodiario[[#This Row],[entrada A]]=0,G298-(SUMIFS(estoque[quantidade],estoque[fornecedor],"saída",estoque[produto],preçodiario[[#Headers],[OVO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Row],[data]]))+G298+preçodiario[[#This Row],[entrada A]])</f>
        <v>133</v>
      </c>
      <c r="H299" s="22">
        <f>SUMIFS(estoque[quantidade],estoque[fornecedor],"&lt;&gt;saída",estoque[produto],preçodiario[[#Headers],[OVO BRANCO A]],estoque[data],preçodiario[[#This Row],[data]])</f>
        <v>0</v>
      </c>
      <c r="I299" s="20">
        <f>SUMIFS(estoque[valor total],estoque[fornecedor],"&lt;&gt;saída",estoque[produto],preçodiario[[#Headers],[OVO BRANCO A]],estoque[data],preçodiario[[#This Row],[data]])</f>
        <v>0</v>
      </c>
      <c r="J299" s="20">
        <f>IFERROR(preçodiario[[#This Row],[estoque A]]*preçodiario[[#This Row],[OVO BRANCO A]],0)</f>
        <v>2031.9982993197277</v>
      </c>
      <c r="K29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Row],[data]])),((K298*L298)+SUMIFS(estoque[valor total],estoque[produto],preçodiario[[#Headers],[OVO BRANCO B]],estoque[data],preçodiario[[#This Row],[data]],estoque[fornecedor],"&lt;&gt;saída"))/(L298+(SUMIFS(estoque[quantidade],estoque[produto],preçodiario[[#Headers],[OVO BRANCO B]],estoque[fornecedor],"&lt;&gt;saída",estoque[data],preçodiario[[#This Row],[data]])))))</f>
        <v>14.584252837326604</v>
      </c>
      <c r="L299" s="22">
        <f>IF(preçodiario[[#This Row],[entrada B]]=0,L298-(SUMIFS(estoque[quantidade],estoque[fornecedor],"saída",estoque[produto],preçodiario[[#Headers],[OVO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Row],[data]]))+L298+preçodiario[[#This Row],[entrada B]])</f>
        <v>16</v>
      </c>
      <c r="M299" s="22">
        <f>SUMIFS(estoque[quantidade],estoque[fornecedor],"&lt;&gt;saída",estoque[produto],preçodiario[[#Headers],[OVO BRANCO B]],estoque[data],preçodiario[[#This Row],[data]])</f>
        <v>0</v>
      </c>
      <c r="N299" s="20">
        <f>SUMIFS(estoque[valor total],estoque[fornecedor],"&lt;&gt;saída",estoque[produto],preçodiario[[#Headers],[OVO BRANCO B]],estoque[data],preçodiario[[#This Row],[data]])</f>
        <v>0</v>
      </c>
      <c r="O299" s="20">
        <f>IFERROR(preçodiario[[#This Row],[OVO BRANCO B]]*preçodiario[[#This Row],[estoque B]],0)</f>
        <v>233.34804539722566</v>
      </c>
      <c r="P29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Row],[data]])),((P298*Q298)+SUMIFS(estoque[valor total],estoque[produto],preçodiario[[#Headers],[OVO BRANCO C]],estoque[data],preçodiario[[#This Row],[data]],estoque[fornecedor],"&lt;&gt;saída"))/(Q298+(SUMIFS(estoque[quantidade],estoque[produto],preçodiario[[#Headers],[OVO BRANCO C]],estoque[fornecedor],"&lt;&gt;saída",estoque[data],preçodiario[[#This Row],[data]])))))</f>
        <v>12.5</v>
      </c>
      <c r="Q299" s="22">
        <f>IF(preçodiario[[#This Row],[entrada C]]=0,Q298-(SUMIFS(estoque[quantidade],estoque[fornecedor],"saída",estoque[produto],preçodiario[[#Headers],[OVO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Row],[data]]))+Q298+preçodiario[[#This Row],[entrada C]])</f>
        <v>60</v>
      </c>
      <c r="R299" s="22">
        <f>SUMIFS(estoque[quantidade],estoque[fornecedor],"&lt;&gt;saída",estoque[produto],preçodiario[[#Headers],[OVO BRANCO C]],estoque[data],preçodiario[[#This Row],[data]])</f>
        <v>0</v>
      </c>
      <c r="S299" s="20">
        <f>SUMIFS(estoque[valor total],estoque[fornecedor],"&lt;&gt;saída",estoque[produto],preçodiario[[#Headers],[OVO BRANCO C]],estoque[data],preçodiario[[#This Row],[data]])</f>
        <v>0</v>
      </c>
      <c r="T299" s="20">
        <f>IFERROR(preçodiario[[#This Row],[OVO BRANCO C]]*preçodiario[[#This Row],[estoque C]],0)</f>
        <v>750</v>
      </c>
      <c r="U29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Row],[data]])),((U298*V298)+SUMIFS(estoque[valor total],estoque[produto],preçodiario[[#Headers],[OVO BRANCO EXTRA]],estoque[data],preçodiario[[#This Row],[data]],estoque[fornecedor],"&lt;&gt;saída"))/(V298+(SUMIFS(estoque[quantidade],estoque[produto],preçodiario[[#Headers],[OVO BRANCO EXTRA]],estoque[fornecedor],"&lt;&gt;saída",estoque[data],preçodiario[[#This Row],[data]])))))</f>
        <v>15.725438400674655</v>
      </c>
      <c r="V299" s="22">
        <f>IF(preçodiario[[#This Row],[entrada E]]=0,V298-(SUMIFS(estoque[quantidade],estoque[fornecedor],"saída",estoque[produto],preçodiario[[#Headers],[OVO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Row],[data]]))+V298+preçodiario[[#This Row],[entrada E]])</f>
        <v>46</v>
      </c>
      <c r="W299" s="22">
        <f>SUMIFS(estoque[quantidade],estoque[fornecedor],"&lt;&gt;saída",estoque[produto],preçodiario[[#Headers],[OVO BRANCO EXTRA]],estoque[data],preçodiario[[#This Row],[data]])</f>
        <v>0</v>
      </c>
      <c r="X299" s="20">
        <f>SUMIFS(estoque[valor total],estoque[fornecedor],"&lt;&gt;saída",estoque[produto],preçodiario[[#Headers],[OVO BRANCO EXTRA]],estoque[data],preçodiario[[#This Row],[data]])</f>
        <v>0</v>
      </c>
      <c r="Y299" s="20">
        <f>IFERROR(preçodiario[[#This Row],[estoque E]]*preçodiario[[#This Row],[OVO BRANCO EXTRA]],0)</f>
        <v>723.37016643103414</v>
      </c>
      <c r="Z29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Row],[data]])),((Z298*AA298)+SUMIFS(estoque[valor total],estoque[produto],preçodiario[[#Headers],[OVO BRANCO JUMBO]],estoque[data],preçodiario[[#This Row],[data]],estoque[fornecedor],"&lt;&gt;saída"))/(AA298+(SUMIFS(estoque[quantidade],estoque[produto],preçodiario[[#Headers],[OVO BRANCO JUMBO]],estoque[fornecedor],"&lt;&gt;saída",estoque[data],preçodiario[[#This Row],[data]])))))</f>
        <v>16.50550595238095</v>
      </c>
      <c r="AA299" s="22">
        <f>IF(preçodiario[[#This Row],[entrada J]]=0,AA298-(SUMIFS(estoque[quantidade],estoque[fornecedor],"saída",estoque[produto],preçodiario[[#Headers],[OVO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Row],[data]]))+AA298+preçodiario[[#This Row],[entrada J]])</f>
        <v>75</v>
      </c>
      <c r="AB299" s="22">
        <f>SUMIFS(estoque[quantidade],estoque[fornecedor],"&lt;&gt;saída",estoque[produto],preçodiario[[#Headers],[OVO BRANCO JUMBO]],estoque[data],preçodiario[[#This Row],[data]])</f>
        <v>0</v>
      </c>
      <c r="AC299" s="20">
        <f>SUMIFS(estoque[valor total],estoque[fornecedor],"&lt;&gt;saída",estoque[produto],preçodiario[[#Headers],[OVO BRANCO JUMBO]],estoque[data],preçodiario[[#This Row],[data]])</f>
        <v>0</v>
      </c>
      <c r="AD299" s="20">
        <f>IFERROR(preçodiario[[#This Row],[OVO BRANCO JUMBO]]*preçodiario[[#This Row],[estoque J]],0)</f>
        <v>1237.9129464285713</v>
      </c>
      <c r="AE29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Row],[data]])),((AE298*AF298)+SUMIFS(estoque[valor total],estoque[produto],preçodiario[[#Headers],[OVO VERMELHO A]],estoque[data],preçodiario[[#This Row],[data]],estoque[fornecedor],"&lt;&gt;saída"))/(AF298+(SUMIFS(estoque[quantidade],estoque[produto],preçodiario[[#Headers],[OVO VERMELHO A]],estoque[fornecedor],"&lt;&gt;saída",estoque[data],preçodiario[[#This Row],[data]])))))</f>
        <v/>
      </c>
      <c r="AF299" s="22">
        <f>IF(preçodiario[[#This Row],[entrada AV]]=0,AF298-(SUMIFS(estoque[quantidade],estoque[fornecedor],"saída",estoque[produto],preçodiario[[#Headers],[OVO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Row],[data]]))+AF298+preçodiario[[#This Row],[entrada AV]])</f>
        <v>0</v>
      </c>
      <c r="AG299" s="22">
        <f>SUMIFS(estoque[quantidade],estoque[fornecedor],"&lt;&gt;saída",estoque[produto],preçodiario[[#Headers],[OVO VERMELHO A]],estoque[data],preçodiario[[#This Row],[data]])</f>
        <v>0</v>
      </c>
      <c r="AH299" s="20">
        <f>SUMIFS(estoque[valor total],estoque[fornecedor],"&lt;&gt;saída",estoque[produto],preçodiario[[#Headers],[OVO VERMELHO A]],estoque[data],preçodiario[[#This Row],[data]])</f>
        <v>0</v>
      </c>
      <c r="AI299" s="20">
        <f>IFERROR(preçodiario[[#This Row],[OVO VERMELHO A]]*preçodiario[[#This Row],[estoque AV]],0)</f>
        <v>0</v>
      </c>
      <c r="AJ29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Row],[data]])),((AJ298*AK298)+SUMIFS(estoque[valor total],estoque[produto],preçodiario[[#Headers],[OVO VERMELHO B]],estoque[data],preçodiario[[#This Row],[data]],estoque[fornecedor],"&lt;&gt;saída"))/(AK298+(SUMIFS(estoque[quantidade],estoque[produto],preçodiario[[#Headers],[OVO VERMELHO B]],estoque[fornecedor],"&lt;&gt;saída",estoque[data],preçodiario[[#This Row],[data]])))))</f>
        <v/>
      </c>
      <c r="AK299" s="22">
        <f>IF(preçodiario[[#This Row],[entrada BV]]=0,AK298-(SUMIFS(estoque[quantidade],estoque[fornecedor],"saída",estoque[produto],preçodiario[[#Headers],[OVO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Row],[data]]))+AK298+preçodiario[[#This Row],[entrada BV]])</f>
        <v>0</v>
      </c>
      <c r="AL299" s="22">
        <f>SUMIFS(estoque[quantidade],estoque[fornecedor],"&lt;&gt;saída",estoque[produto],preçodiario[[#Headers],[OVO VERMELHO B]],estoque[data],preçodiario[[#This Row],[data]])</f>
        <v>0</v>
      </c>
      <c r="AM299" s="20">
        <f>SUMIFS(estoque[valor total],estoque[fornecedor],"&lt;&gt;saída",estoque[produto],preçodiario[[#Headers],[OVO VERMELHO B]],estoque[data],preçodiario[[#This Row],[data]])</f>
        <v>0</v>
      </c>
      <c r="AN299" s="20">
        <f>IFERROR(preçodiario[[#This Row],[OVO VERMELHO B]]*preçodiario[[#This Row],[estoque BV]],0)</f>
        <v>0</v>
      </c>
      <c r="AO29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Row],[data]])),((AO298*AP298)+SUMIFS(estoque[valor total],estoque[produto],preçodiario[[#Headers],[OVO VERMELHO C]],estoque[data],preçodiario[[#This Row],[data]],estoque[fornecedor],"&lt;&gt;saída"))/(AP298+(SUMIFS(estoque[quantidade],estoque[produto],preçodiario[[#Headers],[OVO VERMELHO C]],estoque[fornecedor],"&lt;&gt;saída",estoque[data],preçodiario[[#This Row],[data]])))))</f>
        <v/>
      </c>
      <c r="AP299" s="22">
        <f>IF(preçodiario[[#This Row],[entrada CV]]=0,AP298-(SUMIFS(estoque[quantidade],estoque[fornecedor],"saída",estoque[produto],preçodiario[[#Headers],[OVO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Row],[data]]))+AP298+preçodiario[[#This Row],[entrada CV]])</f>
        <v>0</v>
      </c>
      <c r="AQ299" s="22">
        <f>SUMIFS(estoque[quantidade],estoque[fornecedor],"&lt;&gt;saída",estoque[produto],preçodiario[[#Headers],[OVO VERMELHO C]],estoque[data],preçodiario[[#This Row],[data]])</f>
        <v>0</v>
      </c>
      <c r="AR299" s="20">
        <f>SUMIFS(estoque[valor total],estoque[fornecedor],"&lt;&gt;saída",estoque[produto],preçodiario[[#Headers],[OVO VERMELHO C]],estoque[data],preçodiario[[#This Row],[data]])</f>
        <v>0</v>
      </c>
      <c r="AS299" s="20">
        <f>IFERROR(preçodiario[[#This Row],[OVO VERMELHO C]]*preçodiario[[#This Row],[estoque CV]],0)</f>
        <v>0</v>
      </c>
      <c r="AT29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Row],[data]])),((AT298*AU298)+SUMIFS(estoque[valor total],estoque[produto],preçodiario[[#Headers],[OVO VERMELHO EXTRA]],estoque[data],preçodiario[[#This Row],[data]],estoque[fornecedor],"&lt;&gt;saída"))/(AU298+(SUMIFS(estoque[quantidade],estoque[produto],preçodiario[[#Headers],[OVO VERMELHO EXTRA]],estoque[fornecedor],"&lt;&gt;saída",estoque[data],preçodiario[[#This Row],[data]])))))</f>
        <v/>
      </c>
      <c r="AU299" s="22">
        <f>IF(preçodiario[[#This Row],[entrada EV]]=0,AU298-(SUMIFS(estoque[quantidade],estoque[fornecedor],"saída",estoque[produto],preçodiario[[#Headers],[OVO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Row],[data]]))+AU298+preçodiario[[#This Row],[entrada EV]])</f>
        <v>0</v>
      </c>
      <c r="AV299" s="22">
        <f>SUMIFS(estoque[quantidade],estoque[fornecedor],"&lt;&gt;saída",estoque[produto],preçodiario[[#Headers],[OVO VERMELHO EXTRA]],estoque[data],preçodiario[[#This Row],[data]])</f>
        <v>0</v>
      </c>
      <c r="AW299" s="20">
        <f>SUMIFS(estoque[valor total],estoque[fornecedor],"&lt;&gt;saída",estoque[produto],preçodiario[[#Headers],[OVO VERMELHO EXTRA]],estoque[data],preçodiario[[#This Row],[data]])</f>
        <v>0</v>
      </c>
      <c r="AX299" s="20">
        <f>IFERROR(preçodiario[[#This Row],[OVO VERMELHO EXTRA]]*preçodiario[[#This Row],[estoque EV]],0)</f>
        <v>0</v>
      </c>
      <c r="AY29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Row],[data]])),((AY298*AZ298)+SUMIFS(estoque[valor total],estoque[produto],preçodiario[[#Headers],[OVO VERMELHO JUMBO]],estoque[data],preçodiario[[#This Row],[data]],estoque[fornecedor],"&lt;&gt;saída"))/(AZ298+(SUMIFS(estoque[quantidade],estoque[produto],preçodiario[[#Headers],[OVO VERMELHO JUMBO]],estoque[fornecedor],"&lt;&gt;saída",estoque[data],preçodiario[[#This Row],[data]])))))</f>
        <v/>
      </c>
      <c r="AZ299" s="22">
        <f>IF(preçodiario[[#This Row],[entrada JV]]=0,AZ298-(SUMIFS(estoque[quantidade],estoque[fornecedor],"saída",estoque[produto],preçodiario[[#Headers],[OVO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Row],[data]]))+AZ298+preçodiario[[#This Row],[entrada JV]])</f>
        <v>0</v>
      </c>
      <c r="BA299" s="22">
        <f>SUMIFS(estoque[quantidade],estoque[fornecedor],"&lt;&gt;saída",estoque[produto],preçodiario[[#Headers],[OVO VERMELHO JUMBO]],estoque[data],preçodiario[[#This Row],[data]])</f>
        <v>0</v>
      </c>
      <c r="BB299" s="20">
        <f>SUMIFS(estoque[valor total],estoque[fornecedor],"&lt;&gt;saída",estoque[produto],preçodiario[[#Headers],[OVO VERMELHO JUMBO]],estoque[data],preçodiario[[#This Row],[data]])</f>
        <v>0</v>
      </c>
      <c r="BC299" s="20">
        <f>IFERROR(preçodiario[[#This Row],[OVO VERMELHO JUMBO]]*preçodiario[[#This Row],[estoque JV]],0)</f>
        <v>0</v>
      </c>
      <c r="BD299" t="str">
        <f>TEXT(vendaAno[[#This Row],[data]],"mmm")</f>
        <v>out</v>
      </c>
      <c r="BE299" t="str">
        <f>TEXT(vendaAno[[#This Row],[data]],"ddd")</f>
        <v>dom</v>
      </c>
      <c r="BF299" s="82">
        <f>WEEKNUM(vendaAno[[#This Row],[data]],13)</f>
        <v>43</v>
      </c>
      <c r="BG299" s="27">
        <f>preçodiario[[#This Row],[data]]</f>
        <v>46320</v>
      </c>
      <c r="BH29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29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29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Row],[data]]))/12+BJ298,"")</f>
        <v/>
      </c>
      <c r="BK299" s="79" t="str">
        <f ca="1">IF(TODAY()&gt;=vendaAno[[#This Row],[data]],IF(SUMIFS(estoque[quantidade],estoque[fornecedor],"saída",estoque[data],vendaAno[[#This Row],[data]])/12=0,AVERAGE(BK296:BK298),SUMIFS(estoque[quantidade],estoque[fornecedor],"saída",estoque[data],vendaAno[[#This Row],[data]])/12),"")</f>
        <v/>
      </c>
      <c r="BL299" s="8" t="str">
        <f ca="1">IF(vendaAno[[#This Row],[data]]&lt;=TODAY(),IF(SUMIFS(estoque[lucro],estoque[fornecedor],"saída",estoque[data],vendaAno[[#This Row],[data]])=0,AVERAGE(BL296:BL298),SUMIFS(estoque[lucro],estoque[fornecedor],"saída",estoque[data],vendaAno[[#This Row],[data]])),"")</f>
        <v/>
      </c>
      <c r="BM299" s="10" t="str">
        <f ca="1">IFERROR(vendaAno[[#This Row],[lucro]]/vendaAno[[#This Row],[valor de venda]],"")</f>
        <v/>
      </c>
      <c r="BN29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299" s="8" t="str">
        <f ca="1">IF(TODAY()&gt;=vendaAno[[#This Row],[data]],IF(vendaAno[[#This Row],[N°]]=BF298,vendaAno[[#This Row],[lucro]]-173.33+BO298,vendaAno[[#This Row],[lucro]]-150),"")</f>
        <v/>
      </c>
      <c r="BP299" s="81" t="str">
        <f ca="1">IF(TODAY()&gt;=vendaAno[[#This Row],[data]],SUM(BK293:BK299)*12,"")</f>
        <v/>
      </c>
      <c r="BQ299" s="7" t="str">
        <f ca="1">IFERROR(vendaAno[[#This Row],[lucro]]/(vendaAno[[#This Row],[venda]]*12),"")</f>
        <v/>
      </c>
    </row>
    <row r="300" spans="1:69" x14ac:dyDescent="0.25">
      <c r="A30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Row],[data]]-1))*A299+SUMIFS(estoque[valor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0" s="18" t="str">
        <f>TEXT(preçodiario[[#This Row],[data]],"MMM")</f>
        <v>out</v>
      </c>
      <c r="C300" s="18" t="str">
        <f>TEXT(preçodiario[[#This Row],[data]],"ddd")</f>
        <v>seg</v>
      </c>
      <c r="D300" s="96">
        <f>WEEKNUM(preçodiario[[#This Row],[data]],13)</f>
        <v>43</v>
      </c>
      <c r="E300" s="37">
        <v>46321</v>
      </c>
      <c r="F30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Row],[data]]))),IF(G299=0,SUMIFS(estoque[valor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Row],[data]])),((F299*G299)+SUMIFS(estoque[valor total],estoque[produto],preçodiario[[#Headers],[OVO BRANCO A]],estoque[data],preçodiario[[#This Row],[data]],estoque[fornecedor],"&lt;&gt;saída"))/(G299+(SUMIFS(estoque[quantidade],estoque[produto],preçodiario[[#Headers],[OVO BRANCO A]],estoque[fornecedor],"&lt;&gt;saída",estoque[data],preçodiario[[#This Row],[data]])))))</f>
        <v>15.278182701652089</v>
      </c>
      <c r="G300" s="22">
        <f>IF(preçodiario[[#This Row],[entrada A]]=0,G299-(SUMIFS(estoque[quantidade],estoque[fornecedor],"saída",estoque[produto],preçodiario[[#Headers],[OVO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Row],[data]]))+G299+preçodiario[[#This Row],[entrada A]])</f>
        <v>133</v>
      </c>
      <c r="H300" s="22">
        <f>SUMIFS(estoque[quantidade],estoque[fornecedor],"&lt;&gt;saída",estoque[produto],preçodiario[[#Headers],[OVO BRANCO A]],estoque[data],preçodiario[[#This Row],[data]])</f>
        <v>0</v>
      </c>
      <c r="I300" s="20">
        <f>SUMIFS(estoque[valor total],estoque[fornecedor],"&lt;&gt;saída",estoque[produto],preçodiario[[#Headers],[OVO BRANCO A]],estoque[data],preçodiario[[#This Row],[data]])</f>
        <v>0</v>
      </c>
      <c r="J300" s="20">
        <f>IFERROR(preçodiario[[#This Row],[estoque A]]*preçodiario[[#This Row],[OVO BRANCO A]],0)</f>
        <v>2031.9982993197277</v>
      </c>
      <c r="K30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Row],[data]]))),IF(L299=0,SUMIFS(estoque[valor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Row],[data]])),((K299*L299)+SUMIFS(estoque[valor total],estoque[produto],preçodiario[[#Headers],[OVO BRANCO B]],estoque[data],preçodiario[[#This Row],[data]],estoque[fornecedor],"&lt;&gt;saída"))/(L299+(SUMIFS(estoque[quantidade],estoque[produto],preçodiario[[#Headers],[OVO BRANCO B]],estoque[fornecedor],"&lt;&gt;saída",estoque[data],preçodiario[[#This Row],[data]])))))</f>
        <v>14.584252837326604</v>
      </c>
      <c r="L300" s="22">
        <f>IF(preçodiario[[#This Row],[entrada B]]=0,L299-(SUMIFS(estoque[quantidade],estoque[fornecedor],"saída",estoque[produto],preçodiario[[#Headers],[OVO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Row],[data]]))+L299+preçodiario[[#This Row],[entrada B]])</f>
        <v>16</v>
      </c>
      <c r="M300" s="22">
        <f>SUMIFS(estoque[quantidade],estoque[fornecedor],"&lt;&gt;saída",estoque[produto],preçodiario[[#Headers],[OVO BRANCO B]],estoque[data],preçodiario[[#This Row],[data]])</f>
        <v>0</v>
      </c>
      <c r="N300" s="20">
        <f>SUMIFS(estoque[valor total],estoque[fornecedor],"&lt;&gt;saída",estoque[produto],preçodiario[[#Headers],[OVO BRANCO B]],estoque[data],preçodiario[[#This Row],[data]])</f>
        <v>0</v>
      </c>
      <c r="O300" s="20">
        <f>IFERROR(preçodiario[[#This Row],[OVO BRANCO B]]*preçodiario[[#This Row],[estoque B]],0)</f>
        <v>233.34804539722566</v>
      </c>
      <c r="P30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Row],[data]]))),IF(Q299=0,SUMIFS(estoque[valor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Row],[data]])),((P299*Q299)+SUMIFS(estoque[valor total],estoque[produto],preçodiario[[#Headers],[OVO BRANCO C]],estoque[data],preçodiario[[#This Row],[data]],estoque[fornecedor],"&lt;&gt;saída"))/(Q299+(SUMIFS(estoque[quantidade],estoque[produto],preçodiario[[#Headers],[OVO BRANCO C]],estoque[fornecedor],"&lt;&gt;saída",estoque[data],preçodiario[[#This Row],[data]])))))</f>
        <v>12.5</v>
      </c>
      <c r="Q300" s="22">
        <f>IF(preçodiario[[#This Row],[entrada C]]=0,Q299-(SUMIFS(estoque[quantidade],estoque[fornecedor],"saída",estoque[produto],preçodiario[[#Headers],[OVO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Row],[data]]))+Q299+preçodiario[[#This Row],[entrada C]])</f>
        <v>60</v>
      </c>
      <c r="R300" s="22">
        <f>SUMIFS(estoque[quantidade],estoque[fornecedor],"&lt;&gt;saída",estoque[produto],preçodiario[[#Headers],[OVO BRANCO C]],estoque[data],preçodiario[[#This Row],[data]])</f>
        <v>0</v>
      </c>
      <c r="S300" s="20">
        <f>SUMIFS(estoque[valor total],estoque[fornecedor],"&lt;&gt;saída",estoque[produto],preçodiario[[#Headers],[OVO BRANCO C]],estoque[data],preçodiario[[#This Row],[data]])</f>
        <v>0</v>
      </c>
      <c r="T300" s="20">
        <f>IFERROR(preçodiario[[#This Row],[OVO BRANCO C]]*preçodiario[[#This Row],[estoque C]],0)</f>
        <v>750</v>
      </c>
      <c r="U30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Row],[data]]))),IF(V299=0,SUMIFS(estoque[valor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Row],[data]])),((U299*V299)+SUMIFS(estoque[valor total],estoque[produto],preçodiario[[#Headers],[OVO BRANCO EXTRA]],estoque[data],preçodiario[[#This Row],[data]],estoque[fornecedor],"&lt;&gt;saída"))/(V299+(SUMIFS(estoque[quantidade],estoque[produto],preçodiario[[#Headers],[OVO BRANCO EXTRA]],estoque[fornecedor],"&lt;&gt;saída",estoque[data],preçodiario[[#This Row],[data]])))))</f>
        <v>15.725438400674655</v>
      </c>
      <c r="V300" s="22">
        <f>IF(preçodiario[[#This Row],[entrada E]]=0,V299-(SUMIFS(estoque[quantidade],estoque[fornecedor],"saída",estoque[produto],preçodiario[[#Headers],[OVO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Row],[data]]))+V299+preçodiario[[#This Row],[entrada E]])</f>
        <v>46</v>
      </c>
      <c r="W300" s="22">
        <f>SUMIFS(estoque[quantidade],estoque[fornecedor],"&lt;&gt;saída",estoque[produto],preçodiario[[#Headers],[OVO BRANCO EXTRA]],estoque[data],preçodiario[[#This Row],[data]])</f>
        <v>0</v>
      </c>
      <c r="X300" s="20">
        <f>SUMIFS(estoque[valor total],estoque[fornecedor],"&lt;&gt;saída",estoque[produto],preçodiario[[#Headers],[OVO BRANCO EXTRA]],estoque[data],preçodiario[[#This Row],[data]])</f>
        <v>0</v>
      </c>
      <c r="Y300" s="20">
        <f>IFERROR(preçodiario[[#This Row],[estoque E]]*preçodiario[[#This Row],[OVO BRANCO EXTRA]],0)</f>
        <v>723.37016643103414</v>
      </c>
      <c r="Z30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Row],[data]]))),IF(AA299=0,SUMIFS(estoque[valor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Row],[data]])),((Z299*AA299)+SUMIFS(estoque[valor total],estoque[produto],preçodiario[[#Headers],[OVO BRANCO JUMBO]],estoque[data],preçodiario[[#This Row],[data]],estoque[fornecedor],"&lt;&gt;saída"))/(AA299+(SUMIFS(estoque[quantidade],estoque[produto],preçodiario[[#Headers],[OVO BRANCO JUMBO]],estoque[fornecedor],"&lt;&gt;saída",estoque[data],preçodiario[[#This Row],[data]])))))</f>
        <v>16.50550595238095</v>
      </c>
      <c r="AA300" s="22">
        <f>IF(preçodiario[[#This Row],[entrada J]]=0,AA299-(SUMIFS(estoque[quantidade],estoque[fornecedor],"saída",estoque[produto],preçodiario[[#Headers],[OVO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Row],[data]]))+AA299+preçodiario[[#This Row],[entrada J]])</f>
        <v>75</v>
      </c>
      <c r="AB300" s="22">
        <f>SUMIFS(estoque[quantidade],estoque[fornecedor],"&lt;&gt;saída",estoque[produto],preçodiario[[#Headers],[OVO BRANCO JUMBO]],estoque[data],preçodiario[[#This Row],[data]])</f>
        <v>0</v>
      </c>
      <c r="AC300" s="20">
        <f>SUMIFS(estoque[valor total],estoque[fornecedor],"&lt;&gt;saída",estoque[produto],preçodiario[[#Headers],[OVO BRANCO JUMBO]],estoque[data],preçodiario[[#This Row],[data]])</f>
        <v>0</v>
      </c>
      <c r="AD300" s="20">
        <f>IFERROR(preçodiario[[#This Row],[OVO BRANCO JUMBO]]*preçodiario[[#This Row],[estoque J]],0)</f>
        <v>1237.9129464285713</v>
      </c>
      <c r="AE30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Row],[data]]))),IF(AF299=0,SUMIFS(estoque[valor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Row],[data]])),((AE299*AF299)+SUMIFS(estoque[valor total],estoque[produto],preçodiario[[#Headers],[OVO VERMELHO A]],estoque[data],preçodiario[[#This Row],[data]],estoque[fornecedor],"&lt;&gt;saída"))/(AF299+(SUMIFS(estoque[quantidade],estoque[produto],preçodiario[[#Headers],[OVO VERMELHO A]],estoque[fornecedor],"&lt;&gt;saída",estoque[data],preçodiario[[#This Row],[data]])))))</f>
        <v/>
      </c>
      <c r="AF300" s="22">
        <f>IF(preçodiario[[#This Row],[entrada AV]]=0,AF299-(SUMIFS(estoque[quantidade],estoque[fornecedor],"saída",estoque[produto],preçodiario[[#Headers],[OVO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Row],[data]]))+AF299+preçodiario[[#This Row],[entrada AV]])</f>
        <v>0</v>
      </c>
      <c r="AG300" s="22">
        <f>SUMIFS(estoque[quantidade],estoque[fornecedor],"&lt;&gt;saída",estoque[produto],preçodiario[[#Headers],[OVO VERMELHO A]],estoque[data],preçodiario[[#This Row],[data]])</f>
        <v>0</v>
      </c>
      <c r="AH300" s="20">
        <f>SUMIFS(estoque[valor total],estoque[fornecedor],"&lt;&gt;saída",estoque[produto],preçodiario[[#Headers],[OVO VERMELHO A]],estoque[data],preçodiario[[#This Row],[data]])</f>
        <v>0</v>
      </c>
      <c r="AI300" s="20">
        <f>IFERROR(preçodiario[[#This Row],[OVO VERMELHO A]]*preçodiario[[#This Row],[estoque AV]],0)</f>
        <v>0</v>
      </c>
      <c r="AJ30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Row],[data]]))),IF(AK299=0,SUMIFS(estoque[valor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Row],[data]])),((AJ299*AK299)+SUMIFS(estoque[valor total],estoque[produto],preçodiario[[#Headers],[OVO VERMELHO B]],estoque[data],preçodiario[[#This Row],[data]],estoque[fornecedor],"&lt;&gt;saída"))/(AK299+(SUMIFS(estoque[quantidade],estoque[produto],preçodiario[[#Headers],[OVO VERMELHO B]],estoque[fornecedor],"&lt;&gt;saída",estoque[data],preçodiario[[#This Row],[data]])))))</f>
        <v/>
      </c>
      <c r="AK300" s="22">
        <f>IF(preçodiario[[#This Row],[entrada BV]]=0,AK299-(SUMIFS(estoque[quantidade],estoque[fornecedor],"saída",estoque[produto],preçodiario[[#Headers],[OVO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Row],[data]]))+AK299+preçodiario[[#This Row],[entrada BV]])</f>
        <v>0</v>
      </c>
      <c r="AL300" s="22">
        <f>SUMIFS(estoque[quantidade],estoque[fornecedor],"&lt;&gt;saída",estoque[produto],preçodiario[[#Headers],[OVO VERMELHO B]],estoque[data],preçodiario[[#This Row],[data]])</f>
        <v>0</v>
      </c>
      <c r="AM300" s="20">
        <f>SUMIFS(estoque[valor total],estoque[fornecedor],"&lt;&gt;saída",estoque[produto],preçodiario[[#Headers],[OVO VERMELHO B]],estoque[data],preçodiario[[#This Row],[data]])</f>
        <v>0</v>
      </c>
      <c r="AN300" s="20">
        <f>IFERROR(preçodiario[[#This Row],[OVO VERMELHO B]]*preçodiario[[#This Row],[estoque BV]],0)</f>
        <v>0</v>
      </c>
      <c r="AO30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Row],[data]]))),IF(AP299=0,SUMIFS(estoque[valor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Row],[data]])),((AO299*AP299)+SUMIFS(estoque[valor total],estoque[produto],preçodiario[[#Headers],[OVO VERMELHO C]],estoque[data],preçodiario[[#This Row],[data]],estoque[fornecedor],"&lt;&gt;saída"))/(AP299+(SUMIFS(estoque[quantidade],estoque[produto],preçodiario[[#Headers],[OVO VERMELHO C]],estoque[fornecedor],"&lt;&gt;saída",estoque[data],preçodiario[[#This Row],[data]])))))</f>
        <v/>
      </c>
      <c r="AP300" s="22">
        <f>IF(preçodiario[[#This Row],[entrada CV]]=0,AP299-(SUMIFS(estoque[quantidade],estoque[fornecedor],"saída",estoque[produto],preçodiario[[#Headers],[OVO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Row],[data]]))+AP299+preçodiario[[#This Row],[entrada CV]])</f>
        <v>0</v>
      </c>
      <c r="AQ300" s="22">
        <f>SUMIFS(estoque[quantidade],estoque[fornecedor],"&lt;&gt;saída",estoque[produto],preçodiario[[#Headers],[OVO VERMELHO C]],estoque[data],preçodiario[[#This Row],[data]])</f>
        <v>0</v>
      </c>
      <c r="AR300" s="20">
        <f>SUMIFS(estoque[valor total],estoque[fornecedor],"&lt;&gt;saída",estoque[produto],preçodiario[[#Headers],[OVO VERMELHO C]],estoque[data],preçodiario[[#This Row],[data]])</f>
        <v>0</v>
      </c>
      <c r="AS300" s="20">
        <f>IFERROR(preçodiario[[#This Row],[OVO VERMELHO C]]*preçodiario[[#This Row],[estoque CV]],0)</f>
        <v>0</v>
      </c>
      <c r="AT30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Row],[data]]))),IF(AU299=0,SUMIFS(estoque[valor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Row],[data]])),((AT299*AU299)+SUMIFS(estoque[valor total],estoque[produto],preçodiario[[#Headers],[OVO VERMELHO EXTRA]],estoque[data],preçodiario[[#This Row],[data]],estoque[fornecedor],"&lt;&gt;saída"))/(AU299+(SUMIFS(estoque[quantidade],estoque[produto],preçodiario[[#Headers],[OVO VERMELHO EXTRA]],estoque[fornecedor],"&lt;&gt;saída",estoque[data],preçodiario[[#This Row],[data]])))))</f>
        <v/>
      </c>
      <c r="AU300" s="22">
        <f>IF(preçodiario[[#This Row],[entrada EV]]=0,AU299-(SUMIFS(estoque[quantidade],estoque[fornecedor],"saída",estoque[produto],preçodiario[[#Headers],[OVO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Row],[data]]))+AU299+preçodiario[[#This Row],[entrada EV]])</f>
        <v>0</v>
      </c>
      <c r="AV300" s="22">
        <f>SUMIFS(estoque[quantidade],estoque[fornecedor],"&lt;&gt;saída",estoque[produto],preçodiario[[#Headers],[OVO VERMELHO EXTRA]],estoque[data],preçodiario[[#This Row],[data]])</f>
        <v>0</v>
      </c>
      <c r="AW300" s="20">
        <f>SUMIFS(estoque[valor total],estoque[fornecedor],"&lt;&gt;saída",estoque[produto],preçodiario[[#Headers],[OVO VERMELHO EXTRA]],estoque[data],preçodiario[[#This Row],[data]])</f>
        <v>0</v>
      </c>
      <c r="AX300" s="20">
        <f>IFERROR(preçodiario[[#This Row],[OVO VERMELHO EXTRA]]*preçodiario[[#This Row],[estoque EV]],0)</f>
        <v>0</v>
      </c>
      <c r="AY30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Row],[data]]))),IF(AZ299=0,SUMIFS(estoque[valor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Row],[data]])),((AY299*AZ299)+SUMIFS(estoque[valor total],estoque[produto],preçodiario[[#Headers],[OVO VERMELHO JUMBO]],estoque[data],preçodiario[[#This Row],[data]],estoque[fornecedor],"&lt;&gt;saída"))/(AZ299+(SUMIFS(estoque[quantidade],estoque[produto],preçodiario[[#Headers],[OVO VERMELHO JUMBO]],estoque[fornecedor],"&lt;&gt;saída",estoque[data],preçodiario[[#This Row],[data]])))))</f>
        <v/>
      </c>
      <c r="AZ300" s="22">
        <f>IF(preçodiario[[#This Row],[entrada JV]]=0,AZ299-(SUMIFS(estoque[quantidade],estoque[fornecedor],"saída",estoque[produto],preçodiario[[#Headers],[OVO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Row],[data]]))+AZ299+preçodiario[[#This Row],[entrada JV]])</f>
        <v>0</v>
      </c>
      <c r="BA300" s="22">
        <f>SUMIFS(estoque[quantidade],estoque[fornecedor],"&lt;&gt;saída",estoque[produto],preçodiario[[#Headers],[OVO VERMELHO JUMBO]],estoque[data],preçodiario[[#This Row],[data]])</f>
        <v>0</v>
      </c>
      <c r="BB300" s="20">
        <f>SUMIFS(estoque[valor total],estoque[fornecedor],"&lt;&gt;saída",estoque[produto],preçodiario[[#Headers],[OVO VERMELHO JUMBO]],estoque[data],preçodiario[[#This Row],[data]])</f>
        <v>0</v>
      </c>
      <c r="BC300" s="20">
        <f>IFERROR(preçodiario[[#This Row],[OVO VERMELHO JUMBO]]*preçodiario[[#This Row],[estoque JV]],0)</f>
        <v>0</v>
      </c>
      <c r="BD300" t="str">
        <f>TEXT(vendaAno[[#This Row],[data]],"mmm")</f>
        <v>out</v>
      </c>
      <c r="BE300" t="str">
        <f>TEXT(vendaAno[[#This Row],[data]],"ddd")</f>
        <v>seg</v>
      </c>
      <c r="BF300" s="82">
        <f>WEEKNUM(vendaAno[[#This Row],[data]],13)</f>
        <v>43</v>
      </c>
      <c r="BG300" s="27">
        <f>preçodiario[[#This Row],[data]]</f>
        <v>46321</v>
      </c>
      <c r="BH30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Row],[data]]))/12+BJ299,"")</f>
        <v/>
      </c>
      <c r="BK300" s="79" t="str">
        <f ca="1">IF(TODAY()&gt;=vendaAno[[#This Row],[data]],IF(SUMIFS(estoque[quantidade],estoque[fornecedor],"saída",estoque[data],vendaAno[[#This Row],[data]])/12=0,AVERAGE(BK297:BK299),SUMIFS(estoque[quantidade],estoque[fornecedor],"saída",estoque[data],vendaAno[[#This Row],[data]])/12),"")</f>
        <v/>
      </c>
      <c r="BL300" s="8" t="str">
        <f ca="1">IF(vendaAno[[#This Row],[data]]&lt;=TODAY(),IF(SUMIFS(estoque[lucro],estoque[fornecedor],"saída",estoque[data],vendaAno[[#This Row],[data]])=0,AVERAGE(BL297:BL299),SUMIFS(estoque[lucro],estoque[fornecedor],"saída",estoque[data],vendaAno[[#This Row],[data]])),"")</f>
        <v/>
      </c>
      <c r="BM300" s="10" t="str">
        <f ca="1">IFERROR(vendaAno[[#This Row],[lucro]]/vendaAno[[#This Row],[valor de venda]],"")</f>
        <v/>
      </c>
      <c r="BN30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0" s="8" t="str">
        <f ca="1">IF(TODAY()&gt;=vendaAno[[#This Row],[data]],IF(vendaAno[[#This Row],[N°]]=BF299,vendaAno[[#This Row],[lucro]]-173.33+BO299,vendaAno[[#This Row],[lucro]]-150),"")</f>
        <v/>
      </c>
      <c r="BP300" s="81" t="str">
        <f ca="1">IF(TODAY()&gt;=vendaAno[[#This Row],[data]],SUM(BK294:BK300)*12,"")</f>
        <v/>
      </c>
      <c r="BQ300" s="7" t="str">
        <f ca="1">IFERROR(vendaAno[[#This Row],[lucro]]/(vendaAno[[#This Row],[venda]]*12),"")</f>
        <v/>
      </c>
    </row>
    <row r="301" spans="1:69" x14ac:dyDescent="0.25">
      <c r="A30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1" s="18" t="str">
        <f>TEXT(preçodiario[[#This Row],[data]],"MMM")</f>
        <v>out</v>
      </c>
      <c r="C301" s="18" t="str">
        <f>TEXT(preçodiario[[#This Row],[data]],"ddd")</f>
        <v>ter</v>
      </c>
      <c r="D301" s="96">
        <f>WEEKNUM(preçodiario[[#This Row],[data]],13)</f>
        <v>43</v>
      </c>
      <c r="E301" s="37">
        <v>46322</v>
      </c>
      <c r="F30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Row],[data]])),((F300*G300)+SUMIFS(estoque[valor total],estoque[produto],preçodiario[[#Headers],[OVO BRANCO A]],estoque[data],preçodiario[[#This Row],[data]],estoque[fornecedor],"&lt;&gt;saída"))/(G300+(SUMIFS(estoque[quantidade],estoque[produto],preçodiario[[#Headers],[OVO BRANCO A]],estoque[fornecedor],"&lt;&gt;saída",estoque[data],preçodiario[[#This Row],[data]])))))</f>
        <v>15.278182701652089</v>
      </c>
      <c r="G301" s="22">
        <f>IF(preçodiario[[#This Row],[entrada A]]=0,G300-(SUMIFS(estoque[quantidade],estoque[fornecedor],"saída",estoque[produto],preçodiario[[#Headers],[OVO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Row],[data]]))+G300+preçodiario[[#This Row],[entrada A]])</f>
        <v>133</v>
      </c>
      <c r="H301" s="22">
        <f>SUMIFS(estoque[quantidade],estoque[fornecedor],"&lt;&gt;saída",estoque[produto],preçodiario[[#Headers],[OVO BRANCO A]],estoque[data],preçodiario[[#This Row],[data]])</f>
        <v>0</v>
      </c>
      <c r="I301" s="20">
        <f>SUMIFS(estoque[valor total],estoque[fornecedor],"&lt;&gt;saída",estoque[produto],preçodiario[[#Headers],[OVO BRANCO A]],estoque[data],preçodiario[[#This Row],[data]])</f>
        <v>0</v>
      </c>
      <c r="J301" s="20">
        <f>IFERROR(preçodiario[[#This Row],[estoque A]]*preçodiario[[#This Row],[OVO BRANCO A]],0)</f>
        <v>2031.9982993197277</v>
      </c>
      <c r="K30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Row],[data]])),((K300*L300)+SUMIFS(estoque[valor total],estoque[produto],preçodiario[[#Headers],[OVO BRANCO B]],estoque[data],preçodiario[[#This Row],[data]],estoque[fornecedor],"&lt;&gt;saída"))/(L300+(SUMIFS(estoque[quantidade],estoque[produto],preçodiario[[#Headers],[OVO BRANCO B]],estoque[fornecedor],"&lt;&gt;saída",estoque[data],preçodiario[[#This Row],[data]])))))</f>
        <v>14.584252837326604</v>
      </c>
      <c r="L301" s="22">
        <f>IF(preçodiario[[#This Row],[entrada B]]=0,L300-(SUMIFS(estoque[quantidade],estoque[fornecedor],"saída",estoque[produto],preçodiario[[#Headers],[OVO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Row],[data]]))+L300+preçodiario[[#This Row],[entrada B]])</f>
        <v>16</v>
      </c>
      <c r="M301" s="22">
        <f>SUMIFS(estoque[quantidade],estoque[fornecedor],"&lt;&gt;saída",estoque[produto],preçodiario[[#Headers],[OVO BRANCO B]],estoque[data],preçodiario[[#This Row],[data]])</f>
        <v>0</v>
      </c>
      <c r="N301" s="20">
        <f>SUMIFS(estoque[valor total],estoque[fornecedor],"&lt;&gt;saída",estoque[produto],preçodiario[[#Headers],[OVO BRANCO B]],estoque[data],preçodiario[[#This Row],[data]])</f>
        <v>0</v>
      </c>
      <c r="O301" s="20">
        <f>IFERROR(preçodiario[[#This Row],[OVO BRANCO B]]*preçodiario[[#This Row],[estoque B]],0)</f>
        <v>233.34804539722566</v>
      </c>
      <c r="P30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Row],[data]])),((P300*Q300)+SUMIFS(estoque[valor total],estoque[produto],preçodiario[[#Headers],[OVO BRANCO C]],estoque[data],preçodiario[[#This Row],[data]],estoque[fornecedor],"&lt;&gt;saída"))/(Q300+(SUMIFS(estoque[quantidade],estoque[produto],preçodiario[[#Headers],[OVO BRANCO C]],estoque[fornecedor],"&lt;&gt;saída",estoque[data],preçodiario[[#This Row],[data]])))))</f>
        <v>12.5</v>
      </c>
      <c r="Q301" s="22">
        <f>IF(preçodiario[[#This Row],[entrada C]]=0,Q300-(SUMIFS(estoque[quantidade],estoque[fornecedor],"saída",estoque[produto],preçodiario[[#Headers],[OVO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Row],[data]]))+Q300+preçodiario[[#This Row],[entrada C]])</f>
        <v>60</v>
      </c>
      <c r="R301" s="22">
        <f>SUMIFS(estoque[quantidade],estoque[fornecedor],"&lt;&gt;saída",estoque[produto],preçodiario[[#Headers],[OVO BRANCO C]],estoque[data],preçodiario[[#This Row],[data]])</f>
        <v>0</v>
      </c>
      <c r="S301" s="20">
        <f>SUMIFS(estoque[valor total],estoque[fornecedor],"&lt;&gt;saída",estoque[produto],preçodiario[[#Headers],[OVO BRANCO C]],estoque[data],preçodiario[[#This Row],[data]])</f>
        <v>0</v>
      </c>
      <c r="T301" s="20">
        <f>IFERROR(preçodiario[[#This Row],[OVO BRANCO C]]*preçodiario[[#This Row],[estoque C]],0)</f>
        <v>750</v>
      </c>
      <c r="U30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Row],[data]])),((U300*V300)+SUMIFS(estoque[valor total],estoque[produto],preçodiario[[#Headers],[OVO BRANCO EXTRA]],estoque[data],preçodiario[[#This Row],[data]],estoque[fornecedor],"&lt;&gt;saída"))/(V300+(SUMIFS(estoque[quantidade],estoque[produto],preçodiario[[#Headers],[OVO BRANCO EXTRA]],estoque[fornecedor],"&lt;&gt;saída",estoque[data],preçodiario[[#This Row],[data]])))))</f>
        <v>15.725438400674655</v>
      </c>
      <c r="V301" s="22">
        <f>IF(preçodiario[[#This Row],[entrada E]]=0,V300-(SUMIFS(estoque[quantidade],estoque[fornecedor],"saída",estoque[produto],preçodiario[[#Headers],[OVO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Row],[data]]))+V300+preçodiario[[#This Row],[entrada E]])</f>
        <v>46</v>
      </c>
      <c r="W301" s="22">
        <f>SUMIFS(estoque[quantidade],estoque[fornecedor],"&lt;&gt;saída",estoque[produto],preçodiario[[#Headers],[OVO BRANCO EXTRA]],estoque[data],preçodiario[[#This Row],[data]])</f>
        <v>0</v>
      </c>
      <c r="X301" s="20">
        <f>SUMIFS(estoque[valor total],estoque[fornecedor],"&lt;&gt;saída",estoque[produto],preçodiario[[#Headers],[OVO BRANCO EXTRA]],estoque[data],preçodiario[[#This Row],[data]])</f>
        <v>0</v>
      </c>
      <c r="Y301" s="20">
        <f>IFERROR(preçodiario[[#This Row],[estoque E]]*preçodiario[[#This Row],[OVO BRANCO EXTRA]],0)</f>
        <v>723.37016643103414</v>
      </c>
      <c r="Z30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Row],[data]])),((Z300*AA300)+SUMIFS(estoque[valor total],estoque[produto],preçodiario[[#Headers],[OVO BRANCO JUMBO]],estoque[data],preçodiario[[#This Row],[data]],estoque[fornecedor],"&lt;&gt;saída"))/(AA300+(SUMIFS(estoque[quantidade],estoque[produto],preçodiario[[#Headers],[OVO BRANCO JUMBO]],estoque[fornecedor],"&lt;&gt;saída",estoque[data],preçodiario[[#This Row],[data]])))))</f>
        <v>16.50550595238095</v>
      </c>
      <c r="AA301" s="22">
        <f>IF(preçodiario[[#This Row],[entrada J]]=0,AA300-(SUMIFS(estoque[quantidade],estoque[fornecedor],"saída",estoque[produto],preçodiario[[#Headers],[OVO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Row],[data]]))+AA300+preçodiario[[#This Row],[entrada J]])</f>
        <v>75</v>
      </c>
      <c r="AB301" s="22">
        <f>SUMIFS(estoque[quantidade],estoque[fornecedor],"&lt;&gt;saída",estoque[produto],preçodiario[[#Headers],[OVO BRANCO JUMBO]],estoque[data],preçodiario[[#This Row],[data]])</f>
        <v>0</v>
      </c>
      <c r="AC301" s="20">
        <f>SUMIFS(estoque[valor total],estoque[fornecedor],"&lt;&gt;saída",estoque[produto],preçodiario[[#Headers],[OVO BRANCO JUMBO]],estoque[data],preçodiario[[#This Row],[data]])</f>
        <v>0</v>
      </c>
      <c r="AD301" s="20">
        <f>IFERROR(preçodiario[[#This Row],[OVO BRANCO JUMBO]]*preçodiario[[#This Row],[estoque J]],0)</f>
        <v>1237.9129464285713</v>
      </c>
      <c r="AE30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Row],[data]])),((AE300*AF300)+SUMIFS(estoque[valor total],estoque[produto],preçodiario[[#Headers],[OVO VERMELHO A]],estoque[data],preçodiario[[#This Row],[data]],estoque[fornecedor],"&lt;&gt;saída"))/(AF300+(SUMIFS(estoque[quantidade],estoque[produto],preçodiario[[#Headers],[OVO VERMELHO A]],estoque[fornecedor],"&lt;&gt;saída",estoque[data],preçodiario[[#This Row],[data]])))))</f>
        <v/>
      </c>
      <c r="AF301" s="22">
        <f>IF(preçodiario[[#This Row],[entrada AV]]=0,AF300-(SUMIFS(estoque[quantidade],estoque[fornecedor],"saída",estoque[produto],preçodiario[[#Headers],[OVO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Row],[data]]))+AF300+preçodiario[[#This Row],[entrada AV]])</f>
        <v>0</v>
      </c>
      <c r="AG301" s="22">
        <f>SUMIFS(estoque[quantidade],estoque[fornecedor],"&lt;&gt;saída",estoque[produto],preçodiario[[#Headers],[OVO VERMELHO A]],estoque[data],preçodiario[[#This Row],[data]])</f>
        <v>0</v>
      </c>
      <c r="AH301" s="20">
        <f>SUMIFS(estoque[valor total],estoque[fornecedor],"&lt;&gt;saída",estoque[produto],preçodiario[[#Headers],[OVO VERMELHO A]],estoque[data],preçodiario[[#This Row],[data]])</f>
        <v>0</v>
      </c>
      <c r="AI301" s="20">
        <f>IFERROR(preçodiario[[#This Row],[OVO VERMELHO A]]*preçodiario[[#This Row],[estoque AV]],0)</f>
        <v>0</v>
      </c>
      <c r="AJ30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Row],[data]])),((AJ300*AK300)+SUMIFS(estoque[valor total],estoque[produto],preçodiario[[#Headers],[OVO VERMELHO B]],estoque[data],preçodiario[[#This Row],[data]],estoque[fornecedor],"&lt;&gt;saída"))/(AK300+(SUMIFS(estoque[quantidade],estoque[produto],preçodiario[[#Headers],[OVO VERMELHO B]],estoque[fornecedor],"&lt;&gt;saída",estoque[data],preçodiario[[#This Row],[data]])))))</f>
        <v/>
      </c>
      <c r="AK301" s="22">
        <f>IF(preçodiario[[#This Row],[entrada BV]]=0,AK300-(SUMIFS(estoque[quantidade],estoque[fornecedor],"saída",estoque[produto],preçodiario[[#Headers],[OVO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Row],[data]]))+AK300+preçodiario[[#This Row],[entrada BV]])</f>
        <v>0</v>
      </c>
      <c r="AL301" s="22">
        <f>SUMIFS(estoque[quantidade],estoque[fornecedor],"&lt;&gt;saída",estoque[produto],preçodiario[[#Headers],[OVO VERMELHO B]],estoque[data],preçodiario[[#This Row],[data]])</f>
        <v>0</v>
      </c>
      <c r="AM301" s="20">
        <f>SUMIFS(estoque[valor total],estoque[fornecedor],"&lt;&gt;saída",estoque[produto],preçodiario[[#Headers],[OVO VERMELHO B]],estoque[data],preçodiario[[#This Row],[data]])</f>
        <v>0</v>
      </c>
      <c r="AN301" s="20">
        <f>IFERROR(preçodiario[[#This Row],[OVO VERMELHO B]]*preçodiario[[#This Row],[estoque BV]],0)</f>
        <v>0</v>
      </c>
      <c r="AO30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Row],[data]])),((AO300*AP300)+SUMIFS(estoque[valor total],estoque[produto],preçodiario[[#Headers],[OVO VERMELHO C]],estoque[data],preçodiario[[#This Row],[data]],estoque[fornecedor],"&lt;&gt;saída"))/(AP300+(SUMIFS(estoque[quantidade],estoque[produto],preçodiario[[#Headers],[OVO VERMELHO C]],estoque[fornecedor],"&lt;&gt;saída",estoque[data],preçodiario[[#This Row],[data]])))))</f>
        <v/>
      </c>
      <c r="AP301" s="22">
        <f>IF(preçodiario[[#This Row],[entrada CV]]=0,AP300-(SUMIFS(estoque[quantidade],estoque[fornecedor],"saída",estoque[produto],preçodiario[[#Headers],[OVO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Row],[data]]))+AP300+preçodiario[[#This Row],[entrada CV]])</f>
        <v>0</v>
      </c>
      <c r="AQ301" s="22">
        <f>SUMIFS(estoque[quantidade],estoque[fornecedor],"&lt;&gt;saída",estoque[produto],preçodiario[[#Headers],[OVO VERMELHO C]],estoque[data],preçodiario[[#This Row],[data]])</f>
        <v>0</v>
      </c>
      <c r="AR301" s="20">
        <f>SUMIFS(estoque[valor total],estoque[fornecedor],"&lt;&gt;saída",estoque[produto],preçodiario[[#Headers],[OVO VERMELHO C]],estoque[data],preçodiario[[#This Row],[data]])</f>
        <v>0</v>
      </c>
      <c r="AS301" s="20">
        <f>IFERROR(preçodiario[[#This Row],[OVO VERMELHO C]]*preçodiario[[#This Row],[estoque CV]],0)</f>
        <v>0</v>
      </c>
      <c r="AT30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Row],[data]])),((AT300*AU300)+SUMIFS(estoque[valor total],estoque[produto],preçodiario[[#Headers],[OVO VERMELHO EXTRA]],estoque[data],preçodiario[[#This Row],[data]],estoque[fornecedor],"&lt;&gt;saída"))/(AU300+(SUMIFS(estoque[quantidade],estoque[produto],preçodiario[[#Headers],[OVO VERMELHO EXTRA]],estoque[fornecedor],"&lt;&gt;saída",estoque[data],preçodiario[[#This Row],[data]])))))</f>
        <v/>
      </c>
      <c r="AU301" s="22">
        <f>IF(preçodiario[[#This Row],[entrada EV]]=0,AU300-(SUMIFS(estoque[quantidade],estoque[fornecedor],"saída",estoque[produto],preçodiario[[#Headers],[OVO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Row],[data]]))+AU300+preçodiario[[#This Row],[entrada EV]])</f>
        <v>0</v>
      </c>
      <c r="AV301" s="22">
        <f>SUMIFS(estoque[quantidade],estoque[fornecedor],"&lt;&gt;saída",estoque[produto],preçodiario[[#Headers],[OVO VERMELHO EXTRA]],estoque[data],preçodiario[[#This Row],[data]])</f>
        <v>0</v>
      </c>
      <c r="AW301" s="20">
        <f>SUMIFS(estoque[valor total],estoque[fornecedor],"&lt;&gt;saída",estoque[produto],preçodiario[[#Headers],[OVO VERMELHO EXTRA]],estoque[data],preçodiario[[#This Row],[data]])</f>
        <v>0</v>
      </c>
      <c r="AX301" s="20">
        <f>IFERROR(preçodiario[[#This Row],[OVO VERMELHO EXTRA]]*preçodiario[[#This Row],[estoque EV]],0)</f>
        <v>0</v>
      </c>
      <c r="AY30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Row],[data]])),((AY300*AZ300)+SUMIFS(estoque[valor total],estoque[produto],preçodiario[[#Headers],[OVO VERMELHO JUMBO]],estoque[data],preçodiario[[#This Row],[data]],estoque[fornecedor],"&lt;&gt;saída"))/(AZ300+(SUMIFS(estoque[quantidade],estoque[produto],preçodiario[[#Headers],[OVO VERMELHO JUMBO]],estoque[fornecedor],"&lt;&gt;saída",estoque[data],preçodiario[[#This Row],[data]])))))</f>
        <v/>
      </c>
      <c r="AZ301" s="22">
        <f>IF(preçodiario[[#This Row],[entrada JV]]=0,AZ300-(SUMIFS(estoque[quantidade],estoque[fornecedor],"saída",estoque[produto],preçodiario[[#Headers],[OVO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Row],[data]]))+AZ300+preçodiario[[#This Row],[entrada JV]])</f>
        <v>0</v>
      </c>
      <c r="BA301" s="22">
        <f>SUMIFS(estoque[quantidade],estoque[fornecedor],"&lt;&gt;saída",estoque[produto],preçodiario[[#Headers],[OVO VERMELHO JUMBO]],estoque[data],preçodiario[[#This Row],[data]])</f>
        <v>0</v>
      </c>
      <c r="BB301" s="20">
        <f>SUMIFS(estoque[valor total],estoque[fornecedor],"&lt;&gt;saída",estoque[produto],preçodiario[[#Headers],[OVO VERMELHO JUMBO]],estoque[data],preçodiario[[#This Row],[data]])</f>
        <v>0</v>
      </c>
      <c r="BC301" s="20">
        <f>IFERROR(preçodiario[[#This Row],[OVO VERMELHO JUMBO]]*preçodiario[[#This Row],[estoque JV]],0)</f>
        <v>0</v>
      </c>
      <c r="BD301" t="str">
        <f>TEXT(vendaAno[[#This Row],[data]],"mmm")</f>
        <v>out</v>
      </c>
      <c r="BE301" t="str">
        <f>TEXT(vendaAno[[#This Row],[data]],"ddd")</f>
        <v>ter</v>
      </c>
      <c r="BF301" s="82">
        <f>WEEKNUM(vendaAno[[#This Row],[data]],13)</f>
        <v>43</v>
      </c>
      <c r="BG301" s="27">
        <f>preçodiario[[#This Row],[data]]</f>
        <v>46322</v>
      </c>
      <c r="BH30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Row],[data]]))/12+BJ300,"")</f>
        <v/>
      </c>
      <c r="BK301" s="79" t="str">
        <f ca="1">IF(TODAY()&gt;=vendaAno[[#This Row],[data]],IF(SUMIFS(estoque[quantidade],estoque[fornecedor],"saída",estoque[data],vendaAno[[#This Row],[data]])/12=0,AVERAGE(BK298:BK300),SUMIFS(estoque[quantidade],estoque[fornecedor],"saída",estoque[data],vendaAno[[#This Row],[data]])/12),"")</f>
        <v/>
      </c>
      <c r="BL301" s="8" t="str">
        <f ca="1">IF(vendaAno[[#This Row],[data]]&lt;=TODAY(),IF(SUMIFS(estoque[lucro],estoque[fornecedor],"saída",estoque[data],vendaAno[[#This Row],[data]])=0,AVERAGE(BL298:BL300),SUMIFS(estoque[lucro],estoque[fornecedor],"saída",estoque[data],vendaAno[[#This Row],[data]])),"")</f>
        <v/>
      </c>
      <c r="BM301" s="10" t="str">
        <f ca="1">IFERROR(vendaAno[[#This Row],[lucro]]/vendaAno[[#This Row],[valor de venda]],"")</f>
        <v/>
      </c>
      <c r="BN30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1" s="8" t="str">
        <f ca="1">IF(TODAY()&gt;=vendaAno[[#This Row],[data]],IF(vendaAno[[#This Row],[N°]]=BF300,vendaAno[[#This Row],[lucro]]-173.33+BO300,vendaAno[[#This Row],[lucro]]-150),"")</f>
        <v/>
      </c>
      <c r="BP301" s="81" t="str">
        <f ca="1">IF(TODAY()&gt;=vendaAno[[#This Row],[data]],SUM(BK295:BK301)*12,"")</f>
        <v/>
      </c>
      <c r="BQ301" s="7" t="str">
        <f ca="1">IFERROR(vendaAno[[#This Row],[lucro]]/(vendaAno[[#This Row],[venda]]*12),"")</f>
        <v/>
      </c>
    </row>
    <row r="302" spans="1:69" x14ac:dyDescent="0.25">
      <c r="A30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2" s="18" t="str">
        <f>TEXT(preçodiario[[#This Row],[data]],"MMM")</f>
        <v>out</v>
      </c>
      <c r="C302" s="18" t="str">
        <f>TEXT(preçodiario[[#This Row],[data]],"ddd")</f>
        <v>qua</v>
      </c>
      <c r="D302" s="96">
        <f>WEEKNUM(preçodiario[[#This Row],[data]],13)</f>
        <v>44</v>
      </c>
      <c r="E302" s="37">
        <v>46323</v>
      </c>
      <c r="F30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Row],[data]])),((F301*G301)+SUMIFS(estoque[valor total],estoque[produto],preçodiario[[#Headers],[OVO BRANCO A]],estoque[data],preçodiario[[#This Row],[data]],estoque[fornecedor],"&lt;&gt;saída"))/(G301+(SUMIFS(estoque[quantidade],estoque[produto],preçodiario[[#Headers],[OVO BRANCO A]],estoque[fornecedor],"&lt;&gt;saída",estoque[data],preçodiario[[#This Row],[data]])))))</f>
        <v>15.278182701652089</v>
      </c>
      <c r="G302" s="22">
        <f>IF(preçodiario[[#This Row],[entrada A]]=0,G301-(SUMIFS(estoque[quantidade],estoque[fornecedor],"saída",estoque[produto],preçodiario[[#Headers],[OVO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Row],[data]]))+G301+preçodiario[[#This Row],[entrada A]])</f>
        <v>133</v>
      </c>
      <c r="H302" s="22">
        <f>SUMIFS(estoque[quantidade],estoque[fornecedor],"&lt;&gt;saída",estoque[produto],preçodiario[[#Headers],[OVO BRANCO A]],estoque[data],preçodiario[[#This Row],[data]])</f>
        <v>0</v>
      </c>
      <c r="I302" s="20">
        <f>SUMIFS(estoque[valor total],estoque[fornecedor],"&lt;&gt;saída",estoque[produto],preçodiario[[#Headers],[OVO BRANCO A]],estoque[data],preçodiario[[#This Row],[data]])</f>
        <v>0</v>
      </c>
      <c r="J302" s="20">
        <f>IFERROR(preçodiario[[#This Row],[estoque A]]*preçodiario[[#This Row],[OVO BRANCO A]],0)</f>
        <v>2031.9982993197277</v>
      </c>
      <c r="K30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Row],[data]])),((K301*L301)+SUMIFS(estoque[valor total],estoque[produto],preçodiario[[#Headers],[OVO BRANCO B]],estoque[data],preçodiario[[#This Row],[data]],estoque[fornecedor],"&lt;&gt;saída"))/(L301+(SUMIFS(estoque[quantidade],estoque[produto],preçodiario[[#Headers],[OVO BRANCO B]],estoque[fornecedor],"&lt;&gt;saída",estoque[data],preçodiario[[#This Row],[data]])))))</f>
        <v>14.584252837326604</v>
      </c>
      <c r="L302" s="22">
        <f>IF(preçodiario[[#This Row],[entrada B]]=0,L301-(SUMIFS(estoque[quantidade],estoque[fornecedor],"saída",estoque[produto],preçodiario[[#Headers],[OVO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Row],[data]]))+L301+preçodiario[[#This Row],[entrada B]])</f>
        <v>16</v>
      </c>
      <c r="M302" s="22">
        <f>SUMIFS(estoque[quantidade],estoque[fornecedor],"&lt;&gt;saída",estoque[produto],preçodiario[[#Headers],[OVO BRANCO B]],estoque[data],preçodiario[[#This Row],[data]])</f>
        <v>0</v>
      </c>
      <c r="N302" s="20">
        <f>SUMIFS(estoque[valor total],estoque[fornecedor],"&lt;&gt;saída",estoque[produto],preçodiario[[#Headers],[OVO BRANCO B]],estoque[data],preçodiario[[#This Row],[data]])</f>
        <v>0</v>
      </c>
      <c r="O302" s="20">
        <f>IFERROR(preçodiario[[#This Row],[OVO BRANCO B]]*preçodiario[[#This Row],[estoque B]],0)</f>
        <v>233.34804539722566</v>
      </c>
      <c r="P30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Row],[data]])),((P301*Q301)+SUMIFS(estoque[valor total],estoque[produto],preçodiario[[#Headers],[OVO BRANCO C]],estoque[data],preçodiario[[#This Row],[data]],estoque[fornecedor],"&lt;&gt;saída"))/(Q301+(SUMIFS(estoque[quantidade],estoque[produto],preçodiario[[#Headers],[OVO BRANCO C]],estoque[fornecedor],"&lt;&gt;saída",estoque[data],preçodiario[[#This Row],[data]])))))</f>
        <v>12.5</v>
      </c>
      <c r="Q302" s="22">
        <f>IF(preçodiario[[#This Row],[entrada C]]=0,Q301-(SUMIFS(estoque[quantidade],estoque[fornecedor],"saída",estoque[produto],preçodiario[[#Headers],[OVO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Row],[data]]))+Q301+preçodiario[[#This Row],[entrada C]])</f>
        <v>60</v>
      </c>
      <c r="R302" s="22">
        <f>SUMIFS(estoque[quantidade],estoque[fornecedor],"&lt;&gt;saída",estoque[produto],preçodiario[[#Headers],[OVO BRANCO C]],estoque[data],preçodiario[[#This Row],[data]])</f>
        <v>0</v>
      </c>
      <c r="S302" s="20">
        <f>SUMIFS(estoque[valor total],estoque[fornecedor],"&lt;&gt;saída",estoque[produto],preçodiario[[#Headers],[OVO BRANCO C]],estoque[data],preçodiario[[#This Row],[data]])</f>
        <v>0</v>
      </c>
      <c r="T302" s="20">
        <f>IFERROR(preçodiario[[#This Row],[OVO BRANCO C]]*preçodiario[[#This Row],[estoque C]],0)</f>
        <v>750</v>
      </c>
      <c r="U30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Row],[data]])),((U301*V301)+SUMIFS(estoque[valor total],estoque[produto],preçodiario[[#Headers],[OVO BRANCO EXTRA]],estoque[data],preçodiario[[#This Row],[data]],estoque[fornecedor],"&lt;&gt;saída"))/(V301+(SUMIFS(estoque[quantidade],estoque[produto],preçodiario[[#Headers],[OVO BRANCO EXTRA]],estoque[fornecedor],"&lt;&gt;saída",estoque[data],preçodiario[[#This Row],[data]])))))</f>
        <v>15.725438400674655</v>
      </c>
      <c r="V302" s="22">
        <f>IF(preçodiario[[#This Row],[entrada E]]=0,V301-(SUMIFS(estoque[quantidade],estoque[fornecedor],"saída",estoque[produto],preçodiario[[#Headers],[OVO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Row],[data]]))+V301+preçodiario[[#This Row],[entrada E]])</f>
        <v>46</v>
      </c>
      <c r="W302" s="22">
        <f>SUMIFS(estoque[quantidade],estoque[fornecedor],"&lt;&gt;saída",estoque[produto],preçodiario[[#Headers],[OVO BRANCO EXTRA]],estoque[data],preçodiario[[#This Row],[data]])</f>
        <v>0</v>
      </c>
      <c r="X302" s="20">
        <f>SUMIFS(estoque[valor total],estoque[fornecedor],"&lt;&gt;saída",estoque[produto],preçodiario[[#Headers],[OVO BRANCO EXTRA]],estoque[data],preçodiario[[#This Row],[data]])</f>
        <v>0</v>
      </c>
      <c r="Y302" s="20">
        <f>IFERROR(preçodiario[[#This Row],[estoque E]]*preçodiario[[#This Row],[OVO BRANCO EXTRA]],0)</f>
        <v>723.37016643103414</v>
      </c>
      <c r="Z30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Row],[data]])),((Z301*AA301)+SUMIFS(estoque[valor total],estoque[produto],preçodiario[[#Headers],[OVO BRANCO JUMBO]],estoque[data],preçodiario[[#This Row],[data]],estoque[fornecedor],"&lt;&gt;saída"))/(AA301+(SUMIFS(estoque[quantidade],estoque[produto],preçodiario[[#Headers],[OVO BRANCO JUMBO]],estoque[fornecedor],"&lt;&gt;saída",estoque[data],preçodiario[[#This Row],[data]])))))</f>
        <v>16.50550595238095</v>
      </c>
      <c r="AA302" s="22">
        <f>IF(preçodiario[[#This Row],[entrada J]]=0,AA301-(SUMIFS(estoque[quantidade],estoque[fornecedor],"saída",estoque[produto],preçodiario[[#Headers],[OVO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Row],[data]]))+AA301+preçodiario[[#This Row],[entrada J]])</f>
        <v>75</v>
      </c>
      <c r="AB302" s="22">
        <f>SUMIFS(estoque[quantidade],estoque[fornecedor],"&lt;&gt;saída",estoque[produto],preçodiario[[#Headers],[OVO BRANCO JUMBO]],estoque[data],preçodiario[[#This Row],[data]])</f>
        <v>0</v>
      </c>
      <c r="AC302" s="20">
        <f>SUMIFS(estoque[valor total],estoque[fornecedor],"&lt;&gt;saída",estoque[produto],preçodiario[[#Headers],[OVO BRANCO JUMBO]],estoque[data],preçodiario[[#This Row],[data]])</f>
        <v>0</v>
      </c>
      <c r="AD302" s="20">
        <f>IFERROR(preçodiario[[#This Row],[OVO BRANCO JUMBO]]*preçodiario[[#This Row],[estoque J]],0)</f>
        <v>1237.9129464285713</v>
      </c>
      <c r="AE30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Row],[data]])),((AE301*AF301)+SUMIFS(estoque[valor total],estoque[produto],preçodiario[[#Headers],[OVO VERMELHO A]],estoque[data],preçodiario[[#This Row],[data]],estoque[fornecedor],"&lt;&gt;saída"))/(AF301+(SUMIFS(estoque[quantidade],estoque[produto],preçodiario[[#Headers],[OVO VERMELHO A]],estoque[fornecedor],"&lt;&gt;saída",estoque[data],preçodiario[[#This Row],[data]])))))</f>
        <v/>
      </c>
      <c r="AF302" s="22">
        <f>IF(preçodiario[[#This Row],[entrada AV]]=0,AF301-(SUMIFS(estoque[quantidade],estoque[fornecedor],"saída",estoque[produto],preçodiario[[#Headers],[OVO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Row],[data]]))+AF301+preçodiario[[#This Row],[entrada AV]])</f>
        <v>0</v>
      </c>
      <c r="AG302" s="22">
        <f>SUMIFS(estoque[quantidade],estoque[fornecedor],"&lt;&gt;saída",estoque[produto],preçodiario[[#Headers],[OVO VERMELHO A]],estoque[data],preçodiario[[#This Row],[data]])</f>
        <v>0</v>
      </c>
      <c r="AH302" s="20">
        <f>SUMIFS(estoque[valor total],estoque[fornecedor],"&lt;&gt;saída",estoque[produto],preçodiario[[#Headers],[OVO VERMELHO A]],estoque[data],preçodiario[[#This Row],[data]])</f>
        <v>0</v>
      </c>
      <c r="AI302" s="20">
        <f>IFERROR(preçodiario[[#This Row],[OVO VERMELHO A]]*preçodiario[[#This Row],[estoque AV]],0)</f>
        <v>0</v>
      </c>
      <c r="AJ30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Row],[data]])),((AJ301*AK301)+SUMIFS(estoque[valor total],estoque[produto],preçodiario[[#Headers],[OVO VERMELHO B]],estoque[data],preçodiario[[#This Row],[data]],estoque[fornecedor],"&lt;&gt;saída"))/(AK301+(SUMIFS(estoque[quantidade],estoque[produto],preçodiario[[#Headers],[OVO VERMELHO B]],estoque[fornecedor],"&lt;&gt;saída",estoque[data],preçodiario[[#This Row],[data]])))))</f>
        <v/>
      </c>
      <c r="AK302" s="22">
        <f>IF(preçodiario[[#This Row],[entrada BV]]=0,AK301-(SUMIFS(estoque[quantidade],estoque[fornecedor],"saída",estoque[produto],preçodiario[[#Headers],[OVO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Row],[data]]))+AK301+preçodiario[[#This Row],[entrada BV]])</f>
        <v>0</v>
      </c>
      <c r="AL302" s="22">
        <f>SUMIFS(estoque[quantidade],estoque[fornecedor],"&lt;&gt;saída",estoque[produto],preçodiario[[#Headers],[OVO VERMELHO B]],estoque[data],preçodiario[[#This Row],[data]])</f>
        <v>0</v>
      </c>
      <c r="AM302" s="20">
        <f>SUMIFS(estoque[valor total],estoque[fornecedor],"&lt;&gt;saída",estoque[produto],preçodiario[[#Headers],[OVO VERMELHO B]],estoque[data],preçodiario[[#This Row],[data]])</f>
        <v>0</v>
      </c>
      <c r="AN302" s="20">
        <f>IFERROR(preçodiario[[#This Row],[OVO VERMELHO B]]*preçodiario[[#This Row],[estoque BV]],0)</f>
        <v>0</v>
      </c>
      <c r="AO30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Row],[data]])),((AO301*AP301)+SUMIFS(estoque[valor total],estoque[produto],preçodiario[[#Headers],[OVO VERMELHO C]],estoque[data],preçodiario[[#This Row],[data]],estoque[fornecedor],"&lt;&gt;saída"))/(AP301+(SUMIFS(estoque[quantidade],estoque[produto],preçodiario[[#Headers],[OVO VERMELHO C]],estoque[fornecedor],"&lt;&gt;saída",estoque[data],preçodiario[[#This Row],[data]])))))</f>
        <v/>
      </c>
      <c r="AP302" s="22">
        <f>IF(preçodiario[[#This Row],[entrada CV]]=0,AP301-(SUMIFS(estoque[quantidade],estoque[fornecedor],"saída",estoque[produto],preçodiario[[#Headers],[OVO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Row],[data]]))+AP301+preçodiario[[#This Row],[entrada CV]])</f>
        <v>0</v>
      </c>
      <c r="AQ302" s="22">
        <f>SUMIFS(estoque[quantidade],estoque[fornecedor],"&lt;&gt;saída",estoque[produto],preçodiario[[#Headers],[OVO VERMELHO C]],estoque[data],preçodiario[[#This Row],[data]])</f>
        <v>0</v>
      </c>
      <c r="AR302" s="20">
        <f>SUMIFS(estoque[valor total],estoque[fornecedor],"&lt;&gt;saída",estoque[produto],preçodiario[[#Headers],[OVO VERMELHO C]],estoque[data],preçodiario[[#This Row],[data]])</f>
        <v>0</v>
      </c>
      <c r="AS302" s="20">
        <f>IFERROR(preçodiario[[#This Row],[OVO VERMELHO C]]*preçodiario[[#This Row],[estoque CV]],0)</f>
        <v>0</v>
      </c>
      <c r="AT30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Row],[data]])),((AT301*AU301)+SUMIFS(estoque[valor total],estoque[produto],preçodiario[[#Headers],[OVO VERMELHO EXTRA]],estoque[data],preçodiario[[#This Row],[data]],estoque[fornecedor],"&lt;&gt;saída"))/(AU301+(SUMIFS(estoque[quantidade],estoque[produto],preçodiario[[#Headers],[OVO VERMELHO EXTRA]],estoque[fornecedor],"&lt;&gt;saída",estoque[data],preçodiario[[#This Row],[data]])))))</f>
        <v/>
      </c>
      <c r="AU302" s="22">
        <f>IF(preçodiario[[#This Row],[entrada EV]]=0,AU301-(SUMIFS(estoque[quantidade],estoque[fornecedor],"saída",estoque[produto],preçodiario[[#Headers],[OVO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Row],[data]]))+AU301+preçodiario[[#This Row],[entrada EV]])</f>
        <v>0</v>
      </c>
      <c r="AV302" s="22">
        <f>SUMIFS(estoque[quantidade],estoque[fornecedor],"&lt;&gt;saída",estoque[produto],preçodiario[[#Headers],[OVO VERMELHO EXTRA]],estoque[data],preçodiario[[#This Row],[data]])</f>
        <v>0</v>
      </c>
      <c r="AW302" s="20">
        <f>SUMIFS(estoque[valor total],estoque[fornecedor],"&lt;&gt;saída",estoque[produto],preçodiario[[#Headers],[OVO VERMELHO EXTRA]],estoque[data],preçodiario[[#This Row],[data]])</f>
        <v>0</v>
      </c>
      <c r="AX302" s="20">
        <f>IFERROR(preçodiario[[#This Row],[OVO VERMELHO EXTRA]]*preçodiario[[#This Row],[estoque EV]],0)</f>
        <v>0</v>
      </c>
      <c r="AY30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Row],[data]])),((AY301*AZ301)+SUMIFS(estoque[valor total],estoque[produto],preçodiario[[#Headers],[OVO VERMELHO JUMBO]],estoque[data],preçodiario[[#This Row],[data]],estoque[fornecedor],"&lt;&gt;saída"))/(AZ301+(SUMIFS(estoque[quantidade],estoque[produto],preçodiario[[#Headers],[OVO VERMELHO JUMBO]],estoque[fornecedor],"&lt;&gt;saída",estoque[data],preçodiario[[#This Row],[data]])))))</f>
        <v/>
      </c>
      <c r="AZ302" s="22">
        <f>IF(preçodiario[[#This Row],[entrada JV]]=0,AZ301-(SUMIFS(estoque[quantidade],estoque[fornecedor],"saída",estoque[produto],preçodiario[[#Headers],[OVO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Row],[data]]))+AZ301+preçodiario[[#This Row],[entrada JV]])</f>
        <v>0</v>
      </c>
      <c r="BA302" s="22">
        <f>SUMIFS(estoque[quantidade],estoque[fornecedor],"&lt;&gt;saída",estoque[produto],preçodiario[[#Headers],[OVO VERMELHO JUMBO]],estoque[data],preçodiario[[#This Row],[data]])</f>
        <v>0</v>
      </c>
      <c r="BB302" s="20">
        <f>SUMIFS(estoque[valor total],estoque[fornecedor],"&lt;&gt;saída",estoque[produto],preçodiario[[#Headers],[OVO VERMELHO JUMBO]],estoque[data],preçodiario[[#This Row],[data]])</f>
        <v>0</v>
      </c>
      <c r="BC302" s="20">
        <f>IFERROR(preçodiario[[#This Row],[OVO VERMELHO JUMBO]]*preçodiario[[#This Row],[estoque JV]],0)</f>
        <v>0</v>
      </c>
      <c r="BD302" t="str">
        <f>TEXT(vendaAno[[#This Row],[data]],"mmm")</f>
        <v>out</v>
      </c>
      <c r="BE302" t="str">
        <f>TEXT(vendaAno[[#This Row],[data]],"ddd")</f>
        <v>qua</v>
      </c>
      <c r="BF302" s="82">
        <f>WEEKNUM(vendaAno[[#This Row],[data]],13)</f>
        <v>44</v>
      </c>
      <c r="BG302" s="27">
        <f>preçodiario[[#This Row],[data]]</f>
        <v>46323</v>
      </c>
      <c r="BH30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Row],[data]]))/12+BJ301,"")</f>
        <v/>
      </c>
      <c r="BK302" s="79" t="str">
        <f ca="1">IF(TODAY()&gt;=vendaAno[[#This Row],[data]],IF(SUMIFS(estoque[quantidade],estoque[fornecedor],"saída",estoque[data],vendaAno[[#This Row],[data]])/12=0,AVERAGE(BK299:BK301),SUMIFS(estoque[quantidade],estoque[fornecedor],"saída",estoque[data],vendaAno[[#This Row],[data]])/12),"")</f>
        <v/>
      </c>
      <c r="BL302" s="8" t="str">
        <f ca="1">IF(vendaAno[[#This Row],[data]]&lt;=TODAY(),IF(SUMIFS(estoque[lucro],estoque[fornecedor],"saída",estoque[data],vendaAno[[#This Row],[data]])=0,AVERAGE(BL299:BL301),SUMIFS(estoque[lucro],estoque[fornecedor],"saída",estoque[data],vendaAno[[#This Row],[data]])),"")</f>
        <v/>
      </c>
      <c r="BM302" s="10" t="str">
        <f ca="1">IFERROR(vendaAno[[#This Row],[lucro]]/vendaAno[[#This Row],[valor de venda]],"")</f>
        <v/>
      </c>
      <c r="BN30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2" s="8" t="str">
        <f ca="1">IF(TODAY()&gt;=vendaAno[[#This Row],[data]],IF(vendaAno[[#This Row],[N°]]=BF301,vendaAno[[#This Row],[lucro]]-173.33+BO301,vendaAno[[#This Row],[lucro]]-150),"")</f>
        <v/>
      </c>
      <c r="BP302" s="81" t="str">
        <f ca="1">IF(TODAY()&gt;=vendaAno[[#This Row],[data]],SUM(BK296:BK302)*12,"")</f>
        <v/>
      </c>
      <c r="BQ302" s="7" t="str">
        <f ca="1">IFERROR(vendaAno[[#This Row],[lucro]]/(vendaAno[[#This Row],[venda]]*12),"")</f>
        <v/>
      </c>
    </row>
    <row r="303" spans="1:69" x14ac:dyDescent="0.25">
      <c r="A30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3" s="18" t="str">
        <f>TEXT(preçodiario[[#This Row],[data]],"MMM")</f>
        <v>out</v>
      </c>
      <c r="C303" s="18" t="str">
        <f>TEXT(preçodiario[[#This Row],[data]],"ddd")</f>
        <v>qui</v>
      </c>
      <c r="D303" s="96">
        <f>WEEKNUM(preçodiario[[#This Row],[data]],13)</f>
        <v>44</v>
      </c>
      <c r="E303" s="37">
        <v>46324</v>
      </c>
      <c r="F30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Row],[data]])),((F302*G302)+SUMIFS(estoque[valor total],estoque[produto],preçodiario[[#Headers],[OVO BRANCO A]],estoque[data],preçodiario[[#This Row],[data]],estoque[fornecedor],"&lt;&gt;saída"))/(G302+(SUMIFS(estoque[quantidade],estoque[produto],preçodiario[[#Headers],[OVO BRANCO A]],estoque[fornecedor],"&lt;&gt;saída",estoque[data],preçodiario[[#This Row],[data]])))))</f>
        <v>15.278182701652089</v>
      </c>
      <c r="G303" s="22">
        <f>IF(preçodiario[[#This Row],[entrada A]]=0,G302-(SUMIFS(estoque[quantidade],estoque[fornecedor],"saída",estoque[produto],preçodiario[[#Headers],[OVO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Row],[data]]))+G302+preçodiario[[#This Row],[entrada A]])</f>
        <v>133</v>
      </c>
      <c r="H303" s="22">
        <f>SUMIFS(estoque[quantidade],estoque[fornecedor],"&lt;&gt;saída",estoque[produto],preçodiario[[#Headers],[OVO BRANCO A]],estoque[data],preçodiario[[#This Row],[data]])</f>
        <v>0</v>
      </c>
      <c r="I303" s="20">
        <f>SUMIFS(estoque[valor total],estoque[fornecedor],"&lt;&gt;saída",estoque[produto],preçodiario[[#Headers],[OVO BRANCO A]],estoque[data],preçodiario[[#This Row],[data]])</f>
        <v>0</v>
      </c>
      <c r="J303" s="20">
        <f>IFERROR(preçodiario[[#This Row],[estoque A]]*preçodiario[[#This Row],[OVO BRANCO A]],0)</f>
        <v>2031.9982993197277</v>
      </c>
      <c r="K30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Row],[data]])),((K302*L302)+SUMIFS(estoque[valor total],estoque[produto],preçodiario[[#Headers],[OVO BRANCO B]],estoque[data],preçodiario[[#This Row],[data]],estoque[fornecedor],"&lt;&gt;saída"))/(L302+(SUMIFS(estoque[quantidade],estoque[produto],preçodiario[[#Headers],[OVO BRANCO B]],estoque[fornecedor],"&lt;&gt;saída",estoque[data],preçodiario[[#This Row],[data]])))))</f>
        <v>14.584252837326604</v>
      </c>
      <c r="L303" s="22">
        <f>IF(preçodiario[[#This Row],[entrada B]]=0,L302-(SUMIFS(estoque[quantidade],estoque[fornecedor],"saída",estoque[produto],preçodiario[[#Headers],[OVO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Row],[data]]))+L302+preçodiario[[#This Row],[entrada B]])</f>
        <v>16</v>
      </c>
      <c r="M303" s="22">
        <f>SUMIFS(estoque[quantidade],estoque[fornecedor],"&lt;&gt;saída",estoque[produto],preçodiario[[#Headers],[OVO BRANCO B]],estoque[data],preçodiario[[#This Row],[data]])</f>
        <v>0</v>
      </c>
      <c r="N303" s="20">
        <f>SUMIFS(estoque[valor total],estoque[fornecedor],"&lt;&gt;saída",estoque[produto],preçodiario[[#Headers],[OVO BRANCO B]],estoque[data],preçodiario[[#This Row],[data]])</f>
        <v>0</v>
      </c>
      <c r="O303" s="20">
        <f>IFERROR(preçodiario[[#This Row],[OVO BRANCO B]]*preçodiario[[#This Row],[estoque B]],0)</f>
        <v>233.34804539722566</v>
      </c>
      <c r="P30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Row],[data]])),((P302*Q302)+SUMIFS(estoque[valor total],estoque[produto],preçodiario[[#Headers],[OVO BRANCO C]],estoque[data],preçodiario[[#This Row],[data]],estoque[fornecedor],"&lt;&gt;saída"))/(Q302+(SUMIFS(estoque[quantidade],estoque[produto],preçodiario[[#Headers],[OVO BRANCO C]],estoque[fornecedor],"&lt;&gt;saída",estoque[data],preçodiario[[#This Row],[data]])))))</f>
        <v>12.5</v>
      </c>
      <c r="Q303" s="22">
        <f>IF(preçodiario[[#This Row],[entrada C]]=0,Q302-(SUMIFS(estoque[quantidade],estoque[fornecedor],"saída",estoque[produto],preçodiario[[#Headers],[OVO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Row],[data]]))+Q302+preçodiario[[#This Row],[entrada C]])</f>
        <v>60</v>
      </c>
      <c r="R303" s="22">
        <f>SUMIFS(estoque[quantidade],estoque[fornecedor],"&lt;&gt;saída",estoque[produto],preçodiario[[#Headers],[OVO BRANCO C]],estoque[data],preçodiario[[#This Row],[data]])</f>
        <v>0</v>
      </c>
      <c r="S303" s="20">
        <f>SUMIFS(estoque[valor total],estoque[fornecedor],"&lt;&gt;saída",estoque[produto],preçodiario[[#Headers],[OVO BRANCO C]],estoque[data],preçodiario[[#This Row],[data]])</f>
        <v>0</v>
      </c>
      <c r="T303" s="20">
        <f>IFERROR(preçodiario[[#This Row],[OVO BRANCO C]]*preçodiario[[#This Row],[estoque C]],0)</f>
        <v>750</v>
      </c>
      <c r="U30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Row],[data]])),((U302*V302)+SUMIFS(estoque[valor total],estoque[produto],preçodiario[[#Headers],[OVO BRANCO EXTRA]],estoque[data],preçodiario[[#This Row],[data]],estoque[fornecedor],"&lt;&gt;saída"))/(V302+(SUMIFS(estoque[quantidade],estoque[produto],preçodiario[[#Headers],[OVO BRANCO EXTRA]],estoque[fornecedor],"&lt;&gt;saída",estoque[data],preçodiario[[#This Row],[data]])))))</f>
        <v>15.725438400674655</v>
      </c>
      <c r="V303" s="22">
        <f>IF(preçodiario[[#This Row],[entrada E]]=0,V302-(SUMIFS(estoque[quantidade],estoque[fornecedor],"saída",estoque[produto],preçodiario[[#Headers],[OVO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Row],[data]]))+V302+preçodiario[[#This Row],[entrada E]])</f>
        <v>46</v>
      </c>
      <c r="W303" s="22">
        <f>SUMIFS(estoque[quantidade],estoque[fornecedor],"&lt;&gt;saída",estoque[produto],preçodiario[[#Headers],[OVO BRANCO EXTRA]],estoque[data],preçodiario[[#This Row],[data]])</f>
        <v>0</v>
      </c>
      <c r="X303" s="20">
        <f>SUMIFS(estoque[valor total],estoque[fornecedor],"&lt;&gt;saída",estoque[produto],preçodiario[[#Headers],[OVO BRANCO EXTRA]],estoque[data],preçodiario[[#This Row],[data]])</f>
        <v>0</v>
      </c>
      <c r="Y303" s="20">
        <f>IFERROR(preçodiario[[#This Row],[estoque E]]*preçodiario[[#This Row],[OVO BRANCO EXTRA]],0)</f>
        <v>723.37016643103414</v>
      </c>
      <c r="Z30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Row],[data]])),((Z302*AA302)+SUMIFS(estoque[valor total],estoque[produto],preçodiario[[#Headers],[OVO BRANCO JUMBO]],estoque[data],preçodiario[[#This Row],[data]],estoque[fornecedor],"&lt;&gt;saída"))/(AA302+(SUMIFS(estoque[quantidade],estoque[produto],preçodiario[[#Headers],[OVO BRANCO JUMBO]],estoque[fornecedor],"&lt;&gt;saída",estoque[data],preçodiario[[#This Row],[data]])))))</f>
        <v>16.50550595238095</v>
      </c>
      <c r="AA303" s="22">
        <f>IF(preçodiario[[#This Row],[entrada J]]=0,AA302-(SUMIFS(estoque[quantidade],estoque[fornecedor],"saída",estoque[produto],preçodiario[[#Headers],[OVO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Row],[data]]))+AA302+preçodiario[[#This Row],[entrada J]])</f>
        <v>75</v>
      </c>
      <c r="AB303" s="22">
        <f>SUMIFS(estoque[quantidade],estoque[fornecedor],"&lt;&gt;saída",estoque[produto],preçodiario[[#Headers],[OVO BRANCO JUMBO]],estoque[data],preçodiario[[#This Row],[data]])</f>
        <v>0</v>
      </c>
      <c r="AC303" s="20">
        <f>SUMIFS(estoque[valor total],estoque[fornecedor],"&lt;&gt;saída",estoque[produto],preçodiario[[#Headers],[OVO BRANCO JUMBO]],estoque[data],preçodiario[[#This Row],[data]])</f>
        <v>0</v>
      </c>
      <c r="AD303" s="20">
        <f>IFERROR(preçodiario[[#This Row],[OVO BRANCO JUMBO]]*preçodiario[[#This Row],[estoque J]],0)</f>
        <v>1237.9129464285713</v>
      </c>
      <c r="AE30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Row],[data]])),((AE302*AF302)+SUMIFS(estoque[valor total],estoque[produto],preçodiario[[#Headers],[OVO VERMELHO A]],estoque[data],preçodiario[[#This Row],[data]],estoque[fornecedor],"&lt;&gt;saída"))/(AF302+(SUMIFS(estoque[quantidade],estoque[produto],preçodiario[[#Headers],[OVO VERMELHO A]],estoque[fornecedor],"&lt;&gt;saída",estoque[data],preçodiario[[#This Row],[data]])))))</f>
        <v/>
      </c>
      <c r="AF303" s="22">
        <f>IF(preçodiario[[#This Row],[entrada AV]]=0,AF302-(SUMIFS(estoque[quantidade],estoque[fornecedor],"saída",estoque[produto],preçodiario[[#Headers],[OVO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Row],[data]]))+AF302+preçodiario[[#This Row],[entrada AV]])</f>
        <v>0</v>
      </c>
      <c r="AG303" s="22">
        <f>SUMIFS(estoque[quantidade],estoque[fornecedor],"&lt;&gt;saída",estoque[produto],preçodiario[[#Headers],[OVO VERMELHO A]],estoque[data],preçodiario[[#This Row],[data]])</f>
        <v>0</v>
      </c>
      <c r="AH303" s="20">
        <f>SUMIFS(estoque[valor total],estoque[fornecedor],"&lt;&gt;saída",estoque[produto],preçodiario[[#Headers],[OVO VERMELHO A]],estoque[data],preçodiario[[#This Row],[data]])</f>
        <v>0</v>
      </c>
      <c r="AI303" s="20">
        <f>IFERROR(preçodiario[[#This Row],[OVO VERMELHO A]]*preçodiario[[#This Row],[estoque AV]],0)</f>
        <v>0</v>
      </c>
      <c r="AJ30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Row],[data]])),((AJ302*AK302)+SUMIFS(estoque[valor total],estoque[produto],preçodiario[[#Headers],[OVO VERMELHO B]],estoque[data],preçodiario[[#This Row],[data]],estoque[fornecedor],"&lt;&gt;saída"))/(AK302+(SUMIFS(estoque[quantidade],estoque[produto],preçodiario[[#Headers],[OVO VERMELHO B]],estoque[fornecedor],"&lt;&gt;saída",estoque[data],preçodiario[[#This Row],[data]])))))</f>
        <v/>
      </c>
      <c r="AK303" s="22">
        <f>IF(preçodiario[[#This Row],[entrada BV]]=0,AK302-(SUMIFS(estoque[quantidade],estoque[fornecedor],"saída",estoque[produto],preçodiario[[#Headers],[OVO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Row],[data]]))+AK302+preçodiario[[#This Row],[entrada BV]])</f>
        <v>0</v>
      </c>
      <c r="AL303" s="22">
        <f>SUMIFS(estoque[quantidade],estoque[fornecedor],"&lt;&gt;saída",estoque[produto],preçodiario[[#Headers],[OVO VERMELHO B]],estoque[data],preçodiario[[#This Row],[data]])</f>
        <v>0</v>
      </c>
      <c r="AM303" s="20">
        <f>SUMIFS(estoque[valor total],estoque[fornecedor],"&lt;&gt;saída",estoque[produto],preçodiario[[#Headers],[OVO VERMELHO B]],estoque[data],preçodiario[[#This Row],[data]])</f>
        <v>0</v>
      </c>
      <c r="AN303" s="20">
        <f>IFERROR(preçodiario[[#This Row],[OVO VERMELHO B]]*preçodiario[[#This Row],[estoque BV]],0)</f>
        <v>0</v>
      </c>
      <c r="AO30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Row],[data]])),((AO302*AP302)+SUMIFS(estoque[valor total],estoque[produto],preçodiario[[#Headers],[OVO VERMELHO C]],estoque[data],preçodiario[[#This Row],[data]],estoque[fornecedor],"&lt;&gt;saída"))/(AP302+(SUMIFS(estoque[quantidade],estoque[produto],preçodiario[[#Headers],[OVO VERMELHO C]],estoque[fornecedor],"&lt;&gt;saída",estoque[data],preçodiario[[#This Row],[data]])))))</f>
        <v/>
      </c>
      <c r="AP303" s="22">
        <f>IF(preçodiario[[#This Row],[entrada CV]]=0,AP302-(SUMIFS(estoque[quantidade],estoque[fornecedor],"saída",estoque[produto],preçodiario[[#Headers],[OVO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Row],[data]]))+AP302+preçodiario[[#This Row],[entrada CV]])</f>
        <v>0</v>
      </c>
      <c r="AQ303" s="22">
        <f>SUMIFS(estoque[quantidade],estoque[fornecedor],"&lt;&gt;saída",estoque[produto],preçodiario[[#Headers],[OVO VERMELHO C]],estoque[data],preçodiario[[#This Row],[data]])</f>
        <v>0</v>
      </c>
      <c r="AR303" s="20">
        <f>SUMIFS(estoque[valor total],estoque[fornecedor],"&lt;&gt;saída",estoque[produto],preçodiario[[#Headers],[OVO VERMELHO C]],estoque[data],preçodiario[[#This Row],[data]])</f>
        <v>0</v>
      </c>
      <c r="AS303" s="20">
        <f>IFERROR(preçodiario[[#This Row],[OVO VERMELHO C]]*preçodiario[[#This Row],[estoque CV]],0)</f>
        <v>0</v>
      </c>
      <c r="AT30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Row],[data]])),((AT302*AU302)+SUMIFS(estoque[valor total],estoque[produto],preçodiario[[#Headers],[OVO VERMELHO EXTRA]],estoque[data],preçodiario[[#This Row],[data]],estoque[fornecedor],"&lt;&gt;saída"))/(AU302+(SUMIFS(estoque[quantidade],estoque[produto],preçodiario[[#Headers],[OVO VERMELHO EXTRA]],estoque[fornecedor],"&lt;&gt;saída",estoque[data],preçodiario[[#This Row],[data]])))))</f>
        <v/>
      </c>
      <c r="AU303" s="22">
        <f>IF(preçodiario[[#This Row],[entrada EV]]=0,AU302-(SUMIFS(estoque[quantidade],estoque[fornecedor],"saída",estoque[produto],preçodiario[[#Headers],[OVO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Row],[data]]))+AU302+preçodiario[[#This Row],[entrada EV]])</f>
        <v>0</v>
      </c>
      <c r="AV303" s="22">
        <f>SUMIFS(estoque[quantidade],estoque[fornecedor],"&lt;&gt;saída",estoque[produto],preçodiario[[#Headers],[OVO VERMELHO EXTRA]],estoque[data],preçodiario[[#This Row],[data]])</f>
        <v>0</v>
      </c>
      <c r="AW303" s="20">
        <f>SUMIFS(estoque[valor total],estoque[fornecedor],"&lt;&gt;saída",estoque[produto],preçodiario[[#Headers],[OVO VERMELHO EXTRA]],estoque[data],preçodiario[[#This Row],[data]])</f>
        <v>0</v>
      </c>
      <c r="AX303" s="20">
        <f>IFERROR(preçodiario[[#This Row],[OVO VERMELHO EXTRA]]*preçodiario[[#This Row],[estoque EV]],0)</f>
        <v>0</v>
      </c>
      <c r="AY30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Row],[data]])),((AY302*AZ302)+SUMIFS(estoque[valor total],estoque[produto],preçodiario[[#Headers],[OVO VERMELHO JUMBO]],estoque[data],preçodiario[[#This Row],[data]],estoque[fornecedor],"&lt;&gt;saída"))/(AZ302+(SUMIFS(estoque[quantidade],estoque[produto],preçodiario[[#Headers],[OVO VERMELHO JUMBO]],estoque[fornecedor],"&lt;&gt;saída",estoque[data],preçodiario[[#This Row],[data]])))))</f>
        <v/>
      </c>
      <c r="AZ303" s="22">
        <f>IF(preçodiario[[#This Row],[entrada JV]]=0,AZ302-(SUMIFS(estoque[quantidade],estoque[fornecedor],"saída",estoque[produto],preçodiario[[#Headers],[OVO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Row],[data]]))+AZ302+preçodiario[[#This Row],[entrada JV]])</f>
        <v>0</v>
      </c>
      <c r="BA303" s="22">
        <f>SUMIFS(estoque[quantidade],estoque[fornecedor],"&lt;&gt;saída",estoque[produto],preçodiario[[#Headers],[OVO VERMELHO JUMBO]],estoque[data],preçodiario[[#This Row],[data]])</f>
        <v>0</v>
      </c>
      <c r="BB303" s="20">
        <f>SUMIFS(estoque[valor total],estoque[fornecedor],"&lt;&gt;saída",estoque[produto],preçodiario[[#Headers],[OVO VERMELHO JUMBO]],estoque[data],preçodiario[[#This Row],[data]])</f>
        <v>0</v>
      </c>
      <c r="BC303" s="20">
        <f>IFERROR(preçodiario[[#This Row],[OVO VERMELHO JUMBO]]*preçodiario[[#This Row],[estoque JV]],0)</f>
        <v>0</v>
      </c>
      <c r="BD303" t="str">
        <f>TEXT(vendaAno[[#This Row],[data]],"mmm")</f>
        <v>out</v>
      </c>
      <c r="BE303" t="str">
        <f>TEXT(vendaAno[[#This Row],[data]],"ddd")</f>
        <v>qui</v>
      </c>
      <c r="BF303" s="82">
        <f>WEEKNUM(vendaAno[[#This Row],[data]],13)</f>
        <v>44</v>
      </c>
      <c r="BG303" s="27">
        <f>preçodiario[[#This Row],[data]]</f>
        <v>46324</v>
      </c>
      <c r="BH30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Row],[data]]))/12+BJ302,"")</f>
        <v/>
      </c>
      <c r="BK303" s="79" t="str">
        <f ca="1">IF(TODAY()&gt;=vendaAno[[#This Row],[data]],IF(SUMIFS(estoque[quantidade],estoque[fornecedor],"saída",estoque[data],vendaAno[[#This Row],[data]])/12=0,AVERAGE(BK300:BK302),SUMIFS(estoque[quantidade],estoque[fornecedor],"saída",estoque[data],vendaAno[[#This Row],[data]])/12),"")</f>
        <v/>
      </c>
      <c r="BL303" s="8" t="str">
        <f ca="1">IF(vendaAno[[#This Row],[data]]&lt;=TODAY(),IF(SUMIFS(estoque[lucro],estoque[fornecedor],"saída",estoque[data],vendaAno[[#This Row],[data]])=0,AVERAGE(BL300:BL302),SUMIFS(estoque[lucro],estoque[fornecedor],"saída",estoque[data],vendaAno[[#This Row],[data]])),"")</f>
        <v/>
      </c>
      <c r="BM303" s="10" t="str">
        <f ca="1">IFERROR(vendaAno[[#This Row],[lucro]]/vendaAno[[#This Row],[valor de venda]],"")</f>
        <v/>
      </c>
      <c r="BN30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3" s="8" t="str">
        <f ca="1">IF(TODAY()&gt;=vendaAno[[#This Row],[data]],IF(vendaAno[[#This Row],[N°]]=BF302,vendaAno[[#This Row],[lucro]]-173.33+BO302,vendaAno[[#This Row],[lucro]]-150),"")</f>
        <v/>
      </c>
      <c r="BP303" s="81" t="str">
        <f ca="1">IF(TODAY()&gt;=vendaAno[[#This Row],[data]],SUM(BK297:BK303)*12,"")</f>
        <v/>
      </c>
      <c r="BQ303" s="7" t="str">
        <f ca="1">IFERROR(vendaAno[[#This Row],[lucro]]/(vendaAno[[#This Row],[venda]]*12),"")</f>
        <v/>
      </c>
    </row>
    <row r="304" spans="1:69" x14ac:dyDescent="0.25">
      <c r="A30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4" s="18" t="str">
        <f>TEXT(preçodiario[[#This Row],[data]],"MMM")</f>
        <v>out</v>
      </c>
      <c r="C304" s="18" t="str">
        <f>TEXT(preçodiario[[#This Row],[data]],"ddd")</f>
        <v>sex</v>
      </c>
      <c r="D304" s="96">
        <f>WEEKNUM(preçodiario[[#This Row],[data]],13)</f>
        <v>44</v>
      </c>
      <c r="E304" s="37">
        <v>46325</v>
      </c>
      <c r="F30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Row],[data]])),((F303*G303)+SUMIFS(estoque[valor total],estoque[produto],preçodiario[[#Headers],[OVO BRANCO A]],estoque[data],preçodiario[[#This Row],[data]],estoque[fornecedor],"&lt;&gt;saída"))/(G303+(SUMIFS(estoque[quantidade],estoque[produto],preçodiario[[#Headers],[OVO BRANCO A]],estoque[fornecedor],"&lt;&gt;saída",estoque[data],preçodiario[[#This Row],[data]])))))</f>
        <v>15.278182701652089</v>
      </c>
      <c r="G304" s="22">
        <f>IF(preçodiario[[#This Row],[entrada A]]=0,G303-(SUMIFS(estoque[quantidade],estoque[fornecedor],"saída",estoque[produto],preçodiario[[#Headers],[OVO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Row],[data]]))+G303+preçodiario[[#This Row],[entrada A]])</f>
        <v>133</v>
      </c>
      <c r="H304" s="22">
        <f>SUMIFS(estoque[quantidade],estoque[fornecedor],"&lt;&gt;saída",estoque[produto],preçodiario[[#Headers],[OVO BRANCO A]],estoque[data],preçodiario[[#This Row],[data]])</f>
        <v>0</v>
      </c>
      <c r="I304" s="20">
        <f>SUMIFS(estoque[valor total],estoque[fornecedor],"&lt;&gt;saída",estoque[produto],preçodiario[[#Headers],[OVO BRANCO A]],estoque[data],preçodiario[[#This Row],[data]])</f>
        <v>0</v>
      </c>
      <c r="J304" s="20">
        <f>IFERROR(preçodiario[[#This Row],[estoque A]]*preçodiario[[#This Row],[OVO BRANCO A]],0)</f>
        <v>2031.9982993197277</v>
      </c>
      <c r="K30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Row],[data]])),((K303*L303)+SUMIFS(estoque[valor total],estoque[produto],preçodiario[[#Headers],[OVO BRANCO B]],estoque[data],preçodiario[[#This Row],[data]],estoque[fornecedor],"&lt;&gt;saída"))/(L303+(SUMIFS(estoque[quantidade],estoque[produto],preçodiario[[#Headers],[OVO BRANCO B]],estoque[fornecedor],"&lt;&gt;saída",estoque[data],preçodiario[[#This Row],[data]])))))</f>
        <v>14.584252837326604</v>
      </c>
      <c r="L304" s="22">
        <f>IF(preçodiario[[#This Row],[entrada B]]=0,L303-(SUMIFS(estoque[quantidade],estoque[fornecedor],"saída",estoque[produto],preçodiario[[#Headers],[OVO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Row],[data]]))+L303+preçodiario[[#This Row],[entrada B]])</f>
        <v>16</v>
      </c>
      <c r="M304" s="22">
        <f>SUMIFS(estoque[quantidade],estoque[fornecedor],"&lt;&gt;saída",estoque[produto],preçodiario[[#Headers],[OVO BRANCO B]],estoque[data],preçodiario[[#This Row],[data]])</f>
        <v>0</v>
      </c>
      <c r="N304" s="20">
        <f>SUMIFS(estoque[valor total],estoque[fornecedor],"&lt;&gt;saída",estoque[produto],preçodiario[[#Headers],[OVO BRANCO B]],estoque[data],preçodiario[[#This Row],[data]])</f>
        <v>0</v>
      </c>
      <c r="O304" s="20">
        <f>IFERROR(preçodiario[[#This Row],[OVO BRANCO B]]*preçodiario[[#This Row],[estoque B]],0)</f>
        <v>233.34804539722566</v>
      </c>
      <c r="P30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Row],[data]])),((P303*Q303)+SUMIFS(estoque[valor total],estoque[produto],preçodiario[[#Headers],[OVO BRANCO C]],estoque[data],preçodiario[[#This Row],[data]],estoque[fornecedor],"&lt;&gt;saída"))/(Q303+(SUMIFS(estoque[quantidade],estoque[produto],preçodiario[[#Headers],[OVO BRANCO C]],estoque[fornecedor],"&lt;&gt;saída",estoque[data],preçodiario[[#This Row],[data]])))))</f>
        <v>12.5</v>
      </c>
      <c r="Q304" s="22">
        <f>IF(preçodiario[[#This Row],[entrada C]]=0,Q303-(SUMIFS(estoque[quantidade],estoque[fornecedor],"saída",estoque[produto],preçodiario[[#Headers],[OVO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Row],[data]]))+Q303+preçodiario[[#This Row],[entrada C]])</f>
        <v>60</v>
      </c>
      <c r="R304" s="22">
        <f>SUMIFS(estoque[quantidade],estoque[fornecedor],"&lt;&gt;saída",estoque[produto],preçodiario[[#Headers],[OVO BRANCO C]],estoque[data],preçodiario[[#This Row],[data]])</f>
        <v>0</v>
      </c>
      <c r="S304" s="20">
        <f>SUMIFS(estoque[valor total],estoque[fornecedor],"&lt;&gt;saída",estoque[produto],preçodiario[[#Headers],[OVO BRANCO C]],estoque[data],preçodiario[[#This Row],[data]])</f>
        <v>0</v>
      </c>
      <c r="T304" s="20">
        <f>IFERROR(preçodiario[[#This Row],[OVO BRANCO C]]*preçodiario[[#This Row],[estoque C]],0)</f>
        <v>750</v>
      </c>
      <c r="U30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Row],[data]])),((U303*V303)+SUMIFS(estoque[valor total],estoque[produto],preçodiario[[#Headers],[OVO BRANCO EXTRA]],estoque[data],preçodiario[[#This Row],[data]],estoque[fornecedor],"&lt;&gt;saída"))/(V303+(SUMIFS(estoque[quantidade],estoque[produto],preçodiario[[#Headers],[OVO BRANCO EXTRA]],estoque[fornecedor],"&lt;&gt;saída",estoque[data],preçodiario[[#This Row],[data]])))))</f>
        <v>15.725438400674655</v>
      </c>
      <c r="V304" s="22">
        <f>IF(preçodiario[[#This Row],[entrada E]]=0,V303-(SUMIFS(estoque[quantidade],estoque[fornecedor],"saída",estoque[produto],preçodiario[[#Headers],[OVO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Row],[data]]))+V303+preçodiario[[#This Row],[entrada E]])</f>
        <v>46</v>
      </c>
      <c r="W304" s="22">
        <f>SUMIFS(estoque[quantidade],estoque[fornecedor],"&lt;&gt;saída",estoque[produto],preçodiario[[#Headers],[OVO BRANCO EXTRA]],estoque[data],preçodiario[[#This Row],[data]])</f>
        <v>0</v>
      </c>
      <c r="X304" s="20">
        <f>SUMIFS(estoque[valor total],estoque[fornecedor],"&lt;&gt;saída",estoque[produto],preçodiario[[#Headers],[OVO BRANCO EXTRA]],estoque[data],preçodiario[[#This Row],[data]])</f>
        <v>0</v>
      </c>
      <c r="Y304" s="20">
        <f>IFERROR(preçodiario[[#This Row],[estoque E]]*preçodiario[[#This Row],[OVO BRANCO EXTRA]],0)</f>
        <v>723.37016643103414</v>
      </c>
      <c r="Z30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Row],[data]])),((Z303*AA303)+SUMIFS(estoque[valor total],estoque[produto],preçodiario[[#Headers],[OVO BRANCO JUMBO]],estoque[data],preçodiario[[#This Row],[data]],estoque[fornecedor],"&lt;&gt;saída"))/(AA303+(SUMIFS(estoque[quantidade],estoque[produto],preçodiario[[#Headers],[OVO BRANCO JUMBO]],estoque[fornecedor],"&lt;&gt;saída",estoque[data],preçodiario[[#This Row],[data]])))))</f>
        <v>16.50550595238095</v>
      </c>
      <c r="AA304" s="22">
        <f>IF(preçodiario[[#This Row],[entrada J]]=0,AA303-(SUMIFS(estoque[quantidade],estoque[fornecedor],"saída",estoque[produto],preçodiario[[#Headers],[OVO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Row],[data]]))+AA303+preçodiario[[#This Row],[entrada J]])</f>
        <v>75</v>
      </c>
      <c r="AB304" s="22">
        <f>SUMIFS(estoque[quantidade],estoque[fornecedor],"&lt;&gt;saída",estoque[produto],preçodiario[[#Headers],[OVO BRANCO JUMBO]],estoque[data],preçodiario[[#This Row],[data]])</f>
        <v>0</v>
      </c>
      <c r="AC304" s="20">
        <f>SUMIFS(estoque[valor total],estoque[fornecedor],"&lt;&gt;saída",estoque[produto],preçodiario[[#Headers],[OVO BRANCO JUMBO]],estoque[data],preçodiario[[#This Row],[data]])</f>
        <v>0</v>
      </c>
      <c r="AD304" s="20">
        <f>IFERROR(preçodiario[[#This Row],[OVO BRANCO JUMBO]]*preçodiario[[#This Row],[estoque J]],0)</f>
        <v>1237.9129464285713</v>
      </c>
      <c r="AE30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Row],[data]])),((AE303*AF303)+SUMIFS(estoque[valor total],estoque[produto],preçodiario[[#Headers],[OVO VERMELHO A]],estoque[data],preçodiario[[#This Row],[data]],estoque[fornecedor],"&lt;&gt;saída"))/(AF303+(SUMIFS(estoque[quantidade],estoque[produto],preçodiario[[#Headers],[OVO VERMELHO A]],estoque[fornecedor],"&lt;&gt;saída",estoque[data],preçodiario[[#This Row],[data]])))))</f>
        <v/>
      </c>
      <c r="AF304" s="22">
        <f>IF(preçodiario[[#This Row],[entrada AV]]=0,AF303-(SUMIFS(estoque[quantidade],estoque[fornecedor],"saída",estoque[produto],preçodiario[[#Headers],[OVO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Row],[data]]))+AF303+preçodiario[[#This Row],[entrada AV]])</f>
        <v>0</v>
      </c>
      <c r="AG304" s="22">
        <f>SUMIFS(estoque[quantidade],estoque[fornecedor],"&lt;&gt;saída",estoque[produto],preçodiario[[#Headers],[OVO VERMELHO A]],estoque[data],preçodiario[[#This Row],[data]])</f>
        <v>0</v>
      </c>
      <c r="AH304" s="20">
        <f>SUMIFS(estoque[valor total],estoque[fornecedor],"&lt;&gt;saída",estoque[produto],preçodiario[[#Headers],[OVO VERMELHO A]],estoque[data],preçodiario[[#This Row],[data]])</f>
        <v>0</v>
      </c>
      <c r="AI304" s="20">
        <f>IFERROR(preçodiario[[#This Row],[OVO VERMELHO A]]*preçodiario[[#This Row],[estoque AV]],0)</f>
        <v>0</v>
      </c>
      <c r="AJ30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Row],[data]])),((AJ303*AK303)+SUMIFS(estoque[valor total],estoque[produto],preçodiario[[#Headers],[OVO VERMELHO B]],estoque[data],preçodiario[[#This Row],[data]],estoque[fornecedor],"&lt;&gt;saída"))/(AK303+(SUMIFS(estoque[quantidade],estoque[produto],preçodiario[[#Headers],[OVO VERMELHO B]],estoque[fornecedor],"&lt;&gt;saída",estoque[data],preçodiario[[#This Row],[data]])))))</f>
        <v/>
      </c>
      <c r="AK304" s="22">
        <f>IF(preçodiario[[#This Row],[entrada BV]]=0,AK303-(SUMIFS(estoque[quantidade],estoque[fornecedor],"saída",estoque[produto],preçodiario[[#Headers],[OVO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Row],[data]]))+AK303+preçodiario[[#This Row],[entrada BV]])</f>
        <v>0</v>
      </c>
      <c r="AL304" s="22">
        <f>SUMIFS(estoque[quantidade],estoque[fornecedor],"&lt;&gt;saída",estoque[produto],preçodiario[[#Headers],[OVO VERMELHO B]],estoque[data],preçodiario[[#This Row],[data]])</f>
        <v>0</v>
      </c>
      <c r="AM304" s="20">
        <f>SUMIFS(estoque[valor total],estoque[fornecedor],"&lt;&gt;saída",estoque[produto],preçodiario[[#Headers],[OVO VERMELHO B]],estoque[data],preçodiario[[#This Row],[data]])</f>
        <v>0</v>
      </c>
      <c r="AN304" s="20">
        <f>IFERROR(preçodiario[[#This Row],[OVO VERMELHO B]]*preçodiario[[#This Row],[estoque BV]],0)</f>
        <v>0</v>
      </c>
      <c r="AO30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Row],[data]])),((AO303*AP303)+SUMIFS(estoque[valor total],estoque[produto],preçodiario[[#Headers],[OVO VERMELHO C]],estoque[data],preçodiario[[#This Row],[data]],estoque[fornecedor],"&lt;&gt;saída"))/(AP303+(SUMIFS(estoque[quantidade],estoque[produto],preçodiario[[#Headers],[OVO VERMELHO C]],estoque[fornecedor],"&lt;&gt;saída",estoque[data],preçodiario[[#This Row],[data]])))))</f>
        <v/>
      </c>
      <c r="AP304" s="22">
        <f>IF(preçodiario[[#This Row],[entrada CV]]=0,AP303-(SUMIFS(estoque[quantidade],estoque[fornecedor],"saída",estoque[produto],preçodiario[[#Headers],[OVO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Row],[data]]))+AP303+preçodiario[[#This Row],[entrada CV]])</f>
        <v>0</v>
      </c>
      <c r="AQ304" s="22">
        <f>SUMIFS(estoque[quantidade],estoque[fornecedor],"&lt;&gt;saída",estoque[produto],preçodiario[[#Headers],[OVO VERMELHO C]],estoque[data],preçodiario[[#This Row],[data]])</f>
        <v>0</v>
      </c>
      <c r="AR304" s="20">
        <f>SUMIFS(estoque[valor total],estoque[fornecedor],"&lt;&gt;saída",estoque[produto],preçodiario[[#Headers],[OVO VERMELHO C]],estoque[data],preçodiario[[#This Row],[data]])</f>
        <v>0</v>
      </c>
      <c r="AS304" s="20">
        <f>IFERROR(preçodiario[[#This Row],[OVO VERMELHO C]]*preçodiario[[#This Row],[estoque CV]],0)</f>
        <v>0</v>
      </c>
      <c r="AT30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Row],[data]])),((AT303*AU303)+SUMIFS(estoque[valor total],estoque[produto],preçodiario[[#Headers],[OVO VERMELHO EXTRA]],estoque[data],preçodiario[[#This Row],[data]],estoque[fornecedor],"&lt;&gt;saída"))/(AU303+(SUMIFS(estoque[quantidade],estoque[produto],preçodiario[[#Headers],[OVO VERMELHO EXTRA]],estoque[fornecedor],"&lt;&gt;saída",estoque[data],preçodiario[[#This Row],[data]])))))</f>
        <v/>
      </c>
      <c r="AU304" s="22">
        <f>IF(preçodiario[[#This Row],[entrada EV]]=0,AU303-(SUMIFS(estoque[quantidade],estoque[fornecedor],"saída",estoque[produto],preçodiario[[#Headers],[OVO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Row],[data]]))+AU303+preçodiario[[#This Row],[entrada EV]])</f>
        <v>0</v>
      </c>
      <c r="AV304" s="22">
        <f>SUMIFS(estoque[quantidade],estoque[fornecedor],"&lt;&gt;saída",estoque[produto],preçodiario[[#Headers],[OVO VERMELHO EXTRA]],estoque[data],preçodiario[[#This Row],[data]])</f>
        <v>0</v>
      </c>
      <c r="AW304" s="20">
        <f>SUMIFS(estoque[valor total],estoque[fornecedor],"&lt;&gt;saída",estoque[produto],preçodiario[[#Headers],[OVO VERMELHO EXTRA]],estoque[data],preçodiario[[#This Row],[data]])</f>
        <v>0</v>
      </c>
      <c r="AX304" s="20">
        <f>IFERROR(preçodiario[[#This Row],[OVO VERMELHO EXTRA]]*preçodiario[[#This Row],[estoque EV]],0)</f>
        <v>0</v>
      </c>
      <c r="AY30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Row],[data]])),((AY303*AZ303)+SUMIFS(estoque[valor total],estoque[produto],preçodiario[[#Headers],[OVO VERMELHO JUMBO]],estoque[data],preçodiario[[#This Row],[data]],estoque[fornecedor],"&lt;&gt;saída"))/(AZ303+(SUMIFS(estoque[quantidade],estoque[produto],preçodiario[[#Headers],[OVO VERMELHO JUMBO]],estoque[fornecedor],"&lt;&gt;saída",estoque[data],preçodiario[[#This Row],[data]])))))</f>
        <v/>
      </c>
      <c r="AZ304" s="22">
        <f>IF(preçodiario[[#This Row],[entrada JV]]=0,AZ303-(SUMIFS(estoque[quantidade],estoque[fornecedor],"saída",estoque[produto],preçodiario[[#Headers],[OVO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Row],[data]]))+AZ303+preçodiario[[#This Row],[entrada JV]])</f>
        <v>0</v>
      </c>
      <c r="BA304" s="22">
        <f>SUMIFS(estoque[quantidade],estoque[fornecedor],"&lt;&gt;saída",estoque[produto],preçodiario[[#Headers],[OVO VERMELHO JUMBO]],estoque[data],preçodiario[[#This Row],[data]])</f>
        <v>0</v>
      </c>
      <c r="BB304" s="20">
        <f>SUMIFS(estoque[valor total],estoque[fornecedor],"&lt;&gt;saída",estoque[produto],preçodiario[[#Headers],[OVO VERMELHO JUMBO]],estoque[data],preçodiario[[#This Row],[data]])</f>
        <v>0</v>
      </c>
      <c r="BC304" s="20">
        <f>IFERROR(preçodiario[[#This Row],[OVO VERMELHO JUMBO]]*preçodiario[[#This Row],[estoque JV]],0)</f>
        <v>0</v>
      </c>
      <c r="BD304" t="str">
        <f>TEXT(vendaAno[[#This Row],[data]],"mmm")</f>
        <v>out</v>
      </c>
      <c r="BE304" t="str">
        <f>TEXT(vendaAno[[#This Row],[data]],"ddd")</f>
        <v>sex</v>
      </c>
      <c r="BF304" s="82">
        <f>WEEKNUM(vendaAno[[#This Row],[data]],13)</f>
        <v>44</v>
      </c>
      <c r="BG304" s="27">
        <f>preçodiario[[#This Row],[data]]</f>
        <v>46325</v>
      </c>
      <c r="BH30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Row],[data]]))/12+BJ303,"")</f>
        <v/>
      </c>
      <c r="BK304" s="79" t="str">
        <f ca="1">IF(TODAY()&gt;=vendaAno[[#This Row],[data]],IF(SUMIFS(estoque[quantidade],estoque[fornecedor],"saída",estoque[data],vendaAno[[#This Row],[data]])/12=0,AVERAGE(BK301:BK303),SUMIFS(estoque[quantidade],estoque[fornecedor],"saída",estoque[data],vendaAno[[#This Row],[data]])/12),"")</f>
        <v/>
      </c>
      <c r="BL304" s="8" t="str">
        <f ca="1">IF(vendaAno[[#This Row],[data]]&lt;=TODAY(),IF(SUMIFS(estoque[lucro],estoque[fornecedor],"saída",estoque[data],vendaAno[[#This Row],[data]])=0,AVERAGE(BL301:BL303),SUMIFS(estoque[lucro],estoque[fornecedor],"saída",estoque[data],vendaAno[[#This Row],[data]])),"")</f>
        <v/>
      </c>
      <c r="BM304" s="10" t="str">
        <f ca="1">IFERROR(vendaAno[[#This Row],[lucro]]/vendaAno[[#This Row],[valor de venda]],"")</f>
        <v/>
      </c>
      <c r="BN30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4" s="8" t="str">
        <f ca="1">IF(TODAY()&gt;=vendaAno[[#This Row],[data]],IF(vendaAno[[#This Row],[N°]]=BF303,vendaAno[[#This Row],[lucro]]-173.33+BO303,vendaAno[[#This Row],[lucro]]-150),"")</f>
        <v/>
      </c>
      <c r="BP304" s="81" t="str">
        <f ca="1">IF(TODAY()&gt;=vendaAno[[#This Row],[data]],SUM(BK298:BK304)*12,"")</f>
        <v/>
      </c>
      <c r="BQ304" s="7" t="str">
        <f ca="1">IFERROR(vendaAno[[#This Row],[lucro]]/(vendaAno[[#This Row],[venda]]*12),"")</f>
        <v/>
      </c>
    </row>
    <row r="305" spans="1:69" x14ac:dyDescent="0.25">
      <c r="A30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5" s="18" t="str">
        <f>TEXT(preçodiario[[#This Row],[data]],"MMM")</f>
        <v>out</v>
      </c>
      <c r="C305" s="18" t="str">
        <f>TEXT(preçodiario[[#This Row],[data]],"ddd")</f>
        <v>sáb</v>
      </c>
      <c r="D305" s="96">
        <f>WEEKNUM(preçodiario[[#This Row],[data]],13)</f>
        <v>44</v>
      </c>
      <c r="E305" s="37">
        <v>46326</v>
      </c>
      <c r="F30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Row],[data]])),((F304*G304)+SUMIFS(estoque[valor total],estoque[produto],preçodiario[[#Headers],[OVO BRANCO A]],estoque[data],preçodiario[[#This Row],[data]],estoque[fornecedor],"&lt;&gt;saída"))/(G304+(SUMIFS(estoque[quantidade],estoque[produto],preçodiario[[#Headers],[OVO BRANCO A]],estoque[fornecedor],"&lt;&gt;saída",estoque[data],preçodiario[[#This Row],[data]])))))</f>
        <v>15.278182701652089</v>
      </c>
      <c r="G305" s="22">
        <f>IF(preçodiario[[#This Row],[entrada A]]=0,G304-(SUMIFS(estoque[quantidade],estoque[fornecedor],"saída",estoque[produto],preçodiario[[#Headers],[OVO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Row],[data]]))+G304+preçodiario[[#This Row],[entrada A]])</f>
        <v>133</v>
      </c>
      <c r="H305" s="22">
        <f>SUMIFS(estoque[quantidade],estoque[fornecedor],"&lt;&gt;saída",estoque[produto],preçodiario[[#Headers],[OVO BRANCO A]],estoque[data],preçodiario[[#This Row],[data]])</f>
        <v>0</v>
      </c>
      <c r="I305" s="20">
        <f>SUMIFS(estoque[valor total],estoque[fornecedor],"&lt;&gt;saída",estoque[produto],preçodiario[[#Headers],[OVO BRANCO A]],estoque[data],preçodiario[[#This Row],[data]])</f>
        <v>0</v>
      </c>
      <c r="J305" s="20">
        <f>IFERROR(preçodiario[[#This Row],[estoque A]]*preçodiario[[#This Row],[OVO BRANCO A]],0)</f>
        <v>2031.9982993197277</v>
      </c>
      <c r="K30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Row],[data]])),((K304*L304)+SUMIFS(estoque[valor total],estoque[produto],preçodiario[[#Headers],[OVO BRANCO B]],estoque[data],preçodiario[[#This Row],[data]],estoque[fornecedor],"&lt;&gt;saída"))/(L304+(SUMIFS(estoque[quantidade],estoque[produto],preçodiario[[#Headers],[OVO BRANCO B]],estoque[fornecedor],"&lt;&gt;saída",estoque[data],preçodiario[[#This Row],[data]])))))</f>
        <v>14.584252837326604</v>
      </c>
      <c r="L305" s="22">
        <f>IF(preçodiario[[#This Row],[entrada B]]=0,L304-(SUMIFS(estoque[quantidade],estoque[fornecedor],"saída",estoque[produto],preçodiario[[#Headers],[OVO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Row],[data]]))+L304+preçodiario[[#This Row],[entrada B]])</f>
        <v>16</v>
      </c>
      <c r="M305" s="22">
        <f>SUMIFS(estoque[quantidade],estoque[fornecedor],"&lt;&gt;saída",estoque[produto],preçodiario[[#Headers],[OVO BRANCO B]],estoque[data],preçodiario[[#This Row],[data]])</f>
        <v>0</v>
      </c>
      <c r="N305" s="20">
        <f>SUMIFS(estoque[valor total],estoque[fornecedor],"&lt;&gt;saída",estoque[produto],preçodiario[[#Headers],[OVO BRANCO B]],estoque[data],preçodiario[[#This Row],[data]])</f>
        <v>0</v>
      </c>
      <c r="O305" s="20">
        <f>IFERROR(preçodiario[[#This Row],[OVO BRANCO B]]*preçodiario[[#This Row],[estoque B]],0)</f>
        <v>233.34804539722566</v>
      </c>
      <c r="P30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Row],[data]])),((P304*Q304)+SUMIFS(estoque[valor total],estoque[produto],preçodiario[[#Headers],[OVO BRANCO C]],estoque[data],preçodiario[[#This Row],[data]],estoque[fornecedor],"&lt;&gt;saída"))/(Q304+(SUMIFS(estoque[quantidade],estoque[produto],preçodiario[[#Headers],[OVO BRANCO C]],estoque[fornecedor],"&lt;&gt;saída",estoque[data],preçodiario[[#This Row],[data]])))))</f>
        <v>12.5</v>
      </c>
      <c r="Q305" s="22">
        <f>IF(preçodiario[[#This Row],[entrada C]]=0,Q304-(SUMIFS(estoque[quantidade],estoque[fornecedor],"saída",estoque[produto],preçodiario[[#Headers],[OVO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Row],[data]]))+Q304+preçodiario[[#This Row],[entrada C]])</f>
        <v>60</v>
      </c>
      <c r="R305" s="22">
        <f>SUMIFS(estoque[quantidade],estoque[fornecedor],"&lt;&gt;saída",estoque[produto],preçodiario[[#Headers],[OVO BRANCO C]],estoque[data],preçodiario[[#This Row],[data]])</f>
        <v>0</v>
      </c>
      <c r="S305" s="20">
        <f>SUMIFS(estoque[valor total],estoque[fornecedor],"&lt;&gt;saída",estoque[produto],preçodiario[[#Headers],[OVO BRANCO C]],estoque[data],preçodiario[[#This Row],[data]])</f>
        <v>0</v>
      </c>
      <c r="T305" s="20">
        <f>IFERROR(preçodiario[[#This Row],[OVO BRANCO C]]*preçodiario[[#This Row],[estoque C]],0)</f>
        <v>750</v>
      </c>
      <c r="U30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Row],[data]])),((U304*V304)+SUMIFS(estoque[valor total],estoque[produto],preçodiario[[#Headers],[OVO BRANCO EXTRA]],estoque[data],preçodiario[[#This Row],[data]],estoque[fornecedor],"&lt;&gt;saída"))/(V304+(SUMIFS(estoque[quantidade],estoque[produto],preçodiario[[#Headers],[OVO BRANCO EXTRA]],estoque[fornecedor],"&lt;&gt;saída",estoque[data],preçodiario[[#This Row],[data]])))))</f>
        <v>15.725438400674655</v>
      </c>
      <c r="V305" s="22">
        <f>IF(preçodiario[[#This Row],[entrada E]]=0,V304-(SUMIFS(estoque[quantidade],estoque[fornecedor],"saída",estoque[produto],preçodiario[[#Headers],[OVO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Row],[data]]))+V304+preçodiario[[#This Row],[entrada E]])</f>
        <v>46</v>
      </c>
      <c r="W305" s="22">
        <f>SUMIFS(estoque[quantidade],estoque[fornecedor],"&lt;&gt;saída",estoque[produto],preçodiario[[#Headers],[OVO BRANCO EXTRA]],estoque[data],preçodiario[[#This Row],[data]])</f>
        <v>0</v>
      </c>
      <c r="X305" s="20">
        <f>SUMIFS(estoque[valor total],estoque[fornecedor],"&lt;&gt;saída",estoque[produto],preçodiario[[#Headers],[OVO BRANCO EXTRA]],estoque[data],preçodiario[[#This Row],[data]])</f>
        <v>0</v>
      </c>
      <c r="Y305" s="20">
        <f>IFERROR(preçodiario[[#This Row],[estoque E]]*preçodiario[[#This Row],[OVO BRANCO EXTRA]],0)</f>
        <v>723.37016643103414</v>
      </c>
      <c r="Z30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Row],[data]])),((Z304*AA304)+SUMIFS(estoque[valor total],estoque[produto],preçodiario[[#Headers],[OVO BRANCO JUMBO]],estoque[data],preçodiario[[#This Row],[data]],estoque[fornecedor],"&lt;&gt;saída"))/(AA304+(SUMIFS(estoque[quantidade],estoque[produto],preçodiario[[#Headers],[OVO BRANCO JUMBO]],estoque[fornecedor],"&lt;&gt;saída",estoque[data],preçodiario[[#This Row],[data]])))))</f>
        <v>16.50550595238095</v>
      </c>
      <c r="AA305" s="22">
        <f>IF(preçodiario[[#This Row],[entrada J]]=0,AA304-(SUMIFS(estoque[quantidade],estoque[fornecedor],"saída",estoque[produto],preçodiario[[#Headers],[OVO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Row],[data]]))+AA304+preçodiario[[#This Row],[entrada J]])</f>
        <v>75</v>
      </c>
      <c r="AB305" s="22">
        <f>SUMIFS(estoque[quantidade],estoque[fornecedor],"&lt;&gt;saída",estoque[produto],preçodiario[[#Headers],[OVO BRANCO JUMBO]],estoque[data],preçodiario[[#This Row],[data]])</f>
        <v>0</v>
      </c>
      <c r="AC305" s="20">
        <f>SUMIFS(estoque[valor total],estoque[fornecedor],"&lt;&gt;saída",estoque[produto],preçodiario[[#Headers],[OVO BRANCO JUMBO]],estoque[data],preçodiario[[#This Row],[data]])</f>
        <v>0</v>
      </c>
      <c r="AD305" s="20">
        <f>IFERROR(preçodiario[[#This Row],[OVO BRANCO JUMBO]]*preçodiario[[#This Row],[estoque J]],0)</f>
        <v>1237.9129464285713</v>
      </c>
      <c r="AE30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Row],[data]])),((AE304*AF304)+SUMIFS(estoque[valor total],estoque[produto],preçodiario[[#Headers],[OVO VERMELHO A]],estoque[data],preçodiario[[#This Row],[data]],estoque[fornecedor],"&lt;&gt;saída"))/(AF304+(SUMIFS(estoque[quantidade],estoque[produto],preçodiario[[#Headers],[OVO VERMELHO A]],estoque[fornecedor],"&lt;&gt;saída",estoque[data],preçodiario[[#This Row],[data]])))))</f>
        <v/>
      </c>
      <c r="AF305" s="22">
        <f>IF(preçodiario[[#This Row],[entrada AV]]=0,AF304-(SUMIFS(estoque[quantidade],estoque[fornecedor],"saída",estoque[produto],preçodiario[[#Headers],[OVO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Row],[data]]))+AF304+preçodiario[[#This Row],[entrada AV]])</f>
        <v>0</v>
      </c>
      <c r="AG305" s="22">
        <f>SUMIFS(estoque[quantidade],estoque[fornecedor],"&lt;&gt;saída",estoque[produto],preçodiario[[#Headers],[OVO VERMELHO A]],estoque[data],preçodiario[[#This Row],[data]])</f>
        <v>0</v>
      </c>
      <c r="AH305" s="20">
        <f>SUMIFS(estoque[valor total],estoque[fornecedor],"&lt;&gt;saída",estoque[produto],preçodiario[[#Headers],[OVO VERMELHO A]],estoque[data],preçodiario[[#This Row],[data]])</f>
        <v>0</v>
      </c>
      <c r="AI305" s="20">
        <f>IFERROR(preçodiario[[#This Row],[OVO VERMELHO A]]*preçodiario[[#This Row],[estoque AV]],0)</f>
        <v>0</v>
      </c>
      <c r="AJ30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Row],[data]])),((AJ304*AK304)+SUMIFS(estoque[valor total],estoque[produto],preçodiario[[#Headers],[OVO VERMELHO B]],estoque[data],preçodiario[[#This Row],[data]],estoque[fornecedor],"&lt;&gt;saída"))/(AK304+(SUMIFS(estoque[quantidade],estoque[produto],preçodiario[[#Headers],[OVO VERMELHO B]],estoque[fornecedor],"&lt;&gt;saída",estoque[data],preçodiario[[#This Row],[data]])))))</f>
        <v/>
      </c>
      <c r="AK305" s="22">
        <f>IF(preçodiario[[#This Row],[entrada BV]]=0,AK304-(SUMIFS(estoque[quantidade],estoque[fornecedor],"saída",estoque[produto],preçodiario[[#Headers],[OVO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Row],[data]]))+AK304+preçodiario[[#This Row],[entrada BV]])</f>
        <v>0</v>
      </c>
      <c r="AL305" s="22">
        <f>SUMIFS(estoque[quantidade],estoque[fornecedor],"&lt;&gt;saída",estoque[produto],preçodiario[[#Headers],[OVO VERMELHO B]],estoque[data],preçodiario[[#This Row],[data]])</f>
        <v>0</v>
      </c>
      <c r="AM305" s="20">
        <f>SUMIFS(estoque[valor total],estoque[fornecedor],"&lt;&gt;saída",estoque[produto],preçodiario[[#Headers],[OVO VERMELHO B]],estoque[data],preçodiario[[#This Row],[data]])</f>
        <v>0</v>
      </c>
      <c r="AN305" s="20">
        <f>IFERROR(preçodiario[[#This Row],[OVO VERMELHO B]]*preçodiario[[#This Row],[estoque BV]],0)</f>
        <v>0</v>
      </c>
      <c r="AO30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Row],[data]])),((AO304*AP304)+SUMIFS(estoque[valor total],estoque[produto],preçodiario[[#Headers],[OVO VERMELHO C]],estoque[data],preçodiario[[#This Row],[data]],estoque[fornecedor],"&lt;&gt;saída"))/(AP304+(SUMIFS(estoque[quantidade],estoque[produto],preçodiario[[#Headers],[OVO VERMELHO C]],estoque[fornecedor],"&lt;&gt;saída",estoque[data],preçodiario[[#This Row],[data]])))))</f>
        <v/>
      </c>
      <c r="AP305" s="22">
        <f>IF(preçodiario[[#This Row],[entrada CV]]=0,AP304-(SUMIFS(estoque[quantidade],estoque[fornecedor],"saída",estoque[produto],preçodiario[[#Headers],[OVO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Row],[data]]))+AP304+preçodiario[[#This Row],[entrada CV]])</f>
        <v>0</v>
      </c>
      <c r="AQ305" s="22">
        <f>SUMIFS(estoque[quantidade],estoque[fornecedor],"&lt;&gt;saída",estoque[produto],preçodiario[[#Headers],[OVO VERMELHO C]],estoque[data],preçodiario[[#This Row],[data]])</f>
        <v>0</v>
      </c>
      <c r="AR305" s="20">
        <f>SUMIFS(estoque[valor total],estoque[fornecedor],"&lt;&gt;saída",estoque[produto],preçodiario[[#Headers],[OVO VERMELHO C]],estoque[data],preçodiario[[#This Row],[data]])</f>
        <v>0</v>
      </c>
      <c r="AS305" s="20">
        <f>IFERROR(preçodiario[[#This Row],[OVO VERMELHO C]]*preçodiario[[#This Row],[estoque CV]],0)</f>
        <v>0</v>
      </c>
      <c r="AT30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Row],[data]])),((AT304*AU304)+SUMIFS(estoque[valor total],estoque[produto],preçodiario[[#Headers],[OVO VERMELHO EXTRA]],estoque[data],preçodiario[[#This Row],[data]],estoque[fornecedor],"&lt;&gt;saída"))/(AU304+(SUMIFS(estoque[quantidade],estoque[produto],preçodiario[[#Headers],[OVO VERMELHO EXTRA]],estoque[fornecedor],"&lt;&gt;saída",estoque[data],preçodiario[[#This Row],[data]])))))</f>
        <v/>
      </c>
      <c r="AU305" s="22">
        <f>IF(preçodiario[[#This Row],[entrada EV]]=0,AU304-(SUMIFS(estoque[quantidade],estoque[fornecedor],"saída",estoque[produto],preçodiario[[#Headers],[OVO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Row],[data]]))+AU304+preçodiario[[#This Row],[entrada EV]])</f>
        <v>0</v>
      </c>
      <c r="AV305" s="22">
        <f>SUMIFS(estoque[quantidade],estoque[fornecedor],"&lt;&gt;saída",estoque[produto],preçodiario[[#Headers],[OVO VERMELHO EXTRA]],estoque[data],preçodiario[[#This Row],[data]])</f>
        <v>0</v>
      </c>
      <c r="AW305" s="20">
        <f>SUMIFS(estoque[valor total],estoque[fornecedor],"&lt;&gt;saída",estoque[produto],preçodiario[[#Headers],[OVO VERMELHO EXTRA]],estoque[data],preçodiario[[#This Row],[data]])</f>
        <v>0</v>
      </c>
      <c r="AX305" s="20">
        <f>IFERROR(preçodiario[[#This Row],[OVO VERMELHO EXTRA]]*preçodiario[[#This Row],[estoque EV]],0)</f>
        <v>0</v>
      </c>
      <c r="AY30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Row],[data]])),((AY304*AZ304)+SUMIFS(estoque[valor total],estoque[produto],preçodiario[[#Headers],[OVO VERMELHO JUMBO]],estoque[data],preçodiario[[#This Row],[data]],estoque[fornecedor],"&lt;&gt;saída"))/(AZ304+(SUMIFS(estoque[quantidade],estoque[produto],preçodiario[[#Headers],[OVO VERMELHO JUMBO]],estoque[fornecedor],"&lt;&gt;saída",estoque[data],preçodiario[[#This Row],[data]])))))</f>
        <v/>
      </c>
      <c r="AZ305" s="22">
        <f>IF(preçodiario[[#This Row],[entrada JV]]=0,AZ304-(SUMIFS(estoque[quantidade],estoque[fornecedor],"saída",estoque[produto],preçodiario[[#Headers],[OVO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Row],[data]]))+AZ304+preçodiario[[#This Row],[entrada JV]])</f>
        <v>0</v>
      </c>
      <c r="BA305" s="22">
        <f>SUMIFS(estoque[quantidade],estoque[fornecedor],"&lt;&gt;saída",estoque[produto],preçodiario[[#Headers],[OVO VERMELHO JUMBO]],estoque[data],preçodiario[[#This Row],[data]])</f>
        <v>0</v>
      </c>
      <c r="BB305" s="20">
        <f>SUMIFS(estoque[valor total],estoque[fornecedor],"&lt;&gt;saída",estoque[produto],preçodiario[[#Headers],[OVO VERMELHO JUMBO]],estoque[data],preçodiario[[#This Row],[data]])</f>
        <v>0</v>
      </c>
      <c r="BC305" s="20">
        <f>IFERROR(preçodiario[[#This Row],[OVO VERMELHO JUMBO]]*preçodiario[[#This Row],[estoque JV]],0)</f>
        <v>0</v>
      </c>
      <c r="BD305" t="str">
        <f>TEXT(vendaAno[[#This Row],[data]],"mmm")</f>
        <v>out</v>
      </c>
      <c r="BE305" t="str">
        <f>TEXT(vendaAno[[#This Row],[data]],"ddd")</f>
        <v>sáb</v>
      </c>
      <c r="BF305" s="82">
        <f>WEEKNUM(vendaAno[[#This Row],[data]],13)</f>
        <v>44</v>
      </c>
      <c r="BG305" s="27">
        <f>preçodiario[[#This Row],[data]]</f>
        <v>46326</v>
      </c>
      <c r="BH30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Row],[data]]))/12+BJ304,"")</f>
        <v/>
      </c>
      <c r="BK305" s="79" t="str">
        <f ca="1">IF(TODAY()&gt;=vendaAno[[#This Row],[data]],IF(SUMIFS(estoque[quantidade],estoque[fornecedor],"saída",estoque[data],vendaAno[[#This Row],[data]])/12=0,AVERAGE(BK302:BK304),SUMIFS(estoque[quantidade],estoque[fornecedor],"saída",estoque[data],vendaAno[[#This Row],[data]])/12),"")</f>
        <v/>
      </c>
      <c r="BL305" s="8" t="str">
        <f ca="1">IF(vendaAno[[#This Row],[data]]&lt;=TODAY(),IF(SUMIFS(estoque[lucro],estoque[fornecedor],"saída",estoque[data],vendaAno[[#This Row],[data]])=0,AVERAGE(BL302:BL304),SUMIFS(estoque[lucro],estoque[fornecedor],"saída",estoque[data],vendaAno[[#This Row],[data]])),"")</f>
        <v/>
      </c>
      <c r="BM305" s="10" t="str">
        <f ca="1">IFERROR(vendaAno[[#This Row],[lucro]]/vendaAno[[#This Row],[valor de venda]],"")</f>
        <v/>
      </c>
      <c r="BN30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5" s="8" t="str">
        <f ca="1">IF(TODAY()&gt;=vendaAno[[#This Row],[data]],IF(vendaAno[[#This Row],[N°]]=BF304,vendaAno[[#This Row],[lucro]]-173.33+BO304,vendaAno[[#This Row],[lucro]]-150),"")</f>
        <v/>
      </c>
      <c r="BP305" s="81" t="str">
        <f ca="1">IF(TODAY()&gt;=vendaAno[[#This Row],[data]],SUM(BK299:BK305)*12,"")</f>
        <v/>
      </c>
      <c r="BQ305" s="7" t="str">
        <f ca="1">IFERROR(vendaAno[[#This Row],[lucro]]/(vendaAno[[#This Row],[venda]]*12),"")</f>
        <v/>
      </c>
    </row>
    <row r="306" spans="1:69" x14ac:dyDescent="0.25">
      <c r="A30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6" s="18" t="str">
        <f>TEXT(preçodiario[[#This Row],[data]],"MMM")</f>
        <v>nov</v>
      </c>
      <c r="C306" s="18" t="str">
        <f>TEXT(preçodiario[[#This Row],[data]],"ddd")</f>
        <v>dom</v>
      </c>
      <c r="D306" s="96">
        <f>WEEKNUM(preçodiario[[#This Row],[data]],13)</f>
        <v>44</v>
      </c>
      <c r="E306" s="37">
        <v>46327</v>
      </c>
      <c r="F30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Row],[data]])),((F305*G305)+SUMIFS(estoque[valor total],estoque[produto],preçodiario[[#Headers],[OVO BRANCO A]],estoque[data],preçodiario[[#This Row],[data]],estoque[fornecedor],"&lt;&gt;saída"))/(G305+(SUMIFS(estoque[quantidade],estoque[produto],preçodiario[[#Headers],[OVO BRANCO A]],estoque[fornecedor],"&lt;&gt;saída",estoque[data],preçodiario[[#This Row],[data]])))))</f>
        <v>15.278182701652089</v>
      </c>
      <c r="G306" s="22">
        <f>IF(preçodiario[[#This Row],[entrada A]]=0,G305-(SUMIFS(estoque[quantidade],estoque[fornecedor],"saída",estoque[produto],preçodiario[[#Headers],[OVO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Row],[data]]))+G305+preçodiario[[#This Row],[entrada A]])</f>
        <v>133</v>
      </c>
      <c r="H306" s="22">
        <f>SUMIFS(estoque[quantidade],estoque[fornecedor],"&lt;&gt;saída",estoque[produto],preçodiario[[#Headers],[OVO BRANCO A]],estoque[data],preçodiario[[#This Row],[data]])</f>
        <v>0</v>
      </c>
      <c r="I306" s="20">
        <f>SUMIFS(estoque[valor total],estoque[fornecedor],"&lt;&gt;saída",estoque[produto],preçodiario[[#Headers],[OVO BRANCO A]],estoque[data],preçodiario[[#This Row],[data]])</f>
        <v>0</v>
      </c>
      <c r="J306" s="20">
        <f>IFERROR(preçodiario[[#This Row],[estoque A]]*preçodiario[[#This Row],[OVO BRANCO A]],0)</f>
        <v>2031.9982993197277</v>
      </c>
      <c r="K30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Row],[data]])),((K305*L305)+SUMIFS(estoque[valor total],estoque[produto],preçodiario[[#Headers],[OVO BRANCO B]],estoque[data],preçodiario[[#This Row],[data]],estoque[fornecedor],"&lt;&gt;saída"))/(L305+(SUMIFS(estoque[quantidade],estoque[produto],preçodiario[[#Headers],[OVO BRANCO B]],estoque[fornecedor],"&lt;&gt;saída",estoque[data],preçodiario[[#This Row],[data]])))))</f>
        <v>14.584252837326604</v>
      </c>
      <c r="L306" s="22">
        <f>IF(preçodiario[[#This Row],[entrada B]]=0,L305-(SUMIFS(estoque[quantidade],estoque[fornecedor],"saída",estoque[produto],preçodiario[[#Headers],[OVO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Row],[data]]))+L305+preçodiario[[#This Row],[entrada B]])</f>
        <v>16</v>
      </c>
      <c r="M306" s="22">
        <f>SUMIFS(estoque[quantidade],estoque[fornecedor],"&lt;&gt;saída",estoque[produto],preçodiario[[#Headers],[OVO BRANCO B]],estoque[data],preçodiario[[#This Row],[data]])</f>
        <v>0</v>
      </c>
      <c r="N306" s="20">
        <f>SUMIFS(estoque[valor total],estoque[fornecedor],"&lt;&gt;saída",estoque[produto],preçodiario[[#Headers],[OVO BRANCO B]],estoque[data],preçodiario[[#This Row],[data]])</f>
        <v>0</v>
      </c>
      <c r="O306" s="20">
        <f>IFERROR(preçodiario[[#This Row],[OVO BRANCO B]]*preçodiario[[#This Row],[estoque B]],0)</f>
        <v>233.34804539722566</v>
      </c>
      <c r="P30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Row],[data]])),((P305*Q305)+SUMIFS(estoque[valor total],estoque[produto],preçodiario[[#Headers],[OVO BRANCO C]],estoque[data],preçodiario[[#This Row],[data]],estoque[fornecedor],"&lt;&gt;saída"))/(Q305+(SUMIFS(estoque[quantidade],estoque[produto],preçodiario[[#Headers],[OVO BRANCO C]],estoque[fornecedor],"&lt;&gt;saída",estoque[data],preçodiario[[#This Row],[data]])))))</f>
        <v>12.5</v>
      </c>
      <c r="Q306" s="22">
        <f>IF(preçodiario[[#This Row],[entrada C]]=0,Q305-(SUMIFS(estoque[quantidade],estoque[fornecedor],"saída",estoque[produto],preçodiario[[#Headers],[OVO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Row],[data]]))+Q305+preçodiario[[#This Row],[entrada C]])</f>
        <v>60</v>
      </c>
      <c r="R306" s="22">
        <f>SUMIFS(estoque[quantidade],estoque[fornecedor],"&lt;&gt;saída",estoque[produto],preçodiario[[#Headers],[OVO BRANCO C]],estoque[data],preçodiario[[#This Row],[data]])</f>
        <v>0</v>
      </c>
      <c r="S306" s="20">
        <f>SUMIFS(estoque[valor total],estoque[fornecedor],"&lt;&gt;saída",estoque[produto],preçodiario[[#Headers],[OVO BRANCO C]],estoque[data],preçodiario[[#This Row],[data]])</f>
        <v>0</v>
      </c>
      <c r="T306" s="20">
        <f>IFERROR(preçodiario[[#This Row],[OVO BRANCO C]]*preçodiario[[#This Row],[estoque C]],0)</f>
        <v>750</v>
      </c>
      <c r="U30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Row],[data]])),((U305*V305)+SUMIFS(estoque[valor total],estoque[produto],preçodiario[[#Headers],[OVO BRANCO EXTRA]],estoque[data],preçodiario[[#This Row],[data]],estoque[fornecedor],"&lt;&gt;saída"))/(V305+(SUMIFS(estoque[quantidade],estoque[produto],preçodiario[[#Headers],[OVO BRANCO EXTRA]],estoque[fornecedor],"&lt;&gt;saída",estoque[data],preçodiario[[#This Row],[data]])))))</f>
        <v>15.725438400674655</v>
      </c>
      <c r="V306" s="22">
        <f>IF(preçodiario[[#This Row],[entrada E]]=0,V305-(SUMIFS(estoque[quantidade],estoque[fornecedor],"saída",estoque[produto],preçodiario[[#Headers],[OVO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Row],[data]]))+V305+preçodiario[[#This Row],[entrada E]])</f>
        <v>46</v>
      </c>
      <c r="W306" s="22">
        <f>SUMIFS(estoque[quantidade],estoque[fornecedor],"&lt;&gt;saída",estoque[produto],preçodiario[[#Headers],[OVO BRANCO EXTRA]],estoque[data],preçodiario[[#This Row],[data]])</f>
        <v>0</v>
      </c>
      <c r="X306" s="20">
        <f>SUMIFS(estoque[valor total],estoque[fornecedor],"&lt;&gt;saída",estoque[produto],preçodiario[[#Headers],[OVO BRANCO EXTRA]],estoque[data],preçodiario[[#This Row],[data]])</f>
        <v>0</v>
      </c>
      <c r="Y306" s="20">
        <f>IFERROR(preçodiario[[#This Row],[estoque E]]*preçodiario[[#This Row],[OVO BRANCO EXTRA]],0)</f>
        <v>723.37016643103414</v>
      </c>
      <c r="Z30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Row],[data]])),((Z305*AA305)+SUMIFS(estoque[valor total],estoque[produto],preçodiario[[#Headers],[OVO BRANCO JUMBO]],estoque[data],preçodiario[[#This Row],[data]],estoque[fornecedor],"&lt;&gt;saída"))/(AA305+(SUMIFS(estoque[quantidade],estoque[produto],preçodiario[[#Headers],[OVO BRANCO JUMBO]],estoque[fornecedor],"&lt;&gt;saída",estoque[data],preçodiario[[#This Row],[data]])))))</f>
        <v>16.50550595238095</v>
      </c>
      <c r="AA306" s="22">
        <f>IF(preçodiario[[#This Row],[entrada J]]=0,AA305-(SUMIFS(estoque[quantidade],estoque[fornecedor],"saída",estoque[produto],preçodiario[[#Headers],[OVO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Row],[data]]))+AA305+preçodiario[[#This Row],[entrada J]])</f>
        <v>75</v>
      </c>
      <c r="AB306" s="22">
        <f>SUMIFS(estoque[quantidade],estoque[fornecedor],"&lt;&gt;saída",estoque[produto],preçodiario[[#Headers],[OVO BRANCO JUMBO]],estoque[data],preçodiario[[#This Row],[data]])</f>
        <v>0</v>
      </c>
      <c r="AC306" s="20">
        <f>SUMIFS(estoque[valor total],estoque[fornecedor],"&lt;&gt;saída",estoque[produto],preçodiario[[#Headers],[OVO BRANCO JUMBO]],estoque[data],preçodiario[[#This Row],[data]])</f>
        <v>0</v>
      </c>
      <c r="AD306" s="20">
        <f>IFERROR(preçodiario[[#This Row],[OVO BRANCO JUMBO]]*preçodiario[[#This Row],[estoque J]],0)</f>
        <v>1237.9129464285713</v>
      </c>
      <c r="AE30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Row],[data]])),((AE305*AF305)+SUMIFS(estoque[valor total],estoque[produto],preçodiario[[#Headers],[OVO VERMELHO A]],estoque[data],preçodiario[[#This Row],[data]],estoque[fornecedor],"&lt;&gt;saída"))/(AF305+(SUMIFS(estoque[quantidade],estoque[produto],preçodiario[[#Headers],[OVO VERMELHO A]],estoque[fornecedor],"&lt;&gt;saída",estoque[data],preçodiario[[#This Row],[data]])))))</f>
        <v/>
      </c>
      <c r="AF306" s="22">
        <f>IF(preçodiario[[#This Row],[entrada AV]]=0,AF305-(SUMIFS(estoque[quantidade],estoque[fornecedor],"saída",estoque[produto],preçodiario[[#Headers],[OVO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Row],[data]]))+AF305+preçodiario[[#This Row],[entrada AV]])</f>
        <v>0</v>
      </c>
      <c r="AG306" s="22">
        <f>SUMIFS(estoque[quantidade],estoque[fornecedor],"&lt;&gt;saída",estoque[produto],preçodiario[[#Headers],[OVO VERMELHO A]],estoque[data],preçodiario[[#This Row],[data]])</f>
        <v>0</v>
      </c>
      <c r="AH306" s="20">
        <f>SUMIFS(estoque[valor total],estoque[fornecedor],"&lt;&gt;saída",estoque[produto],preçodiario[[#Headers],[OVO VERMELHO A]],estoque[data],preçodiario[[#This Row],[data]])</f>
        <v>0</v>
      </c>
      <c r="AI306" s="20">
        <f>IFERROR(preçodiario[[#This Row],[OVO VERMELHO A]]*preçodiario[[#This Row],[estoque AV]],0)</f>
        <v>0</v>
      </c>
      <c r="AJ30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Row],[data]])),((AJ305*AK305)+SUMIFS(estoque[valor total],estoque[produto],preçodiario[[#Headers],[OVO VERMELHO B]],estoque[data],preçodiario[[#This Row],[data]],estoque[fornecedor],"&lt;&gt;saída"))/(AK305+(SUMIFS(estoque[quantidade],estoque[produto],preçodiario[[#Headers],[OVO VERMELHO B]],estoque[fornecedor],"&lt;&gt;saída",estoque[data],preçodiario[[#This Row],[data]])))))</f>
        <v/>
      </c>
      <c r="AK306" s="22">
        <f>IF(preçodiario[[#This Row],[entrada BV]]=0,AK305-(SUMIFS(estoque[quantidade],estoque[fornecedor],"saída",estoque[produto],preçodiario[[#Headers],[OVO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Row],[data]]))+AK305+preçodiario[[#This Row],[entrada BV]])</f>
        <v>0</v>
      </c>
      <c r="AL306" s="22">
        <f>SUMIFS(estoque[quantidade],estoque[fornecedor],"&lt;&gt;saída",estoque[produto],preçodiario[[#Headers],[OVO VERMELHO B]],estoque[data],preçodiario[[#This Row],[data]])</f>
        <v>0</v>
      </c>
      <c r="AM306" s="20">
        <f>SUMIFS(estoque[valor total],estoque[fornecedor],"&lt;&gt;saída",estoque[produto],preçodiario[[#Headers],[OVO VERMELHO B]],estoque[data],preçodiario[[#This Row],[data]])</f>
        <v>0</v>
      </c>
      <c r="AN306" s="20">
        <f>IFERROR(preçodiario[[#This Row],[OVO VERMELHO B]]*preçodiario[[#This Row],[estoque BV]],0)</f>
        <v>0</v>
      </c>
      <c r="AO30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Row],[data]])),((AO305*AP305)+SUMIFS(estoque[valor total],estoque[produto],preçodiario[[#Headers],[OVO VERMELHO C]],estoque[data],preçodiario[[#This Row],[data]],estoque[fornecedor],"&lt;&gt;saída"))/(AP305+(SUMIFS(estoque[quantidade],estoque[produto],preçodiario[[#Headers],[OVO VERMELHO C]],estoque[fornecedor],"&lt;&gt;saída",estoque[data],preçodiario[[#This Row],[data]])))))</f>
        <v/>
      </c>
      <c r="AP306" s="22">
        <f>IF(preçodiario[[#This Row],[entrada CV]]=0,AP305-(SUMIFS(estoque[quantidade],estoque[fornecedor],"saída",estoque[produto],preçodiario[[#Headers],[OVO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Row],[data]]))+AP305+preçodiario[[#This Row],[entrada CV]])</f>
        <v>0</v>
      </c>
      <c r="AQ306" s="22">
        <f>SUMIFS(estoque[quantidade],estoque[fornecedor],"&lt;&gt;saída",estoque[produto],preçodiario[[#Headers],[OVO VERMELHO C]],estoque[data],preçodiario[[#This Row],[data]])</f>
        <v>0</v>
      </c>
      <c r="AR306" s="20">
        <f>SUMIFS(estoque[valor total],estoque[fornecedor],"&lt;&gt;saída",estoque[produto],preçodiario[[#Headers],[OVO VERMELHO C]],estoque[data],preçodiario[[#This Row],[data]])</f>
        <v>0</v>
      </c>
      <c r="AS306" s="20">
        <f>IFERROR(preçodiario[[#This Row],[OVO VERMELHO C]]*preçodiario[[#This Row],[estoque CV]],0)</f>
        <v>0</v>
      </c>
      <c r="AT30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Row],[data]])),((AT305*AU305)+SUMIFS(estoque[valor total],estoque[produto],preçodiario[[#Headers],[OVO VERMELHO EXTRA]],estoque[data],preçodiario[[#This Row],[data]],estoque[fornecedor],"&lt;&gt;saída"))/(AU305+(SUMIFS(estoque[quantidade],estoque[produto],preçodiario[[#Headers],[OVO VERMELHO EXTRA]],estoque[fornecedor],"&lt;&gt;saída",estoque[data],preçodiario[[#This Row],[data]])))))</f>
        <v/>
      </c>
      <c r="AU306" s="22">
        <f>IF(preçodiario[[#This Row],[entrada EV]]=0,AU305-(SUMIFS(estoque[quantidade],estoque[fornecedor],"saída",estoque[produto],preçodiario[[#Headers],[OVO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Row],[data]]))+AU305+preçodiario[[#This Row],[entrada EV]])</f>
        <v>0</v>
      </c>
      <c r="AV306" s="22">
        <f>SUMIFS(estoque[quantidade],estoque[fornecedor],"&lt;&gt;saída",estoque[produto],preçodiario[[#Headers],[OVO VERMELHO EXTRA]],estoque[data],preçodiario[[#This Row],[data]])</f>
        <v>0</v>
      </c>
      <c r="AW306" s="20">
        <f>SUMIFS(estoque[valor total],estoque[fornecedor],"&lt;&gt;saída",estoque[produto],preçodiario[[#Headers],[OVO VERMELHO EXTRA]],estoque[data],preçodiario[[#This Row],[data]])</f>
        <v>0</v>
      </c>
      <c r="AX306" s="20">
        <f>IFERROR(preçodiario[[#This Row],[OVO VERMELHO EXTRA]]*preçodiario[[#This Row],[estoque EV]],0)</f>
        <v>0</v>
      </c>
      <c r="AY30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Row],[data]])),((AY305*AZ305)+SUMIFS(estoque[valor total],estoque[produto],preçodiario[[#Headers],[OVO VERMELHO JUMBO]],estoque[data],preçodiario[[#This Row],[data]],estoque[fornecedor],"&lt;&gt;saída"))/(AZ305+(SUMIFS(estoque[quantidade],estoque[produto],preçodiario[[#Headers],[OVO VERMELHO JUMBO]],estoque[fornecedor],"&lt;&gt;saída",estoque[data],preçodiario[[#This Row],[data]])))))</f>
        <v/>
      </c>
      <c r="AZ306" s="22">
        <f>IF(preçodiario[[#This Row],[entrada JV]]=0,AZ305-(SUMIFS(estoque[quantidade],estoque[fornecedor],"saída",estoque[produto],preçodiario[[#Headers],[OVO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Row],[data]]))+AZ305+preçodiario[[#This Row],[entrada JV]])</f>
        <v>0</v>
      </c>
      <c r="BA306" s="22">
        <f>SUMIFS(estoque[quantidade],estoque[fornecedor],"&lt;&gt;saída",estoque[produto],preçodiario[[#Headers],[OVO VERMELHO JUMBO]],estoque[data],preçodiario[[#This Row],[data]])</f>
        <v>0</v>
      </c>
      <c r="BB306" s="20">
        <f>SUMIFS(estoque[valor total],estoque[fornecedor],"&lt;&gt;saída",estoque[produto],preçodiario[[#Headers],[OVO VERMELHO JUMBO]],estoque[data],preçodiario[[#This Row],[data]])</f>
        <v>0</v>
      </c>
      <c r="BC306" s="20">
        <f>IFERROR(preçodiario[[#This Row],[OVO VERMELHO JUMBO]]*preçodiario[[#This Row],[estoque JV]],0)</f>
        <v>0</v>
      </c>
      <c r="BD306" t="str">
        <f>TEXT(vendaAno[[#This Row],[data]],"mmm")</f>
        <v>nov</v>
      </c>
      <c r="BE306" t="str">
        <f>TEXT(vendaAno[[#This Row],[data]],"ddd")</f>
        <v>dom</v>
      </c>
      <c r="BF306" s="82">
        <f>WEEKNUM(vendaAno[[#This Row],[data]],13)</f>
        <v>44</v>
      </c>
      <c r="BG306" s="27">
        <f>preçodiario[[#This Row],[data]]</f>
        <v>46327</v>
      </c>
      <c r="BH30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Row],[data]]))/12+BJ305,"")</f>
        <v/>
      </c>
      <c r="BK306" s="79" t="str">
        <f ca="1">IF(TODAY()&gt;=vendaAno[[#This Row],[data]],IF(SUMIFS(estoque[quantidade],estoque[fornecedor],"saída",estoque[data],vendaAno[[#This Row],[data]])/12=0,AVERAGE(BK303:BK305),SUMIFS(estoque[quantidade],estoque[fornecedor],"saída",estoque[data],vendaAno[[#This Row],[data]])/12),"")</f>
        <v/>
      </c>
      <c r="BL306" s="8" t="str">
        <f ca="1">IF(vendaAno[[#This Row],[data]]&lt;=TODAY(),IF(SUMIFS(estoque[lucro],estoque[fornecedor],"saída",estoque[data],vendaAno[[#This Row],[data]])=0,AVERAGE(BL303:BL305),SUMIFS(estoque[lucro],estoque[fornecedor],"saída",estoque[data],vendaAno[[#This Row],[data]])),"")</f>
        <v/>
      </c>
      <c r="BM306" s="10" t="str">
        <f ca="1">IFERROR(vendaAno[[#This Row],[lucro]]/vendaAno[[#This Row],[valor de venda]],"")</f>
        <v/>
      </c>
      <c r="BN30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6" s="8" t="str">
        <f ca="1">IF(TODAY()&gt;=vendaAno[[#This Row],[data]],IF(vendaAno[[#This Row],[N°]]=BF305,vendaAno[[#This Row],[lucro]]-173.33+BO305,vendaAno[[#This Row],[lucro]]-150),"")</f>
        <v/>
      </c>
      <c r="BP306" s="81" t="str">
        <f ca="1">IF(TODAY()&gt;=vendaAno[[#This Row],[data]],SUM(BK300:BK306)*12,"")</f>
        <v/>
      </c>
      <c r="BQ306" s="7" t="str">
        <f ca="1">IFERROR(vendaAno[[#This Row],[lucro]]/(vendaAno[[#This Row],[venda]]*12),"")</f>
        <v/>
      </c>
    </row>
    <row r="307" spans="1:69" x14ac:dyDescent="0.25">
      <c r="A30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7" s="18" t="str">
        <f>TEXT(preçodiario[[#This Row],[data]],"MMM")</f>
        <v>nov</v>
      </c>
      <c r="C307" s="18" t="str">
        <f>TEXT(preçodiario[[#This Row],[data]],"ddd")</f>
        <v>seg</v>
      </c>
      <c r="D307" s="96">
        <f>WEEKNUM(preçodiario[[#This Row],[data]],13)</f>
        <v>44</v>
      </c>
      <c r="E307" s="37">
        <v>46328</v>
      </c>
      <c r="F30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Row],[data]])),((F306*G306)+SUMIFS(estoque[valor total],estoque[produto],preçodiario[[#Headers],[OVO BRANCO A]],estoque[data],preçodiario[[#This Row],[data]],estoque[fornecedor],"&lt;&gt;saída"))/(G306+(SUMIFS(estoque[quantidade],estoque[produto],preçodiario[[#Headers],[OVO BRANCO A]],estoque[fornecedor],"&lt;&gt;saída",estoque[data],preçodiario[[#This Row],[data]])))))</f>
        <v>15.278182701652089</v>
      </c>
      <c r="G307" s="22">
        <f>IF(preçodiario[[#This Row],[entrada A]]=0,G306-(SUMIFS(estoque[quantidade],estoque[fornecedor],"saída",estoque[produto],preçodiario[[#Headers],[OVO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Row],[data]]))+G306+preçodiario[[#This Row],[entrada A]])</f>
        <v>133</v>
      </c>
      <c r="H307" s="22">
        <f>SUMIFS(estoque[quantidade],estoque[fornecedor],"&lt;&gt;saída",estoque[produto],preçodiario[[#Headers],[OVO BRANCO A]],estoque[data],preçodiario[[#This Row],[data]])</f>
        <v>0</v>
      </c>
      <c r="I307" s="20">
        <f>SUMIFS(estoque[valor total],estoque[fornecedor],"&lt;&gt;saída",estoque[produto],preçodiario[[#Headers],[OVO BRANCO A]],estoque[data],preçodiario[[#This Row],[data]])</f>
        <v>0</v>
      </c>
      <c r="J307" s="20">
        <f>IFERROR(preçodiario[[#This Row],[estoque A]]*preçodiario[[#This Row],[OVO BRANCO A]],0)</f>
        <v>2031.9982993197277</v>
      </c>
      <c r="K30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Row],[data]])),((K306*L306)+SUMIFS(estoque[valor total],estoque[produto],preçodiario[[#Headers],[OVO BRANCO B]],estoque[data],preçodiario[[#This Row],[data]],estoque[fornecedor],"&lt;&gt;saída"))/(L306+(SUMIFS(estoque[quantidade],estoque[produto],preçodiario[[#Headers],[OVO BRANCO B]],estoque[fornecedor],"&lt;&gt;saída",estoque[data],preçodiario[[#This Row],[data]])))))</f>
        <v>14.584252837326604</v>
      </c>
      <c r="L307" s="22">
        <f>IF(preçodiario[[#This Row],[entrada B]]=0,L306-(SUMIFS(estoque[quantidade],estoque[fornecedor],"saída",estoque[produto],preçodiario[[#Headers],[OVO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Row],[data]]))+L306+preçodiario[[#This Row],[entrada B]])</f>
        <v>16</v>
      </c>
      <c r="M307" s="22">
        <f>SUMIFS(estoque[quantidade],estoque[fornecedor],"&lt;&gt;saída",estoque[produto],preçodiario[[#Headers],[OVO BRANCO B]],estoque[data],preçodiario[[#This Row],[data]])</f>
        <v>0</v>
      </c>
      <c r="N307" s="20">
        <f>SUMIFS(estoque[valor total],estoque[fornecedor],"&lt;&gt;saída",estoque[produto],preçodiario[[#Headers],[OVO BRANCO B]],estoque[data],preçodiario[[#This Row],[data]])</f>
        <v>0</v>
      </c>
      <c r="O307" s="20">
        <f>IFERROR(preçodiario[[#This Row],[OVO BRANCO B]]*preçodiario[[#This Row],[estoque B]],0)</f>
        <v>233.34804539722566</v>
      </c>
      <c r="P30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Row],[data]])),((P306*Q306)+SUMIFS(estoque[valor total],estoque[produto],preçodiario[[#Headers],[OVO BRANCO C]],estoque[data],preçodiario[[#This Row],[data]],estoque[fornecedor],"&lt;&gt;saída"))/(Q306+(SUMIFS(estoque[quantidade],estoque[produto],preçodiario[[#Headers],[OVO BRANCO C]],estoque[fornecedor],"&lt;&gt;saída",estoque[data],preçodiario[[#This Row],[data]])))))</f>
        <v>12.5</v>
      </c>
      <c r="Q307" s="22">
        <f>IF(preçodiario[[#This Row],[entrada C]]=0,Q306-(SUMIFS(estoque[quantidade],estoque[fornecedor],"saída",estoque[produto],preçodiario[[#Headers],[OVO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Row],[data]]))+Q306+preçodiario[[#This Row],[entrada C]])</f>
        <v>60</v>
      </c>
      <c r="R307" s="22">
        <f>SUMIFS(estoque[quantidade],estoque[fornecedor],"&lt;&gt;saída",estoque[produto],preçodiario[[#Headers],[OVO BRANCO C]],estoque[data],preçodiario[[#This Row],[data]])</f>
        <v>0</v>
      </c>
      <c r="S307" s="20">
        <f>SUMIFS(estoque[valor total],estoque[fornecedor],"&lt;&gt;saída",estoque[produto],preçodiario[[#Headers],[OVO BRANCO C]],estoque[data],preçodiario[[#This Row],[data]])</f>
        <v>0</v>
      </c>
      <c r="T307" s="20">
        <f>IFERROR(preçodiario[[#This Row],[OVO BRANCO C]]*preçodiario[[#This Row],[estoque C]],0)</f>
        <v>750</v>
      </c>
      <c r="U30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Row],[data]])),((U306*V306)+SUMIFS(estoque[valor total],estoque[produto],preçodiario[[#Headers],[OVO BRANCO EXTRA]],estoque[data],preçodiario[[#This Row],[data]],estoque[fornecedor],"&lt;&gt;saída"))/(V306+(SUMIFS(estoque[quantidade],estoque[produto],preçodiario[[#Headers],[OVO BRANCO EXTRA]],estoque[fornecedor],"&lt;&gt;saída",estoque[data],preçodiario[[#This Row],[data]])))))</f>
        <v>15.725438400674655</v>
      </c>
      <c r="V307" s="22">
        <f>IF(preçodiario[[#This Row],[entrada E]]=0,V306-(SUMIFS(estoque[quantidade],estoque[fornecedor],"saída",estoque[produto],preçodiario[[#Headers],[OVO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Row],[data]]))+V306+preçodiario[[#This Row],[entrada E]])</f>
        <v>46</v>
      </c>
      <c r="W307" s="22">
        <f>SUMIFS(estoque[quantidade],estoque[fornecedor],"&lt;&gt;saída",estoque[produto],preçodiario[[#Headers],[OVO BRANCO EXTRA]],estoque[data],preçodiario[[#This Row],[data]])</f>
        <v>0</v>
      </c>
      <c r="X307" s="20">
        <f>SUMIFS(estoque[valor total],estoque[fornecedor],"&lt;&gt;saída",estoque[produto],preçodiario[[#Headers],[OVO BRANCO EXTRA]],estoque[data],preçodiario[[#This Row],[data]])</f>
        <v>0</v>
      </c>
      <c r="Y307" s="20">
        <f>IFERROR(preçodiario[[#This Row],[estoque E]]*preçodiario[[#This Row],[OVO BRANCO EXTRA]],0)</f>
        <v>723.37016643103414</v>
      </c>
      <c r="Z30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Row],[data]])),((Z306*AA306)+SUMIFS(estoque[valor total],estoque[produto],preçodiario[[#Headers],[OVO BRANCO JUMBO]],estoque[data],preçodiario[[#This Row],[data]],estoque[fornecedor],"&lt;&gt;saída"))/(AA306+(SUMIFS(estoque[quantidade],estoque[produto],preçodiario[[#Headers],[OVO BRANCO JUMBO]],estoque[fornecedor],"&lt;&gt;saída",estoque[data],preçodiario[[#This Row],[data]])))))</f>
        <v>16.50550595238095</v>
      </c>
      <c r="AA307" s="22">
        <f>IF(preçodiario[[#This Row],[entrada J]]=0,AA306-(SUMIFS(estoque[quantidade],estoque[fornecedor],"saída",estoque[produto],preçodiario[[#Headers],[OVO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Row],[data]]))+AA306+preçodiario[[#This Row],[entrada J]])</f>
        <v>75</v>
      </c>
      <c r="AB307" s="22">
        <f>SUMIFS(estoque[quantidade],estoque[fornecedor],"&lt;&gt;saída",estoque[produto],preçodiario[[#Headers],[OVO BRANCO JUMBO]],estoque[data],preçodiario[[#This Row],[data]])</f>
        <v>0</v>
      </c>
      <c r="AC307" s="20">
        <f>SUMIFS(estoque[valor total],estoque[fornecedor],"&lt;&gt;saída",estoque[produto],preçodiario[[#Headers],[OVO BRANCO JUMBO]],estoque[data],preçodiario[[#This Row],[data]])</f>
        <v>0</v>
      </c>
      <c r="AD307" s="20">
        <f>IFERROR(preçodiario[[#This Row],[OVO BRANCO JUMBO]]*preçodiario[[#This Row],[estoque J]],0)</f>
        <v>1237.9129464285713</v>
      </c>
      <c r="AE30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Row],[data]])),((AE306*AF306)+SUMIFS(estoque[valor total],estoque[produto],preçodiario[[#Headers],[OVO VERMELHO A]],estoque[data],preçodiario[[#This Row],[data]],estoque[fornecedor],"&lt;&gt;saída"))/(AF306+(SUMIFS(estoque[quantidade],estoque[produto],preçodiario[[#Headers],[OVO VERMELHO A]],estoque[fornecedor],"&lt;&gt;saída",estoque[data],preçodiario[[#This Row],[data]])))))</f>
        <v/>
      </c>
      <c r="AF307" s="22">
        <f>IF(preçodiario[[#This Row],[entrada AV]]=0,AF306-(SUMIFS(estoque[quantidade],estoque[fornecedor],"saída",estoque[produto],preçodiario[[#Headers],[OVO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Row],[data]]))+AF306+preçodiario[[#This Row],[entrada AV]])</f>
        <v>0</v>
      </c>
      <c r="AG307" s="22">
        <f>SUMIFS(estoque[quantidade],estoque[fornecedor],"&lt;&gt;saída",estoque[produto],preçodiario[[#Headers],[OVO VERMELHO A]],estoque[data],preçodiario[[#This Row],[data]])</f>
        <v>0</v>
      </c>
      <c r="AH307" s="20">
        <f>SUMIFS(estoque[valor total],estoque[fornecedor],"&lt;&gt;saída",estoque[produto],preçodiario[[#Headers],[OVO VERMELHO A]],estoque[data],preçodiario[[#This Row],[data]])</f>
        <v>0</v>
      </c>
      <c r="AI307" s="20">
        <f>IFERROR(preçodiario[[#This Row],[OVO VERMELHO A]]*preçodiario[[#This Row],[estoque AV]],0)</f>
        <v>0</v>
      </c>
      <c r="AJ30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Row],[data]])),((AJ306*AK306)+SUMIFS(estoque[valor total],estoque[produto],preçodiario[[#Headers],[OVO VERMELHO B]],estoque[data],preçodiario[[#This Row],[data]],estoque[fornecedor],"&lt;&gt;saída"))/(AK306+(SUMIFS(estoque[quantidade],estoque[produto],preçodiario[[#Headers],[OVO VERMELHO B]],estoque[fornecedor],"&lt;&gt;saída",estoque[data],preçodiario[[#This Row],[data]])))))</f>
        <v/>
      </c>
      <c r="AK307" s="22">
        <f>IF(preçodiario[[#This Row],[entrada BV]]=0,AK306-(SUMIFS(estoque[quantidade],estoque[fornecedor],"saída",estoque[produto],preçodiario[[#Headers],[OVO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Row],[data]]))+AK306+preçodiario[[#This Row],[entrada BV]])</f>
        <v>0</v>
      </c>
      <c r="AL307" s="22">
        <f>SUMIFS(estoque[quantidade],estoque[fornecedor],"&lt;&gt;saída",estoque[produto],preçodiario[[#Headers],[OVO VERMELHO B]],estoque[data],preçodiario[[#This Row],[data]])</f>
        <v>0</v>
      </c>
      <c r="AM307" s="20">
        <f>SUMIFS(estoque[valor total],estoque[fornecedor],"&lt;&gt;saída",estoque[produto],preçodiario[[#Headers],[OVO VERMELHO B]],estoque[data],preçodiario[[#This Row],[data]])</f>
        <v>0</v>
      </c>
      <c r="AN307" s="20">
        <f>IFERROR(preçodiario[[#This Row],[OVO VERMELHO B]]*preçodiario[[#This Row],[estoque BV]],0)</f>
        <v>0</v>
      </c>
      <c r="AO30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Row],[data]])),((AO306*AP306)+SUMIFS(estoque[valor total],estoque[produto],preçodiario[[#Headers],[OVO VERMELHO C]],estoque[data],preçodiario[[#This Row],[data]],estoque[fornecedor],"&lt;&gt;saída"))/(AP306+(SUMIFS(estoque[quantidade],estoque[produto],preçodiario[[#Headers],[OVO VERMELHO C]],estoque[fornecedor],"&lt;&gt;saída",estoque[data],preçodiario[[#This Row],[data]])))))</f>
        <v/>
      </c>
      <c r="AP307" s="22">
        <f>IF(preçodiario[[#This Row],[entrada CV]]=0,AP306-(SUMIFS(estoque[quantidade],estoque[fornecedor],"saída",estoque[produto],preçodiario[[#Headers],[OVO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Row],[data]]))+AP306+preçodiario[[#This Row],[entrada CV]])</f>
        <v>0</v>
      </c>
      <c r="AQ307" s="22">
        <f>SUMIFS(estoque[quantidade],estoque[fornecedor],"&lt;&gt;saída",estoque[produto],preçodiario[[#Headers],[OVO VERMELHO C]],estoque[data],preçodiario[[#This Row],[data]])</f>
        <v>0</v>
      </c>
      <c r="AR307" s="20">
        <f>SUMIFS(estoque[valor total],estoque[fornecedor],"&lt;&gt;saída",estoque[produto],preçodiario[[#Headers],[OVO VERMELHO C]],estoque[data],preçodiario[[#This Row],[data]])</f>
        <v>0</v>
      </c>
      <c r="AS307" s="20">
        <f>IFERROR(preçodiario[[#This Row],[OVO VERMELHO C]]*preçodiario[[#This Row],[estoque CV]],0)</f>
        <v>0</v>
      </c>
      <c r="AT30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Row],[data]])),((AT306*AU306)+SUMIFS(estoque[valor total],estoque[produto],preçodiario[[#Headers],[OVO VERMELHO EXTRA]],estoque[data],preçodiario[[#This Row],[data]],estoque[fornecedor],"&lt;&gt;saída"))/(AU306+(SUMIFS(estoque[quantidade],estoque[produto],preçodiario[[#Headers],[OVO VERMELHO EXTRA]],estoque[fornecedor],"&lt;&gt;saída",estoque[data],preçodiario[[#This Row],[data]])))))</f>
        <v/>
      </c>
      <c r="AU307" s="22">
        <f>IF(preçodiario[[#This Row],[entrada EV]]=0,AU306-(SUMIFS(estoque[quantidade],estoque[fornecedor],"saída",estoque[produto],preçodiario[[#Headers],[OVO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Row],[data]]))+AU306+preçodiario[[#This Row],[entrada EV]])</f>
        <v>0</v>
      </c>
      <c r="AV307" s="22">
        <f>SUMIFS(estoque[quantidade],estoque[fornecedor],"&lt;&gt;saída",estoque[produto],preçodiario[[#Headers],[OVO VERMELHO EXTRA]],estoque[data],preçodiario[[#This Row],[data]])</f>
        <v>0</v>
      </c>
      <c r="AW307" s="20">
        <f>SUMIFS(estoque[valor total],estoque[fornecedor],"&lt;&gt;saída",estoque[produto],preçodiario[[#Headers],[OVO VERMELHO EXTRA]],estoque[data],preçodiario[[#This Row],[data]])</f>
        <v>0</v>
      </c>
      <c r="AX307" s="20">
        <f>IFERROR(preçodiario[[#This Row],[OVO VERMELHO EXTRA]]*preçodiario[[#This Row],[estoque EV]],0)</f>
        <v>0</v>
      </c>
      <c r="AY30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Row],[data]])),((AY306*AZ306)+SUMIFS(estoque[valor total],estoque[produto],preçodiario[[#Headers],[OVO VERMELHO JUMBO]],estoque[data],preçodiario[[#This Row],[data]],estoque[fornecedor],"&lt;&gt;saída"))/(AZ306+(SUMIFS(estoque[quantidade],estoque[produto],preçodiario[[#Headers],[OVO VERMELHO JUMBO]],estoque[fornecedor],"&lt;&gt;saída",estoque[data],preçodiario[[#This Row],[data]])))))</f>
        <v/>
      </c>
      <c r="AZ307" s="22">
        <f>IF(preçodiario[[#This Row],[entrada JV]]=0,AZ306-(SUMIFS(estoque[quantidade],estoque[fornecedor],"saída",estoque[produto],preçodiario[[#Headers],[OVO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Row],[data]]))+AZ306+preçodiario[[#This Row],[entrada JV]])</f>
        <v>0</v>
      </c>
      <c r="BA307" s="22">
        <f>SUMIFS(estoque[quantidade],estoque[fornecedor],"&lt;&gt;saída",estoque[produto],preçodiario[[#Headers],[OVO VERMELHO JUMBO]],estoque[data],preçodiario[[#This Row],[data]])</f>
        <v>0</v>
      </c>
      <c r="BB307" s="20">
        <f>SUMIFS(estoque[valor total],estoque[fornecedor],"&lt;&gt;saída",estoque[produto],preçodiario[[#Headers],[OVO VERMELHO JUMBO]],estoque[data],preçodiario[[#This Row],[data]])</f>
        <v>0</v>
      </c>
      <c r="BC307" s="20">
        <f>IFERROR(preçodiario[[#This Row],[OVO VERMELHO JUMBO]]*preçodiario[[#This Row],[estoque JV]],0)</f>
        <v>0</v>
      </c>
      <c r="BD307" t="str">
        <f>TEXT(vendaAno[[#This Row],[data]],"mmm")</f>
        <v>nov</v>
      </c>
      <c r="BE307" t="str">
        <f>TEXT(vendaAno[[#This Row],[data]],"ddd")</f>
        <v>seg</v>
      </c>
      <c r="BF307" s="82">
        <f>WEEKNUM(vendaAno[[#This Row],[data]],13)</f>
        <v>44</v>
      </c>
      <c r="BG307" s="27">
        <f>preçodiario[[#This Row],[data]]</f>
        <v>46328</v>
      </c>
      <c r="BH30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Row],[data]]))/12+BJ306,"")</f>
        <v/>
      </c>
      <c r="BK307" s="79" t="str">
        <f ca="1">IF(TODAY()&gt;=vendaAno[[#This Row],[data]],IF(SUMIFS(estoque[quantidade],estoque[fornecedor],"saída",estoque[data],vendaAno[[#This Row],[data]])/12=0,AVERAGE(BK304:BK306),SUMIFS(estoque[quantidade],estoque[fornecedor],"saída",estoque[data],vendaAno[[#This Row],[data]])/12),"")</f>
        <v/>
      </c>
      <c r="BL307" s="8" t="str">
        <f ca="1">IF(vendaAno[[#This Row],[data]]&lt;=TODAY(),IF(SUMIFS(estoque[lucro],estoque[fornecedor],"saída",estoque[data],vendaAno[[#This Row],[data]])=0,AVERAGE(BL304:BL306),SUMIFS(estoque[lucro],estoque[fornecedor],"saída",estoque[data],vendaAno[[#This Row],[data]])),"")</f>
        <v/>
      </c>
      <c r="BM307" s="10" t="str">
        <f ca="1">IFERROR(vendaAno[[#This Row],[lucro]]/vendaAno[[#This Row],[valor de venda]],"")</f>
        <v/>
      </c>
      <c r="BN30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7" s="8" t="str">
        <f ca="1">IF(TODAY()&gt;=vendaAno[[#This Row],[data]],IF(vendaAno[[#This Row],[N°]]=BF306,vendaAno[[#This Row],[lucro]]-173.33+BO306,vendaAno[[#This Row],[lucro]]-150),"")</f>
        <v/>
      </c>
      <c r="BP307" s="81" t="str">
        <f ca="1">IF(TODAY()&gt;=vendaAno[[#This Row],[data]],SUM(BK301:BK307)*12,"")</f>
        <v/>
      </c>
      <c r="BQ307" s="7" t="str">
        <f ca="1">IFERROR(vendaAno[[#This Row],[lucro]]/(vendaAno[[#This Row],[venda]]*12),"")</f>
        <v/>
      </c>
    </row>
    <row r="308" spans="1:69" x14ac:dyDescent="0.25">
      <c r="A30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8" s="18" t="str">
        <f>TEXT(preçodiario[[#This Row],[data]],"MMM")</f>
        <v>nov</v>
      </c>
      <c r="C308" s="18" t="str">
        <f>TEXT(preçodiario[[#This Row],[data]],"ddd")</f>
        <v>ter</v>
      </c>
      <c r="D308" s="96">
        <f>WEEKNUM(preçodiario[[#This Row],[data]],13)</f>
        <v>44</v>
      </c>
      <c r="E308" s="37">
        <v>46329</v>
      </c>
      <c r="F30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Row],[data]])),((F307*G307)+SUMIFS(estoque[valor total],estoque[produto],preçodiario[[#Headers],[OVO BRANCO A]],estoque[data],preçodiario[[#This Row],[data]],estoque[fornecedor],"&lt;&gt;saída"))/(G307+(SUMIFS(estoque[quantidade],estoque[produto],preçodiario[[#Headers],[OVO BRANCO A]],estoque[fornecedor],"&lt;&gt;saída",estoque[data],preçodiario[[#This Row],[data]])))))</f>
        <v>15.278182701652089</v>
      </c>
      <c r="G308" s="22">
        <f>IF(preçodiario[[#This Row],[entrada A]]=0,G307-(SUMIFS(estoque[quantidade],estoque[fornecedor],"saída",estoque[produto],preçodiario[[#Headers],[OVO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Row],[data]]))+G307+preçodiario[[#This Row],[entrada A]])</f>
        <v>133</v>
      </c>
      <c r="H308" s="22">
        <f>SUMIFS(estoque[quantidade],estoque[fornecedor],"&lt;&gt;saída",estoque[produto],preçodiario[[#Headers],[OVO BRANCO A]],estoque[data],preçodiario[[#This Row],[data]])</f>
        <v>0</v>
      </c>
      <c r="I308" s="20">
        <f>SUMIFS(estoque[valor total],estoque[fornecedor],"&lt;&gt;saída",estoque[produto],preçodiario[[#Headers],[OVO BRANCO A]],estoque[data],preçodiario[[#This Row],[data]])</f>
        <v>0</v>
      </c>
      <c r="J308" s="20">
        <f>IFERROR(preçodiario[[#This Row],[estoque A]]*preçodiario[[#This Row],[OVO BRANCO A]],0)</f>
        <v>2031.9982993197277</v>
      </c>
      <c r="K30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Row],[data]])),((K307*L307)+SUMIFS(estoque[valor total],estoque[produto],preçodiario[[#Headers],[OVO BRANCO B]],estoque[data],preçodiario[[#This Row],[data]],estoque[fornecedor],"&lt;&gt;saída"))/(L307+(SUMIFS(estoque[quantidade],estoque[produto],preçodiario[[#Headers],[OVO BRANCO B]],estoque[fornecedor],"&lt;&gt;saída",estoque[data],preçodiario[[#This Row],[data]])))))</f>
        <v>14.584252837326604</v>
      </c>
      <c r="L308" s="22">
        <f>IF(preçodiario[[#This Row],[entrada B]]=0,L307-(SUMIFS(estoque[quantidade],estoque[fornecedor],"saída",estoque[produto],preçodiario[[#Headers],[OVO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Row],[data]]))+L307+preçodiario[[#This Row],[entrada B]])</f>
        <v>16</v>
      </c>
      <c r="M308" s="22">
        <f>SUMIFS(estoque[quantidade],estoque[fornecedor],"&lt;&gt;saída",estoque[produto],preçodiario[[#Headers],[OVO BRANCO B]],estoque[data],preçodiario[[#This Row],[data]])</f>
        <v>0</v>
      </c>
      <c r="N308" s="20">
        <f>SUMIFS(estoque[valor total],estoque[fornecedor],"&lt;&gt;saída",estoque[produto],preçodiario[[#Headers],[OVO BRANCO B]],estoque[data],preçodiario[[#This Row],[data]])</f>
        <v>0</v>
      </c>
      <c r="O308" s="20">
        <f>IFERROR(preçodiario[[#This Row],[OVO BRANCO B]]*preçodiario[[#This Row],[estoque B]],0)</f>
        <v>233.34804539722566</v>
      </c>
      <c r="P30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Row],[data]])),((P307*Q307)+SUMIFS(estoque[valor total],estoque[produto],preçodiario[[#Headers],[OVO BRANCO C]],estoque[data],preçodiario[[#This Row],[data]],estoque[fornecedor],"&lt;&gt;saída"))/(Q307+(SUMIFS(estoque[quantidade],estoque[produto],preçodiario[[#Headers],[OVO BRANCO C]],estoque[fornecedor],"&lt;&gt;saída",estoque[data],preçodiario[[#This Row],[data]])))))</f>
        <v>12.5</v>
      </c>
      <c r="Q308" s="22">
        <f>IF(preçodiario[[#This Row],[entrada C]]=0,Q307-(SUMIFS(estoque[quantidade],estoque[fornecedor],"saída",estoque[produto],preçodiario[[#Headers],[OVO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Row],[data]]))+Q307+preçodiario[[#This Row],[entrada C]])</f>
        <v>60</v>
      </c>
      <c r="R308" s="22">
        <f>SUMIFS(estoque[quantidade],estoque[fornecedor],"&lt;&gt;saída",estoque[produto],preçodiario[[#Headers],[OVO BRANCO C]],estoque[data],preçodiario[[#This Row],[data]])</f>
        <v>0</v>
      </c>
      <c r="S308" s="20">
        <f>SUMIFS(estoque[valor total],estoque[fornecedor],"&lt;&gt;saída",estoque[produto],preçodiario[[#Headers],[OVO BRANCO C]],estoque[data],preçodiario[[#This Row],[data]])</f>
        <v>0</v>
      </c>
      <c r="T308" s="20">
        <f>IFERROR(preçodiario[[#This Row],[OVO BRANCO C]]*preçodiario[[#This Row],[estoque C]],0)</f>
        <v>750</v>
      </c>
      <c r="U30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Row],[data]])),((U307*V307)+SUMIFS(estoque[valor total],estoque[produto],preçodiario[[#Headers],[OVO BRANCO EXTRA]],estoque[data],preçodiario[[#This Row],[data]],estoque[fornecedor],"&lt;&gt;saída"))/(V307+(SUMIFS(estoque[quantidade],estoque[produto],preçodiario[[#Headers],[OVO BRANCO EXTRA]],estoque[fornecedor],"&lt;&gt;saída",estoque[data],preçodiario[[#This Row],[data]])))))</f>
        <v>15.725438400674655</v>
      </c>
      <c r="V308" s="22">
        <f>IF(preçodiario[[#This Row],[entrada E]]=0,V307-(SUMIFS(estoque[quantidade],estoque[fornecedor],"saída",estoque[produto],preçodiario[[#Headers],[OVO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Row],[data]]))+V307+preçodiario[[#This Row],[entrada E]])</f>
        <v>46</v>
      </c>
      <c r="W308" s="22">
        <f>SUMIFS(estoque[quantidade],estoque[fornecedor],"&lt;&gt;saída",estoque[produto],preçodiario[[#Headers],[OVO BRANCO EXTRA]],estoque[data],preçodiario[[#This Row],[data]])</f>
        <v>0</v>
      </c>
      <c r="X308" s="20">
        <f>SUMIFS(estoque[valor total],estoque[fornecedor],"&lt;&gt;saída",estoque[produto],preçodiario[[#Headers],[OVO BRANCO EXTRA]],estoque[data],preçodiario[[#This Row],[data]])</f>
        <v>0</v>
      </c>
      <c r="Y308" s="20">
        <f>IFERROR(preçodiario[[#This Row],[estoque E]]*preçodiario[[#This Row],[OVO BRANCO EXTRA]],0)</f>
        <v>723.37016643103414</v>
      </c>
      <c r="Z30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Row],[data]])),((Z307*AA307)+SUMIFS(estoque[valor total],estoque[produto],preçodiario[[#Headers],[OVO BRANCO JUMBO]],estoque[data],preçodiario[[#This Row],[data]],estoque[fornecedor],"&lt;&gt;saída"))/(AA307+(SUMIFS(estoque[quantidade],estoque[produto],preçodiario[[#Headers],[OVO BRANCO JUMBO]],estoque[fornecedor],"&lt;&gt;saída",estoque[data],preçodiario[[#This Row],[data]])))))</f>
        <v>16.50550595238095</v>
      </c>
      <c r="AA308" s="22">
        <f>IF(preçodiario[[#This Row],[entrada J]]=0,AA307-(SUMIFS(estoque[quantidade],estoque[fornecedor],"saída",estoque[produto],preçodiario[[#Headers],[OVO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Row],[data]]))+AA307+preçodiario[[#This Row],[entrada J]])</f>
        <v>75</v>
      </c>
      <c r="AB308" s="22">
        <f>SUMIFS(estoque[quantidade],estoque[fornecedor],"&lt;&gt;saída",estoque[produto],preçodiario[[#Headers],[OVO BRANCO JUMBO]],estoque[data],preçodiario[[#This Row],[data]])</f>
        <v>0</v>
      </c>
      <c r="AC308" s="20">
        <f>SUMIFS(estoque[valor total],estoque[fornecedor],"&lt;&gt;saída",estoque[produto],preçodiario[[#Headers],[OVO BRANCO JUMBO]],estoque[data],preçodiario[[#This Row],[data]])</f>
        <v>0</v>
      </c>
      <c r="AD308" s="20">
        <f>IFERROR(preçodiario[[#This Row],[OVO BRANCO JUMBO]]*preçodiario[[#This Row],[estoque J]],0)</f>
        <v>1237.9129464285713</v>
      </c>
      <c r="AE30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Row],[data]])),((AE307*AF307)+SUMIFS(estoque[valor total],estoque[produto],preçodiario[[#Headers],[OVO VERMELHO A]],estoque[data],preçodiario[[#This Row],[data]],estoque[fornecedor],"&lt;&gt;saída"))/(AF307+(SUMIFS(estoque[quantidade],estoque[produto],preçodiario[[#Headers],[OVO VERMELHO A]],estoque[fornecedor],"&lt;&gt;saída",estoque[data],preçodiario[[#This Row],[data]])))))</f>
        <v/>
      </c>
      <c r="AF308" s="22">
        <f>IF(preçodiario[[#This Row],[entrada AV]]=0,AF307-(SUMIFS(estoque[quantidade],estoque[fornecedor],"saída",estoque[produto],preçodiario[[#Headers],[OVO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Row],[data]]))+AF307+preçodiario[[#This Row],[entrada AV]])</f>
        <v>0</v>
      </c>
      <c r="AG308" s="22">
        <f>SUMIFS(estoque[quantidade],estoque[fornecedor],"&lt;&gt;saída",estoque[produto],preçodiario[[#Headers],[OVO VERMELHO A]],estoque[data],preçodiario[[#This Row],[data]])</f>
        <v>0</v>
      </c>
      <c r="AH308" s="20">
        <f>SUMIFS(estoque[valor total],estoque[fornecedor],"&lt;&gt;saída",estoque[produto],preçodiario[[#Headers],[OVO VERMELHO A]],estoque[data],preçodiario[[#This Row],[data]])</f>
        <v>0</v>
      </c>
      <c r="AI308" s="20">
        <f>IFERROR(preçodiario[[#This Row],[OVO VERMELHO A]]*preçodiario[[#This Row],[estoque AV]],0)</f>
        <v>0</v>
      </c>
      <c r="AJ30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Row],[data]])),((AJ307*AK307)+SUMIFS(estoque[valor total],estoque[produto],preçodiario[[#Headers],[OVO VERMELHO B]],estoque[data],preçodiario[[#This Row],[data]],estoque[fornecedor],"&lt;&gt;saída"))/(AK307+(SUMIFS(estoque[quantidade],estoque[produto],preçodiario[[#Headers],[OVO VERMELHO B]],estoque[fornecedor],"&lt;&gt;saída",estoque[data],preçodiario[[#This Row],[data]])))))</f>
        <v/>
      </c>
      <c r="AK308" s="22">
        <f>IF(preçodiario[[#This Row],[entrada BV]]=0,AK307-(SUMIFS(estoque[quantidade],estoque[fornecedor],"saída",estoque[produto],preçodiario[[#Headers],[OVO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Row],[data]]))+AK307+preçodiario[[#This Row],[entrada BV]])</f>
        <v>0</v>
      </c>
      <c r="AL308" s="22">
        <f>SUMIFS(estoque[quantidade],estoque[fornecedor],"&lt;&gt;saída",estoque[produto],preçodiario[[#Headers],[OVO VERMELHO B]],estoque[data],preçodiario[[#This Row],[data]])</f>
        <v>0</v>
      </c>
      <c r="AM308" s="20">
        <f>SUMIFS(estoque[valor total],estoque[fornecedor],"&lt;&gt;saída",estoque[produto],preçodiario[[#Headers],[OVO VERMELHO B]],estoque[data],preçodiario[[#This Row],[data]])</f>
        <v>0</v>
      </c>
      <c r="AN308" s="20">
        <f>IFERROR(preçodiario[[#This Row],[OVO VERMELHO B]]*preçodiario[[#This Row],[estoque BV]],0)</f>
        <v>0</v>
      </c>
      <c r="AO30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Row],[data]])),((AO307*AP307)+SUMIFS(estoque[valor total],estoque[produto],preçodiario[[#Headers],[OVO VERMELHO C]],estoque[data],preçodiario[[#This Row],[data]],estoque[fornecedor],"&lt;&gt;saída"))/(AP307+(SUMIFS(estoque[quantidade],estoque[produto],preçodiario[[#Headers],[OVO VERMELHO C]],estoque[fornecedor],"&lt;&gt;saída",estoque[data],preçodiario[[#This Row],[data]])))))</f>
        <v/>
      </c>
      <c r="AP308" s="22">
        <f>IF(preçodiario[[#This Row],[entrada CV]]=0,AP307-(SUMIFS(estoque[quantidade],estoque[fornecedor],"saída",estoque[produto],preçodiario[[#Headers],[OVO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Row],[data]]))+AP307+preçodiario[[#This Row],[entrada CV]])</f>
        <v>0</v>
      </c>
      <c r="AQ308" s="22">
        <f>SUMIFS(estoque[quantidade],estoque[fornecedor],"&lt;&gt;saída",estoque[produto],preçodiario[[#Headers],[OVO VERMELHO C]],estoque[data],preçodiario[[#This Row],[data]])</f>
        <v>0</v>
      </c>
      <c r="AR308" s="20">
        <f>SUMIFS(estoque[valor total],estoque[fornecedor],"&lt;&gt;saída",estoque[produto],preçodiario[[#Headers],[OVO VERMELHO C]],estoque[data],preçodiario[[#This Row],[data]])</f>
        <v>0</v>
      </c>
      <c r="AS308" s="20">
        <f>IFERROR(preçodiario[[#This Row],[OVO VERMELHO C]]*preçodiario[[#This Row],[estoque CV]],0)</f>
        <v>0</v>
      </c>
      <c r="AT30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Row],[data]])),((AT307*AU307)+SUMIFS(estoque[valor total],estoque[produto],preçodiario[[#Headers],[OVO VERMELHO EXTRA]],estoque[data],preçodiario[[#This Row],[data]],estoque[fornecedor],"&lt;&gt;saída"))/(AU307+(SUMIFS(estoque[quantidade],estoque[produto],preçodiario[[#Headers],[OVO VERMELHO EXTRA]],estoque[fornecedor],"&lt;&gt;saída",estoque[data],preçodiario[[#This Row],[data]])))))</f>
        <v/>
      </c>
      <c r="AU308" s="22">
        <f>IF(preçodiario[[#This Row],[entrada EV]]=0,AU307-(SUMIFS(estoque[quantidade],estoque[fornecedor],"saída",estoque[produto],preçodiario[[#Headers],[OVO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Row],[data]]))+AU307+preçodiario[[#This Row],[entrada EV]])</f>
        <v>0</v>
      </c>
      <c r="AV308" s="22">
        <f>SUMIFS(estoque[quantidade],estoque[fornecedor],"&lt;&gt;saída",estoque[produto],preçodiario[[#Headers],[OVO VERMELHO EXTRA]],estoque[data],preçodiario[[#This Row],[data]])</f>
        <v>0</v>
      </c>
      <c r="AW308" s="20">
        <f>SUMIFS(estoque[valor total],estoque[fornecedor],"&lt;&gt;saída",estoque[produto],preçodiario[[#Headers],[OVO VERMELHO EXTRA]],estoque[data],preçodiario[[#This Row],[data]])</f>
        <v>0</v>
      </c>
      <c r="AX308" s="20">
        <f>IFERROR(preçodiario[[#This Row],[OVO VERMELHO EXTRA]]*preçodiario[[#This Row],[estoque EV]],0)</f>
        <v>0</v>
      </c>
      <c r="AY30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Row],[data]])),((AY307*AZ307)+SUMIFS(estoque[valor total],estoque[produto],preçodiario[[#Headers],[OVO VERMELHO JUMBO]],estoque[data],preçodiario[[#This Row],[data]],estoque[fornecedor],"&lt;&gt;saída"))/(AZ307+(SUMIFS(estoque[quantidade],estoque[produto],preçodiario[[#Headers],[OVO VERMELHO JUMBO]],estoque[fornecedor],"&lt;&gt;saída",estoque[data],preçodiario[[#This Row],[data]])))))</f>
        <v/>
      </c>
      <c r="AZ308" s="22">
        <f>IF(preçodiario[[#This Row],[entrada JV]]=0,AZ307-(SUMIFS(estoque[quantidade],estoque[fornecedor],"saída",estoque[produto],preçodiario[[#Headers],[OVO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Row],[data]]))+AZ307+preçodiario[[#This Row],[entrada JV]])</f>
        <v>0</v>
      </c>
      <c r="BA308" s="22">
        <f>SUMIFS(estoque[quantidade],estoque[fornecedor],"&lt;&gt;saída",estoque[produto],preçodiario[[#Headers],[OVO VERMELHO JUMBO]],estoque[data],preçodiario[[#This Row],[data]])</f>
        <v>0</v>
      </c>
      <c r="BB308" s="20">
        <f>SUMIFS(estoque[valor total],estoque[fornecedor],"&lt;&gt;saída",estoque[produto],preçodiario[[#Headers],[OVO VERMELHO JUMBO]],estoque[data],preçodiario[[#This Row],[data]])</f>
        <v>0</v>
      </c>
      <c r="BC308" s="20">
        <f>IFERROR(preçodiario[[#This Row],[OVO VERMELHO JUMBO]]*preçodiario[[#This Row],[estoque JV]],0)</f>
        <v>0</v>
      </c>
      <c r="BD308" t="str">
        <f>TEXT(vendaAno[[#This Row],[data]],"mmm")</f>
        <v>nov</v>
      </c>
      <c r="BE308" t="str">
        <f>TEXT(vendaAno[[#This Row],[data]],"ddd")</f>
        <v>ter</v>
      </c>
      <c r="BF308" s="82">
        <f>WEEKNUM(vendaAno[[#This Row],[data]],13)</f>
        <v>44</v>
      </c>
      <c r="BG308" s="27">
        <f>preçodiario[[#This Row],[data]]</f>
        <v>46329</v>
      </c>
      <c r="BH30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Row],[data]]))/12+BJ307,"")</f>
        <v/>
      </c>
      <c r="BK308" s="79" t="str">
        <f ca="1">IF(TODAY()&gt;=vendaAno[[#This Row],[data]],IF(SUMIFS(estoque[quantidade],estoque[fornecedor],"saída",estoque[data],vendaAno[[#This Row],[data]])/12=0,AVERAGE(BK305:BK307),SUMIFS(estoque[quantidade],estoque[fornecedor],"saída",estoque[data],vendaAno[[#This Row],[data]])/12),"")</f>
        <v/>
      </c>
      <c r="BL308" s="8" t="str">
        <f ca="1">IF(vendaAno[[#This Row],[data]]&lt;=TODAY(),IF(SUMIFS(estoque[lucro],estoque[fornecedor],"saída",estoque[data],vendaAno[[#This Row],[data]])=0,AVERAGE(BL305:BL307),SUMIFS(estoque[lucro],estoque[fornecedor],"saída",estoque[data],vendaAno[[#This Row],[data]])),"")</f>
        <v/>
      </c>
      <c r="BM308" s="10" t="str">
        <f ca="1">IFERROR(vendaAno[[#This Row],[lucro]]/vendaAno[[#This Row],[valor de venda]],"")</f>
        <v/>
      </c>
      <c r="BN30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8" s="8" t="str">
        <f ca="1">IF(TODAY()&gt;=vendaAno[[#This Row],[data]],IF(vendaAno[[#This Row],[N°]]=BF307,vendaAno[[#This Row],[lucro]]-173.33+BO307,vendaAno[[#This Row],[lucro]]-150),"")</f>
        <v/>
      </c>
      <c r="BP308" s="81" t="str">
        <f ca="1">IF(TODAY()&gt;=vendaAno[[#This Row],[data]],SUM(BK302:BK308)*12,"")</f>
        <v/>
      </c>
      <c r="BQ308" s="7" t="str">
        <f ca="1">IFERROR(vendaAno[[#This Row],[lucro]]/(vendaAno[[#This Row],[venda]]*12),"")</f>
        <v/>
      </c>
    </row>
    <row r="309" spans="1:69" x14ac:dyDescent="0.25">
      <c r="A30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09" s="18" t="str">
        <f>TEXT(preçodiario[[#This Row],[data]],"MMM")</f>
        <v>nov</v>
      </c>
      <c r="C309" s="18" t="str">
        <f>TEXT(preçodiario[[#This Row],[data]],"ddd")</f>
        <v>qua</v>
      </c>
      <c r="D309" s="96">
        <f>WEEKNUM(preçodiario[[#This Row],[data]],13)</f>
        <v>45</v>
      </c>
      <c r="E309" s="37">
        <v>46330</v>
      </c>
      <c r="F30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Row],[data]])),((F308*G308)+SUMIFS(estoque[valor total],estoque[produto],preçodiario[[#Headers],[OVO BRANCO A]],estoque[data],preçodiario[[#This Row],[data]],estoque[fornecedor],"&lt;&gt;saída"))/(G308+(SUMIFS(estoque[quantidade],estoque[produto],preçodiario[[#Headers],[OVO BRANCO A]],estoque[fornecedor],"&lt;&gt;saída",estoque[data],preçodiario[[#This Row],[data]])))))</f>
        <v>15.278182701652089</v>
      </c>
      <c r="G309" s="22">
        <f>IF(preçodiario[[#This Row],[entrada A]]=0,G308-(SUMIFS(estoque[quantidade],estoque[fornecedor],"saída",estoque[produto],preçodiario[[#Headers],[OVO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Row],[data]]))+G308+preçodiario[[#This Row],[entrada A]])</f>
        <v>133</v>
      </c>
      <c r="H309" s="22">
        <f>SUMIFS(estoque[quantidade],estoque[fornecedor],"&lt;&gt;saída",estoque[produto],preçodiario[[#Headers],[OVO BRANCO A]],estoque[data],preçodiario[[#This Row],[data]])</f>
        <v>0</v>
      </c>
      <c r="I309" s="20">
        <f>SUMIFS(estoque[valor total],estoque[fornecedor],"&lt;&gt;saída",estoque[produto],preçodiario[[#Headers],[OVO BRANCO A]],estoque[data],preçodiario[[#This Row],[data]])</f>
        <v>0</v>
      </c>
      <c r="J309" s="20">
        <f>IFERROR(preçodiario[[#This Row],[estoque A]]*preçodiario[[#This Row],[OVO BRANCO A]],0)</f>
        <v>2031.9982993197277</v>
      </c>
      <c r="K30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Row],[data]])),((K308*L308)+SUMIFS(estoque[valor total],estoque[produto],preçodiario[[#Headers],[OVO BRANCO B]],estoque[data],preçodiario[[#This Row],[data]],estoque[fornecedor],"&lt;&gt;saída"))/(L308+(SUMIFS(estoque[quantidade],estoque[produto],preçodiario[[#Headers],[OVO BRANCO B]],estoque[fornecedor],"&lt;&gt;saída",estoque[data],preçodiario[[#This Row],[data]])))))</f>
        <v>14.584252837326604</v>
      </c>
      <c r="L309" s="22">
        <f>IF(preçodiario[[#This Row],[entrada B]]=0,L308-(SUMIFS(estoque[quantidade],estoque[fornecedor],"saída",estoque[produto],preçodiario[[#Headers],[OVO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Row],[data]]))+L308+preçodiario[[#This Row],[entrada B]])</f>
        <v>16</v>
      </c>
      <c r="M309" s="22">
        <f>SUMIFS(estoque[quantidade],estoque[fornecedor],"&lt;&gt;saída",estoque[produto],preçodiario[[#Headers],[OVO BRANCO B]],estoque[data],preçodiario[[#This Row],[data]])</f>
        <v>0</v>
      </c>
      <c r="N309" s="20">
        <f>SUMIFS(estoque[valor total],estoque[fornecedor],"&lt;&gt;saída",estoque[produto],preçodiario[[#Headers],[OVO BRANCO B]],estoque[data],preçodiario[[#This Row],[data]])</f>
        <v>0</v>
      </c>
      <c r="O309" s="20">
        <f>IFERROR(preçodiario[[#This Row],[OVO BRANCO B]]*preçodiario[[#This Row],[estoque B]],0)</f>
        <v>233.34804539722566</v>
      </c>
      <c r="P30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Row],[data]])),((P308*Q308)+SUMIFS(estoque[valor total],estoque[produto],preçodiario[[#Headers],[OVO BRANCO C]],estoque[data],preçodiario[[#This Row],[data]],estoque[fornecedor],"&lt;&gt;saída"))/(Q308+(SUMIFS(estoque[quantidade],estoque[produto],preçodiario[[#Headers],[OVO BRANCO C]],estoque[fornecedor],"&lt;&gt;saída",estoque[data],preçodiario[[#This Row],[data]])))))</f>
        <v>12.5</v>
      </c>
      <c r="Q309" s="22">
        <f>IF(preçodiario[[#This Row],[entrada C]]=0,Q308-(SUMIFS(estoque[quantidade],estoque[fornecedor],"saída",estoque[produto],preçodiario[[#Headers],[OVO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Row],[data]]))+Q308+preçodiario[[#This Row],[entrada C]])</f>
        <v>60</v>
      </c>
      <c r="R309" s="22">
        <f>SUMIFS(estoque[quantidade],estoque[fornecedor],"&lt;&gt;saída",estoque[produto],preçodiario[[#Headers],[OVO BRANCO C]],estoque[data],preçodiario[[#This Row],[data]])</f>
        <v>0</v>
      </c>
      <c r="S309" s="20">
        <f>SUMIFS(estoque[valor total],estoque[fornecedor],"&lt;&gt;saída",estoque[produto],preçodiario[[#Headers],[OVO BRANCO C]],estoque[data],preçodiario[[#This Row],[data]])</f>
        <v>0</v>
      </c>
      <c r="T309" s="20">
        <f>IFERROR(preçodiario[[#This Row],[OVO BRANCO C]]*preçodiario[[#This Row],[estoque C]],0)</f>
        <v>750</v>
      </c>
      <c r="U30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Row],[data]])),((U308*V308)+SUMIFS(estoque[valor total],estoque[produto],preçodiario[[#Headers],[OVO BRANCO EXTRA]],estoque[data],preçodiario[[#This Row],[data]],estoque[fornecedor],"&lt;&gt;saída"))/(V308+(SUMIFS(estoque[quantidade],estoque[produto],preçodiario[[#Headers],[OVO BRANCO EXTRA]],estoque[fornecedor],"&lt;&gt;saída",estoque[data],preçodiario[[#This Row],[data]])))))</f>
        <v>15.725438400674655</v>
      </c>
      <c r="V309" s="22">
        <f>IF(preçodiario[[#This Row],[entrada E]]=0,V308-(SUMIFS(estoque[quantidade],estoque[fornecedor],"saída",estoque[produto],preçodiario[[#Headers],[OVO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Row],[data]]))+V308+preçodiario[[#This Row],[entrada E]])</f>
        <v>46</v>
      </c>
      <c r="W309" s="22">
        <f>SUMIFS(estoque[quantidade],estoque[fornecedor],"&lt;&gt;saída",estoque[produto],preçodiario[[#Headers],[OVO BRANCO EXTRA]],estoque[data],preçodiario[[#This Row],[data]])</f>
        <v>0</v>
      </c>
      <c r="X309" s="20">
        <f>SUMIFS(estoque[valor total],estoque[fornecedor],"&lt;&gt;saída",estoque[produto],preçodiario[[#Headers],[OVO BRANCO EXTRA]],estoque[data],preçodiario[[#This Row],[data]])</f>
        <v>0</v>
      </c>
      <c r="Y309" s="20">
        <f>IFERROR(preçodiario[[#This Row],[estoque E]]*preçodiario[[#This Row],[OVO BRANCO EXTRA]],0)</f>
        <v>723.37016643103414</v>
      </c>
      <c r="Z30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Row],[data]])),((Z308*AA308)+SUMIFS(estoque[valor total],estoque[produto],preçodiario[[#Headers],[OVO BRANCO JUMBO]],estoque[data],preçodiario[[#This Row],[data]],estoque[fornecedor],"&lt;&gt;saída"))/(AA308+(SUMIFS(estoque[quantidade],estoque[produto],preçodiario[[#Headers],[OVO BRANCO JUMBO]],estoque[fornecedor],"&lt;&gt;saída",estoque[data],preçodiario[[#This Row],[data]])))))</f>
        <v>16.50550595238095</v>
      </c>
      <c r="AA309" s="22">
        <f>IF(preçodiario[[#This Row],[entrada J]]=0,AA308-(SUMIFS(estoque[quantidade],estoque[fornecedor],"saída",estoque[produto],preçodiario[[#Headers],[OVO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Row],[data]]))+AA308+preçodiario[[#This Row],[entrada J]])</f>
        <v>75</v>
      </c>
      <c r="AB309" s="22">
        <f>SUMIFS(estoque[quantidade],estoque[fornecedor],"&lt;&gt;saída",estoque[produto],preçodiario[[#Headers],[OVO BRANCO JUMBO]],estoque[data],preçodiario[[#This Row],[data]])</f>
        <v>0</v>
      </c>
      <c r="AC309" s="20">
        <f>SUMIFS(estoque[valor total],estoque[fornecedor],"&lt;&gt;saída",estoque[produto],preçodiario[[#Headers],[OVO BRANCO JUMBO]],estoque[data],preçodiario[[#This Row],[data]])</f>
        <v>0</v>
      </c>
      <c r="AD309" s="20">
        <f>IFERROR(preçodiario[[#This Row],[OVO BRANCO JUMBO]]*preçodiario[[#This Row],[estoque J]],0)</f>
        <v>1237.9129464285713</v>
      </c>
      <c r="AE30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Row],[data]])),((AE308*AF308)+SUMIFS(estoque[valor total],estoque[produto],preçodiario[[#Headers],[OVO VERMELHO A]],estoque[data],preçodiario[[#This Row],[data]],estoque[fornecedor],"&lt;&gt;saída"))/(AF308+(SUMIFS(estoque[quantidade],estoque[produto],preçodiario[[#Headers],[OVO VERMELHO A]],estoque[fornecedor],"&lt;&gt;saída",estoque[data],preçodiario[[#This Row],[data]])))))</f>
        <v/>
      </c>
      <c r="AF309" s="22">
        <f>IF(preçodiario[[#This Row],[entrada AV]]=0,AF308-(SUMIFS(estoque[quantidade],estoque[fornecedor],"saída",estoque[produto],preçodiario[[#Headers],[OVO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Row],[data]]))+AF308+preçodiario[[#This Row],[entrada AV]])</f>
        <v>0</v>
      </c>
      <c r="AG309" s="22">
        <f>SUMIFS(estoque[quantidade],estoque[fornecedor],"&lt;&gt;saída",estoque[produto],preçodiario[[#Headers],[OVO VERMELHO A]],estoque[data],preçodiario[[#This Row],[data]])</f>
        <v>0</v>
      </c>
      <c r="AH309" s="20">
        <f>SUMIFS(estoque[valor total],estoque[fornecedor],"&lt;&gt;saída",estoque[produto],preçodiario[[#Headers],[OVO VERMELHO A]],estoque[data],preçodiario[[#This Row],[data]])</f>
        <v>0</v>
      </c>
      <c r="AI309" s="20">
        <f>IFERROR(preçodiario[[#This Row],[OVO VERMELHO A]]*preçodiario[[#This Row],[estoque AV]],0)</f>
        <v>0</v>
      </c>
      <c r="AJ30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Row],[data]])),((AJ308*AK308)+SUMIFS(estoque[valor total],estoque[produto],preçodiario[[#Headers],[OVO VERMELHO B]],estoque[data],preçodiario[[#This Row],[data]],estoque[fornecedor],"&lt;&gt;saída"))/(AK308+(SUMIFS(estoque[quantidade],estoque[produto],preçodiario[[#Headers],[OVO VERMELHO B]],estoque[fornecedor],"&lt;&gt;saída",estoque[data],preçodiario[[#This Row],[data]])))))</f>
        <v/>
      </c>
      <c r="AK309" s="22">
        <f>IF(preçodiario[[#This Row],[entrada BV]]=0,AK308-(SUMIFS(estoque[quantidade],estoque[fornecedor],"saída",estoque[produto],preçodiario[[#Headers],[OVO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Row],[data]]))+AK308+preçodiario[[#This Row],[entrada BV]])</f>
        <v>0</v>
      </c>
      <c r="AL309" s="22">
        <f>SUMIFS(estoque[quantidade],estoque[fornecedor],"&lt;&gt;saída",estoque[produto],preçodiario[[#Headers],[OVO VERMELHO B]],estoque[data],preçodiario[[#This Row],[data]])</f>
        <v>0</v>
      </c>
      <c r="AM309" s="20">
        <f>SUMIFS(estoque[valor total],estoque[fornecedor],"&lt;&gt;saída",estoque[produto],preçodiario[[#Headers],[OVO VERMELHO B]],estoque[data],preçodiario[[#This Row],[data]])</f>
        <v>0</v>
      </c>
      <c r="AN309" s="20">
        <f>IFERROR(preçodiario[[#This Row],[OVO VERMELHO B]]*preçodiario[[#This Row],[estoque BV]],0)</f>
        <v>0</v>
      </c>
      <c r="AO30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Row],[data]])),((AO308*AP308)+SUMIFS(estoque[valor total],estoque[produto],preçodiario[[#Headers],[OVO VERMELHO C]],estoque[data],preçodiario[[#This Row],[data]],estoque[fornecedor],"&lt;&gt;saída"))/(AP308+(SUMIFS(estoque[quantidade],estoque[produto],preçodiario[[#Headers],[OVO VERMELHO C]],estoque[fornecedor],"&lt;&gt;saída",estoque[data],preçodiario[[#This Row],[data]])))))</f>
        <v/>
      </c>
      <c r="AP309" s="22">
        <f>IF(preçodiario[[#This Row],[entrada CV]]=0,AP308-(SUMIFS(estoque[quantidade],estoque[fornecedor],"saída",estoque[produto],preçodiario[[#Headers],[OVO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Row],[data]]))+AP308+preçodiario[[#This Row],[entrada CV]])</f>
        <v>0</v>
      </c>
      <c r="AQ309" s="22">
        <f>SUMIFS(estoque[quantidade],estoque[fornecedor],"&lt;&gt;saída",estoque[produto],preçodiario[[#Headers],[OVO VERMELHO C]],estoque[data],preçodiario[[#This Row],[data]])</f>
        <v>0</v>
      </c>
      <c r="AR309" s="20">
        <f>SUMIFS(estoque[valor total],estoque[fornecedor],"&lt;&gt;saída",estoque[produto],preçodiario[[#Headers],[OVO VERMELHO C]],estoque[data],preçodiario[[#This Row],[data]])</f>
        <v>0</v>
      </c>
      <c r="AS309" s="20">
        <f>IFERROR(preçodiario[[#This Row],[OVO VERMELHO C]]*preçodiario[[#This Row],[estoque CV]],0)</f>
        <v>0</v>
      </c>
      <c r="AT30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Row],[data]])),((AT308*AU308)+SUMIFS(estoque[valor total],estoque[produto],preçodiario[[#Headers],[OVO VERMELHO EXTRA]],estoque[data],preçodiario[[#This Row],[data]],estoque[fornecedor],"&lt;&gt;saída"))/(AU308+(SUMIFS(estoque[quantidade],estoque[produto],preçodiario[[#Headers],[OVO VERMELHO EXTRA]],estoque[fornecedor],"&lt;&gt;saída",estoque[data],preçodiario[[#This Row],[data]])))))</f>
        <v/>
      </c>
      <c r="AU309" s="22">
        <f>IF(preçodiario[[#This Row],[entrada EV]]=0,AU308-(SUMIFS(estoque[quantidade],estoque[fornecedor],"saída",estoque[produto],preçodiario[[#Headers],[OVO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Row],[data]]))+AU308+preçodiario[[#This Row],[entrada EV]])</f>
        <v>0</v>
      </c>
      <c r="AV309" s="22">
        <f>SUMIFS(estoque[quantidade],estoque[fornecedor],"&lt;&gt;saída",estoque[produto],preçodiario[[#Headers],[OVO VERMELHO EXTRA]],estoque[data],preçodiario[[#This Row],[data]])</f>
        <v>0</v>
      </c>
      <c r="AW309" s="20">
        <f>SUMIFS(estoque[valor total],estoque[fornecedor],"&lt;&gt;saída",estoque[produto],preçodiario[[#Headers],[OVO VERMELHO EXTRA]],estoque[data],preçodiario[[#This Row],[data]])</f>
        <v>0</v>
      </c>
      <c r="AX309" s="20">
        <f>IFERROR(preçodiario[[#This Row],[OVO VERMELHO EXTRA]]*preçodiario[[#This Row],[estoque EV]],0)</f>
        <v>0</v>
      </c>
      <c r="AY30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Row],[data]])),((AY308*AZ308)+SUMIFS(estoque[valor total],estoque[produto],preçodiario[[#Headers],[OVO VERMELHO JUMBO]],estoque[data],preçodiario[[#This Row],[data]],estoque[fornecedor],"&lt;&gt;saída"))/(AZ308+(SUMIFS(estoque[quantidade],estoque[produto],preçodiario[[#Headers],[OVO VERMELHO JUMBO]],estoque[fornecedor],"&lt;&gt;saída",estoque[data],preçodiario[[#This Row],[data]])))))</f>
        <v/>
      </c>
      <c r="AZ309" s="22">
        <f>IF(preçodiario[[#This Row],[entrada JV]]=0,AZ308-(SUMIFS(estoque[quantidade],estoque[fornecedor],"saída",estoque[produto],preçodiario[[#Headers],[OVO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Row],[data]]))+AZ308+preçodiario[[#This Row],[entrada JV]])</f>
        <v>0</v>
      </c>
      <c r="BA309" s="22">
        <f>SUMIFS(estoque[quantidade],estoque[fornecedor],"&lt;&gt;saída",estoque[produto],preçodiario[[#Headers],[OVO VERMELHO JUMBO]],estoque[data],preçodiario[[#This Row],[data]])</f>
        <v>0</v>
      </c>
      <c r="BB309" s="20">
        <f>SUMIFS(estoque[valor total],estoque[fornecedor],"&lt;&gt;saída",estoque[produto],preçodiario[[#Headers],[OVO VERMELHO JUMBO]],estoque[data],preçodiario[[#This Row],[data]])</f>
        <v>0</v>
      </c>
      <c r="BC309" s="20">
        <f>IFERROR(preçodiario[[#This Row],[OVO VERMELHO JUMBO]]*preçodiario[[#This Row],[estoque JV]],0)</f>
        <v>0</v>
      </c>
      <c r="BD309" t="str">
        <f>TEXT(vendaAno[[#This Row],[data]],"mmm")</f>
        <v>nov</v>
      </c>
      <c r="BE309" t="str">
        <f>TEXT(vendaAno[[#This Row],[data]],"ddd")</f>
        <v>qua</v>
      </c>
      <c r="BF309" s="82">
        <f>WEEKNUM(vendaAno[[#This Row],[data]],13)</f>
        <v>45</v>
      </c>
      <c r="BG309" s="27">
        <f>preçodiario[[#This Row],[data]]</f>
        <v>46330</v>
      </c>
      <c r="BH30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0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0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Row],[data]]))/12+BJ308,"")</f>
        <v/>
      </c>
      <c r="BK309" s="79" t="str">
        <f ca="1">IF(TODAY()&gt;=vendaAno[[#This Row],[data]],IF(SUMIFS(estoque[quantidade],estoque[fornecedor],"saída",estoque[data],vendaAno[[#This Row],[data]])/12=0,AVERAGE(BK306:BK308),SUMIFS(estoque[quantidade],estoque[fornecedor],"saída",estoque[data],vendaAno[[#This Row],[data]])/12),"")</f>
        <v/>
      </c>
      <c r="BL309" s="8" t="str">
        <f ca="1">IF(vendaAno[[#This Row],[data]]&lt;=TODAY(),IF(SUMIFS(estoque[lucro],estoque[fornecedor],"saída",estoque[data],vendaAno[[#This Row],[data]])=0,AVERAGE(BL306:BL308),SUMIFS(estoque[lucro],estoque[fornecedor],"saída",estoque[data],vendaAno[[#This Row],[data]])),"")</f>
        <v/>
      </c>
      <c r="BM309" s="10" t="str">
        <f ca="1">IFERROR(vendaAno[[#This Row],[lucro]]/vendaAno[[#This Row],[valor de venda]],"")</f>
        <v/>
      </c>
      <c r="BN30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09" s="8" t="str">
        <f ca="1">IF(TODAY()&gt;=vendaAno[[#This Row],[data]],IF(vendaAno[[#This Row],[N°]]=BF308,vendaAno[[#This Row],[lucro]]-173.33+BO308,vendaAno[[#This Row],[lucro]]-150),"")</f>
        <v/>
      </c>
      <c r="BP309" s="81" t="str">
        <f ca="1">IF(TODAY()&gt;=vendaAno[[#This Row],[data]],SUM(BK303:BK309)*12,"")</f>
        <v/>
      </c>
      <c r="BQ309" s="7" t="str">
        <f ca="1">IFERROR(vendaAno[[#This Row],[lucro]]/(vendaAno[[#This Row],[venda]]*12),"")</f>
        <v/>
      </c>
    </row>
    <row r="310" spans="1:69" x14ac:dyDescent="0.25">
      <c r="A31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Row],[data]]-1))*A309+SUMIFS(estoque[valor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0" s="18" t="str">
        <f>TEXT(preçodiario[[#This Row],[data]],"MMM")</f>
        <v>nov</v>
      </c>
      <c r="C310" s="18" t="str">
        <f>TEXT(preçodiario[[#This Row],[data]],"ddd")</f>
        <v>qui</v>
      </c>
      <c r="D310" s="96">
        <f>WEEKNUM(preçodiario[[#This Row],[data]],13)</f>
        <v>45</v>
      </c>
      <c r="E310" s="37">
        <v>46331</v>
      </c>
      <c r="F31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Row],[data]]))),IF(G309=0,SUMIFS(estoque[valor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Row],[data]])),((F309*G309)+SUMIFS(estoque[valor total],estoque[produto],preçodiario[[#Headers],[OVO BRANCO A]],estoque[data],preçodiario[[#This Row],[data]],estoque[fornecedor],"&lt;&gt;saída"))/(G309+(SUMIFS(estoque[quantidade],estoque[produto],preçodiario[[#Headers],[OVO BRANCO A]],estoque[fornecedor],"&lt;&gt;saída",estoque[data],preçodiario[[#This Row],[data]])))))</f>
        <v>15.278182701652089</v>
      </c>
      <c r="G310" s="22">
        <f>IF(preçodiario[[#This Row],[entrada A]]=0,G309-(SUMIFS(estoque[quantidade],estoque[fornecedor],"saída",estoque[produto],preçodiario[[#Headers],[OVO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Row],[data]]))+G309+preçodiario[[#This Row],[entrada A]])</f>
        <v>133</v>
      </c>
      <c r="H310" s="22">
        <f>SUMIFS(estoque[quantidade],estoque[fornecedor],"&lt;&gt;saída",estoque[produto],preçodiario[[#Headers],[OVO BRANCO A]],estoque[data],preçodiario[[#This Row],[data]])</f>
        <v>0</v>
      </c>
      <c r="I310" s="20">
        <f>SUMIFS(estoque[valor total],estoque[fornecedor],"&lt;&gt;saída",estoque[produto],preçodiario[[#Headers],[OVO BRANCO A]],estoque[data],preçodiario[[#This Row],[data]])</f>
        <v>0</v>
      </c>
      <c r="J310" s="20">
        <f>IFERROR(preçodiario[[#This Row],[estoque A]]*preçodiario[[#This Row],[OVO BRANCO A]],0)</f>
        <v>2031.9982993197277</v>
      </c>
      <c r="K31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Row],[data]]))),IF(L309=0,SUMIFS(estoque[valor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Row],[data]])),((K309*L309)+SUMIFS(estoque[valor total],estoque[produto],preçodiario[[#Headers],[OVO BRANCO B]],estoque[data],preçodiario[[#This Row],[data]],estoque[fornecedor],"&lt;&gt;saída"))/(L309+(SUMIFS(estoque[quantidade],estoque[produto],preçodiario[[#Headers],[OVO BRANCO B]],estoque[fornecedor],"&lt;&gt;saída",estoque[data],preçodiario[[#This Row],[data]])))))</f>
        <v>14.584252837326604</v>
      </c>
      <c r="L310" s="22">
        <f>IF(preçodiario[[#This Row],[entrada B]]=0,L309-(SUMIFS(estoque[quantidade],estoque[fornecedor],"saída",estoque[produto],preçodiario[[#Headers],[OVO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Row],[data]]))+L309+preçodiario[[#This Row],[entrada B]])</f>
        <v>16</v>
      </c>
      <c r="M310" s="22">
        <f>SUMIFS(estoque[quantidade],estoque[fornecedor],"&lt;&gt;saída",estoque[produto],preçodiario[[#Headers],[OVO BRANCO B]],estoque[data],preçodiario[[#This Row],[data]])</f>
        <v>0</v>
      </c>
      <c r="N310" s="20">
        <f>SUMIFS(estoque[valor total],estoque[fornecedor],"&lt;&gt;saída",estoque[produto],preçodiario[[#Headers],[OVO BRANCO B]],estoque[data],preçodiario[[#This Row],[data]])</f>
        <v>0</v>
      </c>
      <c r="O310" s="20">
        <f>IFERROR(preçodiario[[#This Row],[OVO BRANCO B]]*preçodiario[[#This Row],[estoque B]],0)</f>
        <v>233.34804539722566</v>
      </c>
      <c r="P31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Row],[data]]))),IF(Q309=0,SUMIFS(estoque[valor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Row],[data]])),((P309*Q309)+SUMIFS(estoque[valor total],estoque[produto],preçodiario[[#Headers],[OVO BRANCO C]],estoque[data],preçodiario[[#This Row],[data]],estoque[fornecedor],"&lt;&gt;saída"))/(Q309+(SUMIFS(estoque[quantidade],estoque[produto],preçodiario[[#Headers],[OVO BRANCO C]],estoque[fornecedor],"&lt;&gt;saída",estoque[data],preçodiario[[#This Row],[data]])))))</f>
        <v>12.5</v>
      </c>
      <c r="Q310" s="22">
        <f>IF(preçodiario[[#This Row],[entrada C]]=0,Q309-(SUMIFS(estoque[quantidade],estoque[fornecedor],"saída",estoque[produto],preçodiario[[#Headers],[OVO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Row],[data]]))+Q309+preçodiario[[#This Row],[entrada C]])</f>
        <v>60</v>
      </c>
      <c r="R310" s="22">
        <f>SUMIFS(estoque[quantidade],estoque[fornecedor],"&lt;&gt;saída",estoque[produto],preçodiario[[#Headers],[OVO BRANCO C]],estoque[data],preçodiario[[#This Row],[data]])</f>
        <v>0</v>
      </c>
      <c r="S310" s="20">
        <f>SUMIFS(estoque[valor total],estoque[fornecedor],"&lt;&gt;saída",estoque[produto],preçodiario[[#Headers],[OVO BRANCO C]],estoque[data],preçodiario[[#This Row],[data]])</f>
        <v>0</v>
      </c>
      <c r="T310" s="20">
        <f>IFERROR(preçodiario[[#This Row],[OVO BRANCO C]]*preçodiario[[#This Row],[estoque C]],0)</f>
        <v>750</v>
      </c>
      <c r="U31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Row],[data]]))),IF(V309=0,SUMIFS(estoque[valor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Row],[data]])),((U309*V309)+SUMIFS(estoque[valor total],estoque[produto],preçodiario[[#Headers],[OVO BRANCO EXTRA]],estoque[data],preçodiario[[#This Row],[data]],estoque[fornecedor],"&lt;&gt;saída"))/(V309+(SUMIFS(estoque[quantidade],estoque[produto],preçodiario[[#Headers],[OVO BRANCO EXTRA]],estoque[fornecedor],"&lt;&gt;saída",estoque[data],preçodiario[[#This Row],[data]])))))</f>
        <v>15.725438400674655</v>
      </c>
      <c r="V310" s="22">
        <f>IF(preçodiario[[#This Row],[entrada E]]=0,V309-(SUMIFS(estoque[quantidade],estoque[fornecedor],"saída",estoque[produto],preçodiario[[#Headers],[OVO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Row],[data]]))+V309+preçodiario[[#This Row],[entrada E]])</f>
        <v>46</v>
      </c>
      <c r="W310" s="22">
        <f>SUMIFS(estoque[quantidade],estoque[fornecedor],"&lt;&gt;saída",estoque[produto],preçodiario[[#Headers],[OVO BRANCO EXTRA]],estoque[data],preçodiario[[#This Row],[data]])</f>
        <v>0</v>
      </c>
      <c r="X310" s="20">
        <f>SUMIFS(estoque[valor total],estoque[fornecedor],"&lt;&gt;saída",estoque[produto],preçodiario[[#Headers],[OVO BRANCO EXTRA]],estoque[data],preçodiario[[#This Row],[data]])</f>
        <v>0</v>
      </c>
      <c r="Y310" s="20">
        <f>IFERROR(preçodiario[[#This Row],[estoque E]]*preçodiario[[#This Row],[OVO BRANCO EXTRA]],0)</f>
        <v>723.37016643103414</v>
      </c>
      <c r="Z31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Row],[data]]))),IF(AA309=0,SUMIFS(estoque[valor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Row],[data]])),((Z309*AA309)+SUMIFS(estoque[valor total],estoque[produto],preçodiario[[#Headers],[OVO BRANCO JUMBO]],estoque[data],preçodiario[[#This Row],[data]],estoque[fornecedor],"&lt;&gt;saída"))/(AA309+(SUMIFS(estoque[quantidade],estoque[produto],preçodiario[[#Headers],[OVO BRANCO JUMBO]],estoque[fornecedor],"&lt;&gt;saída",estoque[data],preçodiario[[#This Row],[data]])))))</f>
        <v>16.50550595238095</v>
      </c>
      <c r="AA310" s="22">
        <f>IF(preçodiario[[#This Row],[entrada J]]=0,AA309-(SUMIFS(estoque[quantidade],estoque[fornecedor],"saída",estoque[produto],preçodiario[[#Headers],[OVO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Row],[data]]))+AA309+preçodiario[[#This Row],[entrada J]])</f>
        <v>75</v>
      </c>
      <c r="AB310" s="22">
        <f>SUMIFS(estoque[quantidade],estoque[fornecedor],"&lt;&gt;saída",estoque[produto],preçodiario[[#Headers],[OVO BRANCO JUMBO]],estoque[data],preçodiario[[#This Row],[data]])</f>
        <v>0</v>
      </c>
      <c r="AC310" s="20">
        <f>SUMIFS(estoque[valor total],estoque[fornecedor],"&lt;&gt;saída",estoque[produto],preçodiario[[#Headers],[OVO BRANCO JUMBO]],estoque[data],preçodiario[[#This Row],[data]])</f>
        <v>0</v>
      </c>
      <c r="AD310" s="20">
        <f>IFERROR(preçodiario[[#This Row],[OVO BRANCO JUMBO]]*preçodiario[[#This Row],[estoque J]],0)</f>
        <v>1237.9129464285713</v>
      </c>
      <c r="AE31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Row],[data]]))),IF(AF309=0,SUMIFS(estoque[valor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Row],[data]])),((AE309*AF309)+SUMIFS(estoque[valor total],estoque[produto],preçodiario[[#Headers],[OVO VERMELHO A]],estoque[data],preçodiario[[#This Row],[data]],estoque[fornecedor],"&lt;&gt;saída"))/(AF309+(SUMIFS(estoque[quantidade],estoque[produto],preçodiario[[#Headers],[OVO VERMELHO A]],estoque[fornecedor],"&lt;&gt;saída",estoque[data],preçodiario[[#This Row],[data]])))))</f>
        <v/>
      </c>
      <c r="AF310" s="22">
        <f>IF(preçodiario[[#This Row],[entrada AV]]=0,AF309-(SUMIFS(estoque[quantidade],estoque[fornecedor],"saída",estoque[produto],preçodiario[[#Headers],[OVO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Row],[data]]))+AF309+preçodiario[[#This Row],[entrada AV]])</f>
        <v>0</v>
      </c>
      <c r="AG310" s="22">
        <f>SUMIFS(estoque[quantidade],estoque[fornecedor],"&lt;&gt;saída",estoque[produto],preçodiario[[#Headers],[OVO VERMELHO A]],estoque[data],preçodiario[[#This Row],[data]])</f>
        <v>0</v>
      </c>
      <c r="AH310" s="20">
        <f>SUMIFS(estoque[valor total],estoque[fornecedor],"&lt;&gt;saída",estoque[produto],preçodiario[[#Headers],[OVO VERMELHO A]],estoque[data],preçodiario[[#This Row],[data]])</f>
        <v>0</v>
      </c>
      <c r="AI310" s="20">
        <f>IFERROR(preçodiario[[#This Row],[OVO VERMELHO A]]*preçodiario[[#This Row],[estoque AV]],0)</f>
        <v>0</v>
      </c>
      <c r="AJ31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Row],[data]]))),IF(AK309=0,SUMIFS(estoque[valor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Row],[data]])),((AJ309*AK309)+SUMIFS(estoque[valor total],estoque[produto],preçodiario[[#Headers],[OVO VERMELHO B]],estoque[data],preçodiario[[#This Row],[data]],estoque[fornecedor],"&lt;&gt;saída"))/(AK309+(SUMIFS(estoque[quantidade],estoque[produto],preçodiario[[#Headers],[OVO VERMELHO B]],estoque[fornecedor],"&lt;&gt;saída",estoque[data],preçodiario[[#This Row],[data]])))))</f>
        <v/>
      </c>
      <c r="AK310" s="22">
        <f>IF(preçodiario[[#This Row],[entrada BV]]=0,AK309-(SUMIFS(estoque[quantidade],estoque[fornecedor],"saída",estoque[produto],preçodiario[[#Headers],[OVO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Row],[data]]))+AK309+preçodiario[[#This Row],[entrada BV]])</f>
        <v>0</v>
      </c>
      <c r="AL310" s="22">
        <f>SUMIFS(estoque[quantidade],estoque[fornecedor],"&lt;&gt;saída",estoque[produto],preçodiario[[#Headers],[OVO VERMELHO B]],estoque[data],preçodiario[[#This Row],[data]])</f>
        <v>0</v>
      </c>
      <c r="AM310" s="20">
        <f>SUMIFS(estoque[valor total],estoque[fornecedor],"&lt;&gt;saída",estoque[produto],preçodiario[[#Headers],[OVO VERMELHO B]],estoque[data],preçodiario[[#This Row],[data]])</f>
        <v>0</v>
      </c>
      <c r="AN310" s="20">
        <f>IFERROR(preçodiario[[#This Row],[OVO VERMELHO B]]*preçodiario[[#This Row],[estoque BV]],0)</f>
        <v>0</v>
      </c>
      <c r="AO31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Row],[data]]))),IF(AP309=0,SUMIFS(estoque[valor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Row],[data]])),((AO309*AP309)+SUMIFS(estoque[valor total],estoque[produto],preçodiario[[#Headers],[OVO VERMELHO C]],estoque[data],preçodiario[[#This Row],[data]],estoque[fornecedor],"&lt;&gt;saída"))/(AP309+(SUMIFS(estoque[quantidade],estoque[produto],preçodiario[[#Headers],[OVO VERMELHO C]],estoque[fornecedor],"&lt;&gt;saída",estoque[data],preçodiario[[#This Row],[data]])))))</f>
        <v/>
      </c>
      <c r="AP310" s="22">
        <f>IF(preçodiario[[#This Row],[entrada CV]]=0,AP309-(SUMIFS(estoque[quantidade],estoque[fornecedor],"saída",estoque[produto],preçodiario[[#Headers],[OVO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Row],[data]]))+AP309+preçodiario[[#This Row],[entrada CV]])</f>
        <v>0</v>
      </c>
      <c r="AQ310" s="22">
        <f>SUMIFS(estoque[quantidade],estoque[fornecedor],"&lt;&gt;saída",estoque[produto],preçodiario[[#Headers],[OVO VERMELHO C]],estoque[data],preçodiario[[#This Row],[data]])</f>
        <v>0</v>
      </c>
      <c r="AR310" s="20">
        <f>SUMIFS(estoque[valor total],estoque[fornecedor],"&lt;&gt;saída",estoque[produto],preçodiario[[#Headers],[OVO VERMELHO C]],estoque[data],preçodiario[[#This Row],[data]])</f>
        <v>0</v>
      </c>
      <c r="AS310" s="20">
        <f>IFERROR(preçodiario[[#This Row],[OVO VERMELHO C]]*preçodiario[[#This Row],[estoque CV]],0)</f>
        <v>0</v>
      </c>
      <c r="AT31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Row],[data]]))),IF(AU309=0,SUMIFS(estoque[valor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Row],[data]])),((AT309*AU309)+SUMIFS(estoque[valor total],estoque[produto],preçodiario[[#Headers],[OVO VERMELHO EXTRA]],estoque[data],preçodiario[[#This Row],[data]],estoque[fornecedor],"&lt;&gt;saída"))/(AU309+(SUMIFS(estoque[quantidade],estoque[produto],preçodiario[[#Headers],[OVO VERMELHO EXTRA]],estoque[fornecedor],"&lt;&gt;saída",estoque[data],preçodiario[[#This Row],[data]])))))</f>
        <v/>
      </c>
      <c r="AU310" s="22">
        <f>IF(preçodiario[[#This Row],[entrada EV]]=0,AU309-(SUMIFS(estoque[quantidade],estoque[fornecedor],"saída",estoque[produto],preçodiario[[#Headers],[OVO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Row],[data]]))+AU309+preçodiario[[#This Row],[entrada EV]])</f>
        <v>0</v>
      </c>
      <c r="AV310" s="22">
        <f>SUMIFS(estoque[quantidade],estoque[fornecedor],"&lt;&gt;saída",estoque[produto],preçodiario[[#Headers],[OVO VERMELHO EXTRA]],estoque[data],preçodiario[[#This Row],[data]])</f>
        <v>0</v>
      </c>
      <c r="AW310" s="20">
        <f>SUMIFS(estoque[valor total],estoque[fornecedor],"&lt;&gt;saída",estoque[produto],preçodiario[[#Headers],[OVO VERMELHO EXTRA]],estoque[data],preçodiario[[#This Row],[data]])</f>
        <v>0</v>
      </c>
      <c r="AX310" s="20">
        <f>IFERROR(preçodiario[[#This Row],[OVO VERMELHO EXTRA]]*preçodiario[[#This Row],[estoque EV]],0)</f>
        <v>0</v>
      </c>
      <c r="AY31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Row],[data]]))),IF(AZ309=0,SUMIFS(estoque[valor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Row],[data]])),((AY309*AZ309)+SUMIFS(estoque[valor total],estoque[produto],preçodiario[[#Headers],[OVO VERMELHO JUMBO]],estoque[data],preçodiario[[#This Row],[data]],estoque[fornecedor],"&lt;&gt;saída"))/(AZ309+(SUMIFS(estoque[quantidade],estoque[produto],preçodiario[[#Headers],[OVO VERMELHO JUMBO]],estoque[fornecedor],"&lt;&gt;saída",estoque[data],preçodiario[[#This Row],[data]])))))</f>
        <v/>
      </c>
      <c r="AZ310" s="22">
        <f>IF(preçodiario[[#This Row],[entrada JV]]=0,AZ309-(SUMIFS(estoque[quantidade],estoque[fornecedor],"saída",estoque[produto],preçodiario[[#Headers],[OVO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Row],[data]]))+AZ309+preçodiario[[#This Row],[entrada JV]])</f>
        <v>0</v>
      </c>
      <c r="BA310" s="22">
        <f>SUMIFS(estoque[quantidade],estoque[fornecedor],"&lt;&gt;saída",estoque[produto],preçodiario[[#Headers],[OVO VERMELHO JUMBO]],estoque[data],preçodiario[[#This Row],[data]])</f>
        <v>0</v>
      </c>
      <c r="BB310" s="20">
        <f>SUMIFS(estoque[valor total],estoque[fornecedor],"&lt;&gt;saída",estoque[produto],preçodiario[[#Headers],[OVO VERMELHO JUMBO]],estoque[data],preçodiario[[#This Row],[data]])</f>
        <v>0</v>
      </c>
      <c r="BC310" s="20">
        <f>IFERROR(preçodiario[[#This Row],[OVO VERMELHO JUMBO]]*preçodiario[[#This Row],[estoque JV]],0)</f>
        <v>0</v>
      </c>
      <c r="BD310" t="str">
        <f>TEXT(vendaAno[[#This Row],[data]],"mmm")</f>
        <v>nov</v>
      </c>
      <c r="BE310" t="str">
        <f>TEXT(vendaAno[[#This Row],[data]],"ddd")</f>
        <v>qui</v>
      </c>
      <c r="BF310" s="82">
        <f>WEEKNUM(vendaAno[[#This Row],[data]],13)</f>
        <v>45</v>
      </c>
      <c r="BG310" s="27">
        <f>preçodiario[[#This Row],[data]]</f>
        <v>46331</v>
      </c>
      <c r="BH31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Row],[data]]))/12+BJ309,"")</f>
        <v/>
      </c>
      <c r="BK310" s="79" t="str">
        <f ca="1">IF(TODAY()&gt;=vendaAno[[#This Row],[data]],IF(SUMIFS(estoque[quantidade],estoque[fornecedor],"saída",estoque[data],vendaAno[[#This Row],[data]])/12=0,AVERAGE(BK307:BK309),SUMIFS(estoque[quantidade],estoque[fornecedor],"saída",estoque[data],vendaAno[[#This Row],[data]])/12),"")</f>
        <v/>
      </c>
      <c r="BL310" s="8" t="str">
        <f ca="1">IF(vendaAno[[#This Row],[data]]&lt;=TODAY(),IF(SUMIFS(estoque[lucro],estoque[fornecedor],"saída",estoque[data],vendaAno[[#This Row],[data]])=0,AVERAGE(BL307:BL309),SUMIFS(estoque[lucro],estoque[fornecedor],"saída",estoque[data],vendaAno[[#This Row],[data]])),"")</f>
        <v/>
      </c>
      <c r="BM310" s="10" t="str">
        <f ca="1">IFERROR(vendaAno[[#This Row],[lucro]]/vendaAno[[#This Row],[valor de venda]],"")</f>
        <v/>
      </c>
      <c r="BN31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0" s="8" t="str">
        <f ca="1">IF(TODAY()&gt;=vendaAno[[#This Row],[data]],IF(vendaAno[[#This Row],[N°]]=BF309,vendaAno[[#This Row],[lucro]]-173.33+BO309,vendaAno[[#This Row],[lucro]]-150),"")</f>
        <v/>
      </c>
      <c r="BP310" s="81" t="str">
        <f ca="1">IF(TODAY()&gt;=vendaAno[[#This Row],[data]],SUM(BK304:BK310)*12,"")</f>
        <v/>
      </c>
      <c r="BQ310" s="7" t="str">
        <f ca="1">IFERROR(vendaAno[[#This Row],[lucro]]/(vendaAno[[#This Row],[venda]]*12),"")</f>
        <v/>
      </c>
    </row>
    <row r="311" spans="1:69" x14ac:dyDescent="0.25">
      <c r="A31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1" s="18" t="str">
        <f>TEXT(preçodiario[[#This Row],[data]],"MMM")</f>
        <v>nov</v>
      </c>
      <c r="C311" s="18" t="str">
        <f>TEXT(preçodiario[[#This Row],[data]],"ddd")</f>
        <v>sex</v>
      </c>
      <c r="D311" s="96">
        <f>WEEKNUM(preçodiario[[#This Row],[data]],13)</f>
        <v>45</v>
      </c>
      <c r="E311" s="37">
        <v>46332</v>
      </c>
      <c r="F31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Row],[data]])),((F310*G310)+SUMIFS(estoque[valor total],estoque[produto],preçodiario[[#Headers],[OVO BRANCO A]],estoque[data],preçodiario[[#This Row],[data]],estoque[fornecedor],"&lt;&gt;saída"))/(G310+(SUMIFS(estoque[quantidade],estoque[produto],preçodiario[[#Headers],[OVO BRANCO A]],estoque[fornecedor],"&lt;&gt;saída",estoque[data],preçodiario[[#This Row],[data]])))))</f>
        <v>15.278182701652089</v>
      </c>
      <c r="G311" s="22">
        <f>IF(preçodiario[[#This Row],[entrada A]]=0,G310-(SUMIFS(estoque[quantidade],estoque[fornecedor],"saída",estoque[produto],preçodiario[[#Headers],[OVO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Row],[data]]))+G310+preçodiario[[#This Row],[entrada A]])</f>
        <v>133</v>
      </c>
      <c r="H311" s="22">
        <f>SUMIFS(estoque[quantidade],estoque[fornecedor],"&lt;&gt;saída",estoque[produto],preçodiario[[#Headers],[OVO BRANCO A]],estoque[data],preçodiario[[#This Row],[data]])</f>
        <v>0</v>
      </c>
      <c r="I311" s="20">
        <f>SUMIFS(estoque[valor total],estoque[fornecedor],"&lt;&gt;saída",estoque[produto],preçodiario[[#Headers],[OVO BRANCO A]],estoque[data],preçodiario[[#This Row],[data]])</f>
        <v>0</v>
      </c>
      <c r="J311" s="20">
        <f>IFERROR(preçodiario[[#This Row],[estoque A]]*preçodiario[[#This Row],[OVO BRANCO A]],0)</f>
        <v>2031.9982993197277</v>
      </c>
      <c r="K31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Row],[data]])),((K310*L310)+SUMIFS(estoque[valor total],estoque[produto],preçodiario[[#Headers],[OVO BRANCO B]],estoque[data],preçodiario[[#This Row],[data]],estoque[fornecedor],"&lt;&gt;saída"))/(L310+(SUMIFS(estoque[quantidade],estoque[produto],preçodiario[[#Headers],[OVO BRANCO B]],estoque[fornecedor],"&lt;&gt;saída",estoque[data],preçodiario[[#This Row],[data]])))))</f>
        <v>14.584252837326604</v>
      </c>
      <c r="L311" s="22">
        <f>IF(preçodiario[[#This Row],[entrada B]]=0,L310-(SUMIFS(estoque[quantidade],estoque[fornecedor],"saída",estoque[produto],preçodiario[[#Headers],[OVO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Row],[data]]))+L310+preçodiario[[#This Row],[entrada B]])</f>
        <v>16</v>
      </c>
      <c r="M311" s="22">
        <f>SUMIFS(estoque[quantidade],estoque[fornecedor],"&lt;&gt;saída",estoque[produto],preçodiario[[#Headers],[OVO BRANCO B]],estoque[data],preçodiario[[#This Row],[data]])</f>
        <v>0</v>
      </c>
      <c r="N311" s="20">
        <f>SUMIFS(estoque[valor total],estoque[fornecedor],"&lt;&gt;saída",estoque[produto],preçodiario[[#Headers],[OVO BRANCO B]],estoque[data],preçodiario[[#This Row],[data]])</f>
        <v>0</v>
      </c>
      <c r="O311" s="20">
        <f>IFERROR(preçodiario[[#This Row],[OVO BRANCO B]]*preçodiario[[#This Row],[estoque B]],0)</f>
        <v>233.34804539722566</v>
      </c>
      <c r="P31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Row],[data]])),((P310*Q310)+SUMIFS(estoque[valor total],estoque[produto],preçodiario[[#Headers],[OVO BRANCO C]],estoque[data],preçodiario[[#This Row],[data]],estoque[fornecedor],"&lt;&gt;saída"))/(Q310+(SUMIFS(estoque[quantidade],estoque[produto],preçodiario[[#Headers],[OVO BRANCO C]],estoque[fornecedor],"&lt;&gt;saída",estoque[data],preçodiario[[#This Row],[data]])))))</f>
        <v>12.5</v>
      </c>
      <c r="Q311" s="22">
        <f>IF(preçodiario[[#This Row],[entrada C]]=0,Q310-(SUMIFS(estoque[quantidade],estoque[fornecedor],"saída",estoque[produto],preçodiario[[#Headers],[OVO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Row],[data]]))+Q310+preçodiario[[#This Row],[entrada C]])</f>
        <v>60</v>
      </c>
      <c r="R311" s="22">
        <f>SUMIFS(estoque[quantidade],estoque[fornecedor],"&lt;&gt;saída",estoque[produto],preçodiario[[#Headers],[OVO BRANCO C]],estoque[data],preçodiario[[#This Row],[data]])</f>
        <v>0</v>
      </c>
      <c r="S311" s="20">
        <f>SUMIFS(estoque[valor total],estoque[fornecedor],"&lt;&gt;saída",estoque[produto],preçodiario[[#Headers],[OVO BRANCO C]],estoque[data],preçodiario[[#This Row],[data]])</f>
        <v>0</v>
      </c>
      <c r="T311" s="20">
        <f>IFERROR(preçodiario[[#This Row],[OVO BRANCO C]]*preçodiario[[#This Row],[estoque C]],0)</f>
        <v>750</v>
      </c>
      <c r="U31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Row],[data]])),((U310*V310)+SUMIFS(estoque[valor total],estoque[produto],preçodiario[[#Headers],[OVO BRANCO EXTRA]],estoque[data],preçodiario[[#This Row],[data]],estoque[fornecedor],"&lt;&gt;saída"))/(V310+(SUMIFS(estoque[quantidade],estoque[produto],preçodiario[[#Headers],[OVO BRANCO EXTRA]],estoque[fornecedor],"&lt;&gt;saída",estoque[data],preçodiario[[#This Row],[data]])))))</f>
        <v>15.725438400674655</v>
      </c>
      <c r="V311" s="22">
        <f>IF(preçodiario[[#This Row],[entrada E]]=0,V310-(SUMIFS(estoque[quantidade],estoque[fornecedor],"saída",estoque[produto],preçodiario[[#Headers],[OVO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Row],[data]]))+V310+preçodiario[[#This Row],[entrada E]])</f>
        <v>46</v>
      </c>
      <c r="W311" s="22">
        <f>SUMIFS(estoque[quantidade],estoque[fornecedor],"&lt;&gt;saída",estoque[produto],preçodiario[[#Headers],[OVO BRANCO EXTRA]],estoque[data],preçodiario[[#This Row],[data]])</f>
        <v>0</v>
      </c>
      <c r="X311" s="20">
        <f>SUMIFS(estoque[valor total],estoque[fornecedor],"&lt;&gt;saída",estoque[produto],preçodiario[[#Headers],[OVO BRANCO EXTRA]],estoque[data],preçodiario[[#This Row],[data]])</f>
        <v>0</v>
      </c>
      <c r="Y311" s="20">
        <f>IFERROR(preçodiario[[#This Row],[estoque E]]*preçodiario[[#This Row],[OVO BRANCO EXTRA]],0)</f>
        <v>723.37016643103414</v>
      </c>
      <c r="Z31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Row],[data]])),((Z310*AA310)+SUMIFS(estoque[valor total],estoque[produto],preçodiario[[#Headers],[OVO BRANCO JUMBO]],estoque[data],preçodiario[[#This Row],[data]],estoque[fornecedor],"&lt;&gt;saída"))/(AA310+(SUMIFS(estoque[quantidade],estoque[produto],preçodiario[[#Headers],[OVO BRANCO JUMBO]],estoque[fornecedor],"&lt;&gt;saída",estoque[data],preçodiario[[#This Row],[data]])))))</f>
        <v>16.50550595238095</v>
      </c>
      <c r="AA311" s="22">
        <f>IF(preçodiario[[#This Row],[entrada J]]=0,AA310-(SUMIFS(estoque[quantidade],estoque[fornecedor],"saída",estoque[produto],preçodiario[[#Headers],[OVO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Row],[data]]))+AA310+preçodiario[[#This Row],[entrada J]])</f>
        <v>75</v>
      </c>
      <c r="AB311" s="22">
        <f>SUMIFS(estoque[quantidade],estoque[fornecedor],"&lt;&gt;saída",estoque[produto],preçodiario[[#Headers],[OVO BRANCO JUMBO]],estoque[data],preçodiario[[#This Row],[data]])</f>
        <v>0</v>
      </c>
      <c r="AC311" s="20">
        <f>SUMIFS(estoque[valor total],estoque[fornecedor],"&lt;&gt;saída",estoque[produto],preçodiario[[#Headers],[OVO BRANCO JUMBO]],estoque[data],preçodiario[[#This Row],[data]])</f>
        <v>0</v>
      </c>
      <c r="AD311" s="20">
        <f>IFERROR(preçodiario[[#This Row],[OVO BRANCO JUMBO]]*preçodiario[[#This Row],[estoque J]],0)</f>
        <v>1237.9129464285713</v>
      </c>
      <c r="AE31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Row],[data]])),((AE310*AF310)+SUMIFS(estoque[valor total],estoque[produto],preçodiario[[#Headers],[OVO VERMELHO A]],estoque[data],preçodiario[[#This Row],[data]],estoque[fornecedor],"&lt;&gt;saída"))/(AF310+(SUMIFS(estoque[quantidade],estoque[produto],preçodiario[[#Headers],[OVO VERMELHO A]],estoque[fornecedor],"&lt;&gt;saída",estoque[data],preçodiario[[#This Row],[data]])))))</f>
        <v/>
      </c>
      <c r="AF311" s="22">
        <f>IF(preçodiario[[#This Row],[entrada AV]]=0,AF310-(SUMIFS(estoque[quantidade],estoque[fornecedor],"saída",estoque[produto],preçodiario[[#Headers],[OVO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Row],[data]]))+AF310+preçodiario[[#This Row],[entrada AV]])</f>
        <v>0</v>
      </c>
      <c r="AG311" s="22">
        <f>SUMIFS(estoque[quantidade],estoque[fornecedor],"&lt;&gt;saída",estoque[produto],preçodiario[[#Headers],[OVO VERMELHO A]],estoque[data],preçodiario[[#This Row],[data]])</f>
        <v>0</v>
      </c>
      <c r="AH311" s="20">
        <f>SUMIFS(estoque[valor total],estoque[fornecedor],"&lt;&gt;saída",estoque[produto],preçodiario[[#Headers],[OVO VERMELHO A]],estoque[data],preçodiario[[#This Row],[data]])</f>
        <v>0</v>
      </c>
      <c r="AI311" s="20">
        <f>IFERROR(preçodiario[[#This Row],[OVO VERMELHO A]]*preçodiario[[#This Row],[estoque AV]],0)</f>
        <v>0</v>
      </c>
      <c r="AJ31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Row],[data]])),((AJ310*AK310)+SUMIFS(estoque[valor total],estoque[produto],preçodiario[[#Headers],[OVO VERMELHO B]],estoque[data],preçodiario[[#This Row],[data]],estoque[fornecedor],"&lt;&gt;saída"))/(AK310+(SUMIFS(estoque[quantidade],estoque[produto],preçodiario[[#Headers],[OVO VERMELHO B]],estoque[fornecedor],"&lt;&gt;saída",estoque[data],preçodiario[[#This Row],[data]])))))</f>
        <v/>
      </c>
      <c r="AK311" s="22">
        <f>IF(preçodiario[[#This Row],[entrada BV]]=0,AK310-(SUMIFS(estoque[quantidade],estoque[fornecedor],"saída",estoque[produto],preçodiario[[#Headers],[OVO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Row],[data]]))+AK310+preçodiario[[#This Row],[entrada BV]])</f>
        <v>0</v>
      </c>
      <c r="AL311" s="22">
        <f>SUMIFS(estoque[quantidade],estoque[fornecedor],"&lt;&gt;saída",estoque[produto],preçodiario[[#Headers],[OVO VERMELHO B]],estoque[data],preçodiario[[#This Row],[data]])</f>
        <v>0</v>
      </c>
      <c r="AM311" s="20">
        <f>SUMIFS(estoque[valor total],estoque[fornecedor],"&lt;&gt;saída",estoque[produto],preçodiario[[#Headers],[OVO VERMELHO B]],estoque[data],preçodiario[[#This Row],[data]])</f>
        <v>0</v>
      </c>
      <c r="AN311" s="20">
        <f>IFERROR(preçodiario[[#This Row],[OVO VERMELHO B]]*preçodiario[[#This Row],[estoque BV]],0)</f>
        <v>0</v>
      </c>
      <c r="AO31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Row],[data]])),((AO310*AP310)+SUMIFS(estoque[valor total],estoque[produto],preçodiario[[#Headers],[OVO VERMELHO C]],estoque[data],preçodiario[[#This Row],[data]],estoque[fornecedor],"&lt;&gt;saída"))/(AP310+(SUMIFS(estoque[quantidade],estoque[produto],preçodiario[[#Headers],[OVO VERMELHO C]],estoque[fornecedor],"&lt;&gt;saída",estoque[data],preçodiario[[#This Row],[data]])))))</f>
        <v/>
      </c>
      <c r="AP311" s="22">
        <f>IF(preçodiario[[#This Row],[entrada CV]]=0,AP310-(SUMIFS(estoque[quantidade],estoque[fornecedor],"saída",estoque[produto],preçodiario[[#Headers],[OVO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Row],[data]]))+AP310+preçodiario[[#This Row],[entrada CV]])</f>
        <v>0</v>
      </c>
      <c r="AQ311" s="22">
        <f>SUMIFS(estoque[quantidade],estoque[fornecedor],"&lt;&gt;saída",estoque[produto],preçodiario[[#Headers],[OVO VERMELHO C]],estoque[data],preçodiario[[#This Row],[data]])</f>
        <v>0</v>
      </c>
      <c r="AR311" s="20">
        <f>SUMIFS(estoque[valor total],estoque[fornecedor],"&lt;&gt;saída",estoque[produto],preçodiario[[#Headers],[OVO VERMELHO C]],estoque[data],preçodiario[[#This Row],[data]])</f>
        <v>0</v>
      </c>
      <c r="AS311" s="20">
        <f>IFERROR(preçodiario[[#This Row],[OVO VERMELHO C]]*preçodiario[[#This Row],[estoque CV]],0)</f>
        <v>0</v>
      </c>
      <c r="AT31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Row],[data]])),((AT310*AU310)+SUMIFS(estoque[valor total],estoque[produto],preçodiario[[#Headers],[OVO VERMELHO EXTRA]],estoque[data],preçodiario[[#This Row],[data]],estoque[fornecedor],"&lt;&gt;saída"))/(AU310+(SUMIFS(estoque[quantidade],estoque[produto],preçodiario[[#Headers],[OVO VERMELHO EXTRA]],estoque[fornecedor],"&lt;&gt;saída",estoque[data],preçodiario[[#This Row],[data]])))))</f>
        <v/>
      </c>
      <c r="AU311" s="22">
        <f>IF(preçodiario[[#This Row],[entrada EV]]=0,AU310-(SUMIFS(estoque[quantidade],estoque[fornecedor],"saída",estoque[produto],preçodiario[[#Headers],[OVO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Row],[data]]))+AU310+preçodiario[[#This Row],[entrada EV]])</f>
        <v>0</v>
      </c>
      <c r="AV311" s="22">
        <f>SUMIFS(estoque[quantidade],estoque[fornecedor],"&lt;&gt;saída",estoque[produto],preçodiario[[#Headers],[OVO VERMELHO EXTRA]],estoque[data],preçodiario[[#This Row],[data]])</f>
        <v>0</v>
      </c>
      <c r="AW311" s="20">
        <f>SUMIFS(estoque[valor total],estoque[fornecedor],"&lt;&gt;saída",estoque[produto],preçodiario[[#Headers],[OVO VERMELHO EXTRA]],estoque[data],preçodiario[[#This Row],[data]])</f>
        <v>0</v>
      </c>
      <c r="AX311" s="20">
        <f>IFERROR(preçodiario[[#This Row],[OVO VERMELHO EXTRA]]*preçodiario[[#This Row],[estoque EV]],0)</f>
        <v>0</v>
      </c>
      <c r="AY31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Row],[data]])),((AY310*AZ310)+SUMIFS(estoque[valor total],estoque[produto],preçodiario[[#Headers],[OVO VERMELHO JUMBO]],estoque[data],preçodiario[[#This Row],[data]],estoque[fornecedor],"&lt;&gt;saída"))/(AZ310+(SUMIFS(estoque[quantidade],estoque[produto],preçodiario[[#Headers],[OVO VERMELHO JUMBO]],estoque[fornecedor],"&lt;&gt;saída",estoque[data],preçodiario[[#This Row],[data]])))))</f>
        <v/>
      </c>
      <c r="AZ311" s="22">
        <f>IF(preçodiario[[#This Row],[entrada JV]]=0,AZ310-(SUMIFS(estoque[quantidade],estoque[fornecedor],"saída",estoque[produto],preçodiario[[#Headers],[OVO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Row],[data]]))+AZ310+preçodiario[[#This Row],[entrada JV]])</f>
        <v>0</v>
      </c>
      <c r="BA311" s="22">
        <f>SUMIFS(estoque[quantidade],estoque[fornecedor],"&lt;&gt;saída",estoque[produto],preçodiario[[#Headers],[OVO VERMELHO JUMBO]],estoque[data],preçodiario[[#This Row],[data]])</f>
        <v>0</v>
      </c>
      <c r="BB311" s="20">
        <f>SUMIFS(estoque[valor total],estoque[fornecedor],"&lt;&gt;saída",estoque[produto],preçodiario[[#Headers],[OVO VERMELHO JUMBO]],estoque[data],preçodiario[[#This Row],[data]])</f>
        <v>0</v>
      </c>
      <c r="BC311" s="20">
        <f>IFERROR(preçodiario[[#This Row],[OVO VERMELHO JUMBO]]*preçodiario[[#This Row],[estoque JV]],0)</f>
        <v>0</v>
      </c>
      <c r="BD311" t="str">
        <f>TEXT(vendaAno[[#This Row],[data]],"mmm")</f>
        <v>nov</v>
      </c>
      <c r="BE311" t="str">
        <f>TEXT(vendaAno[[#This Row],[data]],"ddd")</f>
        <v>sex</v>
      </c>
      <c r="BF311" s="82">
        <f>WEEKNUM(vendaAno[[#This Row],[data]],13)</f>
        <v>45</v>
      </c>
      <c r="BG311" s="27">
        <f>preçodiario[[#This Row],[data]]</f>
        <v>46332</v>
      </c>
      <c r="BH31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Row],[data]]))/12+BJ310,"")</f>
        <v/>
      </c>
      <c r="BK311" s="79" t="str">
        <f ca="1">IF(TODAY()&gt;=vendaAno[[#This Row],[data]],IF(SUMIFS(estoque[quantidade],estoque[fornecedor],"saída",estoque[data],vendaAno[[#This Row],[data]])/12=0,AVERAGE(BK308:BK310),SUMIFS(estoque[quantidade],estoque[fornecedor],"saída",estoque[data],vendaAno[[#This Row],[data]])/12),"")</f>
        <v/>
      </c>
      <c r="BL311" s="8" t="str">
        <f ca="1">IF(vendaAno[[#This Row],[data]]&lt;=TODAY(),IF(SUMIFS(estoque[lucro],estoque[fornecedor],"saída",estoque[data],vendaAno[[#This Row],[data]])=0,AVERAGE(BL308:BL310),SUMIFS(estoque[lucro],estoque[fornecedor],"saída",estoque[data],vendaAno[[#This Row],[data]])),"")</f>
        <v/>
      </c>
      <c r="BM311" s="10" t="str">
        <f ca="1">IFERROR(vendaAno[[#This Row],[lucro]]/vendaAno[[#This Row],[valor de venda]],"")</f>
        <v/>
      </c>
      <c r="BN31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1" s="8" t="str">
        <f ca="1">IF(TODAY()&gt;=vendaAno[[#This Row],[data]],IF(vendaAno[[#This Row],[N°]]=BF310,vendaAno[[#This Row],[lucro]]-173.33+BO310,vendaAno[[#This Row],[lucro]]-150),"")</f>
        <v/>
      </c>
      <c r="BP311" s="81" t="str">
        <f ca="1">IF(TODAY()&gt;=vendaAno[[#This Row],[data]],SUM(BK305:BK311)*12,"")</f>
        <v/>
      </c>
      <c r="BQ311" s="7" t="str">
        <f ca="1">IFERROR(vendaAno[[#This Row],[lucro]]/(vendaAno[[#This Row],[venda]]*12),"")</f>
        <v/>
      </c>
    </row>
    <row r="312" spans="1:69" x14ac:dyDescent="0.25">
      <c r="A31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2" s="18" t="str">
        <f>TEXT(preçodiario[[#This Row],[data]],"MMM")</f>
        <v>nov</v>
      </c>
      <c r="C312" s="18" t="str">
        <f>TEXT(preçodiario[[#This Row],[data]],"ddd")</f>
        <v>sáb</v>
      </c>
      <c r="D312" s="96">
        <f>WEEKNUM(preçodiario[[#This Row],[data]],13)</f>
        <v>45</v>
      </c>
      <c r="E312" s="37">
        <v>46333</v>
      </c>
      <c r="F31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Row],[data]])),((F311*G311)+SUMIFS(estoque[valor total],estoque[produto],preçodiario[[#Headers],[OVO BRANCO A]],estoque[data],preçodiario[[#This Row],[data]],estoque[fornecedor],"&lt;&gt;saída"))/(G311+(SUMIFS(estoque[quantidade],estoque[produto],preçodiario[[#Headers],[OVO BRANCO A]],estoque[fornecedor],"&lt;&gt;saída",estoque[data],preçodiario[[#This Row],[data]])))))</f>
        <v>15.278182701652089</v>
      </c>
      <c r="G312" s="22">
        <f>IF(preçodiario[[#This Row],[entrada A]]=0,G311-(SUMIFS(estoque[quantidade],estoque[fornecedor],"saída",estoque[produto],preçodiario[[#Headers],[OVO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Row],[data]]))+G311+preçodiario[[#This Row],[entrada A]])</f>
        <v>133</v>
      </c>
      <c r="H312" s="22">
        <f>SUMIFS(estoque[quantidade],estoque[fornecedor],"&lt;&gt;saída",estoque[produto],preçodiario[[#Headers],[OVO BRANCO A]],estoque[data],preçodiario[[#This Row],[data]])</f>
        <v>0</v>
      </c>
      <c r="I312" s="20">
        <f>SUMIFS(estoque[valor total],estoque[fornecedor],"&lt;&gt;saída",estoque[produto],preçodiario[[#Headers],[OVO BRANCO A]],estoque[data],preçodiario[[#This Row],[data]])</f>
        <v>0</v>
      </c>
      <c r="J312" s="20">
        <f>IFERROR(preçodiario[[#This Row],[estoque A]]*preçodiario[[#This Row],[OVO BRANCO A]],0)</f>
        <v>2031.9982993197277</v>
      </c>
      <c r="K31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Row],[data]])),((K311*L311)+SUMIFS(estoque[valor total],estoque[produto],preçodiario[[#Headers],[OVO BRANCO B]],estoque[data],preçodiario[[#This Row],[data]],estoque[fornecedor],"&lt;&gt;saída"))/(L311+(SUMIFS(estoque[quantidade],estoque[produto],preçodiario[[#Headers],[OVO BRANCO B]],estoque[fornecedor],"&lt;&gt;saída",estoque[data],preçodiario[[#This Row],[data]])))))</f>
        <v>14.584252837326604</v>
      </c>
      <c r="L312" s="22">
        <f>IF(preçodiario[[#This Row],[entrada B]]=0,L311-(SUMIFS(estoque[quantidade],estoque[fornecedor],"saída",estoque[produto],preçodiario[[#Headers],[OVO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Row],[data]]))+L311+preçodiario[[#This Row],[entrada B]])</f>
        <v>16</v>
      </c>
      <c r="M312" s="22">
        <f>SUMIFS(estoque[quantidade],estoque[fornecedor],"&lt;&gt;saída",estoque[produto],preçodiario[[#Headers],[OVO BRANCO B]],estoque[data],preçodiario[[#This Row],[data]])</f>
        <v>0</v>
      </c>
      <c r="N312" s="20">
        <f>SUMIFS(estoque[valor total],estoque[fornecedor],"&lt;&gt;saída",estoque[produto],preçodiario[[#Headers],[OVO BRANCO B]],estoque[data],preçodiario[[#This Row],[data]])</f>
        <v>0</v>
      </c>
      <c r="O312" s="20">
        <f>IFERROR(preçodiario[[#This Row],[OVO BRANCO B]]*preçodiario[[#This Row],[estoque B]],0)</f>
        <v>233.34804539722566</v>
      </c>
      <c r="P31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Row],[data]])),((P311*Q311)+SUMIFS(estoque[valor total],estoque[produto],preçodiario[[#Headers],[OVO BRANCO C]],estoque[data],preçodiario[[#This Row],[data]],estoque[fornecedor],"&lt;&gt;saída"))/(Q311+(SUMIFS(estoque[quantidade],estoque[produto],preçodiario[[#Headers],[OVO BRANCO C]],estoque[fornecedor],"&lt;&gt;saída",estoque[data],preçodiario[[#This Row],[data]])))))</f>
        <v>12.5</v>
      </c>
      <c r="Q312" s="22">
        <f>IF(preçodiario[[#This Row],[entrada C]]=0,Q311-(SUMIFS(estoque[quantidade],estoque[fornecedor],"saída",estoque[produto],preçodiario[[#Headers],[OVO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Row],[data]]))+Q311+preçodiario[[#This Row],[entrada C]])</f>
        <v>60</v>
      </c>
      <c r="R312" s="22">
        <f>SUMIFS(estoque[quantidade],estoque[fornecedor],"&lt;&gt;saída",estoque[produto],preçodiario[[#Headers],[OVO BRANCO C]],estoque[data],preçodiario[[#This Row],[data]])</f>
        <v>0</v>
      </c>
      <c r="S312" s="20">
        <f>SUMIFS(estoque[valor total],estoque[fornecedor],"&lt;&gt;saída",estoque[produto],preçodiario[[#Headers],[OVO BRANCO C]],estoque[data],preçodiario[[#This Row],[data]])</f>
        <v>0</v>
      </c>
      <c r="T312" s="20">
        <f>IFERROR(preçodiario[[#This Row],[OVO BRANCO C]]*preçodiario[[#This Row],[estoque C]],0)</f>
        <v>750</v>
      </c>
      <c r="U31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Row],[data]])),((U311*V311)+SUMIFS(estoque[valor total],estoque[produto],preçodiario[[#Headers],[OVO BRANCO EXTRA]],estoque[data],preçodiario[[#This Row],[data]],estoque[fornecedor],"&lt;&gt;saída"))/(V311+(SUMIFS(estoque[quantidade],estoque[produto],preçodiario[[#Headers],[OVO BRANCO EXTRA]],estoque[fornecedor],"&lt;&gt;saída",estoque[data],preçodiario[[#This Row],[data]])))))</f>
        <v>15.725438400674655</v>
      </c>
      <c r="V312" s="22">
        <f>IF(preçodiario[[#This Row],[entrada E]]=0,V311-(SUMIFS(estoque[quantidade],estoque[fornecedor],"saída",estoque[produto],preçodiario[[#Headers],[OVO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Row],[data]]))+V311+preçodiario[[#This Row],[entrada E]])</f>
        <v>46</v>
      </c>
      <c r="W312" s="22">
        <f>SUMIFS(estoque[quantidade],estoque[fornecedor],"&lt;&gt;saída",estoque[produto],preçodiario[[#Headers],[OVO BRANCO EXTRA]],estoque[data],preçodiario[[#This Row],[data]])</f>
        <v>0</v>
      </c>
      <c r="X312" s="20">
        <f>SUMIFS(estoque[valor total],estoque[fornecedor],"&lt;&gt;saída",estoque[produto],preçodiario[[#Headers],[OVO BRANCO EXTRA]],estoque[data],preçodiario[[#This Row],[data]])</f>
        <v>0</v>
      </c>
      <c r="Y312" s="20">
        <f>IFERROR(preçodiario[[#This Row],[estoque E]]*preçodiario[[#This Row],[OVO BRANCO EXTRA]],0)</f>
        <v>723.37016643103414</v>
      </c>
      <c r="Z31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Row],[data]])),((Z311*AA311)+SUMIFS(estoque[valor total],estoque[produto],preçodiario[[#Headers],[OVO BRANCO JUMBO]],estoque[data],preçodiario[[#This Row],[data]],estoque[fornecedor],"&lt;&gt;saída"))/(AA311+(SUMIFS(estoque[quantidade],estoque[produto],preçodiario[[#Headers],[OVO BRANCO JUMBO]],estoque[fornecedor],"&lt;&gt;saída",estoque[data],preçodiario[[#This Row],[data]])))))</f>
        <v>16.50550595238095</v>
      </c>
      <c r="AA312" s="22">
        <f>IF(preçodiario[[#This Row],[entrada J]]=0,AA311-(SUMIFS(estoque[quantidade],estoque[fornecedor],"saída",estoque[produto],preçodiario[[#Headers],[OVO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Row],[data]]))+AA311+preçodiario[[#This Row],[entrada J]])</f>
        <v>75</v>
      </c>
      <c r="AB312" s="22">
        <f>SUMIFS(estoque[quantidade],estoque[fornecedor],"&lt;&gt;saída",estoque[produto],preçodiario[[#Headers],[OVO BRANCO JUMBO]],estoque[data],preçodiario[[#This Row],[data]])</f>
        <v>0</v>
      </c>
      <c r="AC312" s="20">
        <f>SUMIFS(estoque[valor total],estoque[fornecedor],"&lt;&gt;saída",estoque[produto],preçodiario[[#Headers],[OVO BRANCO JUMBO]],estoque[data],preçodiario[[#This Row],[data]])</f>
        <v>0</v>
      </c>
      <c r="AD312" s="20">
        <f>IFERROR(preçodiario[[#This Row],[OVO BRANCO JUMBO]]*preçodiario[[#This Row],[estoque J]],0)</f>
        <v>1237.9129464285713</v>
      </c>
      <c r="AE31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Row],[data]])),((AE311*AF311)+SUMIFS(estoque[valor total],estoque[produto],preçodiario[[#Headers],[OVO VERMELHO A]],estoque[data],preçodiario[[#This Row],[data]],estoque[fornecedor],"&lt;&gt;saída"))/(AF311+(SUMIFS(estoque[quantidade],estoque[produto],preçodiario[[#Headers],[OVO VERMELHO A]],estoque[fornecedor],"&lt;&gt;saída",estoque[data],preçodiario[[#This Row],[data]])))))</f>
        <v/>
      </c>
      <c r="AF312" s="22">
        <f>IF(preçodiario[[#This Row],[entrada AV]]=0,AF311-(SUMIFS(estoque[quantidade],estoque[fornecedor],"saída",estoque[produto],preçodiario[[#Headers],[OVO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Row],[data]]))+AF311+preçodiario[[#This Row],[entrada AV]])</f>
        <v>0</v>
      </c>
      <c r="AG312" s="22">
        <f>SUMIFS(estoque[quantidade],estoque[fornecedor],"&lt;&gt;saída",estoque[produto],preçodiario[[#Headers],[OVO VERMELHO A]],estoque[data],preçodiario[[#This Row],[data]])</f>
        <v>0</v>
      </c>
      <c r="AH312" s="20">
        <f>SUMIFS(estoque[valor total],estoque[fornecedor],"&lt;&gt;saída",estoque[produto],preçodiario[[#Headers],[OVO VERMELHO A]],estoque[data],preçodiario[[#This Row],[data]])</f>
        <v>0</v>
      </c>
      <c r="AI312" s="20">
        <f>IFERROR(preçodiario[[#This Row],[OVO VERMELHO A]]*preçodiario[[#This Row],[estoque AV]],0)</f>
        <v>0</v>
      </c>
      <c r="AJ31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Row],[data]])),((AJ311*AK311)+SUMIFS(estoque[valor total],estoque[produto],preçodiario[[#Headers],[OVO VERMELHO B]],estoque[data],preçodiario[[#This Row],[data]],estoque[fornecedor],"&lt;&gt;saída"))/(AK311+(SUMIFS(estoque[quantidade],estoque[produto],preçodiario[[#Headers],[OVO VERMELHO B]],estoque[fornecedor],"&lt;&gt;saída",estoque[data],preçodiario[[#This Row],[data]])))))</f>
        <v/>
      </c>
      <c r="AK312" s="22">
        <f>IF(preçodiario[[#This Row],[entrada BV]]=0,AK311-(SUMIFS(estoque[quantidade],estoque[fornecedor],"saída",estoque[produto],preçodiario[[#Headers],[OVO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Row],[data]]))+AK311+preçodiario[[#This Row],[entrada BV]])</f>
        <v>0</v>
      </c>
      <c r="AL312" s="22">
        <f>SUMIFS(estoque[quantidade],estoque[fornecedor],"&lt;&gt;saída",estoque[produto],preçodiario[[#Headers],[OVO VERMELHO B]],estoque[data],preçodiario[[#This Row],[data]])</f>
        <v>0</v>
      </c>
      <c r="AM312" s="20">
        <f>SUMIFS(estoque[valor total],estoque[fornecedor],"&lt;&gt;saída",estoque[produto],preçodiario[[#Headers],[OVO VERMELHO B]],estoque[data],preçodiario[[#This Row],[data]])</f>
        <v>0</v>
      </c>
      <c r="AN312" s="20">
        <f>IFERROR(preçodiario[[#This Row],[OVO VERMELHO B]]*preçodiario[[#This Row],[estoque BV]],0)</f>
        <v>0</v>
      </c>
      <c r="AO31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Row],[data]])),((AO311*AP311)+SUMIFS(estoque[valor total],estoque[produto],preçodiario[[#Headers],[OVO VERMELHO C]],estoque[data],preçodiario[[#This Row],[data]],estoque[fornecedor],"&lt;&gt;saída"))/(AP311+(SUMIFS(estoque[quantidade],estoque[produto],preçodiario[[#Headers],[OVO VERMELHO C]],estoque[fornecedor],"&lt;&gt;saída",estoque[data],preçodiario[[#This Row],[data]])))))</f>
        <v/>
      </c>
      <c r="AP312" s="22">
        <f>IF(preçodiario[[#This Row],[entrada CV]]=0,AP311-(SUMIFS(estoque[quantidade],estoque[fornecedor],"saída",estoque[produto],preçodiario[[#Headers],[OVO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Row],[data]]))+AP311+preçodiario[[#This Row],[entrada CV]])</f>
        <v>0</v>
      </c>
      <c r="AQ312" s="22">
        <f>SUMIFS(estoque[quantidade],estoque[fornecedor],"&lt;&gt;saída",estoque[produto],preçodiario[[#Headers],[OVO VERMELHO C]],estoque[data],preçodiario[[#This Row],[data]])</f>
        <v>0</v>
      </c>
      <c r="AR312" s="20">
        <f>SUMIFS(estoque[valor total],estoque[fornecedor],"&lt;&gt;saída",estoque[produto],preçodiario[[#Headers],[OVO VERMELHO C]],estoque[data],preçodiario[[#This Row],[data]])</f>
        <v>0</v>
      </c>
      <c r="AS312" s="20">
        <f>IFERROR(preçodiario[[#This Row],[OVO VERMELHO C]]*preçodiario[[#This Row],[estoque CV]],0)</f>
        <v>0</v>
      </c>
      <c r="AT31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Row],[data]])),((AT311*AU311)+SUMIFS(estoque[valor total],estoque[produto],preçodiario[[#Headers],[OVO VERMELHO EXTRA]],estoque[data],preçodiario[[#This Row],[data]],estoque[fornecedor],"&lt;&gt;saída"))/(AU311+(SUMIFS(estoque[quantidade],estoque[produto],preçodiario[[#Headers],[OVO VERMELHO EXTRA]],estoque[fornecedor],"&lt;&gt;saída",estoque[data],preçodiario[[#This Row],[data]])))))</f>
        <v/>
      </c>
      <c r="AU312" s="22">
        <f>IF(preçodiario[[#This Row],[entrada EV]]=0,AU311-(SUMIFS(estoque[quantidade],estoque[fornecedor],"saída",estoque[produto],preçodiario[[#Headers],[OVO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Row],[data]]))+AU311+preçodiario[[#This Row],[entrada EV]])</f>
        <v>0</v>
      </c>
      <c r="AV312" s="22">
        <f>SUMIFS(estoque[quantidade],estoque[fornecedor],"&lt;&gt;saída",estoque[produto],preçodiario[[#Headers],[OVO VERMELHO EXTRA]],estoque[data],preçodiario[[#This Row],[data]])</f>
        <v>0</v>
      </c>
      <c r="AW312" s="20">
        <f>SUMIFS(estoque[valor total],estoque[fornecedor],"&lt;&gt;saída",estoque[produto],preçodiario[[#Headers],[OVO VERMELHO EXTRA]],estoque[data],preçodiario[[#This Row],[data]])</f>
        <v>0</v>
      </c>
      <c r="AX312" s="20">
        <f>IFERROR(preçodiario[[#This Row],[OVO VERMELHO EXTRA]]*preçodiario[[#This Row],[estoque EV]],0)</f>
        <v>0</v>
      </c>
      <c r="AY31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Row],[data]])),((AY311*AZ311)+SUMIFS(estoque[valor total],estoque[produto],preçodiario[[#Headers],[OVO VERMELHO JUMBO]],estoque[data],preçodiario[[#This Row],[data]],estoque[fornecedor],"&lt;&gt;saída"))/(AZ311+(SUMIFS(estoque[quantidade],estoque[produto],preçodiario[[#Headers],[OVO VERMELHO JUMBO]],estoque[fornecedor],"&lt;&gt;saída",estoque[data],preçodiario[[#This Row],[data]])))))</f>
        <v/>
      </c>
      <c r="AZ312" s="22">
        <f>IF(preçodiario[[#This Row],[entrada JV]]=0,AZ311-(SUMIFS(estoque[quantidade],estoque[fornecedor],"saída",estoque[produto],preçodiario[[#Headers],[OVO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Row],[data]]))+AZ311+preçodiario[[#This Row],[entrada JV]])</f>
        <v>0</v>
      </c>
      <c r="BA312" s="22">
        <f>SUMIFS(estoque[quantidade],estoque[fornecedor],"&lt;&gt;saída",estoque[produto],preçodiario[[#Headers],[OVO VERMELHO JUMBO]],estoque[data],preçodiario[[#This Row],[data]])</f>
        <v>0</v>
      </c>
      <c r="BB312" s="20">
        <f>SUMIFS(estoque[valor total],estoque[fornecedor],"&lt;&gt;saída",estoque[produto],preçodiario[[#Headers],[OVO VERMELHO JUMBO]],estoque[data],preçodiario[[#This Row],[data]])</f>
        <v>0</v>
      </c>
      <c r="BC312" s="20">
        <f>IFERROR(preçodiario[[#This Row],[OVO VERMELHO JUMBO]]*preçodiario[[#This Row],[estoque JV]],0)</f>
        <v>0</v>
      </c>
      <c r="BD312" t="str">
        <f>TEXT(vendaAno[[#This Row],[data]],"mmm")</f>
        <v>nov</v>
      </c>
      <c r="BE312" t="str">
        <f>TEXT(vendaAno[[#This Row],[data]],"ddd")</f>
        <v>sáb</v>
      </c>
      <c r="BF312" s="82">
        <f>WEEKNUM(vendaAno[[#This Row],[data]],13)</f>
        <v>45</v>
      </c>
      <c r="BG312" s="27">
        <f>preçodiario[[#This Row],[data]]</f>
        <v>46333</v>
      </c>
      <c r="BH31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Row],[data]]))/12+BJ311,"")</f>
        <v/>
      </c>
      <c r="BK312" s="79" t="str">
        <f ca="1">IF(TODAY()&gt;=vendaAno[[#This Row],[data]],IF(SUMIFS(estoque[quantidade],estoque[fornecedor],"saída",estoque[data],vendaAno[[#This Row],[data]])/12=0,AVERAGE(BK309:BK311),SUMIFS(estoque[quantidade],estoque[fornecedor],"saída",estoque[data],vendaAno[[#This Row],[data]])/12),"")</f>
        <v/>
      </c>
      <c r="BL312" s="8" t="str">
        <f ca="1">IF(vendaAno[[#This Row],[data]]&lt;=TODAY(),IF(SUMIFS(estoque[lucro],estoque[fornecedor],"saída",estoque[data],vendaAno[[#This Row],[data]])=0,AVERAGE(BL309:BL311),SUMIFS(estoque[lucro],estoque[fornecedor],"saída",estoque[data],vendaAno[[#This Row],[data]])),"")</f>
        <v/>
      </c>
      <c r="BM312" s="10" t="str">
        <f ca="1">IFERROR(vendaAno[[#This Row],[lucro]]/vendaAno[[#This Row],[valor de venda]],"")</f>
        <v/>
      </c>
      <c r="BN31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2" s="8" t="str">
        <f ca="1">IF(TODAY()&gt;=vendaAno[[#This Row],[data]],IF(vendaAno[[#This Row],[N°]]=BF311,vendaAno[[#This Row],[lucro]]-173.33+BO311,vendaAno[[#This Row],[lucro]]-150),"")</f>
        <v/>
      </c>
      <c r="BP312" s="81" t="str">
        <f ca="1">IF(TODAY()&gt;=vendaAno[[#This Row],[data]],SUM(BK306:BK312)*12,"")</f>
        <v/>
      </c>
      <c r="BQ312" s="7" t="str">
        <f ca="1">IFERROR(vendaAno[[#This Row],[lucro]]/(vendaAno[[#This Row],[venda]]*12),"")</f>
        <v/>
      </c>
    </row>
    <row r="313" spans="1:69" x14ac:dyDescent="0.25">
      <c r="A31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3" s="18" t="str">
        <f>TEXT(preçodiario[[#This Row],[data]],"MMM")</f>
        <v>nov</v>
      </c>
      <c r="C313" s="18" t="str">
        <f>TEXT(preçodiario[[#This Row],[data]],"ddd")</f>
        <v>dom</v>
      </c>
      <c r="D313" s="96">
        <f>WEEKNUM(preçodiario[[#This Row],[data]],13)</f>
        <v>45</v>
      </c>
      <c r="E313" s="37">
        <v>46334</v>
      </c>
      <c r="F31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Row],[data]])),((F312*G312)+SUMIFS(estoque[valor total],estoque[produto],preçodiario[[#Headers],[OVO BRANCO A]],estoque[data],preçodiario[[#This Row],[data]],estoque[fornecedor],"&lt;&gt;saída"))/(G312+(SUMIFS(estoque[quantidade],estoque[produto],preçodiario[[#Headers],[OVO BRANCO A]],estoque[fornecedor],"&lt;&gt;saída",estoque[data],preçodiario[[#This Row],[data]])))))</f>
        <v>15.278182701652089</v>
      </c>
      <c r="G313" s="22">
        <f>IF(preçodiario[[#This Row],[entrada A]]=0,G312-(SUMIFS(estoque[quantidade],estoque[fornecedor],"saída",estoque[produto],preçodiario[[#Headers],[OVO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Row],[data]]))+G312+preçodiario[[#This Row],[entrada A]])</f>
        <v>133</v>
      </c>
      <c r="H313" s="22">
        <f>SUMIFS(estoque[quantidade],estoque[fornecedor],"&lt;&gt;saída",estoque[produto],preçodiario[[#Headers],[OVO BRANCO A]],estoque[data],preçodiario[[#This Row],[data]])</f>
        <v>0</v>
      </c>
      <c r="I313" s="20">
        <f>SUMIFS(estoque[valor total],estoque[fornecedor],"&lt;&gt;saída",estoque[produto],preçodiario[[#Headers],[OVO BRANCO A]],estoque[data],preçodiario[[#This Row],[data]])</f>
        <v>0</v>
      </c>
      <c r="J313" s="20">
        <f>IFERROR(preçodiario[[#This Row],[estoque A]]*preçodiario[[#This Row],[OVO BRANCO A]],0)</f>
        <v>2031.9982993197277</v>
      </c>
      <c r="K31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Row],[data]])),((K312*L312)+SUMIFS(estoque[valor total],estoque[produto],preçodiario[[#Headers],[OVO BRANCO B]],estoque[data],preçodiario[[#This Row],[data]],estoque[fornecedor],"&lt;&gt;saída"))/(L312+(SUMIFS(estoque[quantidade],estoque[produto],preçodiario[[#Headers],[OVO BRANCO B]],estoque[fornecedor],"&lt;&gt;saída",estoque[data],preçodiario[[#This Row],[data]])))))</f>
        <v>14.584252837326604</v>
      </c>
      <c r="L313" s="22">
        <f>IF(preçodiario[[#This Row],[entrada B]]=0,L312-(SUMIFS(estoque[quantidade],estoque[fornecedor],"saída",estoque[produto],preçodiario[[#Headers],[OVO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Row],[data]]))+L312+preçodiario[[#This Row],[entrada B]])</f>
        <v>16</v>
      </c>
      <c r="M313" s="22">
        <f>SUMIFS(estoque[quantidade],estoque[fornecedor],"&lt;&gt;saída",estoque[produto],preçodiario[[#Headers],[OVO BRANCO B]],estoque[data],preçodiario[[#This Row],[data]])</f>
        <v>0</v>
      </c>
      <c r="N313" s="20">
        <f>SUMIFS(estoque[valor total],estoque[fornecedor],"&lt;&gt;saída",estoque[produto],preçodiario[[#Headers],[OVO BRANCO B]],estoque[data],preçodiario[[#This Row],[data]])</f>
        <v>0</v>
      </c>
      <c r="O313" s="20">
        <f>IFERROR(preçodiario[[#This Row],[OVO BRANCO B]]*preçodiario[[#This Row],[estoque B]],0)</f>
        <v>233.34804539722566</v>
      </c>
      <c r="P31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Row],[data]])),((P312*Q312)+SUMIFS(estoque[valor total],estoque[produto],preçodiario[[#Headers],[OVO BRANCO C]],estoque[data],preçodiario[[#This Row],[data]],estoque[fornecedor],"&lt;&gt;saída"))/(Q312+(SUMIFS(estoque[quantidade],estoque[produto],preçodiario[[#Headers],[OVO BRANCO C]],estoque[fornecedor],"&lt;&gt;saída",estoque[data],preçodiario[[#This Row],[data]])))))</f>
        <v>12.5</v>
      </c>
      <c r="Q313" s="22">
        <f>IF(preçodiario[[#This Row],[entrada C]]=0,Q312-(SUMIFS(estoque[quantidade],estoque[fornecedor],"saída",estoque[produto],preçodiario[[#Headers],[OVO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Row],[data]]))+Q312+preçodiario[[#This Row],[entrada C]])</f>
        <v>60</v>
      </c>
      <c r="R313" s="22">
        <f>SUMIFS(estoque[quantidade],estoque[fornecedor],"&lt;&gt;saída",estoque[produto],preçodiario[[#Headers],[OVO BRANCO C]],estoque[data],preçodiario[[#This Row],[data]])</f>
        <v>0</v>
      </c>
      <c r="S313" s="20">
        <f>SUMIFS(estoque[valor total],estoque[fornecedor],"&lt;&gt;saída",estoque[produto],preçodiario[[#Headers],[OVO BRANCO C]],estoque[data],preçodiario[[#This Row],[data]])</f>
        <v>0</v>
      </c>
      <c r="T313" s="20">
        <f>IFERROR(preçodiario[[#This Row],[OVO BRANCO C]]*preçodiario[[#This Row],[estoque C]],0)</f>
        <v>750</v>
      </c>
      <c r="U31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Row],[data]])),((U312*V312)+SUMIFS(estoque[valor total],estoque[produto],preçodiario[[#Headers],[OVO BRANCO EXTRA]],estoque[data],preçodiario[[#This Row],[data]],estoque[fornecedor],"&lt;&gt;saída"))/(V312+(SUMIFS(estoque[quantidade],estoque[produto],preçodiario[[#Headers],[OVO BRANCO EXTRA]],estoque[fornecedor],"&lt;&gt;saída",estoque[data],preçodiario[[#This Row],[data]])))))</f>
        <v>15.725438400674655</v>
      </c>
      <c r="V313" s="22">
        <f>IF(preçodiario[[#This Row],[entrada E]]=0,V312-(SUMIFS(estoque[quantidade],estoque[fornecedor],"saída",estoque[produto],preçodiario[[#Headers],[OVO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Row],[data]]))+V312+preçodiario[[#This Row],[entrada E]])</f>
        <v>46</v>
      </c>
      <c r="W313" s="22">
        <f>SUMIFS(estoque[quantidade],estoque[fornecedor],"&lt;&gt;saída",estoque[produto],preçodiario[[#Headers],[OVO BRANCO EXTRA]],estoque[data],preçodiario[[#This Row],[data]])</f>
        <v>0</v>
      </c>
      <c r="X313" s="20">
        <f>SUMIFS(estoque[valor total],estoque[fornecedor],"&lt;&gt;saída",estoque[produto],preçodiario[[#Headers],[OVO BRANCO EXTRA]],estoque[data],preçodiario[[#This Row],[data]])</f>
        <v>0</v>
      </c>
      <c r="Y313" s="20">
        <f>IFERROR(preçodiario[[#This Row],[estoque E]]*preçodiario[[#This Row],[OVO BRANCO EXTRA]],0)</f>
        <v>723.37016643103414</v>
      </c>
      <c r="Z31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Row],[data]])),((Z312*AA312)+SUMIFS(estoque[valor total],estoque[produto],preçodiario[[#Headers],[OVO BRANCO JUMBO]],estoque[data],preçodiario[[#This Row],[data]],estoque[fornecedor],"&lt;&gt;saída"))/(AA312+(SUMIFS(estoque[quantidade],estoque[produto],preçodiario[[#Headers],[OVO BRANCO JUMBO]],estoque[fornecedor],"&lt;&gt;saída",estoque[data],preçodiario[[#This Row],[data]])))))</f>
        <v>16.50550595238095</v>
      </c>
      <c r="AA313" s="22">
        <f>IF(preçodiario[[#This Row],[entrada J]]=0,AA312-(SUMIFS(estoque[quantidade],estoque[fornecedor],"saída",estoque[produto],preçodiario[[#Headers],[OVO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Row],[data]]))+AA312+preçodiario[[#This Row],[entrada J]])</f>
        <v>75</v>
      </c>
      <c r="AB313" s="22">
        <f>SUMIFS(estoque[quantidade],estoque[fornecedor],"&lt;&gt;saída",estoque[produto],preçodiario[[#Headers],[OVO BRANCO JUMBO]],estoque[data],preçodiario[[#This Row],[data]])</f>
        <v>0</v>
      </c>
      <c r="AC313" s="20">
        <f>SUMIFS(estoque[valor total],estoque[fornecedor],"&lt;&gt;saída",estoque[produto],preçodiario[[#Headers],[OVO BRANCO JUMBO]],estoque[data],preçodiario[[#This Row],[data]])</f>
        <v>0</v>
      </c>
      <c r="AD313" s="20">
        <f>IFERROR(preçodiario[[#This Row],[OVO BRANCO JUMBO]]*preçodiario[[#This Row],[estoque J]],0)</f>
        <v>1237.9129464285713</v>
      </c>
      <c r="AE31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Row],[data]])),((AE312*AF312)+SUMIFS(estoque[valor total],estoque[produto],preçodiario[[#Headers],[OVO VERMELHO A]],estoque[data],preçodiario[[#This Row],[data]],estoque[fornecedor],"&lt;&gt;saída"))/(AF312+(SUMIFS(estoque[quantidade],estoque[produto],preçodiario[[#Headers],[OVO VERMELHO A]],estoque[fornecedor],"&lt;&gt;saída",estoque[data],preçodiario[[#This Row],[data]])))))</f>
        <v/>
      </c>
      <c r="AF313" s="22">
        <f>IF(preçodiario[[#This Row],[entrada AV]]=0,AF312-(SUMIFS(estoque[quantidade],estoque[fornecedor],"saída",estoque[produto],preçodiario[[#Headers],[OVO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Row],[data]]))+AF312+preçodiario[[#This Row],[entrada AV]])</f>
        <v>0</v>
      </c>
      <c r="AG313" s="22">
        <f>SUMIFS(estoque[quantidade],estoque[fornecedor],"&lt;&gt;saída",estoque[produto],preçodiario[[#Headers],[OVO VERMELHO A]],estoque[data],preçodiario[[#This Row],[data]])</f>
        <v>0</v>
      </c>
      <c r="AH313" s="20">
        <f>SUMIFS(estoque[valor total],estoque[fornecedor],"&lt;&gt;saída",estoque[produto],preçodiario[[#Headers],[OVO VERMELHO A]],estoque[data],preçodiario[[#This Row],[data]])</f>
        <v>0</v>
      </c>
      <c r="AI313" s="20">
        <f>IFERROR(preçodiario[[#This Row],[OVO VERMELHO A]]*preçodiario[[#This Row],[estoque AV]],0)</f>
        <v>0</v>
      </c>
      <c r="AJ31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Row],[data]])),((AJ312*AK312)+SUMIFS(estoque[valor total],estoque[produto],preçodiario[[#Headers],[OVO VERMELHO B]],estoque[data],preçodiario[[#This Row],[data]],estoque[fornecedor],"&lt;&gt;saída"))/(AK312+(SUMIFS(estoque[quantidade],estoque[produto],preçodiario[[#Headers],[OVO VERMELHO B]],estoque[fornecedor],"&lt;&gt;saída",estoque[data],preçodiario[[#This Row],[data]])))))</f>
        <v/>
      </c>
      <c r="AK313" s="22">
        <f>IF(preçodiario[[#This Row],[entrada BV]]=0,AK312-(SUMIFS(estoque[quantidade],estoque[fornecedor],"saída",estoque[produto],preçodiario[[#Headers],[OVO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Row],[data]]))+AK312+preçodiario[[#This Row],[entrada BV]])</f>
        <v>0</v>
      </c>
      <c r="AL313" s="22">
        <f>SUMIFS(estoque[quantidade],estoque[fornecedor],"&lt;&gt;saída",estoque[produto],preçodiario[[#Headers],[OVO VERMELHO B]],estoque[data],preçodiario[[#This Row],[data]])</f>
        <v>0</v>
      </c>
      <c r="AM313" s="20">
        <f>SUMIFS(estoque[valor total],estoque[fornecedor],"&lt;&gt;saída",estoque[produto],preçodiario[[#Headers],[OVO VERMELHO B]],estoque[data],preçodiario[[#This Row],[data]])</f>
        <v>0</v>
      </c>
      <c r="AN313" s="20">
        <f>IFERROR(preçodiario[[#This Row],[OVO VERMELHO B]]*preçodiario[[#This Row],[estoque BV]],0)</f>
        <v>0</v>
      </c>
      <c r="AO31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Row],[data]])),((AO312*AP312)+SUMIFS(estoque[valor total],estoque[produto],preçodiario[[#Headers],[OVO VERMELHO C]],estoque[data],preçodiario[[#This Row],[data]],estoque[fornecedor],"&lt;&gt;saída"))/(AP312+(SUMIFS(estoque[quantidade],estoque[produto],preçodiario[[#Headers],[OVO VERMELHO C]],estoque[fornecedor],"&lt;&gt;saída",estoque[data],preçodiario[[#This Row],[data]])))))</f>
        <v/>
      </c>
      <c r="AP313" s="22">
        <f>IF(preçodiario[[#This Row],[entrada CV]]=0,AP312-(SUMIFS(estoque[quantidade],estoque[fornecedor],"saída",estoque[produto],preçodiario[[#Headers],[OVO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Row],[data]]))+AP312+preçodiario[[#This Row],[entrada CV]])</f>
        <v>0</v>
      </c>
      <c r="AQ313" s="22">
        <f>SUMIFS(estoque[quantidade],estoque[fornecedor],"&lt;&gt;saída",estoque[produto],preçodiario[[#Headers],[OVO VERMELHO C]],estoque[data],preçodiario[[#This Row],[data]])</f>
        <v>0</v>
      </c>
      <c r="AR313" s="20">
        <f>SUMIFS(estoque[valor total],estoque[fornecedor],"&lt;&gt;saída",estoque[produto],preçodiario[[#Headers],[OVO VERMELHO C]],estoque[data],preçodiario[[#This Row],[data]])</f>
        <v>0</v>
      </c>
      <c r="AS313" s="20">
        <f>IFERROR(preçodiario[[#This Row],[OVO VERMELHO C]]*preçodiario[[#This Row],[estoque CV]],0)</f>
        <v>0</v>
      </c>
      <c r="AT31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Row],[data]])),((AT312*AU312)+SUMIFS(estoque[valor total],estoque[produto],preçodiario[[#Headers],[OVO VERMELHO EXTRA]],estoque[data],preçodiario[[#This Row],[data]],estoque[fornecedor],"&lt;&gt;saída"))/(AU312+(SUMIFS(estoque[quantidade],estoque[produto],preçodiario[[#Headers],[OVO VERMELHO EXTRA]],estoque[fornecedor],"&lt;&gt;saída",estoque[data],preçodiario[[#This Row],[data]])))))</f>
        <v/>
      </c>
      <c r="AU313" s="22">
        <f>IF(preçodiario[[#This Row],[entrada EV]]=0,AU312-(SUMIFS(estoque[quantidade],estoque[fornecedor],"saída",estoque[produto],preçodiario[[#Headers],[OVO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Row],[data]]))+AU312+preçodiario[[#This Row],[entrada EV]])</f>
        <v>0</v>
      </c>
      <c r="AV313" s="22">
        <f>SUMIFS(estoque[quantidade],estoque[fornecedor],"&lt;&gt;saída",estoque[produto],preçodiario[[#Headers],[OVO VERMELHO EXTRA]],estoque[data],preçodiario[[#This Row],[data]])</f>
        <v>0</v>
      </c>
      <c r="AW313" s="20">
        <f>SUMIFS(estoque[valor total],estoque[fornecedor],"&lt;&gt;saída",estoque[produto],preçodiario[[#Headers],[OVO VERMELHO EXTRA]],estoque[data],preçodiario[[#This Row],[data]])</f>
        <v>0</v>
      </c>
      <c r="AX313" s="20">
        <f>IFERROR(preçodiario[[#This Row],[OVO VERMELHO EXTRA]]*preçodiario[[#This Row],[estoque EV]],0)</f>
        <v>0</v>
      </c>
      <c r="AY31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Row],[data]])),((AY312*AZ312)+SUMIFS(estoque[valor total],estoque[produto],preçodiario[[#Headers],[OVO VERMELHO JUMBO]],estoque[data],preçodiario[[#This Row],[data]],estoque[fornecedor],"&lt;&gt;saída"))/(AZ312+(SUMIFS(estoque[quantidade],estoque[produto],preçodiario[[#Headers],[OVO VERMELHO JUMBO]],estoque[fornecedor],"&lt;&gt;saída",estoque[data],preçodiario[[#This Row],[data]])))))</f>
        <v/>
      </c>
      <c r="AZ313" s="22">
        <f>IF(preçodiario[[#This Row],[entrada JV]]=0,AZ312-(SUMIFS(estoque[quantidade],estoque[fornecedor],"saída",estoque[produto],preçodiario[[#Headers],[OVO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Row],[data]]))+AZ312+preçodiario[[#This Row],[entrada JV]])</f>
        <v>0</v>
      </c>
      <c r="BA313" s="22">
        <f>SUMIFS(estoque[quantidade],estoque[fornecedor],"&lt;&gt;saída",estoque[produto],preçodiario[[#Headers],[OVO VERMELHO JUMBO]],estoque[data],preçodiario[[#This Row],[data]])</f>
        <v>0</v>
      </c>
      <c r="BB313" s="20">
        <f>SUMIFS(estoque[valor total],estoque[fornecedor],"&lt;&gt;saída",estoque[produto],preçodiario[[#Headers],[OVO VERMELHO JUMBO]],estoque[data],preçodiario[[#This Row],[data]])</f>
        <v>0</v>
      </c>
      <c r="BC313" s="20">
        <f>IFERROR(preçodiario[[#This Row],[OVO VERMELHO JUMBO]]*preçodiario[[#This Row],[estoque JV]],0)</f>
        <v>0</v>
      </c>
      <c r="BD313" t="str">
        <f>TEXT(vendaAno[[#This Row],[data]],"mmm")</f>
        <v>nov</v>
      </c>
      <c r="BE313" t="str">
        <f>TEXT(vendaAno[[#This Row],[data]],"ddd")</f>
        <v>dom</v>
      </c>
      <c r="BF313" s="82">
        <f>WEEKNUM(vendaAno[[#This Row],[data]],13)</f>
        <v>45</v>
      </c>
      <c r="BG313" s="27">
        <f>preçodiario[[#This Row],[data]]</f>
        <v>46334</v>
      </c>
      <c r="BH31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Row],[data]]))/12+BJ312,"")</f>
        <v/>
      </c>
      <c r="BK313" s="79" t="str">
        <f ca="1">IF(TODAY()&gt;=vendaAno[[#This Row],[data]],IF(SUMIFS(estoque[quantidade],estoque[fornecedor],"saída",estoque[data],vendaAno[[#This Row],[data]])/12=0,AVERAGE(BK310:BK312),SUMIFS(estoque[quantidade],estoque[fornecedor],"saída",estoque[data],vendaAno[[#This Row],[data]])/12),"")</f>
        <v/>
      </c>
      <c r="BL313" s="8" t="str">
        <f ca="1">IF(vendaAno[[#This Row],[data]]&lt;=TODAY(),IF(SUMIFS(estoque[lucro],estoque[fornecedor],"saída",estoque[data],vendaAno[[#This Row],[data]])=0,AVERAGE(BL310:BL312),SUMIFS(estoque[lucro],estoque[fornecedor],"saída",estoque[data],vendaAno[[#This Row],[data]])),"")</f>
        <v/>
      </c>
      <c r="BM313" s="10" t="str">
        <f ca="1">IFERROR(vendaAno[[#This Row],[lucro]]/vendaAno[[#This Row],[valor de venda]],"")</f>
        <v/>
      </c>
      <c r="BN31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3" s="8" t="str">
        <f ca="1">IF(TODAY()&gt;=vendaAno[[#This Row],[data]],IF(vendaAno[[#This Row],[N°]]=BF312,vendaAno[[#This Row],[lucro]]-173.33+BO312,vendaAno[[#This Row],[lucro]]-150),"")</f>
        <v/>
      </c>
      <c r="BP313" s="81" t="str">
        <f ca="1">IF(TODAY()&gt;=vendaAno[[#This Row],[data]],SUM(BK307:BK313)*12,"")</f>
        <v/>
      </c>
      <c r="BQ313" s="7" t="str">
        <f ca="1">IFERROR(vendaAno[[#This Row],[lucro]]/(vendaAno[[#This Row],[venda]]*12),"")</f>
        <v/>
      </c>
    </row>
    <row r="314" spans="1:69" x14ac:dyDescent="0.25">
      <c r="A31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4" s="18" t="str">
        <f>TEXT(preçodiario[[#This Row],[data]],"MMM")</f>
        <v>nov</v>
      </c>
      <c r="C314" s="18" t="str">
        <f>TEXT(preçodiario[[#This Row],[data]],"ddd")</f>
        <v>seg</v>
      </c>
      <c r="D314" s="96">
        <f>WEEKNUM(preçodiario[[#This Row],[data]],13)</f>
        <v>45</v>
      </c>
      <c r="E314" s="37">
        <v>46335</v>
      </c>
      <c r="F31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Row],[data]])),((F313*G313)+SUMIFS(estoque[valor total],estoque[produto],preçodiario[[#Headers],[OVO BRANCO A]],estoque[data],preçodiario[[#This Row],[data]],estoque[fornecedor],"&lt;&gt;saída"))/(G313+(SUMIFS(estoque[quantidade],estoque[produto],preçodiario[[#Headers],[OVO BRANCO A]],estoque[fornecedor],"&lt;&gt;saída",estoque[data],preçodiario[[#This Row],[data]])))))</f>
        <v>15.278182701652089</v>
      </c>
      <c r="G314" s="22">
        <f>IF(preçodiario[[#This Row],[entrada A]]=0,G313-(SUMIFS(estoque[quantidade],estoque[fornecedor],"saída",estoque[produto],preçodiario[[#Headers],[OVO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Row],[data]]))+G313+preçodiario[[#This Row],[entrada A]])</f>
        <v>133</v>
      </c>
      <c r="H314" s="22">
        <f>SUMIFS(estoque[quantidade],estoque[fornecedor],"&lt;&gt;saída",estoque[produto],preçodiario[[#Headers],[OVO BRANCO A]],estoque[data],preçodiario[[#This Row],[data]])</f>
        <v>0</v>
      </c>
      <c r="I314" s="20">
        <f>SUMIFS(estoque[valor total],estoque[fornecedor],"&lt;&gt;saída",estoque[produto],preçodiario[[#Headers],[OVO BRANCO A]],estoque[data],preçodiario[[#This Row],[data]])</f>
        <v>0</v>
      </c>
      <c r="J314" s="20">
        <f>IFERROR(preçodiario[[#This Row],[estoque A]]*preçodiario[[#This Row],[OVO BRANCO A]],0)</f>
        <v>2031.9982993197277</v>
      </c>
      <c r="K31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Row],[data]])),((K313*L313)+SUMIFS(estoque[valor total],estoque[produto],preçodiario[[#Headers],[OVO BRANCO B]],estoque[data],preçodiario[[#This Row],[data]],estoque[fornecedor],"&lt;&gt;saída"))/(L313+(SUMIFS(estoque[quantidade],estoque[produto],preçodiario[[#Headers],[OVO BRANCO B]],estoque[fornecedor],"&lt;&gt;saída",estoque[data],preçodiario[[#This Row],[data]])))))</f>
        <v>14.584252837326604</v>
      </c>
      <c r="L314" s="22">
        <f>IF(preçodiario[[#This Row],[entrada B]]=0,L313-(SUMIFS(estoque[quantidade],estoque[fornecedor],"saída",estoque[produto],preçodiario[[#Headers],[OVO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Row],[data]]))+L313+preçodiario[[#This Row],[entrada B]])</f>
        <v>16</v>
      </c>
      <c r="M314" s="22">
        <f>SUMIFS(estoque[quantidade],estoque[fornecedor],"&lt;&gt;saída",estoque[produto],preçodiario[[#Headers],[OVO BRANCO B]],estoque[data],preçodiario[[#This Row],[data]])</f>
        <v>0</v>
      </c>
      <c r="N314" s="20">
        <f>SUMIFS(estoque[valor total],estoque[fornecedor],"&lt;&gt;saída",estoque[produto],preçodiario[[#Headers],[OVO BRANCO B]],estoque[data],preçodiario[[#This Row],[data]])</f>
        <v>0</v>
      </c>
      <c r="O314" s="20">
        <f>IFERROR(preçodiario[[#This Row],[OVO BRANCO B]]*preçodiario[[#This Row],[estoque B]],0)</f>
        <v>233.34804539722566</v>
      </c>
      <c r="P31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Row],[data]])),((P313*Q313)+SUMIFS(estoque[valor total],estoque[produto],preçodiario[[#Headers],[OVO BRANCO C]],estoque[data],preçodiario[[#This Row],[data]],estoque[fornecedor],"&lt;&gt;saída"))/(Q313+(SUMIFS(estoque[quantidade],estoque[produto],preçodiario[[#Headers],[OVO BRANCO C]],estoque[fornecedor],"&lt;&gt;saída",estoque[data],preçodiario[[#This Row],[data]])))))</f>
        <v>12.5</v>
      </c>
      <c r="Q314" s="22">
        <f>IF(preçodiario[[#This Row],[entrada C]]=0,Q313-(SUMIFS(estoque[quantidade],estoque[fornecedor],"saída",estoque[produto],preçodiario[[#Headers],[OVO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Row],[data]]))+Q313+preçodiario[[#This Row],[entrada C]])</f>
        <v>60</v>
      </c>
      <c r="R314" s="22">
        <f>SUMIFS(estoque[quantidade],estoque[fornecedor],"&lt;&gt;saída",estoque[produto],preçodiario[[#Headers],[OVO BRANCO C]],estoque[data],preçodiario[[#This Row],[data]])</f>
        <v>0</v>
      </c>
      <c r="S314" s="20">
        <f>SUMIFS(estoque[valor total],estoque[fornecedor],"&lt;&gt;saída",estoque[produto],preçodiario[[#Headers],[OVO BRANCO C]],estoque[data],preçodiario[[#This Row],[data]])</f>
        <v>0</v>
      </c>
      <c r="T314" s="20">
        <f>IFERROR(preçodiario[[#This Row],[OVO BRANCO C]]*preçodiario[[#This Row],[estoque C]],0)</f>
        <v>750</v>
      </c>
      <c r="U31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Row],[data]])),((U313*V313)+SUMIFS(estoque[valor total],estoque[produto],preçodiario[[#Headers],[OVO BRANCO EXTRA]],estoque[data],preçodiario[[#This Row],[data]],estoque[fornecedor],"&lt;&gt;saída"))/(V313+(SUMIFS(estoque[quantidade],estoque[produto],preçodiario[[#Headers],[OVO BRANCO EXTRA]],estoque[fornecedor],"&lt;&gt;saída",estoque[data],preçodiario[[#This Row],[data]])))))</f>
        <v>15.725438400674655</v>
      </c>
      <c r="V314" s="22">
        <f>IF(preçodiario[[#This Row],[entrada E]]=0,V313-(SUMIFS(estoque[quantidade],estoque[fornecedor],"saída",estoque[produto],preçodiario[[#Headers],[OVO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Row],[data]]))+V313+preçodiario[[#This Row],[entrada E]])</f>
        <v>46</v>
      </c>
      <c r="W314" s="22">
        <f>SUMIFS(estoque[quantidade],estoque[fornecedor],"&lt;&gt;saída",estoque[produto],preçodiario[[#Headers],[OVO BRANCO EXTRA]],estoque[data],preçodiario[[#This Row],[data]])</f>
        <v>0</v>
      </c>
      <c r="X314" s="20">
        <f>SUMIFS(estoque[valor total],estoque[fornecedor],"&lt;&gt;saída",estoque[produto],preçodiario[[#Headers],[OVO BRANCO EXTRA]],estoque[data],preçodiario[[#This Row],[data]])</f>
        <v>0</v>
      </c>
      <c r="Y314" s="20">
        <f>IFERROR(preçodiario[[#This Row],[estoque E]]*preçodiario[[#This Row],[OVO BRANCO EXTRA]],0)</f>
        <v>723.37016643103414</v>
      </c>
      <c r="Z31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Row],[data]])),((Z313*AA313)+SUMIFS(estoque[valor total],estoque[produto],preçodiario[[#Headers],[OVO BRANCO JUMBO]],estoque[data],preçodiario[[#This Row],[data]],estoque[fornecedor],"&lt;&gt;saída"))/(AA313+(SUMIFS(estoque[quantidade],estoque[produto],preçodiario[[#Headers],[OVO BRANCO JUMBO]],estoque[fornecedor],"&lt;&gt;saída",estoque[data],preçodiario[[#This Row],[data]])))))</f>
        <v>16.50550595238095</v>
      </c>
      <c r="AA314" s="22">
        <f>IF(preçodiario[[#This Row],[entrada J]]=0,AA313-(SUMIFS(estoque[quantidade],estoque[fornecedor],"saída",estoque[produto],preçodiario[[#Headers],[OVO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Row],[data]]))+AA313+preçodiario[[#This Row],[entrada J]])</f>
        <v>75</v>
      </c>
      <c r="AB314" s="22">
        <f>SUMIFS(estoque[quantidade],estoque[fornecedor],"&lt;&gt;saída",estoque[produto],preçodiario[[#Headers],[OVO BRANCO JUMBO]],estoque[data],preçodiario[[#This Row],[data]])</f>
        <v>0</v>
      </c>
      <c r="AC314" s="20">
        <f>SUMIFS(estoque[valor total],estoque[fornecedor],"&lt;&gt;saída",estoque[produto],preçodiario[[#Headers],[OVO BRANCO JUMBO]],estoque[data],preçodiario[[#This Row],[data]])</f>
        <v>0</v>
      </c>
      <c r="AD314" s="20">
        <f>IFERROR(preçodiario[[#This Row],[OVO BRANCO JUMBO]]*preçodiario[[#This Row],[estoque J]],0)</f>
        <v>1237.9129464285713</v>
      </c>
      <c r="AE31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Row],[data]])),((AE313*AF313)+SUMIFS(estoque[valor total],estoque[produto],preçodiario[[#Headers],[OVO VERMELHO A]],estoque[data],preçodiario[[#This Row],[data]],estoque[fornecedor],"&lt;&gt;saída"))/(AF313+(SUMIFS(estoque[quantidade],estoque[produto],preçodiario[[#Headers],[OVO VERMELHO A]],estoque[fornecedor],"&lt;&gt;saída",estoque[data],preçodiario[[#This Row],[data]])))))</f>
        <v/>
      </c>
      <c r="AF314" s="22">
        <f>IF(preçodiario[[#This Row],[entrada AV]]=0,AF313-(SUMIFS(estoque[quantidade],estoque[fornecedor],"saída",estoque[produto],preçodiario[[#Headers],[OVO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Row],[data]]))+AF313+preçodiario[[#This Row],[entrada AV]])</f>
        <v>0</v>
      </c>
      <c r="AG314" s="22">
        <f>SUMIFS(estoque[quantidade],estoque[fornecedor],"&lt;&gt;saída",estoque[produto],preçodiario[[#Headers],[OVO VERMELHO A]],estoque[data],preçodiario[[#This Row],[data]])</f>
        <v>0</v>
      </c>
      <c r="AH314" s="20">
        <f>SUMIFS(estoque[valor total],estoque[fornecedor],"&lt;&gt;saída",estoque[produto],preçodiario[[#Headers],[OVO VERMELHO A]],estoque[data],preçodiario[[#This Row],[data]])</f>
        <v>0</v>
      </c>
      <c r="AI314" s="20">
        <f>IFERROR(preçodiario[[#This Row],[OVO VERMELHO A]]*preçodiario[[#This Row],[estoque AV]],0)</f>
        <v>0</v>
      </c>
      <c r="AJ31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Row],[data]])),((AJ313*AK313)+SUMIFS(estoque[valor total],estoque[produto],preçodiario[[#Headers],[OVO VERMELHO B]],estoque[data],preçodiario[[#This Row],[data]],estoque[fornecedor],"&lt;&gt;saída"))/(AK313+(SUMIFS(estoque[quantidade],estoque[produto],preçodiario[[#Headers],[OVO VERMELHO B]],estoque[fornecedor],"&lt;&gt;saída",estoque[data],preçodiario[[#This Row],[data]])))))</f>
        <v/>
      </c>
      <c r="AK314" s="22">
        <f>IF(preçodiario[[#This Row],[entrada BV]]=0,AK313-(SUMIFS(estoque[quantidade],estoque[fornecedor],"saída",estoque[produto],preçodiario[[#Headers],[OVO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Row],[data]]))+AK313+preçodiario[[#This Row],[entrada BV]])</f>
        <v>0</v>
      </c>
      <c r="AL314" s="22">
        <f>SUMIFS(estoque[quantidade],estoque[fornecedor],"&lt;&gt;saída",estoque[produto],preçodiario[[#Headers],[OVO VERMELHO B]],estoque[data],preçodiario[[#This Row],[data]])</f>
        <v>0</v>
      </c>
      <c r="AM314" s="20">
        <f>SUMIFS(estoque[valor total],estoque[fornecedor],"&lt;&gt;saída",estoque[produto],preçodiario[[#Headers],[OVO VERMELHO B]],estoque[data],preçodiario[[#This Row],[data]])</f>
        <v>0</v>
      </c>
      <c r="AN314" s="20">
        <f>IFERROR(preçodiario[[#This Row],[OVO VERMELHO B]]*preçodiario[[#This Row],[estoque BV]],0)</f>
        <v>0</v>
      </c>
      <c r="AO31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Row],[data]])),((AO313*AP313)+SUMIFS(estoque[valor total],estoque[produto],preçodiario[[#Headers],[OVO VERMELHO C]],estoque[data],preçodiario[[#This Row],[data]],estoque[fornecedor],"&lt;&gt;saída"))/(AP313+(SUMIFS(estoque[quantidade],estoque[produto],preçodiario[[#Headers],[OVO VERMELHO C]],estoque[fornecedor],"&lt;&gt;saída",estoque[data],preçodiario[[#This Row],[data]])))))</f>
        <v/>
      </c>
      <c r="AP314" s="22">
        <f>IF(preçodiario[[#This Row],[entrada CV]]=0,AP313-(SUMIFS(estoque[quantidade],estoque[fornecedor],"saída",estoque[produto],preçodiario[[#Headers],[OVO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Row],[data]]))+AP313+preçodiario[[#This Row],[entrada CV]])</f>
        <v>0</v>
      </c>
      <c r="AQ314" s="22">
        <f>SUMIFS(estoque[quantidade],estoque[fornecedor],"&lt;&gt;saída",estoque[produto],preçodiario[[#Headers],[OVO VERMELHO C]],estoque[data],preçodiario[[#This Row],[data]])</f>
        <v>0</v>
      </c>
      <c r="AR314" s="20">
        <f>SUMIFS(estoque[valor total],estoque[fornecedor],"&lt;&gt;saída",estoque[produto],preçodiario[[#Headers],[OVO VERMELHO C]],estoque[data],preçodiario[[#This Row],[data]])</f>
        <v>0</v>
      </c>
      <c r="AS314" s="20">
        <f>IFERROR(preçodiario[[#This Row],[OVO VERMELHO C]]*preçodiario[[#This Row],[estoque CV]],0)</f>
        <v>0</v>
      </c>
      <c r="AT31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Row],[data]])),((AT313*AU313)+SUMIFS(estoque[valor total],estoque[produto],preçodiario[[#Headers],[OVO VERMELHO EXTRA]],estoque[data],preçodiario[[#This Row],[data]],estoque[fornecedor],"&lt;&gt;saída"))/(AU313+(SUMIFS(estoque[quantidade],estoque[produto],preçodiario[[#Headers],[OVO VERMELHO EXTRA]],estoque[fornecedor],"&lt;&gt;saída",estoque[data],preçodiario[[#This Row],[data]])))))</f>
        <v/>
      </c>
      <c r="AU314" s="22">
        <f>IF(preçodiario[[#This Row],[entrada EV]]=0,AU313-(SUMIFS(estoque[quantidade],estoque[fornecedor],"saída",estoque[produto],preçodiario[[#Headers],[OVO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Row],[data]]))+AU313+preçodiario[[#This Row],[entrada EV]])</f>
        <v>0</v>
      </c>
      <c r="AV314" s="22">
        <f>SUMIFS(estoque[quantidade],estoque[fornecedor],"&lt;&gt;saída",estoque[produto],preçodiario[[#Headers],[OVO VERMELHO EXTRA]],estoque[data],preçodiario[[#This Row],[data]])</f>
        <v>0</v>
      </c>
      <c r="AW314" s="20">
        <f>SUMIFS(estoque[valor total],estoque[fornecedor],"&lt;&gt;saída",estoque[produto],preçodiario[[#Headers],[OVO VERMELHO EXTRA]],estoque[data],preçodiario[[#This Row],[data]])</f>
        <v>0</v>
      </c>
      <c r="AX314" s="20">
        <f>IFERROR(preçodiario[[#This Row],[OVO VERMELHO EXTRA]]*preçodiario[[#This Row],[estoque EV]],0)</f>
        <v>0</v>
      </c>
      <c r="AY31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Row],[data]])),((AY313*AZ313)+SUMIFS(estoque[valor total],estoque[produto],preçodiario[[#Headers],[OVO VERMELHO JUMBO]],estoque[data],preçodiario[[#This Row],[data]],estoque[fornecedor],"&lt;&gt;saída"))/(AZ313+(SUMIFS(estoque[quantidade],estoque[produto],preçodiario[[#Headers],[OVO VERMELHO JUMBO]],estoque[fornecedor],"&lt;&gt;saída",estoque[data],preçodiario[[#This Row],[data]])))))</f>
        <v/>
      </c>
      <c r="AZ314" s="22">
        <f>IF(preçodiario[[#This Row],[entrada JV]]=0,AZ313-(SUMIFS(estoque[quantidade],estoque[fornecedor],"saída",estoque[produto],preçodiario[[#Headers],[OVO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Row],[data]]))+AZ313+preçodiario[[#This Row],[entrada JV]])</f>
        <v>0</v>
      </c>
      <c r="BA314" s="22">
        <f>SUMIFS(estoque[quantidade],estoque[fornecedor],"&lt;&gt;saída",estoque[produto],preçodiario[[#Headers],[OVO VERMELHO JUMBO]],estoque[data],preçodiario[[#This Row],[data]])</f>
        <v>0</v>
      </c>
      <c r="BB314" s="20">
        <f>SUMIFS(estoque[valor total],estoque[fornecedor],"&lt;&gt;saída",estoque[produto],preçodiario[[#Headers],[OVO VERMELHO JUMBO]],estoque[data],preçodiario[[#This Row],[data]])</f>
        <v>0</v>
      </c>
      <c r="BC314" s="20">
        <f>IFERROR(preçodiario[[#This Row],[OVO VERMELHO JUMBO]]*preçodiario[[#This Row],[estoque JV]],0)</f>
        <v>0</v>
      </c>
      <c r="BD314" t="str">
        <f>TEXT(vendaAno[[#This Row],[data]],"mmm")</f>
        <v>nov</v>
      </c>
      <c r="BE314" t="str">
        <f>TEXT(vendaAno[[#This Row],[data]],"ddd")</f>
        <v>seg</v>
      </c>
      <c r="BF314" s="82">
        <f>WEEKNUM(vendaAno[[#This Row],[data]],13)</f>
        <v>45</v>
      </c>
      <c r="BG314" s="27">
        <f>preçodiario[[#This Row],[data]]</f>
        <v>46335</v>
      </c>
      <c r="BH31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Row],[data]]))/12+BJ313,"")</f>
        <v/>
      </c>
      <c r="BK314" s="79" t="str">
        <f ca="1">IF(TODAY()&gt;=vendaAno[[#This Row],[data]],IF(SUMIFS(estoque[quantidade],estoque[fornecedor],"saída",estoque[data],vendaAno[[#This Row],[data]])/12=0,AVERAGE(BK311:BK313),SUMIFS(estoque[quantidade],estoque[fornecedor],"saída",estoque[data],vendaAno[[#This Row],[data]])/12),"")</f>
        <v/>
      </c>
      <c r="BL314" s="8" t="str">
        <f ca="1">IF(vendaAno[[#This Row],[data]]&lt;=TODAY(),IF(SUMIFS(estoque[lucro],estoque[fornecedor],"saída",estoque[data],vendaAno[[#This Row],[data]])=0,AVERAGE(BL311:BL313),SUMIFS(estoque[lucro],estoque[fornecedor],"saída",estoque[data],vendaAno[[#This Row],[data]])),"")</f>
        <v/>
      </c>
      <c r="BM314" s="10" t="str">
        <f ca="1">IFERROR(vendaAno[[#This Row],[lucro]]/vendaAno[[#This Row],[valor de venda]],"")</f>
        <v/>
      </c>
      <c r="BN31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4" s="8" t="str">
        <f ca="1">IF(TODAY()&gt;=vendaAno[[#This Row],[data]],IF(vendaAno[[#This Row],[N°]]=BF313,vendaAno[[#This Row],[lucro]]-173.33+BO313,vendaAno[[#This Row],[lucro]]-150),"")</f>
        <v/>
      </c>
      <c r="BP314" s="81" t="str">
        <f ca="1">IF(TODAY()&gt;=vendaAno[[#This Row],[data]],SUM(BK308:BK314)*12,"")</f>
        <v/>
      </c>
      <c r="BQ314" s="7" t="str">
        <f ca="1">IFERROR(vendaAno[[#This Row],[lucro]]/(vendaAno[[#This Row],[venda]]*12),"")</f>
        <v/>
      </c>
    </row>
    <row r="315" spans="1:69" x14ac:dyDescent="0.25">
      <c r="A31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5" s="18" t="str">
        <f>TEXT(preçodiario[[#This Row],[data]],"MMM")</f>
        <v>nov</v>
      </c>
      <c r="C315" s="18" t="str">
        <f>TEXT(preçodiario[[#This Row],[data]],"ddd")</f>
        <v>ter</v>
      </c>
      <c r="D315" s="96">
        <f>WEEKNUM(preçodiario[[#This Row],[data]],13)</f>
        <v>45</v>
      </c>
      <c r="E315" s="37">
        <v>46336</v>
      </c>
      <c r="F31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Row],[data]])),((F314*G314)+SUMIFS(estoque[valor total],estoque[produto],preçodiario[[#Headers],[OVO BRANCO A]],estoque[data],preçodiario[[#This Row],[data]],estoque[fornecedor],"&lt;&gt;saída"))/(G314+(SUMIFS(estoque[quantidade],estoque[produto],preçodiario[[#Headers],[OVO BRANCO A]],estoque[fornecedor],"&lt;&gt;saída",estoque[data],preçodiario[[#This Row],[data]])))))</f>
        <v>15.278182701652089</v>
      </c>
      <c r="G315" s="22">
        <f>IF(preçodiario[[#This Row],[entrada A]]=0,G314-(SUMIFS(estoque[quantidade],estoque[fornecedor],"saída",estoque[produto],preçodiario[[#Headers],[OVO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Row],[data]]))+G314+preçodiario[[#This Row],[entrada A]])</f>
        <v>133</v>
      </c>
      <c r="H315" s="22">
        <f>SUMIFS(estoque[quantidade],estoque[fornecedor],"&lt;&gt;saída",estoque[produto],preçodiario[[#Headers],[OVO BRANCO A]],estoque[data],preçodiario[[#This Row],[data]])</f>
        <v>0</v>
      </c>
      <c r="I315" s="20">
        <f>SUMIFS(estoque[valor total],estoque[fornecedor],"&lt;&gt;saída",estoque[produto],preçodiario[[#Headers],[OVO BRANCO A]],estoque[data],preçodiario[[#This Row],[data]])</f>
        <v>0</v>
      </c>
      <c r="J315" s="20">
        <f>IFERROR(preçodiario[[#This Row],[estoque A]]*preçodiario[[#This Row],[OVO BRANCO A]],0)</f>
        <v>2031.9982993197277</v>
      </c>
      <c r="K31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Row],[data]])),((K314*L314)+SUMIFS(estoque[valor total],estoque[produto],preçodiario[[#Headers],[OVO BRANCO B]],estoque[data],preçodiario[[#This Row],[data]],estoque[fornecedor],"&lt;&gt;saída"))/(L314+(SUMIFS(estoque[quantidade],estoque[produto],preçodiario[[#Headers],[OVO BRANCO B]],estoque[fornecedor],"&lt;&gt;saída",estoque[data],preçodiario[[#This Row],[data]])))))</f>
        <v>14.584252837326604</v>
      </c>
      <c r="L315" s="22">
        <f>IF(preçodiario[[#This Row],[entrada B]]=0,L314-(SUMIFS(estoque[quantidade],estoque[fornecedor],"saída",estoque[produto],preçodiario[[#Headers],[OVO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Row],[data]]))+L314+preçodiario[[#This Row],[entrada B]])</f>
        <v>16</v>
      </c>
      <c r="M315" s="22">
        <f>SUMIFS(estoque[quantidade],estoque[fornecedor],"&lt;&gt;saída",estoque[produto],preçodiario[[#Headers],[OVO BRANCO B]],estoque[data],preçodiario[[#This Row],[data]])</f>
        <v>0</v>
      </c>
      <c r="N315" s="20">
        <f>SUMIFS(estoque[valor total],estoque[fornecedor],"&lt;&gt;saída",estoque[produto],preçodiario[[#Headers],[OVO BRANCO B]],estoque[data],preçodiario[[#This Row],[data]])</f>
        <v>0</v>
      </c>
      <c r="O315" s="20">
        <f>IFERROR(preçodiario[[#This Row],[OVO BRANCO B]]*preçodiario[[#This Row],[estoque B]],0)</f>
        <v>233.34804539722566</v>
      </c>
      <c r="P31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Row],[data]])),((P314*Q314)+SUMIFS(estoque[valor total],estoque[produto],preçodiario[[#Headers],[OVO BRANCO C]],estoque[data],preçodiario[[#This Row],[data]],estoque[fornecedor],"&lt;&gt;saída"))/(Q314+(SUMIFS(estoque[quantidade],estoque[produto],preçodiario[[#Headers],[OVO BRANCO C]],estoque[fornecedor],"&lt;&gt;saída",estoque[data],preçodiario[[#This Row],[data]])))))</f>
        <v>12.5</v>
      </c>
      <c r="Q315" s="22">
        <f>IF(preçodiario[[#This Row],[entrada C]]=0,Q314-(SUMIFS(estoque[quantidade],estoque[fornecedor],"saída",estoque[produto],preçodiario[[#Headers],[OVO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Row],[data]]))+Q314+preçodiario[[#This Row],[entrada C]])</f>
        <v>60</v>
      </c>
      <c r="R315" s="22">
        <f>SUMIFS(estoque[quantidade],estoque[fornecedor],"&lt;&gt;saída",estoque[produto],preçodiario[[#Headers],[OVO BRANCO C]],estoque[data],preçodiario[[#This Row],[data]])</f>
        <v>0</v>
      </c>
      <c r="S315" s="20">
        <f>SUMIFS(estoque[valor total],estoque[fornecedor],"&lt;&gt;saída",estoque[produto],preçodiario[[#Headers],[OVO BRANCO C]],estoque[data],preçodiario[[#This Row],[data]])</f>
        <v>0</v>
      </c>
      <c r="T315" s="20">
        <f>IFERROR(preçodiario[[#This Row],[OVO BRANCO C]]*preçodiario[[#This Row],[estoque C]],0)</f>
        <v>750</v>
      </c>
      <c r="U31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Row],[data]])),((U314*V314)+SUMIFS(estoque[valor total],estoque[produto],preçodiario[[#Headers],[OVO BRANCO EXTRA]],estoque[data],preçodiario[[#This Row],[data]],estoque[fornecedor],"&lt;&gt;saída"))/(V314+(SUMIFS(estoque[quantidade],estoque[produto],preçodiario[[#Headers],[OVO BRANCO EXTRA]],estoque[fornecedor],"&lt;&gt;saída",estoque[data],preçodiario[[#This Row],[data]])))))</f>
        <v>15.725438400674655</v>
      </c>
      <c r="V315" s="22">
        <f>IF(preçodiario[[#This Row],[entrada E]]=0,V314-(SUMIFS(estoque[quantidade],estoque[fornecedor],"saída",estoque[produto],preçodiario[[#Headers],[OVO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Row],[data]]))+V314+preçodiario[[#This Row],[entrada E]])</f>
        <v>46</v>
      </c>
      <c r="W315" s="22">
        <f>SUMIFS(estoque[quantidade],estoque[fornecedor],"&lt;&gt;saída",estoque[produto],preçodiario[[#Headers],[OVO BRANCO EXTRA]],estoque[data],preçodiario[[#This Row],[data]])</f>
        <v>0</v>
      </c>
      <c r="X315" s="20">
        <f>SUMIFS(estoque[valor total],estoque[fornecedor],"&lt;&gt;saída",estoque[produto],preçodiario[[#Headers],[OVO BRANCO EXTRA]],estoque[data],preçodiario[[#This Row],[data]])</f>
        <v>0</v>
      </c>
      <c r="Y315" s="20">
        <f>IFERROR(preçodiario[[#This Row],[estoque E]]*preçodiario[[#This Row],[OVO BRANCO EXTRA]],0)</f>
        <v>723.37016643103414</v>
      </c>
      <c r="Z31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Row],[data]])),((Z314*AA314)+SUMIFS(estoque[valor total],estoque[produto],preçodiario[[#Headers],[OVO BRANCO JUMBO]],estoque[data],preçodiario[[#This Row],[data]],estoque[fornecedor],"&lt;&gt;saída"))/(AA314+(SUMIFS(estoque[quantidade],estoque[produto],preçodiario[[#Headers],[OVO BRANCO JUMBO]],estoque[fornecedor],"&lt;&gt;saída",estoque[data],preçodiario[[#This Row],[data]])))))</f>
        <v>16.50550595238095</v>
      </c>
      <c r="AA315" s="22">
        <f>IF(preçodiario[[#This Row],[entrada J]]=0,AA314-(SUMIFS(estoque[quantidade],estoque[fornecedor],"saída",estoque[produto],preçodiario[[#Headers],[OVO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Row],[data]]))+AA314+preçodiario[[#This Row],[entrada J]])</f>
        <v>75</v>
      </c>
      <c r="AB315" s="22">
        <f>SUMIFS(estoque[quantidade],estoque[fornecedor],"&lt;&gt;saída",estoque[produto],preçodiario[[#Headers],[OVO BRANCO JUMBO]],estoque[data],preçodiario[[#This Row],[data]])</f>
        <v>0</v>
      </c>
      <c r="AC315" s="20">
        <f>SUMIFS(estoque[valor total],estoque[fornecedor],"&lt;&gt;saída",estoque[produto],preçodiario[[#Headers],[OVO BRANCO JUMBO]],estoque[data],preçodiario[[#This Row],[data]])</f>
        <v>0</v>
      </c>
      <c r="AD315" s="20">
        <f>IFERROR(preçodiario[[#This Row],[OVO BRANCO JUMBO]]*preçodiario[[#This Row],[estoque J]],0)</f>
        <v>1237.9129464285713</v>
      </c>
      <c r="AE31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Row],[data]])),((AE314*AF314)+SUMIFS(estoque[valor total],estoque[produto],preçodiario[[#Headers],[OVO VERMELHO A]],estoque[data],preçodiario[[#This Row],[data]],estoque[fornecedor],"&lt;&gt;saída"))/(AF314+(SUMIFS(estoque[quantidade],estoque[produto],preçodiario[[#Headers],[OVO VERMELHO A]],estoque[fornecedor],"&lt;&gt;saída",estoque[data],preçodiario[[#This Row],[data]])))))</f>
        <v/>
      </c>
      <c r="AF315" s="22">
        <f>IF(preçodiario[[#This Row],[entrada AV]]=0,AF314-(SUMIFS(estoque[quantidade],estoque[fornecedor],"saída",estoque[produto],preçodiario[[#Headers],[OVO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Row],[data]]))+AF314+preçodiario[[#This Row],[entrada AV]])</f>
        <v>0</v>
      </c>
      <c r="AG315" s="22">
        <f>SUMIFS(estoque[quantidade],estoque[fornecedor],"&lt;&gt;saída",estoque[produto],preçodiario[[#Headers],[OVO VERMELHO A]],estoque[data],preçodiario[[#This Row],[data]])</f>
        <v>0</v>
      </c>
      <c r="AH315" s="20">
        <f>SUMIFS(estoque[valor total],estoque[fornecedor],"&lt;&gt;saída",estoque[produto],preçodiario[[#Headers],[OVO VERMELHO A]],estoque[data],preçodiario[[#This Row],[data]])</f>
        <v>0</v>
      </c>
      <c r="AI315" s="20">
        <f>IFERROR(preçodiario[[#This Row],[OVO VERMELHO A]]*preçodiario[[#This Row],[estoque AV]],0)</f>
        <v>0</v>
      </c>
      <c r="AJ31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Row],[data]])),((AJ314*AK314)+SUMIFS(estoque[valor total],estoque[produto],preçodiario[[#Headers],[OVO VERMELHO B]],estoque[data],preçodiario[[#This Row],[data]],estoque[fornecedor],"&lt;&gt;saída"))/(AK314+(SUMIFS(estoque[quantidade],estoque[produto],preçodiario[[#Headers],[OVO VERMELHO B]],estoque[fornecedor],"&lt;&gt;saída",estoque[data],preçodiario[[#This Row],[data]])))))</f>
        <v/>
      </c>
      <c r="AK315" s="22">
        <f>IF(preçodiario[[#This Row],[entrada BV]]=0,AK314-(SUMIFS(estoque[quantidade],estoque[fornecedor],"saída",estoque[produto],preçodiario[[#Headers],[OVO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Row],[data]]))+AK314+preçodiario[[#This Row],[entrada BV]])</f>
        <v>0</v>
      </c>
      <c r="AL315" s="22">
        <f>SUMIFS(estoque[quantidade],estoque[fornecedor],"&lt;&gt;saída",estoque[produto],preçodiario[[#Headers],[OVO VERMELHO B]],estoque[data],preçodiario[[#This Row],[data]])</f>
        <v>0</v>
      </c>
      <c r="AM315" s="20">
        <f>SUMIFS(estoque[valor total],estoque[fornecedor],"&lt;&gt;saída",estoque[produto],preçodiario[[#Headers],[OVO VERMELHO B]],estoque[data],preçodiario[[#This Row],[data]])</f>
        <v>0</v>
      </c>
      <c r="AN315" s="20">
        <f>IFERROR(preçodiario[[#This Row],[OVO VERMELHO B]]*preçodiario[[#This Row],[estoque BV]],0)</f>
        <v>0</v>
      </c>
      <c r="AO31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Row],[data]])),((AO314*AP314)+SUMIFS(estoque[valor total],estoque[produto],preçodiario[[#Headers],[OVO VERMELHO C]],estoque[data],preçodiario[[#This Row],[data]],estoque[fornecedor],"&lt;&gt;saída"))/(AP314+(SUMIFS(estoque[quantidade],estoque[produto],preçodiario[[#Headers],[OVO VERMELHO C]],estoque[fornecedor],"&lt;&gt;saída",estoque[data],preçodiario[[#This Row],[data]])))))</f>
        <v/>
      </c>
      <c r="AP315" s="22">
        <f>IF(preçodiario[[#This Row],[entrada CV]]=0,AP314-(SUMIFS(estoque[quantidade],estoque[fornecedor],"saída",estoque[produto],preçodiario[[#Headers],[OVO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Row],[data]]))+AP314+preçodiario[[#This Row],[entrada CV]])</f>
        <v>0</v>
      </c>
      <c r="AQ315" s="22">
        <f>SUMIFS(estoque[quantidade],estoque[fornecedor],"&lt;&gt;saída",estoque[produto],preçodiario[[#Headers],[OVO VERMELHO C]],estoque[data],preçodiario[[#This Row],[data]])</f>
        <v>0</v>
      </c>
      <c r="AR315" s="20">
        <f>SUMIFS(estoque[valor total],estoque[fornecedor],"&lt;&gt;saída",estoque[produto],preçodiario[[#Headers],[OVO VERMELHO C]],estoque[data],preçodiario[[#This Row],[data]])</f>
        <v>0</v>
      </c>
      <c r="AS315" s="20">
        <f>IFERROR(preçodiario[[#This Row],[OVO VERMELHO C]]*preçodiario[[#This Row],[estoque CV]],0)</f>
        <v>0</v>
      </c>
      <c r="AT31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Row],[data]])),((AT314*AU314)+SUMIFS(estoque[valor total],estoque[produto],preçodiario[[#Headers],[OVO VERMELHO EXTRA]],estoque[data],preçodiario[[#This Row],[data]],estoque[fornecedor],"&lt;&gt;saída"))/(AU314+(SUMIFS(estoque[quantidade],estoque[produto],preçodiario[[#Headers],[OVO VERMELHO EXTRA]],estoque[fornecedor],"&lt;&gt;saída",estoque[data],preçodiario[[#This Row],[data]])))))</f>
        <v/>
      </c>
      <c r="AU315" s="22">
        <f>IF(preçodiario[[#This Row],[entrada EV]]=0,AU314-(SUMIFS(estoque[quantidade],estoque[fornecedor],"saída",estoque[produto],preçodiario[[#Headers],[OVO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Row],[data]]))+AU314+preçodiario[[#This Row],[entrada EV]])</f>
        <v>0</v>
      </c>
      <c r="AV315" s="22">
        <f>SUMIFS(estoque[quantidade],estoque[fornecedor],"&lt;&gt;saída",estoque[produto],preçodiario[[#Headers],[OVO VERMELHO EXTRA]],estoque[data],preçodiario[[#This Row],[data]])</f>
        <v>0</v>
      </c>
      <c r="AW315" s="20">
        <f>SUMIFS(estoque[valor total],estoque[fornecedor],"&lt;&gt;saída",estoque[produto],preçodiario[[#Headers],[OVO VERMELHO EXTRA]],estoque[data],preçodiario[[#This Row],[data]])</f>
        <v>0</v>
      </c>
      <c r="AX315" s="20">
        <f>IFERROR(preçodiario[[#This Row],[OVO VERMELHO EXTRA]]*preçodiario[[#This Row],[estoque EV]],0)</f>
        <v>0</v>
      </c>
      <c r="AY31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Row],[data]])),((AY314*AZ314)+SUMIFS(estoque[valor total],estoque[produto],preçodiario[[#Headers],[OVO VERMELHO JUMBO]],estoque[data],preçodiario[[#This Row],[data]],estoque[fornecedor],"&lt;&gt;saída"))/(AZ314+(SUMIFS(estoque[quantidade],estoque[produto],preçodiario[[#Headers],[OVO VERMELHO JUMBO]],estoque[fornecedor],"&lt;&gt;saída",estoque[data],preçodiario[[#This Row],[data]])))))</f>
        <v/>
      </c>
      <c r="AZ315" s="22">
        <f>IF(preçodiario[[#This Row],[entrada JV]]=0,AZ314-(SUMIFS(estoque[quantidade],estoque[fornecedor],"saída",estoque[produto],preçodiario[[#Headers],[OVO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Row],[data]]))+AZ314+preçodiario[[#This Row],[entrada JV]])</f>
        <v>0</v>
      </c>
      <c r="BA315" s="22">
        <f>SUMIFS(estoque[quantidade],estoque[fornecedor],"&lt;&gt;saída",estoque[produto],preçodiario[[#Headers],[OVO VERMELHO JUMBO]],estoque[data],preçodiario[[#This Row],[data]])</f>
        <v>0</v>
      </c>
      <c r="BB315" s="20">
        <f>SUMIFS(estoque[valor total],estoque[fornecedor],"&lt;&gt;saída",estoque[produto],preçodiario[[#Headers],[OVO VERMELHO JUMBO]],estoque[data],preçodiario[[#This Row],[data]])</f>
        <v>0</v>
      </c>
      <c r="BC315" s="20">
        <f>IFERROR(preçodiario[[#This Row],[OVO VERMELHO JUMBO]]*preçodiario[[#This Row],[estoque JV]],0)</f>
        <v>0</v>
      </c>
      <c r="BD315" t="str">
        <f>TEXT(vendaAno[[#This Row],[data]],"mmm")</f>
        <v>nov</v>
      </c>
      <c r="BE315" t="str">
        <f>TEXT(vendaAno[[#This Row],[data]],"ddd")</f>
        <v>ter</v>
      </c>
      <c r="BF315" s="82">
        <f>WEEKNUM(vendaAno[[#This Row],[data]],13)</f>
        <v>45</v>
      </c>
      <c r="BG315" s="27">
        <f>preçodiario[[#This Row],[data]]</f>
        <v>46336</v>
      </c>
      <c r="BH31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Row],[data]]))/12+BJ314,"")</f>
        <v/>
      </c>
      <c r="BK315" s="79" t="str">
        <f ca="1">IF(TODAY()&gt;=vendaAno[[#This Row],[data]],IF(SUMIFS(estoque[quantidade],estoque[fornecedor],"saída",estoque[data],vendaAno[[#This Row],[data]])/12=0,AVERAGE(BK312:BK314),SUMIFS(estoque[quantidade],estoque[fornecedor],"saída",estoque[data],vendaAno[[#This Row],[data]])/12),"")</f>
        <v/>
      </c>
      <c r="BL315" s="8" t="str">
        <f ca="1">IF(vendaAno[[#This Row],[data]]&lt;=TODAY(),IF(SUMIFS(estoque[lucro],estoque[fornecedor],"saída",estoque[data],vendaAno[[#This Row],[data]])=0,AVERAGE(BL312:BL314),SUMIFS(estoque[lucro],estoque[fornecedor],"saída",estoque[data],vendaAno[[#This Row],[data]])),"")</f>
        <v/>
      </c>
      <c r="BM315" s="10" t="str">
        <f ca="1">IFERROR(vendaAno[[#This Row],[lucro]]/vendaAno[[#This Row],[valor de venda]],"")</f>
        <v/>
      </c>
      <c r="BN31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5" s="8" t="str">
        <f ca="1">IF(TODAY()&gt;=vendaAno[[#This Row],[data]],IF(vendaAno[[#This Row],[N°]]=BF314,vendaAno[[#This Row],[lucro]]-173.33+BO314,vendaAno[[#This Row],[lucro]]-150),"")</f>
        <v/>
      </c>
      <c r="BP315" s="81" t="str">
        <f ca="1">IF(TODAY()&gt;=vendaAno[[#This Row],[data]],SUM(BK309:BK315)*12,"")</f>
        <v/>
      </c>
      <c r="BQ315" s="7" t="str">
        <f ca="1">IFERROR(vendaAno[[#This Row],[lucro]]/(vendaAno[[#This Row],[venda]]*12),"")</f>
        <v/>
      </c>
    </row>
    <row r="316" spans="1:69" x14ac:dyDescent="0.25">
      <c r="A31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6" s="18" t="str">
        <f>TEXT(preçodiario[[#This Row],[data]],"MMM")</f>
        <v>nov</v>
      </c>
      <c r="C316" s="18" t="str">
        <f>TEXT(preçodiario[[#This Row],[data]],"ddd")</f>
        <v>qua</v>
      </c>
      <c r="D316" s="96">
        <f>WEEKNUM(preçodiario[[#This Row],[data]],13)</f>
        <v>46</v>
      </c>
      <c r="E316" s="37">
        <v>46337</v>
      </c>
      <c r="F31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Row],[data]])),((F315*G315)+SUMIFS(estoque[valor total],estoque[produto],preçodiario[[#Headers],[OVO BRANCO A]],estoque[data],preçodiario[[#This Row],[data]],estoque[fornecedor],"&lt;&gt;saída"))/(G315+(SUMIFS(estoque[quantidade],estoque[produto],preçodiario[[#Headers],[OVO BRANCO A]],estoque[fornecedor],"&lt;&gt;saída",estoque[data],preçodiario[[#This Row],[data]])))))</f>
        <v>15.278182701652089</v>
      </c>
      <c r="G316" s="22">
        <f>IF(preçodiario[[#This Row],[entrada A]]=0,G315-(SUMIFS(estoque[quantidade],estoque[fornecedor],"saída",estoque[produto],preçodiario[[#Headers],[OVO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Row],[data]]))+G315+preçodiario[[#This Row],[entrada A]])</f>
        <v>133</v>
      </c>
      <c r="H316" s="22">
        <f>SUMIFS(estoque[quantidade],estoque[fornecedor],"&lt;&gt;saída",estoque[produto],preçodiario[[#Headers],[OVO BRANCO A]],estoque[data],preçodiario[[#This Row],[data]])</f>
        <v>0</v>
      </c>
      <c r="I316" s="20">
        <f>SUMIFS(estoque[valor total],estoque[fornecedor],"&lt;&gt;saída",estoque[produto],preçodiario[[#Headers],[OVO BRANCO A]],estoque[data],preçodiario[[#This Row],[data]])</f>
        <v>0</v>
      </c>
      <c r="J316" s="20">
        <f>IFERROR(preçodiario[[#This Row],[estoque A]]*preçodiario[[#This Row],[OVO BRANCO A]],0)</f>
        <v>2031.9982993197277</v>
      </c>
      <c r="K31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Row],[data]])),((K315*L315)+SUMIFS(estoque[valor total],estoque[produto],preçodiario[[#Headers],[OVO BRANCO B]],estoque[data],preçodiario[[#This Row],[data]],estoque[fornecedor],"&lt;&gt;saída"))/(L315+(SUMIFS(estoque[quantidade],estoque[produto],preçodiario[[#Headers],[OVO BRANCO B]],estoque[fornecedor],"&lt;&gt;saída",estoque[data],preçodiario[[#This Row],[data]])))))</f>
        <v>14.584252837326604</v>
      </c>
      <c r="L316" s="22">
        <f>IF(preçodiario[[#This Row],[entrada B]]=0,L315-(SUMIFS(estoque[quantidade],estoque[fornecedor],"saída",estoque[produto],preçodiario[[#Headers],[OVO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Row],[data]]))+L315+preçodiario[[#This Row],[entrada B]])</f>
        <v>16</v>
      </c>
      <c r="M316" s="22">
        <f>SUMIFS(estoque[quantidade],estoque[fornecedor],"&lt;&gt;saída",estoque[produto],preçodiario[[#Headers],[OVO BRANCO B]],estoque[data],preçodiario[[#This Row],[data]])</f>
        <v>0</v>
      </c>
      <c r="N316" s="20">
        <f>SUMIFS(estoque[valor total],estoque[fornecedor],"&lt;&gt;saída",estoque[produto],preçodiario[[#Headers],[OVO BRANCO B]],estoque[data],preçodiario[[#This Row],[data]])</f>
        <v>0</v>
      </c>
      <c r="O316" s="20">
        <f>IFERROR(preçodiario[[#This Row],[OVO BRANCO B]]*preçodiario[[#This Row],[estoque B]],0)</f>
        <v>233.34804539722566</v>
      </c>
      <c r="P31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Row],[data]])),((P315*Q315)+SUMIFS(estoque[valor total],estoque[produto],preçodiario[[#Headers],[OVO BRANCO C]],estoque[data],preçodiario[[#This Row],[data]],estoque[fornecedor],"&lt;&gt;saída"))/(Q315+(SUMIFS(estoque[quantidade],estoque[produto],preçodiario[[#Headers],[OVO BRANCO C]],estoque[fornecedor],"&lt;&gt;saída",estoque[data],preçodiario[[#This Row],[data]])))))</f>
        <v>12.5</v>
      </c>
      <c r="Q316" s="22">
        <f>IF(preçodiario[[#This Row],[entrada C]]=0,Q315-(SUMIFS(estoque[quantidade],estoque[fornecedor],"saída",estoque[produto],preçodiario[[#Headers],[OVO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Row],[data]]))+Q315+preçodiario[[#This Row],[entrada C]])</f>
        <v>60</v>
      </c>
      <c r="R316" s="22">
        <f>SUMIFS(estoque[quantidade],estoque[fornecedor],"&lt;&gt;saída",estoque[produto],preçodiario[[#Headers],[OVO BRANCO C]],estoque[data],preçodiario[[#This Row],[data]])</f>
        <v>0</v>
      </c>
      <c r="S316" s="20">
        <f>SUMIFS(estoque[valor total],estoque[fornecedor],"&lt;&gt;saída",estoque[produto],preçodiario[[#Headers],[OVO BRANCO C]],estoque[data],preçodiario[[#This Row],[data]])</f>
        <v>0</v>
      </c>
      <c r="T316" s="20">
        <f>IFERROR(preçodiario[[#This Row],[OVO BRANCO C]]*preçodiario[[#This Row],[estoque C]],0)</f>
        <v>750</v>
      </c>
      <c r="U31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Row],[data]])),((U315*V315)+SUMIFS(estoque[valor total],estoque[produto],preçodiario[[#Headers],[OVO BRANCO EXTRA]],estoque[data],preçodiario[[#This Row],[data]],estoque[fornecedor],"&lt;&gt;saída"))/(V315+(SUMIFS(estoque[quantidade],estoque[produto],preçodiario[[#Headers],[OVO BRANCO EXTRA]],estoque[fornecedor],"&lt;&gt;saída",estoque[data],preçodiario[[#This Row],[data]])))))</f>
        <v>15.725438400674655</v>
      </c>
      <c r="V316" s="22">
        <f>IF(preçodiario[[#This Row],[entrada E]]=0,V315-(SUMIFS(estoque[quantidade],estoque[fornecedor],"saída",estoque[produto],preçodiario[[#Headers],[OVO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Row],[data]]))+V315+preçodiario[[#This Row],[entrada E]])</f>
        <v>46</v>
      </c>
      <c r="W316" s="22">
        <f>SUMIFS(estoque[quantidade],estoque[fornecedor],"&lt;&gt;saída",estoque[produto],preçodiario[[#Headers],[OVO BRANCO EXTRA]],estoque[data],preçodiario[[#This Row],[data]])</f>
        <v>0</v>
      </c>
      <c r="X316" s="20">
        <f>SUMIFS(estoque[valor total],estoque[fornecedor],"&lt;&gt;saída",estoque[produto],preçodiario[[#Headers],[OVO BRANCO EXTRA]],estoque[data],preçodiario[[#This Row],[data]])</f>
        <v>0</v>
      </c>
      <c r="Y316" s="20">
        <f>IFERROR(preçodiario[[#This Row],[estoque E]]*preçodiario[[#This Row],[OVO BRANCO EXTRA]],0)</f>
        <v>723.37016643103414</v>
      </c>
      <c r="Z31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Row],[data]])),((Z315*AA315)+SUMIFS(estoque[valor total],estoque[produto],preçodiario[[#Headers],[OVO BRANCO JUMBO]],estoque[data],preçodiario[[#This Row],[data]],estoque[fornecedor],"&lt;&gt;saída"))/(AA315+(SUMIFS(estoque[quantidade],estoque[produto],preçodiario[[#Headers],[OVO BRANCO JUMBO]],estoque[fornecedor],"&lt;&gt;saída",estoque[data],preçodiario[[#This Row],[data]])))))</f>
        <v>16.50550595238095</v>
      </c>
      <c r="AA316" s="22">
        <f>IF(preçodiario[[#This Row],[entrada J]]=0,AA315-(SUMIFS(estoque[quantidade],estoque[fornecedor],"saída",estoque[produto],preçodiario[[#Headers],[OVO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Row],[data]]))+AA315+preçodiario[[#This Row],[entrada J]])</f>
        <v>75</v>
      </c>
      <c r="AB316" s="22">
        <f>SUMIFS(estoque[quantidade],estoque[fornecedor],"&lt;&gt;saída",estoque[produto],preçodiario[[#Headers],[OVO BRANCO JUMBO]],estoque[data],preçodiario[[#This Row],[data]])</f>
        <v>0</v>
      </c>
      <c r="AC316" s="20">
        <f>SUMIFS(estoque[valor total],estoque[fornecedor],"&lt;&gt;saída",estoque[produto],preçodiario[[#Headers],[OVO BRANCO JUMBO]],estoque[data],preçodiario[[#This Row],[data]])</f>
        <v>0</v>
      </c>
      <c r="AD316" s="20">
        <f>IFERROR(preçodiario[[#This Row],[OVO BRANCO JUMBO]]*preçodiario[[#This Row],[estoque J]],0)</f>
        <v>1237.9129464285713</v>
      </c>
      <c r="AE31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Row],[data]])),((AE315*AF315)+SUMIFS(estoque[valor total],estoque[produto],preçodiario[[#Headers],[OVO VERMELHO A]],estoque[data],preçodiario[[#This Row],[data]],estoque[fornecedor],"&lt;&gt;saída"))/(AF315+(SUMIFS(estoque[quantidade],estoque[produto],preçodiario[[#Headers],[OVO VERMELHO A]],estoque[fornecedor],"&lt;&gt;saída",estoque[data],preçodiario[[#This Row],[data]])))))</f>
        <v/>
      </c>
      <c r="AF316" s="22">
        <f>IF(preçodiario[[#This Row],[entrada AV]]=0,AF315-(SUMIFS(estoque[quantidade],estoque[fornecedor],"saída",estoque[produto],preçodiario[[#Headers],[OVO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Row],[data]]))+AF315+preçodiario[[#This Row],[entrada AV]])</f>
        <v>0</v>
      </c>
      <c r="AG316" s="22">
        <f>SUMIFS(estoque[quantidade],estoque[fornecedor],"&lt;&gt;saída",estoque[produto],preçodiario[[#Headers],[OVO VERMELHO A]],estoque[data],preçodiario[[#This Row],[data]])</f>
        <v>0</v>
      </c>
      <c r="AH316" s="20">
        <f>SUMIFS(estoque[valor total],estoque[fornecedor],"&lt;&gt;saída",estoque[produto],preçodiario[[#Headers],[OVO VERMELHO A]],estoque[data],preçodiario[[#This Row],[data]])</f>
        <v>0</v>
      </c>
      <c r="AI316" s="20">
        <f>IFERROR(preçodiario[[#This Row],[OVO VERMELHO A]]*preçodiario[[#This Row],[estoque AV]],0)</f>
        <v>0</v>
      </c>
      <c r="AJ31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Row],[data]])),((AJ315*AK315)+SUMIFS(estoque[valor total],estoque[produto],preçodiario[[#Headers],[OVO VERMELHO B]],estoque[data],preçodiario[[#This Row],[data]],estoque[fornecedor],"&lt;&gt;saída"))/(AK315+(SUMIFS(estoque[quantidade],estoque[produto],preçodiario[[#Headers],[OVO VERMELHO B]],estoque[fornecedor],"&lt;&gt;saída",estoque[data],preçodiario[[#This Row],[data]])))))</f>
        <v/>
      </c>
      <c r="AK316" s="22">
        <f>IF(preçodiario[[#This Row],[entrada BV]]=0,AK315-(SUMIFS(estoque[quantidade],estoque[fornecedor],"saída",estoque[produto],preçodiario[[#Headers],[OVO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Row],[data]]))+AK315+preçodiario[[#This Row],[entrada BV]])</f>
        <v>0</v>
      </c>
      <c r="AL316" s="22">
        <f>SUMIFS(estoque[quantidade],estoque[fornecedor],"&lt;&gt;saída",estoque[produto],preçodiario[[#Headers],[OVO VERMELHO B]],estoque[data],preçodiario[[#This Row],[data]])</f>
        <v>0</v>
      </c>
      <c r="AM316" s="20">
        <f>SUMIFS(estoque[valor total],estoque[fornecedor],"&lt;&gt;saída",estoque[produto],preçodiario[[#Headers],[OVO VERMELHO B]],estoque[data],preçodiario[[#This Row],[data]])</f>
        <v>0</v>
      </c>
      <c r="AN316" s="20">
        <f>IFERROR(preçodiario[[#This Row],[OVO VERMELHO B]]*preçodiario[[#This Row],[estoque BV]],0)</f>
        <v>0</v>
      </c>
      <c r="AO31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Row],[data]])),((AO315*AP315)+SUMIFS(estoque[valor total],estoque[produto],preçodiario[[#Headers],[OVO VERMELHO C]],estoque[data],preçodiario[[#This Row],[data]],estoque[fornecedor],"&lt;&gt;saída"))/(AP315+(SUMIFS(estoque[quantidade],estoque[produto],preçodiario[[#Headers],[OVO VERMELHO C]],estoque[fornecedor],"&lt;&gt;saída",estoque[data],preçodiario[[#This Row],[data]])))))</f>
        <v/>
      </c>
      <c r="AP316" s="22">
        <f>IF(preçodiario[[#This Row],[entrada CV]]=0,AP315-(SUMIFS(estoque[quantidade],estoque[fornecedor],"saída",estoque[produto],preçodiario[[#Headers],[OVO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Row],[data]]))+AP315+preçodiario[[#This Row],[entrada CV]])</f>
        <v>0</v>
      </c>
      <c r="AQ316" s="22">
        <f>SUMIFS(estoque[quantidade],estoque[fornecedor],"&lt;&gt;saída",estoque[produto],preçodiario[[#Headers],[OVO VERMELHO C]],estoque[data],preçodiario[[#This Row],[data]])</f>
        <v>0</v>
      </c>
      <c r="AR316" s="20">
        <f>SUMIFS(estoque[valor total],estoque[fornecedor],"&lt;&gt;saída",estoque[produto],preçodiario[[#Headers],[OVO VERMELHO C]],estoque[data],preçodiario[[#This Row],[data]])</f>
        <v>0</v>
      </c>
      <c r="AS316" s="20">
        <f>IFERROR(preçodiario[[#This Row],[OVO VERMELHO C]]*preçodiario[[#This Row],[estoque CV]],0)</f>
        <v>0</v>
      </c>
      <c r="AT31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Row],[data]])),((AT315*AU315)+SUMIFS(estoque[valor total],estoque[produto],preçodiario[[#Headers],[OVO VERMELHO EXTRA]],estoque[data],preçodiario[[#This Row],[data]],estoque[fornecedor],"&lt;&gt;saída"))/(AU315+(SUMIFS(estoque[quantidade],estoque[produto],preçodiario[[#Headers],[OVO VERMELHO EXTRA]],estoque[fornecedor],"&lt;&gt;saída",estoque[data],preçodiario[[#This Row],[data]])))))</f>
        <v/>
      </c>
      <c r="AU316" s="22">
        <f>IF(preçodiario[[#This Row],[entrada EV]]=0,AU315-(SUMIFS(estoque[quantidade],estoque[fornecedor],"saída",estoque[produto],preçodiario[[#Headers],[OVO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Row],[data]]))+AU315+preçodiario[[#This Row],[entrada EV]])</f>
        <v>0</v>
      </c>
      <c r="AV316" s="22">
        <f>SUMIFS(estoque[quantidade],estoque[fornecedor],"&lt;&gt;saída",estoque[produto],preçodiario[[#Headers],[OVO VERMELHO EXTRA]],estoque[data],preçodiario[[#This Row],[data]])</f>
        <v>0</v>
      </c>
      <c r="AW316" s="20">
        <f>SUMIFS(estoque[valor total],estoque[fornecedor],"&lt;&gt;saída",estoque[produto],preçodiario[[#Headers],[OVO VERMELHO EXTRA]],estoque[data],preçodiario[[#This Row],[data]])</f>
        <v>0</v>
      </c>
      <c r="AX316" s="20">
        <f>IFERROR(preçodiario[[#This Row],[OVO VERMELHO EXTRA]]*preçodiario[[#This Row],[estoque EV]],0)</f>
        <v>0</v>
      </c>
      <c r="AY31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Row],[data]])),((AY315*AZ315)+SUMIFS(estoque[valor total],estoque[produto],preçodiario[[#Headers],[OVO VERMELHO JUMBO]],estoque[data],preçodiario[[#This Row],[data]],estoque[fornecedor],"&lt;&gt;saída"))/(AZ315+(SUMIFS(estoque[quantidade],estoque[produto],preçodiario[[#Headers],[OVO VERMELHO JUMBO]],estoque[fornecedor],"&lt;&gt;saída",estoque[data],preçodiario[[#This Row],[data]])))))</f>
        <v/>
      </c>
      <c r="AZ316" s="22">
        <f>IF(preçodiario[[#This Row],[entrada JV]]=0,AZ315-(SUMIFS(estoque[quantidade],estoque[fornecedor],"saída",estoque[produto],preçodiario[[#Headers],[OVO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Row],[data]]))+AZ315+preçodiario[[#This Row],[entrada JV]])</f>
        <v>0</v>
      </c>
      <c r="BA316" s="22">
        <f>SUMIFS(estoque[quantidade],estoque[fornecedor],"&lt;&gt;saída",estoque[produto],preçodiario[[#Headers],[OVO VERMELHO JUMBO]],estoque[data],preçodiario[[#This Row],[data]])</f>
        <v>0</v>
      </c>
      <c r="BB316" s="20">
        <f>SUMIFS(estoque[valor total],estoque[fornecedor],"&lt;&gt;saída",estoque[produto],preçodiario[[#Headers],[OVO VERMELHO JUMBO]],estoque[data],preçodiario[[#This Row],[data]])</f>
        <v>0</v>
      </c>
      <c r="BC316" s="20">
        <f>IFERROR(preçodiario[[#This Row],[OVO VERMELHO JUMBO]]*preçodiario[[#This Row],[estoque JV]],0)</f>
        <v>0</v>
      </c>
      <c r="BD316" t="str">
        <f>TEXT(vendaAno[[#This Row],[data]],"mmm")</f>
        <v>nov</v>
      </c>
      <c r="BE316" t="str">
        <f>TEXT(vendaAno[[#This Row],[data]],"ddd")</f>
        <v>qua</v>
      </c>
      <c r="BF316" s="82">
        <f>WEEKNUM(vendaAno[[#This Row],[data]],13)</f>
        <v>46</v>
      </c>
      <c r="BG316" s="27">
        <f>preçodiario[[#This Row],[data]]</f>
        <v>46337</v>
      </c>
      <c r="BH31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Row],[data]]))/12+BJ315,"")</f>
        <v/>
      </c>
      <c r="BK316" s="79" t="str">
        <f ca="1">IF(TODAY()&gt;=vendaAno[[#This Row],[data]],IF(SUMIFS(estoque[quantidade],estoque[fornecedor],"saída",estoque[data],vendaAno[[#This Row],[data]])/12=0,AVERAGE(BK313:BK315),SUMIFS(estoque[quantidade],estoque[fornecedor],"saída",estoque[data],vendaAno[[#This Row],[data]])/12),"")</f>
        <v/>
      </c>
      <c r="BL316" s="8" t="str">
        <f ca="1">IF(vendaAno[[#This Row],[data]]&lt;=TODAY(),IF(SUMIFS(estoque[lucro],estoque[fornecedor],"saída",estoque[data],vendaAno[[#This Row],[data]])=0,AVERAGE(BL313:BL315),SUMIFS(estoque[lucro],estoque[fornecedor],"saída",estoque[data],vendaAno[[#This Row],[data]])),"")</f>
        <v/>
      </c>
      <c r="BM316" s="10" t="str">
        <f ca="1">IFERROR(vendaAno[[#This Row],[lucro]]/vendaAno[[#This Row],[valor de venda]],"")</f>
        <v/>
      </c>
      <c r="BN31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6" s="8" t="str">
        <f ca="1">IF(TODAY()&gt;=vendaAno[[#This Row],[data]],IF(vendaAno[[#This Row],[N°]]=BF315,vendaAno[[#This Row],[lucro]]-173.33+BO315,vendaAno[[#This Row],[lucro]]-150),"")</f>
        <v/>
      </c>
      <c r="BP316" s="81" t="str">
        <f ca="1">IF(TODAY()&gt;=vendaAno[[#This Row],[data]],SUM(BK310:BK316)*12,"")</f>
        <v/>
      </c>
      <c r="BQ316" s="7" t="str">
        <f ca="1">IFERROR(vendaAno[[#This Row],[lucro]]/(vendaAno[[#This Row],[venda]]*12),"")</f>
        <v/>
      </c>
    </row>
    <row r="317" spans="1:69" x14ac:dyDescent="0.25">
      <c r="A31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7" s="18" t="str">
        <f>TEXT(preçodiario[[#This Row],[data]],"MMM")</f>
        <v>nov</v>
      </c>
      <c r="C317" s="18" t="str">
        <f>TEXT(preçodiario[[#This Row],[data]],"ddd")</f>
        <v>qui</v>
      </c>
      <c r="D317" s="96">
        <f>WEEKNUM(preçodiario[[#This Row],[data]],13)</f>
        <v>46</v>
      </c>
      <c r="E317" s="37">
        <v>46338</v>
      </c>
      <c r="F31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Row],[data]])),((F316*G316)+SUMIFS(estoque[valor total],estoque[produto],preçodiario[[#Headers],[OVO BRANCO A]],estoque[data],preçodiario[[#This Row],[data]],estoque[fornecedor],"&lt;&gt;saída"))/(G316+(SUMIFS(estoque[quantidade],estoque[produto],preçodiario[[#Headers],[OVO BRANCO A]],estoque[fornecedor],"&lt;&gt;saída",estoque[data],preçodiario[[#This Row],[data]])))))</f>
        <v>15.278182701652089</v>
      </c>
      <c r="G317" s="22">
        <f>IF(preçodiario[[#This Row],[entrada A]]=0,G316-(SUMIFS(estoque[quantidade],estoque[fornecedor],"saída",estoque[produto],preçodiario[[#Headers],[OVO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Row],[data]]))+G316+preçodiario[[#This Row],[entrada A]])</f>
        <v>133</v>
      </c>
      <c r="H317" s="22">
        <f>SUMIFS(estoque[quantidade],estoque[fornecedor],"&lt;&gt;saída",estoque[produto],preçodiario[[#Headers],[OVO BRANCO A]],estoque[data],preçodiario[[#This Row],[data]])</f>
        <v>0</v>
      </c>
      <c r="I317" s="20">
        <f>SUMIFS(estoque[valor total],estoque[fornecedor],"&lt;&gt;saída",estoque[produto],preçodiario[[#Headers],[OVO BRANCO A]],estoque[data],preçodiario[[#This Row],[data]])</f>
        <v>0</v>
      </c>
      <c r="J317" s="20">
        <f>IFERROR(preçodiario[[#This Row],[estoque A]]*preçodiario[[#This Row],[OVO BRANCO A]],0)</f>
        <v>2031.9982993197277</v>
      </c>
      <c r="K31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Row],[data]])),((K316*L316)+SUMIFS(estoque[valor total],estoque[produto],preçodiario[[#Headers],[OVO BRANCO B]],estoque[data],preçodiario[[#This Row],[data]],estoque[fornecedor],"&lt;&gt;saída"))/(L316+(SUMIFS(estoque[quantidade],estoque[produto],preçodiario[[#Headers],[OVO BRANCO B]],estoque[fornecedor],"&lt;&gt;saída",estoque[data],preçodiario[[#This Row],[data]])))))</f>
        <v>14.584252837326604</v>
      </c>
      <c r="L317" s="22">
        <f>IF(preçodiario[[#This Row],[entrada B]]=0,L316-(SUMIFS(estoque[quantidade],estoque[fornecedor],"saída",estoque[produto],preçodiario[[#Headers],[OVO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Row],[data]]))+L316+preçodiario[[#This Row],[entrada B]])</f>
        <v>16</v>
      </c>
      <c r="M317" s="22">
        <f>SUMIFS(estoque[quantidade],estoque[fornecedor],"&lt;&gt;saída",estoque[produto],preçodiario[[#Headers],[OVO BRANCO B]],estoque[data],preçodiario[[#This Row],[data]])</f>
        <v>0</v>
      </c>
      <c r="N317" s="20">
        <f>SUMIFS(estoque[valor total],estoque[fornecedor],"&lt;&gt;saída",estoque[produto],preçodiario[[#Headers],[OVO BRANCO B]],estoque[data],preçodiario[[#This Row],[data]])</f>
        <v>0</v>
      </c>
      <c r="O317" s="20">
        <f>IFERROR(preçodiario[[#This Row],[OVO BRANCO B]]*preçodiario[[#This Row],[estoque B]],0)</f>
        <v>233.34804539722566</v>
      </c>
      <c r="P31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Row],[data]])),((P316*Q316)+SUMIFS(estoque[valor total],estoque[produto],preçodiario[[#Headers],[OVO BRANCO C]],estoque[data],preçodiario[[#This Row],[data]],estoque[fornecedor],"&lt;&gt;saída"))/(Q316+(SUMIFS(estoque[quantidade],estoque[produto],preçodiario[[#Headers],[OVO BRANCO C]],estoque[fornecedor],"&lt;&gt;saída",estoque[data],preçodiario[[#This Row],[data]])))))</f>
        <v>12.5</v>
      </c>
      <c r="Q317" s="22">
        <f>IF(preçodiario[[#This Row],[entrada C]]=0,Q316-(SUMIFS(estoque[quantidade],estoque[fornecedor],"saída",estoque[produto],preçodiario[[#Headers],[OVO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Row],[data]]))+Q316+preçodiario[[#This Row],[entrada C]])</f>
        <v>60</v>
      </c>
      <c r="R317" s="22">
        <f>SUMIFS(estoque[quantidade],estoque[fornecedor],"&lt;&gt;saída",estoque[produto],preçodiario[[#Headers],[OVO BRANCO C]],estoque[data],preçodiario[[#This Row],[data]])</f>
        <v>0</v>
      </c>
      <c r="S317" s="20">
        <f>SUMIFS(estoque[valor total],estoque[fornecedor],"&lt;&gt;saída",estoque[produto],preçodiario[[#Headers],[OVO BRANCO C]],estoque[data],preçodiario[[#This Row],[data]])</f>
        <v>0</v>
      </c>
      <c r="T317" s="20">
        <f>IFERROR(preçodiario[[#This Row],[OVO BRANCO C]]*preçodiario[[#This Row],[estoque C]],0)</f>
        <v>750</v>
      </c>
      <c r="U31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Row],[data]])),((U316*V316)+SUMIFS(estoque[valor total],estoque[produto],preçodiario[[#Headers],[OVO BRANCO EXTRA]],estoque[data],preçodiario[[#This Row],[data]],estoque[fornecedor],"&lt;&gt;saída"))/(V316+(SUMIFS(estoque[quantidade],estoque[produto],preçodiario[[#Headers],[OVO BRANCO EXTRA]],estoque[fornecedor],"&lt;&gt;saída",estoque[data],preçodiario[[#This Row],[data]])))))</f>
        <v>15.725438400674655</v>
      </c>
      <c r="V317" s="22">
        <f>IF(preçodiario[[#This Row],[entrada E]]=0,V316-(SUMIFS(estoque[quantidade],estoque[fornecedor],"saída",estoque[produto],preçodiario[[#Headers],[OVO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Row],[data]]))+V316+preçodiario[[#This Row],[entrada E]])</f>
        <v>46</v>
      </c>
      <c r="W317" s="22">
        <f>SUMIFS(estoque[quantidade],estoque[fornecedor],"&lt;&gt;saída",estoque[produto],preçodiario[[#Headers],[OVO BRANCO EXTRA]],estoque[data],preçodiario[[#This Row],[data]])</f>
        <v>0</v>
      </c>
      <c r="X317" s="20">
        <f>SUMIFS(estoque[valor total],estoque[fornecedor],"&lt;&gt;saída",estoque[produto],preçodiario[[#Headers],[OVO BRANCO EXTRA]],estoque[data],preçodiario[[#This Row],[data]])</f>
        <v>0</v>
      </c>
      <c r="Y317" s="20">
        <f>IFERROR(preçodiario[[#This Row],[estoque E]]*preçodiario[[#This Row],[OVO BRANCO EXTRA]],0)</f>
        <v>723.37016643103414</v>
      </c>
      <c r="Z31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Row],[data]])),((Z316*AA316)+SUMIFS(estoque[valor total],estoque[produto],preçodiario[[#Headers],[OVO BRANCO JUMBO]],estoque[data],preçodiario[[#This Row],[data]],estoque[fornecedor],"&lt;&gt;saída"))/(AA316+(SUMIFS(estoque[quantidade],estoque[produto],preçodiario[[#Headers],[OVO BRANCO JUMBO]],estoque[fornecedor],"&lt;&gt;saída",estoque[data],preçodiario[[#This Row],[data]])))))</f>
        <v>16.50550595238095</v>
      </c>
      <c r="AA317" s="22">
        <f>IF(preçodiario[[#This Row],[entrada J]]=0,AA316-(SUMIFS(estoque[quantidade],estoque[fornecedor],"saída",estoque[produto],preçodiario[[#Headers],[OVO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Row],[data]]))+AA316+preçodiario[[#This Row],[entrada J]])</f>
        <v>75</v>
      </c>
      <c r="AB317" s="22">
        <f>SUMIFS(estoque[quantidade],estoque[fornecedor],"&lt;&gt;saída",estoque[produto],preçodiario[[#Headers],[OVO BRANCO JUMBO]],estoque[data],preçodiario[[#This Row],[data]])</f>
        <v>0</v>
      </c>
      <c r="AC317" s="20">
        <f>SUMIFS(estoque[valor total],estoque[fornecedor],"&lt;&gt;saída",estoque[produto],preçodiario[[#Headers],[OVO BRANCO JUMBO]],estoque[data],preçodiario[[#This Row],[data]])</f>
        <v>0</v>
      </c>
      <c r="AD317" s="20">
        <f>IFERROR(preçodiario[[#This Row],[OVO BRANCO JUMBO]]*preçodiario[[#This Row],[estoque J]],0)</f>
        <v>1237.9129464285713</v>
      </c>
      <c r="AE31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Row],[data]])),((AE316*AF316)+SUMIFS(estoque[valor total],estoque[produto],preçodiario[[#Headers],[OVO VERMELHO A]],estoque[data],preçodiario[[#This Row],[data]],estoque[fornecedor],"&lt;&gt;saída"))/(AF316+(SUMIFS(estoque[quantidade],estoque[produto],preçodiario[[#Headers],[OVO VERMELHO A]],estoque[fornecedor],"&lt;&gt;saída",estoque[data],preçodiario[[#This Row],[data]])))))</f>
        <v/>
      </c>
      <c r="AF317" s="22">
        <f>IF(preçodiario[[#This Row],[entrada AV]]=0,AF316-(SUMIFS(estoque[quantidade],estoque[fornecedor],"saída",estoque[produto],preçodiario[[#Headers],[OVO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Row],[data]]))+AF316+preçodiario[[#This Row],[entrada AV]])</f>
        <v>0</v>
      </c>
      <c r="AG317" s="22">
        <f>SUMIFS(estoque[quantidade],estoque[fornecedor],"&lt;&gt;saída",estoque[produto],preçodiario[[#Headers],[OVO VERMELHO A]],estoque[data],preçodiario[[#This Row],[data]])</f>
        <v>0</v>
      </c>
      <c r="AH317" s="20">
        <f>SUMIFS(estoque[valor total],estoque[fornecedor],"&lt;&gt;saída",estoque[produto],preçodiario[[#Headers],[OVO VERMELHO A]],estoque[data],preçodiario[[#This Row],[data]])</f>
        <v>0</v>
      </c>
      <c r="AI317" s="20">
        <f>IFERROR(preçodiario[[#This Row],[OVO VERMELHO A]]*preçodiario[[#This Row],[estoque AV]],0)</f>
        <v>0</v>
      </c>
      <c r="AJ31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Row],[data]])),((AJ316*AK316)+SUMIFS(estoque[valor total],estoque[produto],preçodiario[[#Headers],[OVO VERMELHO B]],estoque[data],preçodiario[[#This Row],[data]],estoque[fornecedor],"&lt;&gt;saída"))/(AK316+(SUMIFS(estoque[quantidade],estoque[produto],preçodiario[[#Headers],[OVO VERMELHO B]],estoque[fornecedor],"&lt;&gt;saída",estoque[data],preçodiario[[#This Row],[data]])))))</f>
        <v/>
      </c>
      <c r="AK317" s="22">
        <f>IF(preçodiario[[#This Row],[entrada BV]]=0,AK316-(SUMIFS(estoque[quantidade],estoque[fornecedor],"saída",estoque[produto],preçodiario[[#Headers],[OVO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Row],[data]]))+AK316+preçodiario[[#This Row],[entrada BV]])</f>
        <v>0</v>
      </c>
      <c r="AL317" s="22">
        <f>SUMIFS(estoque[quantidade],estoque[fornecedor],"&lt;&gt;saída",estoque[produto],preçodiario[[#Headers],[OVO VERMELHO B]],estoque[data],preçodiario[[#This Row],[data]])</f>
        <v>0</v>
      </c>
      <c r="AM317" s="20">
        <f>SUMIFS(estoque[valor total],estoque[fornecedor],"&lt;&gt;saída",estoque[produto],preçodiario[[#Headers],[OVO VERMELHO B]],estoque[data],preçodiario[[#This Row],[data]])</f>
        <v>0</v>
      </c>
      <c r="AN317" s="20">
        <f>IFERROR(preçodiario[[#This Row],[OVO VERMELHO B]]*preçodiario[[#This Row],[estoque BV]],0)</f>
        <v>0</v>
      </c>
      <c r="AO31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Row],[data]])),((AO316*AP316)+SUMIFS(estoque[valor total],estoque[produto],preçodiario[[#Headers],[OVO VERMELHO C]],estoque[data],preçodiario[[#This Row],[data]],estoque[fornecedor],"&lt;&gt;saída"))/(AP316+(SUMIFS(estoque[quantidade],estoque[produto],preçodiario[[#Headers],[OVO VERMELHO C]],estoque[fornecedor],"&lt;&gt;saída",estoque[data],preçodiario[[#This Row],[data]])))))</f>
        <v/>
      </c>
      <c r="AP317" s="22">
        <f>IF(preçodiario[[#This Row],[entrada CV]]=0,AP316-(SUMIFS(estoque[quantidade],estoque[fornecedor],"saída",estoque[produto],preçodiario[[#Headers],[OVO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Row],[data]]))+AP316+preçodiario[[#This Row],[entrada CV]])</f>
        <v>0</v>
      </c>
      <c r="AQ317" s="22">
        <f>SUMIFS(estoque[quantidade],estoque[fornecedor],"&lt;&gt;saída",estoque[produto],preçodiario[[#Headers],[OVO VERMELHO C]],estoque[data],preçodiario[[#This Row],[data]])</f>
        <v>0</v>
      </c>
      <c r="AR317" s="20">
        <f>SUMIFS(estoque[valor total],estoque[fornecedor],"&lt;&gt;saída",estoque[produto],preçodiario[[#Headers],[OVO VERMELHO C]],estoque[data],preçodiario[[#This Row],[data]])</f>
        <v>0</v>
      </c>
      <c r="AS317" s="20">
        <f>IFERROR(preçodiario[[#This Row],[OVO VERMELHO C]]*preçodiario[[#This Row],[estoque CV]],0)</f>
        <v>0</v>
      </c>
      <c r="AT31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Row],[data]])),((AT316*AU316)+SUMIFS(estoque[valor total],estoque[produto],preçodiario[[#Headers],[OVO VERMELHO EXTRA]],estoque[data],preçodiario[[#This Row],[data]],estoque[fornecedor],"&lt;&gt;saída"))/(AU316+(SUMIFS(estoque[quantidade],estoque[produto],preçodiario[[#Headers],[OVO VERMELHO EXTRA]],estoque[fornecedor],"&lt;&gt;saída",estoque[data],preçodiario[[#This Row],[data]])))))</f>
        <v/>
      </c>
      <c r="AU317" s="22">
        <f>IF(preçodiario[[#This Row],[entrada EV]]=0,AU316-(SUMIFS(estoque[quantidade],estoque[fornecedor],"saída",estoque[produto],preçodiario[[#Headers],[OVO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Row],[data]]))+AU316+preçodiario[[#This Row],[entrada EV]])</f>
        <v>0</v>
      </c>
      <c r="AV317" s="22">
        <f>SUMIFS(estoque[quantidade],estoque[fornecedor],"&lt;&gt;saída",estoque[produto],preçodiario[[#Headers],[OVO VERMELHO EXTRA]],estoque[data],preçodiario[[#This Row],[data]])</f>
        <v>0</v>
      </c>
      <c r="AW317" s="20">
        <f>SUMIFS(estoque[valor total],estoque[fornecedor],"&lt;&gt;saída",estoque[produto],preçodiario[[#Headers],[OVO VERMELHO EXTRA]],estoque[data],preçodiario[[#This Row],[data]])</f>
        <v>0</v>
      </c>
      <c r="AX317" s="20">
        <f>IFERROR(preçodiario[[#This Row],[OVO VERMELHO EXTRA]]*preçodiario[[#This Row],[estoque EV]],0)</f>
        <v>0</v>
      </c>
      <c r="AY31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Row],[data]])),((AY316*AZ316)+SUMIFS(estoque[valor total],estoque[produto],preçodiario[[#Headers],[OVO VERMELHO JUMBO]],estoque[data],preçodiario[[#This Row],[data]],estoque[fornecedor],"&lt;&gt;saída"))/(AZ316+(SUMIFS(estoque[quantidade],estoque[produto],preçodiario[[#Headers],[OVO VERMELHO JUMBO]],estoque[fornecedor],"&lt;&gt;saída",estoque[data],preçodiario[[#This Row],[data]])))))</f>
        <v/>
      </c>
      <c r="AZ317" s="22">
        <f>IF(preçodiario[[#This Row],[entrada JV]]=0,AZ316-(SUMIFS(estoque[quantidade],estoque[fornecedor],"saída",estoque[produto],preçodiario[[#Headers],[OVO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Row],[data]]))+AZ316+preçodiario[[#This Row],[entrada JV]])</f>
        <v>0</v>
      </c>
      <c r="BA317" s="22">
        <f>SUMIFS(estoque[quantidade],estoque[fornecedor],"&lt;&gt;saída",estoque[produto],preçodiario[[#Headers],[OVO VERMELHO JUMBO]],estoque[data],preçodiario[[#This Row],[data]])</f>
        <v>0</v>
      </c>
      <c r="BB317" s="20">
        <f>SUMIFS(estoque[valor total],estoque[fornecedor],"&lt;&gt;saída",estoque[produto],preçodiario[[#Headers],[OVO VERMELHO JUMBO]],estoque[data],preçodiario[[#This Row],[data]])</f>
        <v>0</v>
      </c>
      <c r="BC317" s="20">
        <f>IFERROR(preçodiario[[#This Row],[OVO VERMELHO JUMBO]]*preçodiario[[#This Row],[estoque JV]],0)</f>
        <v>0</v>
      </c>
      <c r="BD317" t="str">
        <f>TEXT(vendaAno[[#This Row],[data]],"mmm")</f>
        <v>nov</v>
      </c>
      <c r="BE317" t="str">
        <f>TEXT(vendaAno[[#This Row],[data]],"ddd")</f>
        <v>qui</v>
      </c>
      <c r="BF317" s="82">
        <f>WEEKNUM(vendaAno[[#This Row],[data]],13)</f>
        <v>46</v>
      </c>
      <c r="BG317" s="27">
        <f>preçodiario[[#This Row],[data]]</f>
        <v>46338</v>
      </c>
      <c r="BH31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Row],[data]]))/12+BJ316,"")</f>
        <v/>
      </c>
      <c r="BK317" s="79" t="str">
        <f ca="1">IF(TODAY()&gt;=vendaAno[[#This Row],[data]],IF(SUMIFS(estoque[quantidade],estoque[fornecedor],"saída",estoque[data],vendaAno[[#This Row],[data]])/12=0,AVERAGE(BK314:BK316),SUMIFS(estoque[quantidade],estoque[fornecedor],"saída",estoque[data],vendaAno[[#This Row],[data]])/12),"")</f>
        <v/>
      </c>
      <c r="BL317" s="8" t="str">
        <f ca="1">IF(vendaAno[[#This Row],[data]]&lt;=TODAY(),IF(SUMIFS(estoque[lucro],estoque[fornecedor],"saída",estoque[data],vendaAno[[#This Row],[data]])=0,AVERAGE(BL314:BL316),SUMIFS(estoque[lucro],estoque[fornecedor],"saída",estoque[data],vendaAno[[#This Row],[data]])),"")</f>
        <v/>
      </c>
      <c r="BM317" s="10" t="str">
        <f ca="1">IFERROR(vendaAno[[#This Row],[lucro]]/vendaAno[[#This Row],[valor de venda]],"")</f>
        <v/>
      </c>
      <c r="BN31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7" s="8" t="str">
        <f ca="1">IF(TODAY()&gt;=vendaAno[[#This Row],[data]],IF(vendaAno[[#This Row],[N°]]=BF316,vendaAno[[#This Row],[lucro]]-173.33+BO316,vendaAno[[#This Row],[lucro]]-150),"")</f>
        <v/>
      </c>
      <c r="BP317" s="81" t="str">
        <f ca="1">IF(TODAY()&gt;=vendaAno[[#This Row],[data]],SUM(BK311:BK317)*12,"")</f>
        <v/>
      </c>
      <c r="BQ317" s="7" t="str">
        <f ca="1">IFERROR(vendaAno[[#This Row],[lucro]]/(vendaAno[[#This Row],[venda]]*12),"")</f>
        <v/>
      </c>
    </row>
    <row r="318" spans="1:69" x14ac:dyDescent="0.25">
      <c r="A31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8" s="18" t="str">
        <f>TEXT(preçodiario[[#This Row],[data]],"MMM")</f>
        <v>nov</v>
      </c>
      <c r="C318" s="18" t="str">
        <f>TEXT(preçodiario[[#This Row],[data]],"ddd")</f>
        <v>sex</v>
      </c>
      <c r="D318" s="96">
        <f>WEEKNUM(preçodiario[[#This Row],[data]],13)</f>
        <v>46</v>
      </c>
      <c r="E318" s="37">
        <v>46339</v>
      </c>
      <c r="F31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Row],[data]])),((F317*G317)+SUMIFS(estoque[valor total],estoque[produto],preçodiario[[#Headers],[OVO BRANCO A]],estoque[data],preçodiario[[#This Row],[data]],estoque[fornecedor],"&lt;&gt;saída"))/(G317+(SUMIFS(estoque[quantidade],estoque[produto],preçodiario[[#Headers],[OVO BRANCO A]],estoque[fornecedor],"&lt;&gt;saída",estoque[data],preçodiario[[#This Row],[data]])))))</f>
        <v>15.278182701652089</v>
      </c>
      <c r="G318" s="22">
        <f>IF(preçodiario[[#This Row],[entrada A]]=0,G317-(SUMIFS(estoque[quantidade],estoque[fornecedor],"saída",estoque[produto],preçodiario[[#Headers],[OVO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Row],[data]]))+G317+preçodiario[[#This Row],[entrada A]])</f>
        <v>133</v>
      </c>
      <c r="H318" s="22">
        <f>SUMIFS(estoque[quantidade],estoque[fornecedor],"&lt;&gt;saída",estoque[produto],preçodiario[[#Headers],[OVO BRANCO A]],estoque[data],preçodiario[[#This Row],[data]])</f>
        <v>0</v>
      </c>
      <c r="I318" s="20">
        <f>SUMIFS(estoque[valor total],estoque[fornecedor],"&lt;&gt;saída",estoque[produto],preçodiario[[#Headers],[OVO BRANCO A]],estoque[data],preçodiario[[#This Row],[data]])</f>
        <v>0</v>
      </c>
      <c r="J318" s="20">
        <f>IFERROR(preçodiario[[#This Row],[estoque A]]*preçodiario[[#This Row],[OVO BRANCO A]],0)</f>
        <v>2031.9982993197277</v>
      </c>
      <c r="K31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Row],[data]])),((K317*L317)+SUMIFS(estoque[valor total],estoque[produto],preçodiario[[#Headers],[OVO BRANCO B]],estoque[data],preçodiario[[#This Row],[data]],estoque[fornecedor],"&lt;&gt;saída"))/(L317+(SUMIFS(estoque[quantidade],estoque[produto],preçodiario[[#Headers],[OVO BRANCO B]],estoque[fornecedor],"&lt;&gt;saída",estoque[data],preçodiario[[#This Row],[data]])))))</f>
        <v>14.584252837326604</v>
      </c>
      <c r="L318" s="22">
        <f>IF(preçodiario[[#This Row],[entrada B]]=0,L317-(SUMIFS(estoque[quantidade],estoque[fornecedor],"saída",estoque[produto],preçodiario[[#Headers],[OVO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Row],[data]]))+L317+preçodiario[[#This Row],[entrada B]])</f>
        <v>16</v>
      </c>
      <c r="M318" s="22">
        <f>SUMIFS(estoque[quantidade],estoque[fornecedor],"&lt;&gt;saída",estoque[produto],preçodiario[[#Headers],[OVO BRANCO B]],estoque[data],preçodiario[[#This Row],[data]])</f>
        <v>0</v>
      </c>
      <c r="N318" s="20">
        <f>SUMIFS(estoque[valor total],estoque[fornecedor],"&lt;&gt;saída",estoque[produto],preçodiario[[#Headers],[OVO BRANCO B]],estoque[data],preçodiario[[#This Row],[data]])</f>
        <v>0</v>
      </c>
      <c r="O318" s="20">
        <f>IFERROR(preçodiario[[#This Row],[OVO BRANCO B]]*preçodiario[[#This Row],[estoque B]],0)</f>
        <v>233.34804539722566</v>
      </c>
      <c r="P31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Row],[data]])),((P317*Q317)+SUMIFS(estoque[valor total],estoque[produto],preçodiario[[#Headers],[OVO BRANCO C]],estoque[data],preçodiario[[#This Row],[data]],estoque[fornecedor],"&lt;&gt;saída"))/(Q317+(SUMIFS(estoque[quantidade],estoque[produto],preçodiario[[#Headers],[OVO BRANCO C]],estoque[fornecedor],"&lt;&gt;saída",estoque[data],preçodiario[[#This Row],[data]])))))</f>
        <v>12.5</v>
      </c>
      <c r="Q318" s="22">
        <f>IF(preçodiario[[#This Row],[entrada C]]=0,Q317-(SUMIFS(estoque[quantidade],estoque[fornecedor],"saída",estoque[produto],preçodiario[[#Headers],[OVO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Row],[data]]))+Q317+preçodiario[[#This Row],[entrada C]])</f>
        <v>60</v>
      </c>
      <c r="R318" s="22">
        <f>SUMIFS(estoque[quantidade],estoque[fornecedor],"&lt;&gt;saída",estoque[produto],preçodiario[[#Headers],[OVO BRANCO C]],estoque[data],preçodiario[[#This Row],[data]])</f>
        <v>0</v>
      </c>
      <c r="S318" s="20">
        <f>SUMIFS(estoque[valor total],estoque[fornecedor],"&lt;&gt;saída",estoque[produto],preçodiario[[#Headers],[OVO BRANCO C]],estoque[data],preçodiario[[#This Row],[data]])</f>
        <v>0</v>
      </c>
      <c r="T318" s="20">
        <f>IFERROR(preçodiario[[#This Row],[OVO BRANCO C]]*preçodiario[[#This Row],[estoque C]],0)</f>
        <v>750</v>
      </c>
      <c r="U31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Row],[data]])),((U317*V317)+SUMIFS(estoque[valor total],estoque[produto],preçodiario[[#Headers],[OVO BRANCO EXTRA]],estoque[data],preçodiario[[#This Row],[data]],estoque[fornecedor],"&lt;&gt;saída"))/(V317+(SUMIFS(estoque[quantidade],estoque[produto],preçodiario[[#Headers],[OVO BRANCO EXTRA]],estoque[fornecedor],"&lt;&gt;saída",estoque[data],preçodiario[[#This Row],[data]])))))</f>
        <v>15.725438400674655</v>
      </c>
      <c r="V318" s="22">
        <f>IF(preçodiario[[#This Row],[entrada E]]=0,V317-(SUMIFS(estoque[quantidade],estoque[fornecedor],"saída",estoque[produto],preçodiario[[#Headers],[OVO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Row],[data]]))+V317+preçodiario[[#This Row],[entrada E]])</f>
        <v>46</v>
      </c>
      <c r="W318" s="22">
        <f>SUMIFS(estoque[quantidade],estoque[fornecedor],"&lt;&gt;saída",estoque[produto],preçodiario[[#Headers],[OVO BRANCO EXTRA]],estoque[data],preçodiario[[#This Row],[data]])</f>
        <v>0</v>
      </c>
      <c r="X318" s="20">
        <f>SUMIFS(estoque[valor total],estoque[fornecedor],"&lt;&gt;saída",estoque[produto],preçodiario[[#Headers],[OVO BRANCO EXTRA]],estoque[data],preçodiario[[#This Row],[data]])</f>
        <v>0</v>
      </c>
      <c r="Y318" s="20">
        <f>IFERROR(preçodiario[[#This Row],[estoque E]]*preçodiario[[#This Row],[OVO BRANCO EXTRA]],0)</f>
        <v>723.37016643103414</v>
      </c>
      <c r="Z31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Row],[data]])),((Z317*AA317)+SUMIFS(estoque[valor total],estoque[produto],preçodiario[[#Headers],[OVO BRANCO JUMBO]],estoque[data],preçodiario[[#This Row],[data]],estoque[fornecedor],"&lt;&gt;saída"))/(AA317+(SUMIFS(estoque[quantidade],estoque[produto],preçodiario[[#Headers],[OVO BRANCO JUMBO]],estoque[fornecedor],"&lt;&gt;saída",estoque[data],preçodiario[[#This Row],[data]])))))</f>
        <v>16.50550595238095</v>
      </c>
      <c r="AA318" s="22">
        <f>IF(preçodiario[[#This Row],[entrada J]]=0,AA317-(SUMIFS(estoque[quantidade],estoque[fornecedor],"saída",estoque[produto],preçodiario[[#Headers],[OVO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Row],[data]]))+AA317+preçodiario[[#This Row],[entrada J]])</f>
        <v>75</v>
      </c>
      <c r="AB318" s="22">
        <f>SUMIFS(estoque[quantidade],estoque[fornecedor],"&lt;&gt;saída",estoque[produto],preçodiario[[#Headers],[OVO BRANCO JUMBO]],estoque[data],preçodiario[[#This Row],[data]])</f>
        <v>0</v>
      </c>
      <c r="AC318" s="20">
        <f>SUMIFS(estoque[valor total],estoque[fornecedor],"&lt;&gt;saída",estoque[produto],preçodiario[[#Headers],[OVO BRANCO JUMBO]],estoque[data],preçodiario[[#This Row],[data]])</f>
        <v>0</v>
      </c>
      <c r="AD318" s="20">
        <f>IFERROR(preçodiario[[#This Row],[OVO BRANCO JUMBO]]*preçodiario[[#This Row],[estoque J]],0)</f>
        <v>1237.9129464285713</v>
      </c>
      <c r="AE31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Row],[data]])),((AE317*AF317)+SUMIFS(estoque[valor total],estoque[produto],preçodiario[[#Headers],[OVO VERMELHO A]],estoque[data],preçodiario[[#This Row],[data]],estoque[fornecedor],"&lt;&gt;saída"))/(AF317+(SUMIFS(estoque[quantidade],estoque[produto],preçodiario[[#Headers],[OVO VERMELHO A]],estoque[fornecedor],"&lt;&gt;saída",estoque[data],preçodiario[[#This Row],[data]])))))</f>
        <v/>
      </c>
      <c r="AF318" s="22">
        <f>IF(preçodiario[[#This Row],[entrada AV]]=0,AF317-(SUMIFS(estoque[quantidade],estoque[fornecedor],"saída",estoque[produto],preçodiario[[#Headers],[OVO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Row],[data]]))+AF317+preçodiario[[#This Row],[entrada AV]])</f>
        <v>0</v>
      </c>
      <c r="AG318" s="22">
        <f>SUMIFS(estoque[quantidade],estoque[fornecedor],"&lt;&gt;saída",estoque[produto],preçodiario[[#Headers],[OVO VERMELHO A]],estoque[data],preçodiario[[#This Row],[data]])</f>
        <v>0</v>
      </c>
      <c r="AH318" s="20">
        <f>SUMIFS(estoque[valor total],estoque[fornecedor],"&lt;&gt;saída",estoque[produto],preçodiario[[#Headers],[OVO VERMELHO A]],estoque[data],preçodiario[[#This Row],[data]])</f>
        <v>0</v>
      </c>
      <c r="AI318" s="20">
        <f>IFERROR(preçodiario[[#This Row],[OVO VERMELHO A]]*preçodiario[[#This Row],[estoque AV]],0)</f>
        <v>0</v>
      </c>
      <c r="AJ31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Row],[data]])),((AJ317*AK317)+SUMIFS(estoque[valor total],estoque[produto],preçodiario[[#Headers],[OVO VERMELHO B]],estoque[data],preçodiario[[#This Row],[data]],estoque[fornecedor],"&lt;&gt;saída"))/(AK317+(SUMIFS(estoque[quantidade],estoque[produto],preçodiario[[#Headers],[OVO VERMELHO B]],estoque[fornecedor],"&lt;&gt;saída",estoque[data],preçodiario[[#This Row],[data]])))))</f>
        <v/>
      </c>
      <c r="AK318" s="22">
        <f>IF(preçodiario[[#This Row],[entrada BV]]=0,AK317-(SUMIFS(estoque[quantidade],estoque[fornecedor],"saída",estoque[produto],preçodiario[[#Headers],[OVO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Row],[data]]))+AK317+preçodiario[[#This Row],[entrada BV]])</f>
        <v>0</v>
      </c>
      <c r="AL318" s="22">
        <f>SUMIFS(estoque[quantidade],estoque[fornecedor],"&lt;&gt;saída",estoque[produto],preçodiario[[#Headers],[OVO VERMELHO B]],estoque[data],preçodiario[[#This Row],[data]])</f>
        <v>0</v>
      </c>
      <c r="AM318" s="20">
        <f>SUMIFS(estoque[valor total],estoque[fornecedor],"&lt;&gt;saída",estoque[produto],preçodiario[[#Headers],[OVO VERMELHO B]],estoque[data],preçodiario[[#This Row],[data]])</f>
        <v>0</v>
      </c>
      <c r="AN318" s="20">
        <f>IFERROR(preçodiario[[#This Row],[OVO VERMELHO B]]*preçodiario[[#This Row],[estoque BV]],0)</f>
        <v>0</v>
      </c>
      <c r="AO31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Row],[data]])),((AO317*AP317)+SUMIFS(estoque[valor total],estoque[produto],preçodiario[[#Headers],[OVO VERMELHO C]],estoque[data],preçodiario[[#This Row],[data]],estoque[fornecedor],"&lt;&gt;saída"))/(AP317+(SUMIFS(estoque[quantidade],estoque[produto],preçodiario[[#Headers],[OVO VERMELHO C]],estoque[fornecedor],"&lt;&gt;saída",estoque[data],preçodiario[[#This Row],[data]])))))</f>
        <v/>
      </c>
      <c r="AP318" s="22">
        <f>IF(preçodiario[[#This Row],[entrada CV]]=0,AP317-(SUMIFS(estoque[quantidade],estoque[fornecedor],"saída",estoque[produto],preçodiario[[#Headers],[OVO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Row],[data]]))+AP317+preçodiario[[#This Row],[entrada CV]])</f>
        <v>0</v>
      </c>
      <c r="AQ318" s="22">
        <f>SUMIFS(estoque[quantidade],estoque[fornecedor],"&lt;&gt;saída",estoque[produto],preçodiario[[#Headers],[OVO VERMELHO C]],estoque[data],preçodiario[[#This Row],[data]])</f>
        <v>0</v>
      </c>
      <c r="AR318" s="20">
        <f>SUMIFS(estoque[valor total],estoque[fornecedor],"&lt;&gt;saída",estoque[produto],preçodiario[[#Headers],[OVO VERMELHO C]],estoque[data],preçodiario[[#This Row],[data]])</f>
        <v>0</v>
      </c>
      <c r="AS318" s="20">
        <f>IFERROR(preçodiario[[#This Row],[OVO VERMELHO C]]*preçodiario[[#This Row],[estoque CV]],0)</f>
        <v>0</v>
      </c>
      <c r="AT31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Row],[data]])),((AT317*AU317)+SUMIFS(estoque[valor total],estoque[produto],preçodiario[[#Headers],[OVO VERMELHO EXTRA]],estoque[data],preçodiario[[#This Row],[data]],estoque[fornecedor],"&lt;&gt;saída"))/(AU317+(SUMIFS(estoque[quantidade],estoque[produto],preçodiario[[#Headers],[OVO VERMELHO EXTRA]],estoque[fornecedor],"&lt;&gt;saída",estoque[data],preçodiario[[#This Row],[data]])))))</f>
        <v/>
      </c>
      <c r="AU318" s="22">
        <f>IF(preçodiario[[#This Row],[entrada EV]]=0,AU317-(SUMIFS(estoque[quantidade],estoque[fornecedor],"saída",estoque[produto],preçodiario[[#Headers],[OVO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Row],[data]]))+AU317+preçodiario[[#This Row],[entrada EV]])</f>
        <v>0</v>
      </c>
      <c r="AV318" s="22">
        <f>SUMIFS(estoque[quantidade],estoque[fornecedor],"&lt;&gt;saída",estoque[produto],preçodiario[[#Headers],[OVO VERMELHO EXTRA]],estoque[data],preçodiario[[#This Row],[data]])</f>
        <v>0</v>
      </c>
      <c r="AW318" s="20">
        <f>SUMIFS(estoque[valor total],estoque[fornecedor],"&lt;&gt;saída",estoque[produto],preçodiario[[#Headers],[OVO VERMELHO EXTRA]],estoque[data],preçodiario[[#This Row],[data]])</f>
        <v>0</v>
      </c>
      <c r="AX318" s="20">
        <f>IFERROR(preçodiario[[#This Row],[OVO VERMELHO EXTRA]]*preçodiario[[#This Row],[estoque EV]],0)</f>
        <v>0</v>
      </c>
      <c r="AY31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Row],[data]])),((AY317*AZ317)+SUMIFS(estoque[valor total],estoque[produto],preçodiario[[#Headers],[OVO VERMELHO JUMBO]],estoque[data],preçodiario[[#This Row],[data]],estoque[fornecedor],"&lt;&gt;saída"))/(AZ317+(SUMIFS(estoque[quantidade],estoque[produto],preçodiario[[#Headers],[OVO VERMELHO JUMBO]],estoque[fornecedor],"&lt;&gt;saída",estoque[data],preçodiario[[#This Row],[data]])))))</f>
        <v/>
      </c>
      <c r="AZ318" s="22">
        <f>IF(preçodiario[[#This Row],[entrada JV]]=0,AZ317-(SUMIFS(estoque[quantidade],estoque[fornecedor],"saída",estoque[produto],preçodiario[[#Headers],[OVO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Row],[data]]))+AZ317+preçodiario[[#This Row],[entrada JV]])</f>
        <v>0</v>
      </c>
      <c r="BA318" s="22">
        <f>SUMIFS(estoque[quantidade],estoque[fornecedor],"&lt;&gt;saída",estoque[produto],preçodiario[[#Headers],[OVO VERMELHO JUMBO]],estoque[data],preçodiario[[#This Row],[data]])</f>
        <v>0</v>
      </c>
      <c r="BB318" s="20">
        <f>SUMIFS(estoque[valor total],estoque[fornecedor],"&lt;&gt;saída",estoque[produto],preçodiario[[#Headers],[OVO VERMELHO JUMBO]],estoque[data],preçodiario[[#This Row],[data]])</f>
        <v>0</v>
      </c>
      <c r="BC318" s="20">
        <f>IFERROR(preçodiario[[#This Row],[OVO VERMELHO JUMBO]]*preçodiario[[#This Row],[estoque JV]],0)</f>
        <v>0</v>
      </c>
      <c r="BD318" t="str">
        <f>TEXT(vendaAno[[#This Row],[data]],"mmm")</f>
        <v>nov</v>
      </c>
      <c r="BE318" t="str">
        <f>TEXT(vendaAno[[#This Row],[data]],"ddd")</f>
        <v>sex</v>
      </c>
      <c r="BF318" s="82">
        <f>WEEKNUM(vendaAno[[#This Row],[data]],13)</f>
        <v>46</v>
      </c>
      <c r="BG318" s="27">
        <f>preçodiario[[#This Row],[data]]</f>
        <v>46339</v>
      </c>
      <c r="BH31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Row],[data]]))/12+BJ317,"")</f>
        <v/>
      </c>
      <c r="BK318" s="79" t="str">
        <f ca="1">IF(TODAY()&gt;=vendaAno[[#This Row],[data]],IF(SUMIFS(estoque[quantidade],estoque[fornecedor],"saída",estoque[data],vendaAno[[#This Row],[data]])/12=0,AVERAGE(BK315:BK317),SUMIFS(estoque[quantidade],estoque[fornecedor],"saída",estoque[data],vendaAno[[#This Row],[data]])/12),"")</f>
        <v/>
      </c>
      <c r="BL318" s="8" t="str">
        <f ca="1">IF(vendaAno[[#This Row],[data]]&lt;=TODAY(),IF(SUMIFS(estoque[lucro],estoque[fornecedor],"saída",estoque[data],vendaAno[[#This Row],[data]])=0,AVERAGE(BL315:BL317),SUMIFS(estoque[lucro],estoque[fornecedor],"saída",estoque[data],vendaAno[[#This Row],[data]])),"")</f>
        <v/>
      </c>
      <c r="BM318" s="10" t="str">
        <f ca="1">IFERROR(vendaAno[[#This Row],[lucro]]/vendaAno[[#This Row],[valor de venda]],"")</f>
        <v/>
      </c>
      <c r="BN31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8" s="8" t="str">
        <f ca="1">IF(TODAY()&gt;=vendaAno[[#This Row],[data]],IF(vendaAno[[#This Row],[N°]]=BF317,vendaAno[[#This Row],[lucro]]-173.33+BO317,vendaAno[[#This Row],[lucro]]-150),"")</f>
        <v/>
      </c>
      <c r="BP318" s="81" t="str">
        <f ca="1">IF(TODAY()&gt;=vendaAno[[#This Row],[data]],SUM(BK312:BK318)*12,"")</f>
        <v/>
      </c>
      <c r="BQ318" s="7" t="str">
        <f ca="1">IFERROR(vendaAno[[#This Row],[lucro]]/(vendaAno[[#This Row],[venda]]*12),"")</f>
        <v/>
      </c>
    </row>
    <row r="319" spans="1:69" x14ac:dyDescent="0.25">
      <c r="A31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19" s="18" t="str">
        <f>TEXT(preçodiario[[#This Row],[data]],"MMM")</f>
        <v>nov</v>
      </c>
      <c r="C319" s="18" t="str">
        <f>TEXT(preçodiario[[#This Row],[data]],"ddd")</f>
        <v>sáb</v>
      </c>
      <c r="D319" s="96">
        <f>WEEKNUM(preçodiario[[#This Row],[data]],13)</f>
        <v>46</v>
      </c>
      <c r="E319" s="37">
        <v>46340</v>
      </c>
      <c r="F31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Row],[data]])),((F318*G318)+SUMIFS(estoque[valor total],estoque[produto],preçodiario[[#Headers],[OVO BRANCO A]],estoque[data],preçodiario[[#This Row],[data]],estoque[fornecedor],"&lt;&gt;saída"))/(G318+(SUMIFS(estoque[quantidade],estoque[produto],preçodiario[[#Headers],[OVO BRANCO A]],estoque[fornecedor],"&lt;&gt;saída",estoque[data],preçodiario[[#This Row],[data]])))))</f>
        <v>15.278182701652089</v>
      </c>
      <c r="G319" s="22">
        <f>IF(preçodiario[[#This Row],[entrada A]]=0,G318-(SUMIFS(estoque[quantidade],estoque[fornecedor],"saída",estoque[produto],preçodiario[[#Headers],[OVO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Row],[data]]))+G318+preçodiario[[#This Row],[entrada A]])</f>
        <v>133</v>
      </c>
      <c r="H319" s="22">
        <f>SUMIFS(estoque[quantidade],estoque[fornecedor],"&lt;&gt;saída",estoque[produto],preçodiario[[#Headers],[OVO BRANCO A]],estoque[data],preçodiario[[#This Row],[data]])</f>
        <v>0</v>
      </c>
      <c r="I319" s="20">
        <f>SUMIFS(estoque[valor total],estoque[fornecedor],"&lt;&gt;saída",estoque[produto],preçodiario[[#Headers],[OVO BRANCO A]],estoque[data],preçodiario[[#This Row],[data]])</f>
        <v>0</v>
      </c>
      <c r="J319" s="20">
        <f>IFERROR(preçodiario[[#This Row],[estoque A]]*preçodiario[[#This Row],[OVO BRANCO A]],0)</f>
        <v>2031.9982993197277</v>
      </c>
      <c r="K31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Row],[data]])),((K318*L318)+SUMIFS(estoque[valor total],estoque[produto],preçodiario[[#Headers],[OVO BRANCO B]],estoque[data],preçodiario[[#This Row],[data]],estoque[fornecedor],"&lt;&gt;saída"))/(L318+(SUMIFS(estoque[quantidade],estoque[produto],preçodiario[[#Headers],[OVO BRANCO B]],estoque[fornecedor],"&lt;&gt;saída",estoque[data],preçodiario[[#This Row],[data]])))))</f>
        <v>14.584252837326604</v>
      </c>
      <c r="L319" s="22">
        <f>IF(preçodiario[[#This Row],[entrada B]]=0,L318-(SUMIFS(estoque[quantidade],estoque[fornecedor],"saída",estoque[produto],preçodiario[[#Headers],[OVO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Row],[data]]))+L318+preçodiario[[#This Row],[entrada B]])</f>
        <v>16</v>
      </c>
      <c r="M319" s="22">
        <f>SUMIFS(estoque[quantidade],estoque[fornecedor],"&lt;&gt;saída",estoque[produto],preçodiario[[#Headers],[OVO BRANCO B]],estoque[data],preçodiario[[#This Row],[data]])</f>
        <v>0</v>
      </c>
      <c r="N319" s="20">
        <f>SUMIFS(estoque[valor total],estoque[fornecedor],"&lt;&gt;saída",estoque[produto],preçodiario[[#Headers],[OVO BRANCO B]],estoque[data],preçodiario[[#This Row],[data]])</f>
        <v>0</v>
      </c>
      <c r="O319" s="20">
        <f>IFERROR(preçodiario[[#This Row],[OVO BRANCO B]]*preçodiario[[#This Row],[estoque B]],0)</f>
        <v>233.34804539722566</v>
      </c>
      <c r="P31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Row],[data]])),((P318*Q318)+SUMIFS(estoque[valor total],estoque[produto],preçodiario[[#Headers],[OVO BRANCO C]],estoque[data],preçodiario[[#This Row],[data]],estoque[fornecedor],"&lt;&gt;saída"))/(Q318+(SUMIFS(estoque[quantidade],estoque[produto],preçodiario[[#Headers],[OVO BRANCO C]],estoque[fornecedor],"&lt;&gt;saída",estoque[data],preçodiario[[#This Row],[data]])))))</f>
        <v>12.5</v>
      </c>
      <c r="Q319" s="22">
        <f>IF(preçodiario[[#This Row],[entrada C]]=0,Q318-(SUMIFS(estoque[quantidade],estoque[fornecedor],"saída",estoque[produto],preçodiario[[#Headers],[OVO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Row],[data]]))+Q318+preçodiario[[#This Row],[entrada C]])</f>
        <v>60</v>
      </c>
      <c r="R319" s="22">
        <f>SUMIFS(estoque[quantidade],estoque[fornecedor],"&lt;&gt;saída",estoque[produto],preçodiario[[#Headers],[OVO BRANCO C]],estoque[data],preçodiario[[#This Row],[data]])</f>
        <v>0</v>
      </c>
      <c r="S319" s="20">
        <f>SUMIFS(estoque[valor total],estoque[fornecedor],"&lt;&gt;saída",estoque[produto],preçodiario[[#Headers],[OVO BRANCO C]],estoque[data],preçodiario[[#This Row],[data]])</f>
        <v>0</v>
      </c>
      <c r="T319" s="20">
        <f>IFERROR(preçodiario[[#This Row],[OVO BRANCO C]]*preçodiario[[#This Row],[estoque C]],0)</f>
        <v>750</v>
      </c>
      <c r="U31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Row],[data]])),((U318*V318)+SUMIFS(estoque[valor total],estoque[produto],preçodiario[[#Headers],[OVO BRANCO EXTRA]],estoque[data],preçodiario[[#This Row],[data]],estoque[fornecedor],"&lt;&gt;saída"))/(V318+(SUMIFS(estoque[quantidade],estoque[produto],preçodiario[[#Headers],[OVO BRANCO EXTRA]],estoque[fornecedor],"&lt;&gt;saída",estoque[data],preçodiario[[#This Row],[data]])))))</f>
        <v>15.725438400674655</v>
      </c>
      <c r="V319" s="22">
        <f>IF(preçodiario[[#This Row],[entrada E]]=0,V318-(SUMIFS(estoque[quantidade],estoque[fornecedor],"saída",estoque[produto],preçodiario[[#Headers],[OVO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Row],[data]]))+V318+preçodiario[[#This Row],[entrada E]])</f>
        <v>46</v>
      </c>
      <c r="W319" s="22">
        <f>SUMIFS(estoque[quantidade],estoque[fornecedor],"&lt;&gt;saída",estoque[produto],preçodiario[[#Headers],[OVO BRANCO EXTRA]],estoque[data],preçodiario[[#This Row],[data]])</f>
        <v>0</v>
      </c>
      <c r="X319" s="20">
        <f>SUMIFS(estoque[valor total],estoque[fornecedor],"&lt;&gt;saída",estoque[produto],preçodiario[[#Headers],[OVO BRANCO EXTRA]],estoque[data],preçodiario[[#This Row],[data]])</f>
        <v>0</v>
      </c>
      <c r="Y319" s="20">
        <f>IFERROR(preçodiario[[#This Row],[estoque E]]*preçodiario[[#This Row],[OVO BRANCO EXTRA]],0)</f>
        <v>723.37016643103414</v>
      </c>
      <c r="Z31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Row],[data]])),((Z318*AA318)+SUMIFS(estoque[valor total],estoque[produto],preçodiario[[#Headers],[OVO BRANCO JUMBO]],estoque[data],preçodiario[[#This Row],[data]],estoque[fornecedor],"&lt;&gt;saída"))/(AA318+(SUMIFS(estoque[quantidade],estoque[produto],preçodiario[[#Headers],[OVO BRANCO JUMBO]],estoque[fornecedor],"&lt;&gt;saída",estoque[data],preçodiario[[#This Row],[data]])))))</f>
        <v>16.50550595238095</v>
      </c>
      <c r="AA319" s="22">
        <f>IF(preçodiario[[#This Row],[entrada J]]=0,AA318-(SUMIFS(estoque[quantidade],estoque[fornecedor],"saída",estoque[produto],preçodiario[[#Headers],[OVO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Row],[data]]))+AA318+preçodiario[[#This Row],[entrada J]])</f>
        <v>75</v>
      </c>
      <c r="AB319" s="22">
        <f>SUMIFS(estoque[quantidade],estoque[fornecedor],"&lt;&gt;saída",estoque[produto],preçodiario[[#Headers],[OVO BRANCO JUMBO]],estoque[data],preçodiario[[#This Row],[data]])</f>
        <v>0</v>
      </c>
      <c r="AC319" s="20">
        <f>SUMIFS(estoque[valor total],estoque[fornecedor],"&lt;&gt;saída",estoque[produto],preçodiario[[#Headers],[OVO BRANCO JUMBO]],estoque[data],preçodiario[[#This Row],[data]])</f>
        <v>0</v>
      </c>
      <c r="AD319" s="20">
        <f>IFERROR(preçodiario[[#This Row],[OVO BRANCO JUMBO]]*preçodiario[[#This Row],[estoque J]],0)</f>
        <v>1237.9129464285713</v>
      </c>
      <c r="AE31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Row],[data]])),((AE318*AF318)+SUMIFS(estoque[valor total],estoque[produto],preçodiario[[#Headers],[OVO VERMELHO A]],estoque[data],preçodiario[[#This Row],[data]],estoque[fornecedor],"&lt;&gt;saída"))/(AF318+(SUMIFS(estoque[quantidade],estoque[produto],preçodiario[[#Headers],[OVO VERMELHO A]],estoque[fornecedor],"&lt;&gt;saída",estoque[data],preçodiario[[#This Row],[data]])))))</f>
        <v/>
      </c>
      <c r="AF319" s="22">
        <f>IF(preçodiario[[#This Row],[entrada AV]]=0,AF318-(SUMIFS(estoque[quantidade],estoque[fornecedor],"saída",estoque[produto],preçodiario[[#Headers],[OVO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Row],[data]]))+AF318+preçodiario[[#This Row],[entrada AV]])</f>
        <v>0</v>
      </c>
      <c r="AG319" s="22">
        <f>SUMIFS(estoque[quantidade],estoque[fornecedor],"&lt;&gt;saída",estoque[produto],preçodiario[[#Headers],[OVO VERMELHO A]],estoque[data],preçodiario[[#This Row],[data]])</f>
        <v>0</v>
      </c>
      <c r="AH319" s="20">
        <f>SUMIFS(estoque[valor total],estoque[fornecedor],"&lt;&gt;saída",estoque[produto],preçodiario[[#Headers],[OVO VERMELHO A]],estoque[data],preçodiario[[#This Row],[data]])</f>
        <v>0</v>
      </c>
      <c r="AI319" s="20">
        <f>IFERROR(preçodiario[[#This Row],[OVO VERMELHO A]]*preçodiario[[#This Row],[estoque AV]],0)</f>
        <v>0</v>
      </c>
      <c r="AJ31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Row],[data]])),((AJ318*AK318)+SUMIFS(estoque[valor total],estoque[produto],preçodiario[[#Headers],[OVO VERMELHO B]],estoque[data],preçodiario[[#This Row],[data]],estoque[fornecedor],"&lt;&gt;saída"))/(AK318+(SUMIFS(estoque[quantidade],estoque[produto],preçodiario[[#Headers],[OVO VERMELHO B]],estoque[fornecedor],"&lt;&gt;saída",estoque[data],preçodiario[[#This Row],[data]])))))</f>
        <v/>
      </c>
      <c r="AK319" s="22">
        <f>IF(preçodiario[[#This Row],[entrada BV]]=0,AK318-(SUMIFS(estoque[quantidade],estoque[fornecedor],"saída",estoque[produto],preçodiario[[#Headers],[OVO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Row],[data]]))+AK318+preçodiario[[#This Row],[entrada BV]])</f>
        <v>0</v>
      </c>
      <c r="AL319" s="22">
        <f>SUMIFS(estoque[quantidade],estoque[fornecedor],"&lt;&gt;saída",estoque[produto],preçodiario[[#Headers],[OVO VERMELHO B]],estoque[data],preçodiario[[#This Row],[data]])</f>
        <v>0</v>
      </c>
      <c r="AM319" s="20">
        <f>SUMIFS(estoque[valor total],estoque[fornecedor],"&lt;&gt;saída",estoque[produto],preçodiario[[#Headers],[OVO VERMELHO B]],estoque[data],preçodiario[[#This Row],[data]])</f>
        <v>0</v>
      </c>
      <c r="AN319" s="20">
        <f>IFERROR(preçodiario[[#This Row],[OVO VERMELHO B]]*preçodiario[[#This Row],[estoque BV]],0)</f>
        <v>0</v>
      </c>
      <c r="AO31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Row],[data]])),((AO318*AP318)+SUMIFS(estoque[valor total],estoque[produto],preçodiario[[#Headers],[OVO VERMELHO C]],estoque[data],preçodiario[[#This Row],[data]],estoque[fornecedor],"&lt;&gt;saída"))/(AP318+(SUMIFS(estoque[quantidade],estoque[produto],preçodiario[[#Headers],[OVO VERMELHO C]],estoque[fornecedor],"&lt;&gt;saída",estoque[data],preçodiario[[#This Row],[data]])))))</f>
        <v/>
      </c>
      <c r="AP319" s="22">
        <f>IF(preçodiario[[#This Row],[entrada CV]]=0,AP318-(SUMIFS(estoque[quantidade],estoque[fornecedor],"saída",estoque[produto],preçodiario[[#Headers],[OVO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Row],[data]]))+AP318+preçodiario[[#This Row],[entrada CV]])</f>
        <v>0</v>
      </c>
      <c r="AQ319" s="22">
        <f>SUMIFS(estoque[quantidade],estoque[fornecedor],"&lt;&gt;saída",estoque[produto],preçodiario[[#Headers],[OVO VERMELHO C]],estoque[data],preçodiario[[#This Row],[data]])</f>
        <v>0</v>
      </c>
      <c r="AR319" s="20">
        <f>SUMIFS(estoque[valor total],estoque[fornecedor],"&lt;&gt;saída",estoque[produto],preçodiario[[#Headers],[OVO VERMELHO C]],estoque[data],preçodiario[[#This Row],[data]])</f>
        <v>0</v>
      </c>
      <c r="AS319" s="20">
        <f>IFERROR(preçodiario[[#This Row],[OVO VERMELHO C]]*preçodiario[[#This Row],[estoque CV]],0)</f>
        <v>0</v>
      </c>
      <c r="AT31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Row],[data]])),((AT318*AU318)+SUMIFS(estoque[valor total],estoque[produto],preçodiario[[#Headers],[OVO VERMELHO EXTRA]],estoque[data],preçodiario[[#This Row],[data]],estoque[fornecedor],"&lt;&gt;saída"))/(AU318+(SUMIFS(estoque[quantidade],estoque[produto],preçodiario[[#Headers],[OVO VERMELHO EXTRA]],estoque[fornecedor],"&lt;&gt;saída",estoque[data],preçodiario[[#This Row],[data]])))))</f>
        <v/>
      </c>
      <c r="AU319" s="22">
        <f>IF(preçodiario[[#This Row],[entrada EV]]=0,AU318-(SUMIFS(estoque[quantidade],estoque[fornecedor],"saída",estoque[produto],preçodiario[[#Headers],[OVO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Row],[data]]))+AU318+preçodiario[[#This Row],[entrada EV]])</f>
        <v>0</v>
      </c>
      <c r="AV319" s="22">
        <f>SUMIFS(estoque[quantidade],estoque[fornecedor],"&lt;&gt;saída",estoque[produto],preçodiario[[#Headers],[OVO VERMELHO EXTRA]],estoque[data],preçodiario[[#This Row],[data]])</f>
        <v>0</v>
      </c>
      <c r="AW319" s="20">
        <f>SUMIFS(estoque[valor total],estoque[fornecedor],"&lt;&gt;saída",estoque[produto],preçodiario[[#Headers],[OVO VERMELHO EXTRA]],estoque[data],preçodiario[[#This Row],[data]])</f>
        <v>0</v>
      </c>
      <c r="AX319" s="20">
        <f>IFERROR(preçodiario[[#This Row],[OVO VERMELHO EXTRA]]*preçodiario[[#This Row],[estoque EV]],0)</f>
        <v>0</v>
      </c>
      <c r="AY31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Row],[data]])),((AY318*AZ318)+SUMIFS(estoque[valor total],estoque[produto],preçodiario[[#Headers],[OVO VERMELHO JUMBO]],estoque[data],preçodiario[[#This Row],[data]],estoque[fornecedor],"&lt;&gt;saída"))/(AZ318+(SUMIFS(estoque[quantidade],estoque[produto],preçodiario[[#Headers],[OVO VERMELHO JUMBO]],estoque[fornecedor],"&lt;&gt;saída",estoque[data],preçodiario[[#This Row],[data]])))))</f>
        <v/>
      </c>
      <c r="AZ319" s="22">
        <f>IF(preçodiario[[#This Row],[entrada JV]]=0,AZ318-(SUMIFS(estoque[quantidade],estoque[fornecedor],"saída",estoque[produto],preçodiario[[#Headers],[OVO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Row],[data]]))+AZ318+preçodiario[[#This Row],[entrada JV]])</f>
        <v>0</v>
      </c>
      <c r="BA319" s="22">
        <f>SUMIFS(estoque[quantidade],estoque[fornecedor],"&lt;&gt;saída",estoque[produto],preçodiario[[#Headers],[OVO VERMELHO JUMBO]],estoque[data],preçodiario[[#This Row],[data]])</f>
        <v>0</v>
      </c>
      <c r="BB319" s="20">
        <f>SUMIFS(estoque[valor total],estoque[fornecedor],"&lt;&gt;saída",estoque[produto],preçodiario[[#Headers],[OVO VERMELHO JUMBO]],estoque[data],preçodiario[[#This Row],[data]])</f>
        <v>0</v>
      </c>
      <c r="BC319" s="20">
        <f>IFERROR(preçodiario[[#This Row],[OVO VERMELHO JUMBO]]*preçodiario[[#This Row],[estoque JV]],0)</f>
        <v>0</v>
      </c>
      <c r="BD319" t="str">
        <f>TEXT(vendaAno[[#This Row],[data]],"mmm")</f>
        <v>nov</v>
      </c>
      <c r="BE319" t="str">
        <f>TEXT(vendaAno[[#This Row],[data]],"ddd")</f>
        <v>sáb</v>
      </c>
      <c r="BF319" s="82">
        <f>WEEKNUM(vendaAno[[#This Row],[data]],13)</f>
        <v>46</v>
      </c>
      <c r="BG319" s="27">
        <f>preçodiario[[#This Row],[data]]</f>
        <v>46340</v>
      </c>
      <c r="BH31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1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1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Row],[data]]))/12+BJ318,"")</f>
        <v/>
      </c>
      <c r="BK319" s="79" t="str">
        <f ca="1">IF(TODAY()&gt;=vendaAno[[#This Row],[data]],IF(SUMIFS(estoque[quantidade],estoque[fornecedor],"saída",estoque[data],vendaAno[[#This Row],[data]])/12=0,AVERAGE(BK316:BK318),SUMIFS(estoque[quantidade],estoque[fornecedor],"saída",estoque[data],vendaAno[[#This Row],[data]])/12),"")</f>
        <v/>
      </c>
      <c r="BL319" s="8" t="str">
        <f ca="1">IF(vendaAno[[#This Row],[data]]&lt;=TODAY(),IF(SUMIFS(estoque[lucro],estoque[fornecedor],"saída",estoque[data],vendaAno[[#This Row],[data]])=0,AVERAGE(BL316:BL318),SUMIFS(estoque[lucro],estoque[fornecedor],"saída",estoque[data],vendaAno[[#This Row],[data]])),"")</f>
        <v/>
      </c>
      <c r="BM319" s="10" t="str">
        <f ca="1">IFERROR(vendaAno[[#This Row],[lucro]]/vendaAno[[#This Row],[valor de venda]],"")</f>
        <v/>
      </c>
      <c r="BN31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19" s="8" t="str">
        <f ca="1">IF(TODAY()&gt;=vendaAno[[#This Row],[data]],IF(vendaAno[[#This Row],[N°]]=BF318,vendaAno[[#This Row],[lucro]]-173.33+BO318,vendaAno[[#This Row],[lucro]]-150),"")</f>
        <v/>
      </c>
      <c r="BP319" s="81" t="str">
        <f ca="1">IF(TODAY()&gt;=vendaAno[[#This Row],[data]],SUM(BK313:BK319)*12,"")</f>
        <v/>
      </c>
      <c r="BQ319" s="7" t="str">
        <f ca="1">IFERROR(vendaAno[[#This Row],[lucro]]/(vendaAno[[#This Row],[venda]]*12),"")</f>
        <v/>
      </c>
    </row>
    <row r="320" spans="1:69" x14ac:dyDescent="0.25">
      <c r="A32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Row],[data]]-1))*A319+SUMIFS(estoque[valor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0" s="18" t="str">
        <f>TEXT(preçodiario[[#This Row],[data]],"MMM")</f>
        <v>nov</v>
      </c>
      <c r="C320" s="18" t="str">
        <f>TEXT(preçodiario[[#This Row],[data]],"ddd")</f>
        <v>dom</v>
      </c>
      <c r="D320" s="96">
        <f>WEEKNUM(preçodiario[[#This Row],[data]],13)</f>
        <v>46</v>
      </c>
      <c r="E320" s="37">
        <v>46341</v>
      </c>
      <c r="F32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Row],[data]]))),IF(G319=0,SUMIFS(estoque[valor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Row],[data]])),((F319*G319)+SUMIFS(estoque[valor total],estoque[produto],preçodiario[[#Headers],[OVO BRANCO A]],estoque[data],preçodiario[[#This Row],[data]],estoque[fornecedor],"&lt;&gt;saída"))/(G319+(SUMIFS(estoque[quantidade],estoque[produto],preçodiario[[#Headers],[OVO BRANCO A]],estoque[fornecedor],"&lt;&gt;saída",estoque[data],preçodiario[[#This Row],[data]])))))</f>
        <v>15.278182701652089</v>
      </c>
      <c r="G320" s="22">
        <f>IF(preçodiario[[#This Row],[entrada A]]=0,G319-(SUMIFS(estoque[quantidade],estoque[fornecedor],"saída",estoque[produto],preçodiario[[#Headers],[OVO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Row],[data]]))+G319+preçodiario[[#This Row],[entrada A]])</f>
        <v>133</v>
      </c>
      <c r="H320" s="22">
        <f>SUMIFS(estoque[quantidade],estoque[fornecedor],"&lt;&gt;saída",estoque[produto],preçodiario[[#Headers],[OVO BRANCO A]],estoque[data],preçodiario[[#This Row],[data]])</f>
        <v>0</v>
      </c>
      <c r="I320" s="20">
        <f>SUMIFS(estoque[valor total],estoque[fornecedor],"&lt;&gt;saída",estoque[produto],preçodiario[[#Headers],[OVO BRANCO A]],estoque[data],preçodiario[[#This Row],[data]])</f>
        <v>0</v>
      </c>
      <c r="J320" s="20">
        <f>IFERROR(preçodiario[[#This Row],[estoque A]]*preçodiario[[#This Row],[OVO BRANCO A]],0)</f>
        <v>2031.9982993197277</v>
      </c>
      <c r="K32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Row],[data]]))),IF(L319=0,SUMIFS(estoque[valor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Row],[data]])),((K319*L319)+SUMIFS(estoque[valor total],estoque[produto],preçodiario[[#Headers],[OVO BRANCO B]],estoque[data],preçodiario[[#This Row],[data]],estoque[fornecedor],"&lt;&gt;saída"))/(L319+(SUMIFS(estoque[quantidade],estoque[produto],preçodiario[[#Headers],[OVO BRANCO B]],estoque[fornecedor],"&lt;&gt;saída",estoque[data],preçodiario[[#This Row],[data]])))))</f>
        <v>14.584252837326604</v>
      </c>
      <c r="L320" s="22">
        <f>IF(preçodiario[[#This Row],[entrada B]]=0,L319-(SUMIFS(estoque[quantidade],estoque[fornecedor],"saída",estoque[produto],preçodiario[[#Headers],[OVO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Row],[data]]))+L319+preçodiario[[#This Row],[entrada B]])</f>
        <v>16</v>
      </c>
      <c r="M320" s="22">
        <f>SUMIFS(estoque[quantidade],estoque[fornecedor],"&lt;&gt;saída",estoque[produto],preçodiario[[#Headers],[OVO BRANCO B]],estoque[data],preçodiario[[#This Row],[data]])</f>
        <v>0</v>
      </c>
      <c r="N320" s="20">
        <f>SUMIFS(estoque[valor total],estoque[fornecedor],"&lt;&gt;saída",estoque[produto],preçodiario[[#Headers],[OVO BRANCO B]],estoque[data],preçodiario[[#This Row],[data]])</f>
        <v>0</v>
      </c>
      <c r="O320" s="20">
        <f>IFERROR(preçodiario[[#This Row],[OVO BRANCO B]]*preçodiario[[#This Row],[estoque B]],0)</f>
        <v>233.34804539722566</v>
      </c>
      <c r="P32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Row],[data]]))),IF(Q319=0,SUMIFS(estoque[valor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Row],[data]])),((P319*Q319)+SUMIFS(estoque[valor total],estoque[produto],preçodiario[[#Headers],[OVO BRANCO C]],estoque[data],preçodiario[[#This Row],[data]],estoque[fornecedor],"&lt;&gt;saída"))/(Q319+(SUMIFS(estoque[quantidade],estoque[produto],preçodiario[[#Headers],[OVO BRANCO C]],estoque[fornecedor],"&lt;&gt;saída",estoque[data],preçodiario[[#This Row],[data]])))))</f>
        <v>12.5</v>
      </c>
      <c r="Q320" s="22">
        <f>IF(preçodiario[[#This Row],[entrada C]]=0,Q319-(SUMIFS(estoque[quantidade],estoque[fornecedor],"saída",estoque[produto],preçodiario[[#Headers],[OVO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Row],[data]]))+Q319+preçodiario[[#This Row],[entrada C]])</f>
        <v>60</v>
      </c>
      <c r="R320" s="22">
        <f>SUMIFS(estoque[quantidade],estoque[fornecedor],"&lt;&gt;saída",estoque[produto],preçodiario[[#Headers],[OVO BRANCO C]],estoque[data],preçodiario[[#This Row],[data]])</f>
        <v>0</v>
      </c>
      <c r="S320" s="20">
        <f>SUMIFS(estoque[valor total],estoque[fornecedor],"&lt;&gt;saída",estoque[produto],preçodiario[[#Headers],[OVO BRANCO C]],estoque[data],preçodiario[[#This Row],[data]])</f>
        <v>0</v>
      </c>
      <c r="T320" s="20">
        <f>IFERROR(preçodiario[[#This Row],[OVO BRANCO C]]*preçodiario[[#This Row],[estoque C]],0)</f>
        <v>750</v>
      </c>
      <c r="U32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Row],[data]]))),IF(V319=0,SUMIFS(estoque[valor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Row],[data]])),((U319*V319)+SUMIFS(estoque[valor total],estoque[produto],preçodiario[[#Headers],[OVO BRANCO EXTRA]],estoque[data],preçodiario[[#This Row],[data]],estoque[fornecedor],"&lt;&gt;saída"))/(V319+(SUMIFS(estoque[quantidade],estoque[produto],preçodiario[[#Headers],[OVO BRANCO EXTRA]],estoque[fornecedor],"&lt;&gt;saída",estoque[data],preçodiario[[#This Row],[data]])))))</f>
        <v>15.725438400674655</v>
      </c>
      <c r="V320" s="22">
        <f>IF(preçodiario[[#This Row],[entrada E]]=0,V319-(SUMIFS(estoque[quantidade],estoque[fornecedor],"saída",estoque[produto],preçodiario[[#Headers],[OVO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Row],[data]]))+V319+preçodiario[[#This Row],[entrada E]])</f>
        <v>46</v>
      </c>
      <c r="W320" s="22">
        <f>SUMIFS(estoque[quantidade],estoque[fornecedor],"&lt;&gt;saída",estoque[produto],preçodiario[[#Headers],[OVO BRANCO EXTRA]],estoque[data],preçodiario[[#This Row],[data]])</f>
        <v>0</v>
      </c>
      <c r="X320" s="20">
        <f>SUMIFS(estoque[valor total],estoque[fornecedor],"&lt;&gt;saída",estoque[produto],preçodiario[[#Headers],[OVO BRANCO EXTRA]],estoque[data],preçodiario[[#This Row],[data]])</f>
        <v>0</v>
      </c>
      <c r="Y320" s="20">
        <f>IFERROR(preçodiario[[#This Row],[estoque E]]*preçodiario[[#This Row],[OVO BRANCO EXTRA]],0)</f>
        <v>723.37016643103414</v>
      </c>
      <c r="Z32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Row],[data]]))),IF(AA319=0,SUMIFS(estoque[valor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Row],[data]])),((Z319*AA319)+SUMIFS(estoque[valor total],estoque[produto],preçodiario[[#Headers],[OVO BRANCO JUMBO]],estoque[data],preçodiario[[#This Row],[data]],estoque[fornecedor],"&lt;&gt;saída"))/(AA319+(SUMIFS(estoque[quantidade],estoque[produto],preçodiario[[#Headers],[OVO BRANCO JUMBO]],estoque[fornecedor],"&lt;&gt;saída",estoque[data],preçodiario[[#This Row],[data]])))))</f>
        <v>16.50550595238095</v>
      </c>
      <c r="AA320" s="22">
        <f>IF(preçodiario[[#This Row],[entrada J]]=0,AA319-(SUMIFS(estoque[quantidade],estoque[fornecedor],"saída",estoque[produto],preçodiario[[#Headers],[OVO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Row],[data]]))+AA319+preçodiario[[#This Row],[entrada J]])</f>
        <v>75</v>
      </c>
      <c r="AB320" s="22">
        <f>SUMIFS(estoque[quantidade],estoque[fornecedor],"&lt;&gt;saída",estoque[produto],preçodiario[[#Headers],[OVO BRANCO JUMBO]],estoque[data],preçodiario[[#This Row],[data]])</f>
        <v>0</v>
      </c>
      <c r="AC320" s="20">
        <f>SUMIFS(estoque[valor total],estoque[fornecedor],"&lt;&gt;saída",estoque[produto],preçodiario[[#Headers],[OVO BRANCO JUMBO]],estoque[data],preçodiario[[#This Row],[data]])</f>
        <v>0</v>
      </c>
      <c r="AD320" s="20">
        <f>IFERROR(preçodiario[[#This Row],[OVO BRANCO JUMBO]]*preçodiario[[#This Row],[estoque J]],0)</f>
        <v>1237.9129464285713</v>
      </c>
      <c r="AE32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Row],[data]]))),IF(AF319=0,SUMIFS(estoque[valor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Row],[data]])),((AE319*AF319)+SUMIFS(estoque[valor total],estoque[produto],preçodiario[[#Headers],[OVO VERMELHO A]],estoque[data],preçodiario[[#This Row],[data]],estoque[fornecedor],"&lt;&gt;saída"))/(AF319+(SUMIFS(estoque[quantidade],estoque[produto],preçodiario[[#Headers],[OVO VERMELHO A]],estoque[fornecedor],"&lt;&gt;saída",estoque[data],preçodiario[[#This Row],[data]])))))</f>
        <v/>
      </c>
      <c r="AF320" s="22">
        <f>IF(preçodiario[[#This Row],[entrada AV]]=0,AF319-(SUMIFS(estoque[quantidade],estoque[fornecedor],"saída",estoque[produto],preçodiario[[#Headers],[OVO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Row],[data]]))+AF319+preçodiario[[#This Row],[entrada AV]])</f>
        <v>0</v>
      </c>
      <c r="AG320" s="22">
        <f>SUMIFS(estoque[quantidade],estoque[fornecedor],"&lt;&gt;saída",estoque[produto],preçodiario[[#Headers],[OVO VERMELHO A]],estoque[data],preçodiario[[#This Row],[data]])</f>
        <v>0</v>
      </c>
      <c r="AH320" s="20">
        <f>SUMIFS(estoque[valor total],estoque[fornecedor],"&lt;&gt;saída",estoque[produto],preçodiario[[#Headers],[OVO VERMELHO A]],estoque[data],preçodiario[[#This Row],[data]])</f>
        <v>0</v>
      </c>
      <c r="AI320" s="20">
        <f>IFERROR(preçodiario[[#This Row],[OVO VERMELHO A]]*preçodiario[[#This Row],[estoque AV]],0)</f>
        <v>0</v>
      </c>
      <c r="AJ32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Row],[data]]))),IF(AK319=0,SUMIFS(estoque[valor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Row],[data]])),((AJ319*AK319)+SUMIFS(estoque[valor total],estoque[produto],preçodiario[[#Headers],[OVO VERMELHO B]],estoque[data],preçodiario[[#This Row],[data]],estoque[fornecedor],"&lt;&gt;saída"))/(AK319+(SUMIFS(estoque[quantidade],estoque[produto],preçodiario[[#Headers],[OVO VERMELHO B]],estoque[fornecedor],"&lt;&gt;saída",estoque[data],preçodiario[[#This Row],[data]])))))</f>
        <v/>
      </c>
      <c r="AK320" s="22">
        <f>IF(preçodiario[[#This Row],[entrada BV]]=0,AK319-(SUMIFS(estoque[quantidade],estoque[fornecedor],"saída",estoque[produto],preçodiario[[#Headers],[OVO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Row],[data]]))+AK319+preçodiario[[#This Row],[entrada BV]])</f>
        <v>0</v>
      </c>
      <c r="AL320" s="22">
        <f>SUMIFS(estoque[quantidade],estoque[fornecedor],"&lt;&gt;saída",estoque[produto],preçodiario[[#Headers],[OVO VERMELHO B]],estoque[data],preçodiario[[#This Row],[data]])</f>
        <v>0</v>
      </c>
      <c r="AM320" s="20">
        <f>SUMIFS(estoque[valor total],estoque[fornecedor],"&lt;&gt;saída",estoque[produto],preçodiario[[#Headers],[OVO VERMELHO B]],estoque[data],preçodiario[[#This Row],[data]])</f>
        <v>0</v>
      </c>
      <c r="AN320" s="20">
        <f>IFERROR(preçodiario[[#This Row],[OVO VERMELHO B]]*preçodiario[[#This Row],[estoque BV]],0)</f>
        <v>0</v>
      </c>
      <c r="AO32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Row],[data]]))),IF(AP319=0,SUMIFS(estoque[valor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Row],[data]])),((AO319*AP319)+SUMIFS(estoque[valor total],estoque[produto],preçodiario[[#Headers],[OVO VERMELHO C]],estoque[data],preçodiario[[#This Row],[data]],estoque[fornecedor],"&lt;&gt;saída"))/(AP319+(SUMIFS(estoque[quantidade],estoque[produto],preçodiario[[#Headers],[OVO VERMELHO C]],estoque[fornecedor],"&lt;&gt;saída",estoque[data],preçodiario[[#This Row],[data]])))))</f>
        <v/>
      </c>
      <c r="AP320" s="22">
        <f>IF(preçodiario[[#This Row],[entrada CV]]=0,AP319-(SUMIFS(estoque[quantidade],estoque[fornecedor],"saída",estoque[produto],preçodiario[[#Headers],[OVO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Row],[data]]))+AP319+preçodiario[[#This Row],[entrada CV]])</f>
        <v>0</v>
      </c>
      <c r="AQ320" s="22">
        <f>SUMIFS(estoque[quantidade],estoque[fornecedor],"&lt;&gt;saída",estoque[produto],preçodiario[[#Headers],[OVO VERMELHO C]],estoque[data],preçodiario[[#This Row],[data]])</f>
        <v>0</v>
      </c>
      <c r="AR320" s="20">
        <f>SUMIFS(estoque[valor total],estoque[fornecedor],"&lt;&gt;saída",estoque[produto],preçodiario[[#Headers],[OVO VERMELHO C]],estoque[data],preçodiario[[#This Row],[data]])</f>
        <v>0</v>
      </c>
      <c r="AS320" s="20">
        <f>IFERROR(preçodiario[[#This Row],[OVO VERMELHO C]]*preçodiario[[#This Row],[estoque CV]],0)</f>
        <v>0</v>
      </c>
      <c r="AT32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Row],[data]]))),IF(AU319=0,SUMIFS(estoque[valor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Row],[data]])),((AT319*AU319)+SUMIFS(estoque[valor total],estoque[produto],preçodiario[[#Headers],[OVO VERMELHO EXTRA]],estoque[data],preçodiario[[#This Row],[data]],estoque[fornecedor],"&lt;&gt;saída"))/(AU319+(SUMIFS(estoque[quantidade],estoque[produto],preçodiario[[#Headers],[OVO VERMELHO EXTRA]],estoque[fornecedor],"&lt;&gt;saída",estoque[data],preçodiario[[#This Row],[data]])))))</f>
        <v/>
      </c>
      <c r="AU320" s="22">
        <f>IF(preçodiario[[#This Row],[entrada EV]]=0,AU319-(SUMIFS(estoque[quantidade],estoque[fornecedor],"saída",estoque[produto],preçodiario[[#Headers],[OVO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Row],[data]]))+AU319+preçodiario[[#This Row],[entrada EV]])</f>
        <v>0</v>
      </c>
      <c r="AV320" s="22">
        <f>SUMIFS(estoque[quantidade],estoque[fornecedor],"&lt;&gt;saída",estoque[produto],preçodiario[[#Headers],[OVO VERMELHO EXTRA]],estoque[data],preçodiario[[#This Row],[data]])</f>
        <v>0</v>
      </c>
      <c r="AW320" s="20">
        <f>SUMIFS(estoque[valor total],estoque[fornecedor],"&lt;&gt;saída",estoque[produto],preçodiario[[#Headers],[OVO VERMELHO EXTRA]],estoque[data],preçodiario[[#This Row],[data]])</f>
        <v>0</v>
      </c>
      <c r="AX320" s="20">
        <f>IFERROR(preçodiario[[#This Row],[OVO VERMELHO EXTRA]]*preçodiario[[#This Row],[estoque EV]],0)</f>
        <v>0</v>
      </c>
      <c r="AY32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Row],[data]]))),IF(AZ319=0,SUMIFS(estoque[valor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Row],[data]])),((AY319*AZ319)+SUMIFS(estoque[valor total],estoque[produto],preçodiario[[#Headers],[OVO VERMELHO JUMBO]],estoque[data],preçodiario[[#This Row],[data]],estoque[fornecedor],"&lt;&gt;saída"))/(AZ319+(SUMIFS(estoque[quantidade],estoque[produto],preçodiario[[#Headers],[OVO VERMELHO JUMBO]],estoque[fornecedor],"&lt;&gt;saída",estoque[data],preçodiario[[#This Row],[data]])))))</f>
        <v/>
      </c>
      <c r="AZ320" s="22">
        <f>IF(preçodiario[[#This Row],[entrada JV]]=0,AZ319-(SUMIFS(estoque[quantidade],estoque[fornecedor],"saída",estoque[produto],preçodiario[[#Headers],[OVO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Row],[data]]))+AZ319+preçodiario[[#This Row],[entrada JV]])</f>
        <v>0</v>
      </c>
      <c r="BA320" s="22">
        <f>SUMIFS(estoque[quantidade],estoque[fornecedor],"&lt;&gt;saída",estoque[produto],preçodiario[[#Headers],[OVO VERMELHO JUMBO]],estoque[data],preçodiario[[#This Row],[data]])</f>
        <v>0</v>
      </c>
      <c r="BB320" s="20">
        <f>SUMIFS(estoque[valor total],estoque[fornecedor],"&lt;&gt;saída",estoque[produto],preçodiario[[#Headers],[OVO VERMELHO JUMBO]],estoque[data],preçodiario[[#This Row],[data]])</f>
        <v>0</v>
      </c>
      <c r="BC320" s="20">
        <f>IFERROR(preçodiario[[#This Row],[OVO VERMELHO JUMBO]]*preçodiario[[#This Row],[estoque JV]],0)</f>
        <v>0</v>
      </c>
      <c r="BD320" t="str">
        <f>TEXT(vendaAno[[#This Row],[data]],"mmm")</f>
        <v>nov</v>
      </c>
      <c r="BE320" t="str">
        <f>TEXT(vendaAno[[#This Row],[data]],"ddd")</f>
        <v>dom</v>
      </c>
      <c r="BF320" s="82">
        <f>WEEKNUM(vendaAno[[#This Row],[data]],13)</f>
        <v>46</v>
      </c>
      <c r="BG320" s="27">
        <f>preçodiario[[#This Row],[data]]</f>
        <v>46341</v>
      </c>
      <c r="BH32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Row],[data]]))/12+BJ319,"")</f>
        <v/>
      </c>
      <c r="BK320" s="79" t="str">
        <f ca="1">IF(TODAY()&gt;=vendaAno[[#This Row],[data]],IF(SUMIFS(estoque[quantidade],estoque[fornecedor],"saída",estoque[data],vendaAno[[#This Row],[data]])/12=0,AVERAGE(BK317:BK319),SUMIFS(estoque[quantidade],estoque[fornecedor],"saída",estoque[data],vendaAno[[#This Row],[data]])/12),"")</f>
        <v/>
      </c>
      <c r="BL320" s="8" t="str">
        <f ca="1">IF(vendaAno[[#This Row],[data]]&lt;=TODAY(),IF(SUMIFS(estoque[lucro],estoque[fornecedor],"saída",estoque[data],vendaAno[[#This Row],[data]])=0,AVERAGE(BL317:BL319),SUMIFS(estoque[lucro],estoque[fornecedor],"saída",estoque[data],vendaAno[[#This Row],[data]])),"")</f>
        <v/>
      </c>
      <c r="BM320" s="10" t="str">
        <f ca="1">IFERROR(vendaAno[[#This Row],[lucro]]/vendaAno[[#This Row],[valor de venda]],"")</f>
        <v/>
      </c>
      <c r="BN32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0" s="8" t="str">
        <f ca="1">IF(TODAY()&gt;=vendaAno[[#This Row],[data]],IF(vendaAno[[#This Row],[N°]]=BF319,vendaAno[[#This Row],[lucro]]-173.33+BO319,vendaAno[[#This Row],[lucro]]-150),"")</f>
        <v/>
      </c>
      <c r="BP320" s="81" t="str">
        <f ca="1">IF(TODAY()&gt;=vendaAno[[#This Row],[data]],SUM(BK314:BK320)*12,"")</f>
        <v/>
      </c>
      <c r="BQ320" s="7" t="str">
        <f ca="1">IFERROR(vendaAno[[#This Row],[lucro]]/(vendaAno[[#This Row],[venda]]*12),"")</f>
        <v/>
      </c>
    </row>
    <row r="321" spans="1:69" x14ac:dyDescent="0.25">
      <c r="A32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1" s="18" t="str">
        <f>TEXT(preçodiario[[#This Row],[data]],"MMM")</f>
        <v>nov</v>
      </c>
      <c r="C321" s="18" t="str">
        <f>TEXT(preçodiario[[#This Row],[data]],"ddd")</f>
        <v>seg</v>
      </c>
      <c r="D321" s="96">
        <f>WEEKNUM(preçodiario[[#This Row],[data]],13)</f>
        <v>46</v>
      </c>
      <c r="E321" s="37">
        <v>46342</v>
      </c>
      <c r="F32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Row],[data]])),((F320*G320)+SUMIFS(estoque[valor total],estoque[produto],preçodiario[[#Headers],[OVO BRANCO A]],estoque[data],preçodiario[[#This Row],[data]],estoque[fornecedor],"&lt;&gt;saída"))/(G320+(SUMIFS(estoque[quantidade],estoque[produto],preçodiario[[#Headers],[OVO BRANCO A]],estoque[fornecedor],"&lt;&gt;saída",estoque[data],preçodiario[[#This Row],[data]])))))</f>
        <v>15.278182701652089</v>
      </c>
      <c r="G321" s="22">
        <f>IF(preçodiario[[#This Row],[entrada A]]=0,G320-(SUMIFS(estoque[quantidade],estoque[fornecedor],"saída",estoque[produto],preçodiario[[#Headers],[OVO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Row],[data]]))+G320+preçodiario[[#This Row],[entrada A]])</f>
        <v>133</v>
      </c>
      <c r="H321" s="22">
        <f>SUMIFS(estoque[quantidade],estoque[fornecedor],"&lt;&gt;saída",estoque[produto],preçodiario[[#Headers],[OVO BRANCO A]],estoque[data],preçodiario[[#This Row],[data]])</f>
        <v>0</v>
      </c>
      <c r="I321" s="20">
        <f>SUMIFS(estoque[valor total],estoque[fornecedor],"&lt;&gt;saída",estoque[produto],preçodiario[[#Headers],[OVO BRANCO A]],estoque[data],preçodiario[[#This Row],[data]])</f>
        <v>0</v>
      </c>
      <c r="J321" s="20">
        <f>IFERROR(preçodiario[[#This Row],[estoque A]]*preçodiario[[#This Row],[OVO BRANCO A]],0)</f>
        <v>2031.9982993197277</v>
      </c>
      <c r="K32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Row],[data]])),((K320*L320)+SUMIFS(estoque[valor total],estoque[produto],preçodiario[[#Headers],[OVO BRANCO B]],estoque[data],preçodiario[[#This Row],[data]],estoque[fornecedor],"&lt;&gt;saída"))/(L320+(SUMIFS(estoque[quantidade],estoque[produto],preçodiario[[#Headers],[OVO BRANCO B]],estoque[fornecedor],"&lt;&gt;saída",estoque[data],preçodiario[[#This Row],[data]])))))</f>
        <v>14.584252837326604</v>
      </c>
      <c r="L321" s="22">
        <f>IF(preçodiario[[#This Row],[entrada B]]=0,L320-(SUMIFS(estoque[quantidade],estoque[fornecedor],"saída",estoque[produto],preçodiario[[#Headers],[OVO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Row],[data]]))+L320+preçodiario[[#This Row],[entrada B]])</f>
        <v>16</v>
      </c>
      <c r="M321" s="22">
        <f>SUMIFS(estoque[quantidade],estoque[fornecedor],"&lt;&gt;saída",estoque[produto],preçodiario[[#Headers],[OVO BRANCO B]],estoque[data],preçodiario[[#This Row],[data]])</f>
        <v>0</v>
      </c>
      <c r="N321" s="20">
        <f>SUMIFS(estoque[valor total],estoque[fornecedor],"&lt;&gt;saída",estoque[produto],preçodiario[[#Headers],[OVO BRANCO B]],estoque[data],preçodiario[[#This Row],[data]])</f>
        <v>0</v>
      </c>
      <c r="O321" s="20">
        <f>IFERROR(preçodiario[[#This Row],[OVO BRANCO B]]*preçodiario[[#This Row],[estoque B]],0)</f>
        <v>233.34804539722566</v>
      </c>
      <c r="P32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Row],[data]])),((P320*Q320)+SUMIFS(estoque[valor total],estoque[produto],preçodiario[[#Headers],[OVO BRANCO C]],estoque[data],preçodiario[[#This Row],[data]],estoque[fornecedor],"&lt;&gt;saída"))/(Q320+(SUMIFS(estoque[quantidade],estoque[produto],preçodiario[[#Headers],[OVO BRANCO C]],estoque[fornecedor],"&lt;&gt;saída",estoque[data],preçodiario[[#This Row],[data]])))))</f>
        <v>12.5</v>
      </c>
      <c r="Q321" s="22">
        <f>IF(preçodiario[[#This Row],[entrada C]]=0,Q320-(SUMIFS(estoque[quantidade],estoque[fornecedor],"saída",estoque[produto],preçodiario[[#Headers],[OVO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Row],[data]]))+Q320+preçodiario[[#This Row],[entrada C]])</f>
        <v>60</v>
      </c>
      <c r="R321" s="22">
        <f>SUMIFS(estoque[quantidade],estoque[fornecedor],"&lt;&gt;saída",estoque[produto],preçodiario[[#Headers],[OVO BRANCO C]],estoque[data],preçodiario[[#This Row],[data]])</f>
        <v>0</v>
      </c>
      <c r="S321" s="20">
        <f>SUMIFS(estoque[valor total],estoque[fornecedor],"&lt;&gt;saída",estoque[produto],preçodiario[[#Headers],[OVO BRANCO C]],estoque[data],preçodiario[[#This Row],[data]])</f>
        <v>0</v>
      </c>
      <c r="T321" s="20">
        <f>IFERROR(preçodiario[[#This Row],[OVO BRANCO C]]*preçodiario[[#This Row],[estoque C]],0)</f>
        <v>750</v>
      </c>
      <c r="U32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Row],[data]])),((U320*V320)+SUMIFS(estoque[valor total],estoque[produto],preçodiario[[#Headers],[OVO BRANCO EXTRA]],estoque[data],preçodiario[[#This Row],[data]],estoque[fornecedor],"&lt;&gt;saída"))/(V320+(SUMIFS(estoque[quantidade],estoque[produto],preçodiario[[#Headers],[OVO BRANCO EXTRA]],estoque[fornecedor],"&lt;&gt;saída",estoque[data],preçodiario[[#This Row],[data]])))))</f>
        <v>15.725438400674655</v>
      </c>
      <c r="V321" s="22">
        <f>IF(preçodiario[[#This Row],[entrada E]]=0,V320-(SUMIFS(estoque[quantidade],estoque[fornecedor],"saída",estoque[produto],preçodiario[[#Headers],[OVO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Row],[data]]))+V320+preçodiario[[#This Row],[entrada E]])</f>
        <v>46</v>
      </c>
      <c r="W321" s="22">
        <f>SUMIFS(estoque[quantidade],estoque[fornecedor],"&lt;&gt;saída",estoque[produto],preçodiario[[#Headers],[OVO BRANCO EXTRA]],estoque[data],preçodiario[[#This Row],[data]])</f>
        <v>0</v>
      </c>
      <c r="X321" s="20">
        <f>SUMIFS(estoque[valor total],estoque[fornecedor],"&lt;&gt;saída",estoque[produto],preçodiario[[#Headers],[OVO BRANCO EXTRA]],estoque[data],preçodiario[[#This Row],[data]])</f>
        <v>0</v>
      </c>
      <c r="Y321" s="20">
        <f>IFERROR(preçodiario[[#This Row],[estoque E]]*preçodiario[[#This Row],[OVO BRANCO EXTRA]],0)</f>
        <v>723.37016643103414</v>
      </c>
      <c r="Z32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Row],[data]])),((Z320*AA320)+SUMIFS(estoque[valor total],estoque[produto],preçodiario[[#Headers],[OVO BRANCO JUMBO]],estoque[data],preçodiario[[#This Row],[data]],estoque[fornecedor],"&lt;&gt;saída"))/(AA320+(SUMIFS(estoque[quantidade],estoque[produto],preçodiario[[#Headers],[OVO BRANCO JUMBO]],estoque[fornecedor],"&lt;&gt;saída",estoque[data],preçodiario[[#This Row],[data]])))))</f>
        <v>16.50550595238095</v>
      </c>
      <c r="AA321" s="22">
        <f>IF(preçodiario[[#This Row],[entrada J]]=0,AA320-(SUMIFS(estoque[quantidade],estoque[fornecedor],"saída",estoque[produto],preçodiario[[#Headers],[OVO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Row],[data]]))+AA320+preçodiario[[#This Row],[entrada J]])</f>
        <v>75</v>
      </c>
      <c r="AB321" s="22">
        <f>SUMIFS(estoque[quantidade],estoque[fornecedor],"&lt;&gt;saída",estoque[produto],preçodiario[[#Headers],[OVO BRANCO JUMBO]],estoque[data],preçodiario[[#This Row],[data]])</f>
        <v>0</v>
      </c>
      <c r="AC321" s="20">
        <f>SUMIFS(estoque[valor total],estoque[fornecedor],"&lt;&gt;saída",estoque[produto],preçodiario[[#Headers],[OVO BRANCO JUMBO]],estoque[data],preçodiario[[#This Row],[data]])</f>
        <v>0</v>
      </c>
      <c r="AD321" s="20">
        <f>IFERROR(preçodiario[[#This Row],[OVO BRANCO JUMBO]]*preçodiario[[#This Row],[estoque J]],0)</f>
        <v>1237.9129464285713</v>
      </c>
      <c r="AE32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Row],[data]])),((AE320*AF320)+SUMIFS(estoque[valor total],estoque[produto],preçodiario[[#Headers],[OVO VERMELHO A]],estoque[data],preçodiario[[#This Row],[data]],estoque[fornecedor],"&lt;&gt;saída"))/(AF320+(SUMIFS(estoque[quantidade],estoque[produto],preçodiario[[#Headers],[OVO VERMELHO A]],estoque[fornecedor],"&lt;&gt;saída",estoque[data],preçodiario[[#This Row],[data]])))))</f>
        <v/>
      </c>
      <c r="AF321" s="22">
        <f>IF(preçodiario[[#This Row],[entrada AV]]=0,AF320-(SUMIFS(estoque[quantidade],estoque[fornecedor],"saída",estoque[produto],preçodiario[[#Headers],[OVO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Row],[data]]))+AF320+preçodiario[[#This Row],[entrada AV]])</f>
        <v>0</v>
      </c>
      <c r="AG321" s="22">
        <f>SUMIFS(estoque[quantidade],estoque[fornecedor],"&lt;&gt;saída",estoque[produto],preçodiario[[#Headers],[OVO VERMELHO A]],estoque[data],preçodiario[[#This Row],[data]])</f>
        <v>0</v>
      </c>
      <c r="AH321" s="20">
        <f>SUMIFS(estoque[valor total],estoque[fornecedor],"&lt;&gt;saída",estoque[produto],preçodiario[[#Headers],[OVO VERMELHO A]],estoque[data],preçodiario[[#This Row],[data]])</f>
        <v>0</v>
      </c>
      <c r="AI321" s="20">
        <f>IFERROR(preçodiario[[#This Row],[OVO VERMELHO A]]*preçodiario[[#This Row],[estoque AV]],0)</f>
        <v>0</v>
      </c>
      <c r="AJ32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Row],[data]])),((AJ320*AK320)+SUMIFS(estoque[valor total],estoque[produto],preçodiario[[#Headers],[OVO VERMELHO B]],estoque[data],preçodiario[[#This Row],[data]],estoque[fornecedor],"&lt;&gt;saída"))/(AK320+(SUMIFS(estoque[quantidade],estoque[produto],preçodiario[[#Headers],[OVO VERMELHO B]],estoque[fornecedor],"&lt;&gt;saída",estoque[data],preçodiario[[#This Row],[data]])))))</f>
        <v/>
      </c>
      <c r="AK321" s="22">
        <f>IF(preçodiario[[#This Row],[entrada BV]]=0,AK320-(SUMIFS(estoque[quantidade],estoque[fornecedor],"saída",estoque[produto],preçodiario[[#Headers],[OVO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Row],[data]]))+AK320+preçodiario[[#This Row],[entrada BV]])</f>
        <v>0</v>
      </c>
      <c r="AL321" s="22">
        <f>SUMIFS(estoque[quantidade],estoque[fornecedor],"&lt;&gt;saída",estoque[produto],preçodiario[[#Headers],[OVO VERMELHO B]],estoque[data],preçodiario[[#This Row],[data]])</f>
        <v>0</v>
      </c>
      <c r="AM321" s="20">
        <f>SUMIFS(estoque[valor total],estoque[fornecedor],"&lt;&gt;saída",estoque[produto],preçodiario[[#Headers],[OVO VERMELHO B]],estoque[data],preçodiario[[#This Row],[data]])</f>
        <v>0</v>
      </c>
      <c r="AN321" s="20">
        <f>IFERROR(preçodiario[[#This Row],[OVO VERMELHO B]]*preçodiario[[#This Row],[estoque BV]],0)</f>
        <v>0</v>
      </c>
      <c r="AO32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Row],[data]])),((AO320*AP320)+SUMIFS(estoque[valor total],estoque[produto],preçodiario[[#Headers],[OVO VERMELHO C]],estoque[data],preçodiario[[#This Row],[data]],estoque[fornecedor],"&lt;&gt;saída"))/(AP320+(SUMIFS(estoque[quantidade],estoque[produto],preçodiario[[#Headers],[OVO VERMELHO C]],estoque[fornecedor],"&lt;&gt;saída",estoque[data],preçodiario[[#This Row],[data]])))))</f>
        <v/>
      </c>
      <c r="AP321" s="22">
        <f>IF(preçodiario[[#This Row],[entrada CV]]=0,AP320-(SUMIFS(estoque[quantidade],estoque[fornecedor],"saída",estoque[produto],preçodiario[[#Headers],[OVO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Row],[data]]))+AP320+preçodiario[[#This Row],[entrada CV]])</f>
        <v>0</v>
      </c>
      <c r="AQ321" s="22">
        <f>SUMIFS(estoque[quantidade],estoque[fornecedor],"&lt;&gt;saída",estoque[produto],preçodiario[[#Headers],[OVO VERMELHO C]],estoque[data],preçodiario[[#This Row],[data]])</f>
        <v>0</v>
      </c>
      <c r="AR321" s="20">
        <f>SUMIFS(estoque[valor total],estoque[fornecedor],"&lt;&gt;saída",estoque[produto],preçodiario[[#Headers],[OVO VERMELHO C]],estoque[data],preçodiario[[#This Row],[data]])</f>
        <v>0</v>
      </c>
      <c r="AS321" s="20">
        <f>IFERROR(preçodiario[[#This Row],[OVO VERMELHO C]]*preçodiario[[#This Row],[estoque CV]],0)</f>
        <v>0</v>
      </c>
      <c r="AT32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Row],[data]])),((AT320*AU320)+SUMIFS(estoque[valor total],estoque[produto],preçodiario[[#Headers],[OVO VERMELHO EXTRA]],estoque[data],preçodiario[[#This Row],[data]],estoque[fornecedor],"&lt;&gt;saída"))/(AU320+(SUMIFS(estoque[quantidade],estoque[produto],preçodiario[[#Headers],[OVO VERMELHO EXTRA]],estoque[fornecedor],"&lt;&gt;saída",estoque[data],preçodiario[[#This Row],[data]])))))</f>
        <v/>
      </c>
      <c r="AU321" s="22">
        <f>IF(preçodiario[[#This Row],[entrada EV]]=0,AU320-(SUMIFS(estoque[quantidade],estoque[fornecedor],"saída",estoque[produto],preçodiario[[#Headers],[OVO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Row],[data]]))+AU320+preçodiario[[#This Row],[entrada EV]])</f>
        <v>0</v>
      </c>
      <c r="AV321" s="22">
        <f>SUMIFS(estoque[quantidade],estoque[fornecedor],"&lt;&gt;saída",estoque[produto],preçodiario[[#Headers],[OVO VERMELHO EXTRA]],estoque[data],preçodiario[[#This Row],[data]])</f>
        <v>0</v>
      </c>
      <c r="AW321" s="20">
        <f>SUMIFS(estoque[valor total],estoque[fornecedor],"&lt;&gt;saída",estoque[produto],preçodiario[[#Headers],[OVO VERMELHO EXTRA]],estoque[data],preçodiario[[#This Row],[data]])</f>
        <v>0</v>
      </c>
      <c r="AX321" s="20">
        <f>IFERROR(preçodiario[[#This Row],[OVO VERMELHO EXTRA]]*preçodiario[[#This Row],[estoque EV]],0)</f>
        <v>0</v>
      </c>
      <c r="AY32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Row],[data]])),((AY320*AZ320)+SUMIFS(estoque[valor total],estoque[produto],preçodiario[[#Headers],[OVO VERMELHO JUMBO]],estoque[data],preçodiario[[#This Row],[data]],estoque[fornecedor],"&lt;&gt;saída"))/(AZ320+(SUMIFS(estoque[quantidade],estoque[produto],preçodiario[[#Headers],[OVO VERMELHO JUMBO]],estoque[fornecedor],"&lt;&gt;saída",estoque[data],preçodiario[[#This Row],[data]])))))</f>
        <v/>
      </c>
      <c r="AZ321" s="22">
        <f>IF(preçodiario[[#This Row],[entrada JV]]=0,AZ320-(SUMIFS(estoque[quantidade],estoque[fornecedor],"saída",estoque[produto],preçodiario[[#Headers],[OVO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Row],[data]]))+AZ320+preçodiario[[#This Row],[entrada JV]])</f>
        <v>0</v>
      </c>
      <c r="BA321" s="22">
        <f>SUMIFS(estoque[quantidade],estoque[fornecedor],"&lt;&gt;saída",estoque[produto],preçodiario[[#Headers],[OVO VERMELHO JUMBO]],estoque[data],preçodiario[[#This Row],[data]])</f>
        <v>0</v>
      </c>
      <c r="BB321" s="20">
        <f>SUMIFS(estoque[valor total],estoque[fornecedor],"&lt;&gt;saída",estoque[produto],preçodiario[[#Headers],[OVO VERMELHO JUMBO]],estoque[data],preçodiario[[#This Row],[data]])</f>
        <v>0</v>
      </c>
      <c r="BC321" s="20">
        <f>IFERROR(preçodiario[[#This Row],[OVO VERMELHO JUMBO]]*preçodiario[[#This Row],[estoque JV]],0)</f>
        <v>0</v>
      </c>
      <c r="BD321" t="str">
        <f>TEXT(vendaAno[[#This Row],[data]],"mmm")</f>
        <v>nov</v>
      </c>
      <c r="BE321" t="str">
        <f>TEXT(vendaAno[[#This Row],[data]],"ddd")</f>
        <v>seg</v>
      </c>
      <c r="BF321" s="82">
        <f>WEEKNUM(vendaAno[[#This Row],[data]],13)</f>
        <v>46</v>
      </c>
      <c r="BG321" s="27">
        <f>preçodiario[[#This Row],[data]]</f>
        <v>46342</v>
      </c>
      <c r="BH32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Row],[data]]))/12+BJ320,"")</f>
        <v/>
      </c>
      <c r="BK321" s="79" t="str">
        <f ca="1">IF(TODAY()&gt;=vendaAno[[#This Row],[data]],IF(SUMIFS(estoque[quantidade],estoque[fornecedor],"saída",estoque[data],vendaAno[[#This Row],[data]])/12=0,AVERAGE(BK318:BK320),SUMIFS(estoque[quantidade],estoque[fornecedor],"saída",estoque[data],vendaAno[[#This Row],[data]])/12),"")</f>
        <v/>
      </c>
      <c r="BL321" s="8" t="str">
        <f ca="1">IF(vendaAno[[#This Row],[data]]&lt;=TODAY(),IF(SUMIFS(estoque[lucro],estoque[fornecedor],"saída",estoque[data],vendaAno[[#This Row],[data]])=0,AVERAGE(BL318:BL320),SUMIFS(estoque[lucro],estoque[fornecedor],"saída",estoque[data],vendaAno[[#This Row],[data]])),"")</f>
        <v/>
      </c>
      <c r="BM321" s="10" t="str">
        <f ca="1">IFERROR(vendaAno[[#This Row],[lucro]]/vendaAno[[#This Row],[valor de venda]],"")</f>
        <v/>
      </c>
      <c r="BN32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1" s="8" t="str">
        <f ca="1">IF(TODAY()&gt;=vendaAno[[#This Row],[data]],IF(vendaAno[[#This Row],[N°]]=BF320,vendaAno[[#This Row],[lucro]]-173.33+BO320,vendaAno[[#This Row],[lucro]]-150),"")</f>
        <v/>
      </c>
      <c r="BP321" s="81" t="str">
        <f ca="1">IF(TODAY()&gt;=vendaAno[[#This Row],[data]],SUM(BK315:BK321)*12,"")</f>
        <v/>
      </c>
      <c r="BQ321" s="7" t="str">
        <f ca="1">IFERROR(vendaAno[[#This Row],[lucro]]/(vendaAno[[#This Row],[venda]]*12),"")</f>
        <v/>
      </c>
    </row>
    <row r="322" spans="1:69" x14ac:dyDescent="0.25">
      <c r="A32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2" s="18" t="str">
        <f>TEXT(preçodiario[[#This Row],[data]],"MMM")</f>
        <v>nov</v>
      </c>
      <c r="C322" s="18" t="str">
        <f>TEXT(preçodiario[[#This Row],[data]],"ddd")</f>
        <v>ter</v>
      </c>
      <c r="D322" s="96">
        <f>WEEKNUM(preçodiario[[#This Row],[data]],13)</f>
        <v>46</v>
      </c>
      <c r="E322" s="37">
        <v>46343</v>
      </c>
      <c r="F32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Row],[data]])),((F321*G321)+SUMIFS(estoque[valor total],estoque[produto],preçodiario[[#Headers],[OVO BRANCO A]],estoque[data],preçodiario[[#This Row],[data]],estoque[fornecedor],"&lt;&gt;saída"))/(G321+(SUMIFS(estoque[quantidade],estoque[produto],preçodiario[[#Headers],[OVO BRANCO A]],estoque[fornecedor],"&lt;&gt;saída",estoque[data],preçodiario[[#This Row],[data]])))))</f>
        <v>15.278182701652089</v>
      </c>
      <c r="G322" s="22">
        <f>IF(preçodiario[[#This Row],[entrada A]]=0,G321-(SUMIFS(estoque[quantidade],estoque[fornecedor],"saída",estoque[produto],preçodiario[[#Headers],[OVO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Row],[data]]))+G321+preçodiario[[#This Row],[entrada A]])</f>
        <v>133</v>
      </c>
      <c r="H322" s="22">
        <f>SUMIFS(estoque[quantidade],estoque[fornecedor],"&lt;&gt;saída",estoque[produto],preçodiario[[#Headers],[OVO BRANCO A]],estoque[data],preçodiario[[#This Row],[data]])</f>
        <v>0</v>
      </c>
      <c r="I322" s="20">
        <f>SUMIFS(estoque[valor total],estoque[fornecedor],"&lt;&gt;saída",estoque[produto],preçodiario[[#Headers],[OVO BRANCO A]],estoque[data],preçodiario[[#This Row],[data]])</f>
        <v>0</v>
      </c>
      <c r="J322" s="20">
        <f>IFERROR(preçodiario[[#This Row],[estoque A]]*preçodiario[[#This Row],[OVO BRANCO A]],0)</f>
        <v>2031.9982993197277</v>
      </c>
      <c r="K32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Row],[data]])),((K321*L321)+SUMIFS(estoque[valor total],estoque[produto],preçodiario[[#Headers],[OVO BRANCO B]],estoque[data],preçodiario[[#This Row],[data]],estoque[fornecedor],"&lt;&gt;saída"))/(L321+(SUMIFS(estoque[quantidade],estoque[produto],preçodiario[[#Headers],[OVO BRANCO B]],estoque[fornecedor],"&lt;&gt;saída",estoque[data],preçodiario[[#This Row],[data]])))))</f>
        <v>14.584252837326604</v>
      </c>
      <c r="L322" s="22">
        <f>IF(preçodiario[[#This Row],[entrada B]]=0,L321-(SUMIFS(estoque[quantidade],estoque[fornecedor],"saída",estoque[produto],preçodiario[[#Headers],[OVO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Row],[data]]))+L321+preçodiario[[#This Row],[entrada B]])</f>
        <v>16</v>
      </c>
      <c r="M322" s="22">
        <f>SUMIFS(estoque[quantidade],estoque[fornecedor],"&lt;&gt;saída",estoque[produto],preçodiario[[#Headers],[OVO BRANCO B]],estoque[data],preçodiario[[#This Row],[data]])</f>
        <v>0</v>
      </c>
      <c r="N322" s="20">
        <f>SUMIFS(estoque[valor total],estoque[fornecedor],"&lt;&gt;saída",estoque[produto],preçodiario[[#Headers],[OVO BRANCO B]],estoque[data],preçodiario[[#This Row],[data]])</f>
        <v>0</v>
      </c>
      <c r="O322" s="20">
        <f>IFERROR(preçodiario[[#This Row],[OVO BRANCO B]]*preçodiario[[#This Row],[estoque B]],0)</f>
        <v>233.34804539722566</v>
      </c>
      <c r="P32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Row],[data]])),((P321*Q321)+SUMIFS(estoque[valor total],estoque[produto],preçodiario[[#Headers],[OVO BRANCO C]],estoque[data],preçodiario[[#This Row],[data]],estoque[fornecedor],"&lt;&gt;saída"))/(Q321+(SUMIFS(estoque[quantidade],estoque[produto],preçodiario[[#Headers],[OVO BRANCO C]],estoque[fornecedor],"&lt;&gt;saída",estoque[data],preçodiario[[#This Row],[data]])))))</f>
        <v>12.5</v>
      </c>
      <c r="Q322" s="22">
        <f>IF(preçodiario[[#This Row],[entrada C]]=0,Q321-(SUMIFS(estoque[quantidade],estoque[fornecedor],"saída",estoque[produto],preçodiario[[#Headers],[OVO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Row],[data]]))+Q321+preçodiario[[#This Row],[entrada C]])</f>
        <v>60</v>
      </c>
      <c r="R322" s="22">
        <f>SUMIFS(estoque[quantidade],estoque[fornecedor],"&lt;&gt;saída",estoque[produto],preçodiario[[#Headers],[OVO BRANCO C]],estoque[data],preçodiario[[#This Row],[data]])</f>
        <v>0</v>
      </c>
      <c r="S322" s="20">
        <f>SUMIFS(estoque[valor total],estoque[fornecedor],"&lt;&gt;saída",estoque[produto],preçodiario[[#Headers],[OVO BRANCO C]],estoque[data],preçodiario[[#This Row],[data]])</f>
        <v>0</v>
      </c>
      <c r="T322" s="20">
        <f>IFERROR(preçodiario[[#This Row],[OVO BRANCO C]]*preçodiario[[#This Row],[estoque C]],0)</f>
        <v>750</v>
      </c>
      <c r="U32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Row],[data]])),((U321*V321)+SUMIFS(estoque[valor total],estoque[produto],preçodiario[[#Headers],[OVO BRANCO EXTRA]],estoque[data],preçodiario[[#This Row],[data]],estoque[fornecedor],"&lt;&gt;saída"))/(V321+(SUMIFS(estoque[quantidade],estoque[produto],preçodiario[[#Headers],[OVO BRANCO EXTRA]],estoque[fornecedor],"&lt;&gt;saída",estoque[data],preçodiario[[#This Row],[data]])))))</f>
        <v>15.725438400674655</v>
      </c>
      <c r="V322" s="22">
        <f>IF(preçodiario[[#This Row],[entrada E]]=0,V321-(SUMIFS(estoque[quantidade],estoque[fornecedor],"saída",estoque[produto],preçodiario[[#Headers],[OVO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Row],[data]]))+V321+preçodiario[[#This Row],[entrada E]])</f>
        <v>46</v>
      </c>
      <c r="W322" s="22">
        <f>SUMIFS(estoque[quantidade],estoque[fornecedor],"&lt;&gt;saída",estoque[produto],preçodiario[[#Headers],[OVO BRANCO EXTRA]],estoque[data],preçodiario[[#This Row],[data]])</f>
        <v>0</v>
      </c>
      <c r="X322" s="20">
        <f>SUMIFS(estoque[valor total],estoque[fornecedor],"&lt;&gt;saída",estoque[produto],preçodiario[[#Headers],[OVO BRANCO EXTRA]],estoque[data],preçodiario[[#This Row],[data]])</f>
        <v>0</v>
      </c>
      <c r="Y322" s="20">
        <f>IFERROR(preçodiario[[#This Row],[estoque E]]*preçodiario[[#This Row],[OVO BRANCO EXTRA]],0)</f>
        <v>723.37016643103414</v>
      </c>
      <c r="Z32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Row],[data]])),((Z321*AA321)+SUMIFS(estoque[valor total],estoque[produto],preçodiario[[#Headers],[OVO BRANCO JUMBO]],estoque[data],preçodiario[[#This Row],[data]],estoque[fornecedor],"&lt;&gt;saída"))/(AA321+(SUMIFS(estoque[quantidade],estoque[produto],preçodiario[[#Headers],[OVO BRANCO JUMBO]],estoque[fornecedor],"&lt;&gt;saída",estoque[data],preçodiario[[#This Row],[data]])))))</f>
        <v>16.50550595238095</v>
      </c>
      <c r="AA322" s="22">
        <f>IF(preçodiario[[#This Row],[entrada J]]=0,AA321-(SUMIFS(estoque[quantidade],estoque[fornecedor],"saída",estoque[produto],preçodiario[[#Headers],[OVO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Row],[data]]))+AA321+preçodiario[[#This Row],[entrada J]])</f>
        <v>75</v>
      </c>
      <c r="AB322" s="22">
        <f>SUMIFS(estoque[quantidade],estoque[fornecedor],"&lt;&gt;saída",estoque[produto],preçodiario[[#Headers],[OVO BRANCO JUMBO]],estoque[data],preçodiario[[#This Row],[data]])</f>
        <v>0</v>
      </c>
      <c r="AC322" s="20">
        <f>SUMIFS(estoque[valor total],estoque[fornecedor],"&lt;&gt;saída",estoque[produto],preçodiario[[#Headers],[OVO BRANCO JUMBO]],estoque[data],preçodiario[[#This Row],[data]])</f>
        <v>0</v>
      </c>
      <c r="AD322" s="20">
        <f>IFERROR(preçodiario[[#This Row],[OVO BRANCO JUMBO]]*preçodiario[[#This Row],[estoque J]],0)</f>
        <v>1237.9129464285713</v>
      </c>
      <c r="AE32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Row],[data]])),((AE321*AF321)+SUMIFS(estoque[valor total],estoque[produto],preçodiario[[#Headers],[OVO VERMELHO A]],estoque[data],preçodiario[[#This Row],[data]],estoque[fornecedor],"&lt;&gt;saída"))/(AF321+(SUMIFS(estoque[quantidade],estoque[produto],preçodiario[[#Headers],[OVO VERMELHO A]],estoque[fornecedor],"&lt;&gt;saída",estoque[data],preçodiario[[#This Row],[data]])))))</f>
        <v/>
      </c>
      <c r="AF322" s="22">
        <f>IF(preçodiario[[#This Row],[entrada AV]]=0,AF321-(SUMIFS(estoque[quantidade],estoque[fornecedor],"saída",estoque[produto],preçodiario[[#Headers],[OVO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Row],[data]]))+AF321+preçodiario[[#This Row],[entrada AV]])</f>
        <v>0</v>
      </c>
      <c r="AG322" s="22">
        <f>SUMIFS(estoque[quantidade],estoque[fornecedor],"&lt;&gt;saída",estoque[produto],preçodiario[[#Headers],[OVO VERMELHO A]],estoque[data],preçodiario[[#This Row],[data]])</f>
        <v>0</v>
      </c>
      <c r="AH322" s="20">
        <f>SUMIFS(estoque[valor total],estoque[fornecedor],"&lt;&gt;saída",estoque[produto],preçodiario[[#Headers],[OVO VERMELHO A]],estoque[data],preçodiario[[#This Row],[data]])</f>
        <v>0</v>
      </c>
      <c r="AI322" s="20">
        <f>IFERROR(preçodiario[[#This Row],[OVO VERMELHO A]]*preçodiario[[#This Row],[estoque AV]],0)</f>
        <v>0</v>
      </c>
      <c r="AJ32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Row],[data]])),((AJ321*AK321)+SUMIFS(estoque[valor total],estoque[produto],preçodiario[[#Headers],[OVO VERMELHO B]],estoque[data],preçodiario[[#This Row],[data]],estoque[fornecedor],"&lt;&gt;saída"))/(AK321+(SUMIFS(estoque[quantidade],estoque[produto],preçodiario[[#Headers],[OVO VERMELHO B]],estoque[fornecedor],"&lt;&gt;saída",estoque[data],preçodiario[[#This Row],[data]])))))</f>
        <v/>
      </c>
      <c r="AK322" s="22">
        <f>IF(preçodiario[[#This Row],[entrada BV]]=0,AK321-(SUMIFS(estoque[quantidade],estoque[fornecedor],"saída",estoque[produto],preçodiario[[#Headers],[OVO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Row],[data]]))+AK321+preçodiario[[#This Row],[entrada BV]])</f>
        <v>0</v>
      </c>
      <c r="AL322" s="22">
        <f>SUMIFS(estoque[quantidade],estoque[fornecedor],"&lt;&gt;saída",estoque[produto],preçodiario[[#Headers],[OVO VERMELHO B]],estoque[data],preçodiario[[#This Row],[data]])</f>
        <v>0</v>
      </c>
      <c r="AM322" s="20">
        <f>SUMIFS(estoque[valor total],estoque[fornecedor],"&lt;&gt;saída",estoque[produto],preçodiario[[#Headers],[OVO VERMELHO B]],estoque[data],preçodiario[[#This Row],[data]])</f>
        <v>0</v>
      </c>
      <c r="AN322" s="20">
        <f>IFERROR(preçodiario[[#This Row],[OVO VERMELHO B]]*preçodiario[[#This Row],[estoque BV]],0)</f>
        <v>0</v>
      </c>
      <c r="AO32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Row],[data]])),((AO321*AP321)+SUMIFS(estoque[valor total],estoque[produto],preçodiario[[#Headers],[OVO VERMELHO C]],estoque[data],preçodiario[[#This Row],[data]],estoque[fornecedor],"&lt;&gt;saída"))/(AP321+(SUMIFS(estoque[quantidade],estoque[produto],preçodiario[[#Headers],[OVO VERMELHO C]],estoque[fornecedor],"&lt;&gt;saída",estoque[data],preçodiario[[#This Row],[data]])))))</f>
        <v/>
      </c>
      <c r="AP322" s="22">
        <f>IF(preçodiario[[#This Row],[entrada CV]]=0,AP321-(SUMIFS(estoque[quantidade],estoque[fornecedor],"saída",estoque[produto],preçodiario[[#Headers],[OVO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Row],[data]]))+AP321+preçodiario[[#This Row],[entrada CV]])</f>
        <v>0</v>
      </c>
      <c r="AQ322" s="22">
        <f>SUMIFS(estoque[quantidade],estoque[fornecedor],"&lt;&gt;saída",estoque[produto],preçodiario[[#Headers],[OVO VERMELHO C]],estoque[data],preçodiario[[#This Row],[data]])</f>
        <v>0</v>
      </c>
      <c r="AR322" s="20">
        <f>SUMIFS(estoque[valor total],estoque[fornecedor],"&lt;&gt;saída",estoque[produto],preçodiario[[#Headers],[OVO VERMELHO C]],estoque[data],preçodiario[[#This Row],[data]])</f>
        <v>0</v>
      </c>
      <c r="AS322" s="20">
        <f>IFERROR(preçodiario[[#This Row],[OVO VERMELHO C]]*preçodiario[[#This Row],[estoque CV]],0)</f>
        <v>0</v>
      </c>
      <c r="AT32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Row],[data]])),((AT321*AU321)+SUMIFS(estoque[valor total],estoque[produto],preçodiario[[#Headers],[OVO VERMELHO EXTRA]],estoque[data],preçodiario[[#This Row],[data]],estoque[fornecedor],"&lt;&gt;saída"))/(AU321+(SUMIFS(estoque[quantidade],estoque[produto],preçodiario[[#Headers],[OVO VERMELHO EXTRA]],estoque[fornecedor],"&lt;&gt;saída",estoque[data],preçodiario[[#This Row],[data]])))))</f>
        <v/>
      </c>
      <c r="AU322" s="22">
        <f>IF(preçodiario[[#This Row],[entrada EV]]=0,AU321-(SUMIFS(estoque[quantidade],estoque[fornecedor],"saída",estoque[produto],preçodiario[[#Headers],[OVO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Row],[data]]))+AU321+preçodiario[[#This Row],[entrada EV]])</f>
        <v>0</v>
      </c>
      <c r="AV322" s="22">
        <f>SUMIFS(estoque[quantidade],estoque[fornecedor],"&lt;&gt;saída",estoque[produto],preçodiario[[#Headers],[OVO VERMELHO EXTRA]],estoque[data],preçodiario[[#This Row],[data]])</f>
        <v>0</v>
      </c>
      <c r="AW322" s="20">
        <f>SUMIFS(estoque[valor total],estoque[fornecedor],"&lt;&gt;saída",estoque[produto],preçodiario[[#Headers],[OVO VERMELHO EXTRA]],estoque[data],preçodiario[[#This Row],[data]])</f>
        <v>0</v>
      </c>
      <c r="AX322" s="20">
        <f>IFERROR(preçodiario[[#This Row],[OVO VERMELHO EXTRA]]*preçodiario[[#This Row],[estoque EV]],0)</f>
        <v>0</v>
      </c>
      <c r="AY32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Row],[data]])),((AY321*AZ321)+SUMIFS(estoque[valor total],estoque[produto],preçodiario[[#Headers],[OVO VERMELHO JUMBO]],estoque[data],preçodiario[[#This Row],[data]],estoque[fornecedor],"&lt;&gt;saída"))/(AZ321+(SUMIFS(estoque[quantidade],estoque[produto],preçodiario[[#Headers],[OVO VERMELHO JUMBO]],estoque[fornecedor],"&lt;&gt;saída",estoque[data],preçodiario[[#This Row],[data]])))))</f>
        <v/>
      </c>
      <c r="AZ322" s="22">
        <f>IF(preçodiario[[#This Row],[entrada JV]]=0,AZ321-(SUMIFS(estoque[quantidade],estoque[fornecedor],"saída",estoque[produto],preçodiario[[#Headers],[OVO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Row],[data]]))+AZ321+preçodiario[[#This Row],[entrada JV]])</f>
        <v>0</v>
      </c>
      <c r="BA322" s="22">
        <f>SUMIFS(estoque[quantidade],estoque[fornecedor],"&lt;&gt;saída",estoque[produto],preçodiario[[#Headers],[OVO VERMELHO JUMBO]],estoque[data],preçodiario[[#This Row],[data]])</f>
        <v>0</v>
      </c>
      <c r="BB322" s="20">
        <f>SUMIFS(estoque[valor total],estoque[fornecedor],"&lt;&gt;saída",estoque[produto],preçodiario[[#Headers],[OVO VERMELHO JUMBO]],estoque[data],preçodiario[[#This Row],[data]])</f>
        <v>0</v>
      </c>
      <c r="BC322" s="20">
        <f>IFERROR(preçodiario[[#This Row],[OVO VERMELHO JUMBO]]*preçodiario[[#This Row],[estoque JV]],0)</f>
        <v>0</v>
      </c>
      <c r="BD322" t="str">
        <f>TEXT(vendaAno[[#This Row],[data]],"mmm")</f>
        <v>nov</v>
      </c>
      <c r="BE322" t="str">
        <f>TEXT(vendaAno[[#This Row],[data]],"ddd")</f>
        <v>ter</v>
      </c>
      <c r="BF322" s="82">
        <f>WEEKNUM(vendaAno[[#This Row],[data]],13)</f>
        <v>46</v>
      </c>
      <c r="BG322" s="27">
        <f>preçodiario[[#This Row],[data]]</f>
        <v>46343</v>
      </c>
      <c r="BH32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Row],[data]]))/12+BJ321,"")</f>
        <v/>
      </c>
      <c r="BK322" s="79" t="str">
        <f ca="1">IF(TODAY()&gt;=vendaAno[[#This Row],[data]],IF(SUMIFS(estoque[quantidade],estoque[fornecedor],"saída",estoque[data],vendaAno[[#This Row],[data]])/12=0,AVERAGE(BK319:BK321),SUMIFS(estoque[quantidade],estoque[fornecedor],"saída",estoque[data],vendaAno[[#This Row],[data]])/12),"")</f>
        <v/>
      </c>
      <c r="BL322" s="8" t="str">
        <f ca="1">IF(vendaAno[[#This Row],[data]]&lt;=TODAY(),IF(SUMIFS(estoque[lucro],estoque[fornecedor],"saída",estoque[data],vendaAno[[#This Row],[data]])=0,AVERAGE(BL319:BL321),SUMIFS(estoque[lucro],estoque[fornecedor],"saída",estoque[data],vendaAno[[#This Row],[data]])),"")</f>
        <v/>
      </c>
      <c r="BM322" s="10" t="str">
        <f ca="1">IFERROR(vendaAno[[#This Row],[lucro]]/vendaAno[[#This Row],[valor de venda]],"")</f>
        <v/>
      </c>
      <c r="BN32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2" s="8" t="str">
        <f ca="1">IF(TODAY()&gt;=vendaAno[[#This Row],[data]],IF(vendaAno[[#This Row],[N°]]=BF321,vendaAno[[#This Row],[lucro]]-173.33+BO321,vendaAno[[#This Row],[lucro]]-150),"")</f>
        <v/>
      </c>
      <c r="BP322" s="81" t="str">
        <f ca="1">IF(TODAY()&gt;=vendaAno[[#This Row],[data]],SUM(BK316:BK322)*12,"")</f>
        <v/>
      </c>
      <c r="BQ322" s="7" t="str">
        <f ca="1">IFERROR(vendaAno[[#This Row],[lucro]]/(vendaAno[[#This Row],[venda]]*12),"")</f>
        <v/>
      </c>
    </row>
    <row r="323" spans="1:69" x14ac:dyDescent="0.25">
      <c r="A32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3" s="18" t="str">
        <f>TEXT(preçodiario[[#This Row],[data]],"MMM")</f>
        <v>nov</v>
      </c>
      <c r="C323" s="18" t="str">
        <f>TEXT(preçodiario[[#This Row],[data]],"ddd")</f>
        <v>qua</v>
      </c>
      <c r="D323" s="96">
        <f>WEEKNUM(preçodiario[[#This Row],[data]],13)</f>
        <v>47</v>
      </c>
      <c r="E323" s="37">
        <v>46344</v>
      </c>
      <c r="F32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Row],[data]])),((F322*G322)+SUMIFS(estoque[valor total],estoque[produto],preçodiario[[#Headers],[OVO BRANCO A]],estoque[data],preçodiario[[#This Row],[data]],estoque[fornecedor],"&lt;&gt;saída"))/(G322+(SUMIFS(estoque[quantidade],estoque[produto],preçodiario[[#Headers],[OVO BRANCO A]],estoque[fornecedor],"&lt;&gt;saída",estoque[data],preçodiario[[#This Row],[data]])))))</f>
        <v>15.278182701652089</v>
      </c>
      <c r="G323" s="22">
        <f>IF(preçodiario[[#This Row],[entrada A]]=0,G322-(SUMIFS(estoque[quantidade],estoque[fornecedor],"saída",estoque[produto],preçodiario[[#Headers],[OVO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Row],[data]]))+G322+preçodiario[[#This Row],[entrada A]])</f>
        <v>133</v>
      </c>
      <c r="H323" s="22">
        <f>SUMIFS(estoque[quantidade],estoque[fornecedor],"&lt;&gt;saída",estoque[produto],preçodiario[[#Headers],[OVO BRANCO A]],estoque[data],preçodiario[[#This Row],[data]])</f>
        <v>0</v>
      </c>
      <c r="I323" s="20">
        <f>SUMIFS(estoque[valor total],estoque[fornecedor],"&lt;&gt;saída",estoque[produto],preçodiario[[#Headers],[OVO BRANCO A]],estoque[data],preçodiario[[#This Row],[data]])</f>
        <v>0</v>
      </c>
      <c r="J323" s="20">
        <f>IFERROR(preçodiario[[#This Row],[estoque A]]*preçodiario[[#This Row],[OVO BRANCO A]],0)</f>
        <v>2031.9982993197277</v>
      </c>
      <c r="K32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Row],[data]])),((K322*L322)+SUMIFS(estoque[valor total],estoque[produto],preçodiario[[#Headers],[OVO BRANCO B]],estoque[data],preçodiario[[#This Row],[data]],estoque[fornecedor],"&lt;&gt;saída"))/(L322+(SUMIFS(estoque[quantidade],estoque[produto],preçodiario[[#Headers],[OVO BRANCO B]],estoque[fornecedor],"&lt;&gt;saída",estoque[data],preçodiario[[#This Row],[data]])))))</f>
        <v>14.584252837326604</v>
      </c>
      <c r="L323" s="22">
        <f>IF(preçodiario[[#This Row],[entrada B]]=0,L322-(SUMIFS(estoque[quantidade],estoque[fornecedor],"saída",estoque[produto],preçodiario[[#Headers],[OVO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Row],[data]]))+L322+preçodiario[[#This Row],[entrada B]])</f>
        <v>16</v>
      </c>
      <c r="M323" s="22">
        <f>SUMIFS(estoque[quantidade],estoque[fornecedor],"&lt;&gt;saída",estoque[produto],preçodiario[[#Headers],[OVO BRANCO B]],estoque[data],preçodiario[[#This Row],[data]])</f>
        <v>0</v>
      </c>
      <c r="N323" s="20">
        <f>SUMIFS(estoque[valor total],estoque[fornecedor],"&lt;&gt;saída",estoque[produto],preçodiario[[#Headers],[OVO BRANCO B]],estoque[data],preçodiario[[#This Row],[data]])</f>
        <v>0</v>
      </c>
      <c r="O323" s="20">
        <f>IFERROR(preçodiario[[#This Row],[OVO BRANCO B]]*preçodiario[[#This Row],[estoque B]],0)</f>
        <v>233.34804539722566</v>
      </c>
      <c r="P32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Row],[data]])),((P322*Q322)+SUMIFS(estoque[valor total],estoque[produto],preçodiario[[#Headers],[OVO BRANCO C]],estoque[data],preçodiario[[#This Row],[data]],estoque[fornecedor],"&lt;&gt;saída"))/(Q322+(SUMIFS(estoque[quantidade],estoque[produto],preçodiario[[#Headers],[OVO BRANCO C]],estoque[fornecedor],"&lt;&gt;saída",estoque[data],preçodiario[[#This Row],[data]])))))</f>
        <v>12.5</v>
      </c>
      <c r="Q323" s="22">
        <f>IF(preçodiario[[#This Row],[entrada C]]=0,Q322-(SUMIFS(estoque[quantidade],estoque[fornecedor],"saída",estoque[produto],preçodiario[[#Headers],[OVO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Row],[data]]))+Q322+preçodiario[[#This Row],[entrada C]])</f>
        <v>60</v>
      </c>
      <c r="R323" s="22">
        <f>SUMIFS(estoque[quantidade],estoque[fornecedor],"&lt;&gt;saída",estoque[produto],preçodiario[[#Headers],[OVO BRANCO C]],estoque[data],preçodiario[[#This Row],[data]])</f>
        <v>0</v>
      </c>
      <c r="S323" s="20">
        <f>SUMIFS(estoque[valor total],estoque[fornecedor],"&lt;&gt;saída",estoque[produto],preçodiario[[#Headers],[OVO BRANCO C]],estoque[data],preçodiario[[#This Row],[data]])</f>
        <v>0</v>
      </c>
      <c r="T323" s="20">
        <f>IFERROR(preçodiario[[#This Row],[OVO BRANCO C]]*preçodiario[[#This Row],[estoque C]],0)</f>
        <v>750</v>
      </c>
      <c r="U32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Row],[data]])),((U322*V322)+SUMIFS(estoque[valor total],estoque[produto],preçodiario[[#Headers],[OVO BRANCO EXTRA]],estoque[data],preçodiario[[#This Row],[data]],estoque[fornecedor],"&lt;&gt;saída"))/(V322+(SUMIFS(estoque[quantidade],estoque[produto],preçodiario[[#Headers],[OVO BRANCO EXTRA]],estoque[fornecedor],"&lt;&gt;saída",estoque[data],preçodiario[[#This Row],[data]])))))</f>
        <v>15.725438400674655</v>
      </c>
      <c r="V323" s="22">
        <f>IF(preçodiario[[#This Row],[entrada E]]=0,V322-(SUMIFS(estoque[quantidade],estoque[fornecedor],"saída",estoque[produto],preçodiario[[#Headers],[OVO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Row],[data]]))+V322+preçodiario[[#This Row],[entrada E]])</f>
        <v>46</v>
      </c>
      <c r="W323" s="22">
        <f>SUMIFS(estoque[quantidade],estoque[fornecedor],"&lt;&gt;saída",estoque[produto],preçodiario[[#Headers],[OVO BRANCO EXTRA]],estoque[data],preçodiario[[#This Row],[data]])</f>
        <v>0</v>
      </c>
      <c r="X323" s="20">
        <f>SUMIFS(estoque[valor total],estoque[fornecedor],"&lt;&gt;saída",estoque[produto],preçodiario[[#Headers],[OVO BRANCO EXTRA]],estoque[data],preçodiario[[#This Row],[data]])</f>
        <v>0</v>
      </c>
      <c r="Y323" s="20">
        <f>IFERROR(preçodiario[[#This Row],[estoque E]]*preçodiario[[#This Row],[OVO BRANCO EXTRA]],0)</f>
        <v>723.37016643103414</v>
      </c>
      <c r="Z32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Row],[data]])),((Z322*AA322)+SUMIFS(estoque[valor total],estoque[produto],preçodiario[[#Headers],[OVO BRANCO JUMBO]],estoque[data],preçodiario[[#This Row],[data]],estoque[fornecedor],"&lt;&gt;saída"))/(AA322+(SUMIFS(estoque[quantidade],estoque[produto],preçodiario[[#Headers],[OVO BRANCO JUMBO]],estoque[fornecedor],"&lt;&gt;saída",estoque[data],preçodiario[[#This Row],[data]])))))</f>
        <v>16.50550595238095</v>
      </c>
      <c r="AA323" s="22">
        <f>IF(preçodiario[[#This Row],[entrada J]]=0,AA322-(SUMIFS(estoque[quantidade],estoque[fornecedor],"saída",estoque[produto],preçodiario[[#Headers],[OVO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Row],[data]]))+AA322+preçodiario[[#This Row],[entrada J]])</f>
        <v>75</v>
      </c>
      <c r="AB323" s="22">
        <f>SUMIFS(estoque[quantidade],estoque[fornecedor],"&lt;&gt;saída",estoque[produto],preçodiario[[#Headers],[OVO BRANCO JUMBO]],estoque[data],preçodiario[[#This Row],[data]])</f>
        <v>0</v>
      </c>
      <c r="AC323" s="20">
        <f>SUMIFS(estoque[valor total],estoque[fornecedor],"&lt;&gt;saída",estoque[produto],preçodiario[[#Headers],[OVO BRANCO JUMBO]],estoque[data],preçodiario[[#This Row],[data]])</f>
        <v>0</v>
      </c>
      <c r="AD323" s="20">
        <f>IFERROR(preçodiario[[#This Row],[OVO BRANCO JUMBO]]*preçodiario[[#This Row],[estoque J]],0)</f>
        <v>1237.9129464285713</v>
      </c>
      <c r="AE32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Row],[data]])),((AE322*AF322)+SUMIFS(estoque[valor total],estoque[produto],preçodiario[[#Headers],[OVO VERMELHO A]],estoque[data],preçodiario[[#This Row],[data]],estoque[fornecedor],"&lt;&gt;saída"))/(AF322+(SUMIFS(estoque[quantidade],estoque[produto],preçodiario[[#Headers],[OVO VERMELHO A]],estoque[fornecedor],"&lt;&gt;saída",estoque[data],preçodiario[[#This Row],[data]])))))</f>
        <v/>
      </c>
      <c r="AF323" s="22">
        <f>IF(preçodiario[[#This Row],[entrada AV]]=0,AF322-(SUMIFS(estoque[quantidade],estoque[fornecedor],"saída",estoque[produto],preçodiario[[#Headers],[OVO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Row],[data]]))+AF322+preçodiario[[#This Row],[entrada AV]])</f>
        <v>0</v>
      </c>
      <c r="AG323" s="22">
        <f>SUMIFS(estoque[quantidade],estoque[fornecedor],"&lt;&gt;saída",estoque[produto],preçodiario[[#Headers],[OVO VERMELHO A]],estoque[data],preçodiario[[#This Row],[data]])</f>
        <v>0</v>
      </c>
      <c r="AH323" s="20">
        <f>SUMIFS(estoque[valor total],estoque[fornecedor],"&lt;&gt;saída",estoque[produto],preçodiario[[#Headers],[OVO VERMELHO A]],estoque[data],preçodiario[[#This Row],[data]])</f>
        <v>0</v>
      </c>
      <c r="AI323" s="20">
        <f>IFERROR(preçodiario[[#This Row],[OVO VERMELHO A]]*preçodiario[[#This Row],[estoque AV]],0)</f>
        <v>0</v>
      </c>
      <c r="AJ32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Row],[data]])),((AJ322*AK322)+SUMIFS(estoque[valor total],estoque[produto],preçodiario[[#Headers],[OVO VERMELHO B]],estoque[data],preçodiario[[#This Row],[data]],estoque[fornecedor],"&lt;&gt;saída"))/(AK322+(SUMIFS(estoque[quantidade],estoque[produto],preçodiario[[#Headers],[OVO VERMELHO B]],estoque[fornecedor],"&lt;&gt;saída",estoque[data],preçodiario[[#This Row],[data]])))))</f>
        <v/>
      </c>
      <c r="AK323" s="22">
        <f>IF(preçodiario[[#This Row],[entrada BV]]=0,AK322-(SUMIFS(estoque[quantidade],estoque[fornecedor],"saída",estoque[produto],preçodiario[[#Headers],[OVO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Row],[data]]))+AK322+preçodiario[[#This Row],[entrada BV]])</f>
        <v>0</v>
      </c>
      <c r="AL323" s="22">
        <f>SUMIFS(estoque[quantidade],estoque[fornecedor],"&lt;&gt;saída",estoque[produto],preçodiario[[#Headers],[OVO VERMELHO B]],estoque[data],preçodiario[[#This Row],[data]])</f>
        <v>0</v>
      </c>
      <c r="AM323" s="20">
        <f>SUMIFS(estoque[valor total],estoque[fornecedor],"&lt;&gt;saída",estoque[produto],preçodiario[[#Headers],[OVO VERMELHO B]],estoque[data],preçodiario[[#This Row],[data]])</f>
        <v>0</v>
      </c>
      <c r="AN323" s="20">
        <f>IFERROR(preçodiario[[#This Row],[OVO VERMELHO B]]*preçodiario[[#This Row],[estoque BV]],0)</f>
        <v>0</v>
      </c>
      <c r="AO32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Row],[data]])),((AO322*AP322)+SUMIFS(estoque[valor total],estoque[produto],preçodiario[[#Headers],[OVO VERMELHO C]],estoque[data],preçodiario[[#This Row],[data]],estoque[fornecedor],"&lt;&gt;saída"))/(AP322+(SUMIFS(estoque[quantidade],estoque[produto],preçodiario[[#Headers],[OVO VERMELHO C]],estoque[fornecedor],"&lt;&gt;saída",estoque[data],preçodiario[[#This Row],[data]])))))</f>
        <v/>
      </c>
      <c r="AP323" s="22">
        <f>IF(preçodiario[[#This Row],[entrada CV]]=0,AP322-(SUMIFS(estoque[quantidade],estoque[fornecedor],"saída",estoque[produto],preçodiario[[#Headers],[OVO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Row],[data]]))+AP322+preçodiario[[#This Row],[entrada CV]])</f>
        <v>0</v>
      </c>
      <c r="AQ323" s="22">
        <f>SUMIFS(estoque[quantidade],estoque[fornecedor],"&lt;&gt;saída",estoque[produto],preçodiario[[#Headers],[OVO VERMELHO C]],estoque[data],preçodiario[[#This Row],[data]])</f>
        <v>0</v>
      </c>
      <c r="AR323" s="20">
        <f>SUMIFS(estoque[valor total],estoque[fornecedor],"&lt;&gt;saída",estoque[produto],preçodiario[[#Headers],[OVO VERMELHO C]],estoque[data],preçodiario[[#This Row],[data]])</f>
        <v>0</v>
      </c>
      <c r="AS323" s="20">
        <f>IFERROR(preçodiario[[#This Row],[OVO VERMELHO C]]*preçodiario[[#This Row],[estoque CV]],0)</f>
        <v>0</v>
      </c>
      <c r="AT32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Row],[data]])),((AT322*AU322)+SUMIFS(estoque[valor total],estoque[produto],preçodiario[[#Headers],[OVO VERMELHO EXTRA]],estoque[data],preçodiario[[#This Row],[data]],estoque[fornecedor],"&lt;&gt;saída"))/(AU322+(SUMIFS(estoque[quantidade],estoque[produto],preçodiario[[#Headers],[OVO VERMELHO EXTRA]],estoque[fornecedor],"&lt;&gt;saída",estoque[data],preçodiario[[#This Row],[data]])))))</f>
        <v/>
      </c>
      <c r="AU323" s="22">
        <f>IF(preçodiario[[#This Row],[entrada EV]]=0,AU322-(SUMIFS(estoque[quantidade],estoque[fornecedor],"saída",estoque[produto],preçodiario[[#Headers],[OVO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Row],[data]]))+AU322+preçodiario[[#This Row],[entrada EV]])</f>
        <v>0</v>
      </c>
      <c r="AV323" s="22">
        <f>SUMIFS(estoque[quantidade],estoque[fornecedor],"&lt;&gt;saída",estoque[produto],preçodiario[[#Headers],[OVO VERMELHO EXTRA]],estoque[data],preçodiario[[#This Row],[data]])</f>
        <v>0</v>
      </c>
      <c r="AW323" s="20">
        <f>SUMIFS(estoque[valor total],estoque[fornecedor],"&lt;&gt;saída",estoque[produto],preçodiario[[#Headers],[OVO VERMELHO EXTRA]],estoque[data],preçodiario[[#This Row],[data]])</f>
        <v>0</v>
      </c>
      <c r="AX323" s="20">
        <f>IFERROR(preçodiario[[#This Row],[OVO VERMELHO EXTRA]]*preçodiario[[#This Row],[estoque EV]],0)</f>
        <v>0</v>
      </c>
      <c r="AY32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Row],[data]])),((AY322*AZ322)+SUMIFS(estoque[valor total],estoque[produto],preçodiario[[#Headers],[OVO VERMELHO JUMBO]],estoque[data],preçodiario[[#This Row],[data]],estoque[fornecedor],"&lt;&gt;saída"))/(AZ322+(SUMIFS(estoque[quantidade],estoque[produto],preçodiario[[#Headers],[OVO VERMELHO JUMBO]],estoque[fornecedor],"&lt;&gt;saída",estoque[data],preçodiario[[#This Row],[data]])))))</f>
        <v/>
      </c>
      <c r="AZ323" s="22">
        <f>IF(preçodiario[[#This Row],[entrada JV]]=0,AZ322-(SUMIFS(estoque[quantidade],estoque[fornecedor],"saída",estoque[produto],preçodiario[[#Headers],[OVO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Row],[data]]))+AZ322+preçodiario[[#This Row],[entrada JV]])</f>
        <v>0</v>
      </c>
      <c r="BA323" s="22">
        <f>SUMIFS(estoque[quantidade],estoque[fornecedor],"&lt;&gt;saída",estoque[produto],preçodiario[[#Headers],[OVO VERMELHO JUMBO]],estoque[data],preçodiario[[#This Row],[data]])</f>
        <v>0</v>
      </c>
      <c r="BB323" s="20">
        <f>SUMIFS(estoque[valor total],estoque[fornecedor],"&lt;&gt;saída",estoque[produto],preçodiario[[#Headers],[OVO VERMELHO JUMBO]],estoque[data],preçodiario[[#This Row],[data]])</f>
        <v>0</v>
      </c>
      <c r="BC323" s="20">
        <f>IFERROR(preçodiario[[#This Row],[OVO VERMELHO JUMBO]]*preçodiario[[#This Row],[estoque JV]],0)</f>
        <v>0</v>
      </c>
      <c r="BD323" t="str">
        <f>TEXT(vendaAno[[#This Row],[data]],"mmm")</f>
        <v>nov</v>
      </c>
      <c r="BE323" t="str">
        <f>TEXT(vendaAno[[#This Row],[data]],"ddd")</f>
        <v>qua</v>
      </c>
      <c r="BF323" s="82">
        <f>WEEKNUM(vendaAno[[#This Row],[data]],13)</f>
        <v>47</v>
      </c>
      <c r="BG323" s="27">
        <f>preçodiario[[#This Row],[data]]</f>
        <v>46344</v>
      </c>
      <c r="BH32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Row],[data]]))/12+BJ322,"")</f>
        <v/>
      </c>
      <c r="BK323" s="79" t="str">
        <f ca="1">IF(TODAY()&gt;=vendaAno[[#This Row],[data]],IF(SUMIFS(estoque[quantidade],estoque[fornecedor],"saída",estoque[data],vendaAno[[#This Row],[data]])/12=0,AVERAGE(BK320:BK322),SUMIFS(estoque[quantidade],estoque[fornecedor],"saída",estoque[data],vendaAno[[#This Row],[data]])/12),"")</f>
        <v/>
      </c>
      <c r="BL323" s="8" t="str">
        <f ca="1">IF(vendaAno[[#This Row],[data]]&lt;=TODAY(),IF(SUMIFS(estoque[lucro],estoque[fornecedor],"saída",estoque[data],vendaAno[[#This Row],[data]])=0,AVERAGE(BL320:BL322),SUMIFS(estoque[lucro],estoque[fornecedor],"saída",estoque[data],vendaAno[[#This Row],[data]])),"")</f>
        <v/>
      </c>
      <c r="BM323" s="10" t="str">
        <f ca="1">IFERROR(vendaAno[[#This Row],[lucro]]/vendaAno[[#This Row],[valor de venda]],"")</f>
        <v/>
      </c>
      <c r="BN32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3" s="8" t="str">
        <f ca="1">IF(TODAY()&gt;=vendaAno[[#This Row],[data]],IF(vendaAno[[#This Row],[N°]]=BF322,vendaAno[[#This Row],[lucro]]-173.33+BO322,vendaAno[[#This Row],[lucro]]-150),"")</f>
        <v/>
      </c>
      <c r="BP323" s="81" t="str">
        <f ca="1">IF(TODAY()&gt;=vendaAno[[#This Row],[data]],SUM(BK317:BK323)*12,"")</f>
        <v/>
      </c>
      <c r="BQ323" s="7" t="str">
        <f ca="1">IFERROR(vendaAno[[#This Row],[lucro]]/(vendaAno[[#This Row],[venda]]*12),"")</f>
        <v/>
      </c>
    </row>
    <row r="324" spans="1:69" x14ac:dyDescent="0.25">
      <c r="A32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4" s="18" t="str">
        <f>TEXT(preçodiario[[#This Row],[data]],"MMM")</f>
        <v>nov</v>
      </c>
      <c r="C324" s="18" t="str">
        <f>TEXT(preçodiario[[#This Row],[data]],"ddd")</f>
        <v>qui</v>
      </c>
      <c r="D324" s="96">
        <f>WEEKNUM(preçodiario[[#This Row],[data]],13)</f>
        <v>47</v>
      </c>
      <c r="E324" s="37">
        <v>46345</v>
      </c>
      <c r="F32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Row],[data]])),((F323*G323)+SUMIFS(estoque[valor total],estoque[produto],preçodiario[[#Headers],[OVO BRANCO A]],estoque[data],preçodiario[[#This Row],[data]],estoque[fornecedor],"&lt;&gt;saída"))/(G323+(SUMIFS(estoque[quantidade],estoque[produto],preçodiario[[#Headers],[OVO BRANCO A]],estoque[fornecedor],"&lt;&gt;saída",estoque[data],preçodiario[[#This Row],[data]])))))</f>
        <v>15.278182701652089</v>
      </c>
      <c r="G324" s="22">
        <f>IF(preçodiario[[#This Row],[entrada A]]=0,G323-(SUMIFS(estoque[quantidade],estoque[fornecedor],"saída",estoque[produto],preçodiario[[#Headers],[OVO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Row],[data]]))+G323+preçodiario[[#This Row],[entrada A]])</f>
        <v>133</v>
      </c>
      <c r="H324" s="22">
        <f>SUMIFS(estoque[quantidade],estoque[fornecedor],"&lt;&gt;saída",estoque[produto],preçodiario[[#Headers],[OVO BRANCO A]],estoque[data],preçodiario[[#This Row],[data]])</f>
        <v>0</v>
      </c>
      <c r="I324" s="20">
        <f>SUMIFS(estoque[valor total],estoque[fornecedor],"&lt;&gt;saída",estoque[produto],preçodiario[[#Headers],[OVO BRANCO A]],estoque[data],preçodiario[[#This Row],[data]])</f>
        <v>0</v>
      </c>
      <c r="J324" s="20">
        <f>IFERROR(preçodiario[[#This Row],[estoque A]]*preçodiario[[#This Row],[OVO BRANCO A]],0)</f>
        <v>2031.9982993197277</v>
      </c>
      <c r="K32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Row],[data]])),((K323*L323)+SUMIFS(estoque[valor total],estoque[produto],preçodiario[[#Headers],[OVO BRANCO B]],estoque[data],preçodiario[[#This Row],[data]],estoque[fornecedor],"&lt;&gt;saída"))/(L323+(SUMIFS(estoque[quantidade],estoque[produto],preçodiario[[#Headers],[OVO BRANCO B]],estoque[fornecedor],"&lt;&gt;saída",estoque[data],preçodiario[[#This Row],[data]])))))</f>
        <v>14.584252837326604</v>
      </c>
      <c r="L324" s="22">
        <f>IF(preçodiario[[#This Row],[entrada B]]=0,L323-(SUMIFS(estoque[quantidade],estoque[fornecedor],"saída",estoque[produto],preçodiario[[#Headers],[OVO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Row],[data]]))+L323+preçodiario[[#This Row],[entrada B]])</f>
        <v>16</v>
      </c>
      <c r="M324" s="22">
        <f>SUMIFS(estoque[quantidade],estoque[fornecedor],"&lt;&gt;saída",estoque[produto],preçodiario[[#Headers],[OVO BRANCO B]],estoque[data],preçodiario[[#This Row],[data]])</f>
        <v>0</v>
      </c>
      <c r="N324" s="20">
        <f>SUMIFS(estoque[valor total],estoque[fornecedor],"&lt;&gt;saída",estoque[produto],preçodiario[[#Headers],[OVO BRANCO B]],estoque[data],preçodiario[[#This Row],[data]])</f>
        <v>0</v>
      </c>
      <c r="O324" s="20">
        <f>IFERROR(preçodiario[[#This Row],[OVO BRANCO B]]*preçodiario[[#This Row],[estoque B]],0)</f>
        <v>233.34804539722566</v>
      </c>
      <c r="P32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Row],[data]])),((P323*Q323)+SUMIFS(estoque[valor total],estoque[produto],preçodiario[[#Headers],[OVO BRANCO C]],estoque[data],preçodiario[[#This Row],[data]],estoque[fornecedor],"&lt;&gt;saída"))/(Q323+(SUMIFS(estoque[quantidade],estoque[produto],preçodiario[[#Headers],[OVO BRANCO C]],estoque[fornecedor],"&lt;&gt;saída",estoque[data],preçodiario[[#This Row],[data]])))))</f>
        <v>12.5</v>
      </c>
      <c r="Q324" s="22">
        <f>IF(preçodiario[[#This Row],[entrada C]]=0,Q323-(SUMIFS(estoque[quantidade],estoque[fornecedor],"saída",estoque[produto],preçodiario[[#Headers],[OVO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Row],[data]]))+Q323+preçodiario[[#This Row],[entrada C]])</f>
        <v>60</v>
      </c>
      <c r="R324" s="22">
        <f>SUMIFS(estoque[quantidade],estoque[fornecedor],"&lt;&gt;saída",estoque[produto],preçodiario[[#Headers],[OVO BRANCO C]],estoque[data],preçodiario[[#This Row],[data]])</f>
        <v>0</v>
      </c>
      <c r="S324" s="20">
        <f>SUMIFS(estoque[valor total],estoque[fornecedor],"&lt;&gt;saída",estoque[produto],preçodiario[[#Headers],[OVO BRANCO C]],estoque[data],preçodiario[[#This Row],[data]])</f>
        <v>0</v>
      </c>
      <c r="T324" s="20">
        <f>IFERROR(preçodiario[[#This Row],[OVO BRANCO C]]*preçodiario[[#This Row],[estoque C]],0)</f>
        <v>750</v>
      </c>
      <c r="U32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Row],[data]])),((U323*V323)+SUMIFS(estoque[valor total],estoque[produto],preçodiario[[#Headers],[OVO BRANCO EXTRA]],estoque[data],preçodiario[[#This Row],[data]],estoque[fornecedor],"&lt;&gt;saída"))/(V323+(SUMIFS(estoque[quantidade],estoque[produto],preçodiario[[#Headers],[OVO BRANCO EXTRA]],estoque[fornecedor],"&lt;&gt;saída",estoque[data],preçodiario[[#This Row],[data]])))))</f>
        <v>15.725438400674655</v>
      </c>
      <c r="V324" s="22">
        <f>IF(preçodiario[[#This Row],[entrada E]]=0,V323-(SUMIFS(estoque[quantidade],estoque[fornecedor],"saída",estoque[produto],preçodiario[[#Headers],[OVO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Row],[data]]))+V323+preçodiario[[#This Row],[entrada E]])</f>
        <v>46</v>
      </c>
      <c r="W324" s="22">
        <f>SUMIFS(estoque[quantidade],estoque[fornecedor],"&lt;&gt;saída",estoque[produto],preçodiario[[#Headers],[OVO BRANCO EXTRA]],estoque[data],preçodiario[[#This Row],[data]])</f>
        <v>0</v>
      </c>
      <c r="X324" s="20">
        <f>SUMIFS(estoque[valor total],estoque[fornecedor],"&lt;&gt;saída",estoque[produto],preçodiario[[#Headers],[OVO BRANCO EXTRA]],estoque[data],preçodiario[[#This Row],[data]])</f>
        <v>0</v>
      </c>
      <c r="Y324" s="20">
        <f>IFERROR(preçodiario[[#This Row],[estoque E]]*preçodiario[[#This Row],[OVO BRANCO EXTRA]],0)</f>
        <v>723.37016643103414</v>
      </c>
      <c r="Z32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Row],[data]])),((Z323*AA323)+SUMIFS(estoque[valor total],estoque[produto],preçodiario[[#Headers],[OVO BRANCO JUMBO]],estoque[data],preçodiario[[#This Row],[data]],estoque[fornecedor],"&lt;&gt;saída"))/(AA323+(SUMIFS(estoque[quantidade],estoque[produto],preçodiario[[#Headers],[OVO BRANCO JUMBO]],estoque[fornecedor],"&lt;&gt;saída",estoque[data],preçodiario[[#This Row],[data]])))))</f>
        <v>16.50550595238095</v>
      </c>
      <c r="AA324" s="22">
        <f>IF(preçodiario[[#This Row],[entrada J]]=0,AA323-(SUMIFS(estoque[quantidade],estoque[fornecedor],"saída",estoque[produto],preçodiario[[#Headers],[OVO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Row],[data]]))+AA323+preçodiario[[#This Row],[entrada J]])</f>
        <v>75</v>
      </c>
      <c r="AB324" s="22">
        <f>SUMIFS(estoque[quantidade],estoque[fornecedor],"&lt;&gt;saída",estoque[produto],preçodiario[[#Headers],[OVO BRANCO JUMBO]],estoque[data],preçodiario[[#This Row],[data]])</f>
        <v>0</v>
      </c>
      <c r="AC324" s="20">
        <f>SUMIFS(estoque[valor total],estoque[fornecedor],"&lt;&gt;saída",estoque[produto],preçodiario[[#Headers],[OVO BRANCO JUMBO]],estoque[data],preçodiario[[#This Row],[data]])</f>
        <v>0</v>
      </c>
      <c r="AD324" s="20">
        <f>IFERROR(preçodiario[[#This Row],[OVO BRANCO JUMBO]]*preçodiario[[#This Row],[estoque J]],0)</f>
        <v>1237.9129464285713</v>
      </c>
      <c r="AE32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Row],[data]])),((AE323*AF323)+SUMIFS(estoque[valor total],estoque[produto],preçodiario[[#Headers],[OVO VERMELHO A]],estoque[data],preçodiario[[#This Row],[data]],estoque[fornecedor],"&lt;&gt;saída"))/(AF323+(SUMIFS(estoque[quantidade],estoque[produto],preçodiario[[#Headers],[OVO VERMELHO A]],estoque[fornecedor],"&lt;&gt;saída",estoque[data],preçodiario[[#This Row],[data]])))))</f>
        <v/>
      </c>
      <c r="AF324" s="22">
        <f>IF(preçodiario[[#This Row],[entrada AV]]=0,AF323-(SUMIFS(estoque[quantidade],estoque[fornecedor],"saída",estoque[produto],preçodiario[[#Headers],[OVO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Row],[data]]))+AF323+preçodiario[[#This Row],[entrada AV]])</f>
        <v>0</v>
      </c>
      <c r="AG324" s="22">
        <f>SUMIFS(estoque[quantidade],estoque[fornecedor],"&lt;&gt;saída",estoque[produto],preçodiario[[#Headers],[OVO VERMELHO A]],estoque[data],preçodiario[[#This Row],[data]])</f>
        <v>0</v>
      </c>
      <c r="AH324" s="20">
        <f>SUMIFS(estoque[valor total],estoque[fornecedor],"&lt;&gt;saída",estoque[produto],preçodiario[[#Headers],[OVO VERMELHO A]],estoque[data],preçodiario[[#This Row],[data]])</f>
        <v>0</v>
      </c>
      <c r="AI324" s="20">
        <f>IFERROR(preçodiario[[#This Row],[OVO VERMELHO A]]*preçodiario[[#This Row],[estoque AV]],0)</f>
        <v>0</v>
      </c>
      <c r="AJ32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Row],[data]])),((AJ323*AK323)+SUMIFS(estoque[valor total],estoque[produto],preçodiario[[#Headers],[OVO VERMELHO B]],estoque[data],preçodiario[[#This Row],[data]],estoque[fornecedor],"&lt;&gt;saída"))/(AK323+(SUMIFS(estoque[quantidade],estoque[produto],preçodiario[[#Headers],[OVO VERMELHO B]],estoque[fornecedor],"&lt;&gt;saída",estoque[data],preçodiario[[#This Row],[data]])))))</f>
        <v/>
      </c>
      <c r="AK324" s="22">
        <f>IF(preçodiario[[#This Row],[entrada BV]]=0,AK323-(SUMIFS(estoque[quantidade],estoque[fornecedor],"saída",estoque[produto],preçodiario[[#Headers],[OVO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Row],[data]]))+AK323+preçodiario[[#This Row],[entrada BV]])</f>
        <v>0</v>
      </c>
      <c r="AL324" s="22">
        <f>SUMIFS(estoque[quantidade],estoque[fornecedor],"&lt;&gt;saída",estoque[produto],preçodiario[[#Headers],[OVO VERMELHO B]],estoque[data],preçodiario[[#This Row],[data]])</f>
        <v>0</v>
      </c>
      <c r="AM324" s="20">
        <f>SUMIFS(estoque[valor total],estoque[fornecedor],"&lt;&gt;saída",estoque[produto],preçodiario[[#Headers],[OVO VERMELHO B]],estoque[data],preçodiario[[#This Row],[data]])</f>
        <v>0</v>
      </c>
      <c r="AN324" s="20">
        <f>IFERROR(preçodiario[[#This Row],[OVO VERMELHO B]]*preçodiario[[#This Row],[estoque BV]],0)</f>
        <v>0</v>
      </c>
      <c r="AO32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Row],[data]])),((AO323*AP323)+SUMIFS(estoque[valor total],estoque[produto],preçodiario[[#Headers],[OVO VERMELHO C]],estoque[data],preçodiario[[#This Row],[data]],estoque[fornecedor],"&lt;&gt;saída"))/(AP323+(SUMIFS(estoque[quantidade],estoque[produto],preçodiario[[#Headers],[OVO VERMELHO C]],estoque[fornecedor],"&lt;&gt;saída",estoque[data],preçodiario[[#This Row],[data]])))))</f>
        <v/>
      </c>
      <c r="AP324" s="22">
        <f>IF(preçodiario[[#This Row],[entrada CV]]=0,AP323-(SUMIFS(estoque[quantidade],estoque[fornecedor],"saída",estoque[produto],preçodiario[[#Headers],[OVO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Row],[data]]))+AP323+preçodiario[[#This Row],[entrada CV]])</f>
        <v>0</v>
      </c>
      <c r="AQ324" s="22">
        <f>SUMIFS(estoque[quantidade],estoque[fornecedor],"&lt;&gt;saída",estoque[produto],preçodiario[[#Headers],[OVO VERMELHO C]],estoque[data],preçodiario[[#This Row],[data]])</f>
        <v>0</v>
      </c>
      <c r="AR324" s="20">
        <f>SUMIFS(estoque[valor total],estoque[fornecedor],"&lt;&gt;saída",estoque[produto],preçodiario[[#Headers],[OVO VERMELHO C]],estoque[data],preçodiario[[#This Row],[data]])</f>
        <v>0</v>
      </c>
      <c r="AS324" s="20">
        <f>IFERROR(preçodiario[[#This Row],[OVO VERMELHO C]]*preçodiario[[#This Row],[estoque CV]],0)</f>
        <v>0</v>
      </c>
      <c r="AT32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Row],[data]])),((AT323*AU323)+SUMIFS(estoque[valor total],estoque[produto],preçodiario[[#Headers],[OVO VERMELHO EXTRA]],estoque[data],preçodiario[[#This Row],[data]],estoque[fornecedor],"&lt;&gt;saída"))/(AU323+(SUMIFS(estoque[quantidade],estoque[produto],preçodiario[[#Headers],[OVO VERMELHO EXTRA]],estoque[fornecedor],"&lt;&gt;saída",estoque[data],preçodiario[[#This Row],[data]])))))</f>
        <v/>
      </c>
      <c r="AU324" s="22">
        <f>IF(preçodiario[[#This Row],[entrada EV]]=0,AU323-(SUMIFS(estoque[quantidade],estoque[fornecedor],"saída",estoque[produto],preçodiario[[#Headers],[OVO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Row],[data]]))+AU323+preçodiario[[#This Row],[entrada EV]])</f>
        <v>0</v>
      </c>
      <c r="AV324" s="22">
        <f>SUMIFS(estoque[quantidade],estoque[fornecedor],"&lt;&gt;saída",estoque[produto],preçodiario[[#Headers],[OVO VERMELHO EXTRA]],estoque[data],preçodiario[[#This Row],[data]])</f>
        <v>0</v>
      </c>
      <c r="AW324" s="20">
        <f>SUMIFS(estoque[valor total],estoque[fornecedor],"&lt;&gt;saída",estoque[produto],preçodiario[[#Headers],[OVO VERMELHO EXTRA]],estoque[data],preçodiario[[#This Row],[data]])</f>
        <v>0</v>
      </c>
      <c r="AX324" s="20">
        <f>IFERROR(preçodiario[[#This Row],[OVO VERMELHO EXTRA]]*preçodiario[[#This Row],[estoque EV]],0)</f>
        <v>0</v>
      </c>
      <c r="AY32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Row],[data]])),((AY323*AZ323)+SUMIFS(estoque[valor total],estoque[produto],preçodiario[[#Headers],[OVO VERMELHO JUMBO]],estoque[data],preçodiario[[#This Row],[data]],estoque[fornecedor],"&lt;&gt;saída"))/(AZ323+(SUMIFS(estoque[quantidade],estoque[produto],preçodiario[[#Headers],[OVO VERMELHO JUMBO]],estoque[fornecedor],"&lt;&gt;saída",estoque[data],preçodiario[[#This Row],[data]])))))</f>
        <v/>
      </c>
      <c r="AZ324" s="22">
        <f>IF(preçodiario[[#This Row],[entrada JV]]=0,AZ323-(SUMIFS(estoque[quantidade],estoque[fornecedor],"saída",estoque[produto],preçodiario[[#Headers],[OVO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Row],[data]]))+AZ323+preçodiario[[#This Row],[entrada JV]])</f>
        <v>0</v>
      </c>
      <c r="BA324" s="22">
        <f>SUMIFS(estoque[quantidade],estoque[fornecedor],"&lt;&gt;saída",estoque[produto],preçodiario[[#Headers],[OVO VERMELHO JUMBO]],estoque[data],preçodiario[[#This Row],[data]])</f>
        <v>0</v>
      </c>
      <c r="BB324" s="20">
        <f>SUMIFS(estoque[valor total],estoque[fornecedor],"&lt;&gt;saída",estoque[produto],preçodiario[[#Headers],[OVO VERMELHO JUMBO]],estoque[data],preçodiario[[#This Row],[data]])</f>
        <v>0</v>
      </c>
      <c r="BC324" s="20">
        <f>IFERROR(preçodiario[[#This Row],[OVO VERMELHO JUMBO]]*preçodiario[[#This Row],[estoque JV]],0)</f>
        <v>0</v>
      </c>
      <c r="BD324" t="str">
        <f>TEXT(vendaAno[[#This Row],[data]],"mmm")</f>
        <v>nov</v>
      </c>
      <c r="BE324" t="str">
        <f>TEXT(vendaAno[[#This Row],[data]],"ddd")</f>
        <v>qui</v>
      </c>
      <c r="BF324" s="82">
        <f>WEEKNUM(vendaAno[[#This Row],[data]],13)</f>
        <v>47</v>
      </c>
      <c r="BG324" s="27">
        <f>preçodiario[[#This Row],[data]]</f>
        <v>46345</v>
      </c>
      <c r="BH32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Row],[data]]))/12+BJ323,"")</f>
        <v/>
      </c>
      <c r="BK324" s="79" t="str">
        <f ca="1">IF(TODAY()&gt;=vendaAno[[#This Row],[data]],IF(SUMIFS(estoque[quantidade],estoque[fornecedor],"saída",estoque[data],vendaAno[[#This Row],[data]])/12=0,AVERAGE(BK321:BK323),SUMIFS(estoque[quantidade],estoque[fornecedor],"saída",estoque[data],vendaAno[[#This Row],[data]])/12),"")</f>
        <v/>
      </c>
      <c r="BL324" s="8" t="str">
        <f ca="1">IF(vendaAno[[#This Row],[data]]&lt;=TODAY(),IF(SUMIFS(estoque[lucro],estoque[fornecedor],"saída",estoque[data],vendaAno[[#This Row],[data]])=0,AVERAGE(BL321:BL323),SUMIFS(estoque[lucro],estoque[fornecedor],"saída",estoque[data],vendaAno[[#This Row],[data]])),"")</f>
        <v/>
      </c>
      <c r="BM324" s="10" t="str">
        <f ca="1">IFERROR(vendaAno[[#This Row],[lucro]]/vendaAno[[#This Row],[valor de venda]],"")</f>
        <v/>
      </c>
      <c r="BN32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4" s="8" t="str">
        <f ca="1">IF(TODAY()&gt;=vendaAno[[#This Row],[data]],IF(vendaAno[[#This Row],[N°]]=BF323,vendaAno[[#This Row],[lucro]]-173.33+BO323,vendaAno[[#This Row],[lucro]]-150),"")</f>
        <v/>
      </c>
      <c r="BP324" s="81" t="str">
        <f ca="1">IF(TODAY()&gt;=vendaAno[[#This Row],[data]],SUM(BK318:BK324)*12,"")</f>
        <v/>
      </c>
      <c r="BQ324" s="7" t="str">
        <f ca="1">IFERROR(vendaAno[[#This Row],[lucro]]/(vendaAno[[#This Row],[venda]]*12),"")</f>
        <v/>
      </c>
    </row>
    <row r="325" spans="1:69" x14ac:dyDescent="0.25">
      <c r="A32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5" s="18" t="str">
        <f>TEXT(preçodiario[[#This Row],[data]],"MMM")</f>
        <v>nov</v>
      </c>
      <c r="C325" s="18" t="str">
        <f>TEXT(preçodiario[[#This Row],[data]],"ddd")</f>
        <v>sex</v>
      </c>
      <c r="D325" s="96">
        <f>WEEKNUM(preçodiario[[#This Row],[data]],13)</f>
        <v>47</v>
      </c>
      <c r="E325" s="37">
        <v>46346</v>
      </c>
      <c r="F32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Row],[data]])),((F324*G324)+SUMIFS(estoque[valor total],estoque[produto],preçodiario[[#Headers],[OVO BRANCO A]],estoque[data],preçodiario[[#This Row],[data]],estoque[fornecedor],"&lt;&gt;saída"))/(G324+(SUMIFS(estoque[quantidade],estoque[produto],preçodiario[[#Headers],[OVO BRANCO A]],estoque[fornecedor],"&lt;&gt;saída",estoque[data],preçodiario[[#This Row],[data]])))))</f>
        <v>15.278182701652089</v>
      </c>
      <c r="G325" s="22">
        <f>IF(preçodiario[[#This Row],[entrada A]]=0,G324-(SUMIFS(estoque[quantidade],estoque[fornecedor],"saída",estoque[produto],preçodiario[[#Headers],[OVO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Row],[data]]))+G324+preçodiario[[#This Row],[entrada A]])</f>
        <v>133</v>
      </c>
      <c r="H325" s="22">
        <f>SUMIFS(estoque[quantidade],estoque[fornecedor],"&lt;&gt;saída",estoque[produto],preçodiario[[#Headers],[OVO BRANCO A]],estoque[data],preçodiario[[#This Row],[data]])</f>
        <v>0</v>
      </c>
      <c r="I325" s="20">
        <f>SUMIFS(estoque[valor total],estoque[fornecedor],"&lt;&gt;saída",estoque[produto],preçodiario[[#Headers],[OVO BRANCO A]],estoque[data],preçodiario[[#This Row],[data]])</f>
        <v>0</v>
      </c>
      <c r="J325" s="20">
        <f>IFERROR(preçodiario[[#This Row],[estoque A]]*preçodiario[[#This Row],[OVO BRANCO A]],0)</f>
        <v>2031.9982993197277</v>
      </c>
      <c r="K32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Row],[data]])),((K324*L324)+SUMIFS(estoque[valor total],estoque[produto],preçodiario[[#Headers],[OVO BRANCO B]],estoque[data],preçodiario[[#This Row],[data]],estoque[fornecedor],"&lt;&gt;saída"))/(L324+(SUMIFS(estoque[quantidade],estoque[produto],preçodiario[[#Headers],[OVO BRANCO B]],estoque[fornecedor],"&lt;&gt;saída",estoque[data],preçodiario[[#This Row],[data]])))))</f>
        <v>14.584252837326604</v>
      </c>
      <c r="L325" s="22">
        <f>IF(preçodiario[[#This Row],[entrada B]]=0,L324-(SUMIFS(estoque[quantidade],estoque[fornecedor],"saída",estoque[produto],preçodiario[[#Headers],[OVO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Row],[data]]))+L324+preçodiario[[#This Row],[entrada B]])</f>
        <v>16</v>
      </c>
      <c r="M325" s="22">
        <f>SUMIFS(estoque[quantidade],estoque[fornecedor],"&lt;&gt;saída",estoque[produto],preçodiario[[#Headers],[OVO BRANCO B]],estoque[data],preçodiario[[#This Row],[data]])</f>
        <v>0</v>
      </c>
      <c r="N325" s="20">
        <f>SUMIFS(estoque[valor total],estoque[fornecedor],"&lt;&gt;saída",estoque[produto],preçodiario[[#Headers],[OVO BRANCO B]],estoque[data],preçodiario[[#This Row],[data]])</f>
        <v>0</v>
      </c>
      <c r="O325" s="20">
        <f>IFERROR(preçodiario[[#This Row],[OVO BRANCO B]]*preçodiario[[#This Row],[estoque B]],0)</f>
        <v>233.34804539722566</v>
      </c>
      <c r="P32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Row],[data]])),((P324*Q324)+SUMIFS(estoque[valor total],estoque[produto],preçodiario[[#Headers],[OVO BRANCO C]],estoque[data],preçodiario[[#This Row],[data]],estoque[fornecedor],"&lt;&gt;saída"))/(Q324+(SUMIFS(estoque[quantidade],estoque[produto],preçodiario[[#Headers],[OVO BRANCO C]],estoque[fornecedor],"&lt;&gt;saída",estoque[data],preçodiario[[#This Row],[data]])))))</f>
        <v>12.5</v>
      </c>
      <c r="Q325" s="22">
        <f>IF(preçodiario[[#This Row],[entrada C]]=0,Q324-(SUMIFS(estoque[quantidade],estoque[fornecedor],"saída",estoque[produto],preçodiario[[#Headers],[OVO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Row],[data]]))+Q324+preçodiario[[#This Row],[entrada C]])</f>
        <v>60</v>
      </c>
      <c r="R325" s="22">
        <f>SUMIFS(estoque[quantidade],estoque[fornecedor],"&lt;&gt;saída",estoque[produto],preçodiario[[#Headers],[OVO BRANCO C]],estoque[data],preçodiario[[#This Row],[data]])</f>
        <v>0</v>
      </c>
      <c r="S325" s="20">
        <f>SUMIFS(estoque[valor total],estoque[fornecedor],"&lt;&gt;saída",estoque[produto],preçodiario[[#Headers],[OVO BRANCO C]],estoque[data],preçodiario[[#This Row],[data]])</f>
        <v>0</v>
      </c>
      <c r="T325" s="20">
        <f>IFERROR(preçodiario[[#This Row],[OVO BRANCO C]]*preçodiario[[#This Row],[estoque C]],0)</f>
        <v>750</v>
      </c>
      <c r="U32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Row],[data]])),((U324*V324)+SUMIFS(estoque[valor total],estoque[produto],preçodiario[[#Headers],[OVO BRANCO EXTRA]],estoque[data],preçodiario[[#This Row],[data]],estoque[fornecedor],"&lt;&gt;saída"))/(V324+(SUMIFS(estoque[quantidade],estoque[produto],preçodiario[[#Headers],[OVO BRANCO EXTRA]],estoque[fornecedor],"&lt;&gt;saída",estoque[data],preçodiario[[#This Row],[data]])))))</f>
        <v>15.725438400674655</v>
      </c>
      <c r="V325" s="22">
        <f>IF(preçodiario[[#This Row],[entrada E]]=0,V324-(SUMIFS(estoque[quantidade],estoque[fornecedor],"saída",estoque[produto],preçodiario[[#Headers],[OVO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Row],[data]]))+V324+preçodiario[[#This Row],[entrada E]])</f>
        <v>46</v>
      </c>
      <c r="W325" s="22">
        <f>SUMIFS(estoque[quantidade],estoque[fornecedor],"&lt;&gt;saída",estoque[produto],preçodiario[[#Headers],[OVO BRANCO EXTRA]],estoque[data],preçodiario[[#This Row],[data]])</f>
        <v>0</v>
      </c>
      <c r="X325" s="20">
        <f>SUMIFS(estoque[valor total],estoque[fornecedor],"&lt;&gt;saída",estoque[produto],preçodiario[[#Headers],[OVO BRANCO EXTRA]],estoque[data],preçodiario[[#This Row],[data]])</f>
        <v>0</v>
      </c>
      <c r="Y325" s="20">
        <f>IFERROR(preçodiario[[#This Row],[estoque E]]*preçodiario[[#This Row],[OVO BRANCO EXTRA]],0)</f>
        <v>723.37016643103414</v>
      </c>
      <c r="Z32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Row],[data]])),((Z324*AA324)+SUMIFS(estoque[valor total],estoque[produto],preçodiario[[#Headers],[OVO BRANCO JUMBO]],estoque[data],preçodiario[[#This Row],[data]],estoque[fornecedor],"&lt;&gt;saída"))/(AA324+(SUMIFS(estoque[quantidade],estoque[produto],preçodiario[[#Headers],[OVO BRANCO JUMBO]],estoque[fornecedor],"&lt;&gt;saída",estoque[data],preçodiario[[#This Row],[data]])))))</f>
        <v>16.50550595238095</v>
      </c>
      <c r="AA325" s="22">
        <f>IF(preçodiario[[#This Row],[entrada J]]=0,AA324-(SUMIFS(estoque[quantidade],estoque[fornecedor],"saída",estoque[produto],preçodiario[[#Headers],[OVO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Row],[data]]))+AA324+preçodiario[[#This Row],[entrada J]])</f>
        <v>75</v>
      </c>
      <c r="AB325" s="22">
        <f>SUMIFS(estoque[quantidade],estoque[fornecedor],"&lt;&gt;saída",estoque[produto],preçodiario[[#Headers],[OVO BRANCO JUMBO]],estoque[data],preçodiario[[#This Row],[data]])</f>
        <v>0</v>
      </c>
      <c r="AC325" s="20">
        <f>SUMIFS(estoque[valor total],estoque[fornecedor],"&lt;&gt;saída",estoque[produto],preçodiario[[#Headers],[OVO BRANCO JUMBO]],estoque[data],preçodiario[[#This Row],[data]])</f>
        <v>0</v>
      </c>
      <c r="AD325" s="20">
        <f>IFERROR(preçodiario[[#This Row],[OVO BRANCO JUMBO]]*preçodiario[[#This Row],[estoque J]],0)</f>
        <v>1237.9129464285713</v>
      </c>
      <c r="AE32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Row],[data]])),((AE324*AF324)+SUMIFS(estoque[valor total],estoque[produto],preçodiario[[#Headers],[OVO VERMELHO A]],estoque[data],preçodiario[[#This Row],[data]],estoque[fornecedor],"&lt;&gt;saída"))/(AF324+(SUMIFS(estoque[quantidade],estoque[produto],preçodiario[[#Headers],[OVO VERMELHO A]],estoque[fornecedor],"&lt;&gt;saída",estoque[data],preçodiario[[#This Row],[data]])))))</f>
        <v/>
      </c>
      <c r="AF325" s="22">
        <f>IF(preçodiario[[#This Row],[entrada AV]]=0,AF324-(SUMIFS(estoque[quantidade],estoque[fornecedor],"saída",estoque[produto],preçodiario[[#Headers],[OVO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Row],[data]]))+AF324+preçodiario[[#This Row],[entrada AV]])</f>
        <v>0</v>
      </c>
      <c r="AG325" s="22">
        <f>SUMIFS(estoque[quantidade],estoque[fornecedor],"&lt;&gt;saída",estoque[produto],preçodiario[[#Headers],[OVO VERMELHO A]],estoque[data],preçodiario[[#This Row],[data]])</f>
        <v>0</v>
      </c>
      <c r="AH325" s="20">
        <f>SUMIFS(estoque[valor total],estoque[fornecedor],"&lt;&gt;saída",estoque[produto],preçodiario[[#Headers],[OVO VERMELHO A]],estoque[data],preçodiario[[#This Row],[data]])</f>
        <v>0</v>
      </c>
      <c r="AI325" s="20">
        <f>IFERROR(preçodiario[[#This Row],[OVO VERMELHO A]]*preçodiario[[#This Row],[estoque AV]],0)</f>
        <v>0</v>
      </c>
      <c r="AJ32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Row],[data]])),((AJ324*AK324)+SUMIFS(estoque[valor total],estoque[produto],preçodiario[[#Headers],[OVO VERMELHO B]],estoque[data],preçodiario[[#This Row],[data]],estoque[fornecedor],"&lt;&gt;saída"))/(AK324+(SUMIFS(estoque[quantidade],estoque[produto],preçodiario[[#Headers],[OVO VERMELHO B]],estoque[fornecedor],"&lt;&gt;saída",estoque[data],preçodiario[[#This Row],[data]])))))</f>
        <v/>
      </c>
      <c r="AK325" s="22">
        <f>IF(preçodiario[[#This Row],[entrada BV]]=0,AK324-(SUMIFS(estoque[quantidade],estoque[fornecedor],"saída",estoque[produto],preçodiario[[#Headers],[OVO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Row],[data]]))+AK324+preçodiario[[#This Row],[entrada BV]])</f>
        <v>0</v>
      </c>
      <c r="AL325" s="22">
        <f>SUMIFS(estoque[quantidade],estoque[fornecedor],"&lt;&gt;saída",estoque[produto],preçodiario[[#Headers],[OVO VERMELHO B]],estoque[data],preçodiario[[#This Row],[data]])</f>
        <v>0</v>
      </c>
      <c r="AM325" s="20">
        <f>SUMIFS(estoque[valor total],estoque[fornecedor],"&lt;&gt;saída",estoque[produto],preçodiario[[#Headers],[OVO VERMELHO B]],estoque[data],preçodiario[[#This Row],[data]])</f>
        <v>0</v>
      </c>
      <c r="AN325" s="20">
        <f>IFERROR(preçodiario[[#This Row],[OVO VERMELHO B]]*preçodiario[[#This Row],[estoque BV]],0)</f>
        <v>0</v>
      </c>
      <c r="AO32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Row],[data]])),((AO324*AP324)+SUMIFS(estoque[valor total],estoque[produto],preçodiario[[#Headers],[OVO VERMELHO C]],estoque[data],preçodiario[[#This Row],[data]],estoque[fornecedor],"&lt;&gt;saída"))/(AP324+(SUMIFS(estoque[quantidade],estoque[produto],preçodiario[[#Headers],[OVO VERMELHO C]],estoque[fornecedor],"&lt;&gt;saída",estoque[data],preçodiario[[#This Row],[data]])))))</f>
        <v/>
      </c>
      <c r="AP325" s="22">
        <f>IF(preçodiario[[#This Row],[entrada CV]]=0,AP324-(SUMIFS(estoque[quantidade],estoque[fornecedor],"saída",estoque[produto],preçodiario[[#Headers],[OVO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Row],[data]]))+AP324+preçodiario[[#This Row],[entrada CV]])</f>
        <v>0</v>
      </c>
      <c r="AQ325" s="22">
        <f>SUMIFS(estoque[quantidade],estoque[fornecedor],"&lt;&gt;saída",estoque[produto],preçodiario[[#Headers],[OVO VERMELHO C]],estoque[data],preçodiario[[#This Row],[data]])</f>
        <v>0</v>
      </c>
      <c r="AR325" s="20">
        <f>SUMIFS(estoque[valor total],estoque[fornecedor],"&lt;&gt;saída",estoque[produto],preçodiario[[#Headers],[OVO VERMELHO C]],estoque[data],preçodiario[[#This Row],[data]])</f>
        <v>0</v>
      </c>
      <c r="AS325" s="20">
        <f>IFERROR(preçodiario[[#This Row],[OVO VERMELHO C]]*preçodiario[[#This Row],[estoque CV]],0)</f>
        <v>0</v>
      </c>
      <c r="AT32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Row],[data]])),((AT324*AU324)+SUMIFS(estoque[valor total],estoque[produto],preçodiario[[#Headers],[OVO VERMELHO EXTRA]],estoque[data],preçodiario[[#This Row],[data]],estoque[fornecedor],"&lt;&gt;saída"))/(AU324+(SUMIFS(estoque[quantidade],estoque[produto],preçodiario[[#Headers],[OVO VERMELHO EXTRA]],estoque[fornecedor],"&lt;&gt;saída",estoque[data],preçodiario[[#This Row],[data]])))))</f>
        <v/>
      </c>
      <c r="AU325" s="22">
        <f>IF(preçodiario[[#This Row],[entrada EV]]=0,AU324-(SUMIFS(estoque[quantidade],estoque[fornecedor],"saída",estoque[produto],preçodiario[[#Headers],[OVO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Row],[data]]))+AU324+preçodiario[[#This Row],[entrada EV]])</f>
        <v>0</v>
      </c>
      <c r="AV325" s="22">
        <f>SUMIFS(estoque[quantidade],estoque[fornecedor],"&lt;&gt;saída",estoque[produto],preçodiario[[#Headers],[OVO VERMELHO EXTRA]],estoque[data],preçodiario[[#This Row],[data]])</f>
        <v>0</v>
      </c>
      <c r="AW325" s="20">
        <f>SUMIFS(estoque[valor total],estoque[fornecedor],"&lt;&gt;saída",estoque[produto],preçodiario[[#Headers],[OVO VERMELHO EXTRA]],estoque[data],preçodiario[[#This Row],[data]])</f>
        <v>0</v>
      </c>
      <c r="AX325" s="20">
        <f>IFERROR(preçodiario[[#This Row],[OVO VERMELHO EXTRA]]*preçodiario[[#This Row],[estoque EV]],0)</f>
        <v>0</v>
      </c>
      <c r="AY32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Row],[data]])),((AY324*AZ324)+SUMIFS(estoque[valor total],estoque[produto],preçodiario[[#Headers],[OVO VERMELHO JUMBO]],estoque[data],preçodiario[[#This Row],[data]],estoque[fornecedor],"&lt;&gt;saída"))/(AZ324+(SUMIFS(estoque[quantidade],estoque[produto],preçodiario[[#Headers],[OVO VERMELHO JUMBO]],estoque[fornecedor],"&lt;&gt;saída",estoque[data],preçodiario[[#This Row],[data]])))))</f>
        <v/>
      </c>
      <c r="AZ325" s="22">
        <f>IF(preçodiario[[#This Row],[entrada JV]]=0,AZ324-(SUMIFS(estoque[quantidade],estoque[fornecedor],"saída",estoque[produto],preçodiario[[#Headers],[OVO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Row],[data]]))+AZ324+preçodiario[[#This Row],[entrada JV]])</f>
        <v>0</v>
      </c>
      <c r="BA325" s="22">
        <f>SUMIFS(estoque[quantidade],estoque[fornecedor],"&lt;&gt;saída",estoque[produto],preçodiario[[#Headers],[OVO VERMELHO JUMBO]],estoque[data],preçodiario[[#This Row],[data]])</f>
        <v>0</v>
      </c>
      <c r="BB325" s="20">
        <f>SUMIFS(estoque[valor total],estoque[fornecedor],"&lt;&gt;saída",estoque[produto],preçodiario[[#Headers],[OVO VERMELHO JUMBO]],estoque[data],preçodiario[[#This Row],[data]])</f>
        <v>0</v>
      </c>
      <c r="BC325" s="20">
        <f>IFERROR(preçodiario[[#This Row],[OVO VERMELHO JUMBO]]*preçodiario[[#This Row],[estoque JV]],0)</f>
        <v>0</v>
      </c>
      <c r="BD325" t="str">
        <f>TEXT(vendaAno[[#This Row],[data]],"mmm")</f>
        <v>nov</v>
      </c>
      <c r="BE325" t="str">
        <f>TEXT(vendaAno[[#This Row],[data]],"ddd")</f>
        <v>sex</v>
      </c>
      <c r="BF325" s="82">
        <f>WEEKNUM(vendaAno[[#This Row],[data]],13)</f>
        <v>47</v>
      </c>
      <c r="BG325" s="27">
        <f>preçodiario[[#This Row],[data]]</f>
        <v>46346</v>
      </c>
      <c r="BH32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Row],[data]]))/12+BJ324,"")</f>
        <v/>
      </c>
      <c r="BK325" s="79" t="str">
        <f ca="1">IF(TODAY()&gt;=vendaAno[[#This Row],[data]],IF(SUMIFS(estoque[quantidade],estoque[fornecedor],"saída",estoque[data],vendaAno[[#This Row],[data]])/12=0,AVERAGE(BK322:BK324),SUMIFS(estoque[quantidade],estoque[fornecedor],"saída",estoque[data],vendaAno[[#This Row],[data]])/12),"")</f>
        <v/>
      </c>
      <c r="BL325" s="8" t="str">
        <f ca="1">IF(vendaAno[[#This Row],[data]]&lt;=TODAY(),IF(SUMIFS(estoque[lucro],estoque[fornecedor],"saída",estoque[data],vendaAno[[#This Row],[data]])=0,AVERAGE(BL322:BL324),SUMIFS(estoque[lucro],estoque[fornecedor],"saída",estoque[data],vendaAno[[#This Row],[data]])),"")</f>
        <v/>
      </c>
      <c r="BM325" s="10" t="str">
        <f ca="1">IFERROR(vendaAno[[#This Row],[lucro]]/vendaAno[[#This Row],[valor de venda]],"")</f>
        <v/>
      </c>
      <c r="BN32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5" s="8" t="str">
        <f ca="1">IF(TODAY()&gt;=vendaAno[[#This Row],[data]],IF(vendaAno[[#This Row],[N°]]=BF324,vendaAno[[#This Row],[lucro]]-173.33+BO324,vendaAno[[#This Row],[lucro]]-150),"")</f>
        <v/>
      </c>
      <c r="BP325" s="81" t="str">
        <f ca="1">IF(TODAY()&gt;=vendaAno[[#This Row],[data]],SUM(BK319:BK325)*12,"")</f>
        <v/>
      </c>
      <c r="BQ325" s="7" t="str">
        <f ca="1">IFERROR(vendaAno[[#This Row],[lucro]]/(vendaAno[[#This Row],[venda]]*12),"")</f>
        <v/>
      </c>
    </row>
    <row r="326" spans="1:69" x14ac:dyDescent="0.25">
      <c r="A32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6" s="18" t="str">
        <f>TEXT(preçodiario[[#This Row],[data]],"MMM")</f>
        <v>nov</v>
      </c>
      <c r="C326" s="18" t="str">
        <f>TEXT(preçodiario[[#This Row],[data]],"ddd")</f>
        <v>sáb</v>
      </c>
      <c r="D326" s="96">
        <f>WEEKNUM(preçodiario[[#This Row],[data]],13)</f>
        <v>47</v>
      </c>
      <c r="E326" s="37">
        <v>46347</v>
      </c>
      <c r="F32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Row],[data]])),((F325*G325)+SUMIFS(estoque[valor total],estoque[produto],preçodiario[[#Headers],[OVO BRANCO A]],estoque[data],preçodiario[[#This Row],[data]],estoque[fornecedor],"&lt;&gt;saída"))/(G325+(SUMIFS(estoque[quantidade],estoque[produto],preçodiario[[#Headers],[OVO BRANCO A]],estoque[fornecedor],"&lt;&gt;saída",estoque[data],preçodiario[[#This Row],[data]])))))</f>
        <v>15.278182701652089</v>
      </c>
      <c r="G326" s="22">
        <f>IF(preçodiario[[#This Row],[entrada A]]=0,G325-(SUMIFS(estoque[quantidade],estoque[fornecedor],"saída",estoque[produto],preçodiario[[#Headers],[OVO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Row],[data]]))+G325+preçodiario[[#This Row],[entrada A]])</f>
        <v>133</v>
      </c>
      <c r="H326" s="22">
        <f>SUMIFS(estoque[quantidade],estoque[fornecedor],"&lt;&gt;saída",estoque[produto],preçodiario[[#Headers],[OVO BRANCO A]],estoque[data],preçodiario[[#This Row],[data]])</f>
        <v>0</v>
      </c>
      <c r="I326" s="20">
        <f>SUMIFS(estoque[valor total],estoque[fornecedor],"&lt;&gt;saída",estoque[produto],preçodiario[[#Headers],[OVO BRANCO A]],estoque[data],preçodiario[[#This Row],[data]])</f>
        <v>0</v>
      </c>
      <c r="J326" s="20">
        <f>IFERROR(preçodiario[[#This Row],[estoque A]]*preçodiario[[#This Row],[OVO BRANCO A]],0)</f>
        <v>2031.9982993197277</v>
      </c>
      <c r="K32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Row],[data]])),((K325*L325)+SUMIFS(estoque[valor total],estoque[produto],preçodiario[[#Headers],[OVO BRANCO B]],estoque[data],preçodiario[[#This Row],[data]],estoque[fornecedor],"&lt;&gt;saída"))/(L325+(SUMIFS(estoque[quantidade],estoque[produto],preçodiario[[#Headers],[OVO BRANCO B]],estoque[fornecedor],"&lt;&gt;saída",estoque[data],preçodiario[[#This Row],[data]])))))</f>
        <v>14.584252837326604</v>
      </c>
      <c r="L326" s="22">
        <f>IF(preçodiario[[#This Row],[entrada B]]=0,L325-(SUMIFS(estoque[quantidade],estoque[fornecedor],"saída",estoque[produto],preçodiario[[#Headers],[OVO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Row],[data]]))+L325+preçodiario[[#This Row],[entrada B]])</f>
        <v>16</v>
      </c>
      <c r="M326" s="22">
        <f>SUMIFS(estoque[quantidade],estoque[fornecedor],"&lt;&gt;saída",estoque[produto],preçodiario[[#Headers],[OVO BRANCO B]],estoque[data],preçodiario[[#This Row],[data]])</f>
        <v>0</v>
      </c>
      <c r="N326" s="20">
        <f>SUMIFS(estoque[valor total],estoque[fornecedor],"&lt;&gt;saída",estoque[produto],preçodiario[[#Headers],[OVO BRANCO B]],estoque[data],preçodiario[[#This Row],[data]])</f>
        <v>0</v>
      </c>
      <c r="O326" s="20">
        <f>IFERROR(preçodiario[[#This Row],[OVO BRANCO B]]*preçodiario[[#This Row],[estoque B]],0)</f>
        <v>233.34804539722566</v>
      </c>
      <c r="P32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Row],[data]])),((P325*Q325)+SUMIFS(estoque[valor total],estoque[produto],preçodiario[[#Headers],[OVO BRANCO C]],estoque[data],preçodiario[[#This Row],[data]],estoque[fornecedor],"&lt;&gt;saída"))/(Q325+(SUMIFS(estoque[quantidade],estoque[produto],preçodiario[[#Headers],[OVO BRANCO C]],estoque[fornecedor],"&lt;&gt;saída",estoque[data],preçodiario[[#This Row],[data]])))))</f>
        <v>12.5</v>
      </c>
      <c r="Q326" s="22">
        <f>IF(preçodiario[[#This Row],[entrada C]]=0,Q325-(SUMIFS(estoque[quantidade],estoque[fornecedor],"saída",estoque[produto],preçodiario[[#Headers],[OVO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Row],[data]]))+Q325+preçodiario[[#This Row],[entrada C]])</f>
        <v>60</v>
      </c>
      <c r="R326" s="22">
        <f>SUMIFS(estoque[quantidade],estoque[fornecedor],"&lt;&gt;saída",estoque[produto],preçodiario[[#Headers],[OVO BRANCO C]],estoque[data],preçodiario[[#This Row],[data]])</f>
        <v>0</v>
      </c>
      <c r="S326" s="20">
        <f>SUMIFS(estoque[valor total],estoque[fornecedor],"&lt;&gt;saída",estoque[produto],preçodiario[[#Headers],[OVO BRANCO C]],estoque[data],preçodiario[[#This Row],[data]])</f>
        <v>0</v>
      </c>
      <c r="T326" s="20">
        <f>IFERROR(preçodiario[[#This Row],[OVO BRANCO C]]*preçodiario[[#This Row],[estoque C]],0)</f>
        <v>750</v>
      </c>
      <c r="U32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Row],[data]])),((U325*V325)+SUMIFS(estoque[valor total],estoque[produto],preçodiario[[#Headers],[OVO BRANCO EXTRA]],estoque[data],preçodiario[[#This Row],[data]],estoque[fornecedor],"&lt;&gt;saída"))/(V325+(SUMIFS(estoque[quantidade],estoque[produto],preçodiario[[#Headers],[OVO BRANCO EXTRA]],estoque[fornecedor],"&lt;&gt;saída",estoque[data],preçodiario[[#This Row],[data]])))))</f>
        <v>15.725438400674655</v>
      </c>
      <c r="V326" s="22">
        <f>IF(preçodiario[[#This Row],[entrada E]]=0,V325-(SUMIFS(estoque[quantidade],estoque[fornecedor],"saída",estoque[produto],preçodiario[[#Headers],[OVO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Row],[data]]))+V325+preçodiario[[#This Row],[entrada E]])</f>
        <v>46</v>
      </c>
      <c r="W326" s="22">
        <f>SUMIFS(estoque[quantidade],estoque[fornecedor],"&lt;&gt;saída",estoque[produto],preçodiario[[#Headers],[OVO BRANCO EXTRA]],estoque[data],preçodiario[[#This Row],[data]])</f>
        <v>0</v>
      </c>
      <c r="X326" s="20">
        <f>SUMIFS(estoque[valor total],estoque[fornecedor],"&lt;&gt;saída",estoque[produto],preçodiario[[#Headers],[OVO BRANCO EXTRA]],estoque[data],preçodiario[[#This Row],[data]])</f>
        <v>0</v>
      </c>
      <c r="Y326" s="20">
        <f>IFERROR(preçodiario[[#This Row],[estoque E]]*preçodiario[[#This Row],[OVO BRANCO EXTRA]],0)</f>
        <v>723.37016643103414</v>
      </c>
      <c r="Z32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Row],[data]])),((Z325*AA325)+SUMIFS(estoque[valor total],estoque[produto],preçodiario[[#Headers],[OVO BRANCO JUMBO]],estoque[data],preçodiario[[#This Row],[data]],estoque[fornecedor],"&lt;&gt;saída"))/(AA325+(SUMIFS(estoque[quantidade],estoque[produto],preçodiario[[#Headers],[OVO BRANCO JUMBO]],estoque[fornecedor],"&lt;&gt;saída",estoque[data],preçodiario[[#This Row],[data]])))))</f>
        <v>16.50550595238095</v>
      </c>
      <c r="AA326" s="22">
        <f>IF(preçodiario[[#This Row],[entrada J]]=0,AA325-(SUMIFS(estoque[quantidade],estoque[fornecedor],"saída",estoque[produto],preçodiario[[#Headers],[OVO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Row],[data]]))+AA325+preçodiario[[#This Row],[entrada J]])</f>
        <v>75</v>
      </c>
      <c r="AB326" s="22">
        <f>SUMIFS(estoque[quantidade],estoque[fornecedor],"&lt;&gt;saída",estoque[produto],preçodiario[[#Headers],[OVO BRANCO JUMBO]],estoque[data],preçodiario[[#This Row],[data]])</f>
        <v>0</v>
      </c>
      <c r="AC326" s="20">
        <f>SUMIFS(estoque[valor total],estoque[fornecedor],"&lt;&gt;saída",estoque[produto],preçodiario[[#Headers],[OVO BRANCO JUMBO]],estoque[data],preçodiario[[#This Row],[data]])</f>
        <v>0</v>
      </c>
      <c r="AD326" s="20">
        <f>IFERROR(preçodiario[[#This Row],[OVO BRANCO JUMBO]]*preçodiario[[#This Row],[estoque J]],0)</f>
        <v>1237.9129464285713</v>
      </c>
      <c r="AE32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Row],[data]])),((AE325*AF325)+SUMIFS(estoque[valor total],estoque[produto],preçodiario[[#Headers],[OVO VERMELHO A]],estoque[data],preçodiario[[#This Row],[data]],estoque[fornecedor],"&lt;&gt;saída"))/(AF325+(SUMIFS(estoque[quantidade],estoque[produto],preçodiario[[#Headers],[OVO VERMELHO A]],estoque[fornecedor],"&lt;&gt;saída",estoque[data],preçodiario[[#This Row],[data]])))))</f>
        <v/>
      </c>
      <c r="AF326" s="22">
        <f>IF(preçodiario[[#This Row],[entrada AV]]=0,AF325-(SUMIFS(estoque[quantidade],estoque[fornecedor],"saída",estoque[produto],preçodiario[[#Headers],[OVO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Row],[data]]))+AF325+preçodiario[[#This Row],[entrada AV]])</f>
        <v>0</v>
      </c>
      <c r="AG326" s="22">
        <f>SUMIFS(estoque[quantidade],estoque[fornecedor],"&lt;&gt;saída",estoque[produto],preçodiario[[#Headers],[OVO VERMELHO A]],estoque[data],preçodiario[[#This Row],[data]])</f>
        <v>0</v>
      </c>
      <c r="AH326" s="20">
        <f>SUMIFS(estoque[valor total],estoque[fornecedor],"&lt;&gt;saída",estoque[produto],preçodiario[[#Headers],[OVO VERMELHO A]],estoque[data],preçodiario[[#This Row],[data]])</f>
        <v>0</v>
      </c>
      <c r="AI326" s="20">
        <f>IFERROR(preçodiario[[#This Row],[OVO VERMELHO A]]*preçodiario[[#This Row],[estoque AV]],0)</f>
        <v>0</v>
      </c>
      <c r="AJ32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Row],[data]])),((AJ325*AK325)+SUMIFS(estoque[valor total],estoque[produto],preçodiario[[#Headers],[OVO VERMELHO B]],estoque[data],preçodiario[[#This Row],[data]],estoque[fornecedor],"&lt;&gt;saída"))/(AK325+(SUMIFS(estoque[quantidade],estoque[produto],preçodiario[[#Headers],[OVO VERMELHO B]],estoque[fornecedor],"&lt;&gt;saída",estoque[data],preçodiario[[#This Row],[data]])))))</f>
        <v/>
      </c>
      <c r="AK326" s="22">
        <f>IF(preçodiario[[#This Row],[entrada BV]]=0,AK325-(SUMIFS(estoque[quantidade],estoque[fornecedor],"saída",estoque[produto],preçodiario[[#Headers],[OVO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Row],[data]]))+AK325+preçodiario[[#This Row],[entrada BV]])</f>
        <v>0</v>
      </c>
      <c r="AL326" s="22">
        <f>SUMIFS(estoque[quantidade],estoque[fornecedor],"&lt;&gt;saída",estoque[produto],preçodiario[[#Headers],[OVO VERMELHO B]],estoque[data],preçodiario[[#This Row],[data]])</f>
        <v>0</v>
      </c>
      <c r="AM326" s="20">
        <f>SUMIFS(estoque[valor total],estoque[fornecedor],"&lt;&gt;saída",estoque[produto],preçodiario[[#Headers],[OVO VERMELHO B]],estoque[data],preçodiario[[#This Row],[data]])</f>
        <v>0</v>
      </c>
      <c r="AN326" s="20">
        <f>IFERROR(preçodiario[[#This Row],[OVO VERMELHO B]]*preçodiario[[#This Row],[estoque BV]],0)</f>
        <v>0</v>
      </c>
      <c r="AO32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Row],[data]])),((AO325*AP325)+SUMIFS(estoque[valor total],estoque[produto],preçodiario[[#Headers],[OVO VERMELHO C]],estoque[data],preçodiario[[#This Row],[data]],estoque[fornecedor],"&lt;&gt;saída"))/(AP325+(SUMIFS(estoque[quantidade],estoque[produto],preçodiario[[#Headers],[OVO VERMELHO C]],estoque[fornecedor],"&lt;&gt;saída",estoque[data],preçodiario[[#This Row],[data]])))))</f>
        <v/>
      </c>
      <c r="AP326" s="22">
        <f>IF(preçodiario[[#This Row],[entrada CV]]=0,AP325-(SUMIFS(estoque[quantidade],estoque[fornecedor],"saída",estoque[produto],preçodiario[[#Headers],[OVO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Row],[data]]))+AP325+preçodiario[[#This Row],[entrada CV]])</f>
        <v>0</v>
      </c>
      <c r="AQ326" s="22">
        <f>SUMIFS(estoque[quantidade],estoque[fornecedor],"&lt;&gt;saída",estoque[produto],preçodiario[[#Headers],[OVO VERMELHO C]],estoque[data],preçodiario[[#This Row],[data]])</f>
        <v>0</v>
      </c>
      <c r="AR326" s="20">
        <f>SUMIFS(estoque[valor total],estoque[fornecedor],"&lt;&gt;saída",estoque[produto],preçodiario[[#Headers],[OVO VERMELHO C]],estoque[data],preçodiario[[#This Row],[data]])</f>
        <v>0</v>
      </c>
      <c r="AS326" s="20">
        <f>IFERROR(preçodiario[[#This Row],[OVO VERMELHO C]]*preçodiario[[#This Row],[estoque CV]],0)</f>
        <v>0</v>
      </c>
      <c r="AT32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Row],[data]])),((AT325*AU325)+SUMIFS(estoque[valor total],estoque[produto],preçodiario[[#Headers],[OVO VERMELHO EXTRA]],estoque[data],preçodiario[[#This Row],[data]],estoque[fornecedor],"&lt;&gt;saída"))/(AU325+(SUMIFS(estoque[quantidade],estoque[produto],preçodiario[[#Headers],[OVO VERMELHO EXTRA]],estoque[fornecedor],"&lt;&gt;saída",estoque[data],preçodiario[[#This Row],[data]])))))</f>
        <v/>
      </c>
      <c r="AU326" s="22">
        <f>IF(preçodiario[[#This Row],[entrada EV]]=0,AU325-(SUMIFS(estoque[quantidade],estoque[fornecedor],"saída",estoque[produto],preçodiario[[#Headers],[OVO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Row],[data]]))+AU325+preçodiario[[#This Row],[entrada EV]])</f>
        <v>0</v>
      </c>
      <c r="AV326" s="22">
        <f>SUMIFS(estoque[quantidade],estoque[fornecedor],"&lt;&gt;saída",estoque[produto],preçodiario[[#Headers],[OVO VERMELHO EXTRA]],estoque[data],preçodiario[[#This Row],[data]])</f>
        <v>0</v>
      </c>
      <c r="AW326" s="20">
        <f>SUMIFS(estoque[valor total],estoque[fornecedor],"&lt;&gt;saída",estoque[produto],preçodiario[[#Headers],[OVO VERMELHO EXTRA]],estoque[data],preçodiario[[#This Row],[data]])</f>
        <v>0</v>
      </c>
      <c r="AX326" s="20">
        <f>IFERROR(preçodiario[[#This Row],[OVO VERMELHO EXTRA]]*preçodiario[[#This Row],[estoque EV]],0)</f>
        <v>0</v>
      </c>
      <c r="AY32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Row],[data]])),((AY325*AZ325)+SUMIFS(estoque[valor total],estoque[produto],preçodiario[[#Headers],[OVO VERMELHO JUMBO]],estoque[data],preçodiario[[#This Row],[data]],estoque[fornecedor],"&lt;&gt;saída"))/(AZ325+(SUMIFS(estoque[quantidade],estoque[produto],preçodiario[[#Headers],[OVO VERMELHO JUMBO]],estoque[fornecedor],"&lt;&gt;saída",estoque[data],preçodiario[[#This Row],[data]])))))</f>
        <v/>
      </c>
      <c r="AZ326" s="22">
        <f>IF(preçodiario[[#This Row],[entrada JV]]=0,AZ325-(SUMIFS(estoque[quantidade],estoque[fornecedor],"saída",estoque[produto],preçodiario[[#Headers],[OVO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Row],[data]]))+AZ325+preçodiario[[#This Row],[entrada JV]])</f>
        <v>0</v>
      </c>
      <c r="BA326" s="22">
        <f>SUMIFS(estoque[quantidade],estoque[fornecedor],"&lt;&gt;saída",estoque[produto],preçodiario[[#Headers],[OVO VERMELHO JUMBO]],estoque[data],preçodiario[[#This Row],[data]])</f>
        <v>0</v>
      </c>
      <c r="BB326" s="20">
        <f>SUMIFS(estoque[valor total],estoque[fornecedor],"&lt;&gt;saída",estoque[produto],preçodiario[[#Headers],[OVO VERMELHO JUMBO]],estoque[data],preçodiario[[#This Row],[data]])</f>
        <v>0</v>
      </c>
      <c r="BC326" s="20">
        <f>IFERROR(preçodiario[[#This Row],[OVO VERMELHO JUMBO]]*preçodiario[[#This Row],[estoque JV]],0)</f>
        <v>0</v>
      </c>
      <c r="BD326" t="str">
        <f>TEXT(vendaAno[[#This Row],[data]],"mmm")</f>
        <v>nov</v>
      </c>
      <c r="BE326" t="str">
        <f>TEXT(vendaAno[[#This Row],[data]],"ddd")</f>
        <v>sáb</v>
      </c>
      <c r="BF326" s="82">
        <f>WEEKNUM(vendaAno[[#This Row],[data]],13)</f>
        <v>47</v>
      </c>
      <c r="BG326" s="27">
        <f>preçodiario[[#This Row],[data]]</f>
        <v>46347</v>
      </c>
      <c r="BH32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Row],[data]]))/12+BJ325,"")</f>
        <v/>
      </c>
      <c r="BK326" s="79" t="str">
        <f ca="1">IF(TODAY()&gt;=vendaAno[[#This Row],[data]],IF(SUMIFS(estoque[quantidade],estoque[fornecedor],"saída",estoque[data],vendaAno[[#This Row],[data]])/12=0,AVERAGE(BK323:BK325),SUMIFS(estoque[quantidade],estoque[fornecedor],"saída",estoque[data],vendaAno[[#This Row],[data]])/12),"")</f>
        <v/>
      </c>
      <c r="BL326" s="8" t="str">
        <f ca="1">IF(vendaAno[[#This Row],[data]]&lt;=TODAY(),IF(SUMIFS(estoque[lucro],estoque[fornecedor],"saída",estoque[data],vendaAno[[#This Row],[data]])=0,AVERAGE(BL323:BL325),SUMIFS(estoque[lucro],estoque[fornecedor],"saída",estoque[data],vendaAno[[#This Row],[data]])),"")</f>
        <v/>
      </c>
      <c r="BM326" s="10" t="str">
        <f ca="1">IFERROR(vendaAno[[#This Row],[lucro]]/vendaAno[[#This Row],[valor de venda]],"")</f>
        <v/>
      </c>
      <c r="BN32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6" s="8" t="str">
        <f ca="1">IF(TODAY()&gt;=vendaAno[[#This Row],[data]],IF(vendaAno[[#This Row],[N°]]=BF325,vendaAno[[#This Row],[lucro]]-173.33+BO325,vendaAno[[#This Row],[lucro]]-150),"")</f>
        <v/>
      </c>
      <c r="BP326" s="81" t="str">
        <f ca="1">IF(TODAY()&gt;=vendaAno[[#This Row],[data]],SUM(BK320:BK326)*12,"")</f>
        <v/>
      </c>
      <c r="BQ326" s="7" t="str">
        <f ca="1">IFERROR(vendaAno[[#This Row],[lucro]]/(vendaAno[[#This Row],[venda]]*12),"")</f>
        <v/>
      </c>
    </row>
    <row r="327" spans="1:69" x14ac:dyDescent="0.25">
      <c r="A32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7" s="18" t="str">
        <f>TEXT(preçodiario[[#This Row],[data]],"MMM")</f>
        <v>nov</v>
      </c>
      <c r="C327" s="18" t="str">
        <f>TEXT(preçodiario[[#This Row],[data]],"ddd")</f>
        <v>dom</v>
      </c>
      <c r="D327" s="96">
        <f>WEEKNUM(preçodiario[[#This Row],[data]],13)</f>
        <v>47</v>
      </c>
      <c r="E327" s="37">
        <v>46348</v>
      </c>
      <c r="F32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Row],[data]])),((F326*G326)+SUMIFS(estoque[valor total],estoque[produto],preçodiario[[#Headers],[OVO BRANCO A]],estoque[data],preçodiario[[#This Row],[data]],estoque[fornecedor],"&lt;&gt;saída"))/(G326+(SUMIFS(estoque[quantidade],estoque[produto],preçodiario[[#Headers],[OVO BRANCO A]],estoque[fornecedor],"&lt;&gt;saída",estoque[data],preçodiario[[#This Row],[data]])))))</f>
        <v>15.278182701652089</v>
      </c>
      <c r="G327" s="22">
        <f>IF(preçodiario[[#This Row],[entrada A]]=0,G326-(SUMIFS(estoque[quantidade],estoque[fornecedor],"saída",estoque[produto],preçodiario[[#Headers],[OVO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Row],[data]]))+G326+preçodiario[[#This Row],[entrada A]])</f>
        <v>133</v>
      </c>
      <c r="H327" s="22">
        <f>SUMIFS(estoque[quantidade],estoque[fornecedor],"&lt;&gt;saída",estoque[produto],preçodiario[[#Headers],[OVO BRANCO A]],estoque[data],preçodiario[[#This Row],[data]])</f>
        <v>0</v>
      </c>
      <c r="I327" s="20">
        <f>SUMIFS(estoque[valor total],estoque[fornecedor],"&lt;&gt;saída",estoque[produto],preçodiario[[#Headers],[OVO BRANCO A]],estoque[data],preçodiario[[#This Row],[data]])</f>
        <v>0</v>
      </c>
      <c r="J327" s="20">
        <f>IFERROR(preçodiario[[#This Row],[estoque A]]*preçodiario[[#This Row],[OVO BRANCO A]],0)</f>
        <v>2031.9982993197277</v>
      </c>
      <c r="K32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Row],[data]])),((K326*L326)+SUMIFS(estoque[valor total],estoque[produto],preçodiario[[#Headers],[OVO BRANCO B]],estoque[data],preçodiario[[#This Row],[data]],estoque[fornecedor],"&lt;&gt;saída"))/(L326+(SUMIFS(estoque[quantidade],estoque[produto],preçodiario[[#Headers],[OVO BRANCO B]],estoque[fornecedor],"&lt;&gt;saída",estoque[data],preçodiario[[#This Row],[data]])))))</f>
        <v>14.584252837326604</v>
      </c>
      <c r="L327" s="22">
        <f>IF(preçodiario[[#This Row],[entrada B]]=0,L326-(SUMIFS(estoque[quantidade],estoque[fornecedor],"saída",estoque[produto],preçodiario[[#Headers],[OVO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Row],[data]]))+L326+preçodiario[[#This Row],[entrada B]])</f>
        <v>16</v>
      </c>
      <c r="M327" s="22">
        <f>SUMIFS(estoque[quantidade],estoque[fornecedor],"&lt;&gt;saída",estoque[produto],preçodiario[[#Headers],[OVO BRANCO B]],estoque[data],preçodiario[[#This Row],[data]])</f>
        <v>0</v>
      </c>
      <c r="N327" s="20">
        <f>SUMIFS(estoque[valor total],estoque[fornecedor],"&lt;&gt;saída",estoque[produto],preçodiario[[#Headers],[OVO BRANCO B]],estoque[data],preçodiario[[#This Row],[data]])</f>
        <v>0</v>
      </c>
      <c r="O327" s="20">
        <f>IFERROR(preçodiario[[#This Row],[OVO BRANCO B]]*preçodiario[[#This Row],[estoque B]],0)</f>
        <v>233.34804539722566</v>
      </c>
      <c r="P32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Row],[data]])),((P326*Q326)+SUMIFS(estoque[valor total],estoque[produto],preçodiario[[#Headers],[OVO BRANCO C]],estoque[data],preçodiario[[#This Row],[data]],estoque[fornecedor],"&lt;&gt;saída"))/(Q326+(SUMIFS(estoque[quantidade],estoque[produto],preçodiario[[#Headers],[OVO BRANCO C]],estoque[fornecedor],"&lt;&gt;saída",estoque[data],preçodiario[[#This Row],[data]])))))</f>
        <v>12.5</v>
      </c>
      <c r="Q327" s="22">
        <f>IF(preçodiario[[#This Row],[entrada C]]=0,Q326-(SUMIFS(estoque[quantidade],estoque[fornecedor],"saída",estoque[produto],preçodiario[[#Headers],[OVO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Row],[data]]))+Q326+preçodiario[[#This Row],[entrada C]])</f>
        <v>60</v>
      </c>
      <c r="R327" s="22">
        <f>SUMIFS(estoque[quantidade],estoque[fornecedor],"&lt;&gt;saída",estoque[produto],preçodiario[[#Headers],[OVO BRANCO C]],estoque[data],preçodiario[[#This Row],[data]])</f>
        <v>0</v>
      </c>
      <c r="S327" s="20">
        <f>SUMIFS(estoque[valor total],estoque[fornecedor],"&lt;&gt;saída",estoque[produto],preçodiario[[#Headers],[OVO BRANCO C]],estoque[data],preçodiario[[#This Row],[data]])</f>
        <v>0</v>
      </c>
      <c r="T327" s="20">
        <f>IFERROR(preçodiario[[#This Row],[OVO BRANCO C]]*preçodiario[[#This Row],[estoque C]],0)</f>
        <v>750</v>
      </c>
      <c r="U32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Row],[data]])),((U326*V326)+SUMIFS(estoque[valor total],estoque[produto],preçodiario[[#Headers],[OVO BRANCO EXTRA]],estoque[data],preçodiario[[#This Row],[data]],estoque[fornecedor],"&lt;&gt;saída"))/(V326+(SUMIFS(estoque[quantidade],estoque[produto],preçodiario[[#Headers],[OVO BRANCO EXTRA]],estoque[fornecedor],"&lt;&gt;saída",estoque[data],preçodiario[[#This Row],[data]])))))</f>
        <v>15.725438400674655</v>
      </c>
      <c r="V327" s="22">
        <f>IF(preçodiario[[#This Row],[entrada E]]=0,V326-(SUMIFS(estoque[quantidade],estoque[fornecedor],"saída",estoque[produto],preçodiario[[#Headers],[OVO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Row],[data]]))+V326+preçodiario[[#This Row],[entrada E]])</f>
        <v>46</v>
      </c>
      <c r="W327" s="22">
        <f>SUMIFS(estoque[quantidade],estoque[fornecedor],"&lt;&gt;saída",estoque[produto],preçodiario[[#Headers],[OVO BRANCO EXTRA]],estoque[data],preçodiario[[#This Row],[data]])</f>
        <v>0</v>
      </c>
      <c r="X327" s="20">
        <f>SUMIFS(estoque[valor total],estoque[fornecedor],"&lt;&gt;saída",estoque[produto],preçodiario[[#Headers],[OVO BRANCO EXTRA]],estoque[data],preçodiario[[#This Row],[data]])</f>
        <v>0</v>
      </c>
      <c r="Y327" s="20">
        <f>IFERROR(preçodiario[[#This Row],[estoque E]]*preçodiario[[#This Row],[OVO BRANCO EXTRA]],0)</f>
        <v>723.37016643103414</v>
      </c>
      <c r="Z32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Row],[data]])),((Z326*AA326)+SUMIFS(estoque[valor total],estoque[produto],preçodiario[[#Headers],[OVO BRANCO JUMBO]],estoque[data],preçodiario[[#This Row],[data]],estoque[fornecedor],"&lt;&gt;saída"))/(AA326+(SUMIFS(estoque[quantidade],estoque[produto],preçodiario[[#Headers],[OVO BRANCO JUMBO]],estoque[fornecedor],"&lt;&gt;saída",estoque[data],preçodiario[[#This Row],[data]])))))</f>
        <v>16.50550595238095</v>
      </c>
      <c r="AA327" s="22">
        <f>IF(preçodiario[[#This Row],[entrada J]]=0,AA326-(SUMIFS(estoque[quantidade],estoque[fornecedor],"saída",estoque[produto],preçodiario[[#Headers],[OVO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Row],[data]]))+AA326+preçodiario[[#This Row],[entrada J]])</f>
        <v>75</v>
      </c>
      <c r="AB327" s="22">
        <f>SUMIFS(estoque[quantidade],estoque[fornecedor],"&lt;&gt;saída",estoque[produto],preçodiario[[#Headers],[OVO BRANCO JUMBO]],estoque[data],preçodiario[[#This Row],[data]])</f>
        <v>0</v>
      </c>
      <c r="AC327" s="20">
        <f>SUMIFS(estoque[valor total],estoque[fornecedor],"&lt;&gt;saída",estoque[produto],preçodiario[[#Headers],[OVO BRANCO JUMBO]],estoque[data],preçodiario[[#This Row],[data]])</f>
        <v>0</v>
      </c>
      <c r="AD327" s="20">
        <f>IFERROR(preçodiario[[#This Row],[OVO BRANCO JUMBO]]*preçodiario[[#This Row],[estoque J]],0)</f>
        <v>1237.9129464285713</v>
      </c>
      <c r="AE32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Row],[data]])),((AE326*AF326)+SUMIFS(estoque[valor total],estoque[produto],preçodiario[[#Headers],[OVO VERMELHO A]],estoque[data],preçodiario[[#This Row],[data]],estoque[fornecedor],"&lt;&gt;saída"))/(AF326+(SUMIFS(estoque[quantidade],estoque[produto],preçodiario[[#Headers],[OVO VERMELHO A]],estoque[fornecedor],"&lt;&gt;saída",estoque[data],preçodiario[[#This Row],[data]])))))</f>
        <v/>
      </c>
      <c r="AF327" s="22">
        <f>IF(preçodiario[[#This Row],[entrada AV]]=0,AF326-(SUMIFS(estoque[quantidade],estoque[fornecedor],"saída",estoque[produto],preçodiario[[#Headers],[OVO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Row],[data]]))+AF326+preçodiario[[#This Row],[entrada AV]])</f>
        <v>0</v>
      </c>
      <c r="AG327" s="22">
        <f>SUMIFS(estoque[quantidade],estoque[fornecedor],"&lt;&gt;saída",estoque[produto],preçodiario[[#Headers],[OVO VERMELHO A]],estoque[data],preçodiario[[#This Row],[data]])</f>
        <v>0</v>
      </c>
      <c r="AH327" s="20">
        <f>SUMIFS(estoque[valor total],estoque[fornecedor],"&lt;&gt;saída",estoque[produto],preçodiario[[#Headers],[OVO VERMELHO A]],estoque[data],preçodiario[[#This Row],[data]])</f>
        <v>0</v>
      </c>
      <c r="AI327" s="20">
        <f>IFERROR(preçodiario[[#This Row],[OVO VERMELHO A]]*preçodiario[[#This Row],[estoque AV]],0)</f>
        <v>0</v>
      </c>
      <c r="AJ32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Row],[data]])),((AJ326*AK326)+SUMIFS(estoque[valor total],estoque[produto],preçodiario[[#Headers],[OVO VERMELHO B]],estoque[data],preçodiario[[#This Row],[data]],estoque[fornecedor],"&lt;&gt;saída"))/(AK326+(SUMIFS(estoque[quantidade],estoque[produto],preçodiario[[#Headers],[OVO VERMELHO B]],estoque[fornecedor],"&lt;&gt;saída",estoque[data],preçodiario[[#This Row],[data]])))))</f>
        <v/>
      </c>
      <c r="AK327" s="22">
        <f>IF(preçodiario[[#This Row],[entrada BV]]=0,AK326-(SUMIFS(estoque[quantidade],estoque[fornecedor],"saída",estoque[produto],preçodiario[[#Headers],[OVO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Row],[data]]))+AK326+preçodiario[[#This Row],[entrada BV]])</f>
        <v>0</v>
      </c>
      <c r="AL327" s="22">
        <f>SUMIFS(estoque[quantidade],estoque[fornecedor],"&lt;&gt;saída",estoque[produto],preçodiario[[#Headers],[OVO VERMELHO B]],estoque[data],preçodiario[[#This Row],[data]])</f>
        <v>0</v>
      </c>
      <c r="AM327" s="20">
        <f>SUMIFS(estoque[valor total],estoque[fornecedor],"&lt;&gt;saída",estoque[produto],preçodiario[[#Headers],[OVO VERMELHO B]],estoque[data],preçodiario[[#This Row],[data]])</f>
        <v>0</v>
      </c>
      <c r="AN327" s="20">
        <f>IFERROR(preçodiario[[#This Row],[OVO VERMELHO B]]*preçodiario[[#This Row],[estoque BV]],0)</f>
        <v>0</v>
      </c>
      <c r="AO32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Row],[data]])),((AO326*AP326)+SUMIFS(estoque[valor total],estoque[produto],preçodiario[[#Headers],[OVO VERMELHO C]],estoque[data],preçodiario[[#This Row],[data]],estoque[fornecedor],"&lt;&gt;saída"))/(AP326+(SUMIFS(estoque[quantidade],estoque[produto],preçodiario[[#Headers],[OVO VERMELHO C]],estoque[fornecedor],"&lt;&gt;saída",estoque[data],preçodiario[[#This Row],[data]])))))</f>
        <v/>
      </c>
      <c r="AP327" s="22">
        <f>IF(preçodiario[[#This Row],[entrada CV]]=0,AP326-(SUMIFS(estoque[quantidade],estoque[fornecedor],"saída",estoque[produto],preçodiario[[#Headers],[OVO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Row],[data]]))+AP326+preçodiario[[#This Row],[entrada CV]])</f>
        <v>0</v>
      </c>
      <c r="AQ327" s="22">
        <f>SUMIFS(estoque[quantidade],estoque[fornecedor],"&lt;&gt;saída",estoque[produto],preçodiario[[#Headers],[OVO VERMELHO C]],estoque[data],preçodiario[[#This Row],[data]])</f>
        <v>0</v>
      </c>
      <c r="AR327" s="20">
        <f>SUMIFS(estoque[valor total],estoque[fornecedor],"&lt;&gt;saída",estoque[produto],preçodiario[[#Headers],[OVO VERMELHO C]],estoque[data],preçodiario[[#This Row],[data]])</f>
        <v>0</v>
      </c>
      <c r="AS327" s="20">
        <f>IFERROR(preçodiario[[#This Row],[OVO VERMELHO C]]*preçodiario[[#This Row],[estoque CV]],0)</f>
        <v>0</v>
      </c>
      <c r="AT32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Row],[data]])),((AT326*AU326)+SUMIFS(estoque[valor total],estoque[produto],preçodiario[[#Headers],[OVO VERMELHO EXTRA]],estoque[data],preçodiario[[#This Row],[data]],estoque[fornecedor],"&lt;&gt;saída"))/(AU326+(SUMIFS(estoque[quantidade],estoque[produto],preçodiario[[#Headers],[OVO VERMELHO EXTRA]],estoque[fornecedor],"&lt;&gt;saída",estoque[data],preçodiario[[#This Row],[data]])))))</f>
        <v/>
      </c>
      <c r="AU327" s="22">
        <f>IF(preçodiario[[#This Row],[entrada EV]]=0,AU326-(SUMIFS(estoque[quantidade],estoque[fornecedor],"saída",estoque[produto],preçodiario[[#Headers],[OVO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Row],[data]]))+AU326+preçodiario[[#This Row],[entrada EV]])</f>
        <v>0</v>
      </c>
      <c r="AV327" s="22">
        <f>SUMIFS(estoque[quantidade],estoque[fornecedor],"&lt;&gt;saída",estoque[produto],preçodiario[[#Headers],[OVO VERMELHO EXTRA]],estoque[data],preçodiario[[#This Row],[data]])</f>
        <v>0</v>
      </c>
      <c r="AW327" s="20">
        <f>SUMIFS(estoque[valor total],estoque[fornecedor],"&lt;&gt;saída",estoque[produto],preçodiario[[#Headers],[OVO VERMELHO EXTRA]],estoque[data],preçodiario[[#This Row],[data]])</f>
        <v>0</v>
      </c>
      <c r="AX327" s="20">
        <f>IFERROR(preçodiario[[#This Row],[OVO VERMELHO EXTRA]]*preçodiario[[#This Row],[estoque EV]],0)</f>
        <v>0</v>
      </c>
      <c r="AY32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Row],[data]])),((AY326*AZ326)+SUMIFS(estoque[valor total],estoque[produto],preçodiario[[#Headers],[OVO VERMELHO JUMBO]],estoque[data],preçodiario[[#This Row],[data]],estoque[fornecedor],"&lt;&gt;saída"))/(AZ326+(SUMIFS(estoque[quantidade],estoque[produto],preçodiario[[#Headers],[OVO VERMELHO JUMBO]],estoque[fornecedor],"&lt;&gt;saída",estoque[data],preçodiario[[#This Row],[data]])))))</f>
        <v/>
      </c>
      <c r="AZ327" s="22">
        <f>IF(preçodiario[[#This Row],[entrada JV]]=0,AZ326-(SUMIFS(estoque[quantidade],estoque[fornecedor],"saída",estoque[produto],preçodiario[[#Headers],[OVO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Row],[data]]))+AZ326+preçodiario[[#This Row],[entrada JV]])</f>
        <v>0</v>
      </c>
      <c r="BA327" s="22">
        <f>SUMIFS(estoque[quantidade],estoque[fornecedor],"&lt;&gt;saída",estoque[produto],preçodiario[[#Headers],[OVO VERMELHO JUMBO]],estoque[data],preçodiario[[#This Row],[data]])</f>
        <v>0</v>
      </c>
      <c r="BB327" s="20">
        <f>SUMIFS(estoque[valor total],estoque[fornecedor],"&lt;&gt;saída",estoque[produto],preçodiario[[#Headers],[OVO VERMELHO JUMBO]],estoque[data],preçodiario[[#This Row],[data]])</f>
        <v>0</v>
      </c>
      <c r="BC327" s="20">
        <f>IFERROR(preçodiario[[#This Row],[OVO VERMELHO JUMBO]]*preçodiario[[#This Row],[estoque JV]],0)</f>
        <v>0</v>
      </c>
      <c r="BD327" t="str">
        <f>TEXT(vendaAno[[#This Row],[data]],"mmm")</f>
        <v>nov</v>
      </c>
      <c r="BE327" t="str">
        <f>TEXT(vendaAno[[#This Row],[data]],"ddd")</f>
        <v>dom</v>
      </c>
      <c r="BF327" s="82">
        <f>WEEKNUM(vendaAno[[#This Row],[data]],13)</f>
        <v>47</v>
      </c>
      <c r="BG327" s="27">
        <f>preçodiario[[#This Row],[data]]</f>
        <v>46348</v>
      </c>
      <c r="BH32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Row],[data]]))/12+BJ326,"")</f>
        <v/>
      </c>
      <c r="BK327" s="79" t="str">
        <f ca="1">IF(TODAY()&gt;=vendaAno[[#This Row],[data]],IF(SUMIFS(estoque[quantidade],estoque[fornecedor],"saída",estoque[data],vendaAno[[#This Row],[data]])/12=0,AVERAGE(BK324:BK326),SUMIFS(estoque[quantidade],estoque[fornecedor],"saída",estoque[data],vendaAno[[#This Row],[data]])/12),"")</f>
        <v/>
      </c>
      <c r="BL327" s="8" t="str">
        <f ca="1">IF(vendaAno[[#This Row],[data]]&lt;=TODAY(),IF(SUMIFS(estoque[lucro],estoque[fornecedor],"saída",estoque[data],vendaAno[[#This Row],[data]])=0,AVERAGE(BL324:BL326),SUMIFS(estoque[lucro],estoque[fornecedor],"saída",estoque[data],vendaAno[[#This Row],[data]])),"")</f>
        <v/>
      </c>
      <c r="BM327" s="10" t="str">
        <f ca="1">IFERROR(vendaAno[[#This Row],[lucro]]/vendaAno[[#This Row],[valor de venda]],"")</f>
        <v/>
      </c>
      <c r="BN32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7" s="8" t="str">
        <f ca="1">IF(TODAY()&gt;=vendaAno[[#This Row],[data]],IF(vendaAno[[#This Row],[N°]]=BF326,vendaAno[[#This Row],[lucro]]-173.33+BO326,vendaAno[[#This Row],[lucro]]-150),"")</f>
        <v/>
      </c>
      <c r="BP327" s="81" t="str">
        <f ca="1">IF(TODAY()&gt;=vendaAno[[#This Row],[data]],SUM(BK321:BK327)*12,"")</f>
        <v/>
      </c>
      <c r="BQ327" s="7" t="str">
        <f ca="1">IFERROR(vendaAno[[#This Row],[lucro]]/(vendaAno[[#This Row],[venda]]*12),"")</f>
        <v/>
      </c>
    </row>
    <row r="328" spans="1:69" x14ac:dyDescent="0.25">
      <c r="A32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8" s="18" t="str">
        <f>TEXT(preçodiario[[#This Row],[data]],"MMM")</f>
        <v>nov</v>
      </c>
      <c r="C328" s="18" t="str">
        <f>TEXT(preçodiario[[#This Row],[data]],"ddd")</f>
        <v>seg</v>
      </c>
      <c r="D328" s="96">
        <f>WEEKNUM(preçodiario[[#This Row],[data]],13)</f>
        <v>47</v>
      </c>
      <c r="E328" s="37">
        <v>46349</v>
      </c>
      <c r="F32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Row],[data]])),((F327*G327)+SUMIFS(estoque[valor total],estoque[produto],preçodiario[[#Headers],[OVO BRANCO A]],estoque[data],preçodiario[[#This Row],[data]],estoque[fornecedor],"&lt;&gt;saída"))/(G327+(SUMIFS(estoque[quantidade],estoque[produto],preçodiario[[#Headers],[OVO BRANCO A]],estoque[fornecedor],"&lt;&gt;saída",estoque[data],preçodiario[[#This Row],[data]])))))</f>
        <v>15.278182701652089</v>
      </c>
      <c r="G328" s="22">
        <f>IF(preçodiario[[#This Row],[entrada A]]=0,G327-(SUMIFS(estoque[quantidade],estoque[fornecedor],"saída",estoque[produto],preçodiario[[#Headers],[OVO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Row],[data]]))+G327+preçodiario[[#This Row],[entrada A]])</f>
        <v>133</v>
      </c>
      <c r="H328" s="22">
        <f>SUMIFS(estoque[quantidade],estoque[fornecedor],"&lt;&gt;saída",estoque[produto],preçodiario[[#Headers],[OVO BRANCO A]],estoque[data],preçodiario[[#This Row],[data]])</f>
        <v>0</v>
      </c>
      <c r="I328" s="20">
        <f>SUMIFS(estoque[valor total],estoque[fornecedor],"&lt;&gt;saída",estoque[produto],preçodiario[[#Headers],[OVO BRANCO A]],estoque[data],preçodiario[[#This Row],[data]])</f>
        <v>0</v>
      </c>
      <c r="J328" s="20">
        <f>IFERROR(preçodiario[[#This Row],[estoque A]]*preçodiario[[#This Row],[OVO BRANCO A]],0)</f>
        <v>2031.9982993197277</v>
      </c>
      <c r="K32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Row],[data]])),((K327*L327)+SUMIFS(estoque[valor total],estoque[produto],preçodiario[[#Headers],[OVO BRANCO B]],estoque[data],preçodiario[[#This Row],[data]],estoque[fornecedor],"&lt;&gt;saída"))/(L327+(SUMIFS(estoque[quantidade],estoque[produto],preçodiario[[#Headers],[OVO BRANCO B]],estoque[fornecedor],"&lt;&gt;saída",estoque[data],preçodiario[[#This Row],[data]])))))</f>
        <v>14.584252837326604</v>
      </c>
      <c r="L328" s="22">
        <f>IF(preçodiario[[#This Row],[entrada B]]=0,L327-(SUMIFS(estoque[quantidade],estoque[fornecedor],"saída",estoque[produto],preçodiario[[#Headers],[OVO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Row],[data]]))+L327+preçodiario[[#This Row],[entrada B]])</f>
        <v>16</v>
      </c>
      <c r="M328" s="22">
        <f>SUMIFS(estoque[quantidade],estoque[fornecedor],"&lt;&gt;saída",estoque[produto],preçodiario[[#Headers],[OVO BRANCO B]],estoque[data],preçodiario[[#This Row],[data]])</f>
        <v>0</v>
      </c>
      <c r="N328" s="20">
        <f>SUMIFS(estoque[valor total],estoque[fornecedor],"&lt;&gt;saída",estoque[produto],preçodiario[[#Headers],[OVO BRANCO B]],estoque[data],preçodiario[[#This Row],[data]])</f>
        <v>0</v>
      </c>
      <c r="O328" s="20">
        <f>IFERROR(preçodiario[[#This Row],[OVO BRANCO B]]*preçodiario[[#This Row],[estoque B]],0)</f>
        <v>233.34804539722566</v>
      </c>
      <c r="P32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Row],[data]])),((P327*Q327)+SUMIFS(estoque[valor total],estoque[produto],preçodiario[[#Headers],[OVO BRANCO C]],estoque[data],preçodiario[[#This Row],[data]],estoque[fornecedor],"&lt;&gt;saída"))/(Q327+(SUMIFS(estoque[quantidade],estoque[produto],preçodiario[[#Headers],[OVO BRANCO C]],estoque[fornecedor],"&lt;&gt;saída",estoque[data],preçodiario[[#This Row],[data]])))))</f>
        <v>12.5</v>
      </c>
      <c r="Q328" s="22">
        <f>IF(preçodiario[[#This Row],[entrada C]]=0,Q327-(SUMIFS(estoque[quantidade],estoque[fornecedor],"saída",estoque[produto],preçodiario[[#Headers],[OVO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Row],[data]]))+Q327+preçodiario[[#This Row],[entrada C]])</f>
        <v>60</v>
      </c>
      <c r="R328" s="22">
        <f>SUMIFS(estoque[quantidade],estoque[fornecedor],"&lt;&gt;saída",estoque[produto],preçodiario[[#Headers],[OVO BRANCO C]],estoque[data],preçodiario[[#This Row],[data]])</f>
        <v>0</v>
      </c>
      <c r="S328" s="20">
        <f>SUMIFS(estoque[valor total],estoque[fornecedor],"&lt;&gt;saída",estoque[produto],preçodiario[[#Headers],[OVO BRANCO C]],estoque[data],preçodiario[[#This Row],[data]])</f>
        <v>0</v>
      </c>
      <c r="T328" s="20">
        <f>IFERROR(preçodiario[[#This Row],[OVO BRANCO C]]*preçodiario[[#This Row],[estoque C]],0)</f>
        <v>750</v>
      </c>
      <c r="U32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Row],[data]])),((U327*V327)+SUMIFS(estoque[valor total],estoque[produto],preçodiario[[#Headers],[OVO BRANCO EXTRA]],estoque[data],preçodiario[[#This Row],[data]],estoque[fornecedor],"&lt;&gt;saída"))/(V327+(SUMIFS(estoque[quantidade],estoque[produto],preçodiario[[#Headers],[OVO BRANCO EXTRA]],estoque[fornecedor],"&lt;&gt;saída",estoque[data],preçodiario[[#This Row],[data]])))))</f>
        <v>15.725438400674655</v>
      </c>
      <c r="V328" s="22">
        <f>IF(preçodiario[[#This Row],[entrada E]]=0,V327-(SUMIFS(estoque[quantidade],estoque[fornecedor],"saída",estoque[produto],preçodiario[[#Headers],[OVO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Row],[data]]))+V327+preçodiario[[#This Row],[entrada E]])</f>
        <v>46</v>
      </c>
      <c r="W328" s="22">
        <f>SUMIFS(estoque[quantidade],estoque[fornecedor],"&lt;&gt;saída",estoque[produto],preçodiario[[#Headers],[OVO BRANCO EXTRA]],estoque[data],preçodiario[[#This Row],[data]])</f>
        <v>0</v>
      </c>
      <c r="X328" s="20">
        <f>SUMIFS(estoque[valor total],estoque[fornecedor],"&lt;&gt;saída",estoque[produto],preçodiario[[#Headers],[OVO BRANCO EXTRA]],estoque[data],preçodiario[[#This Row],[data]])</f>
        <v>0</v>
      </c>
      <c r="Y328" s="20">
        <f>IFERROR(preçodiario[[#This Row],[estoque E]]*preçodiario[[#This Row],[OVO BRANCO EXTRA]],0)</f>
        <v>723.37016643103414</v>
      </c>
      <c r="Z32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Row],[data]])),((Z327*AA327)+SUMIFS(estoque[valor total],estoque[produto],preçodiario[[#Headers],[OVO BRANCO JUMBO]],estoque[data],preçodiario[[#This Row],[data]],estoque[fornecedor],"&lt;&gt;saída"))/(AA327+(SUMIFS(estoque[quantidade],estoque[produto],preçodiario[[#Headers],[OVO BRANCO JUMBO]],estoque[fornecedor],"&lt;&gt;saída",estoque[data],preçodiario[[#This Row],[data]])))))</f>
        <v>16.50550595238095</v>
      </c>
      <c r="AA328" s="22">
        <f>IF(preçodiario[[#This Row],[entrada J]]=0,AA327-(SUMIFS(estoque[quantidade],estoque[fornecedor],"saída",estoque[produto],preçodiario[[#Headers],[OVO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Row],[data]]))+AA327+preçodiario[[#This Row],[entrada J]])</f>
        <v>75</v>
      </c>
      <c r="AB328" s="22">
        <f>SUMIFS(estoque[quantidade],estoque[fornecedor],"&lt;&gt;saída",estoque[produto],preçodiario[[#Headers],[OVO BRANCO JUMBO]],estoque[data],preçodiario[[#This Row],[data]])</f>
        <v>0</v>
      </c>
      <c r="AC328" s="20">
        <f>SUMIFS(estoque[valor total],estoque[fornecedor],"&lt;&gt;saída",estoque[produto],preçodiario[[#Headers],[OVO BRANCO JUMBO]],estoque[data],preçodiario[[#This Row],[data]])</f>
        <v>0</v>
      </c>
      <c r="AD328" s="20">
        <f>IFERROR(preçodiario[[#This Row],[OVO BRANCO JUMBO]]*preçodiario[[#This Row],[estoque J]],0)</f>
        <v>1237.9129464285713</v>
      </c>
      <c r="AE32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Row],[data]])),((AE327*AF327)+SUMIFS(estoque[valor total],estoque[produto],preçodiario[[#Headers],[OVO VERMELHO A]],estoque[data],preçodiario[[#This Row],[data]],estoque[fornecedor],"&lt;&gt;saída"))/(AF327+(SUMIFS(estoque[quantidade],estoque[produto],preçodiario[[#Headers],[OVO VERMELHO A]],estoque[fornecedor],"&lt;&gt;saída",estoque[data],preçodiario[[#This Row],[data]])))))</f>
        <v/>
      </c>
      <c r="AF328" s="22">
        <f>IF(preçodiario[[#This Row],[entrada AV]]=0,AF327-(SUMIFS(estoque[quantidade],estoque[fornecedor],"saída",estoque[produto],preçodiario[[#Headers],[OVO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Row],[data]]))+AF327+preçodiario[[#This Row],[entrada AV]])</f>
        <v>0</v>
      </c>
      <c r="AG328" s="22">
        <f>SUMIFS(estoque[quantidade],estoque[fornecedor],"&lt;&gt;saída",estoque[produto],preçodiario[[#Headers],[OVO VERMELHO A]],estoque[data],preçodiario[[#This Row],[data]])</f>
        <v>0</v>
      </c>
      <c r="AH328" s="20">
        <f>SUMIFS(estoque[valor total],estoque[fornecedor],"&lt;&gt;saída",estoque[produto],preçodiario[[#Headers],[OVO VERMELHO A]],estoque[data],preçodiario[[#This Row],[data]])</f>
        <v>0</v>
      </c>
      <c r="AI328" s="20">
        <f>IFERROR(preçodiario[[#This Row],[OVO VERMELHO A]]*preçodiario[[#This Row],[estoque AV]],0)</f>
        <v>0</v>
      </c>
      <c r="AJ32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Row],[data]])),((AJ327*AK327)+SUMIFS(estoque[valor total],estoque[produto],preçodiario[[#Headers],[OVO VERMELHO B]],estoque[data],preçodiario[[#This Row],[data]],estoque[fornecedor],"&lt;&gt;saída"))/(AK327+(SUMIFS(estoque[quantidade],estoque[produto],preçodiario[[#Headers],[OVO VERMELHO B]],estoque[fornecedor],"&lt;&gt;saída",estoque[data],preçodiario[[#This Row],[data]])))))</f>
        <v/>
      </c>
      <c r="AK328" s="22">
        <f>IF(preçodiario[[#This Row],[entrada BV]]=0,AK327-(SUMIFS(estoque[quantidade],estoque[fornecedor],"saída",estoque[produto],preçodiario[[#Headers],[OVO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Row],[data]]))+AK327+preçodiario[[#This Row],[entrada BV]])</f>
        <v>0</v>
      </c>
      <c r="AL328" s="22">
        <f>SUMIFS(estoque[quantidade],estoque[fornecedor],"&lt;&gt;saída",estoque[produto],preçodiario[[#Headers],[OVO VERMELHO B]],estoque[data],preçodiario[[#This Row],[data]])</f>
        <v>0</v>
      </c>
      <c r="AM328" s="20">
        <f>SUMIFS(estoque[valor total],estoque[fornecedor],"&lt;&gt;saída",estoque[produto],preçodiario[[#Headers],[OVO VERMELHO B]],estoque[data],preçodiario[[#This Row],[data]])</f>
        <v>0</v>
      </c>
      <c r="AN328" s="20">
        <f>IFERROR(preçodiario[[#This Row],[OVO VERMELHO B]]*preçodiario[[#This Row],[estoque BV]],0)</f>
        <v>0</v>
      </c>
      <c r="AO32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Row],[data]])),((AO327*AP327)+SUMIFS(estoque[valor total],estoque[produto],preçodiario[[#Headers],[OVO VERMELHO C]],estoque[data],preçodiario[[#This Row],[data]],estoque[fornecedor],"&lt;&gt;saída"))/(AP327+(SUMIFS(estoque[quantidade],estoque[produto],preçodiario[[#Headers],[OVO VERMELHO C]],estoque[fornecedor],"&lt;&gt;saída",estoque[data],preçodiario[[#This Row],[data]])))))</f>
        <v/>
      </c>
      <c r="AP328" s="22">
        <f>IF(preçodiario[[#This Row],[entrada CV]]=0,AP327-(SUMIFS(estoque[quantidade],estoque[fornecedor],"saída",estoque[produto],preçodiario[[#Headers],[OVO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Row],[data]]))+AP327+preçodiario[[#This Row],[entrada CV]])</f>
        <v>0</v>
      </c>
      <c r="AQ328" s="22">
        <f>SUMIFS(estoque[quantidade],estoque[fornecedor],"&lt;&gt;saída",estoque[produto],preçodiario[[#Headers],[OVO VERMELHO C]],estoque[data],preçodiario[[#This Row],[data]])</f>
        <v>0</v>
      </c>
      <c r="AR328" s="20">
        <f>SUMIFS(estoque[valor total],estoque[fornecedor],"&lt;&gt;saída",estoque[produto],preçodiario[[#Headers],[OVO VERMELHO C]],estoque[data],preçodiario[[#This Row],[data]])</f>
        <v>0</v>
      </c>
      <c r="AS328" s="20">
        <f>IFERROR(preçodiario[[#This Row],[OVO VERMELHO C]]*preçodiario[[#This Row],[estoque CV]],0)</f>
        <v>0</v>
      </c>
      <c r="AT32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Row],[data]])),((AT327*AU327)+SUMIFS(estoque[valor total],estoque[produto],preçodiario[[#Headers],[OVO VERMELHO EXTRA]],estoque[data],preçodiario[[#This Row],[data]],estoque[fornecedor],"&lt;&gt;saída"))/(AU327+(SUMIFS(estoque[quantidade],estoque[produto],preçodiario[[#Headers],[OVO VERMELHO EXTRA]],estoque[fornecedor],"&lt;&gt;saída",estoque[data],preçodiario[[#This Row],[data]])))))</f>
        <v/>
      </c>
      <c r="AU328" s="22">
        <f>IF(preçodiario[[#This Row],[entrada EV]]=0,AU327-(SUMIFS(estoque[quantidade],estoque[fornecedor],"saída",estoque[produto],preçodiario[[#Headers],[OVO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Row],[data]]))+AU327+preçodiario[[#This Row],[entrada EV]])</f>
        <v>0</v>
      </c>
      <c r="AV328" s="22">
        <f>SUMIFS(estoque[quantidade],estoque[fornecedor],"&lt;&gt;saída",estoque[produto],preçodiario[[#Headers],[OVO VERMELHO EXTRA]],estoque[data],preçodiario[[#This Row],[data]])</f>
        <v>0</v>
      </c>
      <c r="AW328" s="20">
        <f>SUMIFS(estoque[valor total],estoque[fornecedor],"&lt;&gt;saída",estoque[produto],preçodiario[[#Headers],[OVO VERMELHO EXTRA]],estoque[data],preçodiario[[#This Row],[data]])</f>
        <v>0</v>
      </c>
      <c r="AX328" s="20">
        <f>IFERROR(preçodiario[[#This Row],[OVO VERMELHO EXTRA]]*preçodiario[[#This Row],[estoque EV]],0)</f>
        <v>0</v>
      </c>
      <c r="AY32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Row],[data]])),((AY327*AZ327)+SUMIFS(estoque[valor total],estoque[produto],preçodiario[[#Headers],[OVO VERMELHO JUMBO]],estoque[data],preçodiario[[#This Row],[data]],estoque[fornecedor],"&lt;&gt;saída"))/(AZ327+(SUMIFS(estoque[quantidade],estoque[produto],preçodiario[[#Headers],[OVO VERMELHO JUMBO]],estoque[fornecedor],"&lt;&gt;saída",estoque[data],preçodiario[[#This Row],[data]])))))</f>
        <v/>
      </c>
      <c r="AZ328" s="22">
        <f>IF(preçodiario[[#This Row],[entrada JV]]=0,AZ327-(SUMIFS(estoque[quantidade],estoque[fornecedor],"saída",estoque[produto],preçodiario[[#Headers],[OVO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Row],[data]]))+AZ327+preçodiario[[#This Row],[entrada JV]])</f>
        <v>0</v>
      </c>
      <c r="BA328" s="22">
        <f>SUMIFS(estoque[quantidade],estoque[fornecedor],"&lt;&gt;saída",estoque[produto],preçodiario[[#Headers],[OVO VERMELHO JUMBO]],estoque[data],preçodiario[[#This Row],[data]])</f>
        <v>0</v>
      </c>
      <c r="BB328" s="20">
        <f>SUMIFS(estoque[valor total],estoque[fornecedor],"&lt;&gt;saída",estoque[produto],preçodiario[[#Headers],[OVO VERMELHO JUMBO]],estoque[data],preçodiario[[#This Row],[data]])</f>
        <v>0</v>
      </c>
      <c r="BC328" s="20">
        <f>IFERROR(preçodiario[[#This Row],[OVO VERMELHO JUMBO]]*preçodiario[[#This Row],[estoque JV]],0)</f>
        <v>0</v>
      </c>
      <c r="BD328" t="str">
        <f>TEXT(vendaAno[[#This Row],[data]],"mmm")</f>
        <v>nov</v>
      </c>
      <c r="BE328" t="str">
        <f>TEXT(vendaAno[[#This Row],[data]],"ddd")</f>
        <v>seg</v>
      </c>
      <c r="BF328" s="82">
        <f>WEEKNUM(vendaAno[[#This Row],[data]],13)</f>
        <v>47</v>
      </c>
      <c r="BG328" s="27">
        <f>preçodiario[[#This Row],[data]]</f>
        <v>46349</v>
      </c>
      <c r="BH32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Row],[data]]))/12+BJ327,"")</f>
        <v/>
      </c>
      <c r="BK328" s="79" t="str">
        <f ca="1">IF(TODAY()&gt;=vendaAno[[#This Row],[data]],IF(SUMIFS(estoque[quantidade],estoque[fornecedor],"saída",estoque[data],vendaAno[[#This Row],[data]])/12=0,AVERAGE(BK325:BK327),SUMIFS(estoque[quantidade],estoque[fornecedor],"saída",estoque[data],vendaAno[[#This Row],[data]])/12),"")</f>
        <v/>
      </c>
      <c r="BL328" s="8" t="str">
        <f ca="1">IF(vendaAno[[#This Row],[data]]&lt;=TODAY(),IF(SUMIFS(estoque[lucro],estoque[fornecedor],"saída",estoque[data],vendaAno[[#This Row],[data]])=0,AVERAGE(BL325:BL327),SUMIFS(estoque[lucro],estoque[fornecedor],"saída",estoque[data],vendaAno[[#This Row],[data]])),"")</f>
        <v/>
      </c>
      <c r="BM328" s="10" t="str">
        <f ca="1">IFERROR(vendaAno[[#This Row],[lucro]]/vendaAno[[#This Row],[valor de venda]],"")</f>
        <v/>
      </c>
      <c r="BN32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8" s="8" t="str">
        <f ca="1">IF(TODAY()&gt;=vendaAno[[#This Row],[data]],IF(vendaAno[[#This Row],[N°]]=BF327,vendaAno[[#This Row],[lucro]]-173.33+BO327,vendaAno[[#This Row],[lucro]]-150),"")</f>
        <v/>
      </c>
      <c r="BP328" s="81" t="str">
        <f ca="1">IF(TODAY()&gt;=vendaAno[[#This Row],[data]],SUM(BK322:BK328)*12,"")</f>
        <v/>
      </c>
      <c r="BQ328" s="7" t="str">
        <f ca="1">IFERROR(vendaAno[[#This Row],[lucro]]/(vendaAno[[#This Row],[venda]]*12),"")</f>
        <v/>
      </c>
    </row>
    <row r="329" spans="1:69" x14ac:dyDescent="0.25">
      <c r="A32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29" s="18" t="str">
        <f>TEXT(preçodiario[[#This Row],[data]],"MMM")</f>
        <v>nov</v>
      </c>
      <c r="C329" s="18" t="str">
        <f>TEXT(preçodiario[[#This Row],[data]],"ddd")</f>
        <v>ter</v>
      </c>
      <c r="D329" s="96">
        <f>WEEKNUM(preçodiario[[#This Row],[data]],13)</f>
        <v>47</v>
      </c>
      <c r="E329" s="37">
        <v>46350</v>
      </c>
      <c r="F32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Row],[data]])),((F328*G328)+SUMIFS(estoque[valor total],estoque[produto],preçodiario[[#Headers],[OVO BRANCO A]],estoque[data],preçodiario[[#This Row],[data]],estoque[fornecedor],"&lt;&gt;saída"))/(G328+(SUMIFS(estoque[quantidade],estoque[produto],preçodiario[[#Headers],[OVO BRANCO A]],estoque[fornecedor],"&lt;&gt;saída",estoque[data],preçodiario[[#This Row],[data]])))))</f>
        <v>15.278182701652089</v>
      </c>
      <c r="G329" s="22">
        <f>IF(preçodiario[[#This Row],[entrada A]]=0,G328-(SUMIFS(estoque[quantidade],estoque[fornecedor],"saída",estoque[produto],preçodiario[[#Headers],[OVO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Row],[data]]))+G328+preçodiario[[#This Row],[entrada A]])</f>
        <v>133</v>
      </c>
      <c r="H329" s="22">
        <f>SUMIFS(estoque[quantidade],estoque[fornecedor],"&lt;&gt;saída",estoque[produto],preçodiario[[#Headers],[OVO BRANCO A]],estoque[data],preçodiario[[#This Row],[data]])</f>
        <v>0</v>
      </c>
      <c r="I329" s="20">
        <f>SUMIFS(estoque[valor total],estoque[fornecedor],"&lt;&gt;saída",estoque[produto],preçodiario[[#Headers],[OVO BRANCO A]],estoque[data],preçodiario[[#This Row],[data]])</f>
        <v>0</v>
      </c>
      <c r="J329" s="20">
        <f>IFERROR(preçodiario[[#This Row],[estoque A]]*preçodiario[[#This Row],[OVO BRANCO A]],0)</f>
        <v>2031.9982993197277</v>
      </c>
      <c r="K32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Row],[data]])),((K328*L328)+SUMIFS(estoque[valor total],estoque[produto],preçodiario[[#Headers],[OVO BRANCO B]],estoque[data],preçodiario[[#This Row],[data]],estoque[fornecedor],"&lt;&gt;saída"))/(L328+(SUMIFS(estoque[quantidade],estoque[produto],preçodiario[[#Headers],[OVO BRANCO B]],estoque[fornecedor],"&lt;&gt;saída",estoque[data],preçodiario[[#This Row],[data]])))))</f>
        <v>14.584252837326604</v>
      </c>
      <c r="L329" s="22">
        <f>IF(preçodiario[[#This Row],[entrada B]]=0,L328-(SUMIFS(estoque[quantidade],estoque[fornecedor],"saída",estoque[produto],preçodiario[[#Headers],[OVO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Row],[data]]))+L328+preçodiario[[#This Row],[entrada B]])</f>
        <v>16</v>
      </c>
      <c r="M329" s="22">
        <f>SUMIFS(estoque[quantidade],estoque[fornecedor],"&lt;&gt;saída",estoque[produto],preçodiario[[#Headers],[OVO BRANCO B]],estoque[data],preçodiario[[#This Row],[data]])</f>
        <v>0</v>
      </c>
      <c r="N329" s="20">
        <f>SUMIFS(estoque[valor total],estoque[fornecedor],"&lt;&gt;saída",estoque[produto],preçodiario[[#Headers],[OVO BRANCO B]],estoque[data],preçodiario[[#This Row],[data]])</f>
        <v>0</v>
      </c>
      <c r="O329" s="20">
        <f>IFERROR(preçodiario[[#This Row],[OVO BRANCO B]]*preçodiario[[#This Row],[estoque B]],0)</f>
        <v>233.34804539722566</v>
      </c>
      <c r="P32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Row],[data]])),((P328*Q328)+SUMIFS(estoque[valor total],estoque[produto],preçodiario[[#Headers],[OVO BRANCO C]],estoque[data],preçodiario[[#This Row],[data]],estoque[fornecedor],"&lt;&gt;saída"))/(Q328+(SUMIFS(estoque[quantidade],estoque[produto],preçodiario[[#Headers],[OVO BRANCO C]],estoque[fornecedor],"&lt;&gt;saída",estoque[data],preçodiario[[#This Row],[data]])))))</f>
        <v>12.5</v>
      </c>
      <c r="Q329" s="22">
        <f>IF(preçodiario[[#This Row],[entrada C]]=0,Q328-(SUMIFS(estoque[quantidade],estoque[fornecedor],"saída",estoque[produto],preçodiario[[#Headers],[OVO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Row],[data]]))+Q328+preçodiario[[#This Row],[entrada C]])</f>
        <v>60</v>
      </c>
      <c r="R329" s="22">
        <f>SUMIFS(estoque[quantidade],estoque[fornecedor],"&lt;&gt;saída",estoque[produto],preçodiario[[#Headers],[OVO BRANCO C]],estoque[data],preçodiario[[#This Row],[data]])</f>
        <v>0</v>
      </c>
      <c r="S329" s="20">
        <f>SUMIFS(estoque[valor total],estoque[fornecedor],"&lt;&gt;saída",estoque[produto],preçodiario[[#Headers],[OVO BRANCO C]],estoque[data],preçodiario[[#This Row],[data]])</f>
        <v>0</v>
      </c>
      <c r="T329" s="20">
        <f>IFERROR(preçodiario[[#This Row],[OVO BRANCO C]]*preçodiario[[#This Row],[estoque C]],0)</f>
        <v>750</v>
      </c>
      <c r="U32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Row],[data]])),((U328*V328)+SUMIFS(estoque[valor total],estoque[produto],preçodiario[[#Headers],[OVO BRANCO EXTRA]],estoque[data],preçodiario[[#This Row],[data]],estoque[fornecedor],"&lt;&gt;saída"))/(V328+(SUMIFS(estoque[quantidade],estoque[produto],preçodiario[[#Headers],[OVO BRANCO EXTRA]],estoque[fornecedor],"&lt;&gt;saída",estoque[data],preçodiario[[#This Row],[data]])))))</f>
        <v>15.725438400674655</v>
      </c>
      <c r="V329" s="22">
        <f>IF(preçodiario[[#This Row],[entrada E]]=0,V328-(SUMIFS(estoque[quantidade],estoque[fornecedor],"saída",estoque[produto],preçodiario[[#Headers],[OVO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Row],[data]]))+V328+preçodiario[[#This Row],[entrada E]])</f>
        <v>46</v>
      </c>
      <c r="W329" s="22">
        <f>SUMIFS(estoque[quantidade],estoque[fornecedor],"&lt;&gt;saída",estoque[produto],preçodiario[[#Headers],[OVO BRANCO EXTRA]],estoque[data],preçodiario[[#This Row],[data]])</f>
        <v>0</v>
      </c>
      <c r="X329" s="20">
        <f>SUMIFS(estoque[valor total],estoque[fornecedor],"&lt;&gt;saída",estoque[produto],preçodiario[[#Headers],[OVO BRANCO EXTRA]],estoque[data],preçodiario[[#This Row],[data]])</f>
        <v>0</v>
      </c>
      <c r="Y329" s="20">
        <f>IFERROR(preçodiario[[#This Row],[estoque E]]*preçodiario[[#This Row],[OVO BRANCO EXTRA]],0)</f>
        <v>723.37016643103414</v>
      </c>
      <c r="Z32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Row],[data]])),((Z328*AA328)+SUMIFS(estoque[valor total],estoque[produto],preçodiario[[#Headers],[OVO BRANCO JUMBO]],estoque[data],preçodiario[[#This Row],[data]],estoque[fornecedor],"&lt;&gt;saída"))/(AA328+(SUMIFS(estoque[quantidade],estoque[produto],preçodiario[[#Headers],[OVO BRANCO JUMBO]],estoque[fornecedor],"&lt;&gt;saída",estoque[data],preçodiario[[#This Row],[data]])))))</f>
        <v>16.50550595238095</v>
      </c>
      <c r="AA329" s="22">
        <f>IF(preçodiario[[#This Row],[entrada J]]=0,AA328-(SUMIFS(estoque[quantidade],estoque[fornecedor],"saída",estoque[produto],preçodiario[[#Headers],[OVO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Row],[data]]))+AA328+preçodiario[[#This Row],[entrada J]])</f>
        <v>75</v>
      </c>
      <c r="AB329" s="22">
        <f>SUMIFS(estoque[quantidade],estoque[fornecedor],"&lt;&gt;saída",estoque[produto],preçodiario[[#Headers],[OVO BRANCO JUMBO]],estoque[data],preçodiario[[#This Row],[data]])</f>
        <v>0</v>
      </c>
      <c r="AC329" s="20">
        <f>SUMIFS(estoque[valor total],estoque[fornecedor],"&lt;&gt;saída",estoque[produto],preçodiario[[#Headers],[OVO BRANCO JUMBO]],estoque[data],preçodiario[[#This Row],[data]])</f>
        <v>0</v>
      </c>
      <c r="AD329" s="20">
        <f>IFERROR(preçodiario[[#This Row],[OVO BRANCO JUMBO]]*preçodiario[[#This Row],[estoque J]],0)</f>
        <v>1237.9129464285713</v>
      </c>
      <c r="AE32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Row],[data]])),((AE328*AF328)+SUMIFS(estoque[valor total],estoque[produto],preçodiario[[#Headers],[OVO VERMELHO A]],estoque[data],preçodiario[[#This Row],[data]],estoque[fornecedor],"&lt;&gt;saída"))/(AF328+(SUMIFS(estoque[quantidade],estoque[produto],preçodiario[[#Headers],[OVO VERMELHO A]],estoque[fornecedor],"&lt;&gt;saída",estoque[data],preçodiario[[#This Row],[data]])))))</f>
        <v/>
      </c>
      <c r="AF329" s="22">
        <f>IF(preçodiario[[#This Row],[entrada AV]]=0,AF328-(SUMIFS(estoque[quantidade],estoque[fornecedor],"saída",estoque[produto],preçodiario[[#Headers],[OVO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Row],[data]]))+AF328+preçodiario[[#This Row],[entrada AV]])</f>
        <v>0</v>
      </c>
      <c r="AG329" s="22">
        <f>SUMIFS(estoque[quantidade],estoque[fornecedor],"&lt;&gt;saída",estoque[produto],preçodiario[[#Headers],[OVO VERMELHO A]],estoque[data],preçodiario[[#This Row],[data]])</f>
        <v>0</v>
      </c>
      <c r="AH329" s="20">
        <f>SUMIFS(estoque[valor total],estoque[fornecedor],"&lt;&gt;saída",estoque[produto],preçodiario[[#Headers],[OVO VERMELHO A]],estoque[data],preçodiario[[#This Row],[data]])</f>
        <v>0</v>
      </c>
      <c r="AI329" s="20">
        <f>IFERROR(preçodiario[[#This Row],[OVO VERMELHO A]]*preçodiario[[#This Row],[estoque AV]],0)</f>
        <v>0</v>
      </c>
      <c r="AJ32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Row],[data]])),((AJ328*AK328)+SUMIFS(estoque[valor total],estoque[produto],preçodiario[[#Headers],[OVO VERMELHO B]],estoque[data],preçodiario[[#This Row],[data]],estoque[fornecedor],"&lt;&gt;saída"))/(AK328+(SUMIFS(estoque[quantidade],estoque[produto],preçodiario[[#Headers],[OVO VERMELHO B]],estoque[fornecedor],"&lt;&gt;saída",estoque[data],preçodiario[[#This Row],[data]])))))</f>
        <v/>
      </c>
      <c r="AK329" s="22">
        <f>IF(preçodiario[[#This Row],[entrada BV]]=0,AK328-(SUMIFS(estoque[quantidade],estoque[fornecedor],"saída",estoque[produto],preçodiario[[#Headers],[OVO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Row],[data]]))+AK328+preçodiario[[#This Row],[entrada BV]])</f>
        <v>0</v>
      </c>
      <c r="AL329" s="22">
        <f>SUMIFS(estoque[quantidade],estoque[fornecedor],"&lt;&gt;saída",estoque[produto],preçodiario[[#Headers],[OVO VERMELHO B]],estoque[data],preçodiario[[#This Row],[data]])</f>
        <v>0</v>
      </c>
      <c r="AM329" s="20">
        <f>SUMIFS(estoque[valor total],estoque[fornecedor],"&lt;&gt;saída",estoque[produto],preçodiario[[#Headers],[OVO VERMELHO B]],estoque[data],preçodiario[[#This Row],[data]])</f>
        <v>0</v>
      </c>
      <c r="AN329" s="20">
        <f>IFERROR(preçodiario[[#This Row],[OVO VERMELHO B]]*preçodiario[[#This Row],[estoque BV]],0)</f>
        <v>0</v>
      </c>
      <c r="AO32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Row],[data]])),((AO328*AP328)+SUMIFS(estoque[valor total],estoque[produto],preçodiario[[#Headers],[OVO VERMELHO C]],estoque[data],preçodiario[[#This Row],[data]],estoque[fornecedor],"&lt;&gt;saída"))/(AP328+(SUMIFS(estoque[quantidade],estoque[produto],preçodiario[[#Headers],[OVO VERMELHO C]],estoque[fornecedor],"&lt;&gt;saída",estoque[data],preçodiario[[#This Row],[data]])))))</f>
        <v/>
      </c>
      <c r="AP329" s="22">
        <f>IF(preçodiario[[#This Row],[entrada CV]]=0,AP328-(SUMIFS(estoque[quantidade],estoque[fornecedor],"saída",estoque[produto],preçodiario[[#Headers],[OVO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Row],[data]]))+AP328+preçodiario[[#This Row],[entrada CV]])</f>
        <v>0</v>
      </c>
      <c r="AQ329" s="22">
        <f>SUMIFS(estoque[quantidade],estoque[fornecedor],"&lt;&gt;saída",estoque[produto],preçodiario[[#Headers],[OVO VERMELHO C]],estoque[data],preçodiario[[#This Row],[data]])</f>
        <v>0</v>
      </c>
      <c r="AR329" s="20">
        <f>SUMIFS(estoque[valor total],estoque[fornecedor],"&lt;&gt;saída",estoque[produto],preçodiario[[#Headers],[OVO VERMELHO C]],estoque[data],preçodiario[[#This Row],[data]])</f>
        <v>0</v>
      </c>
      <c r="AS329" s="20">
        <f>IFERROR(preçodiario[[#This Row],[OVO VERMELHO C]]*preçodiario[[#This Row],[estoque CV]],0)</f>
        <v>0</v>
      </c>
      <c r="AT32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Row],[data]])),((AT328*AU328)+SUMIFS(estoque[valor total],estoque[produto],preçodiario[[#Headers],[OVO VERMELHO EXTRA]],estoque[data],preçodiario[[#This Row],[data]],estoque[fornecedor],"&lt;&gt;saída"))/(AU328+(SUMIFS(estoque[quantidade],estoque[produto],preçodiario[[#Headers],[OVO VERMELHO EXTRA]],estoque[fornecedor],"&lt;&gt;saída",estoque[data],preçodiario[[#This Row],[data]])))))</f>
        <v/>
      </c>
      <c r="AU329" s="22">
        <f>IF(preçodiario[[#This Row],[entrada EV]]=0,AU328-(SUMIFS(estoque[quantidade],estoque[fornecedor],"saída",estoque[produto],preçodiario[[#Headers],[OVO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Row],[data]]))+AU328+preçodiario[[#This Row],[entrada EV]])</f>
        <v>0</v>
      </c>
      <c r="AV329" s="22">
        <f>SUMIFS(estoque[quantidade],estoque[fornecedor],"&lt;&gt;saída",estoque[produto],preçodiario[[#Headers],[OVO VERMELHO EXTRA]],estoque[data],preçodiario[[#This Row],[data]])</f>
        <v>0</v>
      </c>
      <c r="AW329" s="20">
        <f>SUMIFS(estoque[valor total],estoque[fornecedor],"&lt;&gt;saída",estoque[produto],preçodiario[[#Headers],[OVO VERMELHO EXTRA]],estoque[data],preçodiario[[#This Row],[data]])</f>
        <v>0</v>
      </c>
      <c r="AX329" s="20">
        <f>IFERROR(preçodiario[[#This Row],[OVO VERMELHO EXTRA]]*preçodiario[[#This Row],[estoque EV]],0)</f>
        <v>0</v>
      </c>
      <c r="AY32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Row],[data]])),((AY328*AZ328)+SUMIFS(estoque[valor total],estoque[produto],preçodiario[[#Headers],[OVO VERMELHO JUMBO]],estoque[data],preçodiario[[#This Row],[data]],estoque[fornecedor],"&lt;&gt;saída"))/(AZ328+(SUMIFS(estoque[quantidade],estoque[produto],preçodiario[[#Headers],[OVO VERMELHO JUMBO]],estoque[fornecedor],"&lt;&gt;saída",estoque[data],preçodiario[[#This Row],[data]])))))</f>
        <v/>
      </c>
      <c r="AZ329" s="22">
        <f>IF(preçodiario[[#This Row],[entrada JV]]=0,AZ328-(SUMIFS(estoque[quantidade],estoque[fornecedor],"saída",estoque[produto],preçodiario[[#Headers],[OVO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Row],[data]]))+AZ328+preçodiario[[#This Row],[entrada JV]])</f>
        <v>0</v>
      </c>
      <c r="BA329" s="22">
        <f>SUMIFS(estoque[quantidade],estoque[fornecedor],"&lt;&gt;saída",estoque[produto],preçodiario[[#Headers],[OVO VERMELHO JUMBO]],estoque[data],preçodiario[[#This Row],[data]])</f>
        <v>0</v>
      </c>
      <c r="BB329" s="20">
        <f>SUMIFS(estoque[valor total],estoque[fornecedor],"&lt;&gt;saída",estoque[produto],preçodiario[[#Headers],[OVO VERMELHO JUMBO]],estoque[data],preçodiario[[#This Row],[data]])</f>
        <v>0</v>
      </c>
      <c r="BC329" s="20">
        <f>IFERROR(preçodiario[[#This Row],[OVO VERMELHO JUMBO]]*preçodiario[[#This Row],[estoque JV]],0)</f>
        <v>0</v>
      </c>
      <c r="BD329" t="str">
        <f>TEXT(vendaAno[[#This Row],[data]],"mmm")</f>
        <v>nov</v>
      </c>
      <c r="BE329" t="str">
        <f>TEXT(vendaAno[[#This Row],[data]],"ddd")</f>
        <v>ter</v>
      </c>
      <c r="BF329" s="82">
        <f>WEEKNUM(vendaAno[[#This Row],[data]],13)</f>
        <v>47</v>
      </c>
      <c r="BG329" s="27">
        <f>preçodiario[[#This Row],[data]]</f>
        <v>46350</v>
      </c>
      <c r="BH32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2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2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Row],[data]]))/12+BJ328,"")</f>
        <v/>
      </c>
      <c r="BK329" s="79" t="str">
        <f ca="1">IF(TODAY()&gt;=vendaAno[[#This Row],[data]],IF(SUMIFS(estoque[quantidade],estoque[fornecedor],"saída",estoque[data],vendaAno[[#This Row],[data]])/12=0,AVERAGE(BK326:BK328),SUMIFS(estoque[quantidade],estoque[fornecedor],"saída",estoque[data],vendaAno[[#This Row],[data]])/12),"")</f>
        <v/>
      </c>
      <c r="BL329" s="8" t="str">
        <f ca="1">IF(vendaAno[[#This Row],[data]]&lt;=TODAY(),IF(SUMIFS(estoque[lucro],estoque[fornecedor],"saída",estoque[data],vendaAno[[#This Row],[data]])=0,AVERAGE(BL326:BL328),SUMIFS(estoque[lucro],estoque[fornecedor],"saída",estoque[data],vendaAno[[#This Row],[data]])),"")</f>
        <v/>
      </c>
      <c r="BM329" s="10" t="str">
        <f ca="1">IFERROR(vendaAno[[#This Row],[lucro]]/vendaAno[[#This Row],[valor de venda]],"")</f>
        <v/>
      </c>
      <c r="BN32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29" s="8" t="str">
        <f ca="1">IF(TODAY()&gt;=vendaAno[[#This Row],[data]],IF(vendaAno[[#This Row],[N°]]=BF328,vendaAno[[#This Row],[lucro]]-173.33+BO328,vendaAno[[#This Row],[lucro]]-150),"")</f>
        <v/>
      </c>
      <c r="BP329" s="81" t="str">
        <f ca="1">IF(TODAY()&gt;=vendaAno[[#This Row],[data]],SUM(BK323:BK329)*12,"")</f>
        <v/>
      </c>
      <c r="BQ329" s="7" t="str">
        <f ca="1">IFERROR(vendaAno[[#This Row],[lucro]]/(vendaAno[[#This Row],[venda]]*12),"")</f>
        <v/>
      </c>
    </row>
    <row r="330" spans="1:69" x14ac:dyDescent="0.25">
      <c r="A33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Row],[data]]-1))*A329+SUMIFS(estoque[valor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0" s="18" t="str">
        <f>TEXT(preçodiario[[#This Row],[data]],"MMM")</f>
        <v>nov</v>
      </c>
      <c r="C330" s="18" t="str">
        <f>TEXT(preçodiario[[#This Row],[data]],"ddd")</f>
        <v>qua</v>
      </c>
      <c r="D330" s="96">
        <f>WEEKNUM(preçodiario[[#This Row],[data]],13)</f>
        <v>48</v>
      </c>
      <c r="E330" s="37">
        <v>46351</v>
      </c>
      <c r="F33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Row],[data]]))),IF(G329=0,SUMIFS(estoque[valor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Row],[data]])),((F329*G329)+SUMIFS(estoque[valor total],estoque[produto],preçodiario[[#Headers],[OVO BRANCO A]],estoque[data],preçodiario[[#This Row],[data]],estoque[fornecedor],"&lt;&gt;saída"))/(G329+(SUMIFS(estoque[quantidade],estoque[produto],preçodiario[[#Headers],[OVO BRANCO A]],estoque[fornecedor],"&lt;&gt;saída",estoque[data],preçodiario[[#This Row],[data]])))))</f>
        <v>15.278182701652089</v>
      </c>
      <c r="G330" s="22">
        <f>IF(preçodiario[[#This Row],[entrada A]]=0,G329-(SUMIFS(estoque[quantidade],estoque[fornecedor],"saída",estoque[produto],preçodiario[[#Headers],[OVO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Row],[data]]))+G329+preçodiario[[#This Row],[entrada A]])</f>
        <v>133</v>
      </c>
      <c r="H330" s="22">
        <f>SUMIFS(estoque[quantidade],estoque[fornecedor],"&lt;&gt;saída",estoque[produto],preçodiario[[#Headers],[OVO BRANCO A]],estoque[data],preçodiario[[#This Row],[data]])</f>
        <v>0</v>
      </c>
      <c r="I330" s="20">
        <f>SUMIFS(estoque[valor total],estoque[fornecedor],"&lt;&gt;saída",estoque[produto],preçodiario[[#Headers],[OVO BRANCO A]],estoque[data],preçodiario[[#This Row],[data]])</f>
        <v>0</v>
      </c>
      <c r="J330" s="20">
        <f>IFERROR(preçodiario[[#This Row],[estoque A]]*preçodiario[[#This Row],[OVO BRANCO A]],0)</f>
        <v>2031.9982993197277</v>
      </c>
      <c r="K33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Row],[data]]))),IF(L329=0,SUMIFS(estoque[valor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Row],[data]])),((K329*L329)+SUMIFS(estoque[valor total],estoque[produto],preçodiario[[#Headers],[OVO BRANCO B]],estoque[data],preçodiario[[#This Row],[data]],estoque[fornecedor],"&lt;&gt;saída"))/(L329+(SUMIFS(estoque[quantidade],estoque[produto],preçodiario[[#Headers],[OVO BRANCO B]],estoque[fornecedor],"&lt;&gt;saída",estoque[data],preçodiario[[#This Row],[data]])))))</f>
        <v>14.584252837326604</v>
      </c>
      <c r="L330" s="22">
        <f>IF(preçodiario[[#This Row],[entrada B]]=0,L329-(SUMIFS(estoque[quantidade],estoque[fornecedor],"saída",estoque[produto],preçodiario[[#Headers],[OVO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Row],[data]]))+L329+preçodiario[[#This Row],[entrada B]])</f>
        <v>16</v>
      </c>
      <c r="M330" s="22">
        <f>SUMIFS(estoque[quantidade],estoque[fornecedor],"&lt;&gt;saída",estoque[produto],preçodiario[[#Headers],[OVO BRANCO B]],estoque[data],preçodiario[[#This Row],[data]])</f>
        <v>0</v>
      </c>
      <c r="N330" s="20">
        <f>SUMIFS(estoque[valor total],estoque[fornecedor],"&lt;&gt;saída",estoque[produto],preçodiario[[#Headers],[OVO BRANCO B]],estoque[data],preçodiario[[#This Row],[data]])</f>
        <v>0</v>
      </c>
      <c r="O330" s="20">
        <f>IFERROR(preçodiario[[#This Row],[OVO BRANCO B]]*preçodiario[[#This Row],[estoque B]],0)</f>
        <v>233.34804539722566</v>
      </c>
      <c r="P33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Row],[data]]))),IF(Q329=0,SUMIFS(estoque[valor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Row],[data]])),((P329*Q329)+SUMIFS(estoque[valor total],estoque[produto],preçodiario[[#Headers],[OVO BRANCO C]],estoque[data],preçodiario[[#This Row],[data]],estoque[fornecedor],"&lt;&gt;saída"))/(Q329+(SUMIFS(estoque[quantidade],estoque[produto],preçodiario[[#Headers],[OVO BRANCO C]],estoque[fornecedor],"&lt;&gt;saída",estoque[data],preçodiario[[#This Row],[data]])))))</f>
        <v>12.5</v>
      </c>
      <c r="Q330" s="22">
        <f>IF(preçodiario[[#This Row],[entrada C]]=0,Q329-(SUMIFS(estoque[quantidade],estoque[fornecedor],"saída",estoque[produto],preçodiario[[#Headers],[OVO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Row],[data]]))+Q329+preçodiario[[#This Row],[entrada C]])</f>
        <v>60</v>
      </c>
      <c r="R330" s="22">
        <f>SUMIFS(estoque[quantidade],estoque[fornecedor],"&lt;&gt;saída",estoque[produto],preçodiario[[#Headers],[OVO BRANCO C]],estoque[data],preçodiario[[#This Row],[data]])</f>
        <v>0</v>
      </c>
      <c r="S330" s="20">
        <f>SUMIFS(estoque[valor total],estoque[fornecedor],"&lt;&gt;saída",estoque[produto],preçodiario[[#Headers],[OVO BRANCO C]],estoque[data],preçodiario[[#This Row],[data]])</f>
        <v>0</v>
      </c>
      <c r="T330" s="20">
        <f>IFERROR(preçodiario[[#This Row],[OVO BRANCO C]]*preçodiario[[#This Row],[estoque C]],0)</f>
        <v>750</v>
      </c>
      <c r="U33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Row],[data]]))),IF(V329=0,SUMIFS(estoque[valor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Row],[data]])),((U329*V329)+SUMIFS(estoque[valor total],estoque[produto],preçodiario[[#Headers],[OVO BRANCO EXTRA]],estoque[data],preçodiario[[#This Row],[data]],estoque[fornecedor],"&lt;&gt;saída"))/(V329+(SUMIFS(estoque[quantidade],estoque[produto],preçodiario[[#Headers],[OVO BRANCO EXTRA]],estoque[fornecedor],"&lt;&gt;saída",estoque[data],preçodiario[[#This Row],[data]])))))</f>
        <v>15.725438400674655</v>
      </c>
      <c r="V330" s="22">
        <f>IF(preçodiario[[#This Row],[entrada E]]=0,V329-(SUMIFS(estoque[quantidade],estoque[fornecedor],"saída",estoque[produto],preçodiario[[#Headers],[OVO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Row],[data]]))+V329+preçodiario[[#This Row],[entrada E]])</f>
        <v>46</v>
      </c>
      <c r="W330" s="22">
        <f>SUMIFS(estoque[quantidade],estoque[fornecedor],"&lt;&gt;saída",estoque[produto],preçodiario[[#Headers],[OVO BRANCO EXTRA]],estoque[data],preçodiario[[#This Row],[data]])</f>
        <v>0</v>
      </c>
      <c r="X330" s="20">
        <f>SUMIFS(estoque[valor total],estoque[fornecedor],"&lt;&gt;saída",estoque[produto],preçodiario[[#Headers],[OVO BRANCO EXTRA]],estoque[data],preçodiario[[#This Row],[data]])</f>
        <v>0</v>
      </c>
      <c r="Y330" s="20">
        <f>IFERROR(preçodiario[[#This Row],[estoque E]]*preçodiario[[#This Row],[OVO BRANCO EXTRA]],0)</f>
        <v>723.37016643103414</v>
      </c>
      <c r="Z33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Row],[data]]))),IF(AA329=0,SUMIFS(estoque[valor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Row],[data]])),((Z329*AA329)+SUMIFS(estoque[valor total],estoque[produto],preçodiario[[#Headers],[OVO BRANCO JUMBO]],estoque[data],preçodiario[[#This Row],[data]],estoque[fornecedor],"&lt;&gt;saída"))/(AA329+(SUMIFS(estoque[quantidade],estoque[produto],preçodiario[[#Headers],[OVO BRANCO JUMBO]],estoque[fornecedor],"&lt;&gt;saída",estoque[data],preçodiario[[#This Row],[data]])))))</f>
        <v>16.50550595238095</v>
      </c>
      <c r="AA330" s="22">
        <f>IF(preçodiario[[#This Row],[entrada J]]=0,AA329-(SUMIFS(estoque[quantidade],estoque[fornecedor],"saída",estoque[produto],preçodiario[[#Headers],[OVO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Row],[data]]))+AA329+preçodiario[[#This Row],[entrada J]])</f>
        <v>75</v>
      </c>
      <c r="AB330" s="22">
        <f>SUMIFS(estoque[quantidade],estoque[fornecedor],"&lt;&gt;saída",estoque[produto],preçodiario[[#Headers],[OVO BRANCO JUMBO]],estoque[data],preçodiario[[#This Row],[data]])</f>
        <v>0</v>
      </c>
      <c r="AC330" s="20">
        <f>SUMIFS(estoque[valor total],estoque[fornecedor],"&lt;&gt;saída",estoque[produto],preçodiario[[#Headers],[OVO BRANCO JUMBO]],estoque[data],preçodiario[[#This Row],[data]])</f>
        <v>0</v>
      </c>
      <c r="AD330" s="20">
        <f>IFERROR(preçodiario[[#This Row],[OVO BRANCO JUMBO]]*preçodiario[[#This Row],[estoque J]],0)</f>
        <v>1237.9129464285713</v>
      </c>
      <c r="AE33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Row],[data]]))),IF(AF329=0,SUMIFS(estoque[valor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Row],[data]])),((AE329*AF329)+SUMIFS(estoque[valor total],estoque[produto],preçodiario[[#Headers],[OVO VERMELHO A]],estoque[data],preçodiario[[#This Row],[data]],estoque[fornecedor],"&lt;&gt;saída"))/(AF329+(SUMIFS(estoque[quantidade],estoque[produto],preçodiario[[#Headers],[OVO VERMELHO A]],estoque[fornecedor],"&lt;&gt;saída",estoque[data],preçodiario[[#This Row],[data]])))))</f>
        <v/>
      </c>
      <c r="AF330" s="22">
        <f>IF(preçodiario[[#This Row],[entrada AV]]=0,AF329-(SUMIFS(estoque[quantidade],estoque[fornecedor],"saída",estoque[produto],preçodiario[[#Headers],[OVO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Row],[data]]))+AF329+preçodiario[[#This Row],[entrada AV]])</f>
        <v>0</v>
      </c>
      <c r="AG330" s="22">
        <f>SUMIFS(estoque[quantidade],estoque[fornecedor],"&lt;&gt;saída",estoque[produto],preçodiario[[#Headers],[OVO VERMELHO A]],estoque[data],preçodiario[[#This Row],[data]])</f>
        <v>0</v>
      </c>
      <c r="AH330" s="20">
        <f>SUMIFS(estoque[valor total],estoque[fornecedor],"&lt;&gt;saída",estoque[produto],preçodiario[[#Headers],[OVO VERMELHO A]],estoque[data],preçodiario[[#This Row],[data]])</f>
        <v>0</v>
      </c>
      <c r="AI330" s="20">
        <f>IFERROR(preçodiario[[#This Row],[OVO VERMELHO A]]*preçodiario[[#This Row],[estoque AV]],0)</f>
        <v>0</v>
      </c>
      <c r="AJ33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Row],[data]]))),IF(AK329=0,SUMIFS(estoque[valor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Row],[data]])),((AJ329*AK329)+SUMIFS(estoque[valor total],estoque[produto],preçodiario[[#Headers],[OVO VERMELHO B]],estoque[data],preçodiario[[#This Row],[data]],estoque[fornecedor],"&lt;&gt;saída"))/(AK329+(SUMIFS(estoque[quantidade],estoque[produto],preçodiario[[#Headers],[OVO VERMELHO B]],estoque[fornecedor],"&lt;&gt;saída",estoque[data],preçodiario[[#This Row],[data]])))))</f>
        <v/>
      </c>
      <c r="AK330" s="22">
        <f>IF(preçodiario[[#This Row],[entrada BV]]=0,AK329-(SUMIFS(estoque[quantidade],estoque[fornecedor],"saída",estoque[produto],preçodiario[[#Headers],[OVO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Row],[data]]))+AK329+preçodiario[[#This Row],[entrada BV]])</f>
        <v>0</v>
      </c>
      <c r="AL330" s="22">
        <f>SUMIFS(estoque[quantidade],estoque[fornecedor],"&lt;&gt;saída",estoque[produto],preçodiario[[#Headers],[OVO VERMELHO B]],estoque[data],preçodiario[[#This Row],[data]])</f>
        <v>0</v>
      </c>
      <c r="AM330" s="20">
        <f>SUMIFS(estoque[valor total],estoque[fornecedor],"&lt;&gt;saída",estoque[produto],preçodiario[[#Headers],[OVO VERMELHO B]],estoque[data],preçodiario[[#This Row],[data]])</f>
        <v>0</v>
      </c>
      <c r="AN330" s="20">
        <f>IFERROR(preçodiario[[#This Row],[OVO VERMELHO B]]*preçodiario[[#This Row],[estoque BV]],0)</f>
        <v>0</v>
      </c>
      <c r="AO33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Row],[data]]))),IF(AP329=0,SUMIFS(estoque[valor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Row],[data]])),((AO329*AP329)+SUMIFS(estoque[valor total],estoque[produto],preçodiario[[#Headers],[OVO VERMELHO C]],estoque[data],preçodiario[[#This Row],[data]],estoque[fornecedor],"&lt;&gt;saída"))/(AP329+(SUMIFS(estoque[quantidade],estoque[produto],preçodiario[[#Headers],[OVO VERMELHO C]],estoque[fornecedor],"&lt;&gt;saída",estoque[data],preçodiario[[#This Row],[data]])))))</f>
        <v/>
      </c>
      <c r="AP330" s="22">
        <f>IF(preçodiario[[#This Row],[entrada CV]]=0,AP329-(SUMIFS(estoque[quantidade],estoque[fornecedor],"saída",estoque[produto],preçodiario[[#Headers],[OVO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Row],[data]]))+AP329+preçodiario[[#This Row],[entrada CV]])</f>
        <v>0</v>
      </c>
      <c r="AQ330" s="22">
        <f>SUMIFS(estoque[quantidade],estoque[fornecedor],"&lt;&gt;saída",estoque[produto],preçodiario[[#Headers],[OVO VERMELHO C]],estoque[data],preçodiario[[#This Row],[data]])</f>
        <v>0</v>
      </c>
      <c r="AR330" s="20">
        <f>SUMIFS(estoque[valor total],estoque[fornecedor],"&lt;&gt;saída",estoque[produto],preçodiario[[#Headers],[OVO VERMELHO C]],estoque[data],preçodiario[[#This Row],[data]])</f>
        <v>0</v>
      </c>
      <c r="AS330" s="20">
        <f>IFERROR(preçodiario[[#This Row],[OVO VERMELHO C]]*preçodiario[[#This Row],[estoque CV]],0)</f>
        <v>0</v>
      </c>
      <c r="AT33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Row],[data]]))),IF(AU329=0,SUMIFS(estoque[valor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Row],[data]])),((AT329*AU329)+SUMIFS(estoque[valor total],estoque[produto],preçodiario[[#Headers],[OVO VERMELHO EXTRA]],estoque[data],preçodiario[[#This Row],[data]],estoque[fornecedor],"&lt;&gt;saída"))/(AU329+(SUMIFS(estoque[quantidade],estoque[produto],preçodiario[[#Headers],[OVO VERMELHO EXTRA]],estoque[fornecedor],"&lt;&gt;saída",estoque[data],preçodiario[[#This Row],[data]])))))</f>
        <v/>
      </c>
      <c r="AU330" s="22">
        <f>IF(preçodiario[[#This Row],[entrada EV]]=0,AU329-(SUMIFS(estoque[quantidade],estoque[fornecedor],"saída",estoque[produto],preçodiario[[#Headers],[OVO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Row],[data]]))+AU329+preçodiario[[#This Row],[entrada EV]])</f>
        <v>0</v>
      </c>
      <c r="AV330" s="22">
        <f>SUMIFS(estoque[quantidade],estoque[fornecedor],"&lt;&gt;saída",estoque[produto],preçodiario[[#Headers],[OVO VERMELHO EXTRA]],estoque[data],preçodiario[[#This Row],[data]])</f>
        <v>0</v>
      </c>
      <c r="AW330" s="20">
        <f>SUMIFS(estoque[valor total],estoque[fornecedor],"&lt;&gt;saída",estoque[produto],preçodiario[[#Headers],[OVO VERMELHO EXTRA]],estoque[data],preçodiario[[#This Row],[data]])</f>
        <v>0</v>
      </c>
      <c r="AX330" s="20">
        <f>IFERROR(preçodiario[[#This Row],[OVO VERMELHO EXTRA]]*preçodiario[[#This Row],[estoque EV]],0)</f>
        <v>0</v>
      </c>
      <c r="AY33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Row],[data]]))),IF(AZ329=0,SUMIFS(estoque[valor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Row],[data]])),((AY329*AZ329)+SUMIFS(estoque[valor total],estoque[produto],preçodiario[[#Headers],[OVO VERMELHO JUMBO]],estoque[data],preçodiario[[#This Row],[data]],estoque[fornecedor],"&lt;&gt;saída"))/(AZ329+(SUMIFS(estoque[quantidade],estoque[produto],preçodiario[[#Headers],[OVO VERMELHO JUMBO]],estoque[fornecedor],"&lt;&gt;saída",estoque[data],preçodiario[[#This Row],[data]])))))</f>
        <v/>
      </c>
      <c r="AZ330" s="22">
        <f>IF(preçodiario[[#This Row],[entrada JV]]=0,AZ329-(SUMIFS(estoque[quantidade],estoque[fornecedor],"saída",estoque[produto],preçodiario[[#Headers],[OVO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Row],[data]]))+AZ329+preçodiario[[#This Row],[entrada JV]])</f>
        <v>0</v>
      </c>
      <c r="BA330" s="22">
        <f>SUMIFS(estoque[quantidade],estoque[fornecedor],"&lt;&gt;saída",estoque[produto],preçodiario[[#Headers],[OVO VERMELHO JUMBO]],estoque[data],preçodiario[[#This Row],[data]])</f>
        <v>0</v>
      </c>
      <c r="BB330" s="20">
        <f>SUMIFS(estoque[valor total],estoque[fornecedor],"&lt;&gt;saída",estoque[produto],preçodiario[[#Headers],[OVO VERMELHO JUMBO]],estoque[data],preçodiario[[#This Row],[data]])</f>
        <v>0</v>
      </c>
      <c r="BC330" s="20">
        <f>IFERROR(preçodiario[[#This Row],[OVO VERMELHO JUMBO]]*preçodiario[[#This Row],[estoque JV]],0)</f>
        <v>0</v>
      </c>
      <c r="BD330" t="str">
        <f>TEXT(vendaAno[[#This Row],[data]],"mmm")</f>
        <v>nov</v>
      </c>
      <c r="BE330" t="str">
        <f>TEXT(vendaAno[[#This Row],[data]],"ddd")</f>
        <v>qua</v>
      </c>
      <c r="BF330" s="82">
        <f>WEEKNUM(vendaAno[[#This Row],[data]],13)</f>
        <v>48</v>
      </c>
      <c r="BG330" s="27">
        <f>preçodiario[[#This Row],[data]]</f>
        <v>46351</v>
      </c>
      <c r="BH33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Row],[data]]))/12+BJ329,"")</f>
        <v/>
      </c>
      <c r="BK330" s="79" t="str">
        <f ca="1">IF(TODAY()&gt;=vendaAno[[#This Row],[data]],IF(SUMIFS(estoque[quantidade],estoque[fornecedor],"saída",estoque[data],vendaAno[[#This Row],[data]])/12=0,AVERAGE(BK327:BK329),SUMIFS(estoque[quantidade],estoque[fornecedor],"saída",estoque[data],vendaAno[[#This Row],[data]])/12),"")</f>
        <v/>
      </c>
      <c r="BL330" s="8" t="str">
        <f ca="1">IF(vendaAno[[#This Row],[data]]&lt;=TODAY(),IF(SUMIFS(estoque[lucro],estoque[fornecedor],"saída",estoque[data],vendaAno[[#This Row],[data]])=0,AVERAGE(BL327:BL329),SUMIFS(estoque[lucro],estoque[fornecedor],"saída",estoque[data],vendaAno[[#This Row],[data]])),"")</f>
        <v/>
      </c>
      <c r="BM330" s="10" t="str">
        <f ca="1">IFERROR(vendaAno[[#This Row],[lucro]]/vendaAno[[#This Row],[valor de venda]],"")</f>
        <v/>
      </c>
      <c r="BN33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0" s="8" t="str">
        <f ca="1">IF(TODAY()&gt;=vendaAno[[#This Row],[data]],IF(vendaAno[[#This Row],[N°]]=BF329,vendaAno[[#This Row],[lucro]]-173.33+BO329,vendaAno[[#This Row],[lucro]]-150),"")</f>
        <v/>
      </c>
      <c r="BP330" s="81" t="str">
        <f ca="1">IF(TODAY()&gt;=vendaAno[[#This Row],[data]],SUM(BK324:BK330)*12,"")</f>
        <v/>
      </c>
      <c r="BQ330" s="7" t="str">
        <f ca="1">IFERROR(vendaAno[[#This Row],[lucro]]/(vendaAno[[#This Row],[venda]]*12),"")</f>
        <v/>
      </c>
    </row>
    <row r="331" spans="1:69" x14ac:dyDescent="0.25">
      <c r="A33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1" s="18" t="str">
        <f>TEXT(preçodiario[[#This Row],[data]],"MMM")</f>
        <v>nov</v>
      </c>
      <c r="C331" s="18" t="str">
        <f>TEXT(preçodiario[[#This Row],[data]],"ddd")</f>
        <v>qui</v>
      </c>
      <c r="D331" s="96">
        <f>WEEKNUM(preçodiario[[#This Row],[data]],13)</f>
        <v>48</v>
      </c>
      <c r="E331" s="37">
        <v>46352</v>
      </c>
      <c r="F33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Row],[data]])),((F330*G330)+SUMIFS(estoque[valor total],estoque[produto],preçodiario[[#Headers],[OVO BRANCO A]],estoque[data],preçodiario[[#This Row],[data]],estoque[fornecedor],"&lt;&gt;saída"))/(G330+(SUMIFS(estoque[quantidade],estoque[produto],preçodiario[[#Headers],[OVO BRANCO A]],estoque[fornecedor],"&lt;&gt;saída",estoque[data],preçodiario[[#This Row],[data]])))))</f>
        <v>15.278182701652089</v>
      </c>
      <c r="G331" s="22">
        <f>IF(preçodiario[[#This Row],[entrada A]]=0,G330-(SUMIFS(estoque[quantidade],estoque[fornecedor],"saída",estoque[produto],preçodiario[[#Headers],[OVO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Row],[data]]))+G330+preçodiario[[#This Row],[entrada A]])</f>
        <v>133</v>
      </c>
      <c r="H331" s="22">
        <f>SUMIFS(estoque[quantidade],estoque[fornecedor],"&lt;&gt;saída",estoque[produto],preçodiario[[#Headers],[OVO BRANCO A]],estoque[data],preçodiario[[#This Row],[data]])</f>
        <v>0</v>
      </c>
      <c r="I331" s="20">
        <f>SUMIFS(estoque[valor total],estoque[fornecedor],"&lt;&gt;saída",estoque[produto],preçodiario[[#Headers],[OVO BRANCO A]],estoque[data],preçodiario[[#This Row],[data]])</f>
        <v>0</v>
      </c>
      <c r="J331" s="20">
        <f>IFERROR(preçodiario[[#This Row],[estoque A]]*preçodiario[[#This Row],[OVO BRANCO A]],0)</f>
        <v>2031.9982993197277</v>
      </c>
      <c r="K33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Row],[data]])),((K330*L330)+SUMIFS(estoque[valor total],estoque[produto],preçodiario[[#Headers],[OVO BRANCO B]],estoque[data],preçodiario[[#This Row],[data]],estoque[fornecedor],"&lt;&gt;saída"))/(L330+(SUMIFS(estoque[quantidade],estoque[produto],preçodiario[[#Headers],[OVO BRANCO B]],estoque[fornecedor],"&lt;&gt;saída",estoque[data],preçodiario[[#This Row],[data]])))))</f>
        <v>14.584252837326604</v>
      </c>
      <c r="L331" s="22">
        <f>IF(preçodiario[[#This Row],[entrada B]]=0,L330-(SUMIFS(estoque[quantidade],estoque[fornecedor],"saída",estoque[produto],preçodiario[[#Headers],[OVO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Row],[data]]))+L330+preçodiario[[#This Row],[entrada B]])</f>
        <v>16</v>
      </c>
      <c r="M331" s="22">
        <f>SUMIFS(estoque[quantidade],estoque[fornecedor],"&lt;&gt;saída",estoque[produto],preçodiario[[#Headers],[OVO BRANCO B]],estoque[data],preçodiario[[#This Row],[data]])</f>
        <v>0</v>
      </c>
      <c r="N331" s="20">
        <f>SUMIFS(estoque[valor total],estoque[fornecedor],"&lt;&gt;saída",estoque[produto],preçodiario[[#Headers],[OVO BRANCO B]],estoque[data],preçodiario[[#This Row],[data]])</f>
        <v>0</v>
      </c>
      <c r="O331" s="20">
        <f>IFERROR(preçodiario[[#This Row],[OVO BRANCO B]]*preçodiario[[#This Row],[estoque B]],0)</f>
        <v>233.34804539722566</v>
      </c>
      <c r="P33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Row],[data]])),((P330*Q330)+SUMIFS(estoque[valor total],estoque[produto],preçodiario[[#Headers],[OVO BRANCO C]],estoque[data],preçodiario[[#This Row],[data]],estoque[fornecedor],"&lt;&gt;saída"))/(Q330+(SUMIFS(estoque[quantidade],estoque[produto],preçodiario[[#Headers],[OVO BRANCO C]],estoque[fornecedor],"&lt;&gt;saída",estoque[data],preçodiario[[#This Row],[data]])))))</f>
        <v>12.5</v>
      </c>
      <c r="Q331" s="22">
        <f>IF(preçodiario[[#This Row],[entrada C]]=0,Q330-(SUMIFS(estoque[quantidade],estoque[fornecedor],"saída",estoque[produto],preçodiario[[#Headers],[OVO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Row],[data]]))+Q330+preçodiario[[#This Row],[entrada C]])</f>
        <v>60</v>
      </c>
      <c r="R331" s="22">
        <f>SUMIFS(estoque[quantidade],estoque[fornecedor],"&lt;&gt;saída",estoque[produto],preçodiario[[#Headers],[OVO BRANCO C]],estoque[data],preçodiario[[#This Row],[data]])</f>
        <v>0</v>
      </c>
      <c r="S331" s="20">
        <f>SUMIFS(estoque[valor total],estoque[fornecedor],"&lt;&gt;saída",estoque[produto],preçodiario[[#Headers],[OVO BRANCO C]],estoque[data],preçodiario[[#This Row],[data]])</f>
        <v>0</v>
      </c>
      <c r="T331" s="20">
        <f>IFERROR(preçodiario[[#This Row],[OVO BRANCO C]]*preçodiario[[#This Row],[estoque C]],0)</f>
        <v>750</v>
      </c>
      <c r="U33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Row],[data]])),((U330*V330)+SUMIFS(estoque[valor total],estoque[produto],preçodiario[[#Headers],[OVO BRANCO EXTRA]],estoque[data],preçodiario[[#This Row],[data]],estoque[fornecedor],"&lt;&gt;saída"))/(V330+(SUMIFS(estoque[quantidade],estoque[produto],preçodiario[[#Headers],[OVO BRANCO EXTRA]],estoque[fornecedor],"&lt;&gt;saída",estoque[data],preçodiario[[#This Row],[data]])))))</f>
        <v>15.725438400674655</v>
      </c>
      <c r="V331" s="22">
        <f>IF(preçodiario[[#This Row],[entrada E]]=0,V330-(SUMIFS(estoque[quantidade],estoque[fornecedor],"saída",estoque[produto],preçodiario[[#Headers],[OVO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Row],[data]]))+V330+preçodiario[[#This Row],[entrada E]])</f>
        <v>46</v>
      </c>
      <c r="W331" s="22">
        <f>SUMIFS(estoque[quantidade],estoque[fornecedor],"&lt;&gt;saída",estoque[produto],preçodiario[[#Headers],[OVO BRANCO EXTRA]],estoque[data],preçodiario[[#This Row],[data]])</f>
        <v>0</v>
      </c>
      <c r="X331" s="20">
        <f>SUMIFS(estoque[valor total],estoque[fornecedor],"&lt;&gt;saída",estoque[produto],preçodiario[[#Headers],[OVO BRANCO EXTRA]],estoque[data],preçodiario[[#This Row],[data]])</f>
        <v>0</v>
      </c>
      <c r="Y331" s="20">
        <f>IFERROR(preçodiario[[#This Row],[estoque E]]*preçodiario[[#This Row],[OVO BRANCO EXTRA]],0)</f>
        <v>723.37016643103414</v>
      </c>
      <c r="Z33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Row],[data]])),((Z330*AA330)+SUMIFS(estoque[valor total],estoque[produto],preçodiario[[#Headers],[OVO BRANCO JUMBO]],estoque[data],preçodiario[[#This Row],[data]],estoque[fornecedor],"&lt;&gt;saída"))/(AA330+(SUMIFS(estoque[quantidade],estoque[produto],preçodiario[[#Headers],[OVO BRANCO JUMBO]],estoque[fornecedor],"&lt;&gt;saída",estoque[data],preçodiario[[#This Row],[data]])))))</f>
        <v>16.50550595238095</v>
      </c>
      <c r="AA331" s="22">
        <f>IF(preçodiario[[#This Row],[entrada J]]=0,AA330-(SUMIFS(estoque[quantidade],estoque[fornecedor],"saída",estoque[produto],preçodiario[[#Headers],[OVO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Row],[data]]))+AA330+preçodiario[[#This Row],[entrada J]])</f>
        <v>75</v>
      </c>
      <c r="AB331" s="22">
        <f>SUMIFS(estoque[quantidade],estoque[fornecedor],"&lt;&gt;saída",estoque[produto],preçodiario[[#Headers],[OVO BRANCO JUMBO]],estoque[data],preçodiario[[#This Row],[data]])</f>
        <v>0</v>
      </c>
      <c r="AC331" s="20">
        <f>SUMIFS(estoque[valor total],estoque[fornecedor],"&lt;&gt;saída",estoque[produto],preçodiario[[#Headers],[OVO BRANCO JUMBO]],estoque[data],preçodiario[[#This Row],[data]])</f>
        <v>0</v>
      </c>
      <c r="AD331" s="20">
        <f>IFERROR(preçodiario[[#This Row],[OVO BRANCO JUMBO]]*preçodiario[[#This Row],[estoque J]],0)</f>
        <v>1237.9129464285713</v>
      </c>
      <c r="AE33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Row],[data]])),((AE330*AF330)+SUMIFS(estoque[valor total],estoque[produto],preçodiario[[#Headers],[OVO VERMELHO A]],estoque[data],preçodiario[[#This Row],[data]],estoque[fornecedor],"&lt;&gt;saída"))/(AF330+(SUMIFS(estoque[quantidade],estoque[produto],preçodiario[[#Headers],[OVO VERMELHO A]],estoque[fornecedor],"&lt;&gt;saída",estoque[data],preçodiario[[#This Row],[data]])))))</f>
        <v/>
      </c>
      <c r="AF331" s="22">
        <f>IF(preçodiario[[#This Row],[entrada AV]]=0,AF330-(SUMIFS(estoque[quantidade],estoque[fornecedor],"saída",estoque[produto],preçodiario[[#Headers],[OVO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Row],[data]]))+AF330+preçodiario[[#This Row],[entrada AV]])</f>
        <v>0</v>
      </c>
      <c r="AG331" s="22">
        <f>SUMIFS(estoque[quantidade],estoque[fornecedor],"&lt;&gt;saída",estoque[produto],preçodiario[[#Headers],[OVO VERMELHO A]],estoque[data],preçodiario[[#This Row],[data]])</f>
        <v>0</v>
      </c>
      <c r="AH331" s="20">
        <f>SUMIFS(estoque[valor total],estoque[fornecedor],"&lt;&gt;saída",estoque[produto],preçodiario[[#Headers],[OVO VERMELHO A]],estoque[data],preçodiario[[#This Row],[data]])</f>
        <v>0</v>
      </c>
      <c r="AI331" s="20">
        <f>IFERROR(preçodiario[[#This Row],[OVO VERMELHO A]]*preçodiario[[#This Row],[estoque AV]],0)</f>
        <v>0</v>
      </c>
      <c r="AJ33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Row],[data]])),((AJ330*AK330)+SUMIFS(estoque[valor total],estoque[produto],preçodiario[[#Headers],[OVO VERMELHO B]],estoque[data],preçodiario[[#This Row],[data]],estoque[fornecedor],"&lt;&gt;saída"))/(AK330+(SUMIFS(estoque[quantidade],estoque[produto],preçodiario[[#Headers],[OVO VERMELHO B]],estoque[fornecedor],"&lt;&gt;saída",estoque[data],preçodiario[[#This Row],[data]])))))</f>
        <v/>
      </c>
      <c r="AK331" s="22">
        <f>IF(preçodiario[[#This Row],[entrada BV]]=0,AK330-(SUMIFS(estoque[quantidade],estoque[fornecedor],"saída",estoque[produto],preçodiario[[#Headers],[OVO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Row],[data]]))+AK330+preçodiario[[#This Row],[entrada BV]])</f>
        <v>0</v>
      </c>
      <c r="AL331" s="22">
        <f>SUMIFS(estoque[quantidade],estoque[fornecedor],"&lt;&gt;saída",estoque[produto],preçodiario[[#Headers],[OVO VERMELHO B]],estoque[data],preçodiario[[#This Row],[data]])</f>
        <v>0</v>
      </c>
      <c r="AM331" s="20">
        <f>SUMIFS(estoque[valor total],estoque[fornecedor],"&lt;&gt;saída",estoque[produto],preçodiario[[#Headers],[OVO VERMELHO B]],estoque[data],preçodiario[[#This Row],[data]])</f>
        <v>0</v>
      </c>
      <c r="AN331" s="20">
        <f>IFERROR(preçodiario[[#This Row],[OVO VERMELHO B]]*preçodiario[[#This Row],[estoque BV]],0)</f>
        <v>0</v>
      </c>
      <c r="AO33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Row],[data]])),((AO330*AP330)+SUMIFS(estoque[valor total],estoque[produto],preçodiario[[#Headers],[OVO VERMELHO C]],estoque[data],preçodiario[[#This Row],[data]],estoque[fornecedor],"&lt;&gt;saída"))/(AP330+(SUMIFS(estoque[quantidade],estoque[produto],preçodiario[[#Headers],[OVO VERMELHO C]],estoque[fornecedor],"&lt;&gt;saída",estoque[data],preçodiario[[#This Row],[data]])))))</f>
        <v/>
      </c>
      <c r="AP331" s="22">
        <f>IF(preçodiario[[#This Row],[entrada CV]]=0,AP330-(SUMIFS(estoque[quantidade],estoque[fornecedor],"saída",estoque[produto],preçodiario[[#Headers],[OVO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Row],[data]]))+AP330+preçodiario[[#This Row],[entrada CV]])</f>
        <v>0</v>
      </c>
      <c r="AQ331" s="22">
        <f>SUMIFS(estoque[quantidade],estoque[fornecedor],"&lt;&gt;saída",estoque[produto],preçodiario[[#Headers],[OVO VERMELHO C]],estoque[data],preçodiario[[#This Row],[data]])</f>
        <v>0</v>
      </c>
      <c r="AR331" s="20">
        <f>SUMIFS(estoque[valor total],estoque[fornecedor],"&lt;&gt;saída",estoque[produto],preçodiario[[#Headers],[OVO VERMELHO C]],estoque[data],preçodiario[[#This Row],[data]])</f>
        <v>0</v>
      </c>
      <c r="AS331" s="20">
        <f>IFERROR(preçodiario[[#This Row],[OVO VERMELHO C]]*preçodiario[[#This Row],[estoque CV]],0)</f>
        <v>0</v>
      </c>
      <c r="AT33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Row],[data]])),((AT330*AU330)+SUMIFS(estoque[valor total],estoque[produto],preçodiario[[#Headers],[OVO VERMELHO EXTRA]],estoque[data],preçodiario[[#This Row],[data]],estoque[fornecedor],"&lt;&gt;saída"))/(AU330+(SUMIFS(estoque[quantidade],estoque[produto],preçodiario[[#Headers],[OVO VERMELHO EXTRA]],estoque[fornecedor],"&lt;&gt;saída",estoque[data],preçodiario[[#This Row],[data]])))))</f>
        <v/>
      </c>
      <c r="AU331" s="22">
        <f>IF(preçodiario[[#This Row],[entrada EV]]=0,AU330-(SUMIFS(estoque[quantidade],estoque[fornecedor],"saída",estoque[produto],preçodiario[[#Headers],[OVO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Row],[data]]))+AU330+preçodiario[[#This Row],[entrada EV]])</f>
        <v>0</v>
      </c>
      <c r="AV331" s="22">
        <f>SUMIFS(estoque[quantidade],estoque[fornecedor],"&lt;&gt;saída",estoque[produto],preçodiario[[#Headers],[OVO VERMELHO EXTRA]],estoque[data],preçodiario[[#This Row],[data]])</f>
        <v>0</v>
      </c>
      <c r="AW331" s="20">
        <f>SUMIFS(estoque[valor total],estoque[fornecedor],"&lt;&gt;saída",estoque[produto],preçodiario[[#Headers],[OVO VERMELHO EXTRA]],estoque[data],preçodiario[[#This Row],[data]])</f>
        <v>0</v>
      </c>
      <c r="AX331" s="20">
        <f>IFERROR(preçodiario[[#This Row],[OVO VERMELHO EXTRA]]*preçodiario[[#This Row],[estoque EV]],0)</f>
        <v>0</v>
      </c>
      <c r="AY33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Row],[data]])),((AY330*AZ330)+SUMIFS(estoque[valor total],estoque[produto],preçodiario[[#Headers],[OVO VERMELHO JUMBO]],estoque[data],preçodiario[[#This Row],[data]],estoque[fornecedor],"&lt;&gt;saída"))/(AZ330+(SUMIFS(estoque[quantidade],estoque[produto],preçodiario[[#Headers],[OVO VERMELHO JUMBO]],estoque[fornecedor],"&lt;&gt;saída",estoque[data],preçodiario[[#This Row],[data]])))))</f>
        <v/>
      </c>
      <c r="AZ331" s="22">
        <f>IF(preçodiario[[#This Row],[entrada JV]]=0,AZ330-(SUMIFS(estoque[quantidade],estoque[fornecedor],"saída",estoque[produto],preçodiario[[#Headers],[OVO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Row],[data]]))+AZ330+preçodiario[[#This Row],[entrada JV]])</f>
        <v>0</v>
      </c>
      <c r="BA331" s="22">
        <f>SUMIFS(estoque[quantidade],estoque[fornecedor],"&lt;&gt;saída",estoque[produto],preçodiario[[#Headers],[OVO VERMELHO JUMBO]],estoque[data],preçodiario[[#This Row],[data]])</f>
        <v>0</v>
      </c>
      <c r="BB331" s="20">
        <f>SUMIFS(estoque[valor total],estoque[fornecedor],"&lt;&gt;saída",estoque[produto],preçodiario[[#Headers],[OVO VERMELHO JUMBO]],estoque[data],preçodiario[[#This Row],[data]])</f>
        <v>0</v>
      </c>
      <c r="BC331" s="20">
        <f>IFERROR(preçodiario[[#This Row],[OVO VERMELHO JUMBO]]*preçodiario[[#This Row],[estoque JV]],0)</f>
        <v>0</v>
      </c>
      <c r="BD331" t="str">
        <f>TEXT(vendaAno[[#This Row],[data]],"mmm")</f>
        <v>nov</v>
      </c>
      <c r="BE331" t="str">
        <f>TEXT(vendaAno[[#This Row],[data]],"ddd")</f>
        <v>qui</v>
      </c>
      <c r="BF331" s="82">
        <f>WEEKNUM(vendaAno[[#This Row],[data]],13)</f>
        <v>48</v>
      </c>
      <c r="BG331" s="27">
        <f>preçodiario[[#This Row],[data]]</f>
        <v>46352</v>
      </c>
      <c r="BH33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Row],[data]]))/12+BJ330,"")</f>
        <v/>
      </c>
      <c r="BK331" s="79" t="str">
        <f ca="1">IF(TODAY()&gt;=vendaAno[[#This Row],[data]],IF(SUMIFS(estoque[quantidade],estoque[fornecedor],"saída",estoque[data],vendaAno[[#This Row],[data]])/12=0,AVERAGE(BK328:BK330),SUMIFS(estoque[quantidade],estoque[fornecedor],"saída",estoque[data],vendaAno[[#This Row],[data]])/12),"")</f>
        <v/>
      </c>
      <c r="BL331" s="8" t="str">
        <f ca="1">IF(vendaAno[[#This Row],[data]]&lt;=TODAY(),IF(SUMIFS(estoque[lucro],estoque[fornecedor],"saída",estoque[data],vendaAno[[#This Row],[data]])=0,AVERAGE(BL328:BL330),SUMIFS(estoque[lucro],estoque[fornecedor],"saída",estoque[data],vendaAno[[#This Row],[data]])),"")</f>
        <v/>
      </c>
      <c r="BM331" s="10" t="str">
        <f ca="1">IFERROR(vendaAno[[#This Row],[lucro]]/vendaAno[[#This Row],[valor de venda]],"")</f>
        <v/>
      </c>
      <c r="BN33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1" s="8" t="str">
        <f ca="1">IF(TODAY()&gt;=vendaAno[[#This Row],[data]],IF(vendaAno[[#This Row],[N°]]=BF330,vendaAno[[#This Row],[lucro]]-173.33+BO330,vendaAno[[#This Row],[lucro]]-150),"")</f>
        <v/>
      </c>
      <c r="BP331" s="81" t="str">
        <f ca="1">IF(TODAY()&gt;=vendaAno[[#This Row],[data]],SUM(BK325:BK331)*12,"")</f>
        <v/>
      </c>
      <c r="BQ331" s="7" t="str">
        <f ca="1">IFERROR(vendaAno[[#This Row],[lucro]]/(vendaAno[[#This Row],[venda]]*12),"")</f>
        <v/>
      </c>
    </row>
    <row r="332" spans="1:69" x14ac:dyDescent="0.25">
      <c r="A33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2" s="18" t="str">
        <f>TEXT(preçodiario[[#This Row],[data]],"MMM")</f>
        <v>nov</v>
      </c>
      <c r="C332" s="18" t="str">
        <f>TEXT(preçodiario[[#This Row],[data]],"ddd")</f>
        <v>sex</v>
      </c>
      <c r="D332" s="96">
        <f>WEEKNUM(preçodiario[[#This Row],[data]],13)</f>
        <v>48</v>
      </c>
      <c r="E332" s="37">
        <v>46353</v>
      </c>
      <c r="F33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Row],[data]])),((F331*G331)+SUMIFS(estoque[valor total],estoque[produto],preçodiario[[#Headers],[OVO BRANCO A]],estoque[data],preçodiario[[#This Row],[data]],estoque[fornecedor],"&lt;&gt;saída"))/(G331+(SUMIFS(estoque[quantidade],estoque[produto],preçodiario[[#Headers],[OVO BRANCO A]],estoque[fornecedor],"&lt;&gt;saída",estoque[data],preçodiario[[#This Row],[data]])))))</f>
        <v>15.278182701652089</v>
      </c>
      <c r="G332" s="22">
        <f>IF(preçodiario[[#This Row],[entrada A]]=0,G331-(SUMIFS(estoque[quantidade],estoque[fornecedor],"saída",estoque[produto],preçodiario[[#Headers],[OVO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Row],[data]]))+G331+preçodiario[[#This Row],[entrada A]])</f>
        <v>133</v>
      </c>
      <c r="H332" s="22">
        <f>SUMIFS(estoque[quantidade],estoque[fornecedor],"&lt;&gt;saída",estoque[produto],preçodiario[[#Headers],[OVO BRANCO A]],estoque[data],preçodiario[[#This Row],[data]])</f>
        <v>0</v>
      </c>
      <c r="I332" s="20">
        <f>SUMIFS(estoque[valor total],estoque[fornecedor],"&lt;&gt;saída",estoque[produto],preçodiario[[#Headers],[OVO BRANCO A]],estoque[data],preçodiario[[#This Row],[data]])</f>
        <v>0</v>
      </c>
      <c r="J332" s="20">
        <f>IFERROR(preçodiario[[#This Row],[estoque A]]*preçodiario[[#This Row],[OVO BRANCO A]],0)</f>
        <v>2031.9982993197277</v>
      </c>
      <c r="K33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Row],[data]])),((K331*L331)+SUMIFS(estoque[valor total],estoque[produto],preçodiario[[#Headers],[OVO BRANCO B]],estoque[data],preçodiario[[#This Row],[data]],estoque[fornecedor],"&lt;&gt;saída"))/(L331+(SUMIFS(estoque[quantidade],estoque[produto],preçodiario[[#Headers],[OVO BRANCO B]],estoque[fornecedor],"&lt;&gt;saída",estoque[data],preçodiario[[#This Row],[data]])))))</f>
        <v>14.584252837326604</v>
      </c>
      <c r="L332" s="22">
        <f>IF(preçodiario[[#This Row],[entrada B]]=0,L331-(SUMIFS(estoque[quantidade],estoque[fornecedor],"saída",estoque[produto],preçodiario[[#Headers],[OVO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Row],[data]]))+L331+preçodiario[[#This Row],[entrada B]])</f>
        <v>16</v>
      </c>
      <c r="M332" s="22">
        <f>SUMIFS(estoque[quantidade],estoque[fornecedor],"&lt;&gt;saída",estoque[produto],preçodiario[[#Headers],[OVO BRANCO B]],estoque[data],preçodiario[[#This Row],[data]])</f>
        <v>0</v>
      </c>
      <c r="N332" s="20">
        <f>SUMIFS(estoque[valor total],estoque[fornecedor],"&lt;&gt;saída",estoque[produto],preçodiario[[#Headers],[OVO BRANCO B]],estoque[data],preçodiario[[#This Row],[data]])</f>
        <v>0</v>
      </c>
      <c r="O332" s="20">
        <f>IFERROR(preçodiario[[#This Row],[OVO BRANCO B]]*preçodiario[[#This Row],[estoque B]],0)</f>
        <v>233.34804539722566</v>
      </c>
      <c r="P33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Row],[data]])),((P331*Q331)+SUMIFS(estoque[valor total],estoque[produto],preçodiario[[#Headers],[OVO BRANCO C]],estoque[data],preçodiario[[#This Row],[data]],estoque[fornecedor],"&lt;&gt;saída"))/(Q331+(SUMIFS(estoque[quantidade],estoque[produto],preçodiario[[#Headers],[OVO BRANCO C]],estoque[fornecedor],"&lt;&gt;saída",estoque[data],preçodiario[[#This Row],[data]])))))</f>
        <v>12.5</v>
      </c>
      <c r="Q332" s="22">
        <f>IF(preçodiario[[#This Row],[entrada C]]=0,Q331-(SUMIFS(estoque[quantidade],estoque[fornecedor],"saída",estoque[produto],preçodiario[[#Headers],[OVO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Row],[data]]))+Q331+preçodiario[[#This Row],[entrada C]])</f>
        <v>60</v>
      </c>
      <c r="R332" s="22">
        <f>SUMIFS(estoque[quantidade],estoque[fornecedor],"&lt;&gt;saída",estoque[produto],preçodiario[[#Headers],[OVO BRANCO C]],estoque[data],preçodiario[[#This Row],[data]])</f>
        <v>0</v>
      </c>
      <c r="S332" s="20">
        <f>SUMIFS(estoque[valor total],estoque[fornecedor],"&lt;&gt;saída",estoque[produto],preçodiario[[#Headers],[OVO BRANCO C]],estoque[data],preçodiario[[#This Row],[data]])</f>
        <v>0</v>
      </c>
      <c r="T332" s="20">
        <f>IFERROR(preçodiario[[#This Row],[OVO BRANCO C]]*preçodiario[[#This Row],[estoque C]],0)</f>
        <v>750</v>
      </c>
      <c r="U33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Row],[data]])),((U331*V331)+SUMIFS(estoque[valor total],estoque[produto],preçodiario[[#Headers],[OVO BRANCO EXTRA]],estoque[data],preçodiario[[#This Row],[data]],estoque[fornecedor],"&lt;&gt;saída"))/(V331+(SUMIFS(estoque[quantidade],estoque[produto],preçodiario[[#Headers],[OVO BRANCO EXTRA]],estoque[fornecedor],"&lt;&gt;saída",estoque[data],preçodiario[[#This Row],[data]])))))</f>
        <v>15.725438400674655</v>
      </c>
      <c r="V332" s="22">
        <f>IF(preçodiario[[#This Row],[entrada E]]=0,V331-(SUMIFS(estoque[quantidade],estoque[fornecedor],"saída",estoque[produto],preçodiario[[#Headers],[OVO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Row],[data]]))+V331+preçodiario[[#This Row],[entrada E]])</f>
        <v>46</v>
      </c>
      <c r="W332" s="22">
        <f>SUMIFS(estoque[quantidade],estoque[fornecedor],"&lt;&gt;saída",estoque[produto],preçodiario[[#Headers],[OVO BRANCO EXTRA]],estoque[data],preçodiario[[#This Row],[data]])</f>
        <v>0</v>
      </c>
      <c r="X332" s="20">
        <f>SUMIFS(estoque[valor total],estoque[fornecedor],"&lt;&gt;saída",estoque[produto],preçodiario[[#Headers],[OVO BRANCO EXTRA]],estoque[data],preçodiario[[#This Row],[data]])</f>
        <v>0</v>
      </c>
      <c r="Y332" s="20">
        <f>IFERROR(preçodiario[[#This Row],[estoque E]]*preçodiario[[#This Row],[OVO BRANCO EXTRA]],0)</f>
        <v>723.37016643103414</v>
      </c>
      <c r="Z33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Row],[data]])),((Z331*AA331)+SUMIFS(estoque[valor total],estoque[produto],preçodiario[[#Headers],[OVO BRANCO JUMBO]],estoque[data],preçodiario[[#This Row],[data]],estoque[fornecedor],"&lt;&gt;saída"))/(AA331+(SUMIFS(estoque[quantidade],estoque[produto],preçodiario[[#Headers],[OVO BRANCO JUMBO]],estoque[fornecedor],"&lt;&gt;saída",estoque[data],preçodiario[[#This Row],[data]])))))</f>
        <v>16.50550595238095</v>
      </c>
      <c r="AA332" s="22">
        <f>IF(preçodiario[[#This Row],[entrada J]]=0,AA331-(SUMIFS(estoque[quantidade],estoque[fornecedor],"saída",estoque[produto],preçodiario[[#Headers],[OVO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Row],[data]]))+AA331+preçodiario[[#This Row],[entrada J]])</f>
        <v>75</v>
      </c>
      <c r="AB332" s="22">
        <f>SUMIFS(estoque[quantidade],estoque[fornecedor],"&lt;&gt;saída",estoque[produto],preçodiario[[#Headers],[OVO BRANCO JUMBO]],estoque[data],preçodiario[[#This Row],[data]])</f>
        <v>0</v>
      </c>
      <c r="AC332" s="20">
        <f>SUMIFS(estoque[valor total],estoque[fornecedor],"&lt;&gt;saída",estoque[produto],preçodiario[[#Headers],[OVO BRANCO JUMBO]],estoque[data],preçodiario[[#This Row],[data]])</f>
        <v>0</v>
      </c>
      <c r="AD332" s="20">
        <f>IFERROR(preçodiario[[#This Row],[OVO BRANCO JUMBO]]*preçodiario[[#This Row],[estoque J]],0)</f>
        <v>1237.9129464285713</v>
      </c>
      <c r="AE33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Row],[data]])),((AE331*AF331)+SUMIFS(estoque[valor total],estoque[produto],preçodiario[[#Headers],[OVO VERMELHO A]],estoque[data],preçodiario[[#This Row],[data]],estoque[fornecedor],"&lt;&gt;saída"))/(AF331+(SUMIFS(estoque[quantidade],estoque[produto],preçodiario[[#Headers],[OVO VERMELHO A]],estoque[fornecedor],"&lt;&gt;saída",estoque[data],preçodiario[[#This Row],[data]])))))</f>
        <v/>
      </c>
      <c r="AF332" s="22">
        <f>IF(preçodiario[[#This Row],[entrada AV]]=0,AF331-(SUMIFS(estoque[quantidade],estoque[fornecedor],"saída",estoque[produto],preçodiario[[#Headers],[OVO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Row],[data]]))+AF331+preçodiario[[#This Row],[entrada AV]])</f>
        <v>0</v>
      </c>
      <c r="AG332" s="22">
        <f>SUMIFS(estoque[quantidade],estoque[fornecedor],"&lt;&gt;saída",estoque[produto],preçodiario[[#Headers],[OVO VERMELHO A]],estoque[data],preçodiario[[#This Row],[data]])</f>
        <v>0</v>
      </c>
      <c r="AH332" s="20">
        <f>SUMIFS(estoque[valor total],estoque[fornecedor],"&lt;&gt;saída",estoque[produto],preçodiario[[#Headers],[OVO VERMELHO A]],estoque[data],preçodiario[[#This Row],[data]])</f>
        <v>0</v>
      </c>
      <c r="AI332" s="20">
        <f>IFERROR(preçodiario[[#This Row],[OVO VERMELHO A]]*preçodiario[[#This Row],[estoque AV]],0)</f>
        <v>0</v>
      </c>
      <c r="AJ33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Row],[data]])),((AJ331*AK331)+SUMIFS(estoque[valor total],estoque[produto],preçodiario[[#Headers],[OVO VERMELHO B]],estoque[data],preçodiario[[#This Row],[data]],estoque[fornecedor],"&lt;&gt;saída"))/(AK331+(SUMIFS(estoque[quantidade],estoque[produto],preçodiario[[#Headers],[OVO VERMELHO B]],estoque[fornecedor],"&lt;&gt;saída",estoque[data],preçodiario[[#This Row],[data]])))))</f>
        <v/>
      </c>
      <c r="AK332" s="22">
        <f>IF(preçodiario[[#This Row],[entrada BV]]=0,AK331-(SUMIFS(estoque[quantidade],estoque[fornecedor],"saída",estoque[produto],preçodiario[[#Headers],[OVO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Row],[data]]))+AK331+preçodiario[[#This Row],[entrada BV]])</f>
        <v>0</v>
      </c>
      <c r="AL332" s="22">
        <f>SUMIFS(estoque[quantidade],estoque[fornecedor],"&lt;&gt;saída",estoque[produto],preçodiario[[#Headers],[OVO VERMELHO B]],estoque[data],preçodiario[[#This Row],[data]])</f>
        <v>0</v>
      </c>
      <c r="AM332" s="20">
        <f>SUMIFS(estoque[valor total],estoque[fornecedor],"&lt;&gt;saída",estoque[produto],preçodiario[[#Headers],[OVO VERMELHO B]],estoque[data],preçodiario[[#This Row],[data]])</f>
        <v>0</v>
      </c>
      <c r="AN332" s="20">
        <f>IFERROR(preçodiario[[#This Row],[OVO VERMELHO B]]*preçodiario[[#This Row],[estoque BV]],0)</f>
        <v>0</v>
      </c>
      <c r="AO33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Row],[data]])),((AO331*AP331)+SUMIFS(estoque[valor total],estoque[produto],preçodiario[[#Headers],[OVO VERMELHO C]],estoque[data],preçodiario[[#This Row],[data]],estoque[fornecedor],"&lt;&gt;saída"))/(AP331+(SUMIFS(estoque[quantidade],estoque[produto],preçodiario[[#Headers],[OVO VERMELHO C]],estoque[fornecedor],"&lt;&gt;saída",estoque[data],preçodiario[[#This Row],[data]])))))</f>
        <v/>
      </c>
      <c r="AP332" s="22">
        <f>IF(preçodiario[[#This Row],[entrada CV]]=0,AP331-(SUMIFS(estoque[quantidade],estoque[fornecedor],"saída",estoque[produto],preçodiario[[#Headers],[OVO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Row],[data]]))+AP331+preçodiario[[#This Row],[entrada CV]])</f>
        <v>0</v>
      </c>
      <c r="AQ332" s="22">
        <f>SUMIFS(estoque[quantidade],estoque[fornecedor],"&lt;&gt;saída",estoque[produto],preçodiario[[#Headers],[OVO VERMELHO C]],estoque[data],preçodiario[[#This Row],[data]])</f>
        <v>0</v>
      </c>
      <c r="AR332" s="20">
        <f>SUMIFS(estoque[valor total],estoque[fornecedor],"&lt;&gt;saída",estoque[produto],preçodiario[[#Headers],[OVO VERMELHO C]],estoque[data],preçodiario[[#This Row],[data]])</f>
        <v>0</v>
      </c>
      <c r="AS332" s="20">
        <f>IFERROR(preçodiario[[#This Row],[OVO VERMELHO C]]*preçodiario[[#This Row],[estoque CV]],0)</f>
        <v>0</v>
      </c>
      <c r="AT33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Row],[data]])),((AT331*AU331)+SUMIFS(estoque[valor total],estoque[produto],preçodiario[[#Headers],[OVO VERMELHO EXTRA]],estoque[data],preçodiario[[#This Row],[data]],estoque[fornecedor],"&lt;&gt;saída"))/(AU331+(SUMIFS(estoque[quantidade],estoque[produto],preçodiario[[#Headers],[OVO VERMELHO EXTRA]],estoque[fornecedor],"&lt;&gt;saída",estoque[data],preçodiario[[#This Row],[data]])))))</f>
        <v/>
      </c>
      <c r="AU332" s="22">
        <f>IF(preçodiario[[#This Row],[entrada EV]]=0,AU331-(SUMIFS(estoque[quantidade],estoque[fornecedor],"saída",estoque[produto],preçodiario[[#Headers],[OVO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Row],[data]]))+AU331+preçodiario[[#This Row],[entrada EV]])</f>
        <v>0</v>
      </c>
      <c r="AV332" s="22">
        <f>SUMIFS(estoque[quantidade],estoque[fornecedor],"&lt;&gt;saída",estoque[produto],preçodiario[[#Headers],[OVO VERMELHO EXTRA]],estoque[data],preçodiario[[#This Row],[data]])</f>
        <v>0</v>
      </c>
      <c r="AW332" s="20">
        <f>SUMIFS(estoque[valor total],estoque[fornecedor],"&lt;&gt;saída",estoque[produto],preçodiario[[#Headers],[OVO VERMELHO EXTRA]],estoque[data],preçodiario[[#This Row],[data]])</f>
        <v>0</v>
      </c>
      <c r="AX332" s="20">
        <f>IFERROR(preçodiario[[#This Row],[OVO VERMELHO EXTRA]]*preçodiario[[#This Row],[estoque EV]],0)</f>
        <v>0</v>
      </c>
      <c r="AY33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Row],[data]])),((AY331*AZ331)+SUMIFS(estoque[valor total],estoque[produto],preçodiario[[#Headers],[OVO VERMELHO JUMBO]],estoque[data],preçodiario[[#This Row],[data]],estoque[fornecedor],"&lt;&gt;saída"))/(AZ331+(SUMIFS(estoque[quantidade],estoque[produto],preçodiario[[#Headers],[OVO VERMELHO JUMBO]],estoque[fornecedor],"&lt;&gt;saída",estoque[data],preçodiario[[#This Row],[data]])))))</f>
        <v/>
      </c>
      <c r="AZ332" s="22">
        <f>IF(preçodiario[[#This Row],[entrada JV]]=0,AZ331-(SUMIFS(estoque[quantidade],estoque[fornecedor],"saída",estoque[produto],preçodiario[[#Headers],[OVO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Row],[data]]))+AZ331+preçodiario[[#This Row],[entrada JV]])</f>
        <v>0</v>
      </c>
      <c r="BA332" s="22">
        <f>SUMIFS(estoque[quantidade],estoque[fornecedor],"&lt;&gt;saída",estoque[produto],preçodiario[[#Headers],[OVO VERMELHO JUMBO]],estoque[data],preçodiario[[#This Row],[data]])</f>
        <v>0</v>
      </c>
      <c r="BB332" s="20">
        <f>SUMIFS(estoque[valor total],estoque[fornecedor],"&lt;&gt;saída",estoque[produto],preçodiario[[#Headers],[OVO VERMELHO JUMBO]],estoque[data],preçodiario[[#This Row],[data]])</f>
        <v>0</v>
      </c>
      <c r="BC332" s="20">
        <f>IFERROR(preçodiario[[#This Row],[OVO VERMELHO JUMBO]]*preçodiario[[#This Row],[estoque JV]],0)</f>
        <v>0</v>
      </c>
      <c r="BD332" t="str">
        <f>TEXT(vendaAno[[#This Row],[data]],"mmm")</f>
        <v>nov</v>
      </c>
      <c r="BE332" t="str">
        <f>TEXT(vendaAno[[#This Row],[data]],"ddd")</f>
        <v>sex</v>
      </c>
      <c r="BF332" s="82">
        <f>WEEKNUM(vendaAno[[#This Row],[data]],13)</f>
        <v>48</v>
      </c>
      <c r="BG332" s="27">
        <f>preçodiario[[#This Row],[data]]</f>
        <v>46353</v>
      </c>
      <c r="BH33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Row],[data]]))/12+BJ331,"")</f>
        <v/>
      </c>
      <c r="BK332" s="79" t="str">
        <f ca="1">IF(TODAY()&gt;=vendaAno[[#This Row],[data]],IF(SUMIFS(estoque[quantidade],estoque[fornecedor],"saída",estoque[data],vendaAno[[#This Row],[data]])/12=0,AVERAGE(BK329:BK331),SUMIFS(estoque[quantidade],estoque[fornecedor],"saída",estoque[data],vendaAno[[#This Row],[data]])/12),"")</f>
        <v/>
      </c>
      <c r="BL332" s="8" t="str">
        <f ca="1">IF(vendaAno[[#This Row],[data]]&lt;=TODAY(),IF(SUMIFS(estoque[lucro],estoque[fornecedor],"saída",estoque[data],vendaAno[[#This Row],[data]])=0,AVERAGE(BL329:BL331),SUMIFS(estoque[lucro],estoque[fornecedor],"saída",estoque[data],vendaAno[[#This Row],[data]])),"")</f>
        <v/>
      </c>
      <c r="BM332" s="10" t="str">
        <f ca="1">IFERROR(vendaAno[[#This Row],[lucro]]/vendaAno[[#This Row],[valor de venda]],"")</f>
        <v/>
      </c>
      <c r="BN33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2" s="8" t="str">
        <f ca="1">IF(TODAY()&gt;=vendaAno[[#This Row],[data]],IF(vendaAno[[#This Row],[N°]]=BF331,vendaAno[[#This Row],[lucro]]-173.33+BO331,vendaAno[[#This Row],[lucro]]-150),"")</f>
        <v/>
      </c>
      <c r="BP332" s="81" t="str">
        <f ca="1">IF(TODAY()&gt;=vendaAno[[#This Row],[data]],SUM(BK326:BK332)*12,"")</f>
        <v/>
      </c>
      <c r="BQ332" s="7" t="str">
        <f ca="1">IFERROR(vendaAno[[#This Row],[lucro]]/(vendaAno[[#This Row],[venda]]*12),"")</f>
        <v/>
      </c>
    </row>
    <row r="333" spans="1:69" x14ac:dyDescent="0.25">
      <c r="A33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3" s="18" t="str">
        <f>TEXT(preçodiario[[#This Row],[data]],"MMM")</f>
        <v>nov</v>
      </c>
      <c r="C333" s="18" t="str">
        <f>TEXT(preçodiario[[#This Row],[data]],"ddd")</f>
        <v>sáb</v>
      </c>
      <c r="D333" s="96">
        <f>WEEKNUM(preçodiario[[#This Row],[data]],13)</f>
        <v>48</v>
      </c>
      <c r="E333" s="37">
        <v>46354</v>
      </c>
      <c r="F33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Row],[data]])),((F332*G332)+SUMIFS(estoque[valor total],estoque[produto],preçodiario[[#Headers],[OVO BRANCO A]],estoque[data],preçodiario[[#This Row],[data]],estoque[fornecedor],"&lt;&gt;saída"))/(G332+(SUMIFS(estoque[quantidade],estoque[produto],preçodiario[[#Headers],[OVO BRANCO A]],estoque[fornecedor],"&lt;&gt;saída",estoque[data],preçodiario[[#This Row],[data]])))))</f>
        <v>15.278182701652089</v>
      </c>
      <c r="G333" s="22">
        <f>IF(preçodiario[[#This Row],[entrada A]]=0,G332-(SUMIFS(estoque[quantidade],estoque[fornecedor],"saída",estoque[produto],preçodiario[[#Headers],[OVO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Row],[data]]))+G332+preçodiario[[#This Row],[entrada A]])</f>
        <v>133</v>
      </c>
      <c r="H333" s="22">
        <f>SUMIFS(estoque[quantidade],estoque[fornecedor],"&lt;&gt;saída",estoque[produto],preçodiario[[#Headers],[OVO BRANCO A]],estoque[data],preçodiario[[#This Row],[data]])</f>
        <v>0</v>
      </c>
      <c r="I333" s="20">
        <f>SUMIFS(estoque[valor total],estoque[fornecedor],"&lt;&gt;saída",estoque[produto],preçodiario[[#Headers],[OVO BRANCO A]],estoque[data],preçodiario[[#This Row],[data]])</f>
        <v>0</v>
      </c>
      <c r="J333" s="20">
        <f>IFERROR(preçodiario[[#This Row],[estoque A]]*preçodiario[[#This Row],[OVO BRANCO A]],0)</f>
        <v>2031.9982993197277</v>
      </c>
      <c r="K33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Row],[data]])),((K332*L332)+SUMIFS(estoque[valor total],estoque[produto],preçodiario[[#Headers],[OVO BRANCO B]],estoque[data],preçodiario[[#This Row],[data]],estoque[fornecedor],"&lt;&gt;saída"))/(L332+(SUMIFS(estoque[quantidade],estoque[produto],preçodiario[[#Headers],[OVO BRANCO B]],estoque[fornecedor],"&lt;&gt;saída",estoque[data],preçodiario[[#This Row],[data]])))))</f>
        <v>14.584252837326604</v>
      </c>
      <c r="L333" s="22">
        <f>IF(preçodiario[[#This Row],[entrada B]]=0,L332-(SUMIFS(estoque[quantidade],estoque[fornecedor],"saída",estoque[produto],preçodiario[[#Headers],[OVO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Row],[data]]))+L332+preçodiario[[#This Row],[entrada B]])</f>
        <v>16</v>
      </c>
      <c r="M333" s="22">
        <f>SUMIFS(estoque[quantidade],estoque[fornecedor],"&lt;&gt;saída",estoque[produto],preçodiario[[#Headers],[OVO BRANCO B]],estoque[data],preçodiario[[#This Row],[data]])</f>
        <v>0</v>
      </c>
      <c r="N333" s="20">
        <f>SUMIFS(estoque[valor total],estoque[fornecedor],"&lt;&gt;saída",estoque[produto],preçodiario[[#Headers],[OVO BRANCO B]],estoque[data],preçodiario[[#This Row],[data]])</f>
        <v>0</v>
      </c>
      <c r="O333" s="20">
        <f>IFERROR(preçodiario[[#This Row],[OVO BRANCO B]]*preçodiario[[#This Row],[estoque B]],0)</f>
        <v>233.34804539722566</v>
      </c>
      <c r="P33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Row],[data]])),((P332*Q332)+SUMIFS(estoque[valor total],estoque[produto],preçodiario[[#Headers],[OVO BRANCO C]],estoque[data],preçodiario[[#This Row],[data]],estoque[fornecedor],"&lt;&gt;saída"))/(Q332+(SUMIFS(estoque[quantidade],estoque[produto],preçodiario[[#Headers],[OVO BRANCO C]],estoque[fornecedor],"&lt;&gt;saída",estoque[data],preçodiario[[#This Row],[data]])))))</f>
        <v>12.5</v>
      </c>
      <c r="Q333" s="22">
        <f>IF(preçodiario[[#This Row],[entrada C]]=0,Q332-(SUMIFS(estoque[quantidade],estoque[fornecedor],"saída",estoque[produto],preçodiario[[#Headers],[OVO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Row],[data]]))+Q332+preçodiario[[#This Row],[entrada C]])</f>
        <v>60</v>
      </c>
      <c r="R333" s="22">
        <f>SUMIFS(estoque[quantidade],estoque[fornecedor],"&lt;&gt;saída",estoque[produto],preçodiario[[#Headers],[OVO BRANCO C]],estoque[data],preçodiario[[#This Row],[data]])</f>
        <v>0</v>
      </c>
      <c r="S333" s="20">
        <f>SUMIFS(estoque[valor total],estoque[fornecedor],"&lt;&gt;saída",estoque[produto],preçodiario[[#Headers],[OVO BRANCO C]],estoque[data],preçodiario[[#This Row],[data]])</f>
        <v>0</v>
      </c>
      <c r="T333" s="20">
        <f>IFERROR(preçodiario[[#This Row],[OVO BRANCO C]]*preçodiario[[#This Row],[estoque C]],0)</f>
        <v>750</v>
      </c>
      <c r="U33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Row],[data]])),((U332*V332)+SUMIFS(estoque[valor total],estoque[produto],preçodiario[[#Headers],[OVO BRANCO EXTRA]],estoque[data],preçodiario[[#This Row],[data]],estoque[fornecedor],"&lt;&gt;saída"))/(V332+(SUMIFS(estoque[quantidade],estoque[produto],preçodiario[[#Headers],[OVO BRANCO EXTRA]],estoque[fornecedor],"&lt;&gt;saída",estoque[data],preçodiario[[#This Row],[data]])))))</f>
        <v>15.725438400674655</v>
      </c>
      <c r="V333" s="22">
        <f>IF(preçodiario[[#This Row],[entrada E]]=0,V332-(SUMIFS(estoque[quantidade],estoque[fornecedor],"saída",estoque[produto],preçodiario[[#Headers],[OVO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Row],[data]]))+V332+preçodiario[[#This Row],[entrada E]])</f>
        <v>46</v>
      </c>
      <c r="W333" s="22">
        <f>SUMIFS(estoque[quantidade],estoque[fornecedor],"&lt;&gt;saída",estoque[produto],preçodiario[[#Headers],[OVO BRANCO EXTRA]],estoque[data],preçodiario[[#This Row],[data]])</f>
        <v>0</v>
      </c>
      <c r="X333" s="20">
        <f>SUMIFS(estoque[valor total],estoque[fornecedor],"&lt;&gt;saída",estoque[produto],preçodiario[[#Headers],[OVO BRANCO EXTRA]],estoque[data],preçodiario[[#This Row],[data]])</f>
        <v>0</v>
      </c>
      <c r="Y333" s="20">
        <f>IFERROR(preçodiario[[#This Row],[estoque E]]*preçodiario[[#This Row],[OVO BRANCO EXTRA]],0)</f>
        <v>723.37016643103414</v>
      </c>
      <c r="Z33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Row],[data]])),((Z332*AA332)+SUMIFS(estoque[valor total],estoque[produto],preçodiario[[#Headers],[OVO BRANCO JUMBO]],estoque[data],preçodiario[[#This Row],[data]],estoque[fornecedor],"&lt;&gt;saída"))/(AA332+(SUMIFS(estoque[quantidade],estoque[produto],preçodiario[[#Headers],[OVO BRANCO JUMBO]],estoque[fornecedor],"&lt;&gt;saída",estoque[data],preçodiario[[#This Row],[data]])))))</f>
        <v>16.50550595238095</v>
      </c>
      <c r="AA333" s="22">
        <f>IF(preçodiario[[#This Row],[entrada J]]=0,AA332-(SUMIFS(estoque[quantidade],estoque[fornecedor],"saída",estoque[produto],preçodiario[[#Headers],[OVO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Row],[data]]))+AA332+preçodiario[[#This Row],[entrada J]])</f>
        <v>75</v>
      </c>
      <c r="AB333" s="22">
        <f>SUMIFS(estoque[quantidade],estoque[fornecedor],"&lt;&gt;saída",estoque[produto],preçodiario[[#Headers],[OVO BRANCO JUMBO]],estoque[data],preçodiario[[#This Row],[data]])</f>
        <v>0</v>
      </c>
      <c r="AC333" s="20">
        <f>SUMIFS(estoque[valor total],estoque[fornecedor],"&lt;&gt;saída",estoque[produto],preçodiario[[#Headers],[OVO BRANCO JUMBO]],estoque[data],preçodiario[[#This Row],[data]])</f>
        <v>0</v>
      </c>
      <c r="AD333" s="20">
        <f>IFERROR(preçodiario[[#This Row],[OVO BRANCO JUMBO]]*preçodiario[[#This Row],[estoque J]],0)</f>
        <v>1237.9129464285713</v>
      </c>
      <c r="AE33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Row],[data]])),((AE332*AF332)+SUMIFS(estoque[valor total],estoque[produto],preçodiario[[#Headers],[OVO VERMELHO A]],estoque[data],preçodiario[[#This Row],[data]],estoque[fornecedor],"&lt;&gt;saída"))/(AF332+(SUMIFS(estoque[quantidade],estoque[produto],preçodiario[[#Headers],[OVO VERMELHO A]],estoque[fornecedor],"&lt;&gt;saída",estoque[data],preçodiario[[#This Row],[data]])))))</f>
        <v/>
      </c>
      <c r="AF333" s="22">
        <f>IF(preçodiario[[#This Row],[entrada AV]]=0,AF332-(SUMIFS(estoque[quantidade],estoque[fornecedor],"saída",estoque[produto],preçodiario[[#Headers],[OVO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Row],[data]]))+AF332+preçodiario[[#This Row],[entrada AV]])</f>
        <v>0</v>
      </c>
      <c r="AG333" s="22">
        <f>SUMIFS(estoque[quantidade],estoque[fornecedor],"&lt;&gt;saída",estoque[produto],preçodiario[[#Headers],[OVO VERMELHO A]],estoque[data],preçodiario[[#This Row],[data]])</f>
        <v>0</v>
      </c>
      <c r="AH333" s="20">
        <f>SUMIFS(estoque[valor total],estoque[fornecedor],"&lt;&gt;saída",estoque[produto],preçodiario[[#Headers],[OVO VERMELHO A]],estoque[data],preçodiario[[#This Row],[data]])</f>
        <v>0</v>
      </c>
      <c r="AI333" s="20">
        <f>IFERROR(preçodiario[[#This Row],[OVO VERMELHO A]]*preçodiario[[#This Row],[estoque AV]],0)</f>
        <v>0</v>
      </c>
      <c r="AJ33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Row],[data]])),((AJ332*AK332)+SUMIFS(estoque[valor total],estoque[produto],preçodiario[[#Headers],[OVO VERMELHO B]],estoque[data],preçodiario[[#This Row],[data]],estoque[fornecedor],"&lt;&gt;saída"))/(AK332+(SUMIFS(estoque[quantidade],estoque[produto],preçodiario[[#Headers],[OVO VERMELHO B]],estoque[fornecedor],"&lt;&gt;saída",estoque[data],preçodiario[[#This Row],[data]])))))</f>
        <v/>
      </c>
      <c r="AK333" s="22">
        <f>IF(preçodiario[[#This Row],[entrada BV]]=0,AK332-(SUMIFS(estoque[quantidade],estoque[fornecedor],"saída",estoque[produto],preçodiario[[#Headers],[OVO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Row],[data]]))+AK332+preçodiario[[#This Row],[entrada BV]])</f>
        <v>0</v>
      </c>
      <c r="AL333" s="22">
        <f>SUMIFS(estoque[quantidade],estoque[fornecedor],"&lt;&gt;saída",estoque[produto],preçodiario[[#Headers],[OVO VERMELHO B]],estoque[data],preçodiario[[#This Row],[data]])</f>
        <v>0</v>
      </c>
      <c r="AM333" s="20">
        <f>SUMIFS(estoque[valor total],estoque[fornecedor],"&lt;&gt;saída",estoque[produto],preçodiario[[#Headers],[OVO VERMELHO B]],estoque[data],preçodiario[[#This Row],[data]])</f>
        <v>0</v>
      </c>
      <c r="AN333" s="20">
        <f>IFERROR(preçodiario[[#This Row],[OVO VERMELHO B]]*preçodiario[[#This Row],[estoque BV]],0)</f>
        <v>0</v>
      </c>
      <c r="AO33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Row],[data]])),((AO332*AP332)+SUMIFS(estoque[valor total],estoque[produto],preçodiario[[#Headers],[OVO VERMELHO C]],estoque[data],preçodiario[[#This Row],[data]],estoque[fornecedor],"&lt;&gt;saída"))/(AP332+(SUMIFS(estoque[quantidade],estoque[produto],preçodiario[[#Headers],[OVO VERMELHO C]],estoque[fornecedor],"&lt;&gt;saída",estoque[data],preçodiario[[#This Row],[data]])))))</f>
        <v/>
      </c>
      <c r="AP333" s="22">
        <f>IF(preçodiario[[#This Row],[entrada CV]]=0,AP332-(SUMIFS(estoque[quantidade],estoque[fornecedor],"saída",estoque[produto],preçodiario[[#Headers],[OVO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Row],[data]]))+AP332+preçodiario[[#This Row],[entrada CV]])</f>
        <v>0</v>
      </c>
      <c r="AQ333" s="22">
        <f>SUMIFS(estoque[quantidade],estoque[fornecedor],"&lt;&gt;saída",estoque[produto],preçodiario[[#Headers],[OVO VERMELHO C]],estoque[data],preçodiario[[#This Row],[data]])</f>
        <v>0</v>
      </c>
      <c r="AR333" s="20">
        <f>SUMIFS(estoque[valor total],estoque[fornecedor],"&lt;&gt;saída",estoque[produto],preçodiario[[#Headers],[OVO VERMELHO C]],estoque[data],preçodiario[[#This Row],[data]])</f>
        <v>0</v>
      </c>
      <c r="AS333" s="20">
        <f>IFERROR(preçodiario[[#This Row],[OVO VERMELHO C]]*preçodiario[[#This Row],[estoque CV]],0)</f>
        <v>0</v>
      </c>
      <c r="AT33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Row],[data]])),((AT332*AU332)+SUMIFS(estoque[valor total],estoque[produto],preçodiario[[#Headers],[OVO VERMELHO EXTRA]],estoque[data],preçodiario[[#This Row],[data]],estoque[fornecedor],"&lt;&gt;saída"))/(AU332+(SUMIFS(estoque[quantidade],estoque[produto],preçodiario[[#Headers],[OVO VERMELHO EXTRA]],estoque[fornecedor],"&lt;&gt;saída",estoque[data],preçodiario[[#This Row],[data]])))))</f>
        <v/>
      </c>
      <c r="AU333" s="22">
        <f>IF(preçodiario[[#This Row],[entrada EV]]=0,AU332-(SUMIFS(estoque[quantidade],estoque[fornecedor],"saída",estoque[produto],preçodiario[[#Headers],[OVO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Row],[data]]))+AU332+preçodiario[[#This Row],[entrada EV]])</f>
        <v>0</v>
      </c>
      <c r="AV333" s="22">
        <f>SUMIFS(estoque[quantidade],estoque[fornecedor],"&lt;&gt;saída",estoque[produto],preçodiario[[#Headers],[OVO VERMELHO EXTRA]],estoque[data],preçodiario[[#This Row],[data]])</f>
        <v>0</v>
      </c>
      <c r="AW333" s="20">
        <f>SUMIFS(estoque[valor total],estoque[fornecedor],"&lt;&gt;saída",estoque[produto],preçodiario[[#Headers],[OVO VERMELHO EXTRA]],estoque[data],preçodiario[[#This Row],[data]])</f>
        <v>0</v>
      </c>
      <c r="AX333" s="20">
        <f>IFERROR(preçodiario[[#This Row],[OVO VERMELHO EXTRA]]*preçodiario[[#This Row],[estoque EV]],0)</f>
        <v>0</v>
      </c>
      <c r="AY33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Row],[data]])),((AY332*AZ332)+SUMIFS(estoque[valor total],estoque[produto],preçodiario[[#Headers],[OVO VERMELHO JUMBO]],estoque[data],preçodiario[[#This Row],[data]],estoque[fornecedor],"&lt;&gt;saída"))/(AZ332+(SUMIFS(estoque[quantidade],estoque[produto],preçodiario[[#Headers],[OVO VERMELHO JUMBO]],estoque[fornecedor],"&lt;&gt;saída",estoque[data],preçodiario[[#This Row],[data]])))))</f>
        <v/>
      </c>
      <c r="AZ333" s="22">
        <f>IF(preçodiario[[#This Row],[entrada JV]]=0,AZ332-(SUMIFS(estoque[quantidade],estoque[fornecedor],"saída",estoque[produto],preçodiario[[#Headers],[OVO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Row],[data]]))+AZ332+preçodiario[[#This Row],[entrada JV]])</f>
        <v>0</v>
      </c>
      <c r="BA333" s="22">
        <f>SUMIFS(estoque[quantidade],estoque[fornecedor],"&lt;&gt;saída",estoque[produto],preçodiario[[#Headers],[OVO VERMELHO JUMBO]],estoque[data],preçodiario[[#This Row],[data]])</f>
        <v>0</v>
      </c>
      <c r="BB333" s="20">
        <f>SUMIFS(estoque[valor total],estoque[fornecedor],"&lt;&gt;saída",estoque[produto],preçodiario[[#Headers],[OVO VERMELHO JUMBO]],estoque[data],preçodiario[[#This Row],[data]])</f>
        <v>0</v>
      </c>
      <c r="BC333" s="20">
        <f>IFERROR(preçodiario[[#This Row],[OVO VERMELHO JUMBO]]*preçodiario[[#This Row],[estoque JV]],0)</f>
        <v>0</v>
      </c>
      <c r="BD333" t="str">
        <f>TEXT(vendaAno[[#This Row],[data]],"mmm")</f>
        <v>nov</v>
      </c>
      <c r="BE333" t="str">
        <f>TEXT(vendaAno[[#This Row],[data]],"ddd")</f>
        <v>sáb</v>
      </c>
      <c r="BF333" s="82">
        <f>WEEKNUM(vendaAno[[#This Row],[data]],13)</f>
        <v>48</v>
      </c>
      <c r="BG333" s="27">
        <f>preçodiario[[#This Row],[data]]</f>
        <v>46354</v>
      </c>
      <c r="BH33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Row],[data]]))/12+BJ332,"")</f>
        <v/>
      </c>
      <c r="BK333" s="79" t="str">
        <f ca="1">IF(TODAY()&gt;=vendaAno[[#This Row],[data]],IF(SUMIFS(estoque[quantidade],estoque[fornecedor],"saída",estoque[data],vendaAno[[#This Row],[data]])/12=0,AVERAGE(BK330:BK332),SUMIFS(estoque[quantidade],estoque[fornecedor],"saída",estoque[data],vendaAno[[#This Row],[data]])/12),"")</f>
        <v/>
      </c>
      <c r="BL333" s="8" t="str">
        <f ca="1">IF(vendaAno[[#This Row],[data]]&lt;=TODAY(),IF(SUMIFS(estoque[lucro],estoque[fornecedor],"saída",estoque[data],vendaAno[[#This Row],[data]])=0,AVERAGE(BL330:BL332),SUMIFS(estoque[lucro],estoque[fornecedor],"saída",estoque[data],vendaAno[[#This Row],[data]])),"")</f>
        <v/>
      </c>
      <c r="BM333" s="10" t="str">
        <f ca="1">IFERROR(vendaAno[[#This Row],[lucro]]/vendaAno[[#This Row],[valor de venda]],"")</f>
        <v/>
      </c>
      <c r="BN33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3" s="8" t="str">
        <f ca="1">IF(TODAY()&gt;=vendaAno[[#This Row],[data]],IF(vendaAno[[#This Row],[N°]]=BF332,vendaAno[[#This Row],[lucro]]-173.33+BO332,vendaAno[[#This Row],[lucro]]-150),"")</f>
        <v/>
      </c>
      <c r="BP333" s="81" t="str">
        <f ca="1">IF(TODAY()&gt;=vendaAno[[#This Row],[data]],SUM(BK327:BK333)*12,"")</f>
        <v/>
      </c>
      <c r="BQ333" s="7" t="str">
        <f ca="1">IFERROR(vendaAno[[#This Row],[lucro]]/(vendaAno[[#This Row],[venda]]*12),"")</f>
        <v/>
      </c>
    </row>
    <row r="334" spans="1:69" x14ac:dyDescent="0.25">
      <c r="A33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4" s="18" t="str">
        <f>TEXT(preçodiario[[#This Row],[data]],"MMM")</f>
        <v>nov</v>
      </c>
      <c r="C334" s="18" t="str">
        <f>TEXT(preçodiario[[#This Row],[data]],"ddd")</f>
        <v>dom</v>
      </c>
      <c r="D334" s="96">
        <f>WEEKNUM(preçodiario[[#This Row],[data]],13)</f>
        <v>48</v>
      </c>
      <c r="E334" s="37">
        <v>46355</v>
      </c>
      <c r="F33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Row],[data]])),((F333*G333)+SUMIFS(estoque[valor total],estoque[produto],preçodiario[[#Headers],[OVO BRANCO A]],estoque[data],preçodiario[[#This Row],[data]],estoque[fornecedor],"&lt;&gt;saída"))/(G333+(SUMIFS(estoque[quantidade],estoque[produto],preçodiario[[#Headers],[OVO BRANCO A]],estoque[fornecedor],"&lt;&gt;saída",estoque[data],preçodiario[[#This Row],[data]])))))</f>
        <v>15.278182701652089</v>
      </c>
      <c r="G334" s="22">
        <f>IF(preçodiario[[#This Row],[entrada A]]=0,G333-(SUMIFS(estoque[quantidade],estoque[fornecedor],"saída",estoque[produto],preçodiario[[#Headers],[OVO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Row],[data]]))+G333+preçodiario[[#This Row],[entrada A]])</f>
        <v>133</v>
      </c>
      <c r="H334" s="22">
        <f>SUMIFS(estoque[quantidade],estoque[fornecedor],"&lt;&gt;saída",estoque[produto],preçodiario[[#Headers],[OVO BRANCO A]],estoque[data],preçodiario[[#This Row],[data]])</f>
        <v>0</v>
      </c>
      <c r="I334" s="20">
        <f>SUMIFS(estoque[valor total],estoque[fornecedor],"&lt;&gt;saída",estoque[produto],preçodiario[[#Headers],[OVO BRANCO A]],estoque[data],preçodiario[[#This Row],[data]])</f>
        <v>0</v>
      </c>
      <c r="J334" s="20">
        <f>IFERROR(preçodiario[[#This Row],[estoque A]]*preçodiario[[#This Row],[OVO BRANCO A]],0)</f>
        <v>2031.9982993197277</v>
      </c>
      <c r="K33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Row],[data]])),((K333*L333)+SUMIFS(estoque[valor total],estoque[produto],preçodiario[[#Headers],[OVO BRANCO B]],estoque[data],preçodiario[[#This Row],[data]],estoque[fornecedor],"&lt;&gt;saída"))/(L333+(SUMIFS(estoque[quantidade],estoque[produto],preçodiario[[#Headers],[OVO BRANCO B]],estoque[fornecedor],"&lt;&gt;saída",estoque[data],preçodiario[[#This Row],[data]])))))</f>
        <v>14.584252837326604</v>
      </c>
      <c r="L334" s="22">
        <f>IF(preçodiario[[#This Row],[entrada B]]=0,L333-(SUMIFS(estoque[quantidade],estoque[fornecedor],"saída",estoque[produto],preçodiario[[#Headers],[OVO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Row],[data]]))+L333+preçodiario[[#This Row],[entrada B]])</f>
        <v>16</v>
      </c>
      <c r="M334" s="22">
        <f>SUMIFS(estoque[quantidade],estoque[fornecedor],"&lt;&gt;saída",estoque[produto],preçodiario[[#Headers],[OVO BRANCO B]],estoque[data],preçodiario[[#This Row],[data]])</f>
        <v>0</v>
      </c>
      <c r="N334" s="20">
        <f>SUMIFS(estoque[valor total],estoque[fornecedor],"&lt;&gt;saída",estoque[produto],preçodiario[[#Headers],[OVO BRANCO B]],estoque[data],preçodiario[[#This Row],[data]])</f>
        <v>0</v>
      </c>
      <c r="O334" s="20">
        <f>IFERROR(preçodiario[[#This Row],[OVO BRANCO B]]*preçodiario[[#This Row],[estoque B]],0)</f>
        <v>233.34804539722566</v>
      </c>
      <c r="P33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Row],[data]])),((P333*Q333)+SUMIFS(estoque[valor total],estoque[produto],preçodiario[[#Headers],[OVO BRANCO C]],estoque[data],preçodiario[[#This Row],[data]],estoque[fornecedor],"&lt;&gt;saída"))/(Q333+(SUMIFS(estoque[quantidade],estoque[produto],preçodiario[[#Headers],[OVO BRANCO C]],estoque[fornecedor],"&lt;&gt;saída",estoque[data],preçodiario[[#This Row],[data]])))))</f>
        <v>12.5</v>
      </c>
      <c r="Q334" s="22">
        <f>IF(preçodiario[[#This Row],[entrada C]]=0,Q333-(SUMIFS(estoque[quantidade],estoque[fornecedor],"saída",estoque[produto],preçodiario[[#Headers],[OVO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Row],[data]]))+Q333+preçodiario[[#This Row],[entrada C]])</f>
        <v>60</v>
      </c>
      <c r="R334" s="22">
        <f>SUMIFS(estoque[quantidade],estoque[fornecedor],"&lt;&gt;saída",estoque[produto],preçodiario[[#Headers],[OVO BRANCO C]],estoque[data],preçodiario[[#This Row],[data]])</f>
        <v>0</v>
      </c>
      <c r="S334" s="20">
        <f>SUMIFS(estoque[valor total],estoque[fornecedor],"&lt;&gt;saída",estoque[produto],preçodiario[[#Headers],[OVO BRANCO C]],estoque[data],preçodiario[[#This Row],[data]])</f>
        <v>0</v>
      </c>
      <c r="T334" s="20">
        <f>IFERROR(preçodiario[[#This Row],[OVO BRANCO C]]*preçodiario[[#This Row],[estoque C]],0)</f>
        <v>750</v>
      </c>
      <c r="U33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Row],[data]])),((U333*V333)+SUMIFS(estoque[valor total],estoque[produto],preçodiario[[#Headers],[OVO BRANCO EXTRA]],estoque[data],preçodiario[[#This Row],[data]],estoque[fornecedor],"&lt;&gt;saída"))/(V333+(SUMIFS(estoque[quantidade],estoque[produto],preçodiario[[#Headers],[OVO BRANCO EXTRA]],estoque[fornecedor],"&lt;&gt;saída",estoque[data],preçodiario[[#This Row],[data]])))))</f>
        <v>15.725438400674655</v>
      </c>
      <c r="V334" s="22">
        <f>IF(preçodiario[[#This Row],[entrada E]]=0,V333-(SUMIFS(estoque[quantidade],estoque[fornecedor],"saída",estoque[produto],preçodiario[[#Headers],[OVO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Row],[data]]))+V333+preçodiario[[#This Row],[entrada E]])</f>
        <v>46</v>
      </c>
      <c r="W334" s="22">
        <f>SUMIFS(estoque[quantidade],estoque[fornecedor],"&lt;&gt;saída",estoque[produto],preçodiario[[#Headers],[OVO BRANCO EXTRA]],estoque[data],preçodiario[[#This Row],[data]])</f>
        <v>0</v>
      </c>
      <c r="X334" s="20">
        <f>SUMIFS(estoque[valor total],estoque[fornecedor],"&lt;&gt;saída",estoque[produto],preçodiario[[#Headers],[OVO BRANCO EXTRA]],estoque[data],preçodiario[[#This Row],[data]])</f>
        <v>0</v>
      </c>
      <c r="Y334" s="20">
        <f>IFERROR(preçodiario[[#This Row],[estoque E]]*preçodiario[[#This Row],[OVO BRANCO EXTRA]],0)</f>
        <v>723.37016643103414</v>
      </c>
      <c r="Z33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Row],[data]])),((Z333*AA333)+SUMIFS(estoque[valor total],estoque[produto],preçodiario[[#Headers],[OVO BRANCO JUMBO]],estoque[data],preçodiario[[#This Row],[data]],estoque[fornecedor],"&lt;&gt;saída"))/(AA333+(SUMIFS(estoque[quantidade],estoque[produto],preçodiario[[#Headers],[OVO BRANCO JUMBO]],estoque[fornecedor],"&lt;&gt;saída",estoque[data],preçodiario[[#This Row],[data]])))))</f>
        <v>16.50550595238095</v>
      </c>
      <c r="AA334" s="22">
        <f>IF(preçodiario[[#This Row],[entrada J]]=0,AA333-(SUMIFS(estoque[quantidade],estoque[fornecedor],"saída",estoque[produto],preçodiario[[#Headers],[OVO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Row],[data]]))+AA333+preçodiario[[#This Row],[entrada J]])</f>
        <v>75</v>
      </c>
      <c r="AB334" s="22">
        <f>SUMIFS(estoque[quantidade],estoque[fornecedor],"&lt;&gt;saída",estoque[produto],preçodiario[[#Headers],[OVO BRANCO JUMBO]],estoque[data],preçodiario[[#This Row],[data]])</f>
        <v>0</v>
      </c>
      <c r="AC334" s="20">
        <f>SUMIFS(estoque[valor total],estoque[fornecedor],"&lt;&gt;saída",estoque[produto],preçodiario[[#Headers],[OVO BRANCO JUMBO]],estoque[data],preçodiario[[#This Row],[data]])</f>
        <v>0</v>
      </c>
      <c r="AD334" s="20">
        <f>IFERROR(preçodiario[[#This Row],[OVO BRANCO JUMBO]]*preçodiario[[#This Row],[estoque J]],0)</f>
        <v>1237.9129464285713</v>
      </c>
      <c r="AE33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Row],[data]])),((AE333*AF333)+SUMIFS(estoque[valor total],estoque[produto],preçodiario[[#Headers],[OVO VERMELHO A]],estoque[data],preçodiario[[#This Row],[data]],estoque[fornecedor],"&lt;&gt;saída"))/(AF333+(SUMIFS(estoque[quantidade],estoque[produto],preçodiario[[#Headers],[OVO VERMELHO A]],estoque[fornecedor],"&lt;&gt;saída",estoque[data],preçodiario[[#This Row],[data]])))))</f>
        <v/>
      </c>
      <c r="AF334" s="22">
        <f>IF(preçodiario[[#This Row],[entrada AV]]=0,AF333-(SUMIFS(estoque[quantidade],estoque[fornecedor],"saída",estoque[produto],preçodiario[[#Headers],[OVO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Row],[data]]))+AF333+preçodiario[[#This Row],[entrada AV]])</f>
        <v>0</v>
      </c>
      <c r="AG334" s="22">
        <f>SUMIFS(estoque[quantidade],estoque[fornecedor],"&lt;&gt;saída",estoque[produto],preçodiario[[#Headers],[OVO VERMELHO A]],estoque[data],preçodiario[[#This Row],[data]])</f>
        <v>0</v>
      </c>
      <c r="AH334" s="20">
        <f>SUMIFS(estoque[valor total],estoque[fornecedor],"&lt;&gt;saída",estoque[produto],preçodiario[[#Headers],[OVO VERMELHO A]],estoque[data],preçodiario[[#This Row],[data]])</f>
        <v>0</v>
      </c>
      <c r="AI334" s="20">
        <f>IFERROR(preçodiario[[#This Row],[OVO VERMELHO A]]*preçodiario[[#This Row],[estoque AV]],0)</f>
        <v>0</v>
      </c>
      <c r="AJ33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Row],[data]])),((AJ333*AK333)+SUMIFS(estoque[valor total],estoque[produto],preçodiario[[#Headers],[OVO VERMELHO B]],estoque[data],preçodiario[[#This Row],[data]],estoque[fornecedor],"&lt;&gt;saída"))/(AK333+(SUMIFS(estoque[quantidade],estoque[produto],preçodiario[[#Headers],[OVO VERMELHO B]],estoque[fornecedor],"&lt;&gt;saída",estoque[data],preçodiario[[#This Row],[data]])))))</f>
        <v/>
      </c>
      <c r="AK334" s="22">
        <f>IF(preçodiario[[#This Row],[entrada BV]]=0,AK333-(SUMIFS(estoque[quantidade],estoque[fornecedor],"saída",estoque[produto],preçodiario[[#Headers],[OVO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Row],[data]]))+AK333+preçodiario[[#This Row],[entrada BV]])</f>
        <v>0</v>
      </c>
      <c r="AL334" s="22">
        <f>SUMIFS(estoque[quantidade],estoque[fornecedor],"&lt;&gt;saída",estoque[produto],preçodiario[[#Headers],[OVO VERMELHO B]],estoque[data],preçodiario[[#This Row],[data]])</f>
        <v>0</v>
      </c>
      <c r="AM334" s="20">
        <f>SUMIFS(estoque[valor total],estoque[fornecedor],"&lt;&gt;saída",estoque[produto],preçodiario[[#Headers],[OVO VERMELHO B]],estoque[data],preçodiario[[#This Row],[data]])</f>
        <v>0</v>
      </c>
      <c r="AN334" s="20">
        <f>IFERROR(preçodiario[[#This Row],[OVO VERMELHO B]]*preçodiario[[#This Row],[estoque BV]],0)</f>
        <v>0</v>
      </c>
      <c r="AO33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Row],[data]])),((AO333*AP333)+SUMIFS(estoque[valor total],estoque[produto],preçodiario[[#Headers],[OVO VERMELHO C]],estoque[data],preçodiario[[#This Row],[data]],estoque[fornecedor],"&lt;&gt;saída"))/(AP333+(SUMIFS(estoque[quantidade],estoque[produto],preçodiario[[#Headers],[OVO VERMELHO C]],estoque[fornecedor],"&lt;&gt;saída",estoque[data],preçodiario[[#This Row],[data]])))))</f>
        <v/>
      </c>
      <c r="AP334" s="22">
        <f>IF(preçodiario[[#This Row],[entrada CV]]=0,AP333-(SUMIFS(estoque[quantidade],estoque[fornecedor],"saída",estoque[produto],preçodiario[[#Headers],[OVO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Row],[data]]))+AP333+preçodiario[[#This Row],[entrada CV]])</f>
        <v>0</v>
      </c>
      <c r="AQ334" s="22">
        <f>SUMIFS(estoque[quantidade],estoque[fornecedor],"&lt;&gt;saída",estoque[produto],preçodiario[[#Headers],[OVO VERMELHO C]],estoque[data],preçodiario[[#This Row],[data]])</f>
        <v>0</v>
      </c>
      <c r="AR334" s="20">
        <f>SUMIFS(estoque[valor total],estoque[fornecedor],"&lt;&gt;saída",estoque[produto],preçodiario[[#Headers],[OVO VERMELHO C]],estoque[data],preçodiario[[#This Row],[data]])</f>
        <v>0</v>
      </c>
      <c r="AS334" s="20">
        <f>IFERROR(preçodiario[[#This Row],[OVO VERMELHO C]]*preçodiario[[#This Row],[estoque CV]],0)</f>
        <v>0</v>
      </c>
      <c r="AT33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Row],[data]])),((AT333*AU333)+SUMIFS(estoque[valor total],estoque[produto],preçodiario[[#Headers],[OVO VERMELHO EXTRA]],estoque[data],preçodiario[[#This Row],[data]],estoque[fornecedor],"&lt;&gt;saída"))/(AU333+(SUMIFS(estoque[quantidade],estoque[produto],preçodiario[[#Headers],[OVO VERMELHO EXTRA]],estoque[fornecedor],"&lt;&gt;saída",estoque[data],preçodiario[[#This Row],[data]])))))</f>
        <v/>
      </c>
      <c r="AU334" s="22">
        <f>IF(preçodiario[[#This Row],[entrada EV]]=0,AU333-(SUMIFS(estoque[quantidade],estoque[fornecedor],"saída",estoque[produto],preçodiario[[#Headers],[OVO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Row],[data]]))+AU333+preçodiario[[#This Row],[entrada EV]])</f>
        <v>0</v>
      </c>
      <c r="AV334" s="22">
        <f>SUMIFS(estoque[quantidade],estoque[fornecedor],"&lt;&gt;saída",estoque[produto],preçodiario[[#Headers],[OVO VERMELHO EXTRA]],estoque[data],preçodiario[[#This Row],[data]])</f>
        <v>0</v>
      </c>
      <c r="AW334" s="20">
        <f>SUMIFS(estoque[valor total],estoque[fornecedor],"&lt;&gt;saída",estoque[produto],preçodiario[[#Headers],[OVO VERMELHO EXTRA]],estoque[data],preçodiario[[#This Row],[data]])</f>
        <v>0</v>
      </c>
      <c r="AX334" s="20">
        <f>IFERROR(preçodiario[[#This Row],[OVO VERMELHO EXTRA]]*preçodiario[[#This Row],[estoque EV]],0)</f>
        <v>0</v>
      </c>
      <c r="AY33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Row],[data]])),((AY333*AZ333)+SUMIFS(estoque[valor total],estoque[produto],preçodiario[[#Headers],[OVO VERMELHO JUMBO]],estoque[data],preçodiario[[#This Row],[data]],estoque[fornecedor],"&lt;&gt;saída"))/(AZ333+(SUMIFS(estoque[quantidade],estoque[produto],preçodiario[[#Headers],[OVO VERMELHO JUMBO]],estoque[fornecedor],"&lt;&gt;saída",estoque[data],preçodiario[[#This Row],[data]])))))</f>
        <v/>
      </c>
      <c r="AZ334" s="22">
        <f>IF(preçodiario[[#This Row],[entrada JV]]=0,AZ333-(SUMIFS(estoque[quantidade],estoque[fornecedor],"saída",estoque[produto],preçodiario[[#Headers],[OVO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Row],[data]]))+AZ333+preçodiario[[#This Row],[entrada JV]])</f>
        <v>0</v>
      </c>
      <c r="BA334" s="22">
        <f>SUMIFS(estoque[quantidade],estoque[fornecedor],"&lt;&gt;saída",estoque[produto],preçodiario[[#Headers],[OVO VERMELHO JUMBO]],estoque[data],preçodiario[[#This Row],[data]])</f>
        <v>0</v>
      </c>
      <c r="BB334" s="20">
        <f>SUMIFS(estoque[valor total],estoque[fornecedor],"&lt;&gt;saída",estoque[produto],preçodiario[[#Headers],[OVO VERMELHO JUMBO]],estoque[data],preçodiario[[#This Row],[data]])</f>
        <v>0</v>
      </c>
      <c r="BC334" s="20">
        <f>IFERROR(preçodiario[[#This Row],[OVO VERMELHO JUMBO]]*preçodiario[[#This Row],[estoque JV]],0)</f>
        <v>0</v>
      </c>
      <c r="BD334" t="str">
        <f>TEXT(vendaAno[[#This Row],[data]],"mmm")</f>
        <v>nov</v>
      </c>
      <c r="BE334" t="str">
        <f>TEXT(vendaAno[[#This Row],[data]],"ddd")</f>
        <v>dom</v>
      </c>
      <c r="BF334" s="82">
        <f>WEEKNUM(vendaAno[[#This Row],[data]],13)</f>
        <v>48</v>
      </c>
      <c r="BG334" s="27">
        <f>preçodiario[[#This Row],[data]]</f>
        <v>46355</v>
      </c>
      <c r="BH33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Row],[data]]))/12+BJ333,"")</f>
        <v/>
      </c>
      <c r="BK334" s="79" t="str">
        <f ca="1">IF(TODAY()&gt;=vendaAno[[#This Row],[data]],IF(SUMIFS(estoque[quantidade],estoque[fornecedor],"saída",estoque[data],vendaAno[[#This Row],[data]])/12=0,AVERAGE(BK331:BK333),SUMIFS(estoque[quantidade],estoque[fornecedor],"saída",estoque[data],vendaAno[[#This Row],[data]])/12),"")</f>
        <v/>
      </c>
      <c r="BL334" s="8" t="str">
        <f ca="1">IF(vendaAno[[#This Row],[data]]&lt;=TODAY(),IF(SUMIFS(estoque[lucro],estoque[fornecedor],"saída",estoque[data],vendaAno[[#This Row],[data]])=0,AVERAGE(BL331:BL333),SUMIFS(estoque[lucro],estoque[fornecedor],"saída",estoque[data],vendaAno[[#This Row],[data]])),"")</f>
        <v/>
      </c>
      <c r="BM334" s="10" t="str">
        <f ca="1">IFERROR(vendaAno[[#This Row],[lucro]]/vendaAno[[#This Row],[valor de venda]],"")</f>
        <v/>
      </c>
      <c r="BN33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4" s="8" t="str">
        <f ca="1">IF(TODAY()&gt;=vendaAno[[#This Row],[data]],IF(vendaAno[[#This Row],[N°]]=BF333,vendaAno[[#This Row],[lucro]]-173.33+BO333,vendaAno[[#This Row],[lucro]]-150),"")</f>
        <v/>
      </c>
      <c r="BP334" s="81" t="str">
        <f ca="1">IF(TODAY()&gt;=vendaAno[[#This Row],[data]],SUM(BK328:BK334)*12,"")</f>
        <v/>
      </c>
      <c r="BQ334" s="7" t="str">
        <f ca="1">IFERROR(vendaAno[[#This Row],[lucro]]/(vendaAno[[#This Row],[venda]]*12),"")</f>
        <v/>
      </c>
    </row>
    <row r="335" spans="1:69" x14ac:dyDescent="0.25">
      <c r="A33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5" s="18" t="str">
        <f>TEXT(preçodiario[[#This Row],[data]],"MMM")</f>
        <v>nov</v>
      </c>
      <c r="C335" s="18" t="str">
        <f>TEXT(preçodiario[[#This Row],[data]],"ddd")</f>
        <v>seg</v>
      </c>
      <c r="D335" s="96">
        <f>WEEKNUM(preçodiario[[#This Row],[data]],13)</f>
        <v>48</v>
      </c>
      <c r="E335" s="37">
        <v>46356</v>
      </c>
      <c r="F33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Row],[data]])),((F334*G334)+SUMIFS(estoque[valor total],estoque[produto],preçodiario[[#Headers],[OVO BRANCO A]],estoque[data],preçodiario[[#This Row],[data]],estoque[fornecedor],"&lt;&gt;saída"))/(G334+(SUMIFS(estoque[quantidade],estoque[produto],preçodiario[[#Headers],[OVO BRANCO A]],estoque[fornecedor],"&lt;&gt;saída",estoque[data],preçodiario[[#This Row],[data]])))))</f>
        <v>15.278182701652089</v>
      </c>
      <c r="G335" s="22">
        <f>IF(preçodiario[[#This Row],[entrada A]]=0,G334-(SUMIFS(estoque[quantidade],estoque[fornecedor],"saída",estoque[produto],preçodiario[[#Headers],[OVO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Row],[data]]))+G334+preçodiario[[#This Row],[entrada A]])</f>
        <v>133</v>
      </c>
      <c r="H335" s="22">
        <f>SUMIFS(estoque[quantidade],estoque[fornecedor],"&lt;&gt;saída",estoque[produto],preçodiario[[#Headers],[OVO BRANCO A]],estoque[data],preçodiario[[#This Row],[data]])</f>
        <v>0</v>
      </c>
      <c r="I335" s="20">
        <f>SUMIFS(estoque[valor total],estoque[fornecedor],"&lt;&gt;saída",estoque[produto],preçodiario[[#Headers],[OVO BRANCO A]],estoque[data],preçodiario[[#This Row],[data]])</f>
        <v>0</v>
      </c>
      <c r="J335" s="20">
        <f>IFERROR(preçodiario[[#This Row],[estoque A]]*preçodiario[[#This Row],[OVO BRANCO A]],0)</f>
        <v>2031.9982993197277</v>
      </c>
      <c r="K33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Row],[data]])),((K334*L334)+SUMIFS(estoque[valor total],estoque[produto],preçodiario[[#Headers],[OVO BRANCO B]],estoque[data],preçodiario[[#This Row],[data]],estoque[fornecedor],"&lt;&gt;saída"))/(L334+(SUMIFS(estoque[quantidade],estoque[produto],preçodiario[[#Headers],[OVO BRANCO B]],estoque[fornecedor],"&lt;&gt;saída",estoque[data],preçodiario[[#This Row],[data]])))))</f>
        <v>14.584252837326604</v>
      </c>
      <c r="L335" s="22">
        <f>IF(preçodiario[[#This Row],[entrada B]]=0,L334-(SUMIFS(estoque[quantidade],estoque[fornecedor],"saída",estoque[produto],preçodiario[[#Headers],[OVO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Row],[data]]))+L334+preçodiario[[#This Row],[entrada B]])</f>
        <v>16</v>
      </c>
      <c r="M335" s="22">
        <f>SUMIFS(estoque[quantidade],estoque[fornecedor],"&lt;&gt;saída",estoque[produto],preçodiario[[#Headers],[OVO BRANCO B]],estoque[data],preçodiario[[#This Row],[data]])</f>
        <v>0</v>
      </c>
      <c r="N335" s="20">
        <f>SUMIFS(estoque[valor total],estoque[fornecedor],"&lt;&gt;saída",estoque[produto],preçodiario[[#Headers],[OVO BRANCO B]],estoque[data],preçodiario[[#This Row],[data]])</f>
        <v>0</v>
      </c>
      <c r="O335" s="20">
        <f>IFERROR(preçodiario[[#This Row],[OVO BRANCO B]]*preçodiario[[#This Row],[estoque B]],0)</f>
        <v>233.34804539722566</v>
      </c>
      <c r="P33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Row],[data]])),((P334*Q334)+SUMIFS(estoque[valor total],estoque[produto],preçodiario[[#Headers],[OVO BRANCO C]],estoque[data],preçodiario[[#This Row],[data]],estoque[fornecedor],"&lt;&gt;saída"))/(Q334+(SUMIFS(estoque[quantidade],estoque[produto],preçodiario[[#Headers],[OVO BRANCO C]],estoque[fornecedor],"&lt;&gt;saída",estoque[data],preçodiario[[#This Row],[data]])))))</f>
        <v>12.5</v>
      </c>
      <c r="Q335" s="22">
        <f>IF(preçodiario[[#This Row],[entrada C]]=0,Q334-(SUMIFS(estoque[quantidade],estoque[fornecedor],"saída",estoque[produto],preçodiario[[#Headers],[OVO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Row],[data]]))+Q334+preçodiario[[#This Row],[entrada C]])</f>
        <v>60</v>
      </c>
      <c r="R335" s="22">
        <f>SUMIFS(estoque[quantidade],estoque[fornecedor],"&lt;&gt;saída",estoque[produto],preçodiario[[#Headers],[OVO BRANCO C]],estoque[data],preçodiario[[#This Row],[data]])</f>
        <v>0</v>
      </c>
      <c r="S335" s="20">
        <f>SUMIFS(estoque[valor total],estoque[fornecedor],"&lt;&gt;saída",estoque[produto],preçodiario[[#Headers],[OVO BRANCO C]],estoque[data],preçodiario[[#This Row],[data]])</f>
        <v>0</v>
      </c>
      <c r="T335" s="20">
        <f>IFERROR(preçodiario[[#This Row],[OVO BRANCO C]]*preçodiario[[#This Row],[estoque C]],0)</f>
        <v>750</v>
      </c>
      <c r="U33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Row],[data]])),((U334*V334)+SUMIFS(estoque[valor total],estoque[produto],preçodiario[[#Headers],[OVO BRANCO EXTRA]],estoque[data],preçodiario[[#This Row],[data]],estoque[fornecedor],"&lt;&gt;saída"))/(V334+(SUMIFS(estoque[quantidade],estoque[produto],preçodiario[[#Headers],[OVO BRANCO EXTRA]],estoque[fornecedor],"&lt;&gt;saída",estoque[data],preçodiario[[#This Row],[data]])))))</f>
        <v>15.725438400674655</v>
      </c>
      <c r="V335" s="22">
        <f>IF(preçodiario[[#This Row],[entrada E]]=0,V334-(SUMIFS(estoque[quantidade],estoque[fornecedor],"saída",estoque[produto],preçodiario[[#Headers],[OVO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Row],[data]]))+V334+preçodiario[[#This Row],[entrada E]])</f>
        <v>46</v>
      </c>
      <c r="W335" s="22">
        <f>SUMIFS(estoque[quantidade],estoque[fornecedor],"&lt;&gt;saída",estoque[produto],preçodiario[[#Headers],[OVO BRANCO EXTRA]],estoque[data],preçodiario[[#This Row],[data]])</f>
        <v>0</v>
      </c>
      <c r="X335" s="20">
        <f>SUMIFS(estoque[valor total],estoque[fornecedor],"&lt;&gt;saída",estoque[produto],preçodiario[[#Headers],[OVO BRANCO EXTRA]],estoque[data],preçodiario[[#This Row],[data]])</f>
        <v>0</v>
      </c>
      <c r="Y335" s="20">
        <f>IFERROR(preçodiario[[#This Row],[estoque E]]*preçodiario[[#This Row],[OVO BRANCO EXTRA]],0)</f>
        <v>723.37016643103414</v>
      </c>
      <c r="Z33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Row],[data]])),((Z334*AA334)+SUMIFS(estoque[valor total],estoque[produto],preçodiario[[#Headers],[OVO BRANCO JUMBO]],estoque[data],preçodiario[[#This Row],[data]],estoque[fornecedor],"&lt;&gt;saída"))/(AA334+(SUMIFS(estoque[quantidade],estoque[produto],preçodiario[[#Headers],[OVO BRANCO JUMBO]],estoque[fornecedor],"&lt;&gt;saída",estoque[data],preçodiario[[#This Row],[data]])))))</f>
        <v>16.50550595238095</v>
      </c>
      <c r="AA335" s="22">
        <f>IF(preçodiario[[#This Row],[entrada J]]=0,AA334-(SUMIFS(estoque[quantidade],estoque[fornecedor],"saída",estoque[produto],preçodiario[[#Headers],[OVO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Row],[data]]))+AA334+preçodiario[[#This Row],[entrada J]])</f>
        <v>75</v>
      </c>
      <c r="AB335" s="22">
        <f>SUMIFS(estoque[quantidade],estoque[fornecedor],"&lt;&gt;saída",estoque[produto],preçodiario[[#Headers],[OVO BRANCO JUMBO]],estoque[data],preçodiario[[#This Row],[data]])</f>
        <v>0</v>
      </c>
      <c r="AC335" s="20">
        <f>SUMIFS(estoque[valor total],estoque[fornecedor],"&lt;&gt;saída",estoque[produto],preçodiario[[#Headers],[OVO BRANCO JUMBO]],estoque[data],preçodiario[[#This Row],[data]])</f>
        <v>0</v>
      </c>
      <c r="AD335" s="20">
        <f>IFERROR(preçodiario[[#This Row],[OVO BRANCO JUMBO]]*preçodiario[[#This Row],[estoque J]],0)</f>
        <v>1237.9129464285713</v>
      </c>
      <c r="AE33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Row],[data]])),((AE334*AF334)+SUMIFS(estoque[valor total],estoque[produto],preçodiario[[#Headers],[OVO VERMELHO A]],estoque[data],preçodiario[[#This Row],[data]],estoque[fornecedor],"&lt;&gt;saída"))/(AF334+(SUMIFS(estoque[quantidade],estoque[produto],preçodiario[[#Headers],[OVO VERMELHO A]],estoque[fornecedor],"&lt;&gt;saída",estoque[data],preçodiario[[#This Row],[data]])))))</f>
        <v/>
      </c>
      <c r="AF335" s="22">
        <f>IF(preçodiario[[#This Row],[entrada AV]]=0,AF334-(SUMIFS(estoque[quantidade],estoque[fornecedor],"saída",estoque[produto],preçodiario[[#Headers],[OVO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Row],[data]]))+AF334+preçodiario[[#This Row],[entrada AV]])</f>
        <v>0</v>
      </c>
      <c r="AG335" s="22">
        <f>SUMIFS(estoque[quantidade],estoque[fornecedor],"&lt;&gt;saída",estoque[produto],preçodiario[[#Headers],[OVO VERMELHO A]],estoque[data],preçodiario[[#This Row],[data]])</f>
        <v>0</v>
      </c>
      <c r="AH335" s="20">
        <f>SUMIFS(estoque[valor total],estoque[fornecedor],"&lt;&gt;saída",estoque[produto],preçodiario[[#Headers],[OVO VERMELHO A]],estoque[data],preçodiario[[#This Row],[data]])</f>
        <v>0</v>
      </c>
      <c r="AI335" s="20">
        <f>IFERROR(preçodiario[[#This Row],[OVO VERMELHO A]]*preçodiario[[#This Row],[estoque AV]],0)</f>
        <v>0</v>
      </c>
      <c r="AJ33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Row],[data]])),((AJ334*AK334)+SUMIFS(estoque[valor total],estoque[produto],preçodiario[[#Headers],[OVO VERMELHO B]],estoque[data],preçodiario[[#This Row],[data]],estoque[fornecedor],"&lt;&gt;saída"))/(AK334+(SUMIFS(estoque[quantidade],estoque[produto],preçodiario[[#Headers],[OVO VERMELHO B]],estoque[fornecedor],"&lt;&gt;saída",estoque[data],preçodiario[[#This Row],[data]])))))</f>
        <v/>
      </c>
      <c r="AK335" s="22">
        <f>IF(preçodiario[[#This Row],[entrada BV]]=0,AK334-(SUMIFS(estoque[quantidade],estoque[fornecedor],"saída",estoque[produto],preçodiario[[#Headers],[OVO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Row],[data]]))+AK334+preçodiario[[#This Row],[entrada BV]])</f>
        <v>0</v>
      </c>
      <c r="AL335" s="22">
        <f>SUMIFS(estoque[quantidade],estoque[fornecedor],"&lt;&gt;saída",estoque[produto],preçodiario[[#Headers],[OVO VERMELHO B]],estoque[data],preçodiario[[#This Row],[data]])</f>
        <v>0</v>
      </c>
      <c r="AM335" s="20">
        <f>SUMIFS(estoque[valor total],estoque[fornecedor],"&lt;&gt;saída",estoque[produto],preçodiario[[#Headers],[OVO VERMELHO B]],estoque[data],preçodiario[[#This Row],[data]])</f>
        <v>0</v>
      </c>
      <c r="AN335" s="20">
        <f>IFERROR(preçodiario[[#This Row],[OVO VERMELHO B]]*preçodiario[[#This Row],[estoque BV]],0)</f>
        <v>0</v>
      </c>
      <c r="AO33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Row],[data]])),((AO334*AP334)+SUMIFS(estoque[valor total],estoque[produto],preçodiario[[#Headers],[OVO VERMELHO C]],estoque[data],preçodiario[[#This Row],[data]],estoque[fornecedor],"&lt;&gt;saída"))/(AP334+(SUMIFS(estoque[quantidade],estoque[produto],preçodiario[[#Headers],[OVO VERMELHO C]],estoque[fornecedor],"&lt;&gt;saída",estoque[data],preçodiario[[#This Row],[data]])))))</f>
        <v/>
      </c>
      <c r="AP335" s="22">
        <f>IF(preçodiario[[#This Row],[entrada CV]]=0,AP334-(SUMIFS(estoque[quantidade],estoque[fornecedor],"saída",estoque[produto],preçodiario[[#Headers],[OVO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Row],[data]]))+AP334+preçodiario[[#This Row],[entrada CV]])</f>
        <v>0</v>
      </c>
      <c r="AQ335" s="22">
        <f>SUMIFS(estoque[quantidade],estoque[fornecedor],"&lt;&gt;saída",estoque[produto],preçodiario[[#Headers],[OVO VERMELHO C]],estoque[data],preçodiario[[#This Row],[data]])</f>
        <v>0</v>
      </c>
      <c r="AR335" s="20">
        <f>SUMIFS(estoque[valor total],estoque[fornecedor],"&lt;&gt;saída",estoque[produto],preçodiario[[#Headers],[OVO VERMELHO C]],estoque[data],preçodiario[[#This Row],[data]])</f>
        <v>0</v>
      </c>
      <c r="AS335" s="20">
        <f>IFERROR(preçodiario[[#This Row],[OVO VERMELHO C]]*preçodiario[[#This Row],[estoque CV]],0)</f>
        <v>0</v>
      </c>
      <c r="AT33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Row],[data]])),((AT334*AU334)+SUMIFS(estoque[valor total],estoque[produto],preçodiario[[#Headers],[OVO VERMELHO EXTRA]],estoque[data],preçodiario[[#This Row],[data]],estoque[fornecedor],"&lt;&gt;saída"))/(AU334+(SUMIFS(estoque[quantidade],estoque[produto],preçodiario[[#Headers],[OVO VERMELHO EXTRA]],estoque[fornecedor],"&lt;&gt;saída",estoque[data],preçodiario[[#This Row],[data]])))))</f>
        <v/>
      </c>
      <c r="AU335" s="22">
        <f>IF(preçodiario[[#This Row],[entrada EV]]=0,AU334-(SUMIFS(estoque[quantidade],estoque[fornecedor],"saída",estoque[produto],preçodiario[[#Headers],[OVO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Row],[data]]))+AU334+preçodiario[[#This Row],[entrada EV]])</f>
        <v>0</v>
      </c>
      <c r="AV335" s="22">
        <f>SUMIFS(estoque[quantidade],estoque[fornecedor],"&lt;&gt;saída",estoque[produto],preçodiario[[#Headers],[OVO VERMELHO EXTRA]],estoque[data],preçodiario[[#This Row],[data]])</f>
        <v>0</v>
      </c>
      <c r="AW335" s="20">
        <f>SUMIFS(estoque[valor total],estoque[fornecedor],"&lt;&gt;saída",estoque[produto],preçodiario[[#Headers],[OVO VERMELHO EXTRA]],estoque[data],preçodiario[[#This Row],[data]])</f>
        <v>0</v>
      </c>
      <c r="AX335" s="20">
        <f>IFERROR(preçodiario[[#This Row],[OVO VERMELHO EXTRA]]*preçodiario[[#This Row],[estoque EV]],0)</f>
        <v>0</v>
      </c>
      <c r="AY33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Row],[data]])),((AY334*AZ334)+SUMIFS(estoque[valor total],estoque[produto],preçodiario[[#Headers],[OVO VERMELHO JUMBO]],estoque[data],preçodiario[[#This Row],[data]],estoque[fornecedor],"&lt;&gt;saída"))/(AZ334+(SUMIFS(estoque[quantidade],estoque[produto],preçodiario[[#Headers],[OVO VERMELHO JUMBO]],estoque[fornecedor],"&lt;&gt;saída",estoque[data],preçodiario[[#This Row],[data]])))))</f>
        <v/>
      </c>
      <c r="AZ335" s="22">
        <f>IF(preçodiario[[#This Row],[entrada JV]]=0,AZ334-(SUMIFS(estoque[quantidade],estoque[fornecedor],"saída",estoque[produto],preçodiario[[#Headers],[OVO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Row],[data]]))+AZ334+preçodiario[[#This Row],[entrada JV]])</f>
        <v>0</v>
      </c>
      <c r="BA335" s="22">
        <f>SUMIFS(estoque[quantidade],estoque[fornecedor],"&lt;&gt;saída",estoque[produto],preçodiario[[#Headers],[OVO VERMELHO JUMBO]],estoque[data],preçodiario[[#This Row],[data]])</f>
        <v>0</v>
      </c>
      <c r="BB335" s="20">
        <f>SUMIFS(estoque[valor total],estoque[fornecedor],"&lt;&gt;saída",estoque[produto],preçodiario[[#Headers],[OVO VERMELHO JUMBO]],estoque[data],preçodiario[[#This Row],[data]])</f>
        <v>0</v>
      </c>
      <c r="BC335" s="20">
        <f>IFERROR(preçodiario[[#This Row],[OVO VERMELHO JUMBO]]*preçodiario[[#This Row],[estoque JV]],0)</f>
        <v>0</v>
      </c>
      <c r="BD335" t="str">
        <f>TEXT(vendaAno[[#This Row],[data]],"mmm")</f>
        <v>nov</v>
      </c>
      <c r="BE335" t="str">
        <f>TEXT(vendaAno[[#This Row],[data]],"ddd")</f>
        <v>seg</v>
      </c>
      <c r="BF335" s="82">
        <f>WEEKNUM(vendaAno[[#This Row],[data]],13)</f>
        <v>48</v>
      </c>
      <c r="BG335" s="27">
        <f>preçodiario[[#This Row],[data]]</f>
        <v>46356</v>
      </c>
      <c r="BH33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Row],[data]]))/12+BJ334,"")</f>
        <v/>
      </c>
      <c r="BK335" s="79" t="str">
        <f ca="1">IF(TODAY()&gt;=vendaAno[[#This Row],[data]],IF(SUMIFS(estoque[quantidade],estoque[fornecedor],"saída",estoque[data],vendaAno[[#This Row],[data]])/12=0,AVERAGE(BK332:BK334),SUMIFS(estoque[quantidade],estoque[fornecedor],"saída",estoque[data],vendaAno[[#This Row],[data]])/12),"")</f>
        <v/>
      </c>
      <c r="BL335" s="8" t="str">
        <f ca="1">IF(vendaAno[[#This Row],[data]]&lt;=TODAY(),IF(SUMIFS(estoque[lucro],estoque[fornecedor],"saída",estoque[data],vendaAno[[#This Row],[data]])=0,AVERAGE(BL332:BL334),SUMIFS(estoque[lucro],estoque[fornecedor],"saída",estoque[data],vendaAno[[#This Row],[data]])),"")</f>
        <v/>
      </c>
      <c r="BM335" s="10" t="str">
        <f ca="1">IFERROR(vendaAno[[#This Row],[lucro]]/vendaAno[[#This Row],[valor de venda]],"")</f>
        <v/>
      </c>
      <c r="BN33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5" s="8" t="str">
        <f ca="1">IF(TODAY()&gt;=vendaAno[[#This Row],[data]],IF(vendaAno[[#This Row],[N°]]=BF334,vendaAno[[#This Row],[lucro]]-173.33+BO334,vendaAno[[#This Row],[lucro]]-150),"")</f>
        <v/>
      </c>
      <c r="BP335" s="81" t="str">
        <f ca="1">IF(TODAY()&gt;=vendaAno[[#This Row],[data]],SUM(BK329:BK335)*12,"")</f>
        <v/>
      </c>
      <c r="BQ335" s="7" t="str">
        <f ca="1">IFERROR(vendaAno[[#This Row],[lucro]]/(vendaAno[[#This Row],[venda]]*12),"")</f>
        <v/>
      </c>
    </row>
    <row r="336" spans="1:69" x14ac:dyDescent="0.25">
      <c r="A33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6" s="18" t="str">
        <f>TEXT(preçodiario[[#This Row],[data]],"MMM")</f>
        <v>dez</v>
      </c>
      <c r="C336" s="18" t="str">
        <f>TEXT(preçodiario[[#This Row],[data]],"ddd")</f>
        <v>ter</v>
      </c>
      <c r="D336" s="96">
        <f>WEEKNUM(preçodiario[[#This Row],[data]],13)</f>
        <v>48</v>
      </c>
      <c r="E336" s="37">
        <v>46357</v>
      </c>
      <c r="F33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Row],[data]])),((F335*G335)+SUMIFS(estoque[valor total],estoque[produto],preçodiario[[#Headers],[OVO BRANCO A]],estoque[data],preçodiario[[#This Row],[data]],estoque[fornecedor],"&lt;&gt;saída"))/(G335+(SUMIFS(estoque[quantidade],estoque[produto],preçodiario[[#Headers],[OVO BRANCO A]],estoque[fornecedor],"&lt;&gt;saída",estoque[data],preçodiario[[#This Row],[data]])))))</f>
        <v>15.278182701652089</v>
      </c>
      <c r="G336" s="22">
        <f>IF(preçodiario[[#This Row],[entrada A]]=0,G335-(SUMIFS(estoque[quantidade],estoque[fornecedor],"saída",estoque[produto],preçodiario[[#Headers],[OVO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Row],[data]]))+G335+preçodiario[[#This Row],[entrada A]])</f>
        <v>133</v>
      </c>
      <c r="H336" s="22">
        <f>SUMIFS(estoque[quantidade],estoque[fornecedor],"&lt;&gt;saída",estoque[produto],preçodiario[[#Headers],[OVO BRANCO A]],estoque[data],preçodiario[[#This Row],[data]])</f>
        <v>0</v>
      </c>
      <c r="I336" s="20">
        <f>SUMIFS(estoque[valor total],estoque[fornecedor],"&lt;&gt;saída",estoque[produto],preçodiario[[#Headers],[OVO BRANCO A]],estoque[data],preçodiario[[#This Row],[data]])</f>
        <v>0</v>
      </c>
      <c r="J336" s="20">
        <f>IFERROR(preçodiario[[#This Row],[estoque A]]*preçodiario[[#This Row],[OVO BRANCO A]],0)</f>
        <v>2031.9982993197277</v>
      </c>
      <c r="K33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Row],[data]])),((K335*L335)+SUMIFS(estoque[valor total],estoque[produto],preçodiario[[#Headers],[OVO BRANCO B]],estoque[data],preçodiario[[#This Row],[data]],estoque[fornecedor],"&lt;&gt;saída"))/(L335+(SUMIFS(estoque[quantidade],estoque[produto],preçodiario[[#Headers],[OVO BRANCO B]],estoque[fornecedor],"&lt;&gt;saída",estoque[data],preçodiario[[#This Row],[data]])))))</f>
        <v>14.584252837326604</v>
      </c>
      <c r="L336" s="22">
        <f>IF(preçodiario[[#This Row],[entrada B]]=0,L335-(SUMIFS(estoque[quantidade],estoque[fornecedor],"saída",estoque[produto],preçodiario[[#Headers],[OVO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Row],[data]]))+L335+preçodiario[[#This Row],[entrada B]])</f>
        <v>16</v>
      </c>
      <c r="M336" s="22">
        <f>SUMIFS(estoque[quantidade],estoque[fornecedor],"&lt;&gt;saída",estoque[produto],preçodiario[[#Headers],[OVO BRANCO B]],estoque[data],preçodiario[[#This Row],[data]])</f>
        <v>0</v>
      </c>
      <c r="N336" s="20">
        <f>SUMIFS(estoque[valor total],estoque[fornecedor],"&lt;&gt;saída",estoque[produto],preçodiario[[#Headers],[OVO BRANCO B]],estoque[data],preçodiario[[#This Row],[data]])</f>
        <v>0</v>
      </c>
      <c r="O336" s="20">
        <f>IFERROR(preçodiario[[#This Row],[OVO BRANCO B]]*preçodiario[[#This Row],[estoque B]],0)</f>
        <v>233.34804539722566</v>
      </c>
      <c r="P33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Row],[data]])),((P335*Q335)+SUMIFS(estoque[valor total],estoque[produto],preçodiario[[#Headers],[OVO BRANCO C]],estoque[data],preçodiario[[#This Row],[data]],estoque[fornecedor],"&lt;&gt;saída"))/(Q335+(SUMIFS(estoque[quantidade],estoque[produto],preçodiario[[#Headers],[OVO BRANCO C]],estoque[fornecedor],"&lt;&gt;saída",estoque[data],preçodiario[[#This Row],[data]])))))</f>
        <v>12.5</v>
      </c>
      <c r="Q336" s="22">
        <f>IF(preçodiario[[#This Row],[entrada C]]=0,Q335-(SUMIFS(estoque[quantidade],estoque[fornecedor],"saída",estoque[produto],preçodiario[[#Headers],[OVO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Row],[data]]))+Q335+preçodiario[[#This Row],[entrada C]])</f>
        <v>60</v>
      </c>
      <c r="R336" s="22">
        <f>SUMIFS(estoque[quantidade],estoque[fornecedor],"&lt;&gt;saída",estoque[produto],preçodiario[[#Headers],[OVO BRANCO C]],estoque[data],preçodiario[[#This Row],[data]])</f>
        <v>0</v>
      </c>
      <c r="S336" s="20">
        <f>SUMIFS(estoque[valor total],estoque[fornecedor],"&lt;&gt;saída",estoque[produto],preçodiario[[#Headers],[OVO BRANCO C]],estoque[data],preçodiario[[#This Row],[data]])</f>
        <v>0</v>
      </c>
      <c r="T336" s="20">
        <f>IFERROR(preçodiario[[#This Row],[OVO BRANCO C]]*preçodiario[[#This Row],[estoque C]],0)</f>
        <v>750</v>
      </c>
      <c r="U33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Row],[data]])),((U335*V335)+SUMIFS(estoque[valor total],estoque[produto],preçodiario[[#Headers],[OVO BRANCO EXTRA]],estoque[data],preçodiario[[#This Row],[data]],estoque[fornecedor],"&lt;&gt;saída"))/(V335+(SUMIFS(estoque[quantidade],estoque[produto],preçodiario[[#Headers],[OVO BRANCO EXTRA]],estoque[fornecedor],"&lt;&gt;saída",estoque[data],preçodiario[[#This Row],[data]])))))</f>
        <v>15.725438400674655</v>
      </c>
      <c r="V336" s="22">
        <f>IF(preçodiario[[#This Row],[entrada E]]=0,V335-(SUMIFS(estoque[quantidade],estoque[fornecedor],"saída",estoque[produto],preçodiario[[#Headers],[OVO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Row],[data]]))+V335+preçodiario[[#This Row],[entrada E]])</f>
        <v>46</v>
      </c>
      <c r="W336" s="22">
        <f>SUMIFS(estoque[quantidade],estoque[fornecedor],"&lt;&gt;saída",estoque[produto],preçodiario[[#Headers],[OVO BRANCO EXTRA]],estoque[data],preçodiario[[#This Row],[data]])</f>
        <v>0</v>
      </c>
      <c r="X336" s="20">
        <f>SUMIFS(estoque[valor total],estoque[fornecedor],"&lt;&gt;saída",estoque[produto],preçodiario[[#Headers],[OVO BRANCO EXTRA]],estoque[data],preçodiario[[#This Row],[data]])</f>
        <v>0</v>
      </c>
      <c r="Y336" s="20">
        <f>IFERROR(preçodiario[[#This Row],[estoque E]]*preçodiario[[#This Row],[OVO BRANCO EXTRA]],0)</f>
        <v>723.37016643103414</v>
      </c>
      <c r="Z33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Row],[data]])),((Z335*AA335)+SUMIFS(estoque[valor total],estoque[produto],preçodiario[[#Headers],[OVO BRANCO JUMBO]],estoque[data],preçodiario[[#This Row],[data]],estoque[fornecedor],"&lt;&gt;saída"))/(AA335+(SUMIFS(estoque[quantidade],estoque[produto],preçodiario[[#Headers],[OVO BRANCO JUMBO]],estoque[fornecedor],"&lt;&gt;saída",estoque[data],preçodiario[[#This Row],[data]])))))</f>
        <v>16.50550595238095</v>
      </c>
      <c r="AA336" s="22">
        <f>IF(preçodiario[[#This Row],[entrada J]]=0,AA335-(SUMIFS(estoque[quantidade],estoque[fornecedor],"saída",estoque[produto],preçodiario[[#Headers],[OVO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Row],[data]]))+AA335+preçodiario[[#This Row],[entrada J]])</f>
        <v>75</v>
      </c>
      <c r="AB336" s="22">
        <f>SUMIFS(estoque[quantidade],estoque[fornecedor],"&lt;&gt;saída",estoque[produto],preçodiario[[#Headers],[OVO BRANCO JUMBO]],estoque[data],preçodiario[[#This Row],[data]])</f>
        <v>0</v>
      </c>
      <c r="AC336" s="20">
        <f>SUMIFS(estoque[valor total],estoque[fornecedor],"&lt;&gt;saída",estoque[produto],preçodiario[[#Headers],[OVO BRANCO JUMBO]],estoque[data],preçodiario[[#This Row],[data]])</f>
        <v>0</v>
      </c>
      <c r="AD336" s="20">
        <f>IFERROR(preçodiario[[#This Row],[OVO BRANCO JUMBO]]*preçodiario[[#This Row],[estoque J]],0)</f>
        <v>1237.9129464285713</v>
      </c>
      <c r="AE33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Row],[data]])),((AE335*AF335)+SUMIFS(estoque[valor total],estoque[produto],preçodiario[[#Headers],[OVO VERMELHO A]],estoque[data],preçodiario[[#This Row],[data]],estoque[fornecedor],"&lt;&gt;saída"))/(AF335+(SUMIFS(estoque[quantidade],estoque[produto],preçodiario[[#Headers],[OVO VERMELHO A]],estoque[fornecedor],"&lt;&gt;saída",estoque[data],preçodiario[[#This Row],[data]])))))</f>
        <v/>
      </c>
      <c r="AF336" s="22">
        <f>IF(preçodiario[[#This Row],[entrada AV]]=0,AF335-(SUMIFS(estoque[quantidade],estoque[fornecedor],"saída",estoque[produto],preçodiario[[#Headers],[OVO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Row],[data]]))+AF335+preçodiario[[#This Row],[entrada AV]])</f>
        <v>0</v>
      </c>
      <c r="AG336" s="22">
        <f>SUMIFS(estoque[quantidade],estoque[fornecedor],"&lt;&gt;saída",estoque[produto],preçodiario[[#Headers],[OVO VERMELHO A]],estoque[data],preçodiario[[#This Row],[data]])</f>
        <v>0</v>
      </c>
      <c r="AH336" s="20">
        <f>SUMIFS(estoque[valor total],estoque[fornecedor],"&lt;&gt;saída",estoque[produto],preçodiario[[#Headers],[OVO VERMELHO A]],estoque[data],preçodiario[[#This Row],[data]])</f>
        <v>0</v>
      </c>
      <c r="AI336" s="20">
        <f>IFERROR(preçodiario[[#This Row],[OVO VERMELHO A]]*preçodiario[[#This Row],[estoque AV]],0)</f>
        <v>0</v>
      </c>
      <c r="AJ33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Row],[data]])),((AJ335*AK335)+SUMIFS(estoque[valor total],estoque[produto],preçodiario[[#Headers],[OVO VERMELHO B]],estoque[data],preçodiario[[#This Row],[data]],estoque[fornecedor],"&lt;&gt;saída"))/(AK335+(SUMIFS(estoque[quantidade],estoque[produto],preçodiario[[#Headers],[OVO VERMELHO B]],estoque[fornecedor],"&lt;&gt;saída",estoque[data],preçodiario[[#This Row],[data]])))))</f>
        <v/>
      </c>
      <c r="AK336" s="22">
        <f>IF(preçodiario[[#This Row],[entrada BV]]=0,AK335-(SUMIFS(estoque[quantidade],estoque[fornecedor],"saída",estoque[produto],preçodiario[[#Headers],[OVO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Row],[data]]))+AK335+preçodiario[[#This Row],[entrada BV]])</f>
        <v>0</v>
      </c>
      <c r="AL336" s="22">
        <f>SUMIFS(estoque[quantidade],estoque[fornecedor],"&lt;&gt;saída",estoque[produto],preçodiario[[#Headers],[OVO VERMELHO B]],estoque[data],preçodiario[[#This Row],[data]])</f>
        <v>0</v>
      </c>
      <c r="AM336" s="20">
        <f>SUMIFS(estoque[valor total],estoque[fornecedor],"&lt;&gt;saída",estoque[produto],preçodiario[[#Headers],[OVO VERMELHO B]],estoque[data],preçodiario[[#This Row],[data]])</f>
        <v>0</v>
      </c>
      <c r="AN336" s="20">
        <f>IFERROR(preçodiario[[#This Row],[OVO VERMELHO B]]*preçodiario[[#This Row],[estoque BV]],0)</f>
        <v>0</v>
      </c>
      <c r="AO33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Row],[data]])),((AO335*AP335)+SUMIFS(estoque[valor total],estoque[produto],preçodiario[[#Headers],[OVO VERMELHO C]],estoque[data],preçodiario[[#This Row],[data]],estoque[fornecedor],"&lt;&gt;saída"))/(AP335+(SUMIFS(estoque[quantidade],estoque[produto],preçodiario[[#Headers],[OVO VERMELHO C]],estoque[fornecedor],"&lt;&gt;saída",estoque[data],preçodiario[[#This Row],[data]])))))</f>
        <v/>
      </c>
      <c r="AP336" s="22">
        <f>IF(preçodiario[[#This Row],[entrada CV]]=0,AP335-(SUMIFS(estoque[quantidade],estoque[fornecedor],"saída",estoque[produto],preçodiario[[#Headers],[OVO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Row],[data]]))+AP335+preçodiario[[#This Row],[entrada CV]])</f>
        <v>0</v>
      </c>
      <c r="AQ336" s="22">
        <f>SUMIFS(estoque[quantidade],estoque[fornecedor],"&lt;&gt;saída",estoque[produto],preçodiario[[#Headers],[OVO VERMELHO C]],estoque[data],preçodiario[[#This Row],[data]])</f>
        <v>0</v>
      </c>
      <c r="AR336" s="20">
        <f>SUMIFS(estoque[valor total],estoque[fornecedor],"&lt;&gt;saída",estoque[produto],preçodiario[[#Headers],[OVO VERMELHO C]],estoque[data],preçodiario[[#This Row],[data]])</f>
        <v>0</v>
      </c>
      <c r="AS336" s="20">
        <f>IFERROR(preçodiario[[#This Row],[OVO VERMELHO C]]*preçodiario[[#This Row],[estoque CV]],0)</f>
        <v>0</v>
      </c>
      <c r="AT33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Row],[data]])),((AT335*AU335)+SUMIFS(estoque[valor total],estoque[produto],preçodiario[[#Headers],[OVO VERMELHO EXTRA]],estoque[data],preçodiario[[#This Row],[data]],estoque[fornecedor],"&lt;&gt;saída"))/(AU335+(SUMIFS(estoque[quantidade],estoque[produto],preçodiario[[#Headers],[OVO VERMELHO EXTRA]],estoque[fornecedor],"&lt;&gt;saída",estoque[data],preçodiario[[#This Row],[data]])))))</f>
        <v/>
      </c>
      <c r="AU336" s="22">
        <f>IF(preçodiario[[#This Row],[entrada EV]]=0,AU335-(SUMIFS(estoque[quantidade],estoque[fornecedor],"saída",estoque[produto],preçodiario[[#Headers],[OVO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Row],[data]]))+AU335+preçodiario[[#This Row],[entrada EV]])</f>
        <v>0</v>
      </c>
      <c r="AV336" s="22">
        <f>SUMIFS(estoque[quantidade],estoque[fornecedor],"&lt;&gt;saída",estoque[produto],preçodiario[[#Headers],[OVO VERMELHO EXTRA]],estoque[data],preçodiario[[#This Row],[data]])</f>
        <v>0</v>
      </c>
      <c r="AW336" s="20">
        <f>SUMIFS(estoque[valor total],estoque[fornecedor],"&lt;&gt;saída",estoque[produto],preçodiario[[#Headers],[OVO VERMELHO EXTRA]],estoque[data],preçodiario[[#This Row],[data]])</f>
        <v>0</v>
      </c>
      <c r="AX336" s="20">
        <f>IFERROR(preçodiario[[#This Row],[OVO VERMELHO EXTRA]]*preçodiario[[#This Row],[estoque EV]],0)</f>
        <v>0</v>
      </c>
      <c r="AY33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Row],[data]])),((AY335*AZ335)+SUMIFS(estoque[valor total],estoque[produto],preçodiario[[#Headers],[OVO VERMELHO JUMBO]],estoque[data],preçodiario[[#This Row],[data]],estoque[fornecedor],"&lt;&gt;saída"))/(AZ335+(SUMIFS(estoque[quantidade],estoque[produto],preçodiario[[#Headers],[OVO VERMELHO JUMBO]],estoque[fornecedor],"&lt;&gt;saída",estoque[data],preçodiario[[#This Row],[data]])))))</f>
        <v/>
      </c>
      <c r="AZ336" s="22">
        <f>IF(preçodiario[[#This Row],[entrada JV]]=0,AZ335-(SUMIFS(estoque[quantidade],estoque[fornecedor],"saída",estoque[produto],preçodiario[[#Headers],[OVO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Row],[data]]))+AZ335+preçodiario[[#This Row],[entrada JV]])</f>
        <v>0</v>
      </c>
      <c r="BA336" s="22">
        <f>SUMIFS(estoque[quantidade],estoque[fornecedor],"&lt;&gt;saída",estoque[produto],preçodiario[[#Headers],[OVO VERMELHO JUMBO]],estoque[data],preçodiario[[#This Row],[data]])</f>
        <v>0</v>
      </c>
      <c r="BB336" s="20">
        <f>SUMIFS(estoque[valor total],estoque[fornecedor],"&lt;&gt;saída",estoque[produto],preçodiario[[#Headers],[OVO VERMELHO JUMBO]],estoque[data],preçodiario[[#This Row],[data]])</f>
        <v>0</v>
      </c>
      <c r="BC336" s="20">
        <f>IFERROR(preçodiario[[#This Row],[OVO VERMELHO JUMBO]]*preçodiario[[#This Row],[estoque JV]],0)</f>
        <v>0</v>
      </c>
      <c r="BD336" t="str">
        <f>TEXT(vendaAno[[#This Row],[data]],"mmm")</f>
        <v>dez</v>
      </c>
      <c r="BE336" t="str">
        <f>TEXT(vendaAno[[#This Row],[data]],"ddd")</f>
        <v>ter</v>
      </c>
      <c r="BF336" s="82">
        <f>WEEKNUM(vendaAno[[#This Row],[data]],13)</f>
        <v>48</v>
      </c>
      <c r="BG336" s="27">
        <f>preçodiario[[#This Row],[data]]</f>
        <v>46357</v>
      </c>
      <c r="BH33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Row],[data]]))/12+BJ335,"")</f>
        <v/>
      </c>
      <c r="BK336" s="79" t="str">
        <f ca="1">IF(TODAY()&gt;=vendaAno[[#This Row],[data]],IF(SUMIFS(estoque[quantidade],estoque[fornecedor],"saída",estoque[data],vendaAno[[#This Row],[data]])/12=0,AVERAGE(BK333:BK335),SUMIFS(estoque[quantidade],estoque[fornecedor],"saída",estoque[data],vendaAno[[#This Row],[data]])/12),"")</f>
        <v/>
      </c>
      <c r="BL336" s="8" t="str">
        <f ca="1">IF(vendaAno[[#This Row],[data]]&lt;=TODAY(),IF(SUMIFS(estoque[lucro],estoque[fornecedor],"saída",estoque[data],vendaAno[[#This Row],[data]])=0,AVERAGE(BL333:BL335),SUMIFS(estoque[lucro],estoque[fornecedor],"saída",estoque[data],vendaAno[[#This Row],[data]])),"")</f>
        <v/>
      </c>
      <c r="BM336" s="10" t="str">
        <f ca="1">IFERROR(vendaAno[[#This Row],[lucro]]/vendaAno[[#This Row],[valor de venda]],"")</f>
        <v/>
      </c>
      <c r="BN33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6" s="8" t="str">
        <f ca="1">IF(TODAY()&gt;=vendaAno[[#This Row],[data]],IF(vendaAno[[#This Row],[N°]]=BF335,vendaAno[[#This Row],[lucro]]-173.33+BO335,vendaAno[[#This Row],[lucro]]-150),"")</f>
        <v/>
      </c>
      <c r="BP336" s="81" t="str">
        <f ca="1">IF(TODAY()&gt;=vendaAno[[#This Row],[data]],SUM(BK330:BK336)*12,"")</f>
        <v/>
      </c>
      <c r="BQ336" s="7" t="str">
        <f ca="1">IFERROR(vendaAno[[#This Row],[lucro]]/(vendaAno[[#This Row],[venda]]*12),"")</f>
        <v/>
      </c>
    </row>
    <row r="337" spans="1:69" x14ac:dyDescent="0.25">
      <c r="A33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7" s="18" t="str">
        <f>TEXT(preçodiario[[#This Row],[data]],"MMM")</f>
        <v>dez</v>
      </c>
      <c r="C337" s="18" t="str">
        <f>TEXT(preçodiario[[#This Row],[data]],"ddd")</f>
        <v>qua</v>
      </c>
      <c r="D337" s="96">
        <f>WEEKNUM(preçodiario[[#This Row],[data]],13)</f>
        <v>49</v>
      </c>
      <c r="E337" s="37">
        <v>46358</v>
      </c>
      <c r="F33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Row],[data]])),((F336*G336)+SUMIFS(estoque[valor total],estoque[produto],preçodiario[[#Headers],[OVO BRANCO A]],estoque[data],preçodiario[[#This Row],[data]],estoque[fornecedor],"&lt;&gt;saída"))/(G336+(SUMIFS(estoque[quantidade],estoque[produto],preçodiario[[#Headers],[OVO BRANCO A]],estoque[fornecedor],"&lt;&gt;saída",estoque[data],preçodiario[[#This Row],[data]])))))</f>
        <v>15.278182701652089</v>
      </c>
      <c r="G337" s="22">
        <f>IF(preçodiario[[#This Row],[entrada A]]=0,G336-(SUMIFS(estoque[quantidade],estoque[fornecedor],"saída",estoque[produto],preçodiario[[#Headers],[OVO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Row],[data]]))+G336+preçodiario[[#This Row],[entrada A]])</f>
        <v>133</v>
      </c>
      <c r="H337" s="22">
        <f>SUMIFS(estoque[quantidade],estoque[fornecedor],"&lt;&gt;saída",estoque[produto],preçodiario[[#Headers],[OVO BRANCO A]],estoque[data],preçodiario[[#This Row],[data]])</f>
        <v>0</v>
      </c>
      <c r="I337" s="20">
        <f>SUMIFS(estoque[valor total],estoque[fornecedor],"&lt;&gt;saída",estoque[produto],preçodiario[[#Headers],[OVO BRANCO A]],estoque[data],preçodiario[[#This Row],[data]])</f>
        <v>0</v>
      </c>
      <c r="J337" s="20">
        <f>IFERROR(preçodiario[[#This Row],[estoque A]]*preçodiario[[#This Row],[OVO BRANCO A]],0)</f>
        <v>2031.9982993197277</v>
      </c>
      <c r="K33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Row],[data]])),((K336*L336)+SUMIFS(estoque[valor total],estoque[produto],preçodiario[[#Headers],[OVO BRANCO B]],estoque[data],preçodiario[[#This Row],[data]],estoque[fornecedor],"&lt;&gt;saída"))/(L336+(SUMIFS(estoque[quantidade],estoque[produto],preçodiario[[#Headers],[OVO BRANCO B]],estoque[fornecedor],"&lt;&gt;saída",estoque[data],preçodiario[[#This Row],[data]])))))</f>
        <v>14.584252837326604</v>
      </c>
      <c r="L337" s="22">
        <f>IF(preçodiario[[#This Row],[entrada B]]=0,L336-(SUMIFS(estoque[quantidade],estoque[fornecedor],"saída",estoque[produto],preçodiario[[#Headers],[OVO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Row],[data]]))+L336+preçodiario[[#This Row],[entrada B]])</f>
        <v>16</v>
      </c>
      <c r="M337" s="22">
        <f>SUMIFS(estoque[quantidade],estoque[fornecedor],"&lt;&gt;saída",estoque[produto],preçodiario[[#Headers],[OVO BRANCO B]],estoque[data],preçodiario[[#This Row],[data]])</f>
        <v>0</v>
      </c>
      <c r="N337" s="20">
        <f>SUMIFS(estoque[valor total],estoque[fornecedor],"&lt;&gt;saída",estoque[produto],preçodiario[[#Headers],[OVO BRANCO B]],estoque[data],preçodiario[[#This Row],[data]])</f>
        <v>0</v>
      </c>
      <c r="O337" s="20">
        <f>IFERROR(preçodiario[[#This Row],[OVO BRANCO B]]*preçodiario[[#This Row],[estoque B]],0)</f>
        <v>233.34804539722566</v>
      </c>
      <c r="P33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Row],[data]])),((P336*Q336)+SUMIFS(estoque[valor total],estoque[produto],preçodiario[[#Headers],[OVO BRANCO C]],estoque[data],preçodiario[[#This Row],[data]],estoque[fornecedor],"&lt;&gt;saída"))/(Q336+(SUMIFS(estoque[quantidade],estoque[produto],preçodiario[[#Headers],[OVO BRANCO C]],estoque[fornecedor],"&lt;&gt;saída",estoque[data],preçodiario[[#This Row],[data]])))))</f>
        <v>12.5</v>
      </c>
      <c r="Q337" s="22">
        <f>IF(preçodiario[[#This Row],[entrada C]]=0,Q336-(SUMIFS(estoque[quantidade],estoque[fornecedor],"saída",estoque[produto],preçodiario[[#Headers],[OVO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Row],[data]]))+Q336+preçodiario[[#This Row],[entrada C]])</f>
        <v>60</v>
      </c>
      <c r="R337" s="22">
        <f>SUMIFS(estoque[quantidade],estoque[fornecedor],"&lt;&gt;saída",estoque[produto],preçodiario[[#Headers],[OVO BRANCO C]],estoque[data],preçodiario[[#This Row],[data]])</f>
        <v>0</v>
      </c>
      <c r="S337" s="20">
        <f>SUMIFS(estoque[valor total],estoque[fornecedor],"&lt;&gt;saída",estoque[produto],preçodiario[[#Headers],[OVO BRANCO C]],estoque[data],preçodiario[[#This Row],[data]])</f>
        <v>0</v>
      </c>
      <c r="T337" s="20">
        <f>IFERROR(preçodiario[[#This Row],[OVO BRANCO C]]*preçodiario[[#This Row],[estoque C]],0)</f>
        <v>750</v>
      </c>
      <c r="U33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Row],[data]])),((U336*V336)+SUMIFS(estoque[valor total],estoque[produto],preçodiario[[#Headers],[OVO BRANCO EXTRA]],estoque[data],preçodiario[[#This Row],[data]],estoque[fornecedor],"&lt;&gt;saída"))/(V336+(SUMIFS(estoque[quantidade],estoque[produto],preçodiario[[#Headers],[OVO BRANCO EXTRA]],estoque[fornecedor],"&lt;&gt;saída",estoque[data],preçodiario[[#This Row],[data]])))))</f>
        <v>15.725438400674655</v>
      </c>
      <c r="V337" s="22">
        <f>IF(preçodiario[[#This Row],[entrada E]]=0,V336-(SUMIFS(estoque[quantidade],estoque[fornecedor],"saída",estoque[produto],preçodiario[[#Headers],[OVO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Row],[data]]))+V336+preçodiario[[#This Row],[entrada E]])</f>
        <v>46</v>
      </c>
      <c r="W337" s="22">
        <f>SUMIFS(estoque[quantidade],estoque[fornecedor],"&lt;&gt;saída",estoque[produto],preçodiario[[#Headers],[OVO BRANCO EXTRA]],estoque[data],preçodiario[[#This Row],[data]])</f>
        <v>0</v>
      </c>
      <c r="X337" s="20">
        <f>SUMIFS(estoque[valor total],estoque[fornecedor],"&lt;&gt;saída",estoque[produto],preçodiario[[#Headers],[OVO BRANCO EXTRA]],estoque[data],preçodiario[[#This Row],[data]])</f>
        <v>0</v>
      </c>
      <c r="Y337" s="20">
        <f>IFERROR(preçodiario[[#This Row],[estoque E]]*preçodiario[[#This Row],[OVO BRANCO EXTRA]],0)</f>
        <v>723.37016643103414</v>
      </c>
      <c r="Z33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Row],[data]])),((Z336*AA336)+SUMIFS(estoque[valor total],estoque[produto],preçodiario[[#Headers],[OVO BRANCO JUMBO]],estoque[data],preçodiario[[#This Row],[data]],estoque[fornecedor],"&lt;&gt;saída"))/(AA336+(SUMIFS(estoque[quantidade],estoque[produto],preçodiario[[#Headers],[OVO BRANCO JUMBO]],estoque[fornecedor],"&lt;&gt;saída",estoque[data],preçodiario[[#This Row],[data]])))))</f>
        <v>16.50550595238095</v>
      </c>
      <c r="AA337" s="22">
        <f>IF(preçodiario[[#This Row],[entrada J]]=0,AA336-(SUMIFS(estoque[quantidade],estoque[fornecedor],"saída",estoque[produto],preçodiario[[#Headers],[OVO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Row],[data]]))+AA336+preçodiario[[#This Row],[entrada J]])</f>
        <v>75</v>
      </c>
      <c r="AB337" s="22">
        <f>SUMIFS(estoque[quantidade],estoque[fornecedor],"&lt;&gt;saída",estoque[produto],preçodiario[[#Headers],[OVO BRANCO JUMBO]],estoque[data],preçodiario[[#This Row],[data]])</f>
        <v>0</v>
      </c>
      <c r="AC337" s="20">
        <f>SUMIFS(estoque[valor total],estoque[fornecedor],"&lt;&gt;saída",estoque[produto],preçodiario[[#Headers],[OVO BRANCO JUMBO]],estoque[data],preçodiario[[#This Row],[data]])</f>
        <v>0</v>
      </c>
      <c r="AD337" s="20">
        <f>IFERROR(preçodiario[[#This Row],[OVO BRANCO JUMBO]]*preçodiario[[#This Row],[estoque J]],0)</f>
        <v>1237.9129464285713</v>
      </c>
      <c r="AE33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Row],[data]])),((AE336*AF336)+SUMIFS(estoque[valor total],estoque[produto],preçodiario[[#Headers],[OVO VERMELHO A]],estoque[data],preçodiario[[#This Row],[data]],estoque[fornecedor],"&lt;&gt;saída"))/(AF336+(SUMIFS(estoque[quantidade],estoque[produto],preçodiario[[#Headers],[OVO VERMELHO A]],estoque[fornecedor],"&lt;&gt;saída",estoque[data],preçodiario[[#This Row],[data]])))))</f>
        <v/>
      </c>
      <c r="AF337" s="22">
        <f>IF(preçodiario[[#This Row],[entrada AV]]=0,AF336-(SUMIFS(estoque[quantidade],estoque[fornecedor],"saída",estoque[produto],preçodiario[[#Headers],[OVO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Row],[data]]))+AF336+preçodiario[[#This Row],[entrada AV]])</f>
        <v>0</v>
      </c>
      <c r="AG337" s="22">
        <f>SUMIFS(estoque[quantidade],estoque[fornecedor],"&lt;&gt;saída",estoque[produto],preçodiario[[#Headers],[OVO VERMELHO A]],estoque[data],preçodiario[[#This Row],[data]])</f>
        <v>0</v>
      </c>
      <c r="AH337" s="20">
        <f>SUMIFS(estoque[valor total],estoque[fornecedor],"&lt;&gt;saída",estoque[produto],preçodiario[[#Headers],[OVO VERMELHO A]],estoque[data],preçodiario[[#This Row],[data]])</f>
        <v>0</v>
      </c>
      <c r="AI337" s="20">
        <f>IFERROR(preçodiario[[#This Row],[OVO VERMELHO A]]*preçodiario[[#This Row],[estoque AV]],0)</f>
        <v>0</v>
      </c>
      <c r="AJ33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Row],[data]])),((AJ336*AK336)+SUMIFS(estoque[valor total],estoque[produto],preçodiario[[#Headers],[OVO VERMELHO B]],estoque[data],preçodiario[[#This Row],[data]],estoque[fornecedor],"&lt;&gt;saída"))/(AK336+(SUMIFS(estoque[quantidade],estoque[produto],preçodiario[[#Headers],[OVO VERMELHO B]],estoque[fornecedor],"&lt;&gt;saída",estoque[data],preçodiario[[#This Row],[data]])))))</f>
        <v/>
      </c>
      <c r="AK337" s="22">
        <f>IF(preçodiario[[#This Row],[entrada BV]]=0,AK336-(SUMIFS(estoque[quantidade],estoque[fornecedor],"saída",estoque[produto],preçodiario[[#Headers],[OVO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Row],[data]]))+AK336+preçodiario[[#This Row],[entrada BV]])</f>
        <v>0</v>
      </c>
      <c r="AL337" s="22">
        <f>SUMIFS(estoque[quantidade],estoque[fornecedor],"&lt;&gt;saída",estoque[produto],preçodiario[[#Headers],[OVO VERMELHO B]],estoque[data],preçodiario[[#This Row],[data]])</f>
        <v>0</v>
      </c>
      <c r="AM337" s="20">
        <f>SUMIFS(estoque[valor total],estoque[fornecedor],"&lt;&gt;saída",estoque[produto],preçodiario[[#Headers],[OVO VERMELHO B]],estoque[data],preçodiario[[#This Row],[data]])</f>
        <v>0</v>
      </c>
      <c r="AN337" s="20">
        <f>IFERROR(preçodiario[[#This Row],[OVO VERMELHO B]]*preçodiario[[#This Row],[estoque BV]],0)</f>
        <v>0</v>
      </c>
      <c r="AO33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Row],[data]])),((AO336*AP336)+SUMIFS(estoque[valor total],estoque[produto],preçodiario[[#Headers],[OVO VERMELHO C]],estoque[data],preçodiario[[#This Row],[data]],estoque[fornecedor],"&lt;&gt;saída"))/(AP336+(SUMIFS(estoque[quantidade],estoque[produto],preçodiario[[#Headers],[OVO VERMELHO C]],estoque[fornecedor],"&lt;&gt;saída",estoque[data],preçodiario[[#This Row],[data]])))))</f>
        <v/>
      </c>
      <c r="AP337" s="22">
        <f>IF(preçodiario[[#This Row],[entrada CV]]=0,AP336-(SUMIFS(estoque[quantidade],estoque[fornecedor],"saída",estoque[produto],preçodiario[[#Headers],[OVO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Row],[data]]))+AP336+preçodiario[[#This Row],[entrada CV]])</f>
        <v>0</v>
      </c>
      <c r="AQ337" s="22">
        <f>SUMIFS(estoque[quantidade],estoque[fornecedor],"&lt;&gt;saída",estoque[produto],preçodiario[[#Headers],[OVO VERMELHO C]],estoque[data],preçodiario[[#This Row],[data]])</f>
        <v>0</v>
      </c>
      <c r="AR337" s="20">
        <f>SUMIFS(estoque[valor total],estoque[fornecedor],"&lt;&gt;saída",estoque[produto],preçodiario[[#Headers],[OVO VERMELHO C]],estoque[data],preçodiario[[#This Row],[data]])</f>
        <v>0</v>
      </c>
      <c r="AS337" s="20">
        <f>IFERROR(preçodiario[[#This Row],[OVO VERMELHO C]]*preçodiario[[#This Row],[estoque CV]],0)</f>
        <v>0</v>
      </c>
      <c r="AT33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Row],[data]])),((AT336*AU336)+SUMIFS(estoque[valor total],estoque[produto],preçodiario[[#Headers],[OVO VERMELHO EXTRA]],estoque[data],preçodiario[[#This Row],[data]],estoque[fornecedor],"&lt;&gt;saída"))/(AU336+(SUMIFS(estoque[quantidade],estoque[produto],preçodiario[[#Headers],[OVO VERMELHO EXTRA]],estoque[fornecedor],"&lt;&gt;saída",estoque[data],preçodiario[[#This Row],[data]])))))</f>
        <v/>
      </c>
      <c r="AU337" s="22">
        <f>IF(preçodiario[[#This Row],[entrada EV]]=0,AU336-(SUMIFS(estoque[quantidade],estoque[fornecedor],"saída",estoque[produto],preçodiario[[#Headers],[OVO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Row],[data]]))+AU336+preçodiario[[#This Row],[entrada EV]])</f>
        <v>0</v>
      </c>
      <c r="AV337" s="22">
        <f>SUMIFS(estoque[quantidade],estoque[fornecedor],"&lt;&gt;saída",estoque[produto],preçodiario[[#Headers],[OVO VERMELHO EXTRA]],estoque[data],preçodiario[[#This Row],[data]])</f>
        <v>0</v>
      </c>
      <c r="AW337" s="20">
        <f>SUMIFS(estoque[valor total],estoque[fornecedor],"&lt;&gt;saída",estoque[produto],preçodiario[[#Headers],[OVO VERMELHO EXTRA]],estoque[data],preçodiario[[#This Row],[data]])</f>
        <v>0</v>
      </c>
      <c r="AX337" s="20">
        <f>IFERROR(preçodiario[[#This Row],[OVO VERMELHO EXTRA]]*preçodiario[[#This Row],[estoque EV]],0)</f>
        <v>0</v>
      </c>
      <c r="AY33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Row],[data]])),((AY336*AZ336)+SUMIFS(estoque[valor total],estoque[produto],preçodiario[[#Headers],[OVO VERMELHO JUMBO]],estoque[data],preçodiario[[#This Row],[data]],estoque[fornecedor],"&lt;&gt;saída"))/(AZ336+(SUMIFS(estoque[quantidade],estoque[produto],preçodiario[[#Headers],[OVO VERMELHO JUMBO]],estoque[fornecedor],"&lt;&gt;saída",estoque[data],preçodiario[[#This Row],[data]])))))</f>
        <v/>
      </c>
      <c r="AZ337" s="22">
        <f>IF(preçodiario[[#This Row],[entrada JV]]=0,AZ336-(SUMIFS(estoque[quantidade],estoque[fornecedor],"saída",estoque[produto],preçodiario[[#Headers],[OVO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Row],[data]]))+AZ336+preçodiario[[#This Row],[entrada JV]])</f>
        <v>0</v>
      </c>
      <c r="BA337" s="22">
        <f>SUMIFS(estoque[quantidade],estoque[fornecedor],"&lt;&gt;saída",estoque[produto],preçodiario[[#Headers],[OVO VERMELHO JUMBO]],estoque[data],preçodiario[[#This Row],[data]])</f>
        <v>0</v>
      </c>
      <c r="BB337" s="20">
        <f>SUMIFS(estoque[valor total],estoque[fornecedor],"&lt;&gt;saída",estoque[produto],preçodiario[[#Headers],[OVO VERMELHO JUMBO]],estoque[data],preçodiario[[#This Row],[data]])</f>
        <v>0</v>
      </c>
      <c r="BC337" s="20">
        <f>IFERROR(preçodiario[[#This Row],[OVO VERMELHO JUMBO]]*preçodiario[[#This Row],[estoque JV]],0)</f>
        <v>0</v>
      </c>
      <c r="BD337" t="str">
        <f>TEXT(vendaAno[[#This Row],[data]],"mmm")</f>
        <v>dez</v>
      </c>
      <c r="BE337" t="str">
        <f>TEXT(vendaAno[[#This Row],[data]],"ddd")</f>
        <v>qua</v>
      </c>
      <c r="BF337" s="82">
        <f>WEEKNUM(vendaAno[[#This Row],[data]],13)</f>
        <v>49</v>
      </c>
      <c r="BG337" s="27">
        <f>preçodiario[[#This Row],[data]]</f>
        <v>46358</v>
      </c>
      <c r="BH33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Row],[data]]))/12+BJ336,"")</f>
        <v/>
      </c>
      <c r="BK337" s="79" t="str">
        <f ca="1">IF(TODAY()&gt;=vendaAno[[#This Row],[data]],IF(SUMIFS(estoque[quantidade],estoque[fornecedor],"saída",estoque[data],vendaAno[[#This Row],[data]])/12=0,AVERAGE(BK334:BK336),SUMIFS(estoque[quantidade],estoque[fornecedor],"saída",estoque[data],vendaAno[[#This Row],[data]])/12),"")</f>
        <v/>
      </c>
      <c r="BL337" s="8" t="str">
        <f ca="1">IF(vendaAno[[#This Row],[data]]&lt;=TODAY(),IF(SUMIFS(estoque[lucro],estoque[fornecedor],"saída",estoque[data],vendaAno[[#This Row],[data]])=0,AVERAGE(BL334:BL336),SUMIFS(estoque[lucro],estoque[fornecedor],"saída",estoque[data],vendaAno[[#This Row],[data]])),"")</f>
        <v/>
      </c>
      <c r="BM337" s="10" t="str">
        <f ca="1">IFERROR(vendaAno[[#This Row],[lucro]]/vendaAno[[#This Row],[valor de venda]],"")</f>
        <v/>
      </c>
      <c r="BN33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7" s="8" t="str">
        <f ca="1">IF(TODAY()&gt;=vendaAno[[#This Row],[data]],IF(vendaAno[[#This Row],[N°]]=BF336,vendaAno[[#This Row],[lucro]]-173.33+BO336,vendaAno[[#This Row],[lucro]]-150),"")</f>
        <v/>
      </c>
      <c r="BP337" s="81" t="str">
        <f ca="1">IF(TODAY()&gt;=vendaAno[[#This Row],[data]],SUM(BK331:BK337)*12,"")</f>
        <v/>
      </c>
      <c r="BQ337" s="7" t="str">
        <f ca="1">IFERROR(vendaAno[[#This Row],[lucro]]/(vendaAno[[#This Row],[venda]]*12),"")</f>
        <v/>
      </c>
    </row>
    <row r="338" spans="1:69" x14ac:dyDescent="0.25">
      <c r="A33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8" s="18" t="str">
        <f>TEXT(preçodiario[[#This Row],[data]],"MMM")</f>
        <v>dez</v>
      </c>
      <c r="C338" s="18" t="str">
        <f>TEXT(preçodiario[[#This Row],[data]],"ddd")</f>
        <v>qui</v>
      </c>
      <c r="D338" s="96">
        <f>WEEKNUM(preçodiario[[#This Row],[data]],13)</f>
        <v>49</v>
      </c>
      <c r="E338" s="37">
        <v>46359</v>
      </c>
      <c r="F33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Row],[data]])),((F337*G337)+SUMIFS(estoque[valor total],estoque[produto],preçodiario[[#Headers],[OVO BRANCO A]],estoque[data],preçodiario[[#This Row],[data]],estoque[fornecedor],"&lt;&gt;saída"))/(G337+(SUMIFS(estoque[quantidade],estoque[produto],preçodiario[[#Headers],[OVO BRANCO A]],estoque[fornecedor],"&lt;&gt;saída",estoque[data],preçodiario[[#This Row],[data]])))))</f>
        <v>15.278182701652089</v>
      </c>
      <c r="G338" s="22">
        <f>IF(preçodiario[[#This Row],[entrada A]]=0,G337-(SUMIFS(estoque[quantidade],estoque[fornecedor],"saída",estoque[produto],preçodiario[[#Headers],[OVO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Row],[data]]))+G337+preçodiario[[#This Row],[entrada A]])</f>
        <v>133</v>
      </c>
      <c r="H338" s="22">
        <f>SUMIFS(estoque[quantidade],estoque[fornecedor],"&lt;&gt;saída",estoque[produto],preçodiario[[#Headers],[OVO BRANCO A]],estoque[data],preçodiario[[#This Row],[data]])</f>
        <v>0</v>
      </c>
      <c r="I338" s="20">
        <f>SUMIFS(estoque[valor total],estoque[fornecedor],"&lt;&gt;saída",estoque[produto],preçodiario[[#Headers],[OVO BRANCO A]],estoque[data],preçodiario[[#This Row],[data]])</f>
        <v>0</v>
      </c>
      <c r="J338" s="20">
        <f>IFERROR(preçodiario[[#This Row],[estoque A]]*preçodiario[[#This Row],[OVO BRANCO A]],0)</f>
        <v>2031.9982993197277</v>
      </c>
      <c r="K33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Row],[data]])),((K337*L337)+SUMIFS(estoque[valor total],estoque[produto],preçodiario[[#Headers],[OVO BRANCO B]],estoque[data],preçodiario[[#This Row],[data]],estoque[fornecedor],"&lt;&gt;saída"))/(L337+(SUMIFS(estoque[quantidade],estoque[produto],preçodiario[[#Headers],[OVO BRANCO B]],estoque[fornecedor],"&lt;&gt;saída",estoque[data],preçodiario[[#This Row],[data]])))))</f>
        <v>14.584252837326604</v>
      </c>
      <c r="L338" s="22">
        <f>IF(preçodiario[[#This Row],[entrada B]]=0,L337-(SUMIFS(estoque[quantidade],estoque[fornecedor],"saída",estoque[produto],preçodiario[[#Headers],[OVO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Row],[data]]))+L337+preçodiario[[#This Row],[entrada B]])</f>
        <v>16</v>
      </c>
      <c r="M338" s="22">
        <f>SUMIFS(estoque[quantidade],estoque[fornecedor],"&lt;&gt;saída",estoque[produto],preçodiario[[#Headers],[OVO BRANCO B]],estoque[data],preçodiario[[#This Row],[data]])</f>
        <v>0</v>
      </c>
      <c r="N338" s="20">
        <f>SUMIFS(estoque[valor total],estoque[fornecedor],"&lt;&gt;saída",estoque[produto],preçodiario[[#Headers],[OVO BRANCO B]],estoque[data],preçodiario[[#This Row],[data]])</f>
        <v>0</v>
      </c>
      <c r="O338" s="20">
        <f>IFERROR(preçodiario[[#This Row],[OVO BRANCO B]]*preçodiario[[#This Row],[estoque B]],0)</f>
        <v>233.34804539722566</v>
      </c>
      <c r="P33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Row],[data]])),((P337*Q337)+SUMIFS(estoque[valor total],estoque[produto],preçodiario[[#Headers],[OVO BRANCO C]],estoque[data],preçodiario[[#This Row],[data]],estoque[fornecedor],"&lt;&gt;saída"))/(Q337+(SUMIFS(estoque[quantidade],estoque[produto],preçodiario[[#Headers],[OVO BRANCO C]],estoque[fornecedor],"&lt;&gt;saída",estoque[data],preçodiario[[#This Row],[data]])))))</f>
        <v>12.5</v>
      </c>
      <c r="Q338" s="22">
        <f>IF(preçodiario[[#This Row],[entrada C]]=0,Q337-(SUMIFS(estoque[quantidade],estoque[fornecedor],"saída",estoque[produto],preçodiario[[#Headers],[OVO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Row],[data]]))+Q337+preçodiario[[#This Row],[entrada C]])</f>
        <v>60</v>
      </c>
      <c r="R338" s="22">
        <f>SUMIFS(estoque[quantidade],estoque[fornecedor],"&lt;&gt;saída",estoque[produto],preçodiario[[#Headers],[OVO BRANCO C]],estoque[data],preçodiario[[#This Row],[data]])</f>
        <v>0</v>
      </c>
      <c r="S338" s="20">
        <f>SUMIFS(estoque[valor total],estoque[fornecedor],"&lt;&gt;saída",estoque[produto],preçodiario[[#Headers],[OVO BRANCO C]],estoque[data],preçodiario[[#This Row],[data]])</f>
        <v>0</v>
      </c>
      <c r="T338" s="20">
        <f>IFERROR(preçodiario[[#This Row],[OVO BRANCO C]]*preçodiario[[#This Row],[estoque C]],0)</f>
        <v>750</v>
      </c>
      <c r="U33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Row],[data]])),((U337*V337)+SUMIFS(estoque[valor total],estoque[produto],preçodiario[[#Headers],[OVO BRANCO EXTRA]],estoque[data],preçodiario[[#This Row],[data]],estoque[fornecedor],"&lt;&gt;saída"))/(V337+(SUMIFS(estoque[quantidade],estoque[produto],preçodiario[[#Headers],[OVO BRANCO EXTRA]],estoque[fornecedor],"&lt;&gt;saída",estoque[data],preçodiario[[#This Row],[data]])))))</f>
        <v>15.725438400674655</v>
      </c>
      <c r="V338" s="22">
        <f>IF(preçodiario[[#This Row],[entrada E]]=0,V337-(SUMIFS(estoque[quantidade],estoque[fornecedor],"saída",estoque[produto],preçodiario[[#Headers],[OVO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Row],[data]]))+V337+preçodiario[[#This Row],[entrada E]])</f>
        <v>46</v>
      </c>
      <c r="W338" s="22">
        <f>SUMIFS(estoque[quantidade],estoque[fornecedor],"&lt;&gt;saída",estoque[produto],preçodiario[[#Headers],[OVO BRANCO EXTRA]],estoque[data],preçodiario[[#This Row],[data]])</f>
        <v>0</v>
      </c>
      <c r="X338" s="20">
        <f>SUMIFS(estoque[valor total],estoque[fornecedor],"&lt;&gt;saída",estoque[produto],preçodiario[[#Headers],[OVO BRANCO EXTRA]],estoque[data],preçodiario[[#This Row],[data]])</f>
        <v>0</v>
      </c>
      <c r="Y338" s="20">
        <f>IFERROR(preçodiario[[#This Row],[estoque E]]*preçodiario[[#This Row],[OVO BRANCO EXTRA]],0)</f>
        <v>723.37016643103414</v>
      </c>
      <c r="Z33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Row],[data]])),((Z337*AA337)+SUMIFS(estoque[valor total],estoque[produto],preçodiario[[#Headers],[OVO BRANCO JUMBO]],estoque[data],preçodiario[[#This Row],[data]],estoque[fornecedor],"&lt;&gt;saída"))/(AA337+(SUMIFS(estoque[quantidade],estoque[produto],preçodiario[[#Headers],[OVO BRANCO JUMBO]],estoque[fornecedor],"&lt;&gt;saída",estoque[data],preçodiario[[#This Row],[data]])))))</f>
        <v>16.50550595238095</v>
      </c>
      <c r="AA338" s="22">
        <f>IF(preçodiario[[#This Row],[entrada J]]=0,AA337-(SUMIFS(estoque[quantidade],estoque[fornecedor],"saída",estoque[produto],preçodiario[[#Headers],[OVO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Row],[data]]))+AA337+preçodiario[[#This Row],[entrada J]])</f>
        <v>75</v>
      </c>
      <c r="AB338" s="22">
        <f>SUMIFS(estoque[quantidade],estoque[fornecedor],"&lt;&gt;saída",estoque[produto],preçodiario[[#Headers],[OVO BRANCO JUMBO]],estoque[data],preçodiario[[#This Row],[data]])</f>
        <v>0</v>
      </c>
      <c r="AC338" s="20">
        <f>SUMIFS(estoque[valor total],estoque[fornecedor],"&lt;&gt;saída",estoque[produto],preçodiario[[#Headers],[OVO BRANCO JUMBO]],estoque[data],preçodiario[[#This Row],[data]])</f>
        <v>0</v>
      </c>
      <c r="AD338" s="20">
        <f>IFERROR(preçodiario[[#This Row],[OVO BRANCO JUMBO]]*preçodiario[[#This Row],[estoque J]],0)</f>
        <v>1237.9129464285713</v>
      </c>
      <c r="AE33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Row],[data]])),((AE337*AF337)+SUMIFS(estoque[valor total],estoque[produto],preçodiario[[#Headers],[OVO VERMELHO A]],estoque[data],preçodiario[[#This Row],[data]],estoque[fornecedor],"&lt;&gt;saída"))/(AF337+(SUMIFS(estoque[quantidade],estoque[produto],preçodiario[[#Headers],[OVO VERMELHO A]],estoque[fornecedor],"&lt;&gt;saída",estoque[data],preçodiario[[#This Row],[data]])))))</f>
        <v/>
      </c>
      <c r="AF338" s="22">
        <f>IF(preçodiario[[#This Row],[entrada AV]]=0,AF337-(SUMIFS(estoque[quantidade],estoque[fornecedor],"saída",estoque[produto],preçodiario[[#Headers],[OVO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Row],[data]]))+AF337+preçodiario[[#This Row],[entrada AV]])</f>
        <v>0</v>
      </c>
      <c r="AG338" s="22">
        <f>SUMIFS(estoque[quantidade],estoque[fornecedor],"&lt;&gt;saída",estoque[produto],preçodiario[[#Headers],[OVO VERMELHO A]],estoque[data],preçodiario[[#This Row],[data]])</f>
        <v>0</v>
      </c>
      <c r="AH338" s="20">
        <f>SUMIFS(estoque[valor total],estoque[fornecedor],"&lt;&gt;saída",estoque[produto],preçodiario[[#Headers],[OVO VERMELHO A]],estoque[data],preçodiario[[#This Row],[data]])</f>
        <v>0</v>
      </c>
      <c r="AI338" s="20">
        <f>IFERROR(preçodiario[[#This Row],[OVO VERMELHO A]]*preçodiario[[#This Row],[estoque AV]],0)</f>
        <v>0</v>
      </c>
      <c r="AJ33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Row],[data]])),((AJ337*AK337)+SUMIFS(estoque[valor total],estoque[produto],preçodiario[[#Headers],[OVO VERMELHO B]],estoque[data],preçodiario[[#This Row],[data]],estoque[fornecedor],"&lt;&gt;saída"))/(AK337+(SUMIFS(estoque[quantidade],estoque[produto],preçodiario[[#Headers],[OVO VERMELHO B]],estoque[fornecedor],"&lt;&gt;saída",estoque[data],preçodiario[[#This Row],[data]])))))</f>
        <v/>
      </c>
      <c r="AK338" s="22">
        <f>IF(preçodiario[[#This Row],[entrada BV]]=0,AK337-(SUMIFS(estoque[quantidade],estoque[fornecedor],"saída",estoque[produto],preçodiario[[#Headers],[OVO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Row],[data]]))+AK337+preçodiario[[#This Row],[entrada BV]])</f>
        <v>0</v>
      </c>
      <c r="AL338" s="22">
        <f>SUMIFS(estoque[quantidade],estoque[fornecedor],"&lt;&gt;saída",estoque[produto],preçodiario[[#Headers],[OVO VERMELHO B]],estoque[data],preçodiario[[#This Row],[data]])</f>
        <v>0</v>
      </c>
      <c r="AM338" s="20">
        <f>SUMIFS(estoque[valor total],estoque[fornecedor],"&lt;&gt;saída",estoque[produto],preçodiario[[#Headers],[OVO VERMELHO B]],estoque[data],preçodiario[[#This Row],[data]])</f>
        <v>0</v>
      </c>
      <c r="AN338" s="20">
        <f>IFERROR(preçodiario[[#This Row],[OVO VERMELHO B]]*preçodiario[[#This Row],[estoque BV]],0)</f>
        <v>0</v>
      </c>
      <c r="AO33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Row],[data]])),((AO337*AP337)+SUMIFS(estoque[valor total],estoque[produto],preçodiario[[#Headers],[OVO VERMELHO C]],estoque[data],preçodiario[[#This Row],[data]],estoque[fornecedor],"&lt;&gt;saída"))/(AP337+(SUMIFS(estoque[quantidade],estoque[produto],preçodiario[[#Headers],[OVO VERMELHO C]],estoque[fornecedor],"&lt;&gt;saída",estoque[data],preçodiario[[#This Row],[data]])))))</f>
        <v/>
      </c>
      <c r="AP338" s="22">
        <f>IF(preçodiario[[#This Row],[entrada CV]]=0,AP337-(SUMIFS(estoque[quantidade],estoque[fornecedor],"saída",estoque[produto],preçodiario[[#Headers],[OVO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Row],[data]]))+AP337+preçodiario[[#This Row],[entrada CV]])</f>
        <v>0</v>
      </c>
      <c r="AQ338" s="22">
        <f>SUMIFS(estoque[quantidade],estoque[fornecedor],"&lt;&gt;saída",estoque[produto],preçodiario[[#Headers],[OVO VERMELHO C]],estoque[data],preçodiario[[#This Row],[data]])</f>
        <v>0</v>
      </c>
      <c r="AR338" s="20">
        <f>SUMIFS(estoque[valor total],estoque[fornecedor],"&lt;&gt;saída",estoque[produto],preçodiario[[#Headers],[OVO VERMELHO C]],estoque[data],preçodiario[[#This Row],[data]])</f>
        <v>0</v>
      </c>
      <c r="AS338" s="20">
        <f>IFERROR(preçodiario[[#This Row],[OVO VERMELHO C]]*preçodiario[[#This Row],[estoque CV]],0)</f>
        <v>0</v>
      </c>
      <c r="AT33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Row],[data]])),((AT337*AU337)+SUMIFS(estoque[valor total],estoque[produto],preçodiario[[#Headers],[OVO VERMELHO EXTRA]],estoque[data],preçodiario[[#This Row],[data]],estoque[fornecedor],"&lt;&gt;saída"))/(AU337+(SUMIFS(estoque[quantidade],estoque[produto],preçodiario[[#Headers],[OVO VERMELHO EXTRA]],estoque[fornecedor],"&lt;&gt;saída",estoque[data],preçodiario[[#This Row],[data]])))))</f>
        <v/>
      </c>
      <c r="AU338" s="22">
        <f>IF(preçodiario[[#This Row],[entrada EV]]=0,AU337-(SUMIFS(estoque[quantidade],estoque[fornecedor],"saída",estoque[produto],preçodiario[[#Headers],[OVO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Row],[data]]))+AU337+preçodiario[[#This Row],[entrada EV]])</f>
        <v>0</v>
      </c>
      <c r="AV338" s="22">
        <f>SUMIFS(estoque[quantidade],estoque[fornecedor],"&lt;&gt;saída",estoque[produto],preçodiario[[#Headers],[OVO VERMELHO EXTRA]],estoque[data],preçodiario[[#This Row],[data]])</f>
        <v>0</v>
      </c>
      <c r="AW338" s="20">
        <f>SUMIFS(estoque[valor total],estoque[fornecedor],"&lt;&gt;saída",estoque[produto],preçodiario[[#Headers],[OVO VERMELHO EXTRA]],estoque[data],preçodiario[[#This Row],[data]])</f>
        <v>0</v>
      </c>
      <c r="AX338" s="20">
        <f>IFERROR(preçodiario[[#This Row],[OVO VERMELHO EXTRA]]*preçodiario[[#This Row],[estoque EV]],0)</f>
        <v>0</v>
      </c>
      <c r="AY33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Row],[data]])),((AY337*AZ337)+SUMIFS(estoque[valor total],estoque[produto],preçodiario[[#Headers],[OVO VERMELHO JUMBO]],estoque[data],preçodiario[[#This Row],[data]],estoque[fornecedor],"&lt;&gt;saída"))/(AZ337+(SUMIFS(estoque[quantidade],estoque[produto],preçodiario[[#Headers],[OVO VERMELHO JUMBO]],estoque[fornecedor],"&lt;&gt;saída",estoque[data],preçodiario[[#This Row],[data]])))))</f>
        <v/>
      </c>
      <c r="AZ338" s="22">
        <f>IF(preçodiario[[#This Row],[entrada JV]]=0,AZ337-(SUMIFS(estoque[quantidade],estoque[fornecedor],"saída",estoque[produto],preçodiario[[#Headers],[OVO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Row],[data]]))+AZ337+preçodiario[[#This Row],[entrada JV]])</f>
        <v>0</v>
      </c>
      <c r="BA338" s="22">
        <f>SUMIFS(estoque[quantidade],estoque[fornecedor],"&lt;&gt;saída",estoque[produto],preçodiario[[#Headers],[OVO VERMELHO JUMBO]],estoque[data],preçodiario[[#This Row],[data]])</f>
        <v>0</v>
      </c>
      <c r="BB338" s="20">
        <f>SUMIFS(estoque[valor total],estoque[fornecedor],"&lt;&gt;saída",estoque[produto],preçodiario[[#Headers],[OVO VERMELHO JUMBO]],estoque[data],preçodiario[[#This Row],[data]])</f>
        <v>0</v>
      </c>
      <c r="BC338" s="20">
        <f>IFERROR(preçodiario[[#This Row],[OVO VERMELHO JUMBO]]*preçodiario[[#This Row],[estoque JV]],0)</f>
        <v>0</v>
      </c>
      <c r="BD338" t="str">
        <f>TEXT(vendaAno[[#This Row],[data]],"mmm")</f>
        <v>dez</v>
      </c>
      <c r="BE338" t="str">
        <f>TEXT(vendaAno[[#This Row],[data]],"ddd")</f>
        <v>qui</v>
      </c>
      <c r="BF338" s="82">
        <f>WEEKNUM(vendaAno[[#This Row],[data]],13)</f>
        <v>49</v>
      </c>
      <c r="BG338" s="27">
        <f>preçodiario[[#This Row],[data]]</f>
        <v>46359</v>
      </c>
      <c r="BH33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Row],[data]]))/12+BJ337,"")</f>
        <v/>
      </c>
      <c r="BK338" s="79" t="str">
        <f ca="1">IF(TODAY()&gt;=vendaAno[[#This Row],[data]],IF(SUMIFS(estoque[quantidade],estoque[fornecedor],"saída",estoque[data],vendaAno[[#This Row],[data]])/12=0,AVERAGE(BK335:BK337),SUMIFS(estoque[quantidade],estoque[fornecedor],"saída",estoque[data],vendaAno[[#This Row],[data]])/12),"")</f>
        <v/>
      </c>
      <c r="BL338" s="8" t="str">
        <f ca="1">IF(vendaAno[[#This Row],[data]]&lt;=TODAY(),IF(SUMIFS(estoque[lucro],estoque[fornecedor],"saída",estoque[data],vendaAno[[#This Row],[data]])=0,AVERAGE(BL335:BL337),SUMIFS(estoque[lucro],estoque[fornecedor],"saída",estoque[data],vendaAno[[#This Row],[data]])),"")</f>
        <v/>
      </c>
      <c r="BM338" s="10" t="str">
        <f ca="1">IFERROR(vendaAno[[#This Row],[lucro]]/vendaAno[[#This Row],[valor de venda]],"")</f>
        <v/>
      </c>
      <c r="BN33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8" s="8" t="str">
        <f ca="1">IF(TODAY()&gt;=vendaAno[[#This Row],[data]],IF(vendaAno[[#This Row],[N°]]=BF337,vendaAno[[#This Row],[lucro]]-173.33+BO337,vendaAno[[#This Row],[lucro]]-150),"")</f>
        <v/>
      </c>
      <c r="BP338" s="81" t="str">
        <f ca="1">IF(TODAY()&gt;=vendaAno[[#This Row],[data]],SUM(BK332:BK338)*12,"")</f>
        <v/>
      </c>
      <c r="BQ338" s="7" t="str">
        <f ca="1">IFERROR(vendaAno[[#This Row],[lucro]]/(vendaAno[[#This Row],[venda]]*12),"")</f>
        <v/>
      </c>
    </row>
    <row r="339" spans="1:69" x14ac:dyDescent="0.25">
      <c r="A33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39" s="18" t="str">
        <f>TEXT(preçodiario[[#This Row],[data]],"MMM")</f>
        <v>dez</v>
      </c>
      <c r="C339" s="18" t="str">
        <f>TEXT(preçodiario[[#This Row],[data]],"ddd")</f>
        <v>sex</v>
      </c>
      <c r="D339" s="96">
        <f>WEEKNUM(preçodiario[[#This Row],[data]],13)</f>
        <v>49</v>
      </c>
      <c r="E339" s="37">
        <v>46360</v>
      </c>
      <c r="F33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Row],[data]])),((F338*G338)+SUMIFS(estoque[valor total],estoque[produto],preçodiario[[#Headers],[OVO BRANCO A]],estoque[data],preçodiario[[#This Row],[data]],estoque[fornecedor],"&lt;&gt;saída"))/(G338+(SUMIFS(estoque[quantidade],estoque[produto],preçodiario[[#Headers],[OVO BRANCO A]],estoque[fornecedor],"&lt;&gt;saída",estoque[data],preçodiario[[#This Row],[data]])))))</f>
        <v>15.278182701652089</v>
      </c>
      <c r="G339" s="22">
        <f>IF(preçodiario[[#This Row],[entrada A]]=0,G338-(SUMIFS(estoque[quantidade],estoque[fornecedor],"saída",estoque[produto],preçodiario[[#Headers],[OVO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Row],[data]]))+G338+preçodiario[[#This Row],[entrada A]])</f>
        <v>133</v>
      </c>
      <c r="H339" s="22">
        <f>SUMIFS(estoque[quantidade],estoque[fornecedor],"&lt;&gt;saída",estoque[produto],preçodiario[[#Headers],[OVO BRANCO A]],estoque[data],preçodiario[[#This Row],[data]])</f>
        <v>0</v>
      </c>
      <c r="I339" s="20">
        <f>SUMIFS(estoque[valor total],estoque[fornecedor],"&lt;&gt;saída",estoque[produto],preçodiario[[#Headers],[OVO BRANCO A]],estoque[data],preçodiario[[#This Row],[data]])</f>
        <v>0</v>
      </c>
      <c r="J339" s="20">
        <f>IFERROR(preçodiario[[#This Row],[estoque A]]*preçodiario[[#This Row],[OVO BRANCO A]],0)</f>
        <v>2031.9982993197277</v>
      </c>
      <c r="K33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Row],[data]])),((K338*L338)+SUMIFS(estoque[valor total],estoque[produto],preçodiario[[#Headers],[OVO BRANCO B]],estoque[data],preçodiario[[#This Row],[data]],estoque[fornecedor],"&lt;&gt;saída"))/(L338+(SUMIFS(estoque[quantidade],estoque[produto],preçodiario[[#Headers],[OVO BRANCO B]],estoque[fornecedor],"&lt;&gt;saída",estoque[data],preçodiario[[#This Row],[data]])))))</f>
        <v>14.584252837326604</v>
      </c>
      <c r="L339" s="22">
        <f>IF(preçodiario[[#This Row],[entrada B]]=0,L338-(SUMIFS(estoque[quantidade],estoque[fornecedor],"saída",estoque[produto],preçodiario[[#Headers],[OVO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Row],[data]]))+L338+preçodiario[[#This Row],[entrada B]])</f>
        <v>16</v>
      </c>
      <c r="M339" s="22">
        <f>SUMIFS(estoque[quantidade],estoque[fornecedor],"&lt;&gt;saída",estoque[produto],preçodiario[[#Headers],[OVO BRANCO B]],estoque[data],preçodiario[[#This Row],[data]])</f>
        <v>0</v>
      </c>
      <c r="N339" s="20">
        <f>SUMIFS(estoque[valor total],estoque[fornecedor],"&lt;&gt;saída",estoque[produto],preçodiario[[#Headers],[OVO BRANCO B]],estoque[data],preçodiario[[#This Row],[data]])</f>
        <v>0</v>
      </c>
      <c r="O339" s="20">
        <f>IFERROR(preçodiario[[#This Row],[OVO BRANCO B]]*preçodiario[[#This Row],[estoque B]],0)</f>
        <v>233.34804539722566</v>
      </c>
      <c r="P33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Row],[data]])),((P338*Q338)+SUMIFS(estoque[valor total],estoque[produto],preçodiario[[#Headers],[OVO BRANCO C]],estoque[data],preçodiario[[#This Row],[data]],estoque[fornecedor],"&lt;&gt;saída"))/(Q338+(SUMIFS(estoque[quantidade],estoque[produto],preçodiario[[#Headers],[OVO BRANCO C]],estoque[fornecedor],"&lt;&gt;saída",estoque[data],preçodiario[[#This Row],[data]])))))</f>
        <v>12.5</v>
      </c>
      <c r="Q339" s="22">
        <f>IF(preçodiario[[#This Row],[entrada C]]=0,Q338-(SUMIFS(estoque[quantidade],estoque[fornecedor],"saída",estoque[produto],preçodiario[[#Headers],[OVO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Row],[data]]))+Q338+preçodiario[[#This Row],[entrada C]])</f>
        <v>60</v>
      </c>
      <c r="R339" s="22">
        <f>SUMIFS(estoque[quantidade],estoque[fornecedor],"&lt;&gt;saída",estoque[produto],preçodiario[[#Headers],[OVO BRANCO C]],estoque[data],preçodiario[[#This Row],[data]])</f>
        <v>0</v>
      </c>
      <c r="S339" s="20">
        <f>SUMIFS(estoque[valor total],estoque[fornecedor],"&lt;&gt;saída",estoque[produto],preçodiario[[#Headers],[OVO BRANCO C]],estoque[data],preçodiario[[#This Row],[data]])</f>
        <v>0</v>
      </c>
      <c r="T339" s="20">
        <f>IFERROR(preçodiario[[#This Row],[OVO BRANCO C]]*preçodiario[[#This Row],[estoque C]],0)</f>
        <v>750</v>
      </c>
      <c r="U33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Row],[data]])),((U338*V338)+SUMIFS(estoque[valor total],estoque[produto],preçodiario[[#Headers],[OVO BRANCO EXTRA]],estoque[data],preçodiario[[#This Row],[data]],estoque[fornecedor],"&lt;&gt;saída"))/(V338+(SUMIFS(estoque[quantidade],estoque[produto],preçodiario[[#Headers],[OVO BRANCO EXTRA]],estoque[fornecedor],"&lt;&gt;saída",estoque[data],preçodiario[[#This Row],[data]])))))</f>
        <v>15.725438400674655</v>
      </c>
      <c r="V339" s="22">
        <f>IF(preçodiario[[#This Row],[entrada E]]=0,V338-(SUMIFS(estoque[quantidade],estoque[fornecedor],"saída",estoque[produto],preçodiario[[#Headers],[OVO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Row],[data]]))+V338+preçodiario[[#This Row],[entrada E]])</f>
        <v>46</v>
      </c>
      <c r="W339" s="22">
        <f>SUMIFS(estoque[quantidade],estoque[fornecedor],"&lt;&gt;saída",estoque[produto],preçodiario[[#Headers],[OVO BRANCO EXTRA]],estoque[data],preçodiario[[#This Row],[data]])</f>
        <v>0</v>
      </c>
      <c r="X339" s="20">
        <f>SUMIFS(estoque[valor total],estoque[fornecedor],"&lt;&gt;saída",estoque[produto],preçodiario[[#Headers],[OVO BRANCO EXTRA]],estoque[data],preçodiario[[#This Row],[data]])</f>
        <v>0</v>
      </c>
      <c r="Y339" s="20">
        <f>IFERROR(preçodiario[[#This Row],[estoque E]]*preçodiario[[#This Row],[OVO BRANCO EXTRA]],0)</f>
        <v>723.37016643103414</v>
      </c>
      <c r="Z33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Row],[data]])),((Z338*AA338)+SUMIFS(estoque[valor total],estoque[produto],preçodiario[[#Headers],[OVO BRANCO JUMBO]],estoque[data],preçodiario[[#This Row],[data]],estoque[fornecedor],"&lt;&gt;saída"))/(AA338+(SUMIFS(estoque[quantidade],estoque[produto],preçodiario[[#Headers],[OVO BRANCO JUMBO]],estoque[fornecedor],"&lt;&gt;saída",estoque[data],preçodiario[[#This Row],[data]])))))</f>
        <v>16.50550595238095</v>
      </c>
      <c r="AA339" s="22">
        <f>IF(preçodiario[[#This Row],[entrada J]]=0,AA338-(SUMIFS(estoque[quantidade],estoque[fornecedor],"saída",estoque[produto],preçodiario[[#Headers],[OVO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Row],[data]]))+AA338+preçodiario[[#This Row],[entrada J]])</f>
        <v>75</v>
      </c>
      <c r="AB339" s="22">
        <f>SUMIFS(estoque[quantidade],estoque[fornecedor],"&lt;&gt;saída",estoque[produto],preçodiario[[#Headers],[OVO BRANCO JUMBO]],estoque[data],preçodiario[[#This Row],[data]])</f>
        <v>0</v>
      </c>
      <c r="AC339" s="20">
        <f>SUMIFS(estoque[valor total],estoque[fornecedor],"&lt;&gt;saída",estoque[produto],preçodiario[[#Headers],[OVO BRANCO JUMBO]],estoque[data],preçodiario[[#This Row],[data]])</f>
        <v>0</v>
      </c>
      <c r="AD339" s="20">
        <f>IFERROR(preçodiario[[#This Row],[OVO BRANCO JUMBO]]*preçodiario[[#This Row],[estoque J]],0)</f>
        <v>1237.9129464285713</v>
      </c>
      <c r="AE33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Row],[data]])),((AE338*AF338)+SUMIFS(estoque[valor total],estoque[produto],preçodiario[[#Headers],[OVO VERMELHO A]],estoque[data],preçodiario[[#This Row],[data]],estoque[fornecedor],"&lt;&gt;saída"))/(AF338+(SUMIFS(estoque[quantidade],estoque[produto],preçodiario[[#Headers],[OVO VERMELHO A]],estoque[fornecedor],"&lt;&gt;saída",estoque[data],preçodiario[[#This Row],[data]])))))</f>
        <v/>
      </c>
      <c r="AF339" s="22">
        <f>IF(preçodiario[[#This Row],[entrada AV]]=0,AF338-(SUMIFS(estoque[quantidade],estoque[fornecedor],"saída",estoque[produto],preçodiario[[#Headers],[OVO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Row],[data]]))+AF338+preçodiario[[#This Row],[entrada AV]])</f>
        <v>0</v>
      </c>
      <c r="AG339" s="22">
        <f>SUMIFS(estoque[quantidade],estoque[fornecedor],"&lt;&gt;saída",estoque[produto],preçodiario[[#Headers],[OVO VERMELHO A]],estoque[data],preçodiario[[#This Row],[data]])</f>
        <v>0</v>
      </c>
      <c r="AH339" s="20">
        <f>SUMIFS(estoque[valor total],estoque[fornecedor],"&lt;&gt;saída",estoque[produto],preçodiario[[#Headers],[OVO VERMELHO A]],estoque[data],preçodiario[[#This Row],[data]])</f>
        <v>0</v>
      </c>
      <c r="AI339" s="20">
        <f>IFERROR(preçodiario[[#This Row],[OVO VERMELHO A]]*preçodiario[[#This Row],[estoque AV]],0)</f>
        <v>0</v>
      </c>
      <c r="AJ33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Row],[data]])),((AJ338*AK338)+SUMIFS(estoque[valor total],estoque[produto],preçodiario[[#Headers],[OVO VERMELHO B]],estoque[data],preçodiario[[#This Row],[data]],estoque[fornecedor],"&lt;&gt;saída"))/(AK338+(SUMIFS(estoque[quantidade],estoque[produto],preçodiario[[#Headers],[OVO VERMELHO B]],estoque[fornecedor],"&lt;&gt;saída",estoque[data],preçodiario[[#This Row],[data]])))))</f>
        <v/>
      </c>
      <c r="AK339" s="22">
        <f>IF(preçodiario[[#This Row],[entrada BV]]=0,AK338-(SUMIFS(estoque[quantidade],estoque[fornecedor],"saída",estoque[produto],preçodiario[[#Headers],[OVO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Row],[data]]))+AK338+preçodiario[[#This Row],[entrada BV]])</f>
        <v>0</v>
      </c>
      <c r="AL339" s="22">
        <f>SUMIFS(estoque[quantidade],estoque[fornecedor],"&lt;&gt;saída",estoque[produto],preçodiario[[#Headers],[OVO VERMELHO B]],estoque[data],preçodiario[[#This Row],[data]])</f>
        <v>0</v>
      </c>
      <c r="AM339" s="20">
        <f>SUMIFS(estoque[valor total],estoque[fornecedor],"&lt;&gt;saída",estoque[produto],preçodiario[[#Headers],[OVO VERMELHO B]],estoque[data],preçodiario[[#This Row],[data]])</f>
        <v>0</v>
      </c>
      <c r="AN339" s="20">
        <f>IFERROR(preçodiario[[#This Row],[OVO VERMELHO B]]*preçodiario[[#This Row],[estoque BV]],0)</f>
        <v>0</v>
      </c>
      <c r="AO33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Row],[data]])),((AO338*AP338)+SUMIFS(estoque[valor total],estoque[produto],preçodiario[[#Headers],[OVO VERMELHO C]],estoque[data],preçodiario[[#This Row],[data]],estoque[fornecedor],"&lt;&gt;saída"))/(AP338+(SUMIFS(estoque[quantidade],estoque[produto],preçodiario[[#Headers],[OVO VERMELHO C]],estoque[fornecedor],"&lt;&gt;saída",estoque[data],preçodiario[[#This Row],[data]])))))</f>
        <v/>
      </c>
      <c r="AP339" s="22">
        <f>IF(preçodiario[[#This Row],[entrada CV]]=0,AP338-(SUMIFS(estoque[quantidade],estoque[fornecedor],"saída",estoque[produto],preçodiario[[#Headers],[OVO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Row],[data]]))+AP338+preçodiario[[#This Row],[entrada CV]])</f>
        <v>0</v>
      </c>
      <c r="AQ339" s="22">
        <f>SUMIFS(estoque[quantidade],estoque[fornecedor],"&lt;&gt;saída",estoque[produto],preçodiario[[#Headers],[OVO VERMELHO C]],estoque[data],preçodiario[[#This Row],[data]])</f>
        <v>0</v>
      </c>
      <c r="AR339" s="20">
        <f>SUMIFS(estoque[valor total],estoque[fornecedor],"&lt;&gt;saída",estoque[produto],preçodiario[[#Headers],[OVO VERMELHO C]],estoque[data],preçodiario[[#This Row],[data]])</f>
        <v>0</v>
      </c>
      <c r="AS339" s="20">
        <f>IFERROR(preçodiario[[#This Row],[OVO VERMELHO C]]*preçodiario[[#This Row],[estoque CV]],0)</f>
        <v>0</v>
      </c>
      <c r="AT33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Row],[data]])),((AT338*AU338)+SUMIFS(estoque[valor total],estoque[produto],preçodiario[[#Headers],[OVO VERMELHO EXTRA]],estoque[data],preçodiario[[#This Row],[data]],estoque[fornecedor],"&lt;&gt;saída"))/(AU338+(SUMIFS(estoque[quantidade],estoque[produto],preçodiario[[#Headers],[OVO VERMELHO EXTRA]],estoque[fornecedor],"&lt;&gt;saída",estoque[data],preçodiario[[#This Row],[data]])))))</f>
        <v/>
      </c>
      <c r="AU339" s="22">
        <f>IF(preçodiario[[#This Row],[entrada EV]]=0,AU338-(SUMIFS(estoque[quantidade],estoque[fornecedor],"saída",estoque[produto],preçodiario[[#Headers],[OVO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Row],[data]]))+AU338+preçodiario[[#This Row],[entrada EV]])</f>
        <v>0</v>
      </c>
      <c r="AV339" s="22">
        <f>SUMIFS(estoque[quantidade],estoque[fornecedor],"&lt;&gt;saída",estoque[produto],preçodiario[[#Headers],[OVO VERMELHO EXTRA]],estoque[data],preçodiario[[#This Row],[data]])</f>
        <v>0</v>
      </c>
      <c r="AW339" s="20">
        <f>SUMIFS(estoque[valor total],estoque[fornecedor],"&lt;&gt;saída",estoque[produto],preçodiario[[#Headers],[OVO VERMELHO EXTRA]],estoque[data],preçodiario[[#This Row],[data]])</f>
        <v>0</v>
      </c>
      <c r="AX339" s="20">
        <f>IFERROR(preçodiario[[#This Row],[OVO VERMELHO EXTRA]]*preçodiario[[#This Row],[estoque EV]],0)</f>
        <v>0</v>
      </c>
      <c r="AY33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Row],[data]])),((AY338*AZ338)+SUMIFS(estoque[valor total],estoque[produto],preçodiario[[#Headers],[OVO VERMELHO JUMBO]],estoque[data],preçodiario[[#This Row],[data]],estoque[fornecedor],"&lt;&gt;saída"))/(AZ338+(SUMIFS(estoque[quantidade],estoque[produto],preçodiario[[#Headers],[OVO VERMELHO JUMBO]],estoque[fornecedor],"&lt;&gt;saída",estoque[data],preçodiario[[#This Row],[data]])))))</f>
        <v/>
      </c>
      <c r="AZ339" s="22">
        <f>IF(preçodiario[[#This Row],[entrada JV]]=0,AZ338-(SUMIFS(estoque[quantidade],estoque[fornecedor],"saída",estoque[produto],preçodiario[[#Headers],[OVO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Row],[data]]))+AZ338+preçodiario[[#This Row],[entrada JV]])</f>
        <v>0</v>
      </c>
      <c r="BA339" s="22">
        <f>SUMIFS(estoque[quantidade],estoque[fornecedor],"&lt;&gt;saída",estoque[produto],preçodiario[[#Headers],[OVO VERMELHO JUMBO]],estoque[data],preçodiario[[#This Row],[data]])</f>
        <v>0</v>
      </c>
      <c r="BB339" s="20">
        <f>SUMIFS(estoque[valor total],estoque[fornecedor],"&lt;&gt;saída",estoque[produto],preçodiario[[#Headers],[OVO VERMELHO JUMBO]],estoque[data],preçodiario[[#This Row],[data]])</f>
        <v>0</v>
      </c>
      <c r="BC339" s="20">
        <f>IFERROR(preçodiario[[#This Row],[OVO VERMELHO JUMBO]]*preçodiario[[#This Row],[estoque JV]],0)</f>
        <v>0</v>
      </c>
      <c r="BD339" t="str">
        <f>TEXT(vendaAno[[#This Row],[data]],"mmm")</f>
        <v>dez</v>
      </c>
      <c r="BE339" t="str">
        <f>TEXT(vendaAno[[#This Row],[data]],"ddd")</f>
        <v>sex</v>
      </c>
      <c r="BF339" s="82">
        <f>WEEKNUM(vendaAno[[#This Row],[data]],13)</f>
        <v>49</v>
      </c>
      <c r="BG339" s="27">
        <f>preçodiario[[#This Row],[data]]</f>
        <v>46360</v>
      </c>
      <c r="BH33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3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3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Row],[data]]))/12+BJ338,"")</f>
        <v/>
      </c>
      <c r="BK339" s="79" t="str">
        <f ca="1">IF(TODAY()&gt;=vendaAno[[#This Row],[data]],IF(SUMIFS(estoque[quantidade],estoque[fornecedor],"saída",estoque[data],vendaAno[[#This Row],[data]])/12=0,AVERAGE(BK336:BK338),SUMIFS(estoque[quantidade],estoque[fornecedor],"saída",estoque[data],vendaAno[[#This Row],[data]])/12),"")</f>
        <v/>
      </c>
      <c r="BL339" s="8" t="str">
        <f ca="1">IF(vendaAno[[#This Row],[data]]&lt;=TODAY(),IF(SUMIFS(estoque[lucro],estoque[fornecedor],"saída",estoque[data],vendaAno[[#This Row],[data]])=0,AVERAGE(BL336:BL338),SUMIFS(estoque[lucro],estoque[fornecedor],"saída",estoque[data],vendaAno[[#This Row],[data]])),"")</f>
        <v/>
      </c>
      <c r="BM339" s="10" t="str">
        <f ca="1">IFERROR(vendaAno[[#This Row],[lucro]]/vendaAno[[#This Row],[valor de venda]],"")</f>
        <v/>
      </c>
      <c r="BN33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39" s="8" t="str">
        <f ca="1">IF(TODAY()&gt;=vendaAno[[#This Row],[data]],IF(vendaAno[[#This Row],[N°]]=BF338,vendaAno[[#This Row],[lucro]]-173.33+BO338,vendaAno[[#This Row],[lucro]]-150),"")</f>
        <v/>
      </c>
      <c r="BP339" s="81" t="str">
        <f ca="1">IF(TODAY()&gt;=vendaAno[[#This Row],[data]],SUM(BK333:BK339)*12,"")</f>
        <v/>
      </c>
      <c r="BQ339" s="7" t="str">
        <f ca="1">IFERROR(vendaAno[[#This Row],[lucro]]/(vendaAno[[#This Row],[venda]]*12),"")</f>
        <v/>
      </c>
    </row>
    <row r="340" spans="1:69" x14ac:dyDescent="0.25">
      <c r="A34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Row],[data]]-1))*A339+SUMIFS(estoque[valor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0" s="18" t="str">
        <f>TEXT(preçodiario[[#This Row],[data]],"MMM")</f>
        <v>dez</v>
      </c>
      <c r="C340" s="18" t="str">
        <f>TEXT(preçodiario[[#This Row],[data]],"ddd")</f>
        <v>sáb</v>
      </c>
      <c r="D340" s="96">
        <f>WEEKNUM(preçodiario[[#This Row],[data]],13)</f>
        <v>49</v>
      </c>
      <c r="E340" s="37">
        <v>46361</v>
      </c>
      <c r="F34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Row],[data]]))),IF(G339=0,SUMIFS(estoque[valor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Row],[data]])),((F339*G339)+SUMIFS(estoque[valor total],estoque[produto],preçodiario[[#Headers],[OVO BRANCO A]],estoque[data],preçodiario[[#This Row],[data]],estoque[fornecedor],"&lt;&gt;saída"))/(G339+(SUMIFS(estoque[quantidade],estoque[produto],preçodiario[[#Headers],[OVO BRANCO A]],estoque[fornecedor],"&lt;&gt;saída",estoque[data],preçodiario[[#This Row],[data]])))))</f>
        <v>15.278182701652089</v>
      </c>
      <c r="G340" s="22">
        <f>IF(preçodiario[[#This Row],[entrada A]]=0,G339-(SUMIFS(estoque[quantidade],estoque[fornecedor],"saída",estoque[produto],preçodiario[[#Headers],[OVO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Row],[data]]))+G339+preçodiario[[#This Row],[entrada A]])</f>
        <v>133</v>
      </c>
      <c r="H340" s="22">
        <f>SUMIFS(estoque[quantidade],estoque[fornecedor],"&lt;&gt;saída",estoque[produto],preçodiario[[#Headers],[OVO BRANCO A]],estoque[data],preçodiario[[#This Row],[data]])</f>
        <v>0</v>
      </c>
      <c r="I340" s="20">
        <f>SUMIFS(estoque[valor total],estoque[fornecedor],"&lt;&gt;saída",estoque[produto],preçodiario[[#Headers],[OVO BRANCO A]],estoque[data],preçodiario[[#This Row],[data]])</f>
        <v>0</v>
      </c>
      <c r="J340" s="20">
        <f>IFERROR(preçodiario[[#This Row],[estoque A]]*preçodiario[[#This Row],[OVO BRANCO A]],0)</f>
        <v>2031.9982993197277</v>
      </c>
      <c r="K34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Row],[data]]))),IF(L339=0,SUMIFS(estoque[valor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Row],[data]])),((K339*L339)+SUMIFS(estoque[valor total],estoque[produto],preçodiario[[#Headers],[OVO BRANCO B]],estoque[data],preçodiario[[#This Row],[data]],estoque[fornecedor],"&lt;&gt;saída"))/(L339+(SUMIFS(estoque[quantidade],estoque[produto],preçodiario[[#Headers],[OVO BRANCO B]],estoque[fornecedor],"&lt;&gt;saída",estoque[data],preçodiario[[#This Row],[data]])))))</f>
        <v>14.584252837326604</v>
      </c>
      <c r="L340" s="22">
        <f>IF(preçodiario[[#This Row],[entrada B]]=0,L339-(SUMIFS(estoque[quantidade],estoque[fornecedor],"saída",estoque[produto],preçodiario[[#Headers],[OVO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Row],[data]]))+L339+preçodiario[[#This Row],[entrada B]])</f>
        <v>16</v>
      </c>
      <c r="M340" s="22">
        <f>SUMIFS(estoque[quantidade],estoque[fornecedor],"&lt;&gt;saída",estoque[produto],preçodiario[[#Headers],[OVO BRANCO B]],estoque[data],preçodiario[[#This Row],[data]])</f>
        <v>0</v>
      </c>
      <c r="N340" s="20">
        <f>SUMIFS(estoque[valor total],estoque[fornecedor],"&lt;&gt;saída",estoque[produto],preçodiario[[#Headers],[OVO BRANCO B]],estoque[data],preçodiario[[#This Row],[data]])</f>
        <v>0</v>
      </c>
      <c r="O340" s="20">
        <f>IFERROR(preçodiario[[#This Row],[OVO BRANCO B]]*preçodiario[[#This Row],[estoque B]],0)</f>
        <v>233.34804539722566</v>
      </c>
      <c r="P34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Row],[data]]))),IF(Q339=0,SUMIFS(estoque[valor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Row],[data]])),((P339*Q339)+SUMIFS(estoque[valor total],estoque[produto],preçodiario[[#Headers],[OVO BRANCO C]],estoque[data],preçodiario[[#This Row],[data]],estoque[fornecedor],"&lt;&gt;saída"))/(Q339+(SUMIFS(estoque[quantidade],estoque[produto],preçodiario[[#Headers],[OVO BRANCO C]],estoque[fornecedor],"&lt;&gt;saída",estoque[data],preçodiario[[#This Row],[data]])))))</f>
        <v>12.5</v>
      </c>
      <c r="Q340" s="22">
        <f>IF(preçodiario[[#This Row],[entrada C]]=0,Q339-(SUMIFS(estoque[quantidade],estoque[fornecedor],"saída",estoque[produto],preçodiario[[#Headers],[OVO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Row],[data]]))+Q339+preçodiario[[#This Row],[entrada C]])</f>
        <v>60</v>
      </c>
      <c r="R340" s="22">
        <f>SUMIFS(estoque[quantidade],estoque[fornecedor],"&lt;&gt;saída",estoque[produto],preçodiario[[#Headers],[OVO BRANCO C]],estoque[data],preçodiario[[#This Row],[data]])</f>
        <v>0</v>
      </c>
      <c r="S340" s="20">
        <f>SUMIFS(estoque[valor total],estoque[fornecedor],"&lt;&gt;saída",estoque[produto],preçodiario[[#Headers],[OVO BRANCO C]],estoque[data],preçodiario[[#This Row],[data]])</f>
        <v>0</v>
      </c>
      <c r="T340" s="20">
        <f>IFERROR(preçodiario[[#This Row],[OVO BRANCO C]]*preçodiario[[#This Row],[estoque C]],0)</f>
        <v>750</v>
      </c>
      <c r="U34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Row],[data]]))),IF(V339=0,SUMIFS(estoque[valor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Row],[data]])),((U339*V339)+SUMIFS(estoque[valor total],estoque[produto],preçodiario[[#Headers],[OVO BRANCO EXTRA]],estoque[data],preçodiario[[#This Row],[data]],estoque[fornecedor],"&lt;&gt;saída"))/(V339+(SUMIFS(estoque[quantidade],estoque[produto],preçodiario[[#Headers],[OVO BRANCO EXTRA]],estoque[fornecedor],"&lt;&gt;saída",estoque[data],preçodiario[[#This Row],[data]])))))</f>
        <v>15.725438400674655</v>
      </c>
      <c r="V340" s="22">
        <f>IF(preçodiario[[#This Row],[entrada E]]=0,V339-(SUMIFS(estoque[quantidade],estoque[fornecedor],"saída",estoque[produto],preçodiario[[#Headers],[OVO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Row],[data]]))+V339+preçodiario[[#This Row],[entrada E]])</f>
        <v>46</v>
      </c>
      <c r="W340" s="22">
        <f>SUMIFS(estoque[quantidade],estoque[fornecedor],"&lt;&gt;saída",estoque[produto],preçodiario[[#Headers],[OVO BRANCO EXTRA]],estoque[data],preçodiario[[#This Row],[data]])</f>
        <v>0</v>
      </c>
      <c r="X340" s="20">
        <f>SUMIFS(estoque[valor total],estoque[fornecedor],"&lt;&gt;saída",estoque[produto],preçodiario[[#Headers],[OVO BRANCO EXTRA]],estoque[data],preçodiario[[#This Row],[data]])</f>
        <v>0</v>
      </c>
      <c r="Y340" s="20">
        <f>IFERROR(preçodiario[[#This Row],[estoque E]]*preçodiario[[#This Row],[OVO BRANCO EXTRA]],0)</f>
        <v>723.37016643103414</v>
      </c>
      <c r="Z34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Row],[data]]))),IF(AA339=0,SUMIFS(estoque[valor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Row],[data]])),((Z339*AA339)+SUMIFS(estoque[valor total],estoque[produto],preçodiario[[#Headers],[OVO BRANCO JUMBO]],estoque[data],preçodiario[[#This Row],[data]],estoque[fornecedor],"&lt;&gt;saída"))/(AA339+(SUMIFS(estoque[quantidade],estoque[produto],preçodiario[[#Headers],[OVO BRANCO JUMBO]],estoque[fornecedor],"&lt;&gt;saída",estoque[data],preçodiario[[#This Row],[data]])))))</f>
        <v>16.50550595238095</v>
      </c>
      <c r="AA340" s="22">
        <f>IF(preçodiario[[#This Row],[entrada J]]=0,AA339-(SUMIFS(estoque[quantidade],estoque[fornecedor],"saída",estoque[produto],preçodiario[[#Headers],[OVO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Row],[data]]))+AA339+preçodiario[[#This Row],[entrada J]])</f>
        <v>75</v>
      </c>
      <c r="AB340" s="22">
        <f>SUMIFS(estoque[quantidade],estoque[fornecedor],"&lt;&gt;saída",estoque[produto],preçodiario[[#Headers],[OVO BRANCO JUMBO]],estoque[data],preçodiario[[#This Row],[data]])</f>
        <v>0</v>
      </c>
      <c r="AC340" s="20">
        <f>SUMIFS(estoque[valor total],estoque[fornecedor],"&lt;&gt;saída",estoque[produto],preçodiario[[#Headers],[OVO BRANCO JUMBO]],estoque[data],preçodiario[[#This Row],[data]])</f>
        <v>0</v>
      </c>
      <c r="AD340" s="20">
        <f>IFERROR(preçodiario[[#This Row],[OVO BRANCO JUMBO]]*preçodiario[[#This Row],[estoque J]],0)</f>
        <v>1237.9129464285713</v>
      </c>
      <c r="AE34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Row],[data]]))),IF(AF339=0,SUMIFS(estoque[valor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Row],[data]])),((AE339*AF339)+SUMIFS(estoque[valor total],estoque[produto],preçodiario[[#Headers],[OVO VERMELHO A]],estoque[data],preçodiario[[#This Row],[data]],estoque[fornecedor],"&lt;&gt;saída"))/(AF339+(SUMIFS(estoque[quantidade],estoque[produto],preçodiario[[#Headers],[OVO VERMELHO A]],estoque[fornecedor],"&lt;&gt;saída",estoque[data],preçodiario[[#This Row],[data]])))))</f>
        <v/>
      </c>
      <c r="AF340" s="22">
        <f>IF(preçodiario[[#This Row],[entrada AV]]=0,AF339-(SUMIFS(estoque[quantidade],estoque[fornecedor],"saída",estoque[produto],preçodiario[[#Headers],[OVO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Row],[data]]))+AF339+preçodiario[[#This Row],[entrada AV]])</f>
        <v>0</v>
      </c>
      <c r="AG340" s="22">
        <f>SUMIFS(estoque[quantidade],estoque[fornecedor],"&lt;&gt;saída",estoque[produto],preçodiario[[#Headers],[OVO VERMELHO A]],estoque[data],preçodiario[[#This Row],[data]])</f>
        <v>0</v>
      </c>
      <c r="AH340" s="20">
        <f>SUMIFS(estoque[valor total],estoque[fornecedor],"&lt;&gt;saída",estoque[produto],preçodiario[[#Headers],[OVO VERMELHO A]],estoque[data],preçodiario[[#This Row],[data]])</f>
        <v>0</v>
      </c>
      <c r="AI340" s="20">
        <f>IFERROR(preçodiario[[#This Row],[OVO VERMELHO A]]*preçodiario[[#This Row],[estoque AV]],0)</f>
        <v>0</v>
      </c>
      <c r="AJ34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Row],[data]]))),IF(AK339=0,SUMIFS(estoque[valor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Row],[data]])),((AJ339*AK339)+SUMIFS(estoque[valor total],estoque[produto],preçodiario[[#Headers],[OVO VERMELHO B]],estoque[data],preçodiario[[#This Row],[data]],estoque[fornecedor],"&lt;&gt;saída"))/(AK339+(SUMIFS(estoque[quantidade],estoque[produto],preçodiario[[#Headers],[OVO VERMELHO B]],estoque[fornecedor],"&lt;&gt;saída",estoque[data],preçodiario[[#This Row],[data]])))))</f>
        <v/>
      </c>
      <c r="AK340" s="22">
        <f>IF(preçodiario[[#This Row],[entrada BV]]=0,AK339-(SUMIFS(estoque[quantidade],estoque[fornecedor],"saída",estoque[produto],preçodiario[[#Headers],[OVO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Row],[data]]))+AK339+preçodiario[[#This Row],[entrada BV]])</f>
        <v>0</v>
      </c>
      <c r="AL340" s="22">
        <f>SUMIFS(estoque[quantidade],estoque[fornecedor],"&lt;&gt;saída",estoque[produto],preçodiario[[#Headers],[OVO VERMELHO B]],estoque[data],preçodiario[[#This Row],[data]])</f>
        <v>0</v>
      </c>
      <c r="AM340" s="20">
        <f>SUMIFS(estoque[valor total],estoque[fornecedor],"&lt;&gt;saída",estoque[produto],preçodiario[[#Headers],[OVO VERMELHO B]],estoque[data],preçodiario[[#This Row],[data]])</f>
        <v>0</v>
      </c>
      <c r="AN340" s="20">
        <f>IFERROR(preçodiario[[#This Row],[OVO VERMELHO B]]*preçodiario[[#This Row],[estoque BV]],0)</f>
        <v>0</v>
      </c>
      <c r="AO34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Row],[data]]))),IF(AP339=0,SUMIFS(estoque[valor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Row],[data]])),((AO339*AP339)+SUMIFS(estoque[valor total],estoque[produto],preçodiario[[#Headers],[OVO VERMELHO C]],estoque[data],preçodiario[[#This Row],[data]],estoque[fornecedor],"&lt;&gt;saída"))/(AP339+(SUMIFS(estoque[quantidade],estoque[produto],preçodiario[[#Headers],[OVO VERMELHO C]],estoque[fornecedor],"&lt;&gt;saída",estoque[data],preçodiario[[#This Row],[data]])))))</f>
        <v/>
      </c>
      <c r="AP340" s="22">
        <f>IF(preçodiario[[#This Row],[entrada CV]]=0,AP339-(SUMIFS(estoque[quantidade],estoque[fornecedor],"saída",estoque[produto],preçodiario[[#Headers],[OVO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Row],[data]]))+AP339+preçodiario[[#This Row],[entrada CV]])</f>
        <v>0</v>
      </c>
      <c r="AQ340" s="22">
        <f>SUMIFS(estoque[quantidade],estoque[fornecedor],"&lt;&gt;saída",estoque[produto],preçodiario[[#Headers],[OVO VERMELHO C]],estoque[data],preçodiario[[#This Row],[data]])</f>
        <v>0</v>
      </c>
      <c r="AR340" s="20">
        <f>SUMIFS(estoque[valor total],estoque[fornecedor],"&lt;&gt;saída",estoque[produto],preçodiario[[#Headers],[OVO VERMELHO C]],estoque[data],preçodiario[[#This Row],[data]])</f>
        <v>0</v>
      </c>
      <c r="AS340" s="20">
        <f>IFERROR(preçodiario[[#This Row],[OVO VERMELHO C]]*preçodiario[[#This Row],[estoque CV]],0)</f>
        <v>0</v>
      </c>
      <c r="AT34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Row],[data]]))),IF(AU339=0,SUMIFS(estoque[valor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Row],[data]])),((AT339*AU339)+SUMIFS(estoque[valor total],estoque[produto],preçodiario[[#Headers],[OVO VERMELHO EXTRA]],estoque[data],preçodiario[[#This Row],[data]],estoque[fornecedor],"&lt;&gt;saída"))/(AU339+(SUMIFS(estoque[quantidade],estoque[produto],preçodiario[[#Headers],[OVO VERMELHO EXTRA]],estoque[fornecedor],"&lt;&gt;saída",estoque[data],preçodiario[[#This Row],[data]])))))</f>
        <v/>
      </c>
      <c r="AU340" s="22">
        <f>IF(preçodiario[[#This Row],[entrada EV]]=0,AU339-(SUMIFS(estoque[quantidade],estoque[fornecedor],"saída",estoque[produto],preçodiario[[#Headers],[OVO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Row],[data]]))+AU339+preçodiario[[#This Row],[entrada EV]])</f>
        <v>0</v>
      </c>
      <c r="AV340" s="22">
        <f>SUMIFS(estoque[quantidade],estoque[fornecedor],"&lt;&gt;saída",estoque[produto],preçodiario[[#Headers],[OVO VERMELHO EXTRA]],estoque[data],preçodiario[[#This Row],[data]])</f>
        <v>0</v>
      </c>
      <c r="AW340" s="20">
        <f>SUMIFS(estoque[valor total],estoque[fornecedor],"&lt;&gt;saída",estoque[produto],preçodiario[[#Headers],[OVO VERMELHO EXTRA]],estoque[data],preçodiario[[#This Row],[data]])</f>
        <v>0</v>
      </c>
      <c r="AX340" s="20">
        <f>IFERROR(preçodiario[[#This Row],[OVO VERMELHO EXTRA]]*preçodiario[[#This Row],[estoque EV]],0)</f>
        <v>0</v>
      </c>
      <c r="AY34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Row],[data]]))),IF(AZ339=0,SUMIFS(estoque[valor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Row],[data]])),((AY339*AZ339)+SUMIFS(estoque[valor total],estoque[produto],preçodiario[[#Headers],[OVO VERMELHO JUMBO]],estoque[data],preçodiario[[#This Row],[data]],estoque[fornecedor],"&lt;&gt;saída"))/(AZ339+(SUMIFS(estoque[quantidade],estoque[produto],preçodiario[[#Headers],[OVO VERMELHO JUMBO]],estoque[fornecedor],"&lt;&gt;saída",estoque[data],preçodiario[[#This Row],[data]])))))</f>
        <v/>
      </c>
      <c r="AZ340" s="22">
        <f>IF(preçodiario[[#This Row],[entrada JV]]=0,AZ339-(SUMIFS(estoque[quantidade],estoque[fornecedor],"saída",estoque[produto],preçodiario[[#Headers],[OVO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Row],[data]]))+AZ339+preçodiario[[#This Row],[entrada JV]])</f>
        <v>0</v>
      </c>
      <c r="BA340" s="22">
        <f>SUMIFS(estoque[quantidade],estoque[fornecedor],"&lt;&gt;saída",estoque[produto],preçodiario[[#Headers],[OVO VERMELHO JUMBO]],estoque[data],preçodiario[[#This Row],[data]])</f>
        <v>0</v>
      </c>
      <c r="BB340" s="20">
        <f>SUMIFS(estoque[valor total],estoque[fornecedor],"&lt;&gt;saída",estoque[produto],preçodiario[[#Headers],[OVO VERMELHO JUMBO]],estoque[data],preçodiario[[#This Row],[data]])</f>
        <v>0</v>
      </c>
      <c r="BC340" s="20">
        <f>IFERROR(preçodiario[[#This Row],[OVO VERMELHO JUMBO]]*preçodiario[[#This Row],[estoque JV]],0)</f>
        <v>0</v>
      </c>
      <c r="BD340" t="str">
        <f>TEXT(vendaAno[[#This Row],[data]],"mmm")</f>
        <v>dez</v>
      </c>
      <c r="BE340" t="str">
        <f>TEXT(vendaAno[[#This Row],[data]],"ddd")</f>
        <v>sáb</v>
      </c>
      <c r="BF340" s="82">
        <f>WEEKNUM(vendaAno[[#This Row],[data]],13)</f>
        <v>49</v>
      </c>
      <c r="BG340" s="27">
        <f>preçodiario[[#This Row],[data]]</f>
        <v>46361</v>
      </c>
      <c r="BH34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Row],[data]]))/12+BJ339,"")</f>
        <v/>
      </c>
      <c r="BK340" s="79" t="str">
        <f ca="1">IF(TODAY()&gt;=vendaAno[[#This Row],[data]],IF(SUMIFS(estoque[quantidade],estoque[fornecedor],"saída",estoque[data],vendaAno[[#This Row],[data]])/12=0,AVERAGE(BK337:BK339),SUMIFS(estoque[quantidade],estoque[fornecedor],"saída",estoque[data],vendaAno[[#This Row],[data]])/12),"")</f>
        <v/>
      </c>
      <c r="BL340" s="8" t="str">
        <f ca="1">IF(vendaAno[[#This Row],[data]]&lt;=TODAY(),IF(SUMIFS(estoque[lucro],estoque[fornecedor],"saída",estoque[data],vendaAno[[#This Row],[data]])=0,AVERAGE(BL337:BL339),SUMIFS(estoque[lucro],estoque[fornecedor],"saída",estoque[data],vendaAno[[#This Row],[data]])),"")</f>
        <v/>
      </c>
      <c r="BM340" s="10" t="str">
        <f ca="1">IFERROR(vendaAno[[#This Row],[lucro]]/vendaAno[[#This Row],[valor de venda]],"")</f>
        <v/>
      </c>
      <c r="BN34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0" s="8" t="str">
        <f ca="1">IF(TODAY()&gt;=vendaAno[[#This Row],[data]],IF(vendaAno[[#This Row],[N°]]=BF339,vendaAno[[#This Row],[lucro]]-173.33+BO339,vendaAno[[#This Row],[lucro]]-150),"")</f>
        <v/>
      </c>
      <c r="BP340" s="81" t="str">
        <f ca="1">IF(TODAY()&gt;=vendaAno[[#This Row],[data]],SUM(BK334:BK340)*12,"")</f>
        <v/>
      </c>
      <c r="BQ340" s="7" t="str">
        <f ca="1">IFERROR(vendaAno[[#This Row],[lucro]]/(vendaAno[[#This Row],[venda]]*12),"")</f>
        <v/>
      </c>
    </row>
    <row r="341" spans="1:69" x14ac:dyDescent="0.25">
      <c r="A34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1" s="18" t="str">
        <f>TEXT(preçodiario[[#This Row],[data]],"MMM")</f>
        <v>dez</v>
      </c>
      <c r="C341" s="18" t="str">
        <f>TEXT(preçodiario[[#This Row],[data]],"ddd")</f>
        <v>dom</v>
      </c>
      <c r="D341" s="96">
        <f>WEEKNUM(preçodiario[[#This Row],[data]],13)</f>
        <v>49</v>
      </c>
      <c r="E341" s="37">
        <v>46362</v>
      </c>
      <c r="F34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Row],[data]])),((F340*G340)+SUMIFS(estoque[valor total],estoque[produto],preçodiario[[#Headers],[OVO BRANCO A]],estoque[data],preçodiario[[#This Row],[data]],estoque[fornecedor],"&lt;&gt;saída"))/(G340+(SUMIFS(estoque[quantidade],estoque[produto],preçodiario[[#Headers],[OVO BRANCO A]],estoque[fornecedor],"&lt;&gt;saída",estoque[data],preçodiario[[#This Row],[data]])))))</f>
        <v>15.278182701652089</v>
      </c>
      <c r="G341" s="22">
        <f>IF(preçodiario[[#This Row],[entrada A]]=0,G340-(SUMIFS(estoque[quantidade],estoque[fornecedor],"saída",estoque[produto],preçodiario[[#Headers],[OVO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Row],[data]]))+G340+preçodiario[[#This Row],[entrada A]])</f>
        <v>133</v>
      </c>
      <c r="H341" s="22">
        <f>SUMIFS(estoque[quantidade],estoque[fornecedor],"&lt;&gt;saída",estoque[produto],preçodiario[[#Headers],[OVO BRANCO A]],estoque[data],preçodiario[[#This Row],[data]])</f>
        <v>0</v>
      </c>
      <c r="I341" s="20">
        <f>SUMIFS(estoque[valor total],estoque[fornecedor],"&lt;&gt;saída",estoque[produto],preçodiario[[#Headers],[OVO BRANCO A]],estoque[data],preçodiario[[#This Row],[data]])</f>
        <v>0</v>
      </c>
      <c r="J341" s="20">
        <f>IFERROR(preçodiario[[#This Row],[estoque A]]*preçodiario[[#This Row],[OVO BRANCO A]],0)</f>
        <v>2031.9982993197277</v>
      </c>
      <c r="K34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Row],[data]])),((K340*L340)+SUMIFS(estoque[valor total],estoque[produto],preçodiario[[#Headers],[OVO BRANCO B]],estoque[data],preçodiario[[#This Row],[data]],estoque[fornecedor],"&lt;&gt;saída"))/(L340+(SUMIFS(estoque[quantidade],estoque[produto],preçodiario[[#Headers],[OVO BRANCO B]],estoque[fornecedor],"&lt;&gt;saída",estoque[data],preçodiario[[#This Row],[data]])))))</f>
        <v>14.584252837326604</v>
      </c>
      <c r="L341" s="22">
        <f>IF(preçodiario[[#This Row],[entrada B]]=0,L340-(SUMIFS(estoque[quantidade],estoque[fornecedor],"saída",estoque[produto],preçodiario[[#Headers],[OVO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Row],[data]]))+L340+preçodiario[[#This Row],[entrada B]])</f>
        <v>16</v>
      </c>
      <c r="M341" s="22">
        <f>SUMIFS(estoque[quantidade],estoque[fornecedor],"&lt;&gt;saída",estoque[produto],preçodiario[[#Headers],[OVO BRANCO B]],estoque[data],preçodiario[[#This Row],[data]])</f>
        <v>0</v>
      </c>
      <c r="N341" s="20">
        <f>SUMIFS(estoque[valor total],estoque[fornecedor],"&lt;&gt;saída",estoque[produto],preçodiario[[#Headers],[OVO BRANCO B]],estoque[data],preçodiario[[#This Row],[data]])</f>
        <v>0</v>
      </c>
      <c r="O341" s="20">
        <f>IFERROR(preçodiario[[#This Row],[OVO BRANCO B]]*preçodiario[[#This Row],[estoque B]],0)</f>
        <v>233.34804539722566</v>
      </c>
      <c r="P34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Row],[data]])),((P340*Q340)+SUMIFS(estoque[valor total],estoque[produto],preçodiario[[#Headers],[OVO BRANCO C]],estoque[data],preçodiario[[#This Row],[data]],estoque[fornecedor],"&lt;&gt;saída"))/(Q340+(SUMIFS(estoque[quantidade],estoque[produto],preçodiario[[#Headers],[OVO BRANCO C]],estoque[fornecedor],"&lt;&gt;saída",estoque[data],preçodiario[[#This Row],[data]])))))</f>
        <v>12.5</v>
      </c>
      <c r="Q341" s="22">
        <f>IF(preçodiario[[#This Row],[entrada C]]=0,Q340-(SUMIFS(estoque[quantidade],estoque[fornecedor],"saída",estoque[produto],preçodiario[[#Headers],[OVO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Row],[data]]))+Q340+preçodiario[[#This Row],[entrada C]])</f>
        <v>60</v>
      </c>
      <c r="R341" s="22">
        <f>SUMIFS(estoque[quantidade],estoque[fornecedor],"&lt;&gt;saída",estoque[produto],preçodiario[[#Headers],[OVO BRANCO C]],estoque[data],preçodiario[[#This Row],[data]])</f>
        <v>0</v>
      </c>
      <c r="S341" s="20">
        <f>SUMIFS(estoque[valor total],estoque[fornecedor],"&lt;&gt;saída",estoque[produto],preçodiario[[#Headers],[OVO BRANCO C]],estoque[data],preçodiario[[#This Row],[data]])</f>
        <v>0</v>
      </c>
      <c r="T341" s="20">
        <f>IFERROR(preçodiario[[#This Row],[OVO BRANCO C]]*preçodiario[[#This Row],[estoque C]],0)</f>
        <v>750</v>
      </c>
      <c r="U34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Row],[data]])),((U340*V340)+SUMIFS(estoque[valor total],estoque[produto],preçodiario[[#Headers],[OVO BRANCO EXTRA]],estoque[data],preçodiario[[#This Row],[data]],estoque[fornecedor],"&lt;&gt;saída"))/(V340+(SUMIFS(estoque[quantidade],estoque[produto],preçodiario[[#Headers],[OVO BRANCO EXTRA]],estoque[fornecedor],"&lt;&gt;saída",estoque[data],preçodiario[[#This Row],[data]])))))</f>
        <v>15.725438400674655</v>
      </c>
      <c r="V341" s="22">
        <f>IF(preçodiario[[#This Row],[entrada E]]=0,V340-(SUMIFS(estoque[quantidade],estoque[fornecedor],"saída",estoque[produto],preçodiario[[#Headers],[OVO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Row],[data]]))+V340+preçodiario[[#This Row],[entrada E]])</f>
        <v>46</v>
      </c>
      <c r="W341" s="22">
        <f>SUMIFS(estoque[quantidade],estoque[fornecedor],"&lt;&gt;saída",estoque[produto],preçodiario[[#Headers],[OVO BRANCO EXTRA]],estoque[data],preçodiario[[#This Row],[data]])</f>
        <v>0</v>
      </c>
      <c r="X341" s="20">
        <f>SUMIFS(estoque[valor total],estoque[fornecedor],"&lt;&gt;saída",estoque[produto],preçodiario[[#Headers],[OVO BRANCO EXTRA]],estoque[data],preçodiario[[#This Row],[data]])</f>
        <v>0</v>
      </c>
      <c r="Y341" s="20">
        <f>IFERROR(preçodiario[[#This Row],[estoque E]]*preçodiario[[#This Row],[OVO BRANCO EXTRA]],0)</f>
        <v>723.37016643103414</v>
      </c>
      <c r="Z34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Row],[data]])),((Z340*AA340)+SUMIFS(estoque[valor total],estoque[produto],preçodiario[[#Headers],[OVO BRANCO JUMBO]],estoque[data],preçodiario[[#This Row],[data]],estoque[fornecedor],"&lt;&gt;saída"))/(AA340+(SUMIFS(estoque[quantidade],estoque[produto],preçodiario[[#Headers],[OVO BRANCO JUMBO]],estoque[fornecedor],"&lt;&gt;saída",estoque[data],preçodiario[[#This Row],[data]])))))</f>
        <v>16.50550595238095</v>
      </c>
      <c r="AA341" s="22">
        <f>IF(preçodiario[[#This Row],[entrada J]]=0,AA340-(SUMIFS(estoque[quantidade],estoque[fornecedor],"saída",estoque[produto],preçodiario[[#Headers],[OVO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Row],[data]]))+AA340+preçodiario[[#This Row],[entrada J]])</f>
        <v>75</v>
      </c>
      <c r="AB341" s="22">
        <f>SUMIFS(estoque[quantidade],estoque[fornecedor],"&lt;&gt;saída",estoque[produto],preçodiario[[#Headers],[OVO BRANCO JUMBO]],estoque[data],preçodiario[[#This Row],[data]])</f>
        <v>0</v>
      </c>
      <c r="AC341" s="20">
        <f>SUMIFS(estoque[valor total],estoque[fornecedor],"&lt;&gt;saída",estoque[produto],preçodiario[[#Headers],[OVO BRANCO JUMBO]],estoque[data],preçodiario[[#This Row],[data]])</f>
        <v>0</v>
      </c>
      <c r="AD341" s="20">
        <f>IFERROR(preçodiario[[#This Row],[OVO BRANCO JUMBO]]*preçodiario[[#This Row],[estoque J]],0)</f>
        <v>1237.9129464285713</v>
      </c>
      <c r="AE34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Row],[data]])),((AE340*AF340)+SUMIFS(estoque[valor total],estoque[produto],preçodiario[[#Headers],[OVO VERMELHO A]],estoque[data],preçodiario[[#This Row],[data]],estoque[fornecedor],"&lt;&gt;saída"))/(AF340+(SUMIFS(estoque[quantidade],estoque[produto],preçodiario[[#Headers],[OVO VERMELHO A]],estoque[fornecedor],"&lt;&gt;saída",estoque[data],preçodiario[[#This Row],[data]])))))</f>
        <v/>
      </c>
      <c r="AF341" s="22">
        <f>IF(preçodiario[[#This Row],[entrada AV]]=0,AF340-(SUMIFS(estoque[quantidade],estoque[fornecedor],"saída",estoque[produto],preçodiario[[#Headers],[OVO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Row],[data]]))+AF340+preçodiario[[#This Row],[entrada AV]])</f>
        <v>0</v>
      </c>
      <c r="AG341" s="22">
        <f>SUMIFS(estoque[quantidade],estoque[fornecedor],"&lt;&gt;saída",estoque[produto],preçodiario[[#Headers],[OVO VERMELHO A]],estoque[data],preçodiario[[#This Row],[data]])</f>
        <v>0</v>
      </c>
      <c r="AH341" s="20">
        <f>SUMIFS(estoque[valor total],estoque[fornecedor],"&lt;&gt;saída",estoque[produto],preçodiario[[#Headers],[OVO VERMELHO A]],estoque[data],preçodiario[[#This Row],[data]])</f>
        <v>0</v>
      </c>
      <c r="AI341" s="20">
        <f>IFERROR(preçodiario[[#This Row],[OVO VERMELHO A]]*preçodiario[[#This Row],[estoque AV]],0)</f>
        <v>0</v>
      </c>
      <c r="AJ34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Row],[data]])),((AJ340*AK340)+SUMIFS(estoque[valor total],estoque[produto],preçodiario[[#Headers],[OVO VERMELHO B]],estoque[data],preçodiario[[#This Row],[data]],estoque[fornecedor],"&lt;&gt;saída"))/(AK340+(SUMIFS(estoque[quantidade],estoque[produto],preçodiario[[#Headers],[OVO VERMELHO B]],estoque[fornecedor],"&lt;&gt;saída",estoque[data],preçodiario[[#This Row],[data]])))))</f>
        <v/>
      </c>
      <c r="AK341" s="22">
        <f>IF(preçodiario[[#This Row],[entrada BV]]=0,AK340-(SUMIFS(estoque[quantidade],estoque[fornecedor],"saída",estoque[produto],preçodiario[[#Headers],[OVO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Row],[data]]))+AK340+preçodiario[[#This Row],[entrada BV]])</f>
        <v>0</v>
      </c>
      <c r="AL341" s="22">
        <f>SUMIFS(estoque[quantidade],estoque[fornecedor],"&lt;&gt;saída",estoque[produto],preçodiario[[#Headers],[OVO VERMELHO B]],estoque[data],preçodiario[[#This Row],[data]])</f>
        <v>0</v>
      </c>
      <c r="AM341" s="20">
        <f>SUMIFS(estoque[valor total],estoque[fornecedor],"&lt;&gt;saída",estoque[produto],preçodiario[[#Headers],[OVO VERMELHO B]],estoque[data],preçodiario[[#This Row],[data]])</f>
        <v>0</v>
      </c>
      <c r="AN341" s="20">
        <f>IFERROR(preçodiario[[#This Row],[OVO VERMELHO B]]*preçodiario[[#This Row],[estoque BV]],0)</f>
        <v>0</v>
      </c>
      <c r="AO34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Row],[data]])),((AO340*AP340)+SUMIFS(estoque[valor total],estoque[produto],preçodiario[[#Headers],[OVO VERMELHO C]],estoque[data],preçodiario[[#This Row],[data]],estoque[fornecedor],"&lt;&gt;saída"))/(AP340+(SUMIFS(estoque[quantidade],estoque[produto],preçodiario[[#Headers],[OVO VERMELHO C]],estoque[fornecedor],"&lt;&gt;saída",estoque[data],preçodiario[[#This Row],[data]])))))</f>
        <v/>
      </c>
      <c r="AP341" s="22">
        <f>IF(preçodiario[[#This Row],[entrada CV]]=0,AP340-(SUMIFS(estoque[quantidade],estoque[fornecedor],"saída",estoque[produto],preçodiario[[#Headers],[OVO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Row],[data]]))+AP340+preçodiario[[#This Row],[entrada CV]])</f>
        <v>0</v>
      </c>
      <c r="AQ341" s="22">
        <f>SUMIFS(estoque[quantidade],estoque[fornecedor],"&lt;&gt;saída",estoque[produto],preçodiario[[#Headers],[OVO VERMELHO C]],estoque[data],preçodiario[[#This Row],[data]])</f>
        <v>0</v>
      </c>
      <c r="AR341" s="20">
        <f>SUMIFS(estoque[valor total],estoque[fornecedor],"&lt;&gt;saída",estoque[produto],preçodiario[[#Headers],[OVO VERMELHO C]],estoque[data],preçodiario[[#This Row],[data]])</f>
        <v>0</v>
      </c>
      <c r="AS341" s="20">
        <f>IFERROR(preçodiario[[#This Row],[OVO VERMELHO C]]*preçodiario[[#This Row],[estoque CV]],0)</f>
        <v>0</v>
      </c>
      <c r="AT34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Row],[data]])),((AT340*AU340)+SUMIFS(estoque[valor total],estoque[produto],preçodiario[[#Headers],[OVO VERMELHO EXTRA]],estoque[data],preçodiario[[#This Row],[data]],estoque[fornecedor],"&lt;&gt;saída"))/(AU340+(SUMIFS(estoque[quantidade],estoque[produto],preçodiario[[#Headers],[OVO VERMELHO EXTRA]],estoque[fornecedor],"&lt;&gt;saída",estoque[data],preçodiario[[#This Row],[data]])))))</f>
        <v/>
      </c>
      <c r="AU341" s="22">
        <f>IF(preçodiario[[#This Row],[entrada EV]]=0,AU340-(SUMIFS(estoque[quantidade],estoque[fornecedor],"saída",estoque[produto],preçodiario[[#Headers],[OVO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Row],[data]]))+AU340+preçodiario[[#This Row],[entrada EV]])</f>
        <v>0</v>
      </c>
      <c r="AV341" s="22">
        <f>SUMIFS(estoque[quantidade],estoque[fornecedor],"&lt;&gt;saída",estoque[produto],preçodiario[[#Headers],[OVO VERMELHO EXTRA]],estoque[data],preçodiario[[#This Row],[data]])</f>
        <v>0</v>
      </c>
      <c r="AW341" s="20">
        <f>SUMIFS(estoque[valor total],estoque[fornecedor],"&lt;&gt;saída",estoque[produto],preçodiario[[#Headers],[OVO VERMELHO EXTRA]],estoque[data],preçodiario[[#This Row],[data]])</f>
        <v>0</v>
      </c>
      <c r="AX341" s="20">
        <f>IFERROR(preçodiario[[#This Row],[OVO VERMELHO EXTRA]]*preçodiario[[#This Row],[estoque EV]],0)</f>
        <v>0</v>
      </c>
      <c r="AY34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Row],[data]])),((AY340*AZ340)+SUMIFS(estoque[valor total],estoque[produto],preçodiario[[#Headers],[OVO VERMELHO JUMBO]],estoque[data],preçodiario[[#This Row],[data]],estoque[fornecedor],"&lt;&gt;saída"))/(AZ340+(SUMIFS(estoque[quantidade],estoque[produto],preçodiario[[#Headers],[OVO VERMELHO JUMBO]],estoque[fornecedor],"&lt;&gt;saída",estoque[data],preçodiario[[#This Row],[data]])))))</f>
        <v/>
      </c>
      <c r="AZ341" s="22">
        <f>IF(preçodiario[[#This Row],[entrada JV]]=0,AZ340-(SUMIFS(estoque[quantidade],estoque[fornecedor],"saída",estoque[produto],preçodiario[[#Headers],[OVO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Row],[data]]))+AZ340+preçodiario[[#This Row],[entrada JV]])</f>
        <v>0</v>
      </c>
      <c r="BA341" s="22">
        <f>SUMIFS(estoque[quantidade],estoque[fornecedor],"&lt;&gt;saída",estoque[produto],preçodiario[[#Headers],[OVO VERMELHO JUMBO]],estoque[data],preçodiario[[#This Row],[data]])</f>
        <v>0</v>
      </c>
      <c r="BB341" s="20">
        <f>SUMIFS(estoque[valor total],estoque[fornecedor],"&lt;&gt;saída",estoque[produto],preçodiario[[#Headers],[OVO VERMELHO JUMBO]],estoque[data],preçodiario[[#This Row],[data]])</f>
        <v>0</v>
      </c>
      <c r="BC341" s="20">
        <f>IFERROR(preçodiario[[#This Row],[OVO VERMELHO JUMBO]]*preçodiario[[#This Row],[estoque JV]],0)</f>
        <v>0</v>
      </c>
      <c r="BD341" t="str">
        <f>TEXT(vendaAno[[#This Row],[data]],"mmm")</f>
        <v>dez</v>
      </c>
      <c r="BE341" t="str">
        <f>TEXT(vendaAno[[#This Row],[data]],"ddd")</f>
        <v>dom</v>
      </c>
      <c r="BF341" s="82">
        <f>WEEKNUM(vendaAno[[#This Row],[data]],13)</f>
        <v>49</v>
      </c>
      <c r="BG341" s="27">
        <f>preçodiario[[#This Row],[data]]</f>
        <v>46362</v>
      </c>
      <c r="BH34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Row],[data]]))/12+BJ340,"")</f>
        <v/>
      </c>
      <c r="BK341" s="79" t="str">
        <f ca="1">IF(TODAY()&gt;=vendaAno[[#This Row],[data]],IF(SUMIFS(estoque[quantidade],estoque[fornecedor],"saída",estoque[data],vendaAno[[#This Row],[data]])/12=0,AVERAGE(BK338:BK340),SUMIFS(estoque[quantidade],estoque[fornecedor],"saída",estoque[data],vendaAno[[#This Row],[data]])/12),"")</f>
        <v/>
      </c>
      <c r="BL341" s="8" t="str">
        <f ca="1">IF(vendaAno[[#This Row],[data]]&lt;=TODAY(),IF(SUMIFS(estoque[lucro],estoque[fornecedor],"saída",estoque[data],vendaAno[[#This Row],[data]])=0,AVERAGE(BL338:BL340),SUMIFS(estoque[lucro],estoque[fornecedor],"saída",estoque[data],vendaAno[[#This Row],[data]])),"")</f>
        <v/>
      </c>
      <c r="BM341" s="10" t="str">
        <f ca="1">IFERROR(vendaAno[[#This Row],[lucro]]/vendaAno[[#This Row],[valor de venda]],"")</f>
        <v/>
      </c>
      <c r="BN34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1" s="8" t="str">
        <f ca="1">IF(TODAY()&gt;=vendaAno[[#This Row],[data]],IF(vendaAno[[#This Row],[N°]]=BF340,vendaAno[[#This Row],[lucro]]-173.33+BO340,vendaAno[[#This Row],[lucro]]-150),"")</f>
        <v/>
      </c>
      <c r="BP341" s="81" t="str">
        <f ca="1">IF(TODAY()&gt;=vendaAno[[#This Row],[data]],SUM(BK335:BK341)*12,"")</f>
        <v/>
      </c>
      <c r="BQ341" s="7" t="str">
        <f ca="1">IFERROR(vendaAno[[#This Row],[lucro]]/(vendaAno[[#This Row],[venda]]*12),"")</f>
        <v/>
      </c>
    </row>
    <row r="342" spans="1:69" x14ac:dyDescent="0.25">
      <c r="A34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2" s="18" t="str">
        <f>TEXT(preçodiario[[#This Row],[data]],"MMM")</f>
        <v>dez</v>
      </c>
      <c r="C342" s="18" t="str">
        <f>TEXT(preçodiario[[#This Row],[data]],"ddd")</f>
        <v>seg</v>
      </c>
      <c r="D342" s="96">
        <f>WEEKNUM(preçodiario[[#This Row],[data]],13)</f>
        <v>49</v>
      </c>
      <c r="E342" s="37">
        <v>46363</v>
      </c>
      <c r="F34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Row],[data]])),((F341*G341)+SUMIFS(estoque[valor total],estoque[produto],preçodiario[[#Headers],[OVO BRANCO A]],estoque[data],preçodiario[[#This Row],[data]],estoque[fornecedor],"&lt;&gt;saída"))/(G341+(SUMIFS(estoque[quantidade],estoque[produto],preçodiario[[#Headers],[OVO BRANCO A]],estoque[fornecedor],"&lt;&gt;saída",estoque[data],preçodiario[[#This Row],[data]])))))</f>
        <v>15.278182701652089</v>
      </c>
      <c r="G342" s="22">
        <f>IF(preçodiario[[#This Row],[entrada A]]=0,G341-(SUMIFS(estoque[quantidade],estoque[fornecedor],"saída",estoque[produto],preçodiario[[#Headers],[OVO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Row],[data]]))+G341+preçodiario[[#This Row],[entrada A]])</f>
        <v>133</v>
      </c>
      <c r="H342" s="22">
        <f>SUMIFS(estoque[quantidade],estoque[fornecedor],"&lt;&gt;saída",estoque[produto],preçodiario[[#Headers],[OVO BRANCO A]],estoque[data],preçodiario[[#This Row],[data]])</f>
        <v>0</v>
      </c>
      <c r="I342" s="20">
        <f>SUMIFS(estoque[valor total],estoque[fornecedor],"&lt;&gt;saída",estoque[produto],preçodiario[[#Headers],[OVO BRANCO A]],estoque[data],preçodiario[[#This Row],[data]])</f>
        <v>0</v>
      </c>
      <c r="J342" s="20">
        <f>IFERROR(preçodiario[[#This Row],[estoque A]]*preçodiario[[#This Row],[OVO BRANCO A]],0)</f>
        <v>2031.9982993197277</v>
      </c>
      <c r="K34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Row],[data]])),((K341*L341)+SUMIFS(estoque[valor total],estoque[produto],preçodiario[[#Headers],[OVO BRANCO B]],estoque[data],preçodiario[[#This Row],[data]],estoque[fornecedor],"&lt;&gt;saída"))/(L341+(SUMIFS(estoque[quantidade],estoque[produto],preçodiario[[#Headers],[OVO BRANCO B]],estoque[fornecedor],"&lt;&gt;saída",estoque[data],preçodiario[[#This Row],[data]])))))</f>
        <v>14.584252837326604</v>
      </c>
      <c r="L342" s="22">
        <f>IF(preçodiario[[#This Row],[entrada B]]=0,L341-(SUMIFS(estoque[quantidade],estoque[fornecedor],"saída",estoque[produto],preçodiario[[#Headers],[OVO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Row],[data]]))+L341+preçodiario[[#This Row],[entrada B]])</f>
        <v>16</v>
      </c>
      <c r="M342" s="22">
        <f>SUMIFS(estoque[quantidade],estoque[fornecedor],"&lt;&gt;saída",estoque[produto],preçodiario[[#Headers],[OVO BRANCO B]],estoque[data],preçodiario[[#This Row],[data]])</f>
        <v>0</v>
      </c>
      <c r="N342" s="20">
        <f>SUMIFS(estoque[valor total],estoque[fornecedor],"&lt;&gt;saída",estoque[produto],preçodiario[[#Headers],[OVO BRANCO B]],estoque[data],preçodiario[[#This Row],[data]])</f>
        <v>0</v>
      </c>
      <c r="O342" s="20">
        <f>IFERROR(preçodiario[[#This Row],[OVO BRANCO B]]*preçodiario[[#This Row],[estoque B]],0)</f>
        <v>233.34804539722566</v>
      </c>
      <c r="P34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Row],[data]])),((P341*Q341)+SUMIFS(estoque[valor total],estoque[produto],preçodiario[[#Headers],[OVO BRANCO C]],estoque[data],preçodiario[[#This Row],[data]],estoque[fornecedor],"&lt;&gt;saída"))/(Q341+(SUMIFS(estoque[quantidade],estoque[produto],preçodiario[[#Headers],[OVO BRANCO C]],estoque[fornecedor],"&lt;&gt;saída",estoque[data],preçodiario[[#This Row],[data]])))))</f>
        <v>12.5</v>
      </c>
      <c r="Q342" s="22">
        <f>IF(preçodiario[[#This Row],[entrada C]]=0,Q341-(SUMIFS(estoque[quantidade],estoque[fornecedor],"saída",estoque[produto],preçodiario[[#Headers],[OVO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Row],[data]]))+Q341+preçodiario[[#This Row],[entrada C]])</f>
        <v>60</v>
      </c>
      <c r="R342" s="22">
        <f>SUMIFS(estoque[quantidade],estoque[fornecedor],"&lt;&gt;saída",estoque[produto],preçodiario[[#Headers],[OVO BRANCO C]],estoque[data],preçodiario[[#This Row],[data]])</f>
        <v>0</v>
      </c>
      <c r="S342" s="20">
        <f>SUMIFS(estoque[valor total],estoque[fornecedor],"&lt;&gt;saída",estoque[produto],preçodiario[[#Headers],[OVO BRANCO C]],estoque[data],preçodiario[[#This Row],[data]])</f>
        <v>0</v>
      </c>
      <c r="T342" s="20">
        <f>IFERROR(preçodiario[[#This Row],[OVO BRANCO C]]*preçodiario[[#This Row],[estoque C]],0)</f>
        <v>750</v>
      </c>
      <c r="U34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Row],[data]])),((U341*V341)+SUMIFS(estoque[valor total],estoque[produto],preçodiario[[#Headers],[OVO BRANCO EXTRA]],estoque[data],preçodiario[[#This Row],[data]],estoque[fornecedor],"&lt;&gt;saída"))/(V341+(SUMIFS(estoque[quantidade],estoque[produto],preçodiario[[#Headers],[OVO BRANCO EXTRA]],estoque[fornecedor],"&lt;&gt;saída",estoque[data],preçodiario[[#This Row],[data]])))))</f>
        <v>15.725438400674655</v>
      </c>
      <c r="V342" s="22">
        <f>IF(preçodiario[[#This Row],[entrada E]]=0,V341-(SUMIFS(estoque[quantidade],estoque[fornecedor],"saída",estoque[produto],preçodiario[[#Headers],[OVO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Row],[data]]))+V341+preçodiario[[#This Row],[entrada E]])</f>
        <v>46</v>
      </c>
      <c r="W342" s="22">
        <f>SUMIFS(estoque[quantidade],estoque[fornecedor],"&lt;&gt;saída",estoque[produto],preçodiario[[#Headers],[OVO BRANCO EXTRA]],estoque[data],preçodiario[[#This Row],[data]])</f>
        <v>0</v>
      </c>
      <c r="X342" s="20">
        <f>SUMIFS(estoque[valor total],estoque[fornecedor],"&lt;&gt;saída",estoque[produto],preçodiario[[#Headers],[OVO BRANCO EXTRA]],estoque[data],preçodiario[[#This Row],[data]])</f>
        <v>0</v>
      </c>
      <c r="Y342" s="20">
        <f>IFERROR(preçodiario[[#This Row],[estoque E]]*preçodiario[[#This Row],[OVO BRANCO EXTRA]],0)</f>
        <v>723.37016643103414</v>
      </c>
      <c r="Z34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Row],[data]])),((Z341*AA341)+SUMIFS(estoque[valor total],estoque[produto],preçodiario[[#Headers],[OVO BRANCO JUMBO]],estoque[data],preçodiario[[#This Row],[data]],estoque[fornecedor],"&lt;&gt;saída"))/(AA341+(SUMIFS(estoque[quantidade],estoque[produto],preçodiario[[#Headers],[OVO BRANCO JUMBO]],estoque[fornecedor],"&lt;&gt;saída",estoque[data],preçodiario[[#This Row],[data]])))))</f>
        <v>16.50550595238095</v>
      </c>
      <c r="AA342" s="22">
        <f>IF(preçodiario[[#This Row],[entrada J]]=0,AA341-(SUMIFS(estoque[quantidade],estoque[fornecedor],"saída",estoque[produto],preçodiario[[#Headers],[OVO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Row],[data]]))+AA341+preçodiario[[#This Row],[entrada J]])</f>
        <v>75</v>
      </c>
      <c r="AB342" s="22">
        <f>SUMIFS(estoque[quantidade],estoque[fornecedor],"&lt;&gt;saída",estoque[produto],preçodiario[[#Headers],[OVO BRANCO JUMBO]],estoque[data],preçodiario[[#This Row],[data]])</f>
        <v>0</v>
      </c>
      <c r="AC342" s="20">
        <f>SUMIFS(estoque[valor total],estoque[fornecedor],"&lt;&gt;saída",estoque[produto],preçodiario[[#Headers],[OVO BRANCO JUMBO]],estoque[data],preçodiario[[#This Row],[data]])</f>
        <v>0</v>
      </c>
      <c r="AD342" s="20">
        <f>IFERROR(preçodiario[[#This Row],[OVO BRANCO JUMBO]]*preçodiario[[#This Row],[estoque J]],0)</f>
        <v>1237.9129464285713</v>
      </c>
      <c r="AE34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Row],[data]])),((AE341*AF341)+SUMIFS(estoque[valor total],estoque[produto],preçodiario[[#Headers],[OVO VERMELHO A]],estoque[data],preçodiario[[#This Row],[data]],estoque[fornecedor],"&lt;&gt;saída"))/(AF341+(SUMIFS(estoque[quantidade],estoque[produto],preçodiario[[#Headers],[OVO VERMELHO A]],estoque[fornecedor],"&lt;&gt;saída",estoque[data],preçodiario[[#This Row],[data]])))))</f>
        <v/>
      </c>
      <c r="AF342" s="22">
        <f>IF(preçodiario[[#This Row],[entrada AV]]=0,AF341-(SUMIFS(estoque[quantidade],estoque[fornecedor],"saída",estoque[produto],preçodiario[[#Headers],[OVO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Row],[data]]))+AF341+preçodiario[[#This Row],[entrada AV]])</f>
        <v>0</v>
      </c>
      <c r="AG342" s="22">
        <f>SUMIFS(estoque[quantidade],estoque[fornecedor],"&lt;&gt;saída",estoque[produto],preçodiario[[#Headers],[OVO VERMELHO A]],estoque[data],preçodiario[[#This Row],[data]])</f>
        <v>0</v>
      </c>
      <c r="AH342" s="20">
        <f>SUMIFS(estoque[valor total],estoque[fornecedor],"&lt;&gt;saída",estoque[produto],preçodiario[[#Headers],[OVO VERMELHO A]],estoque[data],preçodiario[[#This Row],[data]])</f>
        <v>0</v>
      </c>
      <c r="AI342" s="20">
        <f>IFERROR(preçodiario[[#This Row],[OVO VERMELHO A]]*preçodiario[[#This Row],[estoque AV]],0)</f>
        <v>0</v>
      </c>
      <c r="AJ34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Row],[data]])),((AJ341*AK341)+SUMIFS(estoque[valor total],estoque[produto],preçodiario[[#Headers],[OVO VERMELHO B]],estoque[data],preçodiario[[#This Row],[data]],estoque[fornecedor],"&lt;&gt;saída"))/(AK341+(SUMIFS(estoque[quantidade],estoque[produto],preçodiario[[#Headers],[OVO VERMELHO B]],estoque[fornecedor],"&lt;&gt;saída",estoque[data],preçodiario[[#This Row],[data]])))))</f>
        <v/>
      </c>
      <c r="AK342" s="22">
        <f>IF(preçodiario[[#This Row],[entrada BV]]=0,AK341-(SUMIFS(estoque[quantidade],estoque[fornecedor],"saída",estoque[produto],preçodiario[[#Headers],[OVO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Row],[data]]))+AK341+preçodiario[[#This Row],[entrada BV]])</f>
        <v>0</v>
      </c>
      <c r="AL342" s="22">
        <f>SUMIFS(estoque[quantidade],estoque[fornecedor],"&lt;&gt;saída",estoque[produto],preçodiario[[#Headers],[OVO VERMELHO B]],estoque[data],preçodiario[[#This Row],[data]])</f>
        <v>0</v>
      </c>
      <c r="AM342" s="20">
        <f>SUMIFS(estoque[valor total],estoque[fornecedor],"&lt;&gt;saída",estoque[produto],preçodiario[[#Headers],[OVO VERMELHO B]],estoque[data],preçodiario[[#This Row],[data]])</f>
        <v>0</v>
      </c>
      <c r="AN342" s="20">
        <f>IFERROR(preçodiario[[#This Row],[OVO VERMELHO B]]*preçodiario[[#This Row],[estoque BV]],0)</f>
        <v>0</v>
      </c>
      <c r="AO34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Row],[data]])),((AO341*AP341)+SUMIFS(estoque[valor total],estoque[produto],preçodiario[[#Headers],[OVO VERMELHO C]],estoque[data],preçodiario[[#This Row],[data]],estoque[fornecedor],"&lt;&gt;saída"))/(AP341+(SUMIFS(estoque[quantidade],estoque[produto],preçodiario[[#Headers],[OVO VERMELHO C]],estoque[fornecedor],"&lt;&gt;saída",estoque[data],preçodiario[[#This Row],[data]])))))</f>
        <v/>
      </c>
      <c r="AP342" s="22">
        <f>IF(preçodiario[[#This Row],[entrada CV]]=0,AP341-(SUMIFS(estoque[quantidade],estoque[fornecedor],"saída",estoque[produto],preçodiario[[#Headers],[OVO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Row],[data]]))+AP341+preçodiario[[#This Row],[entrada CV]])</f>
        <v>0</v>
      </c>
      <c r="AQ342" s="22">
        <f>SUMIFS(estoque[quantidade],estoque[fornecedor],"&lt;&gt;saída",estoque[produto],preçodiario[[#Headers],[OVO VERMELHO C]],estoque[data],preçodiario[[#This Row],[data]])</f>
        <v>0</v>
      </c>
      <c r="AR342" s="20">
        <f>SUMIFS(estoque[valor total],estoque[fornecedor],"&lt;&gt;saída",estoque[produto],preçodiario[[#Headers],[OVO VERMELHO C]],estoque[data],preçodiario[[#This Row],[data]])</f>
        <v>0</v>
      </c>
      <c r="AS342" s="20">
        <f>IFERROR(preçodiario[[#This Row],[OVO VERMELHO C]]*preçodiario[[#This Row],[estoque CV]],0)</f>
        <v>0</v>
      </c>
      <c r="AT34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Row],[data]])),((AT341*AU341)+SUMIFS(estoque[valor total],estoque[produto],preçodiario[[#Headers],[OVO VERMELHO EXTRA]],estoque[data],preçodiario[[#This Row],[data]],estoque[fornecedor],"&lt;&gt;saída"))/(AU341+(SUMIFS(estoque[quantidade],estoque[produto],preçodiario[[#Headers],[OVO VERMELHO EXTRA]],estoque[fornecedor],"&lt;&gt;saída",estoque[data],preçodiario[[#This Row],[data]])))))</f>
        <v/>
      </c>
      <c r="AU342" s="22">
        <f>IF(preçodiario[[#This Row],[entrada EV]]=0,AU341-(SUMIFS(estoque[quantidade],estoque[fornecedor],"saída",estoque[produto],preçodiario[[#Headers],[OVO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Row],[data]]))+AU341+preçodiario[[#This Row],[entrada EV]])</f>
        <v>0</v>
      </c>
      <c r="AV342" s="22">
        <f>SUMIFS(estoque[quantidade],estoque[fornecedor],"&lt;&gt;saída",estoque[produto],preçodiario[[#Headers],[OVO VERMELHO EXTRA]],estoque[data],preçodiario[[#This Row],[data]])</f>
        <v>0</v>
      </c>
      <c r="AW342" s="20">
        <f>SUMIFS(estoque[valor total],estoque[fornecedor],"&lt;&gt;saída",estoque[produto],preçodiario[[#Headers],[OVO VERMELHO EXTRA]],estoque[data],preçodiario[[#This Row],[data]])</f>
        <v>0</v>
      </c>
      <c r="AX342" s="20">
        <f>IFERROR(preçodiario[[#This Row],[OVO VERMELHO EXTRA]]*preçodiario[[#This Row],[estoque EV]],0)</f>
        <v>0</v>
      </c>
      <c r="AY34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Row],[data]])),((AY341*AZ341)+SUMIFS(estoque[valor total],estoque[produto],preçodiario[[#Headers],[OVO VERMELHO JUMBO]],estoque[data],preçodiario[[#This Row],[data]],estoque[fornecedor],"&lt;&gt;saída"))/(AZ341+(SUMIFS(estoque[quantidade],estoque[produto],preçodiario[[#Headers],[OVO VERMELHO JUMBO]],estoque[fornecedor],"&lt;&gt;saída",estoque[data],preçodiario[[#This Row],[data]])))))</f>
        <v/>
      </c>
      <c r="AZ342" s="22">
        <f>IF(preçodiario[[#This Row],[entrada JV]]=0,AZ341-(SUMIFS(estoque[quantidade],estoque[fornecedor],"saída",estoque[produto],preçodiario[[#Headers],[OVO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Row],[data]]))+AZ341+preçodiario[[#This Row],[entrada JV]])</f>
        <v>0</v>
      </c>
      <c r="BA342" s="22">
        <f>SUMIFS(estoque[quantidade],estoque[fornecedor],"&lt;&gt;saída",estoque[produto],preçodiario[[#Headers],[OVO VERMELHO JUMBO]],estoque[data],preçodiario[[#This Row],[data]])</f>
        <v>0</v>
      </c>
      <c r="BB342" s="20">
        <f>SUMIFS(estoque[valor total],estoque[fornecedor],"&lt;&gt;saída",estoque[produto],preçodiario[[#Headers],[OVO VERMELHO JUMBO]],estoque[data],preçodiario[[#This Row],[data]])</f>
        <v>0</v>
      </c>
      <c r="BC342" s="20">
        <f>IFERROR(preçodiario[[#This Row],[OVO VERMELHO JUMBO]]*preçodiario[[#This Row],[estoque JV]],0)</f>
        <v>0</v>
      </c>
      <c r="BD342" t="str">
        <f>TEXT(vendaAno[[#This Row],[data]],"mmm")</f>
        <v>dez</v>
      </c>
      <c r="BE342" t="str">
        <f>TEXT(vendaAno[[#This Row],[data]],"ddd")</f>
        <v>seg</v>
      </c>
      <c r="BF342" s="82">
        <f>WEEKNUM(vendaAno[[#This Row],[data]],13)</f>
        <v>49</v>
      </c>
      <c r="BG342" s="27">
        <f>preçodiario[[#This Row],[data]]</f>
        <v>46363</v>
      </c>
      <c r="BH34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Row],[data]]))/12+BJ341,"")</f>
        <v/>
      </c>
      <c r="BK342" s="79" t="str">
        <f ca="1">IF(TODAY()&gt;=vendaAno[[#This Row],[data]],IF(SUMIFS(estoque[quantidade],estoque[fornecedor],"saída",estoque[data],vendaAno[[#This Row],[data]])/12=0,AVERAGE(BK339:BK341),SUMIFS(estoque[quantidade],estoque[fornecedor],"saída",estoque[data],vendaAno[[#This Row],[data]])/12),"")</f>
        <v/>
      </c>
      <c r="BL342" s="8" t="str">
        <f ca="1">IF(vendaAno[[#This Row],[data]]&lt;=TODAY(),IF(SUMIFS(estoque[lucro],estoque[fornecedor],"saída",estoque[data],vendaAno[[#This Row],[data]])=0,AVERAGE(BL339:BL341),SUMIFS(estoque[lucro],estoque[fornecedor],"saída",estoque[data],vendaAno[[#This Row],[data]])),"")</f>
        <v/>
      </c>
      <c r="BM342" s="10" t="str">
        <f ca="1">IFERROR(vendaAno[[#This Row],[lucro]]/vendaAno[[#This Row],[valor de venda]],"")</f>
        <v/>
      </c>
      <c r="BN34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2" s="8" t="str">
        <f ca="1">IF(TODAY()&gt;=vendaAno[[#This Row],[data]],IF(vendaAno[[#This Row],[N°]]=BF341,vendaAno[[#This Row],[lucro]]-173.33+BO341,vendaAno[[#This Row],[lucro]]-150),"")</f>
        <v/>
      </c>
      <c r="BP342" s="81" t="str">
        <f ca="1">IF(TODAY()&gt;=vendaAno[[#This Row],[data]],SUM(BK336:BK342)*12,"")</f>
        <v/>
      </c>
      <c r="BQ342" s="7" t="str">
        <f ca="1">IFERROR(vendaAno[[#This Row],[lucro]]/(vendaAno[[#This Row],[venda]]*12),"")</f>
        <v/>
      </c>
    </row>
    <row r="343" spans="1:69" x14ac:dyDescent="0.25">
      <c r="A34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3" s="18" t="str">
        <f>TEXT(preçodiario[[#This Row],[data]],"MMM")</f>
        <v>dez</v>
      </c>
      <c r="C343" s="18" t="str">
        <f>TEXT(preçodiario[[#This Row],[data]],"ddd")</f>
        <v>ter</v>
      </c>
      <c r="D343" s="96">
        <f>WEEKNUM(preçodiario[[#This Row],[data]],13)</f>
        <v>49</v>
      </c>
      <c r="E343" s="37">
        <v>46364</v>
      </c>
      <c r="F34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Row],[data]])),((F342*G342)+SUMIFS(estoque[valor total],estoque[produto],preçodiario[[#Headers],[OVO BRANCO A]],estoque[data],preçodiario[[#This Row],[data]],estoque[fornecedor],"&lt;&gt;saída"))/(G342+(SUMIFS(estoque[quantidade],estoque[produto],preçodiario[[#Headers],[OVO BRANCO A]],estoque[fornecedor],"&lt;&gt;saída",estoque[data],preçodiario[[#This Row],[data]])))))</f>
        <v>15.278182701652089</v>
      </c>
      <c r="G343" s="22">
        <f>IF(preçodiario[[#This Row],[entrada A]]=0,G342-(SUMIFS(estoque[quantidade],estoque[fornecedor],"saída",estoque[produto],preçodiario[[#Headers],[OVO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Row],[data]]))+G342+preçodiario[[#This Row],[entrada A]])</f>
        <v>133</v>
      </c>
      <c r="H343" s="22">
        <f>SUMIFS(estoque[quantidade],estoque[fornecedor],"&lt;&gt;saída",estoque[produto],preçodiario[[#Headers],[OVO BRANCO A]],estoque[data],preçodiario[[#This Row],[data]])</f>
        <v>0</v>
      </c>
      <c r="I343" s="20">
        <f>SUMIFS(estoque[valor total],estoque[fornecedor],"&lt;&gt;saída",estoque[produto],preçodiario[[#Headers],[OVO BRANCO A]],estoque[data],preçodiario[[#This Row],[data]])</f>
        <v>0</v>
      </c>
      <c r="J343" s="20">
        <f>IFERROR(preçodiario[[#This Row],[estoque A]]*preçodiario[[#This Row],[OVO BRANCO A]],0)</f>
        <v>2031.9982993197277</v>
      </c>
      <c r="K34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Row],[data]])),((K342*L342)+SUMIFS(estoque[valor total],estoque[produto],preçodiario[[#Headers],[OVO BRANCO B]],estoque[data],preçodiario[[#This Row],[data]],estoque[fornecedor],"&lt;&gt;saída"))/(L342+(SUMIFS(estoque[quantidade],estoque[produto],preçodiario[[#Headers],[OVO BRANCO B]],estoque[fornecedor],"&lt;&gt;saída",estoque[data],preçodiario[[#This Row],[data]])))))</f>
        <v>14.584252837326604</v>
      </c>
      <c r="L343" s="22">
        <f>IF(preçodiario[[#This Row],[entrada B]]=0,L342-(SUMIFS(estoque[quantidade],estoque[fornecedor],"saída",estoque[produto],preçodiario[[#Headers],[OVO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Row],[data]]))+L342+preçodiario[[#This Row],[entrada B]])</f>
        <v>16</v>
      </c>
      <c r="M343" s="22">
        <f>SUMIFS(estoque[quantidade],estoque[fornecedor],"&lt;&gt;saída",estoque[produto],preçodiario[[#Headers],[OVO BRANCO B]],estoque[data],preçodiario[[#This Row],[data]])</f>
        <v>0</v>
      </c>
      <c r="N343" s="20">
        <f>SUMIFS(estoque[valor total],estoque[fornecedor],"&lt;&gt;saída",estoque[produto],preçodiario[[#Headers],[OVO BRANCO B]],estoque[data],preçodiario[[#This Row],[data]])</f>
        <v>0</v>
      </c>
      <c r="O343" s="20">
        <f>IFERROR(preçodiario[[#This Row],[OVO BRANCO B]]*preçodiario[[#This Row],[estoque B]],0)</f>
        <v>233.34804539722566</v>
      </c>
      <c r="P34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Row],[data]])),((P342*Q342)+SUMIFS(estoque[valor total],estoque[produto],preçodiario[[#Headers],[OVO BRANCO C]],estoque[data],preçodiario[[#This Row],[data]],estoque[fornecedor],"&lt;&gt;saída"))/(Q342+(SUMIFS(estoque[quantidade],estoque[produto],preçodiario[[#Headers],[OVO BRANCO C]],estoque[fornecedor],"&lt;&gt;saída",estoque[data],preçodiario[[#This Row],[data]])))))</f>
        <v>12.5</v>
      </c>
      <c r="Q343" s="22">
        <f>IF(preçodiario[[#This Row],[entrada C]]=0,Q342-(SUMIFS(estoque[quantidade],estoque[fornecedor],"saída",estoque[produto],preçodiario[[#Headers],[OVO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Row],[data]]))+Q342+preçodiario[[#This Row],[entrada C]])</f>
        <v>60</v>
      </c>
      <c r="R343" s="22">
        <f>SUMIFS(estoque[quantidade],estoque[fornecedor],"&lt;&gt;saída",estoque[produto],preçodiario[[#Headers],[OVO BRANCO C]],estoque[data],preçodiario[[#This Row],[data]])</f>
        <v>0</v>
      </c>
      <c r="S343" s="20">
        <f>SUMIFS(estoque[valor total],estoque[fornecedor],"&lt;&gt;saída",estoque[produto],preçodiario[[#Headers],[OVO BRANCO C]],estoque[data],preçodiario[[#This Row],[data]])</f>
        <v>0</v>
      </c>
      <c r="T343" s="20">
        <f>IFERROR(preçodiario[[#This Row],[OVO BRANCO C]]*preçodiario[[#This Row],[estoque C]],0)</f>
        <v>750</v>
      </c>
      <c r="U34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Row],[data]])),((U342*V342)+SUMIFS(estoque[valor total],estoque[produto],preçodiario[[#Headers],[OVO BRANCO EXTRA]],estoque[data],preçodiario[[#This Row],[data]],estoque[fornecedor],"&lt;&gt;saída"))/(V342+(SUMIFS(estoque[quantidade],estoque[produto],preçodiario[[#Headers],[OVO BRANCO EXTRA]],estoque[fornecedor],"&lt;&gt;saída",estoque[data],preçodiario[[#This Row],[data]])))))</f>
        <v>15.725438400674655</v>
      </c>
      <c r="V343" s="22">
        <f>IF(preçodiario[[#This Row],[entrada E]]=0,V342-(SUMIFS(estoque[quantidade],estoque[fornecedor],"saída",estoque[produto],preçodiario[[#Headers],[OVO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Row],[data]]))+V342+preçodiario[[#This Row],[entrada E]])</f>
        <v>46</v>
      </c>
      <c r="W343" s="22">
        <f>SUMIFS(estoque[quantidade],estoque[fornecedor],"&lt;&gt;saída",estoque[produto],preçodiario[[#Headers],[OVO BRANCO EXTRA]],estoque[data],preçodiario[[#This Row],[data]])</f>
        <v>0</v>
      </c>
      <c r="X343" s="20">
        <f>SUMIFS(estoque[valor total],estoque[fornecedor],"&lt;&gt;saída",estoque[produto],preçodiario[[#Headers],[OVO BRANCO EXTRA]],estoque[data],preçodiario[[#This Row],[data]])</f>
        <v>0</v>
      </c>
      <c r="Y343" s="20">
        <f>IFERROR(preçodiario[[#This Row],[estoque E]]*preçodiario[[#This Row],[OVO BRANCO EXTRA]],0)</f>
        <v>723.37016643103414</v>
      </c>
      <c r="Z34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Row],[data]])),((Z342*AA342)+SUMIFS(estoque[valor total],estoque[produto],preçodiario[[#Headers],[OVO BRANCO JUMBO]],estoque[data],preçodiario[[#This Row],[data]],estoque[fornecedor],"&lt;&gt;saída"))/(AA342+(SUMIFS(estoque[quantidade],estoque[produto],preçodiario[[#Headers],[OVO BRANCO JUMBO]],estoque[fornecedor],"&lt;&gt;saída",estoque[data],preçodiario[[#This Row],[data]])))))</f>
        <v>16.50550595238095</v>
      </c>
      <c r="AA343" s="22">
        <f>IF(preçodiario[[#This Row],[entrada J]]=0,AA342-(SUMIFS(estoque[quantidade],estoque[fornecedor],"saída",estoque[produto],preçodiario[[#Headers],[OVO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Row],[data]]))+AA342+preçodiario[[#This Row],[entrada J]])</f>
        <v>75</v>
      </c>
      <c r="AB343" s="22">
        <f>SUMIFS(estoque[quantidade],estoque[fornecedor],"&lt;&gt;saída",estoque[produto],preçodiario[[#Headers],[OVO BRANCO JUMBO]],estoque[data],preçodiario[[#This Row],[data]])</f>
        <v>0</v>
      </c>
      <c r="AC343" s="20">
        <f>SUMIFS(estoque[valor total],estoque[fornecedor],"&lt;&gt;saída",estoque[produto],preçodiario[[#Headers],[OVO BRANCO JUMBO]],estoque[data],preçodiario[[#This Row],[data]])</f>
        <v>0</v>
      </c>
      <c r="AD343" s="20">
        <f>IFERROR(preçodiario[[#This Row],[OVO BRANCO JUMBO]]*preçodiario[[#This Row],[estoque J]],0)</f>
        <v>1237.9129464285713</v>
      </c>
      <c r="AE34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Row],[data]])),((AE342*AF342)+SUMIFS(estoque[valor total],estoque[produto],preçodiario[[#Headers],[OVO VERMELHO A]],estoque[data],preçodiario[[#This Row],[data]],estoque[fornecedor],"&lt;&gt;saída"))/(AF342+(SUMIFS(estoque[quantidade],estoque[produto],preçodiario[[#Headers],[OVO VERMELHO A]],estoque[fornecedor],"&lt;&gt;saída",estoque[data],preçodiario[[#This Row],[data]])))))</f>
        <v/>
      </c>
      <c r="AF343" s="22">
        <f>IF(preçodiario[[#This Row],[entrada AV]]=0,AF342-(SUMIFS(estoque[quantidade],estoque[fornecedor],"saída",estoque[produto],preçodiario[[#Headers],[OVO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Row],[data]]))+AF342+preçodiario[[#This Row],[entrada AV]])</f>
        <v>0</v>
      </c>
      <c r="AG343" s="22">
        <f>SUMIFS(estoque[quantidade],estoque[fornecedor],"&lt;&gt;saída",estoque[produto],preçodiario[[#Headers],[OVO VERMELHO A]],estoque[data],preçodiario[[#This Row],[data]])</f>
        <v>0</v>
      </c>
      <c r="AH343" s="20">
        <f>SUMIFS(estoque[valor total],estoque[fornecedor],"&lt;&gt;saída",estoque[produto],preçodiario[[#Headers],[OVO VERMELHO A]],estoque[data],preçodiario[[#This Row],[data]])</f>
        <v>0</v>
      </c>
      <c r="AI343" s="20">
        <f>IFERROR(preçodiario[[#This Row],[OVO VERMELHO A]]*preçodiario[[#This Row],[estoque AV]],0)</f>
        <v>0</v>
      </c>
      <c r="AJ34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Row],[data]])),((AJ342*AK342)+SUMIFS(estoque[valor total],estoque[produto],preçodiario[[#Headers],[OVO VERMELHO B]],estoque[data],preçodiario[[#This Row],[data]],estoque[fornecedor],"&lt;&gt;saída"))/(AK342+(SUMIFS(estoque[quantidade],estoque[produto],preçodiario[[#Headers],[OVO VERMELHO B]],estoque[fornecedor],"&lt;&gt;saída",estoque[data],preçodiario[[#This Row],[data]])))))</f>
        <v/>
      </c>
      <c r="AK343" s="22">
        <f>IF(preçodiario[[#This Row],[entrada BV]]=0,AK342-(SUMIFS(estoque[quantidade],estoque[fornecedor],"saída",estoque[produto],preçodiario[[#Headers],[OVO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Row],[data]]))+AK342+preçodiario[[#This Row],[entrada BV]])</f>
        <v>0</v>
      </c>
      <c r="AL343" s="22">
        <f>SUMIFS(estoque[quantidade],estoque[fornecedor],"&lt;&gt;saída",estoque[produto],preçodiario[[#Headers],[OVO VERMELHO B]],estoque[data],preçodiario[[#This Row],[data]])</f>
        <v>0</v>
      </c>
      <c r="AM343" s="20">
        <f>SUMIFS(estoque[valor total],estoque[fornecedor],"&lt;&gt;saída",estoque[produto],preçodiario[[#Headers],[OVO VERMELHO B]],estoque[data],preçodiario[[#This Row],[data]])</f>
        <v>0</v>
      </c>
      <c r="AN343" s="20">
        <f>IFERROR(preçodiario[[#This Row],[OVO VERMELHO B]]*preçodiario[[#This Row],[estoque BV]],0)</f>
        <v>0</v>
      </c>
      <c r="AO34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Row],[data]])),((AO342*AP342)+SUMIFS(estoque[valor total],estoque[produto],preçodiario[[#Headers],[OVO VERMELHO C]],estoque[data],preçodiario[[#This Row],[data]],estoque[fornecedor],"&lt;&gt;saída"))/(AP342+(SUMIFS(estoque[quantidade],estoque[produto],preçodiario[[#Headers],[OVO VERMELHO C]],estoque[fornecedor],"&lt;&gt;saída",estoque[data],preçodiario[[#This Row],[data]])))))</f>
        <v/>
      </c>
      <c r="AP343" s="22">
        <f>IF(preçodiario[[#This Row],[entrada CV]]=0,AP342-(SUMIFS(estoque[quantidade],estoque[fornecedor],"saída",estoque[produto],preçodiario[[#Headers],[OVO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Row],[data]]))+AP342+preçodiario[[#This Row],[entrada CV]])</f>
        <v>0</v>
      </c>
      <c r="AQ343" s="22">
        <f>SUMIFS(estoque[quantidade],estoque[fornecedor],"&lt;&gt;saída",estoque[produto],preçodiario[[#Headers],[OVO VERMELHO C]],estoque[data],preçodiario[[#This Row],[data]])</f>
        <v>0</v>
      </c>
      <c r="AR343" s="20">
        <f>SUMIFS(estoque[valor total],estoque[fornecedor],"&lt;&gt;saída",estoque[produto],preçodiario[[#Headers],[OVO VERMELHO C]],estoque[data],preçodiario[[#This Row],[data]])</f>
        <v>0</v>
      </c>
      <c r="AS343" s="20">
        <f>IFERROR(preçodiario[[#This Row],[OVO VERMELHO C]]*preçodiario[[#This Row],[estoque CV]],0)</f>
        <v>0</v>
      </c>
      <c r="AT34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Row],[data]])),((AT342*AU342)+SUMIFS(estoque[valor total],estoque[produto],preçodiario[[#Headers],[OVO VERMELHO EXTRA]],estoque[data],preçodiario[[#This Row],[data]],estoque[fornecedor],"&lt;&gt;saída"))/(AU342+(SUMIFS(estoque[quantidade],estoque[produto],preçodiario[[#Headers],[OVO VERMELHO EXTRA]],estoque[fornecedor],"&lt;&gt;saída",estoque[data],preçodiario[[#This Row],[data]])))))</f>
        <v/>
      </c>
      <c r="AU343" s="22">
        <f>IF(preçodiario[[#This Row],[entrada EV]]=0,AU342-(SUMIFS(estoque[quantidade],estoque[fornecedor],"saída",estoque[produto],preçodiario[[#Headers],[OVO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Row],[data]]))+AU342+preçodiario[[#This Row],[entrada EV]])</f>
        <v>0</v>
      </c>
      <c r="AV343" s="22">
        <f>SUMIFS(estoque[quantidade],estoque[fornecedor],"&lt;&gt;saída",estoque[produto],preçodiario[[#Headers],[OVO VERMELHO EXTRA]],estoque[data],preçodiario[[#This Row],[data]])</f>
        <v>0</v>
      </c>
      <c r="AW343" s="20">
        <f>SUMIFS(estoque[valor total],estoque[fornecedor],"&lt;&gt;saída",estoque[produto],preçodiario[[#Headers],[OVO VERMELHO EXTRA]],estoque[data],preçodiario[[#This Row],[data]])</f>
        <v>0</v>
      </c>
      <c r="AX343" s="20">
        <f>IFERROR(preçodiario[[#This Row],[OVO VERMELHO EXTRA]]*preçodiario[[#This Row],[estoque EV]],0)</f>
        <v>0</v>
      </c>
      <c r="AY34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Row],[data]])),((AY342*AZ342)+SUMIFS(estoque[valor total],estoque[produto],preçodiario[[#Headers],[OVO VERMELHO JUMBO]],estoque[data],preçodiario[[#This Row],[data]],estoque[fornecedor],"&lt;&gt;saída"))/(AZ342+(SUMIFS(estoque[quantidade],estoque[produto],preçodiario[[#Headers],[OVO VERMELHO JUMBO]],estoque[fornecedor],"&lt;&gt;saída",estoque[data],preçodiario[[#This Row],[data]])))))</f>
        <v/>
      </c>
      <c r="AZ343" s="22">
        <f>IF(preçodiario[[#This Row],[entrada JV]]=0,AZ342-(SUMIFS(estoque[quantidade],estoque[fornecedor],"saída",estoque[produto],preçodiario[[#Headers],[OVO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Row],[data]]))+AZ342+preçodiario[[#This Row],[entrada JV]])</f>
        <v>0</v>
      </c>
      <c r="BA343" s="22">
        <f>SUMIFS(estoque[quantidade],estoque[fornecedor],"&lt;&gt;saída",estoque[produto],preçodiario[[#Headers],[OVO VERMELHO JUMBO]],estoque[data],preçodiario[[#This Row],[data]])</f>
        <v>0</v>
      </c>
      <c r="BB343" s="20">
        <f>SUMIFS(estoque[valor total],estoque[fornecedor],"&lt;&gt;saída",estoque[produto],preçodiario[[#Headers],[OVO VERMELHO JUMBO]],estoque[data],preçodiario[[#This Row],[data]])</f>
        <v>0</v>
      </c>
      <c r="BC343" s="20">
        <f>IFERROR(preçodiario[[#This Row],[OVO VERMELHO JUMBO]]*preçodiario[[#This Row],[estoque JV]],0)</f>
        <v>0</v>
      </c>
      <c r="BD343" t="str">
        <f>TEXT(vendaAno[[#This Row],[data]],"mmm")</f>
        <v>dez</v>
      </c>
      <c r="BE343" t="str">
        <f>TEXT(vendaAno[[#This Row],[data]],"ddd")</f>
        <v>ter</v>
      </c>
      <c r="BF343" s="82">
        <f>WEEKNUM(vendaAno[[#This Row],[data]],13)</f>
        <v>49</v>
      </c>
      <c r="BG343" s="27">
        <f>preçodiario[[#This Row],[data]]</f>
        <v>46364</v>
      </c>
      <c r="BH34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Row],[data]]))/12+BJ342,"")</f>
        <v/>
      </c>
      <c r="BK343" s="79" t="str">
        <f ca="1">IF(TODAY()&gt;=vendaAno[[#This Row],[data]],IF(SUMIFS(estoque[quantidade],estoque[fornecedor],"saída",estoque[data],vendaAno[[#This Row],[data]])/12=0,AVERAGE(BK340:BK342),SUMIFS(estoque[quantidade],estoque[fornecedor],"saída",estoque[data],vendaAno[[#This Row],[data]])/12),"")</f>
        <v/>
      </c>
      <c r="BL343" s="8" t="str">
        <f ca="1">IF(vendaAno[[#This Row],[data]]&lt;=TODAY(),IF(SUMIFS(estoque[lucro],estoque[fornecedor],"saída",estoque[data],vendaAno[[#This Row],[data]])=0,AVERAGE(BL340:BL342),SUMIFS(estoque[lucro],estoque[fornecedor],"saída",estoque[data],vendaAno[[#This Row],[data]])),"")</f>
        <v/>
      </c>
      <c r="BM343" s="10" t="str">
        <f ca="1">IFERROR(vendaAno[[#This Row],[lucro]]/vendaAno[[#This Row],[valor de venda]],"")</f>
        <v/>
      </c>
      <c r="BN34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3" s="8" t="str">
        <f ca="1">IF(TODAY()&gt;=vendaAno[[#This Row],[data]],IF(vendaAno[[#This Row],[N°]]=BF342,vendaAno[[#This Row],[lucro]]-173.33+BO342,vendaAno[[#This Row],[lucro]]-150),"")</f>
        <v/>
      </c>
      <c r="BP343" s="81" t="str">
        <f ca="1">IF(TODAY()&gt;=vendaAno[[#This Row],[data]],SUM(BK337:BK343)*12,"")</f>
        <v/>
      </c>
      <c r="BQ343" s="7" t="str">
        <f ca="1">IFERROR(vendaAno[[#This Row],[lucro]]/(vendaAno[[#This Row],[venda]]*12),"")</f>
        <v/>
      </c>
    </row>
    <row r="344" spans="1:69" x14ac:dyDescent="0.25">
      <c r="A34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4" s="18" t="str">
        <f>TEXT(preçodiario[[#This Row],[data]],"MMM")</f>
        <v>dez</v>
      </c>
      <c r="C344" s="18" t="str">
        <f>TEXT(preçodiario[[#This Row],[data]],"ddd")</f>
        <v>qua</v>
      </c>
      <c r="D344" s="96">
        <f>WEEKNUM(preçodiario[[#This Row],[data]],13)</f>
        <v>50</v>
      </c>
      <c r="E344" s="37">
        <v>46365</v>
      </c>
      <c r="F34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Row],[data]])),((F343*G343)+SUMIFS(estoque[valor total],estoque[produto],preçodiario[[#Headers],[OVO BRANCO A]],estoque[data],preçodiario[[#This Row],[data]],estoque[fornecedor],"&lt;&gt;saída"))/(G343+(SUMIFS(estoque[quantidade],estoque[produto],preçodiario[[#Headers],[OVO BRANCO A]],estoque[fornecedor],"&lt;&gt;saída",estoque[data],preçodiario[[#This Row],[data]])))))</f>
        <v>15.278182701652089</v>
      </c>
      <c r="G344" s="22">
        <f>IF(preçodiario[[#This Row],[entrada A]]=0,G343-(SUMIFS(estoque[quantidade],estoque[fornecedor],"saída",estoque[produto],preçodiario[[#Headers],[OVO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Row],[data]]))+G343+preçodiario[[#This Row],[entrada A]])</f>
        <v>133</v>
      </c>
      <c r="H344" s="22">
        <f>SUMIFS(estoque[quantidade],estoque[fornecedor],"&lt;&gt;saída",estoque[produto],preçodiario[[#Headers],[OVO BRANCO A]],estoque[data],preçodiario[[#This Row],[data]])</f>
        <v>0</v>
      </c>
      <c r="I344" s="20">
        <f>SUMIFS(estoque[valor total],estoque[fornecedor],"&lt;&gt;saída",estoque[produto],preçodiario[[#Headers],[OVO BRANCO A]],estoque[data],preçodiario[[#This Row],[data]])</f>
        <v>0</v>
      </c>
      <c r="J344" s="20">
        <f>IFERROR(preçodiario[[#This Row],[estoque A]]*preçodiario[[#This Row],[OVO BRANCO A]],0)</f>
        <v>2031.9982993197277</v>
      </c>
      <c r="K34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Row],[data]])),((K343*L343)+SUMIFS(estoque[valor total],estoque[produto],preçodiario[[#Headers],[OVO BRANCO B]],estoque[data],preçodiario[[#This Row],[data]],estoque[fornecedor],"&lt;&gt;saída"))/(L343+(SUMIFS(estoque[quantidade],estoque[produto],preçodiario[[#Headers],[OVO BRANCO B]],estoque[fornecedor],"&lt;&gt;saída",estoque[data],preçodiario[[#This Row],[data]])))))</f>
        <v>14.584252837326604</v>
      </c>
      <c r="L344" s="22">
        <f>IF(preçodiario[[#This Row],[entrada B]]=0,L343-(SUMIFS(estoque[quantidade],estoque[fornecedor],"saída",estoque[produto],preçodiario[[#Headers],[OVO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Row],[data]]))+L343+preçodiario[[#This Row],[entrada B]])</f>
        <v>16</v>
      </c>
      <c r="M344" s="22">
        <f>SUMIFS(estoque[quantidade],estoque[fornecedor],"&lt;&gt;saída",estoque[produto],preçodiario[[#Headers],[OVO BRANCO B]],estoque[data],preçodiario[[#This Row],[data]])</f>
        <v>0</v>
      </c>
      <c r="N344" s="20">
        <f>SUMIFS(estoque[valor total],estoque[fornecedor],"&lt;&gt;saída",estoque[produto],preçodiario[[#Headers],[OVO BRANCO B]],estoque[data],preçodiario[[#This Row],[data]])</f>
        <v>0</v>
      </c>
      <c r="O344" s="20">
        <f>IFERROR(preçodiario[[#This Row],[OVO BRANCO B]]*preçodiario[[#This Row],[estoque B]],0)</f>
        <v>233.34804539722566</v>
      </c>
      <c r="P34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Row],[data]])),((P343*Q343)+SUMIFS(estoque[valor total],estoque[produto],preçodiario[[#Headers],[OVO BRANCO C]],estoque[data],preçodiario[[#This Row],[data]],estoque[fornecedor],"&lt;&gt;saída"))/(Q343+(SUMIFS(estoque[quantidade],estoque[produto],preçodiario[[#Headers],[OVO BRANCO C]],estoque[fornecedor],"&lt;&gt;saída",estoque[data],preçodiario[[#This Row],[data]])))))</f>
        <v>12.5</v>
      </c>
      <c r="Q344" s="22">
        <f>IF(preçodiario[[#This Row],[entrada C]]=0,Q343-(SUMIFS(estoque[quantidade],estoque[fornecedor],"saída",estoque[produto],preçodiario[[#Headers],[OVO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Row],[data]]))+Q343+preçodiario[[#This Row],[entrada C]])</f>
        <v>60</v>
      </c>
      <c r="R344" s="22">
        <f>SUMIFS(estoque[quantidade],estoque[fornecedor],"&lt;&gt;saída",estoque[produto],preçodiario[[#Headers],[OVO BRANCO C]],estoque[data],preçodiario[[#This Row],[data]])</f>
        <v>0</v>
      </c>
      <c r="S344" s="20">
        <f>SUMIFS(estoque[valor total],estoque[fornecedor],"&lt;&gt;saída",estoque[produto],preçodiario[[#Headers],[OVO BRANCO C]],estoque[data],preçodiario[[#This Row],[data]])</f>
        <v>0</v>
      </c>
      <c r="T344" s="20">
        <f>IFERROR(preçodiario[[#This Row],[OVO BRANCO C]]*preçodiario[[#This Row],[estoque C]],0)</f>
        <v>750</v>
      </c>
      <c r="U34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Row],[data]])),((U343*V343)+SUMIFS(estoque[valor total],estoque[produto],preçodiario[[#Headers],[OVO BRANCO EXTRA]],estoque[data],preçodiario[[#This Row],[data]],estoque[fornecedor],"&lt;&gt;saída"))/(V343+(SUMIFS(estoque[quantidade],estoque[produto],preçodiario[[#Headers],[OVO BRANCO EXTRA]],estoque[fornecedor],"&lt;&gt;saída",estoque[data],preçodiario[[#This Row],[data]])))))</f>
        <v>15.725438400674655</v>
      </c>
      <c r="V344" s="22">
        <f>IF(preçodiario[[#This Row],[entrada E]]=0,V343-(SUMIFS(estoque[quantidade],estoque[fornecedor],"saída",estoque[produto],preçodiario[[#Headers],[OVO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Row],[data]]))+V343+preçodiario[[#This Row],[entrada E]])</f>
        <v>46</v>
      </c>
      <c r="W344" s="22">
        <f>SUMIFS(estoque[quantidade],estoque[fornecedor],"&lt;&gt;saída",estoque[produto],preçodiario[[#Headers],[OVO BRANCO EXTRA]],estoque[data],preçodiario[[#This Row],[data]])</f>
        <v>0</v>
      </c>
      <c r="X344" s="20">
        <f>SUMIFS(estoque[valor total],estoque[fornecedor],"&lt;&gt;saída",estoque[produto],preçodiario[[#Headers],[OVO BRANCO EXTRA]],estoque[data],preçodiario[[#This Row],[data]])</f>
        <v>0</v>
      </c>
      <c r="Y344" s="20">
        <f>IFERROR(preçodiario[[#This Row],[estoque E]]*preçodiario[[#This Row],[OVO BRANCO EXTRA]],0)</f>
        <v>723.37016643103414</v>
      </c>
      <c r="Z34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Row],[data]])),((Z343*AA343)+SUMIFS(estoque[valor total],estoque[produto],preçodiario[[#Headers],[OVO BRANCO JUMBO]],estoque[data],preçodiario[[#This Row],[data]],estoque[fornecedor],"&lt;&gt;saída"))/(AA343+(SUMIFS(estoque[quantidade],estoque[produto],preçodiario[[#Headers],[OVO BRANCO JUMBO]],estoque[fornecedor],"&lt;&gt;saída",estoque[data],preçodiario[[#This Row],[data]])))))</f>
        <v>16.50550595238095</v>
      </c>
      <c r="AA344" s="22">
        <f>IF(preçodiario[[#This Row],[entrada J]]=0,AA343-(SUMIFS(estoque[quantidade],estoque[fornecedor],"saída",estoque[produto],preçodiario[[#Headers],[OVO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Row],[data]]))+AA343+preçodiario[[#This Row],[entrada J]])</f>
        <v>75</v>
      </c>
      <c r="AB344" s="22">
        <f>SUMIFS(estoque[quantidade],estoque[fornecedor],"&lt;&gt;saída",estoque[produto],preçodiario[[#Headers],[OVO BRANCO JUMBO]],estoque[data],preçodiario[[#This Row],[data]])</f>
        <v>0</v>
      </c>
      <c r="AC344" s="20">
        <f>SUMIFS(estoque[valor total],estoque[fornecedor],"&lt;&gt;saída",estoque[produto],preçodiario[[#Headers],[OVO BRANCO JUMBO]],estoque[data],preçodiario[[#This Row],[data]])</f>
        <v>0</v>
      </c>
      <c r="AD344" s="20">
        <f>IFERROR(preçodiario[[#This Row],[OVO BRANCO JUMBO]]*preçodiario[[#This Row],[estoque J]],0)</f>
        <v>1237.9129464285713</v>
      </c>
      <c r="AE34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Row],[data]])),((AE343*AF343)+SUMIFS(estoque[valor total],estoque[produto],preçodiario[[#Headers],[OVO VERMELHO A]],estoque[data],preçodiario[[#This Row],[data]],estoque[fornecedor],"&lt;&gt;saída"))/(AF343+(SUMIFS(estoque[quantidade],estoque[produto],preçodiario[[#Headers],[OVO VERMELHO A]],estoque[fornecedor],"&lt;&gt;saída",estoque[data],preçodiario[[#This Row],[data]])))))</f>
        <v/>
      </c>
      <c r="AF344" s="22">
        <f>IF(preçodiario[[#This Row],[entrada AV]]=0,AF343-(SUMIFS(estoque[quantidade],estoque[fornecedor],"saída",estoque[produto],preçodiario[[#Headers],[OVO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Row],[data]]))+AF343+preçodiario[[#This Row],[entrada AV]])</f>
        <v>0</v>
      </c>
      <c r="AG344" s="22">
        <f>SUMIFS(estoque[quantidade],estoque[fornecedor],"&lt;&gt;saída",estoque[produto],preçodiario[[#Headers],[OVO VERMELHO A]],estoque[data],preçodiario[[#This Row],[data]])</f>
        <v>0</v>
      </c>
      <c r="AH344" s="20">
        <f>SUMIFS(estoque[valor total],estoque[fornecedor],"&lt;&gt;saída",estoque[produto],preçodiario[[#Headers],[OVO VERMELHO A]],estoque[data],preçodiario[[#This Row],[data]])</f>
        <v>0</v>
      </c>
      <c r="AI344" s="20">
        <f>IFERROR(preçodiario[[#This Row],[OVO VERMELHO A]]*preçodiario[[#This Row],[estoque AV]],0)</f>
        <v>0</v>
      </c>
      <c r="AJ34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Row],[data]])),((AJ343*AK343)+SUMIFS(estoque[valor total],estoque[produto],preçodiario[[#Headers],[OVO VERMELHO B]],estoque[data],preçodiario[[#This Row],[data]],estoque[fornecedor],"&lt;&gt;saída"))/(AK343+(SUMIFS(estoque[quantidade],estoque[produto],preçodiario[[#Headers],[OVO VERMELHO B]],estoque[fornecedor],"&lt;&gt;saída",estoque[data],preçodiario[[#This Row],[data]])))))</f>
        <v/>
      </c>
      <c r="AK344" s="22">
        <f>IF(preçodiario[[#This Row],[entrada BV]]=0,AK343-(SUMIFS(estoque[quantidade],estoque[fornecedor],"saída",estoque[produto],preçodiario[[#Headers],[OVO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Row],[data]]))+AK343+preçodiario[[#This Row],[entrada BV]])</f>
        <v>0</v>
      </c>
      <c r="AL344" s="22">
        <f>SUMIFS(estoque[quantidade],estoque[fornecedor],"&lt;&gt;saída",estoque[produto],preçodiario[[#Headers],[OVO VERMELHO B]],estoque[data],preçodiario[[#This Row],[data]])</f>
        <v>0</v>
      </c>
      <c r="AM344" s="20">
        <f>SUMIFS(estoque[valor total],estoque[fornecedor],"&lt;&gt;saída",estoque[produto],preçodiario[[#Headers],[OVO VERMELHO B]],estoque[data],preçodiario[[#This Row],[data]])</f>
        <v>0</v>
      </c>
      <c r="AN344" s="20">
        <f>IFERROR(preçodiario[[#This Row],[OVO VERMELHO B]]*preçodiario[[#This Row],[estoque BV]],0)</f>
        <v>0</v>
      </c>
      <c r="AO34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Row],[data]])),((AO343*AP343)+SUMIFS(estoque[valor total],estoque[produto],preçodiario[[#Headers],[OVO VERMELHO C]],estoque[data],preçodiario[[#This Row],[data]],estoque[fornecedor],"&lt;&gt;saída"))/(AP343+(SUMIFS(estoque[quantidade],estoque[produto],preçodiario[[#Headers],[OVO VERMELHO C]],estoque[fornecedor],"&lt;&gt;saída",estoque[data],preçodiario[[#This Row],[data]])))))</f>
        <v/>
      </c>
      <c r="AP344" s="22">
        <f>IF(preçodiario[[#This Row],[entrada CV]]=0,AP343-(SUMIFS(estoque[quantidade],estoque[fornecedor],"saída",estoque[produto],preçodiario[[#Headers],[OVO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Row],[data]]))+AP343+preçodiario[[#This Row],[entrada CV]])</f>
        <v>0</v>
      </c>
      <c r="AQ344" s="22">
        <f>SUMIFS(estoque[quantidade],estoque[fornecedor],"&lt;&gt;saída",estoque[produto],preçodiario[[#Headers],[OVO VERMELHO C]],estoque[data],preçodiario[[#This Row],[data]])</f>
        <v>0</v>
      </c>
      <c r="AR344" s="20">
        <f>SUMIFS(estoque[valor total],estoque[fornecedor],"&lt;&gt;saída",estoque[produto],preçodiario[[#Headers],[OVO VERMELHO C]],estoque[data],preçodiario[[#This Row],[data]])</f>
        <v>0</v>
      </c>
      <c r="AS344" s="20">
        <f>IFERROR(preçodiario[[#This Row],[OVO VERMELHO C]]*preçodiario[[#This Row],[estoque CV]],0)</f>
        <v>0</v>
      </c>
      <c r="AT34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Row],[data]])),((AT343*AU343)+SUMIFS(estoque[valor total],estoque[produto],preçodiario[[#Headers],[OVO VERMELHO EXTRA]],estoque[data],preçodiario[[#This Row],[data]],estoque[fornecedor],"&lt;&gt;saída"))/(AU343+(SUMIFS(estoque[quantidade],estoque[produto],preçodiario[[#Headers],[OVO VERMELHO EXTRA]],estoque[fornecedor],"&lt;&gt;saída",estoque[data],preçodiario[[#This Row],[data]])))))</f>
        <v/>
      </c>
      <c r="AU344" s="22">
        <f>IF(preçodiario[[#This Row],[entrada EV]]=0,AU343-(SUMIFS(estoque[quantidade],estoque[fornecedor],"saída",estoque[produto],preçodiario[[#Headers],[OVO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Row],[data]]))+AU343+preçodiario[[#This Row],[entrada EV]])</f>
        <v>0</v>
      </c>
      <c r="AV344" s="22">
        <f>SUMIFS(estoque[quantidade],estoque[fornecedor],"&lt;&gt;saída",estoque[produto],preçodiario[[#Headers],[OVO VERMELHO EXTRA]],estoque[data],preçodiario[[#This Row],[data]])</f>
        <v>0</v>
      </c>
      <c r="AW344" s="20">
        <f>SUMIFS(estoque[valor total],estoque[fornecedor],"&lt;&gt;saída",estoque[produto],preçodiario[[#Headers],[OVO VERMELHO EXTRA]],estoque[data],preçodiario[[#This Row],[data]])</f>
        <v>0</v>
      </c>
      <c r="AX344" s="20">
        <f>IFERROR(preçodiario[[#This Row],[OVO VERMELHO EXTRA]]*preçodiario[[#This Row],[estoque EV]],0)</f>
        <v>0</v>
      </c>
      <c r="AY34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Row],[data]])),((AY343*AZ343)+SUMIFS(estoque[valor total],estoque[produto],preçodiario[[#Headers],[OVO VERMELHO JUMBO]],estoque[data],preçodiario[[#This Row],[data]],estoque[fornecedor],"&lt;&gt;saída"))/(AZ343+(SUMIFS(estoque[quantidade],estoque[produto],preçodiario[[#Headers],[OVO VERMELHO JUMBO]],estoque[fornecedor],"&lt;&gt;saída",estoque[data],preçodiario[[#This Row],[data]])))))</f>
        <v/>
      </c>
      <c r="AZ344" s="22">
        <f>IF(preçodiario[[#This Row],[entrada JV]]=0,AZ343-(SUMIFS(estoque[quantidade],estoque[fornecedor],"saída",estoque[produto],preçodiario[[#Headers],[OVO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Row],[data]]))+AZ343+preçodiario[[#This Row],[entrada JV]])</f>
        <v>0</v>
      </c>
      <c r="BA344" s="22">
        <f>SUMIFS(estoque[quantidade],estoque[fornecedor],"&lt;&gt;saída",estoque[produto],preçodiario[[#Headers],[OVO VERMELHO JUMBO]],estoque[data],preçodiario[[#This Row],[data]])</f>
        <v>0</v>
      </c>
      <c r="BB344" s="20">
        <f>SUMIFS(estoque[valor total],estoque[fornecedor],"&lt;&gt;saída",estoque[produto],preçodiario[[#Headers],[OVO VERMELHO JUMBO]],estoque[data],preçodiario[[#This Row],[data]])</f>
        <v>0</v>
      </c>
      <c r="BC344" s="20">
        <f>IFERROR(preçodiario[[#This Row],[OVO VERMELHO JUMBO]]*preçodiario[[#This Row],[estoque JV]],0)</f>
        <v>0</v>
      </c>
      <c r="BD344" t="str">
        <f>TEXT(vendaAno[[#This Row],[data]],"mmm")</f>
        <v>dez</v>
      </c>
      <c r="BE344" t="str">
        <f>TEXT(vendaAno[[#This Row],[data]],"ddd")</f>
        <v>qua</v>
      </c>
      <c r="BF344" s="82">
        <f>WEEKNUM(vendaAno[[#This Row],[data]],13)</f>
        <v>50</v>
      </c>
      <c r="BG344" s="27">
        <f>preçodiario[[#This Row],[data]]</f>
        <v>46365</v>
      </c>
      <c r="BH34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Row],[data]]))/12+BJ343,"")</f>
        <v/>
      </c>
      <c r="BK344" s="79" t="str">
        <f ca="1">IF(TODAY()&gt;=vendaAno[[#This Row],[data]],IF(SUMIFS(estoque[quantidade],estoque[fornecedor],"saída",estoque[data],vendaAno[[#This Row],[data]])/12=0,AVERAGE(BK341:BK343),SUMIFS(estoque[quantidade],estoque[fornecedor],"saída",estoque[data],vendaAno[[#This Row],[data]])/12),"")</f>
        <v/>
      </c>
      <c r="BL344" s="8" t="str">
        <f ca="1">IF(vendaAno[[#This Row],[data]]&lt;=TODAY(),IF(SUMIFS(estoque[lucro],estoque[fornecedor],"saída",estoque[data],vendaAno[[#This Row],[data]])=0,AVERAGE(BL341:BL343),SUMIFS(estoque[lucro],estoque[fornecedor],"saída",estoque[data],vendaAno[[#This Row],[data]])),"")</f>
        <v/>
      </c>
      <c r="BM344" s="10" t="str">
        <f ca="1">IFERROR(vendaAno[[#This Row],[lucro]]/vendaAno[[#This Row],[valor de venda]],"")</f>
        <v/>
      </c>
      <c r="BN34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4" s="8" t="str">
        <f ca="1">IF(TODAY()&gt;=vendaAno[[#This Row],[data]],IF(vendaAno[[#This Row],[N°]]=BF343,vendaAno[[#This Row],[lucro]]-173.33+BO343,vendaAno[[#This Row],[lucro]]-150),"")</f>
        <v/>
      </c>
      <c r="BP344" s="81" t="str">
        <f ca="1">IF(TODAY()&gt;=vendaAno[[#This Row],[data]],SUM(BK338:BK344)*12,"")</f>
        <v/>
      </c>
      <c r="BQ344" s="7" t="str">
        <f ca="1">IFERROR(vendaAno[[#This Row],[lucro]]/(vendaAno[[#This Row],[venda]]*12),"")</f>
        <v/>
      </c>
    </row>
    <row r="345" spans="1:69" x14ac:dyDescent="0.25">
      <c r="A34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5" s="18" t="str">
        <f>TEXT(preçodiario[[#This Row],[data]],"MMM")</f>
        <v>dez</v>
      </c>
      <c r="C345" s="18" t="str">
        <f>TEXT(preçodiario[[#This Row],[data]],"ddd")</f>
        <v>qui</v>
      </c>
      <c r="D345" s="96">
        <f>WEEKNUM(preçodiario[[#This Row],[data]],13)</f>
        <v>50</v>
      </c>
      <c r="E345" s="37">
        <v>46366</v>
      </c>
      <c r="F34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Row],[data]])),((F344*G344)+SUMIFS(estoque[valor total],estoque[produto],preçodiario[[#Headers],[OVO BRANCO A]],estoque[data],preçodiario[[#This Row],[data]],estoque[fornecedor],"&lt;&gt;saída"))/(G344+(SUMIFS(estoque[quantidade],estoque[produto],preçodiario[[#Headers],[OVO BRANCO A]],estoque[fornecedor],"&lt;&gt;saída",estoque[data],preçodiario[[#This Row],[data]])))))</f>
        <v>15.278182701652089</v>
      </c>
      <c r="G345" s="22">
        <f>IF(preçodiario[[#This Row],[entrada A]]=0,G344-(SUMIFS(estoque[quantidade],estoque[fornecedor],"saída",estoque[produto],preçodiario[[#Headers],[OVO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Row],[data]]))+G344+preçodiario[[#This Row],[entrada A]])</f>
        <v>133</v>
      </c>
      <c r="H345" s="22">
        <f>SUMIFS(estoque[quantidade],estoque[fornecedor],"&lt;&gt;saída",estoque[produto],preçodiario[[#Headers],[OVO BRANCO A]],estoque[data],preçodiario[[#This Row],[data]])</f>
        <v>0</v>
      </c>
      <c r="I345" s="20">
        <f>SUMIFS(estoque[valor total],estoque[fornecedor],"&lt;&gt;saída",estoque[produto],preçodiario[[#Headers],[OVO BRANCO A]],estoque[data],preçodiario[[#This Row],[data]])</f>
        <v>0</v>
      </c>
      <c r="J345" s="20">
        <f>IFERROR(preçodiario[[#This Row],[estoque A]]*preçodiario[[#This Row],[OVO BRANCO A]],0)</f>
        <v>2031.9982993197277</v>
      </c>
      <c r="K34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Row],[data]])),((K344*L344)+SUMIFS(estoque[valor total],estoque[produto],preçodiario[[#Headers],[OVO BRANCO B]],estoque[data],preçodiario[[#This Row],[data]],estoque[fornecedor],"&lt;&gt;saída"))/(L344+(SUMIFS(estoque[quantidade],estoque[produto],preçodiario[[#Headers],[OVO BRANCO B]],estoque[fornecedor],"&lt;&gt;saída",estoque[data],preçodiario[[#This Row],[data]])))))</f>
        <v>14.584252837326604</v>
      </c>
      <c r="L345" s="22">
        <f>IF(preçodiario[[#This Row],[entrada B]]=0,L344-(SUMIFS(estoque[quantidade],estoque[fornecedor],"saída",estoque[produto],preçodiario[[#Headers],[OVO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Row],[data]]))+L344+preçodiario[[#This Row],[entrada B]])</f>
        <v>16</v>
      </c>
      <c r="M345" s="22">
        <f>SUMIFS(estoque[quantidade],estoque[fornecedor],"&lt;&gt;saída",estoque[produto],preçodiario[[#Headers],[OVO BRANCO B]],estoque[data],preçodiario[[#This Row],[data]])</f>
        <v>0</v>
      </c>
      <c r="N345" s="20">
        <f>SUMIFS(estoque[valor total],estoque[fornecedor],"&lt;&gt;saída",estoque[produto],preçodiario[[#Headers],[OVO BRANCO B]],estoque[data],preçodiario[[#This Row],[data]])</f>
        <v>0</v>
      </c>
      <c r="O345" s="20">
        <f>IFERROR(preçodiario[[#This Row],[OVO BRANCO B]]*preçodiario[[#This Row],[estoque B]],0)</f>
        <v>233.34804539722566</v>
      </c>
      <c r="P34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Row],[data]])),((P344*Q344)+SUMIFS(estoque[valor total],estoque[produto],preçodiario[[#Headers],[OVO BRANCO C]],estoque[data],preçodiario[[#This Row],[data]],estoque[fornecedor],"&lt;&gt;saída"))/(Q344+(SUMIFS(estoque[quantidade],estoque[produto],preçodiario[[#Headers],[OVO BRANCO C]],estoque[fornecedor],"&lt;&gt;saída",estoque[data],preçodiario[[#This Row],[data]])))))</f>
        <v>12.5</v>
      </c>
      <c r="Q345" s="22">
        <f>IF(preçodiario[[#This Row],[entrada C]]=0,Q344-(SUMIFS(estoque[quantidade],estoque[fornecedor],"saída",estoque[produto],preçodiario[[#Headers],[OVO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Row],[data]]))+Q344+preçodiario[[#This Row],[entrada C]])</f>
        <v>60</v>
      </c>
      <c r="R345" s="22">
        <f>SUMIFS(estoque[quantidade],estoque[fornecedor],"&lt;&gt;saída",estoque[produto],preçodiario[[#Headers],[OVO BRANCO C]],estoque[data],preçodiario[[#This Row],[data]])</f>
        <v>0</v>
      </c>
      <c r="S345" s="20">
        <f>SUMIFS(estoque[valor total],estoque[fornecedor],"&lt;&gt;saída",estoque[produto],preçodiario[[#Headers],[OVO BRANCO C]],estoque[data],preçodiario[[#This Row],[data]])</f>
        <v>0</v>
      </c>
      <c r="T345" s="20">
        <f>IFERROR(preçodiario[[#This Row],[OVO BRANCO C]]*preçodiario[[#This Row],[estoque C]],0)</f>
        <v>750</v>
      </c>
      <c r="U34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Row],[data]])),((U344*V344)+SUMIFS(estoque[valor total],estoque[produto],preçodiario[[#Headers],[OVO BRANCO EXTRA]],estoque[data],preçodiario[[#This Row],[data]],estoque[fornecedor],"&lt;&gt;saída"))/(V344+(SUMIFS(estoque[quantidade],estoque[produto],preçodiario[[#Headers],[OVO BRANCO EXTRA]],estoque[fornecedor],"&lt;&gt;saída",estoque[data],preçodiario[[#This Row],[data]])))))</f>
        <v>15.725438400674655</v>
      </c>
      <c r="V345" s="22">
        <f>IF(preçodiario[[#This Row],[entrada E]]=0,V344-(SUMIFS(estoque[quantidade],estoque[fornecedor],"saída",estoque[produto],preçodiario[[#Headers],[OVO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Row],[data]]))+V344+preçodiario[[#This Row],[entrada E]])</f>
        <v>46</v>
      </c>
      <c r="W345" s="22">
        <f>SUMIFS(estoque[quantidade],estoque[fornecedor],"&lt;&gt;saída",estoque[produto],preçodiario[[#Headers],[OVO BRANCO EXTRA]],estoque[data],preçodiario[[#This Row],[data]])</f>
        <v>0</v>
      </c>
      <c r="X345" s="20">
        <f>SUMIFS(estoque[valor total],estoque[fornecedor],"&lt;&gt;saída",estoque[produto],preçodiario[[#Headers],[OVO BRANCO EXTRA]],estoque[data],preçodiario[[#This Row],[data]])</f>
        <v>0</v>
      </c>
      <c r="Y345" s="20">
        <f>IFERROR(preçodiario[[#This Row],[estoque E]]*preçodiario[[#This Row],[OVO BRANCO EXTRA]],0)</f>
        <v>723.37016643103414</v>
      </c>
      <c r="Z34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Row],[data]])),((Z344*AA344)+SUMIFS(estoque[valor total],estoque[produto],preçodiario[[#Headers],[OVO BRANCO JUMBO]],estoque[data],preçodiario[[#This Row],[data]],estoque[fornecedor],"&lt;&gt;saída"))/(AA344+(SUMIFS(estoque[quantidade],estoque[produto],preçodiario[[#Headers],[OVO BRANCO JUMBO]],estoque[fornecedor],"&lt;&gt;saída",estoque[data],preçodiario[[#This Row],[data]])))))</f>
        <v>16.50550595238095</v>
      </c>
      <c r="AA345" s="22">
        <f>IF(preçodiario[[#This Row],[entrada J]]=0,AA344-(SUMIFS(estoque[quantidade],estoque[fornecedor],"saída",estoque[produto],preçodiario[[#Headers],[OVO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Row],[data]]))+AA344+preçodiario[[#This Row],[entrada J]])</f>
        <v>75</v>
      </c>
      <c r="AB345" s="22">
        <f>SUMIFS(estoque[quantidade],estoque[fornecedor],"&lt;&gt;saída",estoque[produto],preçodiario[[#Headers],[OVO BRANCO JUMBO]],estoque[data],preçodiario[[#This Row],[data]])</f>
        <v>0</v>
      </c>
      <c r="AC345" s="20">
        <f>SUMIFS(estoque[valor total],estoque[fornecedor],"&lt;&gt;saída",estoque[produto],preçodiario[[#Headers],[OVO BRANCO JUMBO]],estoque[data],preçodiario[[#This Row],[data]])</f>
        <v>0</v>
      </c>
      <c r="AD345" s="20">
        <f>IFERROR(preçodiario[[#This Row],[OVO BRANCO JUMBO]]*preçodiario[[#This Row],[estoque J]],0)</f>
        <v>1237.9129464285713</v>
      </c>
      <c r="AE34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Row],[data]])),((AE344*AF344)+SUMIFS(estoque[valor total],estoque[produto],preçodiario[[#Headers],[OVO VERMELHO A]],estoque[data],preçodiario[[#This Row],[data]],estoque[fornecedor],"&lt;&gt;saída"))/(AF344+(SUMIFS(estoque[quantidade],estoque[produto],preçodiario[[#Headers],[OVO VERMELHO A]],estoque[fornecedor],"&lt;&gt;saída",estoque[data],preçodiario[[#This Row],[data]])))))</f>
        <v/>
      </c>
      <c r="AF345" s="22">
        <f>IF(preçodiario[[#This Row],[entrada AV]]=0,AF344-(SUMIFS(estoque[quantidade],estoque[fornecedor],"saída",estoque[produto],preçodiario[[#Headers],[OVO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Row],[data]]))+AF344+preçodiario[[#This Row],[entrada AV]])</f>
        <v>0</v>
      </c>
      <c r="AG345" s="22">
        <f>SUMIFS(estoque[quantidade],estoque[fornecedor],"&lt;&gt;saída",estoque[produto],preçodiario[[#Headers],[OVO VERMELHO A]],estoque[data],preçodiario[[#This Row],[data]])</f>
        <v>0</v>
      </c>
      <c r="AH345" s="20">
        <f>SUMIFS(estoque[valor total],estoque[fornecedor],"&lt;&gt;saída",estoque[produto],preçodiario[[#Headers],[OVO VERMELHO A]],estoque[data],preçodiario[[#This Row],[data]])</f>
        <v>0</v>
      </c>
      <c r="AI345" s="20">
        <f>IFERROR(preçodiario[[#This Row],[OVO VERMELHO A]]*preçodiario[[#This Row],[estoque AV]],0)</f>
        <v>0</v>
      </c>
      <c r="AJ34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Row],[data]])),((AJ344*AK344)+SUMIFS(estoque[valor total],estoque[produto],preçodiario[[#Headers],[OVO VERMELHO B]],estoque[data],preçodiario[[#This Row],[data]],estoque[fornecedor],"&lt;&gt;saída"))/(AK344+(SUMIFS(estoque[quantidade],estoque[produto],preçodiario[[#Headers],[OVO VERMELHO B]],estoque[fornecedor],"&lt;&gt;saída",estoque[data],preçodiario[[#This Row],[data]])))))</f>
        <v/>
      </c>
      <c r="AK345" s="22">
        <f>IF(preçodiario[[#This Row],[entrada BV]]=0,AK344-(SUMIFS(estoque[quantidade],estoque[fornecedor],"saída",estoque[produto],preçodiario[[#Headers],[OVO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Row],[data]]))+AK344+preçodiario[[#This Row],[entrada BV]])</f>
        <v>0</v>
      </c>
      <c r="AL345" s="22">
        <f>SUMIFS(estoque[quantidade],estoque[fornecedor],"&lt;&gt;saída",estoque[produto],preçodiario[[#Headers],[OVO VERMELHO B]],estoque[data],preçodiario[[#This Row],[data]])</f>
        <v>0</v>
      </c>
      <c r="AM345" s="20">
        <f>SUMIFS(estoque[valor total],estoque[fornecedor],"&lt;&gt;saída",estoque[produto],preçodiario[[#Headers],[OVO VERMELHO B]],estoque[data],preçodiario[[#This Row],[data]])</f>
        <v>0</v>
      </c>
      <c r="AN345" s="20">
        <f>IFERROR(preçodiario[[#This Row],[OVO VERMELHO B]]*preçodiario[[#This Row],[estoque BV]],0)</f>
        <v>0</v>
      </c>
      <c r="AO34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Row],[data]])),((AO344*AP344)+SUMIFS(estoque[valor total],estoque[produto],preçodiario[[#Headers],[OVO VERMELHO C]],estoque[data],preçodiario[[#This Row],[data]],estoque[fornecedor],"&lt;&gt;saída"))/(AP344+(SUMIFS(estoque[quantidade],estoque[produto],preçodiario[[#Headers],[OVO VERMELHO C]],estoque[fornecedor],"&lt;&gt;saída",estoque[data],preçodiario[[#This Row],[data]])))))</f>
        <v/>
      </c>
      <c r="AP345" s="22">
        <f>IF(preçodiario[[#This Row],[entrada CV]]=0,AP344-(SUMIFS(estoque[quantidade],estoque[fornecedor],"saída",estoque[produto],preçodiario[[#Headers],[OVO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Row],[data]]))+AP344+preçodiario[[#This Row],[entrada CV]])</f>
        <v>0</v>
      </c>
      <c r="AQ345" s="22">
        <f>SUMIFS(estoque[quantidade],estoque[fornecedor],"&lt;&gt;saída",estoque[produto],preçodiario[[#Headers],[OVO VERMELHO C]],estoque[data],preçodiario[[#This Row],[data]])</f>
        <v>0</v>
      </c>
      <c r="AR345" s="20">
        <f>SUMIFS(estoque[valor total],estoque[fornecedor],"&lt;&gt;saída",estoque[produto],preçodiario[[#Headers],[OVO VERMELHO C]],estoque[data],preçodiario[[#This Row],[data]])</f>
        <v>0</v>
      </c>
      <c r="AS345" s="20">
        <f>IFERROR(preçodiario[[#This Row],[OVO VERMELHO C]]*preçodiario[[#This Row],[estoque CV]],0)</f>
        <v>0</v>
      </c>
      <c r="AT34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Row],[data]])),((AT344*AU344)+SUMIFS(estoque[valor total],estoque[produto],preçodiario[[#Headers],[OVO VERMELHO EXTRA]],estoque[data],preçodiario[[#This Row],[data]],estoque[fornecedor],"&lt;&gt;saída"))/(AU344+(SUMIFS(estoque[quantidade],estoque[produto],preçodiario[[#Headers],[OVO VERMELHO EXTRA]],estoque[fornecedor],"&lt;&gt;saída",estoque[data],preçodiario[[#This Row],[data]])))))</f>
        <v/>
      </c>
      <c r="AU345" s="22">
        <f>IF(preçodiario[[#This Row],[entrada EV]]=0,AU344-(SUMIFS(estoque[quantidade],estoque[fornecedor],"saída",estoque[produto],preçodiario[[#Headers],[OVO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Row],[data]]))+AU344+preçodiario[[#This Row],[entrada EV]])</f>
        <v>0</v>
      </c>
      <c r="AV345" s="22">
        <f>SUMIFS(estoque[quantidade],estoque[fornecedor],"&lt;&gt;saída",estoque[produto],preçodiario[[#Headers],[OVO VERMELHO EXTRA]],estoque[data],preçodiario[[#This Row],[data]])</f>
        <v>0</v>
      </c>
      <c r="AW345" s="20">
        <f>SUMIFS(estoque[valor total],estoque[fornecedor],"&lt;&gt;saída",estoque[produto],preçodiario[[#Headers],[OVO VERMELHO EXTRA]],estoque[data],preçodiario[[#This Row],[data]])</f>
        <v>0</v>
      </c>
      <c r="AX345" s="20">
        <f>IFERROR(preçodiario[[#This Row],[OVO VERMELHO EXTRA]]*preçodiario[[#This Row],[estoque EV]],0)</f>
        <v>0</v>
      </c>
      <c r="AY34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Row],[data]])),((AY344*AZ344)+SUMIFS(estoque[valor total],estoque[produto],preçodiario[[#Headers],[OVO VERMELHO JUMBO]],estoque[data],preçodiario[[#This Row],[data]],estoque[fornecedor],"&lt;&gt;saída"))/(AZ344+(SUMIFS(estoque[quantidade],estoque[produto],preçodiario[[#Headers],[OVO VERMELHO JUMBO]],estoque[fornecedor],"&lt;&gt;saída",estoque[data],preçodiario[[#This Row],[data]])))))</f>
        <v/>
      </c>
      <c r="AZ345" s="22">
        <f>IF(preçodiario[[#This Row],[entrada JV]]=0,AZ344-(SUMIFS(estoque[quantidade],estoque[fornecedor],"saída",estoque[produto],preçodiario[[#Headers],[OVO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Row],[data]]))+AZ344+preçodiario[[#This Row],[entrada JV]])</f>
        <v>0</v>
      </c>
      <c r="BA345" s="22">
        <f>SUMIFS(estoque[quantidade],estoque[fornecedor],"&lt;&gt;saída",estoque[produto],preçodiario[[#Headers],[OVO VERMELHO JUMBO]],estoque[data],preçodiario[[#This Row],[data]])</f>
        <v>0</v>
      </c>
      <c r="BB345" s="20">
        <f>SUMIFS(estoque[valor total],estoque[fornecedor],"&lt;&gt;saída",estoque[produto],preçodiario[[#Headers],[OVO VERMELHO JUMBO]],estoque[data],preçodiario[[#This Row],[data]])</f>
        <v>0</v>
      </c>
      <c r="BC345" s="20">
        <f>IFERROR(preçodiario[[#This Row],[OVO VERMELHO JUMBO]]*preçodiario[[#This Row],[estoque JV]],0)</f>
        <v>0</v>
      </c>
      <c r="BD345" t="str">
        <f>TEXT(vendaAno[[#This Row],[data]],"mmm")</f>
        <v>dez</v>
      </c>
      <c r="BE345" t="str">
        <f>TEXT(vendaAno[[#This Row],[data]],"ddd")</f>
        <v>qui</v>
      </c>
      <c r="BF345" s="82">
        <f>WEEKNUM(vendaAno[[#This Row],[data]],13)</f>
        <v>50</v>
      </c>
      <c r="BG345" s="27">
        <f>preçodiario[[#This Row],[data]]</f>
        <v>46366</v>
      </c>
      <c r="BH34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Row],[data]]))/12+BJ344,"")</f>
        <v/>
      </c>
      <c r="BK345" s="79" t="str">
        <f ca="1">IF(TODAY()&gt;=vendaAno[[#This Row],[data]],IF(SUMIFS(estoque[quantidade],estoque[fornecedor],"saída",estoque[data],vendaAno[[#This Row],[data]])/12=0,AVERAGE(BK342:BK344),SUMIFS(estoque[quantidade],estoque[fornecedor],"saída",estoque[data],vendaAno[[#This Row],[data]])/12),"")</f>
        <v/>
      </c>
      <c r="BL345" s="8" t="str">
        <f ca="1">IF(vendaAno[[#This Row],[data]]&lt;=TODAY(),IF(SUMIFS(estoque[lucro],estoque[fornecedor],"saída",estoque[data],vendaAno[[#This Row],[data]])=0,AVERAGE(BL342:BL344),SUMIFS(estoque[lucro],estoque[fornecedor],"saída",estoque[data],vendaAno[[#This Row],[data]])),"")</f>
        <v/>
      </c>
      <c r="BM345" s="10" t="str">
        <f ca="1">IFERROR(vendaAno[[#This Row],[lucro]]/vendaAno[[#This Row],[valor de venda]],"")</f>
        <v/>
      </c>
      <c r="BN34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5" s="8" t="str">
        <f ca="1">IF(TODAY()&gt;=vendaAno[[#This Row],[data]],IF(vendaAno[[#This Row],[N°]]=BF344,vendaAno[[#This Row],[lucro]]-173.33+BO344,vendaAno[[#This Row],[lucro]]-150),"")</f>
        <v/>
      </c>
      <c r="BP345" s="81" t="str">
        <f ca="1">IF(TODAY()&gt;=vendaAno[[#This Row],[data]],SUM(BK339:BK345)*12,"")</f>
        <v/>
      </c>
      <c r="BQ345" s="7" t="str">
        <f ca="1">IFERROR(vendaAno[[#This Row],[lucro]]/(vendaAno[[#This Row],[venda]]*12),"")</f>
        <v/>
      </c>
    </row>
    <row r="346" spans="1:69" x14ac:dyDescent="0.25">
      <c r="A34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6" s="18" t="str">
        <f>TEXT(preçodiario[[#This Row],[data]],"MMM")</f>
        <v>dez</v>
      </c>
      <c r="C346" s="18" t="str">
        <f>TEXT(preçodiario[[#This Row],[data]],"ddd")</f>
        <v>sex</v>
      </c>
      <c r="D346" s="96">
        <f>WEEKNUM(preçodiario[[#This Row],[data]],13)</f>
        <v>50</v>
      </c>
      <c r="E346" s="37">
        <v>46367</v>
      </c>
      <c r="F34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Row],[data]])),((F345*G345)+SUMIFS(estoque[valor total],estoque[produto],preçodiario[[#Headers],[OVO BRANCO A]],estoque[data],preçodiario[[#This Row],[data]],estoque[fornecedor],"&lt;&gt;saída"))/(G345+(SUMIFS(estoque[quantidade],estoque[produto],preçodiario[[#Headers],[OVO BRANCO A]],estoque[fornecedor],"&lt;&gt;saída",estoque[data],preçodiario[[#This Row],[data]])))))</f>
        <v>15.278182701652089</v>
      </c>
      <c r="G346" s="22">
        <f>IF(preçodiario[[#This Row],[entrada A]]=0,G345-(SUMIFS(estoque[quantidade],estoque[fornecedor],"saída",estoque[produto],preçodiario[[#Headers],[OVO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Row],[data]]))+G345+preçodiario[[#This Row],[entrada A]])</f>
        <v>133</v>
      </c>
      <c r="H346" s="22">
        <f>SUMIFS(estoque[quantidade],estoque[fornecedor],"&lt;&gt;saída",estoque[produto],preçodiario[[#Headers],[OVO BRANCO A]],estoque[data],preçodiario[[#This Row],[data]])</f>
        <v>0</v>
      </c>
      <c r="I346" s="20">
        <f>SUMIFS(estoque[valor total],estoque[fornecedor],"&lt;&gt;saída",estoque[produto],preçodiario[[#Headers],[OVO BRANCO A]],estoque[data],preçodiario[[#This Row],[data]])</f>
        <v>0</v>
      </c>
      <c r="J346" s="20">
        <f>IFERROR(preçodiario[[#This Row],[estoque A]]*preçodiario[[#This Row],[OVO BRANCO A]],0)</f>
        <v>2031.9982993197277</v>
      </c>
      <c r="K34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Row],[data]])),((K345*L345)+SUMIFS(estoque[valor total],estoque[produto],preçodiario[[#Headers],[OVO BRANCO B]],estoque[data],preçodiario[[#This Row],[data]],estoque[fornecedor],"&lt;&gt;saída"))/(L345+(SUMIFS(estoque[quantidade],estoque[produto],preçodiario[[#Headers],[OVO BRANCO B]],estoque[fornecedor],"&lt;&gt;saída",estoque[data],preçodiario[[#This Row],[data]])))))</f>
        <v>14.584252837326604</v>
      </c>
      <c r="L346" s="22">
        <f>IF(preçodiario[[#This Row],[entrada B]]=0,L345-(SUMIFS(estoque[quantidade],estoque[fornecedor],"saída",estoque[produto],preçodiario[[#Headers],[OVO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Row],[data]]))+L345+preçodiario[[#This Row],[entrada B]])</f>
        <v>16</v>
      </c>
      <c r="M346" s="22">
        <f>SUMIFS(estoque[quantidade],estoque[fornecedor],"&lt;&gt;saída",estoque[produto],preçodiario[[#Headers],[OVO BRANCO B]],estoque[data],preçodiario[[#This Row],[data]])</f>
        <v>0</v>
      </c>
      <c r="N346" s="20">
        <f>SUMIFS(estoque[valor total],estoque[fornecedor],"&lt;&gt;saída",estoque[produto],preçodiario[[#Headers],[OVO BRANCO B]],estoque[data],preçodiario[[#This Row],[data]])</f>
        <v>0</v>
      </c>
      <c r="O346" s="20">
        <f>IFERROR(preçodiario[[#This Row],[OVO BRANCO B]]*preçodiario[[#This Row],[estoque B]],0)</f>
        <v>233.34804539722566</v>
      </c>
      <c r="P34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Row],[data]])),((P345*Q345)+SUMIFS(estoque[valor total],estoque[produto],preçodiario[[#Headers],[OVO BRANCO C]],estoque[data],preçodiario[[#This Row],[data]],estoque[fornecedor],"&lt;&gt;saída"))/(Q345+(SUMIFS(estoque[quantidade],estoque[produto],preçodiario[[#Headers],[OVO BRANCO C]],estoque[fornecedor],"&lt;&gt;saída",estoque[data],preçodiario[[#This Row],[data]])))))</f>
        <v>12.5</v>
      </c>
      <c r="Q346" s="22">
        <f>IF(preçodiario[[#This Row],[entrada C]]=0,Q345-(SUMIFS(estoque[quantidade],estoque[fornecedor],"saída",estoque[produto],preçodiario[[#Headers],[OVO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Row],[data]]))+Q345+preçodiario[[#This Row],[entrada C]])</f>
        <v>60</v>
      </c>
      <c r="R346" s="22">
        <f>SUMIFS(estoque[quantidade],estoque[fornecedor],"&lt;&gt;saída",estoque[produto],preçodiario[[#Headers],[OVO BRANCO C]],estoque[data],preçodiario[[#This Row],[data]])</f>
        <v>0</v>
      </c>
      <c r="S346" s="20">
        <f>SUMIFS(estoque[valor total],estoque[fornecedor],"&lt;&gt;saída",estoque[produto],preçodiario[[#Headers],[OVO BRANCO C]],estoque[data],preçodiario[[#This Row],[data]])</f>
        <v>0</v>
      </c>
      <c r="T346" s="20">
        <f>IFERROR(preçodiario[[#This Row],[OVO BRANCO C]]*preçodiario[[#This Row],[estoque C]],0)</f>
        <v>750</v>
      </c>
      <c r="U34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Row],[data]])),((U345*V345)+SUMIFS(estoque[valor total],estoque[produto],preçodiario[[#Headers],[OVO BRANCO EXTRA]],estoque[data],preçodiario[[#This Row],[data]],estoque[fornecedor],"&lt;&gt;saída"))/(V345+(SUMIFS(estoque[quantidade],estoque[produto],preçodiario[[#Headers],[OVO BRANCO EXTRA]],estoque[fornecedor],"&lt;&gt;saída",estoque[data],preçodiario[[#This Row],[data]])))))</f>
        <v>15.725438400674655</v>
      </c>
      <c r="V346" s="22">
        <f>IF(preçodiario[[#This Row],[entrada E]]=0,V345-(SUMIFS(estoque[quantidade],estoque[fornecedor],"saída",estoque[produto],preçodiario[[#Headers],[OVO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Row],[data]]))+V345+preçodiario[[#This Row],[entrada E]])</f>
        <v>46</v>
      </c>
      <c r="W346" s="22">
        <f>SUMIFS(estoque[quantidade],estoque[fornecedor],"&lt;&gt;saída",estoque[produto],preçodiario[[#Headers],[OVO BRANCO EXTRA]],estoque[data],preçodiario[[#This Row],[data]])</f>
        <v>0</v>
      </c>
      <c r="X346" s="20">
        <f>SUMIFS(estoque[valor total],estoque[fornecedor],"&lt;&gt;saída",estoque[produto],preçodiario[[#Headers],[OVO BRANCO EXTRA]],estoque[data],preçodiario[[#This Row],[data]])</f>
        <v>0</v>
      </c>
      <c r="Y346" s="20">
        <f>IFERROR(preçodiario[[#This Row],[estoque E]]*preçodiario[[#This Row],[OVO BRANCO EXTRA]],0)</f>
        <v>723.37016643103414</v>
      </c>
      <c r="Z34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Row],[data]])),((Z345*AA345)+SUMIFS(estoque[valor total],estoque[produto],preçodiario[[#Headers],[OVO BRANCO JUMBO]],estoque[data],preçodiario[[#This Row],[data]],estoque[fornecedor],"&lt;&gt;saída"))/(AA345+(SUMIFS(estoque[quantidade],estoque[produto],preçodiario[[#Headers],[OVO BRANCO JUMBO]],estoque[fornecedor],"&lt;&gt;saída",estoque[data],preçodiario[[#This Row],[data]])))))</f>
        <v>16.50550595238095</v>
      </c>
      <c r="AA346" s="22">
        <f>IF(preçodiario[[#This Row],[entrada J]]=0,AA345-(SUMIFS(estoque[quantidade],estoque[fornecedor],"saída",estoque[produto],preçodiario[[#Headers],[OVO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Row],[data]]))+AA345+preçodiario[[#This Row],[entrada J]])</f>
        <v>75</v>
      </c>
      <c r="AB346" s="22">
        <f>SUMIFS(estoque[quantidade],estoque[fornecedor],"&lt;&gt;saída",estoque[produto],preçodiario[[#Headers],[OVO BRANCO JUMBO]],estoque[data],preçodiario[[#This Row],[data]])</f>
        <v>0</v>
      </c>
      <c r="AC346" s="20">
        <f>SUMIFS(estoque[valor total],estoque[fornecedor],"&lt;&gt;saída",estoque[produto],preçodiario[[#Headers],[OVO BRANCO JUMBO]],estoque[data],preçodiario[[#This Row],[data]])</f>
        <v>0</v>
      </c>
      <c r="AD346" s="20">
        <f>IFERROR(preçodiario[[#This Row],[OVO BRANCO JUMBO]]*preçodiario[[#This Row],[estoque J]],0)</f>
        <v>1237.9129464285713</v>
      </c>
      <c r="AE34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Row],[data]])),((AE345*AF345)+SUMIFS(estoque[valor total],estoque[produto],preçodiario[[#Headers],[OVO VERMELHO A]],estoque[data],preçodiario[[#This Row],[data]],estoque[fornecedor],"&lt;&gt;saída"))/(AF345+(SUMIFS(estoque[quantidade],estoque[produto],preçodiario[[#Headers],[OVO VERMELHO A]],estoque[fornecedor],"&lt;&gt;saída",estoque[data],preçodiario[[#This Row],[data]])))))</f>
        <v/>
      </c>
      <c r="AF346" s="22">
        <f>IF(preçodiario[[#This Row],[entrada AV]]=0,AF345-(SUMIFS(estoque[quantidade],estoque[fornecedor],"saída",estoque[produto],preçodiario[[#Headers],[OVO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Row],[data]]))+AF345+preçodiario[[#This Row],[entrada AV]])</f>
        <v>0</v>
      </c>
      <c r="AG346" s="22">
        <f>SUMIFS(estoque[quantidade],estoque[fornecedor],"&lt;&gt;saída",estoque[produto],preçodiario[[#Headers],[OVO VERMELHO A]],estoque[data],preçodiario[[#This Row],[data]])</f>
        <v>0</v>
      </c>
      <c r="AH346" s="20">
        <f>SUMIFS(estoque[valor total],estoque[fornecedor],"&lt;&gt;saída",estoque[produto],preçodiario[[#Headers],[OVO VERMELHO A]],estoque[data],preçodiario[[#This Row],[data]])</f>
        <v>0</v>
      </c>
      <c r="AI346" s="20">
        <f>IFERROR(preçodiario[[#This Row],[OVO VERMELHO A]]*preçodiario[[#This Row],[estoque AV]],0)</f>
        <v>0</v>
      </c>
      <c r="AJ34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Row],[data]])),((AJ345*AK345)+SUMIFS(estoque[valor total],estoque[produto],preçodiario[[#Headers],[OVO VERMELHO B]],estoque[data],preçodiario[[#This Row],[data]],estoque[fornecedor],"&lt;&gt;saída"))/(AK345+(SUMIFS(estoque[quantidade],estoque[produto],preçodiario[[#Headers],[OVO VERMELHO B]],estoque[fornecedor],"&lt;&gt;saída",estoque[data],preçodiario[[#This Row],[data]])))))</f>
        <v/>
      </c>
      <c r="AK346" s="22">
        <f>IF(preçodiario[[#This Row],[entrada BV]]=0,AK345-(SUMIFS(estoque[quantidade],estoque[fornecedor],"saída",estoque[produto],preçodiario[[#Headers],[OVO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Row],[data]]))+AK345+preçodiario[[#This Row],[entrada BV]])</f>
        <v>0</v>
      </c>
      <c r="AL346" s="22">
        <f>SUMIFS(estoque[quantidade],estoque[fornecedor],"&lt;&gt;saída",estoque[produto],preçodiario[[#Headers],[OVO VERMELHO B]],estoque[data],preçodiario[[#This Row],[data]])</f>
        <v>0</v>
      </c>
      <c r="AM346" s="20">
        <f>SUMIFS(estoque[valor total],estoque[fornecedor],"&lt;&gt;saída",estoque[produto],preçodiario[[#Headers],[OVO VERMELHO B]],estoque[data],preçodiario[[#This Row],[data]])</f>
        <v>0</v>
      </c>
      <c r="AN346" s="20">
        <f>IFERROR(preçodiario[[#This Row],[OVO VERMELHO B]]*preçodiario[[#This Row],[estoque BV]],0)</f>
        <v>0</v>
      </c>
      <c r="AO34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Row],[data]])),((AO345*AP345)+SUMIFS(estoque[valor total],estoque[produto],preçodiario[[#Headers],[OVO VERMELHO C]],estoque[data],preçodiario[[#This Row],[data]],estoque[fornecedor],"&lt;&gt;saída"))/(AP345+(SUMIFS(estoque[quantidade],estoque[produto],preçodiario[[#Headers],[OVO VERMELHO C]],estoque[fornecedor],"&lt;&gt;saída",estoque[data],preçodiario[[#This Row],[data]])))))</f>
        <v/>
      </c>
      <c r="AP346" s="22">
        <f>IF(preçodiario[[#This Row],[entrada CV]]=0,AP345-(SUMIFS(estoque[quantidade],estoque[fornecedor],"saída",estoque[produto],preçodiario[[#Headers],[OVO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Row],[data]]))+AP345+preçodiario[[#This Row],[entrada CV]])</f>
        <v>0</v>
      </c>
      <c r="AQ346" s="22">
        <f>SUMIFS(estoque[quantidade],estoque[fornecedor],"&lt;&gt;saída",estoque[produto],preçodiario[[#Headers],[OVO VERMELHO C]],estoque[data],preçodiario[[#This Row],[data]])</f>
        <v>0</v>
      </c>
      <c r="AR346" s="20">
        <f>SUMIFS(estoque[valor total],estoque[fornecedor],"&lt;&gt;saída",estoque[produto],preçodiario[[#Headers],[OVO VERMELHO C]],estoque[data],preçodiario[[#This Row],[data]])</f>
        <v>0</v>
      </c>
      <c r="AS346" s="20">
        <f>IFERROR(preçodiario[[#This Row],[OVO VERMELHO C]]*preçodiario[[#This Row],[estoque CV]],0)</f>
        <v>0</v>
      </c>
      <c r="AT34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Row],[data]])),((AT345*AU345)+SUMIFS(estoque[valor total],estoque[produto],preçodiario[[#Headers],[OVO VERMELHO EXTRA]],estoque[data],preçodiario[[#This Row],[data]],estoque[fornecedor],"&lt;&gt;saída"))/(AU345+(SUMIFS(estoque[quantidade],estoque[produto],preçodiario[[#Headers],[OVO VERMELHO EXTRA]],estoque[fornecedor],"&lt;&gt;saída",estoque[data],preçodiario[[#This Row],[data]])))))</f>
        <v/>
      </c>
      <c r="AU346" s="22">
        <f>IF(preçodiario[[#This Row],[entrada EV]]=0,AU345-(SUMIFS(estoque[quantidade],estoque[fornecedor],"saída",estoque[produto],preçodiario[[#Headers],[OVO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Row],[data]]))+AU345+preçodiario[[#This Row],[entrada EV]])</f>
        <v>0</v>
      </c>
      <c r="AV346" s="22">
        <f>SUMIFS(estoque[quantidade],estoque[fornecedor],"&lt;&gt;saída",estoque[produto],preçodiario[[#Headers],[OVO VERMELHO EXTRA]],estoque[data],preçodiario[[#This Row],[data]])</f>
        <v>0</v>
      </c>
      <c r="AW346" s="20">
        <f>SUMIFS(estoque[valor total],estoque[fornecedor],"&lt;&gt;saída",estoque[produto],preçodiario[[#Headers],[OVO VERMELHO EXTRA]],estoque[data],preçodiario[[#This Row],[data]])</f>
        <v>0</v>
      </c>
      <c r="AX346" s="20">
        <f>IFERROR(preçodiario[[#This Row],[OVO VERMELHO EXTRA]]*preçodiario[[#This Row],[estoque EV]],0)</f>
        <v>0</v>
      </c>
      <c r="AY34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Row],[data]])),((AY345*AZ345)+SUMIFS(estoque[valor total],estoque[produto],preçodiario[[#Headers],[OVO VERMELHO JUMBO]],estoque[data],preçodiario[[#This Row],[data]],estoque[fornecedor],"&lt;&gt;saída"))/(AZ345+(SUMIFS(estoque[quantidade],estoque[produto],preçodiario[[#Headers],[OVO VERMELHO JUMBO]],estoque[fornecedor],"&lt;&gt;saída",estoque[data],preçodiario[[#This Row],[data]])))))</f>
        <v/>
      </c>
      <c r="AZ346" s="22">
        <f>IF(preçodiario[[#This Row],[entrada JV]]=0,AZ345-(SUMIFS(estoque[quantidade],estoque[fornecedor],"saída",estoque[produto],preçodiario[[#Headers],[OVO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Row],[data]]))+AZ345+preçodiario[[#This Row],[entrada JV]])</f>
        <v>0</v>
      </c>
      <c r="BA346" s="22">
        <f>SUMIFS(estoque[quantidade],estoque[fornecedor],"&lt;&gt;saída",estoque[produto],preçodiario[[#Headers],[OVO VERMELHO JUMBO]],estoque[data],preçodiario[[#This Row],[data]])</f>
        <v>0</v>
      </c>
      <c r="BB346" s="20">
        <f>SUMIFS(estoque[valor total],estoque[fornecedor],"&lt;&gt;saída",estoque[produto],preçodiario[[#Headers],[OVO VERMELHO JUMBO]],estoque[data],preçodiario[[#This Row],[data]])</f>
        <v>0</v>
      </c>
      <c r="BC346" s="20">
        <f>IFERROR(preçodiario[[#This Row],[OVO VERMELHO JUMBO]]*preçodiario[[#This Row],[estoque JV]],0)</f>
        <v>0</v>
      </c>
      <c r="BD346" t="str">
        <f>TEXT(vendaAno[[#This Row],[data]],"mmm")</f>
        <v>dez</v>
      </c>
      <c r="BE346" t="str">
        <f>TEXT(vendaAno[[#This Row],[data]],"ddd")</f>
        <v>sex</v>
      </c>
      <c r="BF346" s="82">
        <f>WEEKNUM(vendaAno[[#This Row],[data]],13)</f>
        <v>50</v>
      </c>
      <c r="BG346" s="27">
        <f>preçodiario[[#This Row],[data]]</f>
        <v>46367</v>
      </c>
      <c r="BH34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Row],[data]]))/12+BJ345,"")</f>
        <v/>
      </c>
      <c r="BK346" s="79" t="str">
        <f ca="1">IF(TODAY()&gt;=vendaAno[[#This Row],[data]],IF(SUMIFS(estoque[quantidade],estoque[fornecedor],"saída",estoque[data],vendaAno[[#This Row],[data]])/12=0,AVERAGE(BK343:BK345),SUMIFS(estoque[quantidade],estoque[fornecedor],"saída",estoque[data],vendaAno[[#This Row],[data]])/12),"")</f>
        <v/>
      </c>
      <c r="BL346" s="8" t="str">
        <f ca="1">IF(vendaAno[[#This Row],[data]]&lt;=TODAY(),IF(SUMIFS(estoque[lucro],estoque[fornecedor],"saída",estoque[data],vendaAno[[#This Row],[data]])=0,AVERAGE(BL343:BL345),SUMIFS(estoque[lucro],estoque[fornecedor],"saída",estoque[data],vendaAno[[#This Row],[data]])),"")</f>
        <v/>
      </c>
      <c r="BM346" s="10" t="str">
        <f ca="1">IFERROR(vendaAno[[#This Row],[lucro]]/vendaAno[[#This Row],[valor de venda]],"")</f>
        <v/>
      </c>
      <c r="BN34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6" s="8" t="str">
        <f ca="1">IF(TODAY()&gt;=vendaAno[[#This Row],[data]],IF(vendaAno[[#This Row],[N°]]=BF345,vendaAno[[#This Row],[lucro]]-173.33+BO345,vendaAno[[#This Row],[lucro]]-150),"")</f>
        <v/>
      </c>
      <c r="BP346" s="81" t="str">
        <f ca="1">IF(TODAY()&gt;=vendaAno[[#This Row],[data]],SUM(BK340:BK346)*12,"")</f>
        <v/>
      </c>
      <c r="BQ346" s="7" t="str">
        <f ca="1">IFERROR(vendaAno[[#This Row],[lucro]]/(vendaAno[[#This Row],[venda]]*12),"")</f>
        <v/>
      </c>
    </row>
    <row r="347" spans="1:69" x14ac:dyDescent="0.25">
      <c r="A34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7" s="18" t="str">
        <f>TEXT(preçodiario[[#This Row],[data]],"MMM")</f>
        <v>dez</v>
      </c>
      <c r="C347" s="18" t="str">
        <f>TEXT(preçodiario[[#This Row],[data]],"ddd")</f>
        <v>sáb</v>
      </c>
      <c r="D347" s="96">
        <f>WEEKNUM(preçodiario[[#This Row],[data]],13)</f>
        <v>50</v>
      </c>
      <c r="E347" s="37">
        <v>46368</v>
      </c>
      <c r="F34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Row],[data]])),((F346*G346)+SUMIFS(estoque[valor total],estoque[produto],preçodiario[[#Headers],[OVO BRANCO A]],estoque[data],preçodiario[[#This Row],[data]],estoque[fornecedor],"&lt;&gt;saída"))/(G346+(SUMIFS(estoque[quantidade],estoque[produto],preçodiario[[#Headers],[OVO BRANCO A]],estoque[fornecedor],"&lt;&gt;saída",estoque[data],preçodiario[[#This Row],[data]])))))</f>
        <v>15.278182701652089</v>
      </c>
      <c r="G347" s="22">
        <f>IF(preçodiario[[#This Row],[entrada A]]=0,G346-(SUMIFS(estoque[quantidade],estoque[fornecedor],"saída",estoque[produto],preçodiario[[#Headers],[OVO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Row],[data]]))+G346+preçodiario[[#This Row],[entrada A]])</f>
        <v>133</v>
      </c>
      <c r="H347" s="22">
        <f>SUMIFS(estoque[quantidade],estoque[fornecedor],"&lt;&gt;saída",estoque[produto],preçodiario[[#Headers],[OVO BRANCO A]],estoque[data],preçodiario[[#This Row],[data]])</f>
        <v>0</v>
      </c>
      <c r="I347" s="20">
        <f>SUMIFS(estoque[valor total],estoque[fornecedor],"&lt;&gt;saída",estoque[produto],preçodiario[[#Headers],[OVO BRANCO A]],estoque[data],preçodiario[[#This Row],[data]])</f>
        <v>0</v>
      </c>
      <c r="J347" s="20">
        <f>IFERROR(preçodiario[[#This Row],[estoque A]]*preçodiario[[#This Row],[OVO BRANCO A]],0)</f>
        <v>2031.9982993197277</v>
      </c>
      <c r="K34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Row],[data]])),((K346*L346)+SUMIFS(estoque[valor total],estoque[produto],preçodiario[[#Headers],[OVO BRANCO B]],estoque[data],preçodiario[[#This Row],[data]],estoque[fornecedor],"&lt;&gt;saída"))/(L346+(SUMIFS(estoque[quantidade],estoque[produto],preçodiario[[#Headers],[OVO BRANCO B]],estoque[fornecedor],"&lt;&gt;saída",estoque[data],preçodiario[[#This Row],[data]])))))</f>
        <v>14.584252837326604</v>
      </c>
      <c r="L347" s="22">
        <f>IF(preçodiario[[#This Row],[entrada B]]=0,L346-(SUMIFS(estoque[quantidade],estoque[fornecedor],"saída",estoque[produto],preçodiario[[#Headers],[OVO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Row],[data]]))+L346+preçodiario[[#This Row],[entrada B]])</f>
        <v>16</v>
      </c>
      <c r="M347" s="22">
        <f>SUMIFS(estoque[quantidade],estoque[fornecedor],"&lt;&gt;saída",estoque[produto],preçodiario[[#Headers],[OVO BRANCO B]],estoque[data],preçodiario[[#This Row],[data]])</f>
        <v>0</v>
      </c>
      <c r="N347" s="20">
        <f>SUMIFS(estoque[valor total],estoque[fornecedor],"&lt;&gt;saída",estoque[produto],preçodiario[[#Headers],[OVO BRANCO B]],estoque[data],preçodiario[[#This Row],[data]])</f>
        <v>0</v>
      </c>
      <c r="O347" s="20">
        <f>IFERROR(preçodiario[[#This Row],[OVO BRANCO B]]*preçodiario[[#This Row],[estoque B]],0)</f>
        <v>233.34804539722566</v>
      </c>
      <c r="P34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Row],[data]])),((P346*Q346)+SUMIFS(estoque[valor total],estoque[produto],preçodiario[[#Headers],[OVO BRANCO C]],estoque[data],preçodiario[[#This Row],[data]],estoque[fornecedor],"&lt;&gt;saída"))/(Q346+(SUMIFS(estoque[quantidade],estoque[produto],preçodiario[[#Headers],[OVO BRANCO C]],estoque[fornecedor],"&lt;&gt;saída",estoque[data],preçodiario[[#This Row],[data]])))))</f>
        <v>12.5</v>
      </c>
      <c r="Q347" s="22">
        <f>IF(preçodiario[[#This Row],[entrada C]]=0,Q346-(SUMIFS(estoque[quantidade],estoque[fornecedor],"saída",estoque[produto],preçodiario[[#Headers],[OVO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Row],[data]]))+Q346+preçodiario[[#This Row],[entrada C]])</f>
        <v>60</v>
      </c>
      <c r="R347" s="22">
        <f>SUMIFS(estoque[quantidade],estoque[fornecedor],"&lt;&gt;saída",estoque[produto],preçodiario[[#Headers],[OVO BRANCO C]],estoque[data],preçodiario[[#This Row],[data]])</f>
        <v>0</v>
      </c>
      <c r="S347" s="20">
        <f>SUMIFS(estoque[valor total],estoque[fornecedor],"&lt;&gt;saída",estoque[produto],preçodiario[[#Headers],[OVO BRANCO C]],estoque[data],preçodiario[[#This Row],[data]])</f>
        <v>0</v>
      </c>
      <c r="T347" s="20">
        <f>IFERROR(preçodiario[[#This Row],[OVO BRANCO C]]*preçodiario[[#This Row],[estoque C]],0)</f>
        <v>750</v>
      </c>
      <c r="U34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Row],[data]])),((U346*V346)+SUMIFS(estoque[valor total],estoque[produto],preçodiario[[#Headers],[OVO BRANCO EXTRA]],estoque[data],preçodiario[[#This Row],[data]],estoque[fornecedor],"&lt;&gt;saída"))/(V346+(SUMIFS(estoque[quantidade],estoque[produto],preçodiario[[#Headers],[OVO BRANCO EXTRA]],estoque[fornecedor],"&lt;&gt;saída",estoque[data],preçodiario[[#This Row],[data]])))))</f>
        <v>15.725438400674655</v>
      </c>
      <c r="V347" s="22">
        <f>IF(preçodiario[[#This Row],[entrada E]]=0,V346-(SUMIFS(estoque[quantidade],estoque[fornecedor],"saída",estoque[produto],preçodiario[[#Headers],[OVO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Row],[data]]))+V346+preçodiario[[#This Row],[entrada E]])</f>
        <v>46</v>
      </c>
      <c r="W347" s="22">
        <f>SUMIFS(estoque[quantidade],estoque[fornecedor],"&lt;&gt;saída",estoque[produto],preçodiario[[#Headers],[OVO BRANCO EXTRA]],estoque[data],preçodiario[[#This Row],[data]])</f>
        <v>0</v>
      </c>
      <c r="X347" s="20">
        <f>SUMIFS(estoque[valor total],estoque[fornecedor],"&lt;&gt;saída",estoque[produto],preçodiario[[#Headers],[OVO BRANCO EXTRA]],estoque[data],preçodiario[[#This Row],[data]])</f>
        <v>0</v>
      </c>
      <c r="Y347" s="20">
        <f>IFERROR(preçodiario[[#This Row],[estoque E]]*preçodiario[[#This Row],[OVO BRANCO EXTRA]],0)</f>
        <v>723.37016643103414</v>
      </c>
      <c r="Z34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Row],[data]])),((Z346*AA346)+SUMIFS(estoque[valor total],estoque[produto],preçodiario[[#Headers],[OVO BRANCO JUMBO]],estoque[data],preçodiario[[#This Row],[data]],estoque[fornecedor],"&lt;&gt;saída"))/(AA346+(SUMIFS(estoque[quantidade],estoque[produto],preçodiario[[#Headers],[OVO BRANCO JUMBO]],estoque[fornecedor],"&lt;&gt;saída",estoque[data],preçodiario[[#This Row],[data]])))))</f>
        <v>16.50550595238095</v>
      </c>
      <c r="AA347" s="22">
        <f>IF(preçodiario[[#This Row],[entrada J]]=0,AA346-(SUMIFS(estoque[quantidade],estoque[fornecedor],"saída",estoque[produto],preçodiario[[#Headers],[OVO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Row],[data]]))+AA346+preçodiario[[#This Row],[entrada J]])</f>
        <v>75</v>
      </c>
      <c r="AB347" s="22">
        <f>SUMIFS(estoque[quantidade],estoque[fornecedor],"&lt;&gt;saída",estoque[produto],preçodiario[[#Headers],[OVO BRANCO JUMBO]],estoque[data],preçodiario[[#This Row],[data]])</f>
        <v>0</v>
      </c>
      <c r="AC347" s="20">
        <f>SUMIFS(estoque[valor total],estoque[fornecedor],"&lt;&gt;saída",estoque[produto],preçodiario[[#Headers],[OVO BRANCO JUMBO]],estoque[data],preçodiario[[#This Row],[data]])</f>
        <v>0</v>
      </c>
      <c r="AD347" s="20">
        <f>IFERROR(preçodiario[[#This Row],[OVO BRANCO JUMBO]]*preçodiario[[#This Row],[estoque J]],0)</f>
        <v>1237.9129464285713</v>
      </c>
      <c r="AE34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Row],[data]])),((AE346*AF346)+SUMIFS(estoque[valor total],estoque[produto],preçodiario[[#Headers],[OVO VERMELHO A]],estoque[data],preçodiario[[#This Row],[data]],estoque[fornecedor],"&lt;&gt;saída"))/(AF346+(SUMIFS(estoque[quantidade],estoque[produto],preçodiario[[#Headers],[OVO VERMELHO A]],estoque[fornecedor],"&lt;&gt;saída",estoque[data],preçodiario[[#This Row],[data]])))))</f>
        <v/>
      </c>
      <c r="AF347" s="22">
        <f>IF(preçodiario[[#This Row],[entrada AV]]=0,AF346-(SUMIFS(estoque[quantidade],estoque[fornecedor],"saída",estoque[produto],preçodiario[[#Headers],[OVO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Row],[data]]))+AF346+preçodiario[[#This Row],[entrada AV]])</f>
        <v>0</v>
      </c>
      <c r="AG347" s="22">
        <f>SUMIFS(estoque[quantidade],estoque[fornecedor],"&lt;&gt;saída",estoque[produto],preçodiario[[#Headers],[OVO VERMELHO A]],estoque[data],preçodiario[[#This Row],[data]])</f>
        <v>0</v>
      </c>
      <c r="AH347" s="20">
        <f>SUMIFS(estoque[valor total],estoque[fornecedor],"&lt;&gt;saída",estoque[produto],preçodiario[[#Headers],[OVO VERMELHO A]],estoque[data],preçodiario[[#This Row],[data]])</f>
        <v>0</v>
      </c>
      <c r="AI347" s="20">
        <f>IFERROR(preçodiario[[#This Row],[OVO VERMELHO A]]*preçodiario[[#This Row],[estoque AV]],0)</f>
        <v>0</v>
      </c>
      <c r="AJ34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Row],[data]])),((AJ346*AK346)+SUMIFS(estoque[valor total],estoque[produto],preçodiario[[#Headers],[OVO VERMELHO B]],estoque[data],preçodiario[[#This Row],[data]],estoque[fornecedor],"&lt;&gt;saída"))/(AK346+(SUMIFS(estoque[quantidade],estoque[produto],preçodiario[[#Headers],[OVO VERMELHO B]],estoque[fornecedor],"&lt;&gt;saída",estoque[data],preçodiario[[#This Row],[data]])))))</f>
        <v/>
      </c>
      <c r="AK347" s="22">
        <f>IF(preçodiario[[#This Row],[entrada BV]]=0,AK346-(SUMIFS(estoque[quantidade],estoque[fornecedor],"saída",estoque[produto],preçodiario[[#Headers],[OVO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Row],[data]]))+AK346+preçodiario[[#This Row],[entrada BV]])</f>
        <v>0</v>
      </c>
      <c r="AL347" s="22">
        <f>SUMIFS(estoque[quantidade],estoque[fornecedor],"&lt;&gt;saída",estoque[produto],preçodiario[[#Headers],[OVO VERMELHO B]],estoque[data],preçodiario[[#This Row],[data]])</f>
        <v>0</v>
      </c>
      <c r="AM347" s="20">
        <f>SUMIFS(estoque[valor total],estoque[fornecedor],"&lt;&gt;saída",estoque[produto],preçodiario[[#Headers],[OVO VERMELHO B]],estoque[data],preçodiario[[#This Row],[data]])</f>
        <v>0</v>
      </c>
      <c r="AN347" s="20">
        <f>IFERROR(preçodiario[[#This Row],[OVO VERMELHO B]]*preçodiario[[#This Row],[estoque BV]],0)</f>
        <v>0</v>
      </c>
      <c r="AO34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Row],[data]])),((AO346*AP346)+SUMIFS(estoque[valor total],estoque[produto],preçodiario[[#Headers],[OVO VERMELHO C]],estoque[data],preçodiario[[#This Row],[data]],estoque[fornecedor],"&lt;&gt;saída"))/(AP346+(SUMIFS(estoque[quantidade],estoque[produto],preçodiario[[#Headers],[OVO VERMELHO C]],estoque[fornecedor],"&lt;&gt;saída",estoque[data],preçodiario[[#This Row],[data]])))))</f>
        <v/>
      </c>
      <c r="AP347" s="22">
        <f>IF(preçodiario[[#This Row],[entrada CV]]=0,AP346-(SUMIFS(estoque[quantidade],estoque[fornecedor],"saída",estoque[produto],preçodiario[[#Headers],[OVO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Row],[data]]))+AP346+preçodiario[[#This Row],[entrada CV]])</f>
        <v>0</v>
      </c>
      <c r="AQ347" s="22">
        <f>SUMIFS(estoque[quantidade],estoque[fornecedor],"&lt;&gt;saída",estoque[produto],preçodiario[[#Headers],[OVO VERMELHO C]],estoque[data],preçodiario[[#This Row],[data]])</f>
        <v>0</v>
      </c>
      <c r="AR347" s="20">
        <f>SUMIFS(estoque[valor total],estoque[fornecedor],"&lt;&gt;saída",estoque[produto],preçodiario[[#Headers],[OVO VERMELHO C]],estoque[data],preçodiario[[#This Row],[data]])</f>
        <v>0</v>
      </c>
      <c r="AS347" s="20">
        <f>IFERROR(preçodiario[[#This Row],[OVO VERMELHO C]]*preçodiario[[#This Row],[estoque CV]],0)</f>
        <v>0</v>
      </c>
      <c r="AT34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Row],[data]])),((AT346*AU346)+SUMIFS(estoque[valor total],estoque[produto],preçodiario[[#Headers],[OVO VERMELHO EXTRA]],estoque[data],preçodiario[[#This Row],[data]],estoque[fornecedor],"&lt;&gt;saída"))/(AU346+(SUMIFS(estoque[quantidade],estoque[produto],preçodiario[[#Headers],[OVO VERMELHO EXTRA]],estoque[fornecedor],"&lt;&gt;saída",estoque[data],preçodiario[[#This Row],[data]])))))</f>
        <v/>
      </c>
      <c r="AU347" s="22">
        <f>IF(preçodiario[[#This Row],[entrada EV]]=0,AU346-(SUMIFS(estoque[quantidade],estoque[fornecedor],"saída",estoque[produto],preçodiario[[#Headers],[OVO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Row],[data]]))+AU346+preçodiario[[#This Row],[entrada EV]])</f>
        <v>0</v>
      </c>
      <c r="AV347" s="22">
        <f>SUMIFS(estoque[quantidade],estoque[fornecedor],"&lt;&gt;saída",estoque[produto],preçodiario[[#Headers],[OVO VERMELHO EXTRA]],estoque[data],preçodiario[[#This Row],[data]])</f>
        <v>0</v>
      </c>
      <c r="AW347" s="20">
        <f>SUMIFS(estoque[valor total],estoque[fornecedor],"&lt;&gt;saída",estoque[produto],preçodiario[[#Headers],[OVO VERMELHO EXTRA]],estoque[data],preçodiario[[#This Row],[data]])</f>
        <v>0</v>
      </c>
      <c r="AX347" s="20">
        <f>IFERROR(preçodiario[[#This Row],[OVO VERMELHO EXTRA]]*preçodiario[[#This Row],[estoque EV]],0)</f>
        <v>0</v>
      </c>
      <c r="AY34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Row],[data]])),((AY346*AZ346)+SUMIFS(estoque[valor total],estoque[produto],preçodiario[[#Headers],[OVO VERMELHO JUMBO]],estoque[data],preçodiario[[#This Row],[data]],estoque[fornecedor],"&lt;&gt;saída"))/(AZ346+(SUMIFS(estoque[quantidade],estoque[produto],preçodiario[[#Headers],[OVO VERMELHO JUMBO]],estoque[fornecedor],"&lt;&gt;saída",estoque[data],preçodiario[[#This Row],[data]])))))</f>
        <v/>
      </c>
      <c r="AZ347" s="22">
        <f>IF(preçodiario[[#This Row],[entrada JV]]=0,AZ346-(SUMIFS(estoque[quantidade],estoque[fornecedor],"saída",estoque[produto],preçodiario[[#Headers],[OVO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Row],[data]]))+AZ346+preçodiario[[#This Row],[entrada JV]])</f>
        <v>0</v>
      </c>
      <c r="BA347" s="22">
        <f>SUMIFS(estoque[quantidade],estoque[fornecedor],"&lt;&gt;saída",estoque[produto],preçodiario[[#Headers],[OVO VERMELHO JUMBO]],estoque[data],preçodiario[[#This Row],[data]])</f>
        <v>0</v>
      </c>
      <c r="BB347" s="20">
        <f>SUMIFS(estoque[valor total],estoque[fornecedor],"&lt;&gt;saída",estoque[produto],preçodiario[[#Headers],[OVO VERMELHO JUMBO]],estoque[data],preçodiario[[#This Row],[data]])</f>
        <v>0</v>
      </c>
      <c r="BC347" s="20">
        <f>IFERROR(preçodiario[[#This Row],[OVO VERMELHO JUMBO]]*preçodiario[[#This Row],[estoque JV]],0)</f>
        <v>0</v>
      </c>
      <c r="BD347" t="str">
        <f>TEXT(vendaAno[[#This Row],[data]],"mmm")</f>
        <v>dez</v>
      </c>
      <c r="BE347" t="str">
        <f>TEXT(vendaAno[[#This Row],[data]],"ddd")</f>
        <v>sáb</v>
      </c>
      <c r="BF347" s="82">
        <f>WEEKNUM(vendaAno[[#This Row],[data]],13)</f>
        <v>50</v>
      </c>
      <c r="BG347" s="27">
        <f>preçodiario[[#This Row],[data]]</f>
        <v>46368</v>
      </c>
      <c r="BH34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Row],[data]]))/12+BJ346,"")</f>
        <v/>
      </c>
      <c r="BK347" s="79" t="str">
        <f ca="1">IF(TODAY()&gt;=vendaAno[[#This Row],[data]],IF(SUMIFS(estoque[quantidade],estoque[fornecedor],"saída",estoque[data],vendaAno[[#This Row],[data]])/12=0,AVERAGE(BK344:BK346),SUMIFS(estoque[quantidade],estoque[fornecedor],"saída",estoque[data],vendaAno[[#This Row],[data]])/12),"")</f>
        <v/>
      </c>
      <c r="BL347" s="8" t="str">
        <f ca="1">IF(vendaAno[[#This Row],[data]]&lt;=TODAY(),IF(SUMIFS(estoque[lucro],estoque[fornecedor],"saída",estoque[data],vendaAno[[#This Row],[data]])=0,AVERAGE(BL344:BL346),SUMIFS(estoque[lucro],estoque[fornecedor],"saída",estoque[data],vendaAno[[#This Row],[data]])),"")</f>
        <v/>
      </c>
      <c r="BM347" s="10" t="str">
        <f ca="1">IFERROR(vendaAno[[#This Row],[lucro]]/vendaAno[[#This Row],[valor de venda]],"")</f>
        <v/>
      </c>
      <c r="BN34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7" s="8" t="str">
        <f ca="1">IF(TODAY()&gt;=vendaAno[[#This Row],[data]],IF(vendaAno[[#This Row],[N°]]=BF346,vendaAno[[#This Row],[lucro]]-173.33+BO346,vendaAno[[#This Row],[lucro]]-150),"")</f>
        <v/>
      </c>
      <c r="BP347" s="81" t="str">
        <f ca="1">IF(TODAY()&gt;=vendaAno[[#This Row],[data]],SUM(BK341:BK347)*12,"")</f>
        <v/>
      </c>
      <c r="BQ347" s="7" t="str">
        <f ca="1">IFERROR(vendaAno[[#This Row],[lucro]]/(vendaAno[[#This Row],[venda]]*12),"")</f>
        <v/>
      </c>
    </row>
    <row r="348" spans="1:69" x14ac:dyDescent="0.25">
      <c r="A34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8" s="18" t="str">
        <f>TEXT(preçodiario[[#This Row],[data]],"MMM")</f>
        <v>dez</v>
      </c>
      <c r="C348" s="18" t="str">
        <f>TEXT(preçodiario[[#This Row],[data]],"ddd")</f>
        <v>dom</v>
      </c>
      <c r="D348" s="96">
        <f>WEEKNUM(preçodiario[[#This Row],[data]],13)</f>
        <v>50</v>
      </c>
      <c r="E348" s="37">
        <v>46369</v>
      </c>
      <c r="F34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Row],[data]])),((F347*G347)+SUMIFS(estoque[valor total],estoque[produto],preçodiario[[#Headers],[OVO BRANCO A]],estoque[data],preçodiario[[#This Row],[data]],estoque[fornecedor],"&lt;&gt;saída"))/(G347+(SUMIFS(estoque[quantidade],estoque[produto],preçodiario[[#Headers],[OVO BRANCO A]],estoque[fornecedor],"&lt;&gt;saída",estoque[data],preçodiario[[#This Row],[data]])))))</f>
        <v>15.278182701652089</v>
      </c>
      <c r="G348" s="22">
        <f>IF(preçodiario[[#This Row],[entrada A]]=0,G347-(SUMIFS(estoque[quantidade],estoque[fornecedor],"saída",estoque[produto],preçodiario[[#Headers],[OVO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Row],[data]]))+G347+preçodiario[[#This Row],[entrada A]])</f>
        <v>133</v>
      </c>
      <c r="H348" s="22">
        <f>SUMIFS(estoque[quantidade],estoque[fornecedor],"&lt;&gt;saída",estoque[produto],preçodiario[[#Headers],[OVO BRANCO A]],estoque[data],preçodiario[[#This Row],[data]])</f>
        <v>0</v>
      </c>
      <c r="I348" s="20">
        <f>SUMIFS(estoque[valor total],estoque[fornecedor],"&lt;&gt;saída",estoque[produto],preçodiario[[#Headers],[OVO BRANCO A]],estoque[data],preçodiario[[#This Row],[data]])</f>
        <v>0</v>
      </c>
      <c r="J348" s="20">
        <f>IFERROR(preçodiario[[#This Row],[estoque A]]*preçodiario[[#This Row],[OVO BRANCO A]],0)</f>
        <v>2031.9982993197277</v>
      </c>
      <c r="K34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Row],[data]])),((K347*L347)+SUMIFS(estoque[valor total],estoque[produto],preçodiario[[#Headers],[OVO BRANCO B]],estoque[data],preçodiario[[#This Row],[data]],estoque[fornecedor],"&lt;&gt;saída"))/(L347+(SUMIFS(estoque[quantidade],estoque[produto],preçodiario[[#Headers],[OVO BRANCO B]],estoque[fornecedor],"&lt;&gt;saída",estoque[data],preçodiario[[#This Row],[data]])))))</f>
        <v>14.584252837326604</v>
      </c>
      <c r="L348" s="22">
        <f>IF(preçodiario[[#This Row],[entrada B]]=0,L347-(SUMIFS(estoque[quantidade],estoque[fornecedor],"saída",estoque[produto],preçodiario[[#Headers],[OVO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Row],[data]]))+L347+preçodiario[[#This Row],[entrada B]])</f>
        <v>16</v>
      </c>
      <c r="M348" s="22">
        <f>SUMIFS(estoque[quantidade],estoque[fornecedor],"&lt;&gt;saída",estoque[produto],preçodiario[[#Headers],[OVO BRANCO B]],estoque[data],preçodiario[[#This Row],[data]])</f>
        <v>0</v>
      </c>
      <c r="N348" s="20">
        <f>SUMIFS(estoque[valor total],estoque[fornecedor],"&lt;&gt;saída",estoque[produto],preçodiario[[#Headers],[OVO BRANCO B]],estoque[data],preçodiario[[#This Row],[data]])</f>
        <v>0</v>
      </c>
      <c r="O348" s="20">
        <f>IFERROR(preçodiario[[#This Row],[OVO BRANCO B]]*preçodiario[[#This Row],[estoque B]],0)</f>
        <v>233.34804539722566</v>
      </c>
      <c r="P34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Row],[data]])),((P347*Q347)+SUMIFS(estoque[valor total],estoque[produto],preçodiario[[#Headers],[OVO BRANCO C]],estoque[data],preçodiario[[#This Row],[data]],estoque[fornecedor],"&lt;&gt;saída"))/(Q347+(SUMIFS(estoque[quantidade],estoque[produto],preçodiario[[#Headers],[OVO BRANCO C]],estoque[fornecedor],"&lt;&gt;saída",estoque[data],preçodiario[[#This Row],[data]])))))</f>
        <v>12.5</v>
      </c>
      <c r="Q348" s="22">
        <f>IF(preçodiario[[#This Row],[entrada C]]=0,Q347-(SUMIFS(estoque[quantidade],estoque[fornecedor],"saída",estoque[produto],preçodiario[[#Headers],[OVO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Row],[data]]))+Q347+preçodiario[[#This Row],[entrada C]])</f>
        <v>60</v>
      </c>
      <c r="R348" s="22">
        <f>SUMIFS(estoque[quantidade],estoque[fornecedor],"&lt;&gt;saída",estoque[produto],preçodiario[[#Headers],[OVO BRANCO C]],estoque[data],preçodiario[[#This Row],[data]])</f>
        <v>0</v>
      </c>
      <c r="S348" s="20">
        <f>SUMIFS(estoque[valor total],estoque[fornecedor],"&lt;&gt;saída",estoque[produto],preçodiario[[#Headers],[OVO BRANCO C]],estoque[data],preçodiario[[#This Row],[data]])</f>
        <v>0</v>
      </c>
      <c r="T348" s="20">
        <f>IFERROR(preçodiario[[#This Row],[OVO BRANCO C]]*preçodiario[[#This Row],[estoque C]],0)</f>
        <v>750</v>
      </c>
      <c r="U34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Row],[data]])),((U347*V347)+SUMIFS(estoque[valor total],estoque[produto],preçodiario[[#Headers],[OVO BRANCO EXTRA]],estoque[data],preçodiario[[#This Row],[data]],estoque[fornecedor],"&lt;&gt;saída"))/(V347+(SUMIFS(estoque[quantidade],estoque[produto],preçodiario[[#Headers],[OVO BRANCO EXTRA]],estoque[fornecedor],"&lt;&gt;saída",estoque[data],preçodiario[[#This Row],[data]])))))</f>
        <v>15.725438400674655</v>
      </c>
      <c r="V348" s="22">
        <f>IF(preçodiario[[#This Row],[entrada E]]=0,V347-(SUMIFS(estoque[quantidade],estoque[fornecedor],"saída",estoque[produto],preçodiario[[#Headers],[OVO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Row],[data]]))+V347+preçodiario[[#This Row],[entrada E]])</f>
        <v>46</v>
      </c>
      <c r="W348" s="22">
        <f>SUMIFS(estoque[quantidade],estoque[fornecedor],"&lt;&gt;saída",estoque[produto],preçodiario[[#Headers],[OVO BRANCO EXTRA]],estoque[data],preçodiario[[#This Row],[data]])</f>
        <v>0</v>
      </c>
      <c r="X348" s="20">
        <f>SUMIFS(estoque[valor total],estoque[fornecedor],"&lt;&gt;saída",estoque[produto],preçodiario[[#Headers],[OVO BRANCO EXTRA]],estoque[data],preçodiario[[#This Row],[data]])</f>
        <v>0</v>
      </c>
      <c r="Y348" s="20">
        <f>IFERROR(preçodiario[[#This Row],[estoque E]]*preçodiario[[#This Row],[OVO BRANCO EXTRA]],0)</f>
        <v>723.37016643103414</v>
      </c>
      <c r="Z34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Row],[data]])),((Z347*AA347)+SUMIFS(estoque[valor total],estoque[produto],preçodiario[[#Headers],[OVO BRANCO JUMBO]],estoque[data],preçodiario[[#This Row],[data]],estoque[fornecedor],"&lt;&gt;saída"))/(AA347+(SUMIFS(estoque[quantidade],estoque[produto],preçodiario[[#Headers],[OVO BRANCO JUMBO]],estoque[fornecedor],"&lt;&gt;saída",estoque[data],preçodiario[[#This Row],[data]])))))</f>
        <v>16.50550595238095</v>
      </c>
      <c r="AA348" s="22">
        <f>IF(preçodiario[[#This Row],[entrada J]]=0,AA347-(SUMIFS(estoque[quantidade],estoque[fornecedor],"saída",estoque[produto],preçodiario[[#Headers],[OVO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Row],[data]]))+AA347+preçodiario[[#This Row],[entrada J]])</f>
        <v>75</v>
      </c>
      <c r="AB348" s="22">
        <f>SUMIFS(estoque[quantidade],estoque[fornecedor],"&lt;&gt;saída",estoque[produto],preçodiario[[#Headers],[OVO BRANCO JUMBO]],estoque[data],preçodiario[[#This Row],[data]])</f>
        <v>0</v>
      </c>
      <c r="AC348" s="20">
        <f>SUMIFS(estoque[valor total],estoque[fornecedor],"&lt;&gt;saída",estoque[produto],preçodiario[[#Headers],[OVO BRANCO JUMBO]],estoque[data],preçodiario[[#This Row],[data]])</f>
        <v>0</v>
      </c>
      <c r="AD348" s="20">
        <f>IFERROR(preçodiario[[#This Row],[OVO BRANCO JUMBO]]*preçodiario[[#This Row],[estoque J]],0)</f>
        <v>1237.9129464285713</v>
      </c>
      <c r="AE34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Row],[data]])),((AE347*AF347)+SUMIFS(estoque[valor total],estoque[produto],preçodiario[[#Headers],[OVO VERMELHO A]],estoque[data],preçodiario[[#This Row],[data]],estoque[fornecedor],"&lt;&gt;saída"))/(AF347+(SUMIFS(estoque[quantidade],estoque[produto],preçodiario[[#Headers],[OVO VERMELHO A]],estoque[fornecedor],"&lt;&gt;saída",estoque[data],preçodiario[[#This Row],[data]])))))</f>
        <v/>
      </c>
      <c r="AF348" s="22">
        <f>IF(preçodiario[[#This Row],[entrada AV]]=0,AF347-(SUMIFS(estoque[quantidade],estoque[fornecedor],"saída",estoque[produto],preçodiario[[#Headers],[OVO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Row],[data]]))+AF347+preçodiario[[#This Row],[entrada AV]])</f>
        <v>0</v>
      </c>
      <c r="AG348" s="22">
        <f>SUMIFS(estoque[quantidade],estoque[fornecedor],"&lt;&gt;saída",estoque[produto],preçodiario[[#Headers],[OVO VERMELHO A]],estoque[data],preçodiario[[#This Row],[data]])</f>
        <v>0</v>
      </c>
      <c r="AH348" s="20">
        <f>SUMIFS(estoque[valor total],estoque[fornecedor],"&lt;&gt;saída",estoque[produto],preçodiario[[#Headers],[OVO VERMELHO A]],estoque[data],preçodiario[[#This Row],[data]])</f>
        <v>0</v>
      </c>
      <c r="AI348" s="20">
        <f>IFERROR(preçodiario[[#This Row],[OVO VERMELHO A]]*preçodiario[[#This Row],[estoque AV]],0)</f>
        <v>0</v>
      </c>
      <c r="AJ34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Row],[data]])),((AJ347*AK347)+SUMIFS(estoque[valor total],estoque[produto],preçodiario[[#Headers],[OVO VERMELHO B]],estoque[data],preçodiario[[#This Row],[data]],estoque[fornecedor],"&lt;&gt;saída"))/(AK347+(SUMIFS(estoque[quantidade],estoque[produto],preçodiario[[#Headers],[OVO VERMELHO B]],estoque[fornecedor],"&lt;&gt;saída",estoque[data],preçodiario[[#This Row],[data]])))))</f>
        <v/>
      </c>
      <c r="AK348" s="22">
        <f>IF(preçodiario[[#This Row],[entrada BV]]=0,AK347-(SUMIFS(estoque[quantidade],estoque[fornecedor],"saída",estoque[produto],preçodiario[[#Headers],[OVO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Row],[data]]))+AK347+preçodiario[[#This Row],[entrada BV]])</f>
        <v>0</v>
      </c>
      <c r="AL348" s="22">
        <f>SUMIFS(estoque[quantidade],estoque[fornecedor],"&lt;&gt;saída",estoque[produto],preçodiario[[#Headers],[OVO VERMELHO B]],estoque[data],preçodiario[[#This Row],[data]])</f>
        <v>0</v>
      </c>
      <c r="AM348" s="20">
        <f>SUMIFS(estoque[valor total],estoque[fornecedor],"&lt;&gt;saída",estoque[produto],preçodiario[[#Headers],[OVO VERMELHO B]],estoque[data],preçodiario[[#This Row],[data]])</f>
        <v>0</v>
      </c>
      <c r="AN348" s="20">
        <f>IFERROR(preçodiario[[#This Row],[OVO VERMELHO B]]*preçodiario[[#This Row],[estoque BV]],0)</f>
        <v>0</v>
      </c>
      <c r="AO34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Row],[data]])),((AO347*AP347)+SUMIFS(estoque[valor total],estoque[produto],preçodiario[[#Headers],[OVO VERMELHO C]],estoque[data],preçodiario[[#This Row],[data]],estoque[fornecedor],"&lt;&gt;saída"))/(AP347+(SUMIFS(estoque[quantidade],estoque[produto],preçodiario[[#Headers],[OVO VERMELHO C]],estoque[fornecedor],"&lt;&gt;saída",estoque[data],preçodiario[[#This Row],[data]])))))</f>
        <v/>
      </c>
      <c r="AP348" s="22">
        <f>IF(preçodiario[[#This Row],[entrada CV]]=0,AP347-(SUMIFS(estoque[quantidade],estoque[fornecedor],"saída",estoque[produto],preçodiario[[#Headers],[OVO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Row],[data]]))+AP347+preçodiario[[#This Row],[entrada CV]])</f>
        <v>0</v>
      </c>
      <c r="AQ348" s="22">
        <f>SUMIFS(estoque[quantidade],estoque[fornecedor],"&lt;&gt;saída",estoque[produto],preçodiario[[#Headers],[OVO VERMELHO C]],estoque[data],preçodiario[[#This Row],[data]])</f>
        <v>0</v>
      </c>
      <c r="AR348" s="20">
        <f>SUMIFS(estoque[valor total],estoque[fornecedor],"&lt;&gt;saída",estoque[produto],preçodiario[[#Headers],[OVO VERMELHO C]],estoque[data],preçodiario[[#This Row],[data]])</f>
        <v>0</v>
      </c>
      <c r="AS348" s="20">
        <f>IFERROR(preçodiario[[#This Row],[OVO VERMELHO C]]*preçodiario[[#This Row],[estoque CV]],0)</f>
        <v>0</v>
      </c>
      <c r="AT34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Row],[data]])),((AT347*AU347)+SUMIFS(estoque[valor total],estoque[produto],preçodiario[[#Headers],[OVO VERMELHO EXTRA]],estoque[data],preçodiario[[#This Row],[data]],estoque[fornecedor],"&lt;&gt;saída"))/(AU347+(SUMIFS(estoque[quantidade],estoque[produto],preçodiario[[#Headers],[OVO VERMELHO EXTRA]],estoque[fornecedor],"&lt;&gt;saída",estoque[data],preçodiario[[#This Row],[data]])))))</f>
        <v/>
      </c>
      <c r="AU348" s="22">
        <f>IF(preçodiario[[#This Row],[entrada EV]]=0,AU347-(SUMIFS(estoque[quantidade],estoque[fornecedor],"saída",estoque[produto],preçodiario[[#Headers],[OVO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Row],[data]]))+AU347+preçodiario[[#This Row],[entrada EV]])</f>
        <v>0</v>
      </c>
      <c r="AV348" s="22">
        <f>SUMIFS(estoque[quantidade],estoque[fornecedor],"&lt;&gt;saída",estoque[produto],preçodiario[[#Headers],[OVO VERMELHO EXTRA]],estoque[data],preçodiario[[#This Row],[data]])</f>
        <v>0</v>
      </c>
      <c r="AW348" s="20">
        <f>SUMIFS(estoque[valor total],estoque[fornecedor],"&lt;&gt;saída",estoque[produto],preçodiario[[#Headers],[OVO VERMELHO EXTRA]],estoque[data],preçodiario[[#This Row],[data]])</f>
        <v>0</v>
      </c>
      <c r="AX348" s="20">
        <f>IFERROR(preçodiario[[#This Row],[OVO VERMELHO EXTRA]]*preçodiario[[#This Row],[estoque EV]],0)</f>
        <v>0</v>
      </c>
      <c r="AY34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Row],[data]])),((AY347*AZ347)+SUMIFS(estoque[valor total],estoque[produto],preçodiario[[#Headers],[OVO VERMELHO JUMBO]],estoque[data],preçodiario[[#This Row],[data]],estoque[fornecedor],"&lt;&gt;saída"))/(AZ347+(SUMIFS(estoque[quantidade],estoque[produto],preçodiario[[#Headers],[OVO VERMELHO JUMBO]],estoque[fornecedor],"&lt;&gt;saída",estoque[data],preçodiario[[#This Row],[data]])))))</f>
        <v/>
      </c>
      <c r="AZ348" s="22">
        <f>IF(preçodiario[[#This Row],[entrada JV]]=0,AZ347-(SUMIFS(estoque[quantidade],estoque[fornecedor],"saída",estoque[produto],preçodiario[[#Headers],[OVO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Row],[data]]))+AZ347+preçodiario[[#This Row],[entrada JV]])</f>
        <v>0</v>
      </c>
      <c r="BA348" s="22">
        <f>SUMIFS(estoque[quantidade],estoque[fornecedor],"&lt;&gt;saída",estoque[produto],preçodiario[[#Headers],[OVO VERMELHO JUMBO]],estoque[data],preçodiario[[#This Row],[data]])</f>
        <v>0</v>
      </c>
      <c r="BB348" s="20">
        <f>SUMIFS(estoque[valor total],estoque[fornecedor],"&lt;&gt;saída",estoque[produto],preçodiario[[#Headers],[OVO VERMELHO JUMBO]],estoque[data],preçodiario[[#This Row],[data]])</f>
        <v>0</v>
      </c>
      <c r="BC348" s="20">
        <f>IFERROR(preçodiario[[#This Row],[OVO VERMELHO JUMBO]]*preçodiario[[#This Row],[estoque JV]],0)</f>
        <v>0</v>
      </c>
      <c r="BD348" t="str">
        <f>TEXT(vendaAno[[#This Row],[data]],"mmm")</f>
        <v>dez</v>
      </c>
      <c r="BE348" t="str">
        <f>TEXT(vendaAno[[#This Row],[data]],"ddd")</f>
        <v>dom</v>
      </c>
      <c r="BF348" s="82">
        <f>WEEKNUM(vendaAno[[#This Row],[data]],13)</f>
        <v>50</v>
      </c>
      <c r="BG348" s="27">
        <f>preçodiario[[#This Row],[data]]</f>
        <v>46369</v>
      </c>
      <c r="BH34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Row],[data]]))/12+BJ347,"")</f>
        <v/>
      </c>
      <c r="BK348" s="79" t="str">
        <f ca="1">IF(TODAY()&gt;=vendaAno[[#This Row],[data]],IF(SUMIFS(estoque[quantidade],estoque[fornecedor],"saída",estoque[data],vendaAno[[#This Row],[data]])/12=0,AVERAGE(BK345:BK347),SUMIFS(estoque[quantidade],estoque[fornecedor],"saída",estoque[data],vendaAno[[#This Row],[data]])/12),"")</f>
        <v/>
      </c>
      <c r="BL348" s="8" t="str">
        <f ca="1">IF(vendaAno[[#This Row],[data]]&lt;=TODAY(),IF(SUMIFS(estoque[lucro],estoque[fornecedor],"saída",estoque[data],vendaAno[[#This Row],[data]])=0,AVERAGE(BL345:BL347),SUMIFS(estoque[lucro],estoque[fornecedor],"saída",estoque[data],vendaAno[[#This Row],[data]])),"")</f>
        <v/>
      </c>
      <c r="BM348" s="10" t="str">
        <f ca="1">IFERROR(vendaAno[[#This Row],[lucro]]/vendaAno[[#This Row],[valor de venda]],"")</f>
        <v/>
      </c>
      <c r="BN34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8" s="8" t="str">
        <f ca="1">IF(TODAY()&gt;=vendaAno[[#This Row],[data]],IF(vendaAno[[#This Row],[N°]]=BF347,vendaAno[[#This Row],[lucro]]-173.33+BO347,vendaAno[[#This Row],[lucro]]-150),"")</f>
        <v/>
      </c>
      <c r="BP348" s="81" t="str">
        <f ca="1">IF(TODAY()&gt;=vendaAno[[#This Row],[data]],SUM(BK342:BK348)*12,"")</f>
        <v/>
      </c>
      <c r="BQ348" s="7" t="str">
        <f ca="1">IFERROR(vendaAno[[#This Row],[lucro]]/(vendaAno[[#This Row],[venda]]*12),"")</f>
        <v/>
      </c>
    </row>
    <row r="349" spans="1:69" x14ac:dyDescent="0.25">
      <c r="A34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49" s="18" t="str">
        <f>TEXT(preçodiario[[#This Row],[data]],"MMM")</f>
        <v>dez</v>
      </c>
      <c r="C349" s="18" t="str">
        <f>TEXT(preçodiario[[#This Row],[data]],"ddd")</f>
        <v>seg</v>
      </c>
      <c r="D349" s="96">
        <f>WEEKNUM(preçodiario[[#This Row],[data]],13)</f>
        <v>50</v>
      </c>
      <c r="E349" s="37">
        <v>46370</v>
      </c>
      <c r="F34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Row],[data]])),((F348*G348)+SUMIFS(estoque[valor total],estoque[produto],preçodiario[[#Headers],[OVO BRANCO A]],estoque[data],preçodiario[[#This Row],[data]],estoque[fornecedor],"&lt;&gt;saída"))/(G348+(SUMIFS(estoque[quantidade],estoque[produto],preçodiario[[#Headers],[OVO BRANCO A]],estoque[fornecedor],"&lt;&gt;saída",estoque[data],preçodiario[[#This Row],[data]])))))</f>
        <v>15.278182701652089</v>
      </c>
      <c r="G349" s="22">
        <f>IF(preçodiario[[#This Row],[entrada A]]=0,G348-(SUMIFS(estoque[quantidade],estoque[fornecedor],"saída",estoque[produto],preçodiario[[#Headers],[OVO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Row],[data]]))+G348+preçodiario[[#This Row],[entrada A]])</f>
        <v>133</v>
      </c>
      <c r="H349" s="22">
        <f>SUMIFS(estoque[quantidade],estoque[fornecedor],"&lt;&gt;saída",estoque[produto],preçodiario[[#Headers],[OVO BRANCO A]],estoque[data],preçodiario[[#This Row],[data]])</f>
        <v>0</v>
      </c>
      <c r="I349" s="20">
        <f>SUMIFS(estoque[valor total],estoque[fornecedor],"&lt;&gt;saída",estoque[produto],preçodiario[[#Headers],[OVO BRANCO A]],estoque[data],preçodiario[[#This Row],[data]])</f>
        <v>0</v>
      </c>
      <c r="J349" s="20">
        <f>IFERROR(preçodiario[[#This Row],[estoque A]]*preçodiario[[#This Row],[OVO BRANCO A]],0)</f>
        <v>2031.9982993197277</v>
      </c>
      <c r="K34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Row],[data]])),((K348*L348)+SUMIFS(estoque[valor total],estoque[produto],preçodiario[[#Headers],[OVO BRANCO B]],estoque[data],preçodiario[[#This Row],[data]],estoque[fornecedor],"&lt;&gt;saída"))/(L348+(SUMIFS(estoque[quantidade],estoque[produto],preçodiario[[#Headers],[OVO BRANCO B]],estoque[fornecedor],"&lt;&gt;saída",estoque[data],preçodiario[[#This Row],[data]])))))</f>
        <v>14.584252837326604</v>
      </c>
      <c r="L349" s="22">
        <f>IF(preçodiario[[#This Row],[entrada B]]=0,L348-(SUMIFS(estoque[quantidade],estoque[fornecedor],"saída",estoque[produto],preçodiario[[#Headers],[OVO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Row],[data]]))+L348+preçodiario[[#This Row],[entrada B]])</f>
        <v>16</v>
      </c>
      <c r="M349" s="22">
        <f>SUMIFS(estoque[quantidade],estoque[fornecedor],"&lt;&gt;saída",estoque[produto],preçodiario[[#Headers],[OVO BRANCO B]],estoque[data],preçodiario[[#This Row],[data]])</f>
        <v>0</v>
      </c>
      <c r="N349" s="20">
        <f>SUMIFS(estoque[valor total],estoque[fornecedor],"&lt;&gt;saída",estoque[produto],preçodiario[[#Headers],[OVO BRANCO B]],estoque[data],preçodiario[[#This Row],[data]])</f>
        <v>0</v>
      </c>
      <c r="O349" s="20">
        <f>IFERROR(preçodiario[[#This Row],[OVO BRANCO B]]*preçodiario[[#This Row],[estoque B]],0)</f>
        <v>233.34804539722566</v>
      </c>
      <c r="P34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Row],[data]])),((P348*Q348)+SUMIFS(estoque[valor total],estoque[produto],preçodiario[[#Headers],[OVO BRANCO C]],estoque[data],preçodiario[[#This Row],[data]],estoque[fornecedor],"&lt;&gt;saída"))/(Q348+(SUMIFS(estoque[quantidade],estoque[produto],preçodiario[[#Headers],[OVO BRANCO C]],estoque[fornecedor],"&lt;&gt;saída",estoque[data],preçodiario[[#This Row],[data]])))))</f>
        <v>12.5</v>
      </c>
      <c r="Q349" s="22">
        <f>IF(preçodiario[[#This Row],[entrada C]]=0,Q348-(SUMIFS(estoque[quantidade],estoque[fornecedor],"saída",estoque[produto],preçodiario[[#Headers],[OVO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Row],[data]]))+Q348+preçodiario[[#This Row],[entrada C]])</f>
        <v>60</v>
      </c>
      <c r="R349" s="22">
        <f>SUMIFS(estoque[quantidade],estoque[fornecedor],"&lt;&gt;saída",estoque[produto],preçodiario[[#Headers],[OVO BRANCO C]],estoque[data],preçodiario[[#This Row],[data]])</f>
        <v>0</v>
      </c>
      <c r="S349" s="20">
        <f>SUMIFS(estoque[valor total],estoque[fornecedor],"&lt;&gt;saída",estoque[produto],preçodiario[[#Headers],[OVO BRANCO C]],estoque[data],preçodiario[[#This Row],[data]])</f>
        <v>0</v>
      </c>
      <c r="T349" s="20">
        <f>IFERROR(preçodiario[[#This Row],[OVO BRANCO C]]*preçodiario[[#This Row],[estoque C]],0)</f>
        <v>750</v>
      </c>
      <c r="U34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Row],[data]])),((U348*V348)+SUMIFS(estoque[valor total],estoque[produto],preçodiario[[#Headers],[OVO BRANCO EXTRA]],estoque[data],preçodiario[[#This Row],[data]],estoque[fornecedor],"&lt;&gt;saída"))/(V348+(SUMIFS(estoque[quantidade],estoque[produto],preçodiario[[#Headers],[OVO BRANCO EXTRA]],estoque[fornecedor],"&lt;&gt;saída",estoque[data],preçodiario[[#This Row],[data]])))))</f>
        <v>15.725438400674655</v>
      </c>
      <c r="V349" s="22">
        <f>IF(preçodiario[[#This Row],[entrada E]]=0,V348-(SUMIFS(estoque[quantidade],estoque[fornecedor],"saída",estoque[produto],preçodiario[[#Headers],[OVO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Row],[data]]))+V348+preçodiario[[#This Row],[entrada E]])</f>
        <v>46</v>
      </c>
      <c r="W349" s="22">
        <f>SUMIFS(estoque[quantidade],estoque[fornecedor],"&lt;&gt;saída",estoque[produto],preçodiario[[#Headers],[OVO BRANCO EXTRA]],estoque[data],preçodiario[[#This Row],[data]])</f>
        <v>0</v>
      </c>
      <c r="X349" s="20">
        <f>SUMIFS(estoque[valor total],estoque[fornecedor],"&lt;&gt;saída",estoque[produto],preçodiario[[#Headers],[OVO BRANCO EXTRA]],estoque[data],preçodiario[[#This Row],[data]])</f>
        <v>0</v>
      </c>
      <c r="Y349" s="20">
        <f>IFERROR(preçodiario[[#This Row],[estoque E]]*preçodiario[[#This Row],[OVO BRANCO EXTRA]],0)</f>
        <v>723.37016643103414</v>
      </c>
      <c r="Z34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Row],[data]])),((Z348*AA348)+SUMIFS(estoque[valor total],estoque[produto],preçodiario[[#Headers],[OVO BRANCO JUMBO]],estoque[data],preçodiario[[#This Row],[data]],estoque[fornecedor],"&lt;&gt;saída"))/(AA348+(SUMIFS(estoque[quantidade],estoque[produto],preçodiario[[#Headers],[OVO BRANCO JUMBO]],estoque[fornecedor],"&lt;&gt;saída",estoque[data],preçodiario[[#This Row],[data]])))))</f>
        <v>16.50550595238095</v>
      </c>
      <c r="AA349" s="22">
        <f>IF(preçodiario[[#This Row],[entrada J]]=0,AA348-(SUMIFS(estoque[quantidade],estoque[fornecedor],"saída",estoque[produto],preçodiario[[#Headers],[OVO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Row],[data]]))+AA348+preçodiario[[#This Row],[entrada J]])</f>
        <v>75</v>
      </c>
      <c r="AB349" s="22">
        <f>SUMIFS(estoque[quantidade],estoque[fornecedor],"&lt;&gt;saída",estoque[produto],preçodiario[[#Headers],[OVO BRANCO JUMBO]],estoque[data],preçodiario[[#This Row],[data]])</f>
        <v>0</v>
      </c>
      <c r="AC349" s="20">
        <f>SUMIFS(estoque[valor total],estoque[fornecedor],"&lt;&gt;saída",estoque[produto],preçodiario[[#Headers],[OVO BRANCO JUMBO]],estoque[data],preçodiario[[#This Row],[data]])</f>
        <v>0</v>
      </c>
      <c r="AD349" s="20">
        <f>IFERROR(preçodiario[[#This Row],[OVO BRANCO JUMBO]]*preçodiario[[#This Row],[estoque J]],0)</f>
        <v>1237.9129464285713</v>
      </c>
      <c r="AE34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Row],[data]])),((AE348*AF348)+SUMIFS(estoque[valor total],estoque[produto],preçodiario[[#Headers],[OVO VERMELHO A]],estoque[data],preçodiario[[#This Row],[data]],estoque[fornecedor],"&lt;&gt;saída"))/(AF348+(SUMIFS(estoque[quantidade],estoque[produto],preçodiario[[#Headers],[OVO VERMELHO A]],estoque[fornecedor],"&lt;&gt;saída",estoque[data],preçodiario[[#This Row],[data]])))))</f>
        <v/>
      </c>
      <c r="AF349" s="22">
        <f>IF(preçodiario[[#This Row],[entrada AV]]=0,AF348-(SUMIFS(estoque[quantidade],estoque[fornecedor],"saída",estoque[produto],preçodiario[[#Headers],[OVO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Row],[data]]))+AF348+preçodiario[[#This Row],[entrada AV]])</f>
        <v>0</v>
      </c>
      <c r="AG349" s="22">
        <f>SUMIFS(estoque[quantidade],estoque[fornecedor],"&lt;&gt;saída",estoque[produto],preçodiario[[#Headers],[OVO VERMELHO A]],estoque[data],preçodiario[[#This Row],[data]])</f>
        <v>0</v>
      </c>
      <c r="AH349" s="20">
        <f>SUMIFS(estoque[valor total],estoque[fornecedor],"&lt;&gt;saída",estoque[produto],preçodiario[[#Headers],[OVO VERMELHO A]],estoque[data],preçodiario[[#This Row],[data]])</f>
        <v>0</v>
      </c>
      <c r="AI349" s="20">
        <f>IFERROR(preçodiario[[#This Row],[OVO VERMELHO A]]*preçodiario[[#This Row],[estoque AV]],0)</f>
        <v>0</v>
      </c>
      <c r="AJ34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Row],[data]])),((AJ348*AK348)+SUMIFS(estoque[valor total],estoque[produto],preçodiario[[#Headers],[OVO VERMELHO B]],estoque[data],preçodiario[[#This Row],[data]],estoque[fornecedor],"&lt;&gt;saída"))/(AK348+(SUMIFS(estoque[quantidade],estoque[produto],preçodiario[[#Headers],[OVO VERMELHO B]],estoque[fornecedor],"&lt;&gt;saída",estoque[data],preçodiario[[#This Row],[data]])))))</f>
        <v/>
      </c>
      <c r="AK349" s="22">
        <f>IF(preçodiario[[#This Row],[entrada BV]]=0,AK348-(SUMIFS(estoque[quantidade],estoque[fornecedor],"saída",estoque[produto],preçodiario[[#Headers],[OVO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Row],[data]]))+AK348+preçodiario[[#This Row],[entrada BV]])</f>
        <v>0</v>
      </c>
      <c r="AL349" s="22">
        <f>SUMIFS(estoque[quantidade],estoque[fornecedor],"&lt;&gt;saída",estoque[produto],preçodiario[[#Headers],[OVO VERMELHO B]],estoque[data],preçodiario[[#This Row],[data]])</f>
        <v>0</v>
      </c>
      <c r="AM349" s="20">
        <f>SUMIFS(estoque[valor total],estoque[fornecedor],"&lt;&gt;saída",estoque[produto],preçodiario[[#Headers],[OVO VERMELHO B]],estoque[data],preçodiario[[#This Row],[data]])</f>
        <v>0</v>
      </c>
      <c r="AN349" s="20">
        <f>IFERROR(preçodiario[[#This Row],[OVO VERMELHO B]]*preçodiario[[#This Row],[estoque BV]],0)</f>
        <v>0</v>
      </c>
      <c r="AO34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Row],[data]])),((AO348*AP348)+SUMIFS(estoque[valor total],estoque[produto],preçodiario[[#Headers],[OVO VERMELHO C]],estoque[data],preçodiario[[#This Row],[data]],estoque[fornecedor],"&lt;&gt;saída"))/(AP348+(SUMIFS(estoque[quantidade],estoque[produto],preçodiario[[#Headers],[OVO VERMELHO C]],estoque[fornecedor],"&lt;&gt;saída",estoque[data],preçodiario[[#This Row],[data]])))))</f>
        <v/>
      </c>
      <c r="AP349" s="22">
        <f>IF(preçodiario[[#This Row],[entrada CV]]=0,AP348-(SUMIFS(estoque[quantidade],estoque[fornecedor],"saída",estoque[produto],preçodiario[[#Headers],[OVO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Row],[data]]))+AP348+preçodiario[[#This Row],[entrada CV]])</f>
        <v>0</v>
      </c>
      <c r="AQ349" s="22">
        <f>SUMIFS(estoque[quantidade],estoque[fornecedor],"&lt;&gt;saída",estoque[produto],preçodiario[[#Headers],[OVO VERMELHO C]],estoque[data],preçodiario[[#This Row],[data]])</f>
        <v>0</v>
      </c>
      <c r="AR349" s="20">
        <f>SUMIFS(estoque[valor total],estoque[fornecedor],"&lt;&gt;saída",estoque[produto],preçodiario[[#Headers],[OVO VERMELHO C]],estoque[data],preçodiario[[#This Row],[data]])</f>
        <v>0</v>
      </c>
      <c r="AS349" s="20">
        <f>IFERROR(preçodiario[[#This Row],[OVO VERMELHO C]]*preçodiario[[#This Row],[estoque CV]],0)</f>
        <v>0</v>
      </c>
      <c r="AT34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Row],[data]])),((AT348*AU348)+SUMIFS(estoque[valor total],estoque[produto],preçodiario[[#Headers],[OVO VERMELHO EXTRA]],estoque[data],preçodiario[[#This Row],[data]],estoque[fornecedor],"&lt;&gt;saída"))/(AU348+(SUMIFS(estoque[quantidade],estoque[produto],preçodiario[[#Headers],[OVO VERMELHO EXTRA]],estoque[fornecedor],"&lt;&gt;saída",estoque[data],preçodiario[[#This Row],[data]])))))</f>
        <v/>
      </c>
      <c r="AU349" s="22">
        <f>IF(preçodiario[[#This Row],[entrada EV]]=0,AU348-(SUMIFS(estoque[quantidade],estoque[fornecedor],"saída",estoque[produto],preçodiario[[#Headers],[OVO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Row],[data]]))+AU348+preçodiario[[#This Row],[entrada EV]])</f>
        <v>0</v>
      </c>
      <c r="AV349" s="22">
        <f>SUMIFS(estoque[quantidade],estoque[fornecedor],"&lt;&gt;saída",estoque[produto],preçodiario[[#Headers],[OVO VERMELHO EXTRA]],estoque[data],preçodiario[[#This Row],[data]])</f>
        <v>0</v>
      </c>
      <c r="AW349" s="20">
        <f>SUMIFS(estoque[valor total],estoque[fornecedor],"&lt;&gt;saída",estoque[produto],preçodiario[[#Headers],[OVO VERMELHO EXTRA]],estoque[data],preçodiario[[#This Row],[data]])</f>
        <v>0</v>
      </c>
      <c r="AX349" s="20">
        <f>IFERROR(preçodiario[[#This Row],[OVO VERMELHO EXTRA]]*preçodiario[[#This Row],[estoque EV]],0)</f>
        <v>0</v>
      </c>
      <c r="AY34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Row],[data]])),((AY348*AZ348)+SUMIFS(estoque[valor total],estoque[produto],preçodiario[[#Headers],[OVO VERMELHO JUMBO]],estoque[data],preçodiario[[#This Row],[data]],estoque[fornecedor],"&lt;&gt;saída"))/(AZ348+(SUMIFS(estoque[quantidade],estoque[produto],preçodiario[[#Headers],[OVO VERMELHO JUMBO]],estoque[fornecedor],"&lt;&gt;saída",estoque[data],preçodiario[[#This Row],[data]])))))</f>
        <v/>
      </c>
      <c r="AZ349" s="22">
        <f>IF(preçodiario[[#This Row],[entrada JV]]=0,AZ348-(SUMIFS(estoque[quantidade],estoque[fornecedor],"saída",estoque[produto],preçodiario[[#Headers],[OVO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Row],[data]]))+AZ348+preçodiario[[#This Row],[entrada JV]])</f>
        <v>0</v>
      </c>
      <c r="BA349" s="22">
        <f>SUMIFS(estoque[quantidade],estoque[fornecedor],"&lt;&gt;saída",estoque[produto],preçodiario[[#Headers],[OVO VERMELHO JUMBO]],estoque[data],preçodiario[[#This Row],[data]])</f>
        <v>0</v>
      </c>
      <c r="BB349" s="20">
        <f>SUMIFS(estoque[valor total],estoque[fornecedor],"&lt;&gt;saída",estoque[produto],preçodiario[[#Headers],[OVO VERMELHO JUMBO]],estoque[data],preçodiario[[#This Row],[data]])</f>
        <v>0</v>
      </c>
      <c r="BC349" s="20">
        <f>IFERROR(preçodiario[[#This Row],[OVO VERMELHO JUMBO]]*preçodiario[[#This Row],[estoque JV]],0)</f>
        <v>0</v>
      </c>
      <c r="BD349" t="str">
        <f>TEXT(vendaAno[[#This Row],[data]],"mmm")</f>
        <v>dez</v>
      </c>
      <c r="BE349" t="str">
        <f>TEXT(vendaAno[[#This Row],[data]],"ddd")</f>
        <v>seg</v>
      </c>
      <c r="BF349" s="82">
        <f>WEEKNUM(vendaAno[[#This Row],[data]],13)</f>
        <v>50</v>
      </c>
      <c r="BG349" s="27">
        <f>preçodiario[[#This Row],[data]]</f>
        <v>46370</v>
      </c>
      <c r="BH34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4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4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Row],[data]]))/12+BJ348,"")</f>
        <v/>
      </c>
      <c r="BK349" s="79" t="str">
        <f ca="1">IF(TODAY()&gt;=vendaAno[[#This Row],[data]],IF(SUMIFS(estoque[quantidade],estoque[fornecedor],"saída",estoque[data],vendaAno[[#This Row],[data]])/12=0,AVERAGE(BK346:BK348),SUMIFS(estoque[quantidade],estoque[fornecedor],"saída",estoque[data],vendaAno[[#This Row],[data]])/12),"")</f>
        <v/>
      </c>
      <c r="BL349" s="8" t="str">
        <f ca="1">IF(vendaAno[[#This Row],[data]]&lt;=TODAY(),IF(SUMIFS(estoque[lucro],estoque[fornecedor],"saída",estoque[data],vendaAno[[#This Row],[data]])=0,AVERAGE(BL346:BL348),SUMIFS(estoque[lucro],estoque[fornecedor],"saída",estoque[data],vendaAno[[#This Row],[data]])),"")</f>
        <v/>
      </c>
      <c r="BM349" s="10" t="str">
        <f ca="1">IFERROR(vendaAno[[#This Row],[lucro]]/vendaAno[[#This Row],[valor de venda]],"")</f>
        <v/>
      </c>
      <c r="BN34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49" s="8" t="str">
        <f ca="1">IF(TODAY()&gt;=vendaAno[[#This Row],[data]],IF(vendaAno[[#This Row],[N°]]=BF348,vendaAno[[#This Row],[lucro]]-173.33+BO348,vendaAno[[#This Row],[lucro]]-150),"")</f>
        <v/>
      </c>
      <c r="BP349" s="81" t="str">
        <f ca="1">IF(TODAY()&gt;=vendaAno[[#This Row],[data]],SUM(BK343:BK349)*12,"")</f>
        <v/>
      </c>
      <c r="BQ349" s="7" t="str">
        <f ca="1">IFERROR(vendaAno[[#This Row],[lucro]]/(vendaAno[[#This Row],[venda]]*12),"")</f>
        <v/>
      </c>
    </row>
    <row r="350" spans="1:69" x14ac:dyDescent="0.25">
      <c r="A35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Row],[data]]-1))*A349+SUMIFS(estoque[valor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0" s="18" t="str">
        <f>TEXT(preçodiario[[#This Row],[data]],"MMM")</f>
        <v>dez</v>
      </c>
      <c r="C350" s="18" t="str">
        <f>TEXT(preçodiario[[#This Row],[data]],"ddd")</f>
        <v>ter</v>
      </c>
      <c r="D350" s="96">
        <f>WEEKNUM(preçodiario[[#This Row],[data]],13)</f>
        <v>50</v>
      </c>
      <c r="E350" s="37">
        <v>46371</v>
      </c>
      <c r="F35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Row],[data]]))),IF(G349=0,SUMIFS(estoque[valor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Row],[data]])),((F349*G349)+SUMIFS(estoque[valor total],estoque[produto],preçodiario[[#Headers],[OVO BRANCO A]],estoque[data],preçodiario[[#This Row],[data]],estoque[fornecedor],"&lt;&gt;saída"))/(G349+(SUMIFS(estoque[quantidade],estoque[produto],preçodiario[[#Headers],[OVO BRANCO A]],estoque[fornecedor],"&lt;&gt;saída",estoque[data],preçodiario[[#This Row],[data]])))))</f>
        <v>15.278182701652089</v>
      </c>
      <c r="G350" s="22">
        <f>IF(preçodiario[[#This Row],[entrada A]]=0,G349-(SUMIFS(estoque[quantidade],estoque[fornecedor],"saída",estoque[produto],preçodiario[[#Headers],[OVO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Row],[data]]))+G349+preçodiario[[#This Row],[entrada A]])</f>
        <v>133</v>
      </c>
      <c r="H350" s="22">
        <f>SUMIFS(estoque[quantidade],estoque[fornecedor],"&lt;&gt;saída",estoque[produto],preçodiario[[#Headers],[OVO BRANCO A]],estoque[data],preçodiario[[#This Row],[data]])</f>
        <v>0</v>
      </c>
      <c r="I350" s="20">
        <f>SUMIFS(estoque[valor total],estoque[fornecedor],"&lt;&gt;saída",estoque[produto],preçodiario[[#Headers],[OVO BRANCO A]],estoque[data],preçodiario[[#This Row],[data]])</f>
        <v>0</v>
      </c>
      <c r="J350" s="20">
        <f>IFERROR(preçodiario[[#This Row],[estoque A]]*preçodiario[[#This Row],[OVO BRANCO A]],0)</f>
        <v>2031.9982993197277</v>
      </c>
      <c r="K35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Row],[data]]))),IF(L349=0,SUMIFS(estoque[valor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Row],[data]])),((K349*L349)+SUMIFS(estoque[valor total],estoque[produto],preçodiario[[#Headers],[OVO BRANCO B]],estoque[data],preçodiario[[#This Row],[data]],estoque[fornecedor],"&lt;&gt;saída"))/(L349+(SUMIFS(estoque[quantidade],estoque[produto],preçodiario[[#Headers],[OVO BRANCO B]],estoque[fornecedor],"&lt;&gt;saída",estoque[data],preçodiario[[#This Row],[data]])))))</f>
        <v>14.584252837326604</v>
      </c>
      <c r="L350" s="22">
        <f>IF(preçodiario[[#This Row],[entrada B]]=0,L349-(SUMIFS(estoque[quantidade],estoque[fornecedor],"saída",estoque[produto],preçodiario[[#Headers],[OVO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Row],[data]]))+L349+preçodiario[[#This Row],[entrada B]])</f>
        <v>16</v>
      </c>
      <c r="M350" s="22">
        <f>SUMIFS(estoque[quantidade],estoque[fornecedor],"&lt;&gt;saída",estoque[produto],preçodiario[[#Headers],[OVO BRANCO B]],estoque[data],preçodiario[[#This Row],[data]])</f>
        <v>0</v>
      </c>
      <c r="N350" s="20">
        <f>SUMIFS(estoque[valor total],estoque[fornecedor],"&lt;&gt;saída",estoque[produto],preçodiario[[#Headers],[OVO BRANCO B]],estoque[data],preçodiario[[#This Row],[data]])</f>
        <v>0</v>
      </c>
      <c r="O350" s="20">
        <f>IFERROR(preçodiario[[#This Row],[OVO BRANCO B]]*preçodiario[[#This Row],[estoque B]],0)</f>
        <v>233.34804539722566</v>
      </c>
      <c r="P35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Row],[data]]))),IF(Q349=0,SUMIFS(estoque[valor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Row],[data]])),((P349*Q349)+SUMIFS(estoque[valor total],estoque[produto],preçodiario[[#Headers],[OVO BRANCO C]],estoque[data],preçodiario[[#This Row],[data]],estoque[fornecedor],"&lt;&gt;saída"))/(Q349+(SUMIFS(estoque[quantidade],estoque[produto],preçodiario[[#Headers],[OVO BRANCO C]],estoque[fornecedor],"&lt;&gt;saída",estoque[data],preçodiario[[#This Row],[data]])))))</f>
        <v>12.5</v>
      </c>
      <c r="Q350" s="22">
        <f>IF(preçodiario[[#This Row],[entrada C]]=0,Q349-(SUMIFS(estoque[quantidade],estoque[fornecedor],"saída",estoque[produto],preçodiario[[#Headers],[OVO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Row],[data]]))+Q349+preçodiario[[#This Row],[entrada C]])</f>
        <v>60</v>
      </c>
      <c r="R350" s="22">
        <f>SUMIFS(estoque[quantidade],estoque[fornecedor],"&lt;&gt;saída",estoque[produto],preçodiario[[#Headers],[OVO BRANCO C]],estoque[data],preçodiario[[#This Row],[data]])</f>
        <v>0</v>
      </c>
      <c r="S350" s="20">
        <f>SUMIFS(estoque[valor total],estoque[fornecedor],"&lt;&gt;saída",estoque[produto],preçodiario[[#Headers],[OVO BRANCO C]],estoque[data],preçodiario[[#This Row],[data]])</f>
        <v>0</v>
      </c>
      <c r="T350" s="20">
        <f>IFERROR(preçodiario[[#This Row],[OVO BRANCO C]]*preçodiario[[#This Row],[estoque C]],0)</f>
        <v>750</v>
      </c>
      <c r="U35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Row],[data]]))),IF(V349=0,SUMIFS(estoque[valor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Row],[data]])),((U349*V349)+SUMIFS(estoque[valor total],estoque[produto],preçodiario[[#Headers],[OVO BRANCO EXTRA]],estoque[data],preçodiario[[#This Row],[data]],estoque[fornecedor],"&lt;&gt;saída"))/(V349+(SUMIFS(estoque[quantidade],estoque[produto],preçodiario[[#Headers],[OVO BRANCO EXTRA]],estoque[fornecedor],"&lt;&gt;saída",estoque[data],preçodiario[[#This Row],[data]])))))</f>
        <v>15.725438400674655</v>
      </c>
      <c r="V350" s="22">
        <f>IF(preçodiario[[#This Row],[entrada E]]=0,V349-(SUMIFS(estoque[quantidade],estoque[fornecedor],"saída",estoque[produto],preçodiario[[#Headers],[OVO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Row],[data]]))+V349+preçodiario[[#This Row],[entrada E]])</f>
        <v>46</v>
      </c>
      <c r="W350" s="22">
        <f>SUMIFS(estoque[quantidade],estoque[fornecedor],"&lt;&gt;saída",estoque[produto],preçodiario[[#Headers],[OVO BRANCO EXTRA]],estoque[data],preçodiario[[#This Row],[data]])</f>
        <v>0</v>
      </c>
      <c r="X350" s="20">
        <f>SUMIFS(estoque[valor total],estoque[fornecedor],"&lt;&gt;saída",estoque[produto],preçodiario[[#Headers],[OVO BRANCO EXTRA]],estoque[data],preçodiario[[#This Row],[data]])</f>
        <v>0</v>
      </c>
      <c r="Y350" s="20">
        <f>IFERROR(preçodiario[[#This Row],[estoque E]]*preçodiario[[#This Row],[OVO BRANCO EXTRA]],0)</f>
        <v>723.37016643103414</v>
      </c>
      <c r="Z35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Row],[data]]))),IF(AA349=0,SUMIFS(estoque[valor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Row],[data]])),((Z349*AA349)+SUMIFS(estoque[valor total],estoque[produto],preçodiario[[#Headers],[OVO BRANCO JUMBO]],estoque[data],preçodiario[[#This Row],[data]],estoque[fornecedor],"&lt;&gt;saída"))/(AA349+(SUMIFS(estoque[quantidade],estoque[produto],preçodiario[[#Headers],[OVO BRANCO JUMBO]],estoque[fornecedor],"&lt;&gt;saída",estoque[data],preçodiario[[#This Row],[data]])))))</f>
        <v>16.50550595238095</v>
      </c>
      <c r="AA350" s="22">
        <f>IF(preçodiario[[#This Row],[entrada J]]=0,AA349-(SUMIFS(estoque[quantidade],estoque[fornecedor],"saída",estoque[produto],preçodiario[[#Headers],[OVO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Row],[data]]))+AA349+preçodiario[[#This Row],[entrada J]])</f>
        <v>75</v>
      </c>
      <c r="AB350" s="22">
        <f>SUMIFS(estoque[quantidade],estoque[fornecedor],"&lt;&gt;saída",estoque[produto],preçodiario[[#Headers],[OVO BRANCO JUMBO]],estoque[data],preçodiario[[#This Row],[data]])</f>
        <v>0</v>
      </c>
      <c r="AC350" s="20">
        <f>SUMIFS(estoque[valor total],estoque[fornecedor],"&lt;&gt;saída",estoque[produto],preçodiario[[#Headers],[OVO BRANCO JUMBO]],estoque[data],preçodiario[[#This Row],[data]])</f>
        <v>0</v>
      </c>
      <c r="AD350" s="20">
        <f>IFERROR(preçodiario[[#This Row],[OVO BRANCO JUMBO]]*preçodiario[[#This Row],[estoque J]],0)</f>
        <v>1237.9129464285713</v>
      </c>
      <c r="AE35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Row],[data]]))),IF(AF349=0,SUMIFS(estoque[valor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Row],[data]])),((AE349*AF349)+SUMIFS(estoque[valor total],estoque[produto],preçodiario[[#Headers],[OVO VERMELHO A]],estoque[data],preçodiario[[#This Row],[data]],estoque[fornecedor],"&lt;&gt;saída"))/(AF349+(SUMIFS(estoque[quantidade],estoque[produto],preçodiario[[#Headers],[OVO VERMELHO A]],estoque[fornecedor],"&lt;&gt;saída",estoque[data],preçodiario[[#This Row],[data]])))))</f>
        <v/>
      </c>
      <c r="AF350" s="22">
        <f>IF(preçodiario[[#This Row],[entrada AV]]=0,AF349-(SUMIFS(estoque[quantidade],estoque[fornecedor],"saída",estoque[produto],preçodiario[[#Headers],[OVO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Row],[data]]))+AF349+preçodiario[[#This Row],[entrada AV]])</f>
        <v>0</v>
      </c>
      <c r="AG350" s="22">
        <f>SUMIFS(estoque[quantidade],estoque[fornecedor],"&lt;&gt;saída",estoque[produto],preçodiario[[#Headers],[OVO VERMELHO A]],estoque[data],preçodiario[[#This Row],[data]])</f>
        <v>0</v>
      </c>
      <c r="AH350" s="20">
        <f>SUMIFS(estoque[valor total],estoque[fornecedor],"&lt;&gt;saída",estoque[produto],preçodiario[[#Headers],[OVO VERMELHO A]],estoque[data],preçodiario[[#This Row],[data]])</f>
        <v>0</v>
      </c>
      <c r="AI350" s="20">
        <f>IFERROR(preçodiario[[#This Row],[OVO VERMELHO A]]*preçodiario[[#This Row],[estoque AV]],0)</f>
        <v>0</v>
      </c>
      <c r="AJ35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Row],[data]]))),IF(AK349=0,SUMIFS(estoque[valor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Row],[data]])),((AJ349*AK349)+SUMIFS(estoque[valor total],estoque[produto],preçodiario[[#Headers],[OVO VERMELHO B]],estoque[data],preçodiario[[#This Row],[data]],estoque[fornecedor],"&lt;&gt;saída"))/(AK349+(SUMIFS(estoque[quantidade],estoque[produto],preçodiario[[#Headers],[OVO VERMELHO B]],estoque[fornecedor],"&lt;&gt;saída",estoque[data],preçodiario[[#This Row],[data]])))))</f>
        <v/>
      </c>
      <c r="AK350" s="22">
        <f>IF(preçodiario[[#This Row],[entrada BV]]=0,AK349-(SUMIFS(estoque[quantidade],estoque[fornecedor],"saída",estoque[produto],preçodiario[[#Headers],[OVO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Row],[data]]))+AK349+preçodiario[[#This Row],[entrada BV]])</f>
        <v>0</v>
      </c>
      <c r="AL350" s="22">
        <f>SUMIFS(estoque[quantidade],estoque[fornecedor],"&lt;&gt;saída",estoque[produto],preçodiario[[#Headers],[OVO VERMELHO B]],estoque[data],preçodiario[[#This Row],[data]])</f>
        <v>0</v>
      </c>
      <c r="AM350" s="20">
        <f>SUMIFS(estoque[valor total],estoque[fornecedor],"&lt;&gt;saída",estoque[produto],preçodiario[[#Headers],[OVO VERMELHO B]],estoque[data],preçodiario[[#This Row],[data]])</f>
        <v>0</v>
      </c>
      <c r="AN350" s="20">
        <f>IFERROR(preçodiario[[#This Row],[OVO VERMELHO B]]*preçodiario[[#This Row],[estoque BV]],0)</f>
        <v>0</v>
      </c>
      <c r="AO35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Row],[data]]))),IF(AP349=0,SUMIFS(estoque[valor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Row],[data]])),((AO349*AP349)+SUMIFS(estoque[valor total],estoque[produto],preçodiario[[#Headers],[OVO VERMELHO C]],estoque[data],preçodiario[[#This Row],[data]],estoque[fornecedor],"&lt;&gt;saída"))/(AP349+(SUMIFS(estoque[quantidade],estoque[produto],preçodiario[[#Headers],[OVO VERMELHO C]],estoque[fornecedor],"&lt;&gt;saída",estoque[data],preçodiario[[#This Row],[data]])))))</f>
        <v/>
      </c>
      <c r="AP350" s="22">
        <f>IF(preçodiario[[#This Row],[entrada CV]]=0,AP349-(SUMIFS(estoque[quantidade],estoque[fornecedor],"saída",estoque[produto],preçodiario[[#Headers],[OVO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Row],[data]]))+AP349+preçodiario[[#This Row],[entrada CV]])</f>
        <v>0</v>
      </c>
      <c r="AQ350" s="22">
        <f>SUMIFS(estoque[quantidade],estoque[fornecedor],"&lt;&gt;saída",estoque[produto],preçodiario[[#Headers],[OVO VERMELHO C]],estoque[data],preçodiario[[#This Row],[data]])</f>
        <v>0</v>
      </c>
      <c r="AR350" s="20">
        <f>SUMIFS(estoque[valor total],estoque[fornecedor],"&lt;&gt;saída",estoque[produto],preçodiario[[#Headers],[OVO VERMELHO C]],estoque[data],preçodiario[[#This Row],[data]])</f>
        <v>0</v>
      </c>
      <c r="AS350" s="20">
        <f>IFERROR(preçodiario[[#This Row],[OVO VERMELHO C]]*preçodiario[[#This Row],[estoque CV]],0)</f>
        <v>0</v>
      </c>
      <c r="AT35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Row],[data]]))),IF(AU349=0,SUMIFS(estoque[valor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Row],[data]])),((AT349*AU349)+SUMIFS(estoque[valor total],estoque[produto],preçodiario[[#Headers],[OVO VERMELHO EXTRA]],estoque[data],preçodiario[[#This Row],[data]],estoque[fornecedor],"&lt;&gt;saída"))/(AU349+(SUMIFS(estoque[quantidade],estoque[produto],preçodiario[[#Headers],[OVO VERMELHO EXTRA]],estoque[fornecedor],"&lt;&gt;saída",estoque[data],preçodiario[[#This Row],[data]])))))</f>
        <v/>
      </c>
      <c r="AU350" s="22">
        <f>IF(preçodiario[[#This Row],[entrada EV]]=0,AU349-(SUMIFS(estoque[quantidade],estoque[fornecedor],"saída",estoque[produto],preçodiario[[#Headers],[OVO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Row],[data]]))+AU349+preçodiario[[#This Row],[entrada EV]])</f>
        <v>0</v>
      </c>
      <c r="AV350" s="22">
        <f>SUMIFS(estoque[quantidade],estoque[fornecedor],"&lt;&gt;saída",estoque[produto],preçodiario[[#Headers],[OVO VERMELHO EXTRA]],estoque[data],preçodiario[[#This Row],[data]])</f>
        <v>0</v>
      </c>
      <c r="AW350" s="20">
        <f>SUMIFS(estoque[valor total],estoque[fornecedor],"&lt;&gt;saída",estoque[produto],preçodiario[[#Headers],[OVO VERMELHO EXTRA]],estoque[data],preçodiario[[#This Row],[data]])</f>
        <v>0</v>
      </c>
      <c r="AX350" s="20">
        <f>IFERROR(preçodiario[[#This Row],[OVO VERMELHO EXTRA]]*preçodiario[[#This Row],[estoque EV]],0)</f>
        <v>0</v>
      </c>
      <c r="AY35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Row],[data]]))),IF(AZ349=0,SUMIFS(estoque[valor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Row],[data]])),((AY349*AZ349)+SUMIFS(estoque[valor total],estoque[produto],preçodiario[[#Headers],[OVO VERMELHO JUMBO]],estoque[data],preçodiario[[#This Row],[data]],estoque[fornecedor],"&lt;&gt;saída"))/(AZ349+(SUMIFS(estoque[quantidade],estoque[produto],preçodiario[[#Headers],[OVO VERMELHO JUMBO]],estoque[fornecedor],"&lt;&gt;saída",estoque[data],preçodiario[[#This Row],[data]])))))</f>
        <v/>
      </c>
      <c r="AZ350" s="22">
        <f>IF(preçodiario[[#This Row],[entrada JV]]=0,AZ349-(SUMIFS(estoque[quantidade],estoque[fornecedor],"saída",estoque[produto],preçodiario[[#Headers],[OVO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Row],[data]]))+AZ349+preçodiario[[#This Row],[entrada JV]])</f>
        <v>0</v>
      </c>
      <c r="BA350" s="22">
        <f>SUMIFS(estoque[quantidade],estoque[fornecedor],"&lt;&gt;saída",estoque[produto],preçodiario[[#Headers],[OVO VERMELHO JUMBO]],estoque[data],preçodiario[[#This Row],[data]])</f>
        <v>0</v>
      </c>
      <c r="BB350" s="20">
        <f>SUMIFS(estoque[valor total],estoque[fornecedor],"&lt;&gt;saída",estoque[produto],preçodiario[[#Headers],[OVO VERMELHO JUMBO]],estoque[data],preçodiario[[#This Row],[data]])</f>
        <v>0</v>
      </c>
      <c r="BC350" s="20">
        <f>IFERROR(preçodiario[[#This Row],[OVO VERMELHO JUMBO]]*preçodiario[[#This Row],[estoque JV]],0)</f>
        <v>0</v>
      </c>
      <c r="BD350" t="str">
        <f>TEXT(vendaAno[[#This Row],[data]],"mmm")</f>
        <v>dez</v>
      </c>
      <c r="BE350" t="str">
        <f>TEXT(vendaAno[[#This Row],[data]],"ddd")</f>
        <v>ter</v>
      </c>
      <c r="BF350" s="82">
        <f>WEEKNUM(vendaAno[[#This Row],[data]],13)</f>
        <v>50</v>
      </c>
      <c r="BG350" s="27">
        <f>preçodiario[[#This Row],[data]]</f>
        <v>46371</v>
      </c>
      <c r="BH35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Row],[data]]))/12+BJ349,"")</f>
        <v/>
      </c>
      <c r="BK350" s="79" t="str">
        <f ca="1">IF(TODAY()&gt;=vendaAno[[#This Row],[data]],IF(SUMIFS(estoque[quantidade],estoque[fornecedor],"saída",estoque[data],vendaAno[[#This Row],[data]])/12=0,AVERAGE(BK347:BK349),SUMIFS(estoque[quantidade],estoque[fornecedor],"saída",estoque[data],vendaAno[[#This Row],[data]])/12),"")</f>
        <v/>
      </c>
      <c r="BL350" s="8" t="str">
        <f ca="1">IF(vendaAno[[#This Row],[data]]&lt;=TODAY(),IF(SUMIFS(estoque[lucro],estoque[fornecedor],"saída",estoque[data],vendaAno[[#This Row],[data]])=0,AVERAGE(BL347:BL349),SUMIFS(estoque[lucro],estoque[fornecedor],"saída",estoque[data],vendaAno[[#This Row],[data]])),"")</f>
        <v/>
      </c>
      <c r="BM350" s="10" t="str">
        <f ca="1">IFERROR(vendaAno[[#This Row],[lucro]]/vendaAno[[#This Row],[valor de venda]],"")</f>
        <v/>
      </c>
      <c r="BN35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0" s="8" t="str">
        <f ca="1">IF(TODAY()&gt;=vendaAno[[#This Row],[data]],IF(vendaAno[[#This Row],[N°]]=BF349,vendaAno[[#This Row],[lucro]]-173.33+BO349,vendaAno[[#This Row],[lucro]]-150),"")</f>
        <v/>
      </c>
      <c r="BP350" s="81" t="str">
        <f ca="1">IF(TODAY()&gt;=vendaAno[[#This Row],[data]],SUM(BK344:BK350)*12,"")</f>
        <v/>
      </c>
      <c r="BQ350" s="7" t="str">
        <f ca="1">IFERROR(vendaAno[[#This Row],[lucro]]/(vendaAno[[#This Row],[venda]]*12),"")</f>
        <v/>
      </c>
    </row>
    <row r="351" spans="1:69" x14ac:dyDescent="0.25">
      <c r="A35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1" s="18" t="str">
        <f>TEXT(preçodiario[[#This Row],[data]],"MMM")</f>
        <v>dez</v>
      </c>
      <c r="C351" s="18" t="str">
        <f>TEXT(preçodiario[[#This Row],[data]],"ddd")</f>
        <v>qua</v>
      </c>
      <c r="D351" s="96">
        <f>WEEKNUM(preçodiario[[#This Row],[data]],13)</f>
        <v>51</v>
      </c>
      <c r="E351" s="37">
        <v>46372</v>
      </c>
      <c r="F35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Row],[data]])),((F350*G350)+SUMIFS(estoque[valor total],estoque[produto],preçodiario[[#Headers],[OVO BRANCO A]],estoque[data],preçodiario[[#This Row],[data]],estoque[fornecedor],"&lt;&gt;saída"))/(G350+(SUMIFS(estoque[quantidade],estoque[produto],preçodiario[[#Headers],[OVO BRANCO A]],estoque[fornecedor],"&lt;&gt;saída",estoque[data],preçodiario[[#This Row],[data]])))))</f>
        <v>15.278182701652089</v>
      </c>
      <c r="G351" s="22">
        <f>IF(preçodiario[[#This Row],[entrada A]]=0,G350-(SUMIFS(estoque[quantidade],estoque[fornecedor],"saída",estoque[produto],preçodiario[[#Headers],[OVO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Row],[data]]))+G350+preçodiario[[#This Row],[entrada A]])</f>
        <v>133</v>
      </c>
      <c r="H351" s="22">
        <f>SUMIFS(estoque[quantidade],estoque[fornecedor],"&lt;&gt;saída",estoque[produto],preçodiario[[#Headers],[OVO BRANCO A]],estoque[data],preçodiario[[#This Row],[data]])</f>
        <v>0</v>
      </c>
      <c r="I351" s="20">
        <f>SUMIFS(estoque[valor total],estoque[fornecedor],"&lt;&gt;saída",estoque[produto],preçodiario[[#Headers],[OVO BRANCO A]],estoque[data],preçodiario[[#This Row],[data]])</f>
        <v>0</v>
      </c>
      <c r="J351" s="20">
        <f>IFERROR(preçodiario[[#This Row],[estoque A]]*preçodiario[[#This Row],[OVO BRANCO A]],0)</f>
        <v>2031.9982993197277</v>
      </c>
      <c r="K35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Row],[data]])),((K350*L350)+SUMIFS(estoque[valor total],estoque[produto],preçodiario[[#Headers],[OVO BRANCO B]],estoque[data],preçodiario[[#This Row],[data]],estoque[fornecedor],"&lt;&gt;saída"))/(L350+(SUMIFS(estoque[quantidade],estoque[produto],preçodiario[[#Headers],[OVO BRANCO B]],estoque[fornecedor],"&lt;&gt;saída",estoque[data],preçodiario[[#This Row],[data]])))))</f>
        <v>14.584252837326604</v>
      </c>
      <c r="L351" s="22">
        <f>IF(preçodiario[[#This Row],[entrada B]]=0,L350-(SUMIFS(estoque[quantidade],estoque[fornecedor],"saída",estoque[produto],preçodiario[[#Headers],[OVO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Row],[data]]))+L350+preçodiario[[#This Row],[entrada B]])</f>
        <v>16</v>
      </c>
      <c r="M351" s="22">
        <f>SUMIFS(estoque[quantidade],estoque[fornecedor],"&lt;&gt;saída",estoque[produto],preçodiario[[#Headers],[OVO BRANCO B]],estoque[data],preçodiario[[#This Row],[data]])</f>
        <v>0</v>
      </c>
      <c r="N351" s="20">
        <f>SUMIFS(estoque[valor total],estoque[fornecedor],"&lt;&gt;saída",estoque[produto],preçodiario[[#Headers],[OVO BRANCO B]],estoque[data],preçodiario[[#This Row],[data]])</f>
        <v>0</v>
      </c>
      <c r="O351" s="20">
        <f>IFERROR(preçodiario[[#This Row],[OVO BRANCO B]]*preçodiario[[#This Row],[estoque B]],0)</f>
        <v>233.34804539722566</v>
      </c>
      <c r="P35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Row],[data]])),((P350*Q350)+SUMIFS(estoque[valor total],estoque[produto],preçodiario[[#Headers],[OVO BRANCO C]],estoque[data],preçodiario[[#This Row],[data]],estoque[fornecedor],"&lt;&gt;saída"))/(Q350+(SUMIFS(estoque[quantidade],estoque[produto],preçodiario[[#Headers],[OVO BRANCO C]],estoque[fornecedor],"&lt;&gt;saída",estoque[data],preçodiario[[#This Row],[data]])))))</f>
        <v>12.5</v>
      </c>
      <c r="Q351" s="22">
        <f>IF(preçodiario[[#This Row],[entrada C]]=0,Q350-(SUMIFS(estoque[quantidade],estoque[fornecedor],"saída",estoque[produto],preçodiario[[#Headers],[OVO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Row],[data]]))+Q350+preçodiario[[#This Row],[entrada C]])</f>
        <v>60</v>
      </c>
      <c r="R351" s="22">
        <f>SUMIFS(estoque[quantidade],estoque[fornecedor],"&lt;&gt;saída",estoque[produto],preçodiario[[#Headers],[OVO BRANCO C]],estoque[data],preçodiario[[#This Row],[data]])</f>
        <v>0</v>
      </c>
      <c r="S351" s="20">
        <f>SUMIFS(estoque[valor total],estoque[fornecedor],"&lt;&gt;saída",estoque[produto],preçodiario[[#Headers],[OVO BRANCO C]],estoque[data],preçodiario[[#This Row],[data]])</f>
        <v>0</v>
      </c>
      <c r="T351" s="20">
        <f>IFERROR(preçodiario[[#This Row],[OVO BRANCO C]]*preçodiario[[#This Row],[estoque C]],0)</f>
        <v>750</v>
      </c>
      <c r="U35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Row],[data]])),((U350*V350)+SUMIFS(estoque[valor total],estoque[produto],preçodiario[[#Headers],[OVO BRANCO EXTRA]],estoque[data],preçodiario[[#This Row],[data]],estoque[fornecedor],"&lt;&gt;saída"))/(V350+(SUMIFS(estoque[quantidade],estoque[produto],preçodiario[[#Headers],[OVO BRANCO EXTRA]],estoque[fornecedor],"&lt;&gt;saída",estoque[data],preçodiario[[#This Row],[data]])))))</f>
        <v>15.725438400674655</v>
      </c>
      <c r="V351" s="22">
        <f>IF(preçodiario[[#This Row],[entrada E]]=0,V350-(SUMIFS(estoque[quantidade],estoque[fornecedor],"saída",estoque[produto],preçodiario[[#Headers],[OVO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Row],[data]]))+V350+preçodiario[[#This Row],[entrada E]])</f>
        <v>46</v>
      </c>
      <c r="W351" s="22">
        <f>SUMIFS(estoque[quantidade],estoque[fornecedor],"&lt;&gt;saída",estoque[produto],preçodiario[[#Headers],[OVO BRANCO EXTRA]],estoque[data],preçodiario[[#This Row],[data]])</f>
        <v>0</v>
      </c>
      <c r="X351" s="20">
        <f>SUMIFS(estoque[valor total],estoque[fornecedor],"&lt;&gt;saída",estoque[produto],preçodiario[[#Headers],[OVO BRANCO EXTRA]],estoque[data],preçodiario[[#This Row],[data]])</f>
        <v>0</v>
      </c>
      <c r="Y351" s="20">
        <f>IFERROR(preçodiario[[#This Row],[estoque E]]*preçodiario[[#This Row],[OVO BRANCO EXTRA]],0)</f>
        <v>723.37016643103414</v>
      </c>
      <c r="Z35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Row],[data]])),((Z350*AA350)+SUMIFS(estoque[valor total],estoque[produto],preçodiario[[#Headers],[OVO BRANCO JUMBO]],estoque[data],preçodiario[[#This Row],[data]],estoque[fornecedor],"&lt;&gt;saída"))/(AA350+(SUMIFS(estoque[quantidade],estoque[produto],preçodiario[[#Headers],[OVO BRANCO JUMBO]],estoque[fornecedor],"&lt;&gt;saída",estoque[data],preçodiario[[#This Row],[data]])))))</f>
        <v>16.50550595238095</v>
      </c>
      <c r="AA351" s="22">
        <f>IF(preçodiario[[#This Row],[entrada J]]=0,AA350-(SUMIFS(estoque[quantidade],estoque[fornecedor],"saída",estoque[produto],preçodiario[[#Headers],[OVO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Row],[data]]))+AA350+preçodiario[[#This Row],[entrada J]])</f>
        <v>75</v>
      </c>
      <c r="AB351" s="22">
        <f>SUMIFS(estoque[quantidade],estoque[fornecedor],"&lt;&gt;saída",estoque[produto],preçodiario[[#Headers],[OVO BRANCO JUMBO]],estoque[data],preçodiario[[#This Row],[data]])</f>
        <v>0</v>
      </c>
      <c r="AC351" s="20">
        <f>SUMIFS(estoque[valor total],estoque[fornecedor],"&lt;&gt;saída",estoque[produto],preçodiario[[#Headers],[OVO BRANCO JUMBO]],estoque[data],preçodiario[[#This Row],[data]])</f>
        <v>0</v>
      </c>
      <c r="AD351" s="20">
        <f>IFERROR(preçodiario[[#This Row],[OVO BRANCO JUMBO]]*preçodiario[[#This Row],[estoque J]],0)</f>
        <v>1237.9129464285713</v>
      </c>
      <c r="AE35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Row],[data]])),((AE350*AF350)+SUMIFS(estoque[valor total],estoque[produto],preçodiario[[#Headers],[OVO VERMELHO A]],estoque[data],preçodiario[[#This Row],[data]],estoque[fornecedor],"&lt;&gt;saída"))/(AF350+(SUMIFS(estoque[quantidade],estoque[produto],preçodiario[[#Headers],[OVO VERMELHO A]],estoque[fornecedor],"&lt;&gt;saída",estoque[data],preçodiario[[#This Row],[data]])))))</f>
        <v/>
      </c>
      <c r="AF351" s="22">
        <f>IF(preçodiario[[#This Row],[entrada AV]]=0,AF350-(SUMIFS(estoque[quantidade],estoque[fornecedor],"saída",estoque[produto],preçodiario[[#Headers],[OVO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Row],[data]]))+AF350+preçodiario[[#This Row],[entrada AV]])</f>
        <v>0</v>
      </c>
      <c r="AG351" s="22">
        <f>SUMIFS(estoque[quantidade],estoque[fornecedor],"&lt;&gt;saída",estoque[produto],preçodiario[[#Headers],[OVO VERMELHO A]],estoque[data],preçodiario[[#This Row],[data]])</f>
        <v>0</v>
      </c>
      <c r="AH351" s="20">
        <f>SUMIFS(estoque[valor total],estoque[fornecedor],"&lt;&gt;saída",estoque[produto],preçodiario[[#Headers],[OVO VERMELHO A]],estoque[data],preçodiario[[#This Row],[data]])</f>
        <v>0</v>
      </c>
      <c r="AI351" s="20">
        <f>IFERROR(preçodiario[[#This Row],[OVO VERMELHO A]]*preçodiario[[#This Row],[estoque AV]],0)</f>
        <v>0</v>
      </c>
      <c r="AJ35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Row],[data]])),((AJ350*AK350)+SUMIFS(estoque[valor total],estoque[produto],preçodiario[[#Headers],[OVO VERMELHO B]],estoque[data],preçodiario[[#This Row],[data]],estoque[fornecedor],"&lt;&gt;saída"))/(AK350+(SUMIFS(estoque[quantidade],estoque[produto],preçodiario[[#Headers],[OVO VERMELHO B]],estoque[fornecedor],"&lt;&gt;saída",estoque[data],preçodiario[[#This Row],[data]])))))</f>
        <v/>
      </c>
      <c r="AK351" s="22">
        <f>IF(preçodiario[[#This Row],[entrada BV]]=0,AK350-(SUMIFS(estoque[quantidade],estoque[fornecedor],"saída",estoque[produto],preçodiario[[#Headers],[OVO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Row],[data]]))+AK350+preçodiario[[#This Row],[entrada BV]])</f>
        <v>0</v>
      </c>
      <c r="AL351" s="22">
        <f>SUMIFS(estoque[quantidade],estoque[fornecedor],"&lt;&gt;saída",estoque[produto],preçodiario[[#Headers],[OVO VERMELHO B]],estoque[data],preçodiario[[#This Row],[data]])</f>
        <v>0</v>
      </c>
      <c r="AM351" s="20">
        <f>SUMIFS(estoque[valor total],estoque[fornecedor],"&lt;&gt;saída",estoque[produto],preçodiario[[#Headers],[OVO VERMELHO B]],estoque[data],preçodiario[[#This Row],[data]])</f>
        <v>0</v>
      </c>
      <c r="AN351" s="20">
        <f>IFERROR(preçodiario[[#This Row],[OVO VERMELHO B]]*preçodiario[[#This Row],[estoque BV]],0)</f>
        <v>0</v>
      </c>
      <c r="AO35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Row],[data]])),((AO350*AP350)+SUMIFS(estoque[valor total],estoque[produto],preçodiario[[#Headers],[OVO VERMELHO C]],estoque[data],preçodiario[[#This Row],[data]],estoque[fornecedor],"&lt;&gt;saída"))/(AP350+(SUMIFS(estoque[quantidade],estoque[produto],preçodiario[[#Headers],[OVO VERMELHO C]],estoque[fornecedor],"&lt;&gt;saída",estoque[data],preçodiario[[#This Row],[data]])))))</f>
        <v/>
      </c>
      <c r="AP351" s="22">
        <f>IF(preçodiario[[#This Row],[entrada CV]]=0,AP350-(SUMIFS(estoque[quantidade],estoque[fornecedor],"saída",estoque[produto],preçodiario[[#Headers],[OVO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Row],[data]]))+AP350+preçodiario[[#This Row],[entrada CV]])</f>
        <v>0</v>
      </c>
      <c r="AQ351" s="22">
        <f>SUMIFS(estoque[quantidade],estoque[fornecedor],"&lt;&gt;saída",estoque[produto],preçodiario[[#Headers],[OVO VERMELHO C]],estoque[data],preçodiario[[#This Row],[data]])</f>
        <v>0</v>
      </c>
      <c r="AR351" s="20">
        <f>SUMIFS(estoque[valor total],estoque[fornecedor],"&lt;&gt;saída",estoque[produto],preçodiario[[#Headers],[OVO VERMELHO C]],estoque[data],preçodiario[[#This Row],[data]])</f>
        <v>0</v>
      </c>
      <c r="AS351" s="20">
        <f>IFERROR(preçodiario[[#This Row],[OVO VERMELHO C]]*preçodiario[[#This Row],[estoque CV]],0)</f>
        <v>0</v>
      </c>
      <c r="AT35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Row],[data]])),((AT350*AU350)+SUMIFS(estoque[valor total],estoque[produto],preçodiario[[#Headers],[OVO VERMELHO EXTRA]],estoque[data],preçodiario[[#This Row],[data]],estoque[fornecedor],"&lt;&gt;saída"))/(AU350+(SUMIFS(estoque[quantidade],estoque[produto],preçodiario[[#Headers],[OVO VERMELHO EXTRA]],estoque[fornecedor],"&lt;&gt;saída",estoque[data],preçodiario[[#This Row],[data]])))))</f>
        <v/>
      </c>
      <c r="AU351" s="22">
        <f>IF(preçodiario[[#This Row],[entrada EV]]=0,AU350-(SUMIFS(estoque[quantidade],estoque[fornecedor],"saída",estoque[produto],preçodiario[[#Headers],[OVO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Row],[data]]))+AU350+preçodiario[[#This Row],[entrada EV]])</f>
        <v>0</v>
      </c>
      <c r="AV351" s="22">
        <f>SUMIFS(estoque[quantidade],estoque[fornecedor],"&lt;&gt;saída",estoque[produto],preçodiario[[#Headers],[OVO VERMELHO EXTRA]],estoque[data],preçodiario[[#This Row],[data]])</f>
        <v>0</v>
      </c>
      <c r="AW351" s="20">
        <f>SUMIFS(estoque[valor total],estoque[fornecedor],"&lt;&gt;saída",estoque[produto],preçodiario[[#Headers],[OVO VERMELHO EXTRA]],estoque[data],preçodiario[[#This Row],[data]])</f>
        <v>0</v>
      </c>
      <c r="AX351" s="20">
        <f>IFERROR(preçodiario[[#This Row],[OVO VERMELHO EXTRA]]*preçodiario[[#This Row],[estoque EV]],0)</f>
        <v>0</v>
      </c>
      <c r="AY35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Row],[data]])),((AY350*AZ350)+SUMIFS(estoque[valor total],estoque[produto],preçodiario[[#Headers],[OVO VERMELHO JUMBO]],estoque[data],preçodiario[[#This Row],[data]],estoque[fornecedor],"&lt;&gt;saída"))/(AZ350+(SUMIFS(estoque[quantidade],estoque[produto],preçodiario[[#Headers],[OVO VERMELHO JUMBO]],estoque[fornecedor],"&lt;&gt;saída",estoque[data],preçodiario[[#This Row],[data]])))))</f>
        <v/>
      </c>
      <c r="AZ351" s="22">
        <f>IF(preçodiario[[#This Row],[entrada JV]]=0,AZ350-(SUMIFS(estoque[quantidade],estoque[fornecedor],"saída",estoque[produto],preçodiario[[#Headers],[OVO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Row],[data]]))+AZ350+preçodiario[[#This Row],[entrada JV]])</f>
        <v>0</v>
      </c>
      <c r="BA351" s="22">
        <f>SUMIFS(estoque[quantidade],estoque[fornecedor],"&lt;&gt;saída",estoque[produto],preçodiario[[#Headers],[OVO VERMELHO JUMBO]],estoque[data],preçodiario[[#This Row],[data]])</f>
        <v>0</v>
      </c>
      <c r="BB351" s="20">
        <f>SUMIFS(estoque[valor total],estoque[fornecedor],"&lt;&gt;saída",estoque[produto],preçodiario[[#Headers],[OVO VERMELHO JUMBO]],estoque[data],preçodiario[[#This Row],[data]])</f>
        <v>0</v>
      </c>
      <c r="BC351" s="20">
        <f>IFERROR(preçodiario[[#This Row],[OVO VERMELHO JUMBO]]*preçodiario[[#This Row],[estoque JV]],0)</f>
        <v>0</v>
      </c>
      <c r="BD351" t="str">
        <f>TEXT(vendaAno[[#This Row],[data]],"mmm")</f>
        <v>dez</v>
      </c>
      <c r="BE351" t="str">
        <f>TEXT(vendaAno[[#This Row],[data]],"ddd")</f>
        <v>qua</v>
      </c>
      <c r="BF351" s="82">
        <f>WEEKNUM(vendaAno[[#This Row],[data]],13)</f>
        <v>51</v>
      </c>
      <c r="BG351" s="27">
        <f>preçodiario[[#This Row],[data]]</f>
        <v>46372</v>
      </c>
      <c r="BH35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Row],[data]]))/12+BJ350,"")</f>
        <v/>
      </c>
      <c r="BK351" s="79" t="str">
        <f ca="1">IF(TODAY()&gt;=vendaAno[[#This Row],[data]],IF(SUMIFS(estoque[quantidade],estoque[fornecedor],"saída",estoque[data],vendaAno[[#This Row],[data]])/12=0,AVERAGE(BK348:BK350),SUMIFS(estoque[quantidade],estoque[fornecedor],"saída",estoque[data],vendaAno[[#This Row],[data]])/12),"")</f>
        <v/>
      </c>
      <c r="BL351" s="8" t="str">
        <f ca="1">IF(vendaAno[[#This Row],[data]]&lt;=TODAY(),IF(SUMIFS(estoque[lucro],estoque[fornecedor],"saída",estoque[data],vendaAno[[#This Row],[data]])=0,AVERAGE(BL348:BL350),SUMIFS(estoque[lucro],estoque[fornecedor],"saída",estoque[data],vendaAno[[#This Row],[data]])),"")</f>
        <v/>
      </c>
      <c r="BM351" s="10" t="str">
        <f ca="1">IFERROR(vendaAno[[#This Row],[lucro]]/vendaAno[[#This Row],[valor de venda]],"")</f>
        <v/>
      </c>
      <c r="BN35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1" s="8" t="str">
        <f ca="1">IF(TODAY()&gt;=vendaAno[[#This Row],[data]],IF(vendaAno[[#This Row],[N°]]=BF350,vendaAno[[#This Row],[lucro]]-173.33+BO350,vendaAno[[#This Row],[lucro]]-150),"")</f>
        <v/>
      </c>
      <c r="BP351" s="81" t="str">
        <f ca="1">IF(TODAY()&gt;=vendaAno[[#This Row],[data]],SUM(BK345:BK351)*12,"")</f>
        <v/>
      </c>
      <c r="BQ351" s="7" t="str">
        <f ca="1">IFERROR(vendaAno[[#This Row],[lucro]]/(vendaAno[[#This Row],[venda]]*12),"")</f>
        <v/>
      </c>
    </row>
    <row r="352" spans="1:69" x14ac:dyDescent="0.25">
      <c r="A35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2" s="18" t="str">
        <f>TEXT(preçodiario[[#This Row],[data]],"MMM")</f>
        <v>dez</v>
      </c>
      <c r="C352" s="18" t="str">
        <f>TEXT(preçodiario[[#This Row],[data]],"ddd")</f>
        <v>qui</v>
      </c>
      <c r="D352" s="96">
        <f>WEEKNUM(preçodiario[[#This Row],[data]],13)</f>
        <v>51</v>
      </c>
      <c r="E352" s="37">
        <v>46373</v>
      </c>
      <c r="F35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Row],[data]])),((F351*G351)+SUMIFS(estoque[valor total],estoque[produto],preçodiario[[#Headers],[OVO BRANCO A]],estoque[data],preçodiario[[#This Row],[data]],estoque[fornecedor],"&lt;&gt;saída"))/(G351+(SUMIFS(estoque[quantidade],estoque[produto],preçodiario[[#Headers],[OVO BRANCO A]],estoque[fornecedor],"&lt;&gt;saída",estoque[data],preçodiario[[#This Row],[data]])))))</f>
        <v>15.278182701652089</v>
      </c>
      <c r="G352" s="22">
        <f>IF(preçodiario[[#This Row],[entrada A]]=0,G351-(SUMIFS(estoque[quantidade],estoque[fornecedor],"saída",estoque[produto],preçodiario[[#Headers],[OVO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Row],[data]]))+G351+preçodiario[[#This Row],[entrada A]])</f>
        <v>133</v>
      </c>
      <c r="H352" s="22">
        <f>SUMIFS(estoque[quantidade],estoque[fornecedor],"&lt;&gt;saída",estoque[produto],preçodiario[[#Headers],[OVO BRANCO A]],estoque[data],preçodiario[[#This Row],[data]])</f>
        <v>0</v>
      </c>
      <c r="I352" s="20">
        <f>SUMIFS(estoque[valor total],estoque[fornecedor],"&lt;&gt;saída",estoque[produto],preçodiario[[#Headers],[OVO BRANCO A]],estoque[data],preçodiario[[#This Row],[data]])</f>
        <v>0</v>
      </c>
      <c r="J352" s="20">
        <f>IFERROR(preçodiario[[#This Row],[estoque A]]*preçodiario[[#This Row],[OVO BRANCO A]],0)</f>
        <v>2031.9982993197277</v>
      </c>
      <c r="K35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Row],[data]])),((K351*L351)+SUMIFS(estoque[valor total],estoque[produto],preçodiario[[#Headers],[OVO BRANCO B]],estoque[data],preçodiario[[#This Row],[data]],estoque[fornecedor],"&lt;&gt;saída"))/(L351+(SUMIFS(estoque[quantidade],estoque[produto],preçodiario[[#Headers],[OVO BRANCO B]],estoque[fornecedor],"&lt;&gt;saída",estoque[data],preçodiario[[#This Row],[data]])))))</f>
        <v>14.584252837326604</v>
      </c>
      <c r="L352" s="22">
        <f>IF(preçodiario[[#This Row],[entrada B]]=0,L351-(SUMIFS(estoque[quantidade],estoque[fornecedor],"saída",estoque[produto],preçodiario[[#Headers],[OVO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Row],[data]]))+L351+preçodiario[[#This Row],[entrada B]])</f>
        <v>16</v>
      </c>
      <c r="M352" s="22">
        <f>SUMIFS(estoque[quantidade],estoque[fornecedor],"&lt;&gt;saída",estoque[produto],preçodiario[[#Headers],[OVO BRANCO B]],estoque[data],preçodiario[[#This Row],[data]])</f>
        <v>0</v>
      </c>
      <c r="N352" s="20">
        <f>SUMIFS(estoque[valor total],estoque[fornecedor],"&lt;&gt;saída",estoque[produto],preçodiario[[#Headers],[OVO BRANCO B]],estoque[data],preçodiario[[#This Row],[data]])</f>
        <v>0</v>
      </c>
      <c r="O352" s="20">
        <f>IFERROR(preçodiario[[#This Row],[OVO BRANCO B]]*preçodiario[[#This Row],[estoque B]],0)</f>
        <v>233.34804539722566</v>
      </c>
      <c r="P35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Row],[data]])),((P351*Q351)+SUMIFS(estoque[valor total],estoque[produto],preçodiario[[#Headers],[OVO BRANCO C]],estoque[data],preçodiario[[#This Row],[data]],estoque[fornecedor],"&lt;&gt;saída"))/(Q351+(SUMIFS(estoque[quantidade],estoque[produto],preçodiario[[#Headers],[OVO BRANCO C]],estoque[fornecedor],"&lt;&gt;saída",estoque[data],preçodiario[[#This Row],[data]])))))</f>
        <v>12.5</v>
      </c>
      <c r="Q352" s="22">
        <f>IF(preçodiario[[#This Row],[entrada C]]=0,Q351-(SUMIFS(estoque[quantidade],estoque[fornecedor],"saída",estoque[produto],preçodiario[[#Headers],[OVO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Row],[data]]))+Q351+preçodiario[[#This Row],[entrada C]])</f>
        <v>60</v>
      </c>
      <c r="R352" s="22">
        <f>SUMIFS(estoque[quantidade],estoque[fornecedor],"&lt;&gt;saída",estoque[produto],preçodiario[[#Headers],[OVO BRANCO C]],estoque[data],preçodiario[[#This Row],[data]])</f>
        <v>0</v>
      </c>
      <c r="S352" s="20">
        <f>SUMIFS(estoque[valor total],estoque[fornecedor],"&lt;&gt;saída",estoque[produto],preçodiario[[#Headers],[OVO BRANCO C]],estoque[data],preçodiario[[#This Row],[data]])</f>
        <v>0</v>
      </c>
      <c r="T352" s="20">
        <f>IFERROR(preçodiario[[#This Row],[OVO BRANCO C]]*preçodiario[[#This Row],[estoque C]],0)</f>
        <v>750</v>
      </c>
      <c r="U35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Row],[data]])),((U351*V351)+SUMIFS(estoque[valor total],estoque[produto],preçodiario[[#Headers],[OVO BRANCO EXTRA]],estoque[data],preçodiario[[#This Row],[data]],estoque[fornecedor],"&lt;&gt;saída"))/(V351+(SUMIFS(estoque[quantidade],estoque[produto],preçodiario[[#Headers],[OVO BRANCO EXTRA]],estoque[fornecedor],"&lt;&gt;saída",estoque[data],preçodiario[[#This Row],[data]])))))</f>
        <v>15.725438400674655</v>
      </c>
      <c r="V352" s="22">
        <f>IF(preçodiario[[#This Row],[entrada E]]=0,V351-(SUMIFS(estoque[quantidade],estoque[fornecedor],"saída",estoque[produto],preçodiario[[#Headers],[OVO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Row],[data]]))+V351+preçodiario[[#This Row],[entrada E]])</f>
        <v>46</v>
      </c>
      <c r="W352" s="22">
        <f>SUMIFS(estoque[quantidade],estoque[fornecedor],"&lt;&gt;saída",estoque[produto],preçodiario[[#Headers],[OVO BRANCO EXTRA]],estoque[data],preçodiario[[#This Row],[data]])</f>
        <v>0</v>
      </c>
      <c r="X352" s="20">
        <f>SUMIFS(estoque[valor total],estoque[fornecedor],"&lt;&gt;saída",estoque[produto],preçodiario[[#Headers],[OVO BRANCO EXTRA]],estoque[data],preçodiario[[#This Row],[data]])</f>
        <v>0</v>
      </c>
      <c r="Y352" s="20">
        <f>IFERROR(preçodiario[[#This Row],[estoque E]]*preçodiario[[#This Row],[OVO BRANCO EXTRA]],0)</f>
        <v>723.37016643103414</v>
      </c>
      <c r="Z35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Row],[data]])),((Z351*AA351)+SUMIFS(estoque[valor total],estoque[produto],preçodiario[[#Headers],[OVO BRANCO JUMBO]],estoque[data],preçodiario[[#This Row],[data]],estoque[fornecedor],"&lt;&gt;saída"))/(AA351+(SUMIFS(estoque[quantidade],estoque[produto],preçodiario[[#Headers],[OVO BRANCO JUMBO]],estoque[fornecedor],"&lt;&gt;saída",estoque[data],preçodiario[[#This Row],[data]])))))</f>
        <v>16.50550595238095</v>
      </c>
      <c r="AA352" s="22">
        <f>IF(preçodiario[[#This Row],[entrada J]]=0,AA351-(SUMIFS(estoque[quantidade],estoque[fornecedor],"saída",estoque[produto],preçodiario[[#Headers],[OVO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Row],[data]]))+AA351+preçodiario[[#This Row],[entrada J]])</f>
        <v>75</v>
      </c>
      <c r="AB352" s="22">
        <f>SUMIFS(estoque[quantidade],estoque[fornecedor],"&lt;&gt;saída",estoque[produto],preçodiario[[#Headers],[OVO BRANCO JUMBO]],estoque[data],preçodiario[[#This Row],[data]])</f>
        <v>0</v>
      </c>
      <c r="AC352" s="20">
        <f>SUMIFS(estoque[valor total],estoque[fornecedor],"&lt;&gt;saída",estoque[produto],preçodiario[[#Headers],[OVO BRANCO JUMBO]],estoque[data],preçodiario[[#This Row],[data]])</f>
        <v>0</v>
      </c>
      <c r="AD352" s="20">
        <f>IFERROR(preçodiario[[#This Row],[OVO BRANCO JUMBO]]*preçodiario[[#This Row],[estoque J]],0)</f>
        <v>1237.9129464285713</v>
      </c>
      <c r="AE35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Row],[data]])),((AE351*AF351)+SUMIFS(estoque[valor total],estoque[produto],preçodiario[[#Headers],[OVO VERMELHO A]],estoque[data],preçodiario[[#This Row],[data]],estoque[fornecedor],"&lt;&gt;saída"))/(AF351+(SUMIFS(estoque[quantidade],estoque[produto],preçodiario[[#Headers],[OVO VERMELHO A]],estoque[fornecedor],"&lt;&gt;saída",estoque[data],preçodiario[[#This Row],[data]])))))</f>
        <v/>
      </c>
      <c r="AF352" s="22">
        <f>IF(preçodiario[[#This Row],[entrada AV]]=0,AF351-(SUMIFS(estoque[quantidade],estoque[fornecedor],"saída",estoque[produto],preçodiario[[#Headers],[OVO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Row],[data]]))+AF351+preçodiario[[#This Row],[entrada AV]])</f>
        <v>0</v>
      </c>
      <c r="AG352" s="22">
        <f>SUMIFS(estoque[quantidade],estoque[fornecedor],"&lt;&gt;saída",estoque[produto],preçodiario[[#Headers],[OVO VERMELHO A]],estoque[data],preçodiario[[#This Row],[data]])</f>
        <v>0</v>
      </c>
      <c r="AH352" s="20">
        <f>SUMIFS(estoque[valor total],estoque[fornecedor],"&lt;&gt;saída",estoque[produto],preçodiario[[#Headers],[OVO VERMELHO A]],estoque[data],preçodiario[[#This Row],[data]])</f>
        <v>0</v>
      </c>
      <c r="AI352" s="20">
        <f>IFERROR(preçodiario[[#This Row],[OVO VERMELHO A]]*preçodiario[[#This Row],[estoque AV]],0)</f>
        <v>0</v>
      </c>
      <c r="AJ35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Row],[data]])),((AJ351*AK351)+SUMIFS(estoque[valor total],estoque[produto],preçodiario[[#Headers],[OVO VERMELHO B]],estoque[data],preçodiario[[#This Row],[data]],estoque[fornecedor],"&lt;&gt;saída"))/(AK351+(SUMIFS(estoque[quantidade],estoque[produto],preçodiario[[#Headers],[OVO VERMELHO B]],estoque[fornecedor],"&lt;&gt;saída",estoque[data],preçodiario[[#This Row],[data]])))))</f>
        <v/>
      </c>
      <c r="AK352" s="22">
        <f>IF(preçodiario[[#This Row],[entrada BV]]=0,AK351-(SUMIFS(estoque[quantidade],estoque[fornecedor],"saída",estoque[produto],preçodiario[[#Headers],[OVO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Row],[data]]))+AK351+preçodiario[[#This Row],[entrada BV]])</f>
        <v>0</v>
      </c>
      <c r="AL352" s="22">
        <f>SUMIFS(estoque[quantidade],estoque[fornecedor],"&lt;&gt;saída",estoque[produto],preçodiario[[#Headers],[OVO VERMELHO B]],estoque[data],preçodiario[[#This Row],[data]])</f>
        <v>0</v>
      </c>
      <c r="AM352" s="20">
        <f>SUMIFS(estoque[valor total],estoque[fornecedor],"&lt;&gt;saída",estoque[produto],preçodiario[[#Headers],[OVO VERMELHO B]],estoque[data],preçodiario[[#This Row],[data]])</f>
        <v>0</v>
      </c>
      <c r="AN352" s="20">
        <f>IFERROR(preçodiario[[#This Row],[OVO VERMELHO B]]*preçodiario[[#This Row],[estoque BV]],0)</f>
        <v>0</v>
      </c>
      <c r="AO35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Row],[data]])),((AO351*AP351)+SUMIFS(estoque[valor total],estoque[produto],preçodiario[[#Headers],[OVO VERMELHO C]],estoque[data],preçodiario[[#This Row],[data]],estoque[fornecedor],"&lt;&gt;saída"))/(AP351+(SUMIFS(estoque[quantidade],estoque[produto],preçodiario[[#Headers],[OVO VERMELHO C]],estoque[fornecedor],"&lt;&gt;saída",estoque[data],preçodiario[[#This Row],[data]])))))</f>
        <v/>
      </c>
      <c r="AP352" s="22">
        <f>IF(preçodiario[[#This Row],[entrada CV]]=0,AP351-(SUMIFS(estoque[quantidade],estoque[fornecedor],"saída",estoque[produto],preçodiario[[#Headers],[OVO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Row],[data]]))+AP351+preçodiario[[#This Row],[entrada CV]])</f>
        <v>0</v>
      </c>
      <c r="AQ352" s="22">
        <f>SUMIFS(estoque[quantidade],estoque[fornecedor],"&lt;&gt;saída",estoque[produto],preçodiario[[#Headers],[OVO VERMELHO C]],estoque[data],preçodiario[[#This Row],[data]])</f>
        <v>0</v>
      </c>
      <c r="AR352" s="20">
        <f>SUMIFS(estoque[valor total],estoque[fornecedor],"&lt;&gt;saída",estoque[produto],preçodiario[[#Headers],[OVO VERMELHO C]],estoque[data],preçodiario[[#This Row],[data]])</f>
        <v>0</v>
      </c>
      <c r="AS352" s="20">
        <f>IFERROR(preçodiario[[#This Row],[OVO VERMELHO C]]*preçodiario[[#This Row],[estoque CV]],0)</f>
        <v>0</v>
      </c>
      <c r="AT35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Row],[data]])),((AT351*AU351)+SUMIFS(estoque[valor total],estoque[produto],preçodiario[[#Headers],[OVO VERMELHO EXTRA]],estoque[data],preçodiario[[#This Row],[data]],estoque[fornecedor],"&lt;&gt;saída"))/(AU351+(SUMIFS(estoque[quantidade],estoque[produto],preçodiario[[#Headers],[OVO VERMELHO EXTRA]],estoque[fornecedor],"&lt;&gt;saída",estoque[data],preçodiario[[#This Row],[data]])))))</f>
        <v/>
      </c>
      <c r="AU352" s="22">
        <f>IF(preçodiario[[#This Row],[entrada EV]]=0,AU351-(SUMIFS(estoque[quantidade],estoque[fornecedor],"saída",estoque[produto],preçodiario[[#Headers],[OVO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Row],[data]]))+AU351+preçodiario[[#This Row],[entrada EV]])</f>
        <v>0</v>
      </c>
      <c r="AV352" s="22">
        <f>SUMIFS(estoque[quantidade],estoque[fornecedor],"&lt;&gt;saída",estoque[produto],preçodiario[[#Headers],[OVO VERMELHO EXTRA]],estoque[data],preçodiario[[#This Row],[data]])</f>
        <v>0</v>
      </c>
      <c r="AW352" s="20">
        <f>SUMIFS(estoque[valor total],estoque[fornecedor],"&lt;&gt;saída",estoque[produto],preçodiario[[#Headers],[OVO VERMELHO EXTRA]],estoque[data],preçodiario[[#This Row],[data]])</f>
        <v>0</v>
      </c>
      <c r="AX352" s="20">
        <f>IFERROR(preçodiario[[#This Row],[OVO VERMELHO EXTRA]]*preçodiario[[#This Row],[estoque EV]],0)</f>
        <v>0</v>
      </c>
      <c r="AY35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Row],[data]])),((AY351*AZ351)+SUMIFS(estoque[valor total],estoque[produto],preçodiario[[#Headers],[OVO VERMELHO JUMBO]],estoque[data],preçodiario[[#This Row],[data]],estoque[fornecedor],"&lt;&gt;saída"))/(AZ351+(SUMIFS(estoque[quantidade],estoque[produto],preçodiario[[#Headers],[OVO VERMELHO JUMBO]],estoque[fornecedor],"&lt;&gt;saída",estoque[data],preçodiario[[#This Row],[data]])))))</f>
        <v/>
      </c>
      <c r="AZ352" s="22">
        <f>IF(preçodiario[[#This Row],[entrada JV]]=0,AZ351-(SUMIFS(estoque[quantidade],estoque[fornecedor],"saída",estoque[produto],preçodiario[[#Headers],[OVO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Row],[data]]))+AZ351+preçodiario[[#This Row],[entrada JV]])</f>
        <v>0</v>
      </c>
      <c r="BA352" s="22">
        <f>SUMIFS(estoque[quantidade],estoque[fornecedor],"&lt;&gt;saída",estoque[produto],preçodiario[[#Headers],[OVO VERMELHO JUMBO]],estoque[data],preçodiario[[#This Row],[data]])</f>
        <v>0</v>
      </c>
      <c r="BB352" s="20">
        <f>SUMIFS(estoque[valor total],estoque[fornecedor],"&lt;&gt;saída",estoque[produto],preçodiario[[#Headers],[OVO VERMELHO JUMBO]],estoque[data],preçodiario[[#This Row],[data]])</f>
        <v>0</v>
      </c>
      <c r="BC352" s="20">
        <f>IFERROR(preçodiario[[#This Row],[OVO VERMELHO JUMBO]]*preçodiario[[#This Row],[estoque JV]],0)</f>
        <v>0</v>
      </c>
      <c r="BD352" t="str">
        <f>TEXT(vendaAno[[#This Row],[data]],"mmm")</f>
        <v>dez</v>
      </c>
      <c r="BE352" t="str">
        <f>TEXT(vendaAno[[#This Row],[data]],"ddd")</f>
        <v>qui</v>
      </c>
      <c r="BF352" s="82">
        <f>WEEKNUM(vendaAno[[#This Row],[data]],13)</f>
        <v>51</v>
      </c>
      <c r="BG352" s="27">
        <f>preçodiario[[#This Row],[data]]</f>
        <v>46373</v>
      </c>
      <c r="BH35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Row],[data]]))/12+BJ351,"")</f>
        <v/>
      </c>
      <c r="BK352" s="79" t="str">
        <f ca="1">IF(TODAY()&gt;=vendaAno[[#This Row],[data]],IF(SUMIFS(estoque[quantidade],estoque[fornecedor],"saída",estoque[data],vendaAno[[#This Row],[data]])/12=0,AVERAGE(BK349:BK351),SUMIFS(estoque[quantidade],estoque[fornecedor],"saída",estoque[data],vendaAno[[#This Row],[data]])/12),"")</f>
        <v/>
      </c>
      <c r="BL352" s="8" t="str">
        <f ca="1">IF(vendaAno[[#This Row],[data]]&lt;=TODAY(),IF(SUMIFS(estoque[lucro],estoque[fornecedor],"saída",estoque[data],vendaAno[[#This Row],[data]])=0,AVERAGE(BL349:BL351),SUMIFS(estoque[lucro],estoque[fornecedor],"saída",estoque[data],vendaAno[[#This Row],[data]])),"")</f>
        <v/>
      </c>
      <c r="BM352" s="10" t="str">
        <f ca="1">IFERROR(vendaAno[[#This Row],[lucro]]/vendaAno[[#This Row],[valor de venda]],"")</f>
        <v/>
      </c>
      <c r="BN35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2" s="8" t="str">
        <f ca="1">IF(TODAY()&gt;=vendaAno[[#This Row],[data]],IF(vendaAno[[#This Row],[N°]]=BF351,vendaAno[[#This Row],[lucro]]-173.33+BO351,vendaAno[[#This Row],[lucro]]-150),"")</f>
        <v/>
      </c>
      <c r="BP352" s="81" t="str">
        <f ca="1">IF(TODAY()&gt;=vendaAno[[#This Row],[data]],SUM(BK346:BK352)*12,"")</f>
        <v/>
      </c>
      <c r="BQ352" s="7" t="str">
        <f ca="1">IFERROR(vendaAno[[#This Row],[lucro]]/(vendaAno[[#This Row],[venda]]*12),"")</f>
        <v/>
      </c>
    </row>
    <row r="353" spans="1:69" x14ac:dyDescent="0.25">
      <c r="A35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3" s="18" t="str">
        <f>TEXT(preçodiario[[#This Row],[data]],"MMM")</f>
        <v>dez</v>
      </c>
      <c r="C353" s="18" t="str">
        <f>TEXT(preçodiario[[#This Row],[data]],"ddd")</f>
        <v>sex</v>
      </c>
      <c r="D353" s="96">
        <f>WEEKNUM(preçodiario[[#This Row],[data]],13)</f>
        <v>51</v>
      </c>
      <c r="E353" s="37">
        <v>46374</v>
      </c>
      <c r="F35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Row],[data]])),((F352*G352)+SUMIFS(estoque[valor total],estoque[produto],preçodiario[[#Headers],[OVO BRANCO A]],estoque[data],preçodiario[[#This Row],[data]],estoque[fornecedor],"&lt;&gt;saída"))/(G352+(SUMIFS(estoque[quantidade],estoque[produto],preçodiario[[#Headers],[OVO BRANCO A]],estoque[fornecedor],"&lt;&gt;saída",estoque[data],preçodiario[[#This Row],[data]])))))</f>
        <v>15.278182701652089</v>
      </c>
      <c r="G353" s="22">
        <f>IF(preçodiario[[#This Row],[entrada A]]=0,G352-(SUMIFS(estoque[quantidade],estoque[fornecedor],"saída",estoque[produto],preçodiario[[#Headers],[OVO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Row],[data]]))+G352+preçodiario[[#This Row],[entrada A]])</f>
        <v>133</v>
      </c>
      <c r="H353" s="22">
        <f>SUMIFS(estoque[quantidade],estoque[fornecedor],"&lt;&gt;saída",estoque[produto],preçodiario[[#Headers],[OVO BRANCO A]],estoque[data],preçodiario[[#This Row],[data]])</f>
        <v>0</v>
      </c>
      <c r="I353" s="20">
        <f>SUMIFS(estoque[valor total],estoque[fornecedor],"&lt;&gt;saída",estoque[produto],preçodiario[[#Headers],[OVO BRANCO A]],estoque[data],preçodiario[[#This Row],[data]])</f>
        <v>0</v>
      </c>
      <c r="J353" s="20">
        <f>IFERROR(preçodiario[[#This Row],[estoque A]]*preçodiario[[#This Row],[OVO BRANCO A]],0)</f>
        <v>2031.9982993197277</v>
      </c>
      <c r="K35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Row],[data]])),((K352*L352)+SUMIFS(estoque[valor total],estoque[produto],preçodiario[[#Headers],[OVO BRANCO B]],estoque[data],preçodiario[[#This Row],[data]],estoque[fornecedor],"&lt;&gt;saída"))/(L352+(SUMIFS(estoque[quantidade],estoque[produto],preçodiario[[#Headers],[OVO BRANCO B]],estoque[fornecedor],"&lt;&gt;saída",estoque[data],preçodiario[[#This Row],[data]])))))</f>
        <v>14.584252837326604</v>
      </c>
      <c r="L353" s="22">
        <f>IF(preçodiario[[#This Row],[entrada B]]=0,L352-(SUMIFS(estoque[quantidade],estoque[fornecedor],"saída",estoque[produto],preçodiario[[#Headers],[OVO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Row],[data]]))+L352+preçodiario[[#This Row],[entrada B]])</f>
        <v>16</v>
      </c>
      <c r="M353" s="22">
        <f>SUMIFS(estoque[quantidade],estoque[fornecedor],"&lt;&gt;saída",estoque[produto],preçodiario[[#Headers],[OVO BRANCO B]],estoque[data],preçodiario[[#This Row],[data]])</f>
        <v>0</v>
      </c>
      <c r="N353" s="20">
        <f>SUMIFS(estoque[valor total],estoque[fornecedor],"&lt;&gt;saída",estoque[produto],preçodiario[[#Headers],[OVO BRANCO B]],estoque[data],preçodiario[[#This Row],[data]])</f>
        <v>0</v>
      </c>
      <c r="O353" s="20">
        <f>IFERROR(preçodiario[[#This Row],[OVO BRANCO B]]*preçodiario[[#This Row],[estoque B]],0)</f>
        <v>233.34804539722566</v>
      </c>
      <c r="P35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Row],[data]])),((P352*Q352)+SUMIFS(estoque[valor total],estoque[produto],preçodiario[[#Headers],[OVO BRANCO C]],estoque[data],preçodiario[[#This Row],[data]],estoque[fornecedor],"&lt;&gt;saída"))/(Q352+(SUMIFS(estoque[quantidade],estoque[produto],preçodiario[[#Headers],[OVO BRANCO C]],estoque[fornecedor],"&lt;&gt;saída",estoque[data],preçodiario[[#This Row],[data]])))))</f>
        <v>12.5</v>
      </c>
      <c r="Q353" s="22">
        <f>IF(preçodiario[[#This Row],[entrada C]]=0,Q352-(SUMIFS(estoque[quantidade],estoque[fornecedor],"saída",estoque[produto],preçodiario[[#Headers],[OVO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Row],[data]]))+Q352+preçodiario[[#This Row],[entrada C]])</f>
        <v>60</v>
      </c>
      <c r="R353" s="22">
        <f>SUMIFS(estoque[quantidade],estoque[fornecedor],"&lt;&gt;saída",estoque[produto],preçodiario[[#Headers],[OVO BRANCO C]],estoque[data],preçodiario[[#This Row],[data]])</f>
        <v>0</v>
      </c>
      <c r="S353" s="20">
        <f>SUMIFS(estoque[valor total],estoque[fornecedor],"&lt;&gt;saída",estoque[produto],preçodiario[[#Headers],[OVO BRANCO C]],estoque[data],preçodiario[[#This Row],[data]])</f>
        <v>0</v>
      </c>
      <c r="T353" s="20">
        <f>IFERROR(preçodiario[[#This Row],[OVO BRANCO C]]*preçodiario[[#This Row],[estoque C]],0)</f>
        <v>750</v>
      </c>
      <c r="U35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Row],[data]])),((U352*V352)+SUMIFS(estoque[valor total],estoque[produto],preçodiario[[#Headers],[OVO BRANCO EXTRA]],estoque[data],preçodiario[[#This Row],[data]],estoque[fornecedor],"&lt;&gt;saída"))/(V352+(SUMIFS(estoque[quantidade],estoque[produto],preçodiario[[#Headers],[OVO BRANCO EXTRA]],estoque[fornecedor],"&lt;&gt;saída",estoque[data],preçodiario[[#This Row],[data]])))))</f>
        <v>15.725438400674655</v>
      </c>
      <c r="V353" s="22">
        <f>IF(preçodiario[[#This Row],[entrada E]]=0,V352-(SUMIFS(estoque[quantidade],estoque[fornecedor],"saída",estoque[produto],preçodiario[[#Headers],[OVO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Row],[data]]))+V352+preçodiario[[#This Row],[entrada E]])</f>
        <v>46</v>
      </c>
      <c r="W353" s="22">
        <f>SUMIFS(estoque[quantidade],estoque[fornecedor],"&lt;&gt;saída",estoque[produto],preçodiario[[#Headers],[OVO BRANCO EXTRA]],estoque[data],preçodiario[[#This Row],[data]])</f>
        <v>0</v>
      </c>
      <c r="X353" s="20">
        <f>SUMIFS(estoque[valor total],estoque[fornecedor],"&lt;&gt;saída",estoque[produto],preçodiario[[#Headers],[OVO BRANCO EXTRA]],estoque[data],preçodiario[[#This Row],[data]])</f>
        <v>0</v>
      </c>
      <c r="Y353" s="20">
        <f>IFERROR(preçodiario[[#This Row],[estoque E]]*preçodiario[[#This Row],[OVO BRANCO EXTRA]],0)</f>
        <v>723.37016643103414</v>
      </c>
      <c r="Z35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Row],[data]])),((Z352*AA352)+SUMIFS(estoque[valor total],estoque[produto],preçodiario[[#Headers],[OVO BRANCO JUMBO]],estoque[data],preçodiario[[#This Row],[data]],estoque[fornecedor],"&lt;&gt;saída"))/(AA352+(SUMIFS(estoque[quantidade],estoque[produto],preçodiario[[#Headers],[OVO BRANCO JUMBO]],estoque[fornecedor],"&lt;&gt;saída",estoque[data],preçodiario[[#This Row],[data]])))))</f>
        <v>16.50550595238095</v>
      </c>
      <c r="AA353" s="22">
        <f>IF(preçodiario[[#This Row],[entrada J]]=0,AA352-(SUMIFS(estoque[quantidade],estoque[fornecedor],"saída",estoque[produto],preçodiario[[#Headers],[OVO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Row],[data]]))+AA352+preçodiario[[#This Row],[entrada J]])</f>
        <v>75</v>
      </c>
      <c r="AB353" s="22">
        <f>SUMIFS(estoque[quantidade],estoque[fornecedor],"&lt;&gt;saída",estoque[produto],preçodiario[[#Headers],[OVO BRANCO JUMBO]],estoque[data],preçodiario[[#This Row],[data]])</f>
        <v>0</v>
      </c>
      <c r="AC353" s="20">
        <f>SUMIFS(estoque[valor total],estoque[fornecedor],"&lt;&gt;saída",estoque[produto],preçodiario[[#Headers],[OVO BRANCO JUMBO]],estoque[data],preçodiario[[#This Row],[data]])</f>
        <v>0</v>
      </c>
      <c r="AD353" s="20">
        <f>IFERROR(preçodiario[[#This Row],[OVO BRANCO JUMBO]]*preçodiario[[#This Row],[estoque J]],0)</f>
        <v>1237.9129464285713</v>
      </c>
      <c r="AE35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Row],[data]])),((AE352*AF352)+SUMIFS(estoque[valor total],estoque[produto],preçodiario[[#Headers],[OVO VERMELHO A]],estoque[data],preçodiario[[#This Row],[data]],estoque[fornecedor],"&lt;&gt;saída"))/(AF352+(SUMIFS(estoque[quantidade],estoque[produto],preçodiario[[#Headers],[OVO VERMELHO A]],estoque[fornecedor],"&lt;&gt;saída",estoque[data],preçodiario[[#This Row],[data]])))))</f>
        <v/>
      </c>
      <c r="AF353" s="22">
        <f>IF(preçodiario[[#This Row],[entrada AV]]=0,AF352-(SUMIFS(estoque[quantidade],estoque[fornecedor],"saída",estoque[produto],preçodiario[[#Headers],[OVO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Row],[data]]))+AF352+preçodiario[[#This Row],[entrada AV]])</f>
        <v>0</v>
      </c>
      <c r="AG353" s="22">
        <f>SUMIFS(estoque[quantidade],estoque[fornecedor],"&lt;&gt;saída",estoque[produto],preçodiario[[#Headers],[OVO VERMELHO A]],estoque[data],preçodiario[[#This Row],[data]])</f>
        <v>0</v>
      </c>
      <c r="AH353" s="20">
        <f>SUMIFS(estoque[valor total],estoque[fornecedor],"&lt;&gt;saída",estoque[produto],preçodiario[[#Headers],[OVO VERMELHO A]],estoque[data],preçodiario[[#This Row],[data]])</f>
        <v>0</v>
      </c>
      <c r="AI353" s="20">
        <f>IFERROR(preçodiario[[#This Row],[OVO VERMELHO A]]*preçodiario[[#This Row],[estoque AV]],0)</f>
        <v>0</v>
      </c>
      <c r="AJ35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Row],[data]])),((AJ352*AK352)+SUMIFS(estoque[valor total],estoque[produto],preçodiario[[#Headers],[OVO VERMELHO B]],estoque[data],preçodiario[[#This Row],[data]],estoque[fornecedor],"&lt;&gt;saída"))/(AK352+(SUMIFS(estoque[quantidade],estoque[produto],preçodiario[[#Headers],[OVO VERMELHO B]],estoque[fornecedor],"&lt;&gt;saída",estoque[data],preçodiario[[#This Row],[data]])))))</f>
        <v/>
      </c>
      <c r="AK353" s="22">
        <f>IF(preçodiario[[#This Row],[entrada BV]]=0,AK352-(SUMIFS(estoque[quantidade],estoque[fornecedor],"saída",estoque[produto],preçodiario[[#Headers],[OVO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Row],[data]]))+AK352+preçodiario[[#This Row],[entrada BV]])</f>
        <v>0</v>
      </c>
      <c r="AL353" s="22">
        <f>SUMIFS(estoque[quantidade],estoque[fornecedor],"&lt;&gt;saída",estoque[produto],preçodiario[[#Headers],[OVO VERMELHO B]],estoque[data],preçodiario[[#This Row],[data]])</f>
        <v>0</v>
      </c>
      <c r="AM353" s="20">
        <f>SUMIFS(estoque[valor total],estoque[fornecedor],"&lt;&gt;saída",estoque[produto],preçodiario[[#Headers],[OVO VERMELHO B]],estoque[data],preçodiario[[#This Row],[data]])</f>
        <v>0</v>
      </c>
      <c r="AN353" s="20">
        <f>IFERROR(preçodiario[[#This Row],[OVO VERMELHO B]]*preçodiario[[#This Row],[estoque BV]],0)</f>
        <v>0</v>
      </c>
      <c r="AO35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Row],[data]])),((AO352*AP352)+SUMIFS(estoque[valor total],estoque[produto],preçodiario[[#Headers],[OVO VERMELHO C]],estoque[data],preçodiario[[#This Row],[data]],estoque[fornecedor],"&lt;&gt;saída"))/(AP352+(SUMIFS(estoque[quantidade],estoque[produto],preçodiario[[#Headers],[OVO VERMELHO C]],estoque[fornecedor],"&lt;&gt;saída",estoque[data],preçodiario[[#This Row],[data]])))))</f>
        <v/>
      </c>
      <c r="AP353" s="22">
        <f>IF(preçodiario[[#This Row],[entrada CV]]=0,AP352-(SUMIFS(estoque[quantidade],estoque[fornecedor],"saída",estoque[produto],preçodiario[[#Headers],[OVO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Row],[data]]))+AP352+preçodiario[[#This Row],[entrada CV]])</f>
        <v>0</v>
      </c>
      <c r="AQ353" s="22">
        <f>SUMIFS(estoque[quantidade],estoque[fornecedor],"&lt;&gt;saída",estoque[produto],preçodiario[[#Headers],[OVO VERMELHO C]],estoque[data],preçodiario[[#This Row],[data]])</f>
        <v>0</v>
      </c>
      <c r="AR353" s="20">
        <f>SUMIFS(estoque[valor total],estoque[fornecedor],"&lt;&gt;saída",estoque[produto],preçodiario[[#Headers],[OVO VERMELHO C]],estoque[data],preçodiario[[#This Row],[data]])</f>
        <v>0</v>
      </c>
      <c r="AS353" s="20">
        <f>IFERROR(preçodiario[[#This Row],[OVO VERMELHO C]]*preçodiario[[#This Row],[estoque CV]],0)</f>
        <v>0</v>
      </c>
      <c r="AT35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Row],[data]])),((AT352*AU352)+SUMIFS(estoque[valor total],estoque[produto],preçodiario[[#Headers],[OVO VERMELHO EXTRA]],estoque[data],preçodiario[[#This Row],[data]],estoque[fornecedor],"&lt;&gt;saída"))/(AU352+(SUMIFS(estoque[quantidade],estoque[produto],preçodiario[[#Headers],[OVO VERMELHO EXTRA]],estoque[fornecedor],"&lt;&gt;saída",estoque[data],preçodiario[[#This Row],[data]])))))</f>
        <v/>
      </c>
      <c r="AU353" s="22">
        <f>IF(preçodiario[[#This Row],[entrada EV]]=0,AU352-(SUMIFS(estoque[quantidade],estoque[fornecedor],"saída",estoque[produto],preçodiario[[#Headers],[OVO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Row],[data]]))+AU352+preçodiario[[#This Row],[entrada EV]])</f>
        <v>0</v>
      </c>
      <c r="AV353" s="22">
        <f>SUMIFS(estoque[quantidade],estoque[fornecedor],"&lt;&gt;saída",estoque[produto],preçodiario[[#Headers],[OVO VERMELHO EXTRA]],estoque[data],preçodiario[[#This Row],[data]])</f>
        <v>0</v>
      </c>
      <c r="AW353" s="20">
        <f>SUMIFS(estoque[valor total],estoque[fornecedor],"&lt;&gt;saída",estoque[produto],preçodiario[[#Headers],[OVO VERMELHO EXTRA]],estoque[data],preçodiario[[#This Row],[data]])</f>
        <v>0</v>
      </c>
      <c r="AX353" s="20">
        <f>IFERROR(preçodiario[[#This Row],[OVO VERMELHO EXTRA]]*preçodiario[[#This Row],[estoque EV]],0)</f>
        <v>0</v>
      </c>
      <c r="AY35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Row],[data]])),((AY352*AZ352)+SUMIFS(estoque[valor total],estoque[produto],preçodiario[[#Headers],[OVO VERMELHO JUMBO]],estoque[data],preçodiario[[#This Row],[data]],estoque[fornecedor],"&lt;&gt;saída"))/(AZ352+(SUMIFS(estoque[quantidade],estoque[produto],preçodiario[[#Headers],[OVO VERMELHO JUMBO]],estoque[fornecedor],"&lt;&gt;saída",estoque[data],preçodiario[[#This Row],[data]])))))</f>
        <v/>
      </c>
      <c r="AZ353" s="22">
        <f>IF(preçodiario[[#This Row],[entrada JV]]=0,AZ352-(SUMIFS(estoque[quantidade],estoque[fornecedor],"saída",estoque[produto],preçodiario[[#Headers],[OVO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Row],[data]]))+AZ352+preçodiario[[#This Row],[entrada JV]])</f>
        <v>0</v>
      </c>
      <c r="BA353" s="22">
        <f>SUMIFS(estoque[quantidade],estoque[fornecedor],"&lt;&gt;saída",estoque[produto],preçodiario[[#Headers],[OVO VERMELHO JUMBO]],estoque[data],preçodiario[[#This Row],[data]])</f>
        <v>0</v>
      </c>
      <c r="BB353" s="20">
        <f>SUMIFS(estoque[valor total],estoque[fornecedor],"&lt;&gt;saída",estoque[produto],preçodiario[[#Headers],[OVO VERMELHO JUMBO]],estoque[data],preçodiario[[#This Row],[data]])</f>
        <v>0</v>
      </c>
      <c r="BC353" s="20">
        <f>IFERROR(preçodiario[[#This Row],[OVO VERMELHO JUMBO]]*preçodiario[[#This Row],[estoque JV]],0)</f>
        <v>0</v>
      </c>
      <c r="BD353" t="str">
        <f>TEXT(vendaAno[[#This Row],[data]],"mmm")</f>
        <v>dez</v>
      </c>
      <c r="BE353" t="str">
        <f>TEXT(vendaAno[[#This Row],[data]],"ddd")</f>
        <v>sex</v>
      </c>
      <c r="BF353" s="82">
        <f>WEEKNUM(vendaAno[[#This Row],[data]],13)</f>
        <v>51</v>
      </c>
      <c r="BG353" s="27">
        <f>preçodiario[[#This Row],[data]]</f>
        <v>46374</v>
      </c>
      <c r="BH35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Row],[data]]))/12+BJ352,"")</f>
        <v/>
      </c>
      <c r="BK353" s="79" t="str">
        <f ca="1">IF(TODAY()&gt;=vendaAno[[#This Row],[data]],IF(SUMIFS(estoque[quantidade],estoque[fornecedor],"saída",estoque[data],vendaAno[[#This Row],[data]])/12=0,AVERAGE(BK350:BK352),SUMIFS(estoque[quantidade],estoque[fornecedor],"saída",estoque[data],vendaAno[[#This Row],[data]])/12),"")</f>
        <v/>
      </c>
      <c r="BL353" s="8" t="str">
        <f ca="1">IF(vendaAno[[#This Row],[data]]&lt;=TODAY(),IF(SUMIFS(estoque[lucro],estoque[fornecedor],"saída",estoque[data],vendaAno[[#This Row],[data]])=0,AVERAGE(BL350:BL352),SUMIFS(estoque[lucro],estoque[fornecedor],"saída",estoque[data],vendaAno[[#This Row],[data]])),"")</f>
        <v/>
      </c>
      <c r="BM353" s="10" t="str">
        <f ca="1">IFERROR(vendaAno[[#This Row],[lucro]]/vendaAno[[#This Row],[valor de venda]],"")</f>
        <v/>
      </c>
      <c r="BN35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3" s="8" t="str">
        <f ca="1">IF(TODAY()&gt;=vendaAno[[#This Row],[data]],IF(vendaAno[[#This Row],[N°]]=BF352,vendaAno[[#This Row],[lucro]]-173.33+BO352,vendaAno[[#This Row],[lucro]]-150),"")</f>
        <v/>
      </c>
      <c r="BP353" s="81" t="str">
        <f ca="1">IF(TODAY()&gt;=vendaAno[[#This Row],[data]],SUM(BK347:BK353)*12,"")</f>
        <v/>
      </c>
      <c r="BQ353" s="7" t="str">
        <f ca="1">IFERROR(vendaAno[[#This Row],[lucro]]/(vendaAno[[#This Row],[venda]]*12),"")</f>
        <v/>
      </c>
    </row>
    <row r="354" spans="1:69" x14ac:dyDescent="0.25">
      <c r="A35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4" s="18" t="str">
        <f>TEXT(preçodiario[[#This Row],[data]],"MMM")</f>
        <v>dez</v>
      </c>
      <c r="C354" s="18" t="str">
        <f>TEXT(preçodiario[[#This Row],[data]],"ddd")</f>
        <v>sáb</v>
      </c>
      <c r="D354" s="96">
        <f>WEEKNUM(preçodiario[[#This Row],[data]],13)</f>
        <v>51</v>
      </c>
      <c r="E354" s="37">
        <v>46375</v>
      </c>
      <c r="F35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Row],[data]])),((F353*G353)+SUMIFS(estoque[valor total],estoque[produto],preçodiario[[#Headers],[OVO BRANCO A]],estoque[data],preçodiario[[#This Row],[data]],estoque[fornecedor],"&lt;&gt;saída"))/(G353+(SUMIFS(estoque[quantidade],estoque[produto],preçodiario[[#Headers],[OVO BRANCO A]],estoque[fornecedor],"&lt;&gt;saída",estoque[data],preçodiario[[#This Row],[data]])))))</f>
        <v>15.278182701652089</v>
      </c>
      <c r="G354" s="22">
        <f>IF(preçodiario[[#This Row],[entrada A]]=0,G353-(SUMIFS(estoque[quantidade],estoque[fornecedor],"saída",estoque[produto],preçodiario[[#Headers],[OVO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Row],[data]]))+G353+preçodiario[[#This Row],[entrada A]])</f>
        <v>133</v>
      </c>
      <c r="H354" s="22">
        <f>SUMIFS(estoque[quantidade],estoque[fornecedor],"&lt;&gt;saída",estoque[produto],preçodiario[[#Headers],[OVO BRANCO A]],estoque[data],preçodiario[[#This Row],[data]])</f>
        <v>0</v>
      </c>
      <c r="I354" s="20">
        <f>SUMIFS(estoque[valor total],estoque[fornecedor],"&lt;&gt;saída",estoque[produto],preçodiario[[#Headers],[OVO BRANCO A]],estoque[data],preçodiario[[#This Row],[data]])</f>
        <v>0</v>
      </c>
      <c r="J354" s="20">
        <f>IFERROR(preçodiario[[#This Row],[estoque A]]*preçodiario[[#This Row],[OVO BRANCO A]],0)</f>
        <v>2031.9982993197277</v>
      </c>
      <c r="K35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Row],[data]])),((K353*L353)+SUMIFS(estoque[valor total],estoque[produto],preçodiario[[#Headers],[OVO BRANCO B]],estoque[data],preçodiario[[#This Row],[data]],estoque[fornecedor],"&lt;&gt;saída"))/(L353+(SUMIFS(estoque[quantidade],estoque[produto],preçodiario[[#Headers],[OVO BRANCO B]],estoque[fornecedor],"&lt;&gt;saída",estoque[data],preçodiario[[#This Row],[data]])))))</f>
        <v>14.584252837326604</v>
      </c>
      <c r="L354" s="22">
        <f>IF(preçodiario[[#This Row],[entrada B]]=0,L353-(SUMIFS(estoque[quantidade],estoque[fornecedor],"saída",estoque[produto],preçodiario[[#Headers],[OVO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Row],[data]]))+L353+preçodiario[[#This Row],[entrada B]])</f>
        <v>16</v>
      </c>
      <c r="M354" s="22">
        <f>SUMIFS(estoque[quantidade],estoque[fornecedor],"&lt;&gt;saída",estoque[produto],preçodiario[[#Headers],[OVO BRANCO B]],estoque[data],preçodiario[[#This Row],[data]])</f>
        <v>0</v>
      </c>
      <c r="N354" s="20">
        <f>SUMIFS(estoque[valor total],estoque[fornecedor],"&lt;&gt;saída",estoque[produto],preçodiario[[#Headers],[OVO BRANCO B]],estoque[data],preçodiario[[#This Row],[data]])</f>
        <v>0</v>
      </c>
      <c r="O354" s="20">
        <f>IFERROR(preçodiario[[#This Row],[OVO BRANCO B]]*preçodiario[[#This Row],[estoque B]],0)</f>
        <v>233.34804539722566</v>
      </c>
      <c r="P35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Row],[data]])),((P353*Q353)+SUMIFS(estoque[valor total],estoque[produto],preçodiario[[#Headers],[OVO BRANCO C]],estoque[data],preçodiario[[#This Row],[data]],estoque[fornecedor],"&lt;&gt;saída"))/(Q353+(SUMIFS(estoque[quantidade],estoque[produto],preçodiario[[#Headers],[OVO BRANCO C]],estoque[fornecedor],"&lt;&gt;saída",estoque[data],preçodiario[[#This Row],[data]])))))</f>
        <v>12.5</v>
      </c>
      <c r="Q354" s="22">
        <f>IF(preçodiario[[#This Row],[entrada C]]=0,Q353-(SUMIFS(estoque[quantidade],estoque[fornecedor],"saída",estoque[produto],preçodiario[[#Headers],[OVO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Row],[data]]))+Q353+preçodiario[[#This Row],[entrada C]])</f>
        <v>60</v>
      </c>
      <c r="R354" s="22">
        <f>SUMIFS(estoque[quantidade],estoque[fornecedor],"&lt;&gt;saída",estoque[produto],preçodiario[[#Headers],[OVO BRANCO C]],estoque[data],preçodiario[[#This Row],[data]])</f>
        <v>0</v>
      </c>
      <c r="S354" s="20">
        <f>SUMIFS(estoque[valor total],estoque[fornecedor],"&lt;&gt;saída",estoque[produto],preçodiario[[#Headers],[OVO BRANCO C]],estoque[data],preçodiario[[#This Row],[data]])</f>
        <v>0</v>
      </c>
      <c r="T354" s="20">
        <f>IFERROR(preçodiario[[#This Row],[OVO BRANCO C]]*preçodiario[[#This Row],[estoque C]],0)</f>
        <v>750</v>
      </c>
      <c r="U35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Row],[data]])),((U353*V353)+SUMIFS(estoque[valor total],estoque[produto],preçodiario[[#Headers],[OVO BRANCO EXTRA]],estoque[data],preçodiario[[#This Row],[data]],estoque[fornecedor],"&lt;&gt;saída"))/(V353+(SUMIFS(estoque[quantidade],estoque[produto],preçodiario[[#Headers],[OVO BRANCO EXTRA]],estoque[fornecedor],"&lt;&gt;saída",estoque[data],preçodiario[[#This Row],[data]])))))</f>
        <v>15.725438400674655</v>
      </c>
      <c r="V354" s="22">
        <f>IF(preçodiario[[#This Row],[entrada E]]=0,V353-(SUMIFS(estoque[quantidade],estoque[fornecedor],"saída",estoque[produto],preçodiario[[#Headers],[OVO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Row],[data]]))+V353+preçodiario[[#This Row],[entrada E]])</f>
        <v>46</v>
      </c>
      <c r="W354" s="22">
        <f>SUMIFS(estoque[quantidade],estoque[fornecedor],"&lt;&gt;saída",estoque[produto],preçodiario[[#Headers],[OVO BRANCO EXTRA]],estoque[data],preçodiario[[#This Row],[data]])</f>
        <v>0</v>
      </c>
      <c r="X354" s="20">
        <f>SUMIFS(estoque[valor total],estoque[fornecedor],"&lt;&gt;saída",estoque[produto],preçodiario[[#Headers],[OVO BRANCO EXTRA]],estoque[data],preçodiario[[#This Row],[data]])</f>
        <v>0</v>
      </c>
      <c r="Y354" s="20">
        <f>IFERROR(preçodiario[[#This Row],[estoque E]]*preçodiario[[#This Row],[OVO BRANCO EXTRA]],0)</f>
        <v>723.37016643103414</v>
      </c>
      <c r="Z35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Row],[data]])),((Z353*AA353)+SUMIFS(estoque[valor total],estoque[produto],preçodiario[[#Headers],[OVO BRANCO JUMBO]],estoque[data],preçodiario[[#This Row],[data]],estoque[fornecedor],"&lt;&gt;saída"))/(AA353+(SUMIFS(estoque[quantidade],estoque[produto],preçodiario[[#Headers],[OVO BRANCO JUMBO]],estoque[fornecedor],"&lt;&gt;saída",estoque[data],preçodiario[[#This Row],[data]])))))</f>
        <v>16.50550595238095</v>
      </c>
      <c r="AA354" s="22">
        <f>IF(preçodiario[[#This Row],[entrada J]]=0,AA353-(SUMIFS(estoque[quantidade],estoque[fornecedor],"saída",estoque[produto],preçodiario[[#Headers],[OVO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Row],[data]]))+AA353+preçodiario[[#This Row],[entrada J]])</f>
        <v>75</v>
      </c>
      <c r="AB354" s="22">
        <f>SUMIFS(estoque[quantidade],estoque[fornecedor],"&lt;&gt;saída",estoque[produto],preçodiario[[#Headers],[OVO BRANCO JUMBO]],estoque[data],preçodiario[[#This Row],[data]])</f>
        <v>0</v>
      </c>
      <c r="AC354" s="20">
        <f>SUMIFS(estoque[valor total],estoque[fornecedor],"&lt;&gt;saída",estoque[produto],preçodiario[[#Headers],[OVO BRANCO JUMBO]],estoque[data],preçodiario[[#This Row],[data]])</f>
        <v>0</v>
      </c>
      <c r="AD354" s="20">
        <f>IFERROR(preçodiario[[#This Row],[OVO BRANCO JUMBO]]*preçodiario[[#This Row],[estoque J]],0)</f>
        <v>1237.9129464285713</v>
      </c>
      <c r="AE35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Row],[data]])),((AE353*AF353)+SUMIFS(estoque[valor total],estoque[produto],preçodiario[[#Headers],[OVO VERMELHO A]],estoque[data],preçodiario[[#This Row],[data]],estoque[fornecedor],"&lt;&gt;saída"))/(AF353+(SUMIFS(estoque[quantidade],estoque[produto],preçodiario[[#Headers],[OVO VERMELHO A]],estoque[fornecedor],"&lt;&gt;saída",estoque[data],preçodiario[[#This Row],[data]])))))</f>
        <v/>
      </c>
      <c r="AF354" s="22">
        <f>IF(preçodiario[[#This Row],[entrada AV]]=0,AF353-(SUMIFS(estoque[quantidade],estoque[fornecedor],"saída",estoque[produto],preçodiario[[#Headers],[OVO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Row],[data]]))+AF353+preçodiario[[#This Row],[entrada AV]])</f>
        <v>0</v>
      </c>
      <c r="AG354" s="22">
        <f>SUMIFS(estoque[quantidade],estoque[fornecedor],"&lt;&gt;saída",estoque[produto],preçodiario[[#Headers],[OVO VERMELHO A]],estoque[data],preçodiario[[#This Row],[data]])</f>
        <v>0</v>
      </c>
      <c r="AH354" s="20">
        <f>SUMIFS(estoque[valor total],estoque[fornecedor],"&lt;&gt;saída",estoque[produto],preçodiario[[#Headers],[OVO VERMELHO A]],estoque[data],preçodiario[[#This Row],[data]])</f>
        <v>0</v>
      </c>
      <c r="AI354" s="20">
        <f>IFERROR(preçodiario[[#This Row],[OVO VERMELHO A]]*preçodiario[[#This Row],[estoque AV]],0)</f>
        <v>0</v>
      </c>
      <c r="AJ35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Row],[data]])),((AJ353*AK353)+SUMIFS(estoque[valor total],estoque[produto],preçodiario[[#Headers],[OVO VERMELHO B]],estoque[data],preçodiario[[#This Row],[data]],estoque[fornecedor],"&lt;&gt;saída"))/(AK353+(SUMIFS(estoque[quantidade],estoque[produto],preçodiario[[#Headers],[OVO VERMELHO B]],estoque[fornecedor],"&lt;&gt;saída",estoque[data],preçodiario[[#This Row],[data]])))))</f>
        <v/>
      </c>
      <c r="AK354" s="22">
        <f>IF(preçodiario[[#This Row],[entrada BV]]=0,AK353-(SUMIFS(estoque[quantidade],estoque[fornecedor],"saída",estoque[produto],preçodiario[[#Headers],[OVO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Row],[data]]))+AK353+preçodiario[[#This Row],[entrada BV]])</f>
        <v>0</v>
      </c>
      <c r="AL354" s="22">
        <f>SUMIFS(estoque[quantidade],estoque[fornecedor],"&lt;&gt;saída",estoque[produto],preçodiario[[#Headers],[OVO VERMELHO B]],estoque[data],preçodiario[[#This Row],[data]])</f>
        <v>0</v>
      </c>
      <c r="AM354" s="20">
        <f>SUMIFS(estoque[valor total],estoque[fornecedor],"&lt;&gt;saída",estoque[produto],preçodiario[[#Headers],[OVO VERMELHO B]],estoque[data],preçodiario[[#This Row],[data]])</f>
        <v>0</v>
      </c>
      <c r="AN354" s="20">
        <f>IFERROR(preçodiario[[#This Row],[OVO VERMELHO B]]*preçodiario[[#This Row],[estoque BV]],0)</f>
        <v>0</v>
      </c>
      <c r="AO35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Row],[data]])),((AO353*AP353)+SUMIFS(estoque[valor total],estoque[produto],preçodiario[[#Headers],[OVO VERMELHO C]],estoque[data],preçodiario[[#This Row],[data]],estoque[fornecedor],"&lt;&gt;saída"))/(AP353+(SUMIFS(estoque[quantidade],estoque[produto],preçodiario[[#Headers],[OVO VERMELHO C]],estoque[fornecedor],"&lt;&gt;saída",estoque[data],preçodiario[[#This Row],[data]])))))</f>
        <v/>
      </c>
      <c r="AP354" s="22">
        <f>IF(preçodiario[[#This Row],[entrada CV]]=0,AP353-(SUMIFS(estoque[quantidade],estoque[fornecedor],"saída",estoque[produto],preçodiario[[#Headers],[OVO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Row],[data]]))+AP353+preçodiario[[#This Row],[entrada CV]])</f>
        <v>0</v>
      </c>
      <c r="AQ354" s="22">
        <f>SUMIFS(estoque[quantidade],estoque[fornecedor],"&lt;&gt;saída",estoque[produto],preçodiario[[#Headers],[OVO VERMELHO C]],estoque[data],preçodiario[[#This Row],[data]])</f>
        <v>0</v>
      </c>
      <c r="AR354" s="20">
        <f>SUMIFS(estoque[valor total],estoque[fornecedor],"&lt;&gt;saída",estoque[produto],preçodiario[[#Headers],[OVO VERMELHO C]],estoque[data],preçodiario[[#This Row],[data]])</f>
        <v>0</v>
      </c>
      <c r="AS354" s="20">
        <f>IFERROR(preçodiario[[#This Row],[OVO VERMELHO C]]*preçodiario[[#This Row],[estoque CV]],0)</f>
        <v>0</v>
      </c>
      <c r="AT35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Row],[data]])),((AT353*AU353)+SUMIFS(estoque[valor total],estoque[produto],preçodiario[[#Headers],[OVO VERMELHO EXTRA]],estoque[data],preçodiario[[#This Row],[data]],estoque[fornecedor],"&lt;&gt;saída"))/(AU353+(SUMIFS(estoque[quantidade],estoque[produto],preçodiario[[#Headers],[OVO VERMELHO EXTRA]],estoque[fornecedor],"&lt;&gt;saída",estoque[data],preçodiario[[#This Row],[data]])))))</f>
        <v/>
      </c>
      <c r="AU354" s="22">
        <f>IF(preçodiario[[#This Row],[entrada EV]]=0,AU353-(SUMIFS(estoque[quantidade],estoque[fornecedor],"saída",estoque[produto],preçodiario[[#Headers],[OVO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Row],[data]]))+AU353+preçodiario[[#This Row],[entrada EV]])</f>
        <v>0</v>
      </c>
      <c r="AV354" s="22">
        <f>SUMIFS(estoque[quantidade],estoque[fornecedor],"&lt;&gt;saída",estoque[produto],preçodiario[[#Headers],[OVO VERMELHO EXTRA]],estoque[data],preçodiario[[#This Row],[data]])</f>
        <v>0</v>
      </c>
      <c r="AW354" s="20">
        <f>SUMIFS(estoque[valor total],estoque[fornecedor],"&lt;&gt;saída",estoque[produto],preçodiario[[#Headers],[OVO VERMELHO EXTRA]],estoque[data],preçodiario[[#This Row],[data]])</f>
        <v>0</v>
      </c>
      <c r="AX354" s="20">
        <f>IFERROR(preçodiario[[#This Row],[OVO VERMELHO EXTRA]]*preçodiario[[#This Row],[estoque EV]],0)</f>
        <v>0</v>
      </c>
      <c r="AY35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Row],[data]])),((AY353*AZ353)+SUMIFS(estoque[valor total],estoque[produto],preçodiario[[#Headers],[OVO VERMELHO JUMBO]],estoque[data],preçodiario[[#This Row],[data]],estoque[fornecedor],"&lt;&gt;saída"))/(AZ353+(SUMIFS(estoque[quantidade],estoque[produto],preçodiario[[#Headers],[OVO VERMELHO JUMBO]],estoque[fornecedor],"&lt;&gt;saída",estoque[data],preçodiario[[#This Row],[data]])))))</f>
        <v/>
      </c>
      <c r="AZ354" s="22">
        <f>IF(preçodiario[[#This Row],[entrada JV]]=0,AZ353-(SUMIFS(estoque[quantidade],estoque[fornecedor],"saída",estoque[produto],preçodiario[[#Headers],[OVO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Row],[data]]))+AZ353+preçodiario[[#This Row],[entrada JV]])</f>
        <v>0</v>
      </c>
      <c r="BA354" s="22">
        <f>SUMIFS(estoque[quantidade],estoque[fornecedor],"&lt;&gt;saída",estoque[produto],preçodiario[[#Headers],[OVO VERMELHO JUMBO]],estoque[data],preçodiario[[#This Row],[data]])</f>
        <v>0</v>
      </c>
      <c r="BB354" s="20">
        <f>SUMIFS(estoque[valor total],estoque[fornecedor],"&lt;&gt;saída",estoque[produto],preçodiario[[#Headers],[OVO VERMELHO JUMBO]],estoque[data],preçodiario[[#This Row],[data]])</f>
        <v>0</v>
      </c>
      <c r="BC354" s="20">
        <f>IFERROR(preçodiario[[#This Row],[OVO VERMELHO JUMBO]]*preçodiario[[#This Row],[estoque JV]],0)</f>
        <v>0</v>
      </c>
      <c r="BD354" t="str">
        <f>TEXT(vendaAno[[#This Row],[data]],"mmm")</f>
        <v>dez</v>
      </c>
      <c r="BE354" t="str">
        <f>TEXT(vendaAno[[#This Row],[data]],"ddd")</f>
        <v>sáb</v>
      </c>
      <c r="BF354" s="82">
        <f>WEEKNUM(vendaAno[[#This Row],[data]],13)</f>
        <v>51</v>
      </c>
      <c r="BG354" s="27">
        <f>preçodiario[[#This Row],[data]]</f>
        <v>46375</v>
      </c>
      <c r="BH35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Row],[data]]))/12+BJ353,"")</f>
        <v/>
      </c>
      <c r="BK354" s="79" t="str">
        <f ca="1">IF(TODAY()&gt;=vendaAno[[#This Row],[data]],IF(SUMIFS(estoque[quantidade],estoque[fornecedor],"saída",estoque[data],vendaAno[[#This Row],[data]])/12=0,AVERAGE(BK351:BK353),SUMIFS(estoque[quantidade],estoque[fornecedor],"saída",estoque[data],vendaAno[[#This Row],[data]])/12),"")</f>
        <v/>
      </c>
      <c r="BL354" s="8" t="str">
        <f ca="1">IF(vendaAno[[#This Row],[data]]&lt;=TODAY(),IF(SUMIFS(estoque[lucro],estoque[fornecedor],"saída",estoque[data],vendaAno[[#This Row],[data]])=0,AVERAGE(BL351:BL353),SUMIFS(estoque[lucro],estoque[fornecedor],"saída",estoque[data],vendaAno[[#This Row],[data]])),"")</f>
        <v/>
      </c>
      <c r="BM354" s="10" t="str">
        <f ca="1">IFERROR(vendaAno[[#This Row],[lucro]]/vendaAno[[#This Row],[valor de venda]],"")</f>
        <v/>
      </c>
      <c r="BN35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4" s="8" t="str">
        <f ca="1">IF(TODAY()&gt;=vendaAno[[#This Row],[data]],IF(vendaAno[[#This Row],[N°]]=BF353,vendaAno[[#This Row],[lucro]]-173.33+BO353,vendaAno[[#This Row],[lucro]]-150),"")</f>
        <v/>
      </c>
      <c r="BP354" s="81" t="str">
        <f ca="1">IF(TODAY()&gt;=vendaAno[[#This Row],[data]],SUM(BK348:BK354)*12,"")</f>
        <v/>
      </c>
      <c r="BQ354" s="7" t="str">
        <f ca="1">IFERROR(vendaAno[[#This Row],[lucro]]/(vendaAno[[#This Row],[venda]]*12),"")</f>
        <v/>
      </c>
    </row>
    <row r="355" spans="1:69" x14ac:dyDescent="0.25">
      <c r="A35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5" s="18" t="str">
        <f>TEXT(preçodiario[[#This Row],[data]],"MMM")</f>
        <v>dez</v>
      </c>
      <c r="C355" s="18" t="str">
        <f>TEXT(preçodiario[[#This Row],[data]],"ddd")</f>
        <v>dom</v>
      </c>
      <c r="D355" s="96">
        <f>WEEKNUM(preçodiario[[#This Row],[data]],13)</f>
        <v>51</v>
      </c>
      <c r="E355" s="37">
        <v>46376</v>
      </c>
      <c r="F35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Row],[data]])),((F354*G354)+SUMIFS(estoque[valor total],estoque[produto],preçodiario[[#Headers],[OVO BRANCO A]],estoque[data],preçodiario[[#This Row],[data]],estoque[fornecedor],"&lt;&gt;saída"))/(G354+(SUMIFS(estoque[quantidade],estoque[produto],preçodiario[[#Headers],[OVO BRANCO A]],estoque[fornecedor],"&lt;&gt;saída",estoque[data],preçodiario[[#This Row],[data]])))))</f>
        <v>15.278182701652089</v>
      </c>
      <c r="G355" s="22">
        <f>IF(preçodiario[[#This Row],[entrada A]]=0,G354-(SUMIFS(estoque[quantidade],estoque[fornecedor],"saída",estoque[produto],preçodiario[[#Headers],[OVO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Row],[data]]))+G354+preçodiario[[#This Row],[entrada A]])</f>
        <v>133</v>
      </c>
      <c r="H355" s="22">
        <f>SUMIFS(estoque[quantidade],estoque[fornecedor],"&lt;&gt;saída",estoque[produto],preçodiario[[#Headers],[OVO BRANCO A]],estoque[data],preçodiario[[#This Row],[data]])</f>
        <v>0</v>
      </c>
      <c r="I355" s="20">
        <f>SUMIFS(estoque[valor total],estoque[fornecedor],"&lt;&gt;saída",estoque[produto],preçodiario[[#Headers],[OVO BRANCO A]],estoque[data],preçodiario[[#This Row],[data]])</f>
        <v>0</v>
      </c>
      <c r="J355" s="20">
        <f>IFERROR(preçodiario[[#This Row],[estoque A]]*preçodiario[[#This Row],[OVO BRANCO A]],0)</f>
        <v>2031.9982993197277</v>
      </c>
      <c r="K35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Row],[data]])),((K354*L354)+SUMIFS(estoque[valor total],estoque[produto],preçodiario[[#Headers],[OVO BRANCO B]],estoque[data],preçodiario[[#This Row],[data]],estoque[fornecedor],"&lt;&gt;saída"))/(L354+(SUMIFS(estoque[quantidade],estoque[produto],preçodiario[[#Headers],[OVO BRANCO B]],estoque[fornecedor],"&lt;&gt;saída",estoque[data],preçodiario[[#This Row],[data]])))))</f>
        <v>14.584252837326604</v>
      </c>
      <c r="L355" s="22">
        <f>IF(preçodiario[[#This Row],[entrada B]]=0,L354-(SUMIFS(estoque[quantidade],estoque[fornecedor],"saída",estoque[produto],preçodiario[[#Headers],[OVO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Row],[data]]))+L354+preçodiario[[#This Row],[entrada B]])</f>
        <v>16</v>
      </c>
      <c r="M355" s="22">
        <f>SUMIFS(estoque[quantidade],estoque[fornecedor],"&lt;&gt;saída",estoque[produto],preçodiario[[#Headers],[OVO BRANCO B]],estoque[data],preçodiario[[#This Row],[data]])</f>
        <v>0</v>
      </c>
      <c r="N355" s="20">
        <f>SUMIFS(estoque[valor total],estoque[fornecedor],"&lt;&gt;saída",estoque[produto],preçodiario[[#Headers],[OVO BRANCO B]],estoque[data],preçodiario[[#This Row],[data]])</f>
        <v>0</v>
      </c>
      <c r="O355" s="20">
        <f>IFERROR(preçodiario[[#This Row],[OVO BRANCO B]]*preçodiario[[#This Row],[estoque B]],0)</f>
        <v>233.34804539722566</v>
      </c>
      <c r="P35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Row],[data]])),((P354*Q354)+SUMIFS(estoque[valor total],estoque[produto],preçodiario[[#Headers],[OVO BRANCO C]],estoque[data],preçodiario[[#This Row],[data]],estoque[fornecedor],"&lt;&gt;saída"))/(Q354+(SUMIFS(estoque[quantidade],estoque[produto],preçodiario[[#Headers],[OVO BRANCO C]],estoque[fornecedor],"&lt;&gt;saída",estoque[data],preçodiario[[#This Row],[data]])))))</f>
        <v>12.5</v>
      </c>
      <c r="Q355" s="22">
        <f>IF(preçodiario[[#This Row],[entrada C]]=0,Q354-(SUMIFS(estoque[quantidade],estoque[fornecedor],"saída",estoque[produto],preçodiario[[#Headers],[OVO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Row],[data]]))+Q354+preçodiario[[#This Row],[entrada C]])</f>
        <v>60</v>
      </c>
      <c r="R355" s="22">
        <f>SUMIFS(estoque[quantidade],estoque[fornecedor],"&lt;&gt;saída",estoque[produto],preçodiario[[#Headers],[OVO BRANCO C]],estoque[data],preçodiario[[#This Row],[data]])</f>
        <v>0</v>
      </c>
      <c r="S355" s="20">
        <f>SUMIFS(estoque[valor total],estoque[fornecedor],"&lt;&gt;saída",estoque[produto],preçodiario[[#Headers],[OVO BRANCO C]],estoque[data],preçodiario[[#This Row],[data]])</f>
        <v>0</v>
      </c>
      <c r="T355" s="20">
        <f>IFERROR(preçodiario[[#This Row],[OVO BRANCO C]]*preçodiario[[#This Row],[estoque C]],0)</f>
        <v>750</v>
      </c>
      <c r="U35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Row],[data]])),((U354*V354)+SUMIFS(estoque[valor total],estoque[produto],preçodiario[[#Headers],[OVO BRANCO EXTRA]],estoque[data],preçodiario[[#This Row],[data]],estoque[fornecedor],"&lt;&gt;saída"))/(V354+(SUMIFS(estoque[quantidade],estoque[produto],preçodiario[[#Headers],[OVO BRANCO EXTRA]],estoque[fornecedor],"&lt;&gt;saída",estoque[data],preçodiario[[#This Row],[data]])))))</f>
        <v>15.725438400674655</v>
      </c>
      <c r="V355" s="22">
        <f>IF(preçodiario[[#This Row],[entrada E]]=0,V354-(SUMIFS(estoque[quantidade],estoque[fornecedor],"saída",estoque[produto],preçodiario[[#Headers],[OVO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Row],[data]]))+V354+preçodiario[[#This Row],[entrada E]])</f>
        <v>46</v>
      </c>
      <c r="W355" s="22">
        <f>SUMIFS(estoque[quantidade],estoque[fornecedor],"&lt;&gt;saída",estoque[produto],preçodiario[[#Headers],[OVO BRANCO EXTRA]],estoque[data],preçodiario[[#This Row],[data]])</f>
        <v>0</v>
      </c>
      <c r="X355" s="20">
        <f>SUMIFS(estoque[valor total],estoque[fornecedor],"&lt;&gt;saída",estoque[produto],preçodiario[[#Headers],[OVO BRANCO EXTRA]],estoque[data],preçodiario[[#This Row],[data]])</f>
        <v>0</v>
      </c>
      <c r="Y355" s="20">
        <f>IFERROR(preçodiario[[#This Row],[estoque E]]*preçodiario[[#This Row],[OVO BRANCO EXTRA]],0)</f>
        <v>723.37016643103414</v>
      </c>
      <c r="Z35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Row],[data]])),((Z354*AA354)+SUMIFS(estoque[valor total],estoque[produto],preçodiario[[#Headers],[OVO BRANCO JUMBO]],estoque[data],preçodiario[[#This Row],[data]],estoque[fornecedor],"&lt;&gt;saída"))/(AA354+(SUMIFS(estoque[quantidade],estoque[produto],preçodiario[[#Headers],[OVO BRANCO JUMBO]],estoque[fornecedor],"&lt;&gt;saída",estoque[data],preçodiario[[#This Row],[data]])))))</f>
        <v>16.50550595238095</v>
      </c>
      <c r="AA355" s="22">
        <f>IF(preçodiario[[#This Row],[entrada J]]=0,AA354-(SUMIFS(estoque[quantidade],estoque[fornecedor],"saída",estoque[produto],preçodiario[[#Headers],[OVO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Row],[data]]))+AA354+preçodiario[[#This Row],[entrada J]])</f>
        <v>75</v>
      </c>
      <c r="AB355" s="22">
        <f>SUMIFS(estoque[quantidade],estoque[fornecedor],"&lt;&gt;saída",estoque[produto],preçodiario[[#Headers],[OVO BRANCO JUMBO]],estoque[data],preçodiario[[#This Row],[data]])</f>
        <v>0</v>
      </c>
      <c r="AC355" s="20">
        <f>SUMIFS(estoque[valor total],estoque[fornecedor],"&lt;&gt;saída",estoque[produto],preçodiario[[#Headers],[OVO BRANCO JUMBO]],estoque[data],preçodiario[[#This Row],[data]])</f>
        <v>0</v>
      </c>
      <c r="AD355" s="20">
        <f>IFERROR(preçodiario[[#This Row],[OVO BRANCO JUMBO]]*preçodiario[[#This Row],[estoque J]],0)</f>
        <v>1237.9129464285713</v>
      </c>
      <c r="AE35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Row],[data]])),((AE354*AF354)+SUMIFS(estoque[valor total],estoque[produto],preçodiario[[#Headers],[OVO VERMELHO A]],estoque[data],preçodiario[[#This Row],[data]],estoque[fornecedor],"&lt;&gt;saída"))/(AF354+(SUMIFS(estoque[quantidade],estoque[produto],preçodiario[[#Headers],[OVO VERMELHO A]],estoque[fornecedor],"&lt;&gt;saída",estoque[data],preçodiario[[#This Row],[data]])))))</f>
        <v/>
      </c>
      <c r="AF355" s="22">
        <f>IF(preçodiario[[#This Row],[entrada AV]]=0,AF354-(SUMIFS(estoque[quantidade],estoque[fornecedor],"saída",estoque[produto],preçodiario[[#Headers],[OVO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Row],[data]]))+AF354+preçodiario[[#This Row],[entrada AV]])</f>
        <v>0</v>
      </c>
      <c r="AG355" s="22">
        <f>SUMIFS(estoque[quantidade],estoque[fornecedor],"&lt;&gt;saída",estoque[produto],preçodiario[[#Headers],[OVO VERMELHO A]],estoque[data],preçodiario[[#This Row],[data]])</f>
        <v>0</v>
      </c>
      <c r="AH355" s="20">
        <f>SUMIFS(estoque[valor total],estoque[fornecedor],"&lt;&gt;saída",estoque[produto],preçodiario[[#Headers],[OVO VERMELHO A]],estoque[data],preçodiario[[#This Row],[data]])</f>
        <v>0</v>
      </c>
      <c r="AI355" s="20">
        <f>IFERROR(preçodiario[[#This Row],[OVO VERMELHO A]]*preçodiario[[#This Row],[estoque AV]],0)</f>
        <v>0</v>
      </c>
      <c r="AJ35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Row],[data]])),((AJ354*AK354)+SUMIFS(estoque[valor total],estoque[produto],preçodiario[[#Headers],[OVO VERMELHO B]],estoque[data],preçodiario[[#This Row],[data]],estoque[fornecedor],"&lt;&gt;saída"))/(AK354+(SUMIFS(estoque[quantidade],estoque[produto],preçodiario[[#Headers],[OVO VERMELHO B]],estoque[fornecedor],"&lt;&gt;saída",estoque[data],preçodiario[[#This Row],[data]])))))</f>
        <v/>
      </c>
      <c r="AK355" s="22">
        <f>IF(preçodiario[[#This Row],[entrada BV]]=0,AK354-(SUMIFS(estoque[quantidade],estoque[fornecedor],"saída",estoque[produto],preçodiario[[#Headers],[OVO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Row],[data]]))+AK354+preçodiario[[#This Row],[entrada BV]])</f>
        <v>0</v>
      </c>
      <c r="AL355" s="22">
        <f>SUMIFS(estoque[quantidade],estoque[fornecedor],"&lt;&gt;saída",estoque[produto],preçodiario[[#Headers],[OVO VERMELHO B]],estoque[data],preçodiario[[#This Row],[data]])</f>
        <v>0</v>
      </c>
      <c r="AM355" s="20">
        <f>SUMIFS(estoque[valor total],estoque[fornecedor],"&lt;&gt;saída",estoque[produto],preçodiario[[#Headers],[OVO VERMELHO B]],estoque[data],preçodiario[[#This Row],[data]])</f>
        <v>0</v>
      </c>
      <c r="AN355" s="20">
        <f>IFERROR(preçodiario[[#This Row],[OVO VERMELHO B]]*preçodiario[[#This Row],[estoque BV]],0)</f>
        <v>0</v>
      </c>
      <c r="AO35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Row],[data]])),((AO354*AP354)+SUMIFS(estoque[valor total],estoque[produto],preçodiario[[#Headers],[OVO VERMELHO C]],estoque[data],preçodiario[[#This Row],[data]],estoque[fornecedor],"&lt;&gt;saída"))/(AP354+(SUMIFS(estoque[quantidade],estoque[produto],preçodiario[[#Headers],[OVO VERMELHO C]],estoque[fornecedor],"&lt;&gt;saída",estoque[data],preçodiario[[#This Row],[data]])))))</f>
        <v/>
      </c>
      <c r="AP355" s="22">
        <f>IF(preçodiario[[#This Row],[entrada CV]]=0,AP354-(SUMIFS(estoque[quantidade],estoque[fornecedor],"saída",estoque[produto],preçodiario[[#Headers],[OVO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Row],[data]]))+AP354+preçodiario[[#This Row],[entrada CV]])</f>
        <v>0</v>
      </c>
      <c r="AQ355" s="22">
        <f>SUMIFS(estoque[quantidade],estoque[fornecedor],"&lt;&gt;saída",estoque[produto],preçodiario[[#Headers],[OVO VERMELHO C]],estoque[data],preçodiario[[#This Row],[data]])</f>
        <v>0</v>
      </c>
      <c r="AR355" s="20">
        <f>SUMIFS(estoque[valor total],estoque[fornecedor],"&lt;&gt;saída",estoque[produto],preçodiario[[#Headers],[OVO VERMELHO C]],estoque[data],preçodiario[[#This Row],[data]])</f>
        <v>0</v>
      </c>
      <c r="AS355" s="20">
        <f>IFERROR(preçodiario[[#This Row],[OVO VERMELHO C]]*preçodiario[[#This Row],[estoque CV]],0)</f>
        <v>0</v>
      </c>
      <c r="AT35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Row],[data]])),((AT354*AU354)+SUMIFS(estoque[valor total],estoque[produto],preçodiario[[#Headers],[OVO VERMELHO EXTRA]],estoque[data],preçodiario[[#This Row],[data]],estoque[fornecedor],"&lt;&gt;saída"))/(AU354+(SUMIFS(estoque[quantidade],estoque[produto],preçodiario[[#Headers],[OVO VERMELHO EXTRA]],estoque[fornecedor],"&lt;&gt;saída",estoque[data],preçodiario[[#This Row],[data]])))))</f>
        <v/>
      </c>
      <c r="AU355" s="22">
        <f>IF(preçodiario[[#This Row],[entrada EV]]=0,AU354-(SUMIFS(estoque[quantidade],estoque[fornecedor],"saída",estoque[produto],preçodiario[[#Headers],[OVO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Row],[data]]))+AU354+preçodiario[[#This Row],[entrada EV]])</f>
        <v>0</v>
      </c>
      <c r="AV355" s="22">
        <f>SUMIFS(estoque[quantidade],estoque[fornecedor],"&lt;&gt;saída",estoque[produto],preçodiario[[#Headers],[OVO VERMELHO EXTRA]],estoque[data],preçodiario[[#This Row],[data]])</f>
        <v>0</v>
      </c>
      <c r="AW355" s="20">
        <f>SUMIFS(estoque[valor total],estoque[fornecedor],"&lt;&gt;saída",estoque[produto],preçodiario[[#Headers],[OVO VERMELHO EXTRA]],estoque[data],preçodiario[[#This Row],[data]])</f>
        <v>0</v>
      </c>
      <c r="AX355" s="20">
        <f>IFERROR(preçodiario[[#This Row],[OVO VERMELHO EXTRA]]*preçodiario[[#This Row],[estoque EV]],0)</f>
        <v>0</v>
      </c>
      <c r="AY35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Row],[data]])),((AY354*AZ354)+SUMIFS(estoque[valor total],estoque[produto],preçodiario[[#Headers],[OVO VERMELHO JUMBO]],estoque[data],preçodiario[[#This Row],[data]],estoque[fornecedor],"&lt;&gt;saída"))/(AZ354+(SUMIFS(estoque[quantidade],estoque[produto],preçodiario[[#Headers],[OVO VERMELHO JUMBO]],estoque[fornecedor],"&lt;&gt;saída",estoque[data],preçodiario[[#This Row],[data]])))))</f>
        <v/>
      </c>
      <c r="AZ355" s="22">
        <f>IF(preçodiario[[#This Row],[entrada JV]]=0,AZ354-(SUMIFS(estoque[quantidade],estoque[fornecedor],"saída",estoque[produto],preçodiario[[#Headers],[OVO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Row],[data]]))+AZ354+preçodiario[[#This Row],[entrada JV]])</f>
        <v>0</v>
      </c>
      <c r="BA355" s="22">
        <f>SUMIFS(estoque[quantidade],estoque[fornecedor],"&lt;&gt;saída",estoque[produto],preçodiario[[#Headers],[OVO VERMELHO JUMBO]],estoque[data],preçodiario[[#This Row],[data]])</f>
        <v>0</v>
      </c>
      <c r="BB355" s="20">
        <f>SUMIFS(estoque[valor total],estoque[fornecedor],"&lt;&gt;saída",estoque[produto],preçodiario[[#Headers],[OVO VERMELHO JUMBO]],estoque[data],preçodiario[[#This Row],[data]])</f>
        <v>0</v>
      </c>
      <c r="BC355" s="20">
        <f>IFERROR(preçodiario[[#This Row],[OVO VERMELHO JUMBO]]*preçodiario[[#This Row],[estoque JV]],0)</f>
        <v>0</v>
      </c>
      <c r="BD355" t="str">
        <f>TEXT(vendaAno[[#This Row],[data]],"mmm")</f>
        <v>dez</v>
      </c>
      <c r="BE355" t="str">
        <f>TEXT(vendaAno[[#This Row],[data]],"ddd")</f>
        <v>dom</v>
      </c>
      <c r="BF355" s="82">
        <f>WEEKNUM(vendaAno[[#This Row],[data]],13)</f>
        <v>51</v>
      </c>
      <c r="BG355" s="27">
        <f>preçodiario[[#This Row],[data]]</f>
        <v>46376</v>
      </c>
      <c r="BH35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Row],[data]]))/12+BJ354,"")</f>
        <v/>
      </c>
      <c r="BK355" s="79" t="str">
        <f ca="1">IF(TODAY()&gt;=vendaAno[[#This Row],[data]],IF(SUMIFS(estoque[quantidade],estoque[fornecedor],"saída",estoque[data],vendaAno[[#This Row],[data]])/12=0,AVERAGE(BK352:BK354),SUMIFS(estoque[quantidade],estoque[fornecedor],"saída",estoque[data],vendaAno[[#This Row],[data]])/12),"")</f>
        <v/>
      </c>
      <c r="BL355" s="8" t="str">
        <f ca="1">IF(vendaAno[[#This Row],[data]]&lt;=TODAY(),IF(SUMIFS(estoque[lucro],estoque[fornecedor],"saída",estoque[data],vendaAno[[#This Row],[data]])=0,AVERAGE(BL352:BL354),SUMIFS(estoque[lucro],estoque[fornecedor],"saída",estoque[data],vendaAno[[#This Row],[data]])),"")</f>
        <v/>
      </c>
      <c r="BM355" s="10" t="str">
        <f ca="1">IFERROR(vendaAno[[#This Row],[lucro]]/vendaAno[[#This Row],[valor de venda]],"")</f>
        <v/>
      </c>
      <c r="BN35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5" s="8" t="str">
        <f ca="1">IF(TODAY()&gt;=vendaAno[[#This Row],[data]],IF(vendaAno[[#This Row],[N°]]=BF354,vendaAno[[#This Row],[lucro]]-173.33+BO354,vendaAno[[#This Row],[lucro]]-150),"")</f>
        <v/>
      </c>
      <c r="BP355" s="81" t="str">
        <f ca="1">IF(TODAY()&gt;=vendaAno[[#This Row],[data]],SUM(BK349:BK355)*12,"")</f>
        <v/>
      </c>
      <c r="BQ355" s="7" t="str">
        <f ca="1">IFERROR(vendaAno[[#This Row],[lucro]]/(vendaAno[[#This Row],[venda]]*12),"")</f>
        <v/>
      </c>
    </row>
    <row r="356" spans="1:69" x14ac:dyDescent="0.25">
      <c r="A35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6" s="18" t="str">
        <f>TEXT(preçodiario[[#This Row],[data]],"MMM")</f>
        <v>dez</v>
      </c>
      <c r="C356" s="18" t="str">
        <f>TEXT(preçodiario[[#This Row],[data]],"ddd")</f>
        <v>seg</v>
      </c>
      <c r="D356" s="96">
        <f>WEEKNUM(preçodiario[[#This Row],[data]],13)</f>
        <v>51</v>
      </c>
      <c r="E356" s="37">
        <v>46377</v>
      </c>
      <c r="F35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Row],[data]])),((F355*G355)+SUMIFS(estoque[valor total],estoque[produto],preçodiario[[#Headers],[OVO BRANCO A]],estoque[data],preçodiario[[#This Row],[data]],estoque[fornecedor],"&lt;&gt;saída"))/(G355+(SUMIFS(estoque[quantidade],estoque[produto],preçodiario[[#Headers],[OVO BRANCO A]],estoque[fornecedor],"&lt;&gt;saída",estoque[data],preçodiario[[#This Row],[data]])))))</f>
        <v>15.278182701652089</v>
      </c>
      <c r="G356" s="22">
        <f>IF(preçodiario[[#This Row],[entrada A]]=0,G355-(SUMIFS(estoque[quantidade],estoque[fornecedor],"saída",estoque[produto],preçodiario[[#Headers],[OVO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Row],[data]]))+G355+preçodiario[[#This Row],[entrada A]])</f>
        <v>133</v>
      </c>
      <c r="H356" s="22">
        <f>SUMIFS(estoque[quantidade],estoque[fornecedor],"&lt;&gt;saída",estoque[produto],preçodiario[[#Headers],[OVO BRANCO A]],estoque[data],preçodiario[[#This Row],[data]])</f>
        <v>0</v>
      </c>
      <c r="I356" s="20">
        <f>SUMIFS(estoque[valor total],estoque[fornecedor],"&lt;&gt;saída",estoque[produto],preçodiario[[#Headers],[OVO BRANCO A]],estoque[data],preçodiario[[#This Row],[data]])</f>
        <v>0</v>
      </c>
      <c r="J356" s="20">
        <f>IFERROR(preçodiario[[#This Row],[estoque A]]*preçodiario[[#This Row],[OVO BRANCO A]],0)</f>
        <v>2031.9982993197277</v>
      </c>
      <c r="K35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Row],[data]])),((K355*L355)+SUMIFS(estoque[valor total],estoque[produto],preçodiario[[#Headers],[OVO BRANCO B]],estoque[data],preçodiario[[#This Row],[data]],estoque[fornecedor],"&lt;&gt;saída"))/(L355+(SUMIFS(estoque[quantidade],estoque[produto],preçodiario[[#Headers],[OVO BRANCO B]],estoque[fornecedor],"&lt;&gt;saída",estoque[data],preçodiario[[#This Row],[data]])))))</f>
        <v>14.584252837326604</v>
      </c>
      <c r="L356" s="22">
        <f>IF(preçodiario[[#This Row],[entrada B]]=0,L355-(SUMIFS(estoque[quantidade],estoque[fornecedor],"saída",estoque[produto],preçodiario[[#Headers],[OVO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Row],[data]]))+L355+preçodiario[[#This Row],[entrada B]])</f>
        <v>16</v>
      </c>
      <c r="M356" s="22">
        <f>SUMIFS(estoque[quantidade],estoque[fornecedor],"&lt;&gt;saída",estoque[produto],preçodiario[[#Headers],[OVO BRANCO B]],estoque[data],preçodiario[[#This Row],[data]])</f>
        <v>0</v>
      </c>
      <c r="N356" s="20">
        <f>SUMIFS(estoque[valor total],estoque[fornecedor],"&lt;&gt;saída",estoque[produto],preçodiario[[#Headers],[OVO BRANCO B]],estoque[data],preçodiario[[#This Row],[data]])</f>
        <v>0</v>
      </c>
      <c r="O356" s="20">
        <f>IFERROR(preçodiario[[#This Row],[OVO BRANCO B]]*preçodiario[[#This Row],[estoque B]],0)</f>
        <v>233.34804539722566</v>
      </c>
      <c r="P35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Row],[data]])),((P355*Q355)+SUMIFS(estoque[valor total],estoque[produto],preçodiario[[#Headers],[OVO BRANCO C]],estoque[data],preçodiario[[#This Row],[data]],estoque[fornecedor],"&lt;&gt;saída"))/(Q355+(SUMIFS(estoque[quantidade],estoque[produto],preçodiario[[#Headers],[OVO BRANCO C]],estoque[fornecedor],"&lt;&gt;saída",estoque[data],preçodiario[[#This Row],[data]])))))</f>
        <v>12.5</v>
      </c>
      <c r="Q356" s="22">
        <f>IF(preçodiario[[#This Row],[entrada C]]=0,Q355-(SUMIFS(estoque[quantidade],estoque[fornecedor],"saída",estoque[produto],preçodiario[[#Headers],[OVO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Row],[data]]))+Q355+preçodiario[[#This Row],[entrada C]])</f>
        <v>60</v>
      </c>
      <c r="R356" s="22">
        <f>SUMIFS(estoque[quantidade],estoque[fornecedor],"&lt;&gt;saída",estoque[produto],preçodiario[[#Headers],[OVO BRANCO C]],estoque[data],preçodiario[[#This Row],[data]])</f>
        <v>0</v>
      </c>
      <c r="S356" s="20">
        <f>SUMIFS(estoque[valor total],estoque[fornecedor],"&lt;&gt;saída",estoque[produto],preçodiario[[#Headers],[OVO BRANCO C]],estoque[data],preçodiario[[#This Row],[data]])</f>
        <v>0</v>
      </c>
      <c r="T356" s="20">
        <f>IFERROR(preçodiario[[#This Row],[OVO BRANCO C]]*preçodiario[[#This Row],[estoque C]],0)</f>
        <v>750</v>
      </c>
      <c r="U35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Row],[data]])),((U355*V355)+SUMIFS(estoque[valor total],estoque[produto],preçodiario[[#Headers],[OVO BRANCO EXTRA]],estoque[data],preçodiario[[#This Row],[data]],estoque[fornecedor],"&lt;&gt;saída"))/(V355+(SUMIFS(estoque[quantidade],estoque[produto],preçodiario[[#Headers],[OVO BRANCO EXTRA]],estoque[fornecedor],"&lt;&gt;saída",estoque[data],preçodiario[[#This Row],[data]])))))</f>
        <v>15.725438400674655</v>
      </c>
      <c r="V356" s="22">
        <f>IF(preçodiario[[#This Row],[entrada E]]=0,V355-(SUMIFS(estoque[quantidade],estoque[fornecedor],"saída",estoque[produto],preçodiario[[#Headers],[OVO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Row],[data]]))+V355+preçodiario[[#This Row],[entrada E]])</f>
        <v>46</v>
      </c>
      <c r="W356" s="22">
        <f>SUMIFS(estoque[quantidade],estoque[fornecedor],"&lt;&gt;saída",estoque[produto],preçodiario[[#Headers],[OVO BRANCO EXTRA]],estoque[data],preçodiario[[#This Row],[data]])</f>
        <v>0</v>
      </c>
      <c r="X356" s="20">
        <f>SUMIFS(estoque[valor total],estoque[fornecedor],"&lt;&gt;saída",estoque[produto],preçodiario[[#Headers],[OVO BRANCO EXTRA]],estoque[data],preçodiario[[#This Row],[data]])</f>
        <v>0</v>
      </c>
      <c r="Y356" s="20">
        <f>IFERROR(preçodiario[[#This Row],[estoque E]]*preçodiario[[#This Row],[OVO BRANCO EXTRA]],0)</f>
        <v>723.37016643103414</v>
      </c>
      <c r="Z35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Row],[data]])),((Z355*AA355)+SUMIFS(estoque[valor total],estoque[produto],preçodiario[[#Headers],[OVO BRANCO JUMBO]],estoque[data],preçodiario[[#This Row],[data]],estoque[fornecedor],"&lt;&gt;saída"))/(AA355+(SUMIFS(estoque[quantidade],estoque[produto],preçodiario[[#Headers],[OVO BRANCO JUMBO]],estoque[fornecedor],"&lt;&gt;saída",estoque[data],preçodiario[[#This Row],[data]])))))</f>
        <v>16.50550595238095</v>
      </c>
      <c r="AA356" s="22">
        <f>IF(preçodiario[[#This Row],[entrada J]]=0,AA355-(SUMIFS(estoque[quantidade],estoque[fornecedor],"saída",estoque[produto],preçodiario[[#Headers],[OVO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Row],[data]]))+AA355+preçodiario[[#This Row],[entrada J]])</f>
        <v>75</v>
      </c>
      <c r="AB356" s="22">
        <f>SUMIFS(estoque[quantidade],estoque[fornecedor],"&lt;&gt;saída",estoque[produto],preçodiario[[#Headers],[OVO BRANCO JUMBO]],estoque[data],preçodiario[[#This Row],[data]])</f>
        <v>0</v>
      </c>
      <c r="AC356" s="20">
        <f>SUMIFS(estoque[valor total],estoque[fornecedor],"&lt;&gt;saída",estoque[produto],preçodiario[[#Headers],[OVO BRANCO JUMBO]],estoque[data],preçodiario[[#This Row],[data]])</f>
        <v>0</v>
      </c>
      <c r="AD356" s="20">
        <f>IFERROR(preçodiario[[#This Row],[OVO BRANCO JUMBO]]*preçodiario[[#This Row],[estoque J]],0)</f>
        <v>1237.9129464285713</v>
      </c>
      <c r="AE35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Row],[data]])),((AE355*AF355)+SUMIFS(estoque[valor total],estoque[produto],preçodiario[[#Headers],[OVO VERMELHO A]],estoque[data],preçodiario[[#This Row],[data]],estoque[fornecedor],"&lt;&gt;saída"))/(AF355+(SUMIFS(estoque[quantidade],estoque[produto],preçodiario[[#Headers],[OVO VERMELHO A]],estoque[fornecedor],"&lt;&gt;saída",estoque[data],preçodiario[[#This Row],[data]])))))</f>
        <v/>
      </c>
      <c r="AF356" s="22">
        <f>IF(preçodiario[[#This Row],[entrada AV]]=0,AF355-(SUMIFS(estoque[quantidade],estoque[fornecedor],"saída",estoque[produto],preçodiario[[#Headers],[OVO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Row],[data]]))+AF355+preçodiario[[#This Row],[entrada AV]])</f>
        <v>0</v>
      </c>
      <c r="AG356" s="22">
        <f>SUMIFS(estoque[quantidade],estoque[fornecedor],"&lt;&gt;saída",estoque[produto],preçodiario[[#Headers],[OVO VERMELHO A]],estoque[data],preçodiario[[#This Row],[data]])</f>
        <v>0</v>
      </c>
      <c r="AH356" s="20">
        <f>SUMIFS(estoque[valor total],estoque[fornecedor],"&lt;&gt;saída",estoque[produto],preçodiario[[#Headers],[OVO VERMELHO A]],estoque[data],preçodiario[[#This Row],[data]])</f>
        <v>0</v>
      </c>
      <c r="AI356" s="20">
        <f>IFERROR(preçodiario[[#This Row],[OVO VERMELHO A]]*preçodiario[[#This Row],[estoque AV]],0)</f>
        <v>0</v>
      </c>
      <c r="AJ35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Row],[data]])),((AJ355*AK355)+SUMIFS(estoque[valor total],estoque[produto],preçodiario[[#Headers],[OVO VERMELHO B]],estoque[data],preçodiario[[#This Row],[data]],estoque[fornecedor],"&lt;&gt;saída"))/(AK355+(SUMIFS(estoque[quantidade],estoque[produto],preçodiario[[#Headers],[OVO VERMELHO B]],estoque[fornecedor],"&lt;&gt;saída",estoque[data],preçodiario[[#This Row],[data]])))))</f>
        <v/>
      </c>
      <c r="AK356" s="22">
        <f>IF(preçodiario[[#This Row],[entrada BV]]=0,AK355-(SUMIFS(estoque[quantidade],estoque[fornecedor],"saída",estoque[produto],preçodiario[[#Headers],[OVO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Row],[data]]))+AK355+preçodiario[[#This Row],[entrada BV]])</f>
        <v>0</v>
      </c>
      <c r="AL356" s="22">
        <f>SUMIFS(estoque[quantidade],estoque[fornecedor],"&lt;&gt;saída",estoque[produto],preçodiario[[#Headers],[OVO VERMELHO B]],estoque[data],preçodiario[[#This Row],[data]])</f>
        <v>0</v>
      </c>
      <c r="AM356" s="20">
        <f>SUMIFS(estoque[valor total],estoque[fornecedor],"&lt;&gt;saída",estoque[produto],preçodiario[[#Headers],[OVO VERMELHO B]],estoque[data],preçodiario[[#This Row],[data]])</f>
        <v>0</v>
      </c>
      <c r="AN356" s="20">
        <f>IFERROR(preçodiario[[#This Row],[OVO VERMELHO B]]*preçodiario[[#This Row],[estoque BV]],0)</f>
        <v>0</v>
      </c>
      <c r="AO35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Row],[data]])),((AO355*AP355)+SUMIFS(estoque[valor total],estoque[produto],preçodiario[[#Headers],[OVO VERMELHO C]],estoque[data],preçodiario[[#This Row],[data]],estoque[fornecedor],"&lt;&gt;saída"))/(AP355+(SUMIFS(estoque[quantidade],estoque[produto],preçodiario[[#Headers],[OVO VERMELHO C]],estoque[fornecedor],"&lt;&gt;saída",estoque[data],preçodiario[[#This Row],[data]])))))</f>
        <v/>
      </c>
      <c r="AP356" s="22">
        <f>IF(preçodiario[[#This Row],[entrada CV]]=0,AP355-(SUMIFS(estoque[quantidade],estoque[fornecedor],"saída",estoque[produto],preçodiario[[#Headers],[OVO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Row],[data]]))+AP355+preçodiario[[#This Row],[entrada CV]])</f>
        <v>0</v>
      </c>
      <c r="AQ356" s="22">
        <f>SUMIFS(estoque[quantidade],estoque[fornecedor],"&lt;&gt;saída",estoque[produto],preçodiario[[#Headers],[OVO VERMELHO C]],estoque[data],preçodiario[[#This Row],[data]])</f>
        <v>0</v>
      </c>
      <c r="AR356" s="20">
        <f>SUMIFS(estoque[valor total],estoque[fornecedor],"&lt;&gt;saída",estoque[produto],preçodiario[[#Headers],[OVO VERMELHO C]],estoque[data],preçodiario[[#This Row],[data]])</f>
        <v>0</v>
      </c>
      <c r="AS356" s="20">
        <f>IFERROR(preçodiario[[#This Row],[OVO VERMELHO C]]*preçodiario[[#This Row],[estoque CV]],0)</f>
        <v>0</v>
      </c>
      <c r="AT35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Row],[data]])),((AT355*AU355)+SUMIFS(estoque[valor total],estoque[produto],preçodiario[[#Headers],[OVO VERMELHO EXTRA]],estoque[data],preçodiario[[#This Row],[data]],estoque[fornecedor],"&lt;&gt;saída"))/(AU355+(SUMIFS(estoque[quantidade],estoque[produto],preçodiario[[#Headers],[OVO VERMELHO EXTRA]],estoque[fornecedor],"&lt;&gt;saída",estoque[data],preçodiario[[#This Row],[data]])))))</f>
        <v/>
      </c>
      <c r="AU356" s="22">
        <f>IF(preçodiario[[#This Row],[entrada EV]]=0,AU355-(SUMIFS(estoque[quantidade],estoque[fornecedor],"saída",estoque[produto],preçodiario[[#Headers],[OVO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Row],[data]]))+AU355+preçodiario[[#This Row],[entrada EV]])</f>
        <v>0</v>
      </c>
      <c r="AV356" s="22">
        <f>SUMIFS(estoque[quantidade],estoque[fornecedor],"&lt;&gt;saída",estoque[produto],preçodiario[[#Headers],[OVO VERMELHO EXTRA]],estoque[data],preçodiario[[#This Row],[data]])</f>
        <v>0</v>
      </c>
      <c r="AW356" s="20">
        <f>SUMIFS(estoque[valor total],estoque[fornecedor],"&lt;&gt;saída",estoque[produto],preçodiario[[#Headers],[OVO VERMELHO EXTRA]],estoque[data],preçodiario[[#This Row],[data]])</f>
        <v>0</v>
      </c>
      <c r="AX356" s="20">
        <f>IFERROR(preçodiario[[#This Row],[OVO VERMELHO EXTRA]]*preçodiario[[#This Row],[estoque EV]],0)</f>
        <v>0</v>
      </c>
      <c r="AY35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Row],[data]])),((AY355*AZ355)+SUMIFS(estoque[valor total],estoque[produto],preçodiario[[#Headers],[OVO VERMELHO JUMBO]],estoque[data],preçodiario[[#This Row],[data]],estoque[fornecedor],"&lt;&gt;saída"))/(AZ355+(SUMIFS(estoque[quantidade],estoque[produto],preçodiario[[#Headers],[OVO VERMELHO JUMBO]],estoque[fornecedor],"&lt;&gt;saída",estoque[data],preçodiario[[#This Row],[data]])))))</f>
        <v/>
      </c>
      <c r="AZ356" s="22">
        <f>IF(preçodiario[[#This Row],[entrada JV]]=0,AZ355-(SUMIFS(estoque[quantidade],estoque[fornecedor],"saída",estoque[produto],preçodiario[[#Headers],[OVO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Row],[data]]))+AZ355+preçodiario[[#This Row],[entrada JV]])</f>
        <v>0</v>
      </c>
      <c r="BA356" s="22">
        <f>SUMIFS(estoque[quantidade],estoque[fornecedor],"&lt;&gt;saída",estoque[produto],preçodiario[[#Headers],[OVO VERMELHO JUMBO]],estoque[data],preçodiario[[#This Row],[data]])</f>
        <v>0</v>
      </c>
      <c r="BB356" s="20">
        <f>SUMIFS(estoque[valor total],estoque[fornecedor],"&lt;&gt;saída",estoque[produto],preçodiario[[#Headers],[OVO VERMELHO JUMBO]],estoque[data],preçodiario[[#This Row],[data]])</f>
        <v>0</v>
      </c>
      <c r="BC356" s="20">
        <f>IFERROR(preçodiario[[#This Row],[OVO VERMELHO JUMBO]]*preçodiario[[#This Row],[estoque JV]],0)</f>
        <v>0</v>
      </c>
      <c r="BD356" t="str">
        <f>TEXT(vendaAno[[#This Row],[data]],"mmm")</f>
        <v>dez</v>
      </c>
      <c r="BE356" t="str">
        <f>TEXT(vendaAno[[#This Row],[data]],"ddd")</f>
        <v>seg</v>
      </c>
      <c r="BF356" s="82">
        <f>WEEKNUM(vendaAno[[#This Row],[data]],13)</f>
        <v>51</v>
      </c>
      <c r="BG356" s="27">
        <f>preçodiario[[#This Row],[data]]</f>
        <v>46377</v>
      </c>
      <c r="BH35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Row],[data]]))/12+BJ355,"")</f>
        <v/>
      </c>
      <c r="BK356" s="79" t="str">
        <f ca="1">IF(TODAY()&gt;=vendaAno[[#This Row],[data]],IF(SUMIFS(estoque[quantidade],estoque[fornecedor],"saída",estoque[data],vendaAno[[#This Row],[data]])/12=0,AVERAGE(BK353:BK355),SUMIFS(estoque[quantidade],estoque[fornecedor],"saída",estoque[data],vendaAno[[#This Row],[data]])/12),"")</f>
        <v/>
      </c>
      <c r="BL356" s="8" t="str">
        <f ca="1">IF(vendaAno[[#This Row],[data]]&lt;=TODAY(),IF(SUMIFS(estoque[lucro],estoque[fornecedor],"saída",estoque[data],vendaAno[[#This Row],[data]])=0,AVERAGE(BL353:BL355),SUMIFS(estoque[lucro],estoque[fornecedor],"saída",estoque[data],vendaAno[[#This Row],[data]])),"")</f>
        <v/>
      </c>
      <c r="BM356" s="10" t="str">
        <f ca="1">IFERROR(vendaAno[[#This Row],[lucro]]/vendaAno[[#This Row],[valor de venda]],"")</f>
        <v/>
      </c>
      <c r="BN35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6" s="8" t="str">
        <f ca="1">IF(TODAY()&gt;=vendaAno[[#This Row],[data]],IF(vendaAno[[#This Row],[N°]]=BF355,vendaAno[[#This Row],[lucro]]-173.33+BO355,vendaAno[[#This Row],[lucro]]-150),"")</f>
        <v/>
      </c>
      <c r="BP356" s="81" t="str">
        <f ca="1">IF(TODAY()&gt;=vendaAno[[#This Row],[data]],SUM(BK350:BK356)*12,"")</f>
        <v/>
      </c>
      <c r="BQ356" s="7" t="str">
        <f ca="1">IFERROR(vendaAno[[#This Row],[lucro]]/(vendaAno[[#This Row],[venda]]*12),"")</f>
        <v/>
      </c>
    </row>
    <row r="357" spans="1:69" x14ac:dyDescent="0.25">
      <c r="A357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Row],[data]]-1))*A356+SUMIFS(estoque[valor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7" s="18" t="str">
        <f>TEXT(preçodiario[[#This Row],[data]],"MMM")</f>
        <v>dez</v>
      </c>
      <c r="C357" s="18" t="str">
        <f>TEXT(preçodiario[[#This Row],[data]],"ddd")</f>
        <v>ter</v>
      </c>
      <c r="D357" s="96">
        <f>WEEKNUM(preçodiario[[#This Row],[data]],13)</f>
        <v>51</v>
      </c>
      <c r="E357" s="37">
        <v>46378</v>
      </c>
      <c r="F357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Row],[data]]))),IF(G356=0,SUMIFS(estoque[valor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Row],[data]])),((F356*G356)+SUMIFS(estoque[valor total],estoque[produto],preçodiario[[#Headers],[OVO BRANCO A]],estoque[data],preçodiario[[#This Row],[data]],estoque[fornecedor],"&lt;&gt;saída"))/(G356+(SUMIFS(estoque[quantidade],estoque[produto],preçodiario[[#Headers],[OVO BRANCO A]],estoque[fornecedor],"&lt;&gt;saída",estoque[data],preçodiario[[#This Row],[data]])))))</f>
        <v>15.278182701652089</v>
      </c>
      <c r="G357" s="22">
        <f>IF(preçodiario[[#This Row],[entrada A]]=0,G356-(SUMIFS(estoque[quantidade],estoque[fornecedor],"saída",estoque[produto],preçodiario[[#Headers],[OVO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Row],[data]]))+G356+preçodiario[[#This Row],[entrada A]])</f>
        <v>133</v>
      </c>
      <c r="H357" s="22">
        <f>SUMIFS(estoque[quantidade],estoque[fornecedor],"&lt;&gt;saída",estoque[produto],preçodiario[[#Headers],[OVO BRANCO A]],estoque[data],preçodiario[[#This Row],[data]])</f>
        <v>0</v>
      </c>
      <c r="I357" s="20">
        <f>SUMIFS(estoque[valor total],estoque[fornecedor],"&lt;&gt;saída",estoque[produto],preçodiario[[#Headers],[OVO BRANCO A]],estoque[data],preçodiario[[#This Row],[data]])</f>
        <v>0</v>
      </c>
      <c r="J357" s="20">
        <f>IFERROR(preçodiario[[#This Row],[estoque A]]*preçodiario[[#This Row],[OVO BRANCO A]],0)</f>
        <v>2031.9982993197277</v>
      </c>
      <c r="K357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Row],[data]]))),IF(L356=0,SUMIFS(estoque[valor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Row],[data]])),((K356*L356)+SUMIFS(estoque[valor total],estoque[produto],preçodiario[[#Headers],[OVO BRANCO B]],estoque[data],preçodiario[[#This Row],[data]],estoque[fornecedor],"&lt;&gt;saída"))/(L356+(SUMIFS(estoque[quantidade],estoque[produto],preçodiario[[#Headers],[OVO BRANCO B]],estoque[fornecedor],"&lt;&gt;saída",estoque[data],preçodiario[[#This Row],[data]])))))</f>
        <v>14.584252837326604</v>
      </c>
      <c r="L357" s="22">
        <f>IF(preçodiario[[#This Row],[entrada B]]=0,L356-(SUMIFS(estoque[quantidade],estoque[fornecedor],"saída",estoque[produto],preçodiario[[#Headers],[OVO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Row],[data]]))+L356+preçodiario[[#This Row],[entrada B]])</f>
        <v>16</v>
      </c>
      <c r="M357" s="22">
        <f>SUMIFS(estoque[quantidade],estoque[fornecedor],"&lt;&gt;saída",estoque[produto],preçodiario[[#Headers],[OVO BRANCO B]],estoque[data],preçodiario[[#This Row],[data]])</f>
        <v>0</v>
      </c>
      <c r="N357" s="20">
        <f>SUMIFS(estoque[valor total],estoque[fornecedor],"&lt;&gt;saída",estoque[produto],preçodiario[[#Headers],[OVO BRANCO B]],estoque[data],preçodiario[[#This Row],[data]])</f>
        <v>0</v>
      </c>
      <c r="O357" s="20">
        <f>IFERROR(preçodiario[[#This Row],[OVO BRANCO B]]*preçodiario[[#This Row],[estoque B]],0)</f>
        <v>233.34804539722566</v>
      </c>
      <c r="P357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Row],[data]]))),IF(Q356=0,SUMIFS(estoque[valor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Row],[data]])),((P356*Q356)+SUMIFS(estoque[valor total],estoque[produto],preçodiario[[#Headers],[OVO BRANCO C]],estoque[data],preçodiario[[#This Row],[data]],estoque[fornecedor],"&lt;&gt;saída"))/(Q356+(SUMIFS(estoque[quantidade],estoque[produto],preçodiario[[#Headers],[OVO BRANCO C]],estoque[fornecedor],"&lt;&gt;saída",estoque[data],preçodiario[[#This Row],[data]])))))</f>
        <v>12.5</v>
      </c>
      <c r="Q357" s="22">
        <f>IF(preçodiario[[#This Row],[entrada C]]=0,Q356-(SUMIFS(estoque[quantidade],estoque[fornecedor],"saída",estoque[produto],preçodiario[[#Headers],[OVO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Row],[data]]))+Q356+preçodiario[[#This Row],[entrada C]])</f>
        <v>60</v>
      </c>
      <c r="R357" s="22">
        <f>SUMIFS(estoque[quantidade],estoque[fornecedor],"&lt;&gt;saída",estoque[produto],preçodiario[[#Headers],[OVO BRANCO C]],estoque[data],preçodiario[[#This Row],[data]])</f>
        <v>0</v>
      </c>
      <c r="S357" s="20">
        <f>SUMIFS(estoque[valor total],estoque[fornecedor],"&lt;&gt;saída",estoque[produto],preçodiario[[#Headers],[OVO BRANCO C]],estoque[data],preçodiario[[#This Row],[data]])</f>
        <v>0</v>
      </c>
      <c r="T357" s="20">
        <f>IFERROR(preçodiario[[#This Row],[OVO BRANCO C]]*preçodiario[[#This Row],[estoque C]],0)</f>
        <v>750</v>
      </c>
      <c r="U357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Row],[data]]))),IF(V356=0,SUMIFS(estoque[valor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Row],[data]])),((U356*V356)+SUMIFS(estoque[valor total],estoque[produto],preçodiario[[#Headers],[OVO BRANCO EXTRA]],estoque[data],preçodiario[[#This Row],[data]],estoque[fornecedor],"&lt;&gt;saída"))/(V356+(SUMIFS(estoque[quantidade],estoque[produto],preçodiario[[#Headers],[OVO BRANCO EXTRA]],estoque[fornecedor],"&lt;&gt;saída",estoque[data],preçodiario[[#This Row],[data]])))))</f>
        <v>15.725438400674655</v>
      </c>
      <c r="V357" s="22">
        <f>IF(preçodiario[[#This Row],[entrada E]]=0,V356-(SUMIFS(estoque[quantidade],estoque[fornecedor],"saída",estoque[produto],preçodiario[[#Headers],[OVO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Row],[data]]))+V356+preçodiario[[#This Row],[entrada E]])</f>
        <v>46</v>
      </c>
      <c r="W357" s="22">
        <f>SUMIFS(estoque[quantidade],estoque[fornecedor],"&lt;&gt;saída",estoque[produto],preçodiario[[#Headers],[OVO BRANCO EXTRA]],estoque[data],preçodiario[[#This Row],[data]])</f>
        <v>0</v>
      </c>
      <c r="X357" s="20">
        <f>SUMIFS(estoque[valor total],estoque[fornecedor],"&lt;&gt;saída",estoque[produto],preçodiario[[#Headers],[OVO BRANCO EXTRA]],estoque[data],preçodiario[[#This Row],[data]])</f>
        <v>0</v>
      </c>
      <c r="Y357" s="20">
        <f>IFERROR(preçodiario[[#This Row],[estoque E]]*preçodiario[[#This Row],[OVO BRANCO EXTRA]],0)</f>
        <v>723.37016643103414</v>
      </c>
      <c r="Z357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Row],[data]]))),IF(AA356=0,SUMIFS(estoque[valor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Row],[data]])),((Z356*AA356)+SUMIFS(estoque[valor total],estoque[produto],preçodiario[[#Headers],[OVO BRANCO JUMBO]],estoque[data],preçodiario[[#This Row],[data]],estoque[fornecedor],"&lt;&gt;saída"))/(AA356+(SUMIFS(estoque[quantidade],estoque[produto],preçodiario[[#Headers],[OVO BRANCO JUMBO]],estoque[fornecedor],"&lt;&gt;saída",estoque[data],preçodiario[[#This Row],[data]])))))</f>
        <v>16.50550595238095</v>
      </c>
      <c r="AA357" s="22">
        <f>IF(preçodiario[[#This Row],[entrada J]]=0,AA356-(SUMIFS(estoque[quantidade],estoque[fornecedor],"saída",estoque[produto],preçodiario[[#Headers],[OVO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Row],[data]]))+AA356+preçodiario[[#This Row],[entrada J]])</f>
        <v>75</v>
      </c>
      <c r="AB357" s="22">
        <f>SUMIFS(estoque[quantidade],estoque[fornecedor],"&lt;&gt;saída",estoque[produto],preçodiario[[#Headers],[OVO BRANCO JUMBO]],estoque[data],preçodiario[[#This Row],[data]])</f>
        <v>0</v>
      </c>
      <c r="AC357" s="20">
        <f>SUMIFS(estoque[valor total],estoque[fornecedor],"&lt;&gt;saída",estoque[produto],preçodiario[[#Headers],[OVO BRANCO JUMBO]],estoque[data],preçodiario[[#This Row],[data]])</f>
        <v>0</v>
      </c>
      <c r="AD357" s="20">
        <f>IFERROR(preçodiario[[#This Row],[OVO BRANCO JUMBO]]*preçodiario[[#This Row],[estoque J]],0)</f>
        <v>1237.9129464285713</v>
      </c>
      <c r="AE357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Row],[data]]))),IF(AF356=0,SUMIFS(estoque[valor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Row],[data]])),((AE356*AF356)+SUMIFS(estoque[valor total],estoque[produto],preçodiario[[#Headers],[OVO VERMELHO A]],estoque[data],preçodiario[[#This Row],[data]],estoque[fornecedor],"&lt;&gt;saída"))/(AF356+(SUMIFS(estoque[quantidade],estoque[produto],preçodiario[[#Headers],[OVO VERMELHO A]],estoque[fornecedor],"&lt;&gt;saída",estoque[data],preçodiario[[#This Row],[data]])))))</f>
        <v/>
      </c>
      <c r="AF357" s="22">
        <f>IF(preçodiario[[#This Row],[entrada AV]]=0,AF356-(SUMIFS(estoque[quantidade],estoque[fornecedor],"saída",estoque[produto],preçodiario[[#Headers],[OVO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Row],[data]]))+AF356+preçodiario[[#This Row],[entrada AV]])</f>
        <v>0</v>
      </c>
      <c r="AG357" s="22">
        <f>SUMIFS(estoque[quantidade],estoque[fornecedor],"&lt;&gt;saída",estoque[produto],preçodiario[[#Headers],[OVO VERMELHO A]],estoque[data],preçodiario[[#This Row],[data]])</f>
        <v>0</v>
      </c>
      <c r="AH357" s="20">
        <f>SUMIFS(estoque[valor total],estoque[fornecedor],"&lt;&gt;saída",estoque[produto],preçodiario[[#Headers],[OVO VERMELHO A]],estoque[data],preçodiario[[#This Row],[data]])</f>
        <v>0</v>
      </c>
      <c r="AI357" s="20">
        <f>IFERROR(preçodiario[[#This Row],[OVO VERMELHO A]]*preçodiario[[#This Row],[estoque AV]],0)</f>
        <v>0</v>
      </c>
      <c r="AJ357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Row],[data]]))),IF(AK356=0,SUMIFS(estoque[valor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Row],[data]])),((AJ356*AK356)+SUMIFS(estoque[valor total],estoque[produto],preçodiario[[#Headers],[OVO VERMELHO B]],estoque[data],preçodiario[[#This Row],[data]],estoque[fornecedor],"&lt;&gt;saída"))/(AK356+(SUMIFS(estoque[quantidade],estoque[produto],preçodiario[[#Headers],[OVO VERMELHO B]],estoque[fornecedor],"&lt;&gt;saída",estoque[data],preçodiario[[#This Row],[data]])))))</f>
        <v/>
      </c>
      <c r="AK357" s="22">
        <f>IF(preçodiario[[#This Row],[entrada BV]]=0,AK356-(SUMIFS(estoque[quantidade],estoque[fornecedor],"saída",estoque[produto],preçodiario[[#Headers],[OVO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Row],[data]]))+AK356+preçodiario[[#This Row],[entrada BV]])</f>
        <v>0</v>
      </c>
      <c r="AL357" s="22">
        <f>SUMIFS(estoque[quantidade],estoque[fornecedor],"&lt;&gt;saída",estoque[produto],preçodiario[[#Headers],[OVO VERMELHO B]],estoque[data],preçodiario[[#This Row],[data]])</f>
        <v>0</v>
      </c>
      <c r="AM357" s="20">
        <f>SUMIFS(estoque[valor total],estoque[fornecedor],"&lt;&gt;saída",estoque[produto],preçodiario[[#Headers],[OVO VERMELHO B]],estoque[data],preçodiario[[#This Row],[data]])</f>
        <v>0</v>
      </c>
      <c r="AN357" s="20">
        <f>IFERROR(preçodiario[[#This Row],[OVO VERMELHO B]]*preçodiario[[#This Row],[estoque BV]],0)</f>
        <v>0</v>
      </c>
      <c r="AO357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Row],[data]]))),IF(AP356=0,SUMIFS(estoque[valor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Row],[data]])),((AO356*AP356)+SUMIFS(estoque[valor total],estoque[produto],preçodiario[[#Headers],[OVO VERMELHO C]],estoque[data],preçodiario[[#This Row],[data]],estoque[fornecedor],"&lt;&gt;saída"))/(AP356+(SUMIFS(estoque[quantidade],estoque[produto],preçodiario[[#Headers],[OVO VERMELHO C]],estoque[fornecedor],"&lt;&gt;saída",estoque[data],preçodiario[[#This Row],[data]])))))</f>
        <v/>
      </c>
      <c r="AP357" s="22">
        <f>IF(preçodiario[[#This Row],[entrada CV]]=0,AP356-(SUMIFS(estoque[quantidade],estoque[fornecedor],"saída",estoque[produto],preçodiario[[#Headers],[OVO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Row],[data]]))+AP356+preçodiario[[#This Row],[entrada CV]])</f>
        <v>0</v>
      </c>
      <c r="AQ357" s="22">
        <f>SUMIFS(estoque[quantidade],estoque[fornecedor],"&lt;&gt;saída",estoque[produto],preçodiario[[#Headers],[OVO VERMELHO C]],estoque[data],preçodiario[[#This Row],[data]])</f>
        <v>0</v>
      </c>
      <c r="AR357" s="20">
        <f>SUMIFS(estoque[valor total],estoque[fornecedor],"&lt;&gt;saída",estoque[produto],preçodiario[[#Headers],[OVO VERMELHO C]],estoque[data],preçodiario[[#This Row],[data]])</f>
        <v>0</v>
      </c>
      <c r="AS357" s="20">
        <f>IFERROR(preçodiario[[#This Row],[OVO VERMELHO C]]*preçodiario[[#This Row],[estoque CV]],0)</f>
        <v>0</v>
      </c>
      <c r="AT357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Row],[data]]))),IF(AU356=0,SUMIFS(estoque[valor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Row],[data]])),((AT356*AU356)+SUMIFS(estoque[valor total],estoque[produto],preçodiario[[#Headers],[OVO VERMELHO EXTRA]],estoque[data],preçodiario[[#This Row],[data]],estoque[fornecedor],"&lt;&gt;saída"))/(AU356+(SUMIFS(estoque[quantidade],estoque[produto],preçodiario[[#Headers],[OVO VERMELHO EXTRA]],estoque[fornecedor],"&lt;&gt;saída",estoque[data],preçodiario[[#This Row],[data]])))))</f>
        <v/>
      </c>
      <c r="AU357" s="22">
        <f>IF(preçodiario[[#This Row],[entrada EV]]=0,AU356-(SUMIFS(estoque[quantidade],estoque[fornecedor],"saída",estoque[produto],preçodiario[[#Headers],[OVO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Row],[data]]))+AU356+preçodiario[[#This Row],[entrada EV]])</f>
        <v>0</v>
      </c>
      <c r="AV357" s="22">
        <f>SUMIFS(estoque[quantidade],estoque[fornecedor],"&lt;&gt;saída",estoque[produto],preçodiario[[#Headers],[OVO VERMELHO EXTRA]],estoque[data],preçodiario[[#This Row],[data]])</f>
        <v>0</v>
      </c>
      <c r="AW357" s="20">
        <f>SUMIFS(estoque[valor total],estoque[fornecedor],"&lt;&gt;saída",estoque[produto],preçodiario[[#Headers],[OVO VERMELHO EXTRA]],estoque[data],preçodiario[[#This Row],[data]])</f>
        <v>0</v>
      </c>
      <c r="AX357" s="20">
        <f>IFERROR(preçodiario[[#This Row],[OVO VERMELHO EXTRA]]*preçodiario[[#This Row],[estoque EV]],0)</f>
        <v>0</v>
      </c>
      <c r="AY357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Row],[data]]))),IF(AZ356=0,SUMIFS(estoque[valor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Row],[data]])),((AY356*AZ356)+SUMIFS(estoque[valor total],estoque[produto],preçodiario[[#Headers],[OVO VERMELHO JUMBO]],estoque[data],preçodiario[[#This Row],[data]],estoque[fornecedor],"&lt;&gt;saída"))/(AZ356+(SUMIFS(estoque[quantidade],estoque[produto],preçodiario[[#Headers],[OVO VERMELHO JUMBO]],estoque[fornecedor],"&lt;&gt;saída",estoque[data],preçodiario[[#This Row],[data]])))))</f>
        <v/>
      </c>
      <c r="AZ357" s="22">
        <f>IF(preçodiario[[#This Row],[entrada JV]]=0,AZ356-(SUMIFS(estoque[quantidade],estoque[fornecedor],"saída",estoque[produto],preçodiario[[#Headers],[OVO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Row],[data]]))+AZ356+preçodiario[[#This Row],[entrada JV]])</f>
        <v>0</v>
      </c>
      <c r="BA357" s="22">
        <f>SUMIFS(estoque[quantidade],estoque[fornecedor],"&lt;&gt;saída",estoque[produto],preçodiario[[#Headers],[OVO VERMELHO JUMBO]],estoque[data],preçodiario[[#This Row],[data]])</f>
        <v>0</v>
      </c>
      <c r="BB357" s="20">
        <f>SUMIFS(estoque[valor total],estoque[fornecedor],"&lt;&gt;saída",estoque[produto],preçodiario[[#Headers],[OVO VERMELHO JUMBO]],estoque[data],preçodiario[[#This Row],[data]])</f>
        <v>0</v>
      </c>
      <c r="BC357" s="20">
        <f>IFERROR(preçodiario[[#This Row],[OVO VERMELHO JUMBO]]*preçodiario[[#This Row],[estoque JV]],0)</f>
        <v>0</v>
      </c>
      <c r="BD357" t="str">
        <f>TEXT(vendaAno[[#This Row],[data]],"mmm")</f>
        <v>dez</v>
      </c>
      <c r="BE357" t="str">
        <f>TEXT(vendaAno[[#This Row],[data]],"ddd")</f>
        <v>ter</v>
      </c>
      <c r="BF357" s="82">
        <f>WEEKNUM(vendaAno[[#This Row],[data]],13)</f>
        <v>51</v>
      </c>
      <c r="BG357" s="27">
        <f>preçodiario[[#This Row],[data]]</f>
        <v>46378</v>
      </c>
      <c r="BH357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7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7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Row],[data]]))/12+BJ356,"")</f>
        <v/>
      </c>
      <c r="BK357" s="79" t="str">
        <f ca="1">IF(TODAY()&gt;=vendaAno[[#This Row],[data]],IF(SUMIFS(estoque[quantidade],estoque[fornecedor],"saída",estoque[data],vendaAno[[#This Row],[data]])/12=0,AVERAGE(BK354:BK356),SUMIFS(estoque[quantidade],estoque[fornecedor],"saída",estoque[data],vendaAno[[#This Row],[data]])/12),"")</f>
        <v/>
      </c>
      <c r="BL357" s="8" t="str">
        <f ca="1">IF(vendaAno[[#This Row],[data]]&lt;=TODAY(),IF(SUMIFS(estoque[lucro],estoque[fornecedor],"saída",estoque[data],vendaAno[[#This Row],[data]])=0,AVERAGE(BL354:BL356),SUMIFS(estoque[lucro],estoque[fornecedor],"saída",estoque[data],vendaAno[[#This Row],[data]])),"")</f>
        <v/>
      </c>
      <c r="BM357" s="10" t="str">
        <f ca="1">IFERROR(vendaAno[[#This Row],[lucro]]/vendaAno[[#This Row],[valor de venda]],"")</f>
        <v/>
      </c>
      <c r="BN357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7" s="8" t="str">
        <f ca="1">IF(TODAY()&gt;=vendaAno[[#This Row],[data]],IF(vendaAno[[#This Row],[N°]]=BF356,vendaAno[[#This Row],[lucro]]-173.33+BO356,vendaAno[[#This Row],[lucro]]-150),"")</f>
        <v/>
      </c>
      <c r="BP357" s="81" t="str">
        <f ca="1">IF(TODAY()&gt;=vendaAno[[#This Row],[data]],SUM(BK351:BK357)*12,"")</f>
        <v/>
      </c>
      <c r="BQ357" s="7" t="str">
        <f ca="1">IFERROR(vendaAno[[#This Row],[lucro]]/(vendaAno[[#This Row],[venda]]*12),"")</f>
        <v/>
      </c>
    </row>
    <row r="358" spans="1:69" x14ac:dyDescent="0.25">
      <c r="A358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Row],[data]]-1))*A357+SUMIFS(estoque[valor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8" s="18" t="str">
        <f>TEXT(preçodiario[[#This Row],[data]],"MMM")</f>
        <v>dez</v>
      </c>
      <c r="C358" s="18" t="str">
        <f>TEXT(preçodiario[[#This Row],[data]],"ddd")</f>
        <v>qua</v>
      </c>
      <c r="D358" s="96">
        <f>WEEKNUM(preçodiario[[#This Row],[data]],13)</f>
        <v>52</v>
      </c>
      <c r="E358" s="37">
        <v>46379</v>
      </c>
      <c r="F358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Row],[data]]))),IF(G357=0,SUMIFS(estoque[valor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Row],[data]])),((F357*G357)+SUMIFS(estoque[valor total],estoque[produto],preçodiario[[#Headers],[OVO BRANCO A]],estoque[data],preçodiario[[#This Row],[data]],estoque[fornecedor],"&lt;&gt;saída"))/(G357+(SUMIFS(estoque[quantidade],estoque[produto],preçodiario[[#Headers],[OVO BRANCO A]],estoque[fornecedor],"&lt;&gt;saída",estoque[data],preçodiario[[#This Row],[data]])))))</f>
        <v>15.278182701652089</v>
      </c>
      <c r="G358" s="22">
        <f>IF(preçodiario[[#This Row],[entrada A]]=0,G357-(SUMIFS(estoque[quantidade],estoque[fornecedor],"saída",estoque[produto],preçodiario[[#Headers],[OVO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Row],[data]]))+G357+preçodiario[[#This Row],[entrada A]])</f>
        <v>133</v>
      </c>
      <c r="H358" s="22">
        <f>SUMIFS(estoque[quantidade],estoque[fornecedor],"&lt;&gt;saída",estoque[produto],preçodiario[[#Headers],[OVO BRANCO A]],estoque[data],preçodiario[[#This Row],[data]])</f>
        <v>0</v>
      </c>
      <c r="I358" s="20">
        <f>SUMIFS(estoque[valor total],estoque[fornecedor],"&lt;&gt;saída",estoque[produto],preçodiario[[#Headers],[OVO BRANCO A]],estoque[data],preçodiario[[#This Row],[data]])</f>
        <v>0</v>
      </c>
      <c r="J358" s="20">
        <f>IFERROR(preçodiario[[#This Row],[estoque A]]*preçodiario[[#This Row],[OVO BRANCO A]],0)</f>
        <v>2031.9982993197277</v>
      </c>
      <c r="K358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Row],[data]]))),IF(L357=0,SUMIFS(estoque[valor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Row],[data]])),((K357*L357)+SUMIFS(estoque[valor total],estoque[produto],preçodiario[[#Headers],[OVO BRANCO B]],estoque[data],preçodiario[[#This Row],[data]],estoque[fornecedor],"&lt;&gt;saída"))/(L357+(SUMIFS(estoque[quantidade],estoque[produto],preçodiario[[#Headers],[OVO BRANCO B]],estoque[fornecedor],"&lt;&gt;saída",estoque[data],preçodiario[[#This Row],[data]])))))</f>
        <v>14.584252837326604</v>
      </c>
      <c r="L358" s="22">
        <f>IF(preçodiario[[#This Row],[entrada B]]=0,L357-(SUMIFS(estoque[quantidade],estoque[fornecedor],"saída",estoque[produto],preçodiario[[#Headers],[OVO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Row],[data]]))+L357+preçodiario[[#This Row],[entrada B]])</f>
        <v>16</v>
      </c>
      <c r="M358" s="22">
        <f>SUMIFS(estoque[quantidade],estoque[fornecedor],"&lt;&gt;saída",estoque[produto],preçodiario[[#Headers],[OVO BRANCO B]],estoque[data],preçodiario[[#This Row],[data]])</f>
        <v>0</v>
      </c>
      <c r="N358" s="20">
        <f>SUMIFS(estoque[valor total],estoque[fornecedor],"&lt;&gt;saída",estoque[produto],preçodiario[[#Headers],[OVO BRANCO B]],estoque[data],preçodiario[[#This Row],[data]])</f>
        <v>0</v>
      </c>
      <c r="O358" s="20">
        <f>IFERROR(preçodiario[[#This Row],[OVO BRANCO B]]*preçodiario[[#This Row],[estoque B]],0)</f>
        <v>233.34804539722566</v>
      </c>
      <c r="P358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Row],[data]]))),IF(Q357=0,SUMIFS(estoque[valor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Row],[data]])),((P357*Q357)+SUMIFS(estoque[valor total],estoque[produto],preçodiario[[#Headers],[OVO BRANCO C]],estoque[data],preçodiario[[#This Row],[data]],estoque[fornecedor],"&lt;&gt;saída"))/(Q357+(SUMIFS(estoque[quantidade],estoque[produto],preçodiario[[#Headers],[OVO BRANCO C]],estoque[fornecedor],"&lt;&gt;saída",estoque[data],preçodiario[[#This Row],[data]])))))</f>
        <v>12.5</v>
      </c>
      <c r="Q358" s="22">
        <f>IF(preçodiario[[#This Row],[entrada C]]=0,Q357-(SUMIFS(estoque[quantidade],estoque[fornecedor],"saída",estoque[produto],preçodiario[[#Headers],[OVO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Row],[data]]))+Q357+preçodiario[[#This Row],[entrada C]])</f>
        <v>60</v>
      </c>
      <c r="R358" s="22">
        <f>SUMIFS(estoque[quantidade],estoque[fornecedor],"&lt;&gt;saída",estoque[produto],preçodiario[[#Headers],[OVO BRANCO C]],estoque[data],preçodiario[[#This Row],[data]])</f>
        <v>0</v>
      </c>
      <c r="S358" s="20">
        <f>SUMIFS(estoque[valor total],estoque[fornecedor],"&lt;&gt;saída",estoque[produto],preçodiario[[#Headers],[OVO BRANCO C]],estoque[data],preçodiario[[#This Row],[data]])</f>
        <v>0</v>
      </c>
      <c r="T358" s="20">
        <f>IFERROR(preçodiario[[#This Row],[OVO BRANCO C]]*preçodiario[[#This Row],[estoque C]],0)</f>
        <v>750</v>
      </c>
      <c r="U358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Row],[data]]))),IF(V357=0,SUMIFS(estoque[valor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Row],[data]])),((U357*V357)+SUMIFS(estoque[valor total],estoque[produto],preçodiario[[#Headers],[OVO BRANCO EXTRA]],estoque[data],preçodiario[[#This Row],[data]],estoque[fornecedor],"&lt;&gt;saída"))/(V357+(SUMIFS(estoque[quantidade],estoque[produto],preçodiario[[#Headers],[OVO BRANCO EXTRA]],estoque[fornecedor],"&lt;&gt;saída",estoque[data],preçodiario[[#This Row],[data]])))))</f>
        <v>15.725438400674655</v>
      </c>
      <c r="V358" s="22">
        <f>IF(preçodiario[[#This Row],[entrada E]]=0,V357-(SUMIFS(estoque[quantidade],estoque[fornecedor],"saída",estoque[produto],preçodiario[[#Headers],[OVO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Row],[data]]))+V357+preçodiario[[#This Row],[entrada E]])</f>
        <v>46</v>
      </c>
      <c r="W358" s="22">
        <f>SUMIFS(estoque[quantidade],estoque[fornecedor],"&lt;&gt;saída",estoque[produto],preçodiario[[#Headers],[OVO BRANCO EXTRA]],estoque[data],preçodiario[[#This Row],[data]])</f>
        <v>0</v>
      </c>
      <c r="X358" s="20">
        <f>SUMIFS(estoque[valor total],estoque[fornecedor],"&lt;&gt;saída",estoque[produto],preçodiario[[#Headers],[OVO BRANCO EXTRA]],estoque[data],preçodiario[[#This Row],[data]])</f>
        <v>0</v>
      </c>
      <c r="Y358" s="20">
        <f>IFERROR(preçodiario[[#This Row],[estoque E]]*preçodiario[[#This Row],[OVO BRANCO EXTRA]],0)</f>
        <v>723.37016643103414</v>
      </c>
      <c r="Z358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Row],[data]]))),IF(AA357=0,SUMIFS(estoque[valor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Row],[data]])),((Z357*AA357)+SUMIFS(estoque[valor total],estoque[produto],preçodiario[[#Headers],[OVO BRANCO JUMBO]],estoque[data],preçodiario[[#This Row],[data]],estoque[fornecedor],"&lt;&gt;saída"))/(AA357+(SUMIFS(estoque[quantidade],estoque[produto],preçodiario[[#Headers],[OVO BRANCO JUMBO]],estoque[fornecedor],"&lt;&gt;saída",estoque[data],preçodiario[[#This Row],[data]])))))</f>
        <v>16.50550595238095</v>
      </c>
      <c r="AA358" s="22">
        <f>IF(preçodiario[[#This Row],[entrada J]]=0,AA357-(SUMIFS(estoque[quantidade],estoque[fornecedor],"saída",estoque[produto],preçodiario[[#Headers],[OVO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Row],[data]]))+AA357+preçodiario[[#This Row],[entrada J]])</f>
        <v>75</v>
      </c>
      <c r="AB358" s="22">
        <f>SUMIFS(estoque[quantidade],estoque[fornecedor],"&lt;&gt;saída",estoque[produto],preçodiario[[#Headers],[OVO BRANCO JUMBO]],estoque[data],preçodiario[[#This Row],[data]])</f>
        <v>0</v>
      </c>
      <c r="AC358" s="20">
        <f>SUMIFS(estoque[valor total],estoque[fornecedor],"&lt;&gt;saída",estoque[produto],preçodiario[[#Headers],[OVO BRANCO JUMBO]],estoque[data],preçodiario[[#This Row],[data]])</f>
        <v>0</v>
      </c>
      <c r="AD358" s="20">
        <f>IFERROR(preçodiario[[#This Row],[OVO BRANCO JUMBO]]*preçodiario[[#This Row],[estoque J]],0)</f>
        <v>1237.9129464285713</v>
      </c>
      <c r="AE358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Row],[data]]))),IF(AF357=0,SUMIFS(estoque[valor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Row],[data]])),((AE357*AF357)+SUMIFS(estoque[valor total],estoque[produto],preçodiario[[#Headers],[OVO VERMELHO A]],estoque[data],preçodiario[[#This Row],[data]],estoque[fornecedor],"&lt;&gt;saída"))/(AF357+(SUMIFS(estoque[quantidade],estoque[produto],preçodiario[[#Headers],[OVO VERMELHO A]],estoque[fornecedor],"&lt;&gt;saída",estoque[data],preçodiario[[#This Row],[data]])))))</f>
        <v/>
      </c>
      <c r="AF358" s="22">
        <f>IF(preçodiario[[#This Row],[entrada AV]]=0,AF357-(SUMIFS(estoque[quantidade],estoque[fornecedor],"saída",estoque[produto],preçodiario[[#Headers],[OVO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Row],[data]]))+AF357+preçodiario[[#This Row],[entrada AV]])</f>
        <v>0</v>
      </c>
      <c r="AG358" s="22">
        <f>SUMIFS(estoque[quantidade],estoque[fornecedor],"&lt;&gt;saída",estoque[produto],preçodiario[[#Headers],[OVO VERMELHO A]],estoque[data],preçodiario[[#This Row],[data]])</f>
        <v>0</v>
      </c>
      <c r="AH358" s="20">
        <f>SUMIFS(estoque[valor total],estoque[fornecedor],"&lt;&gt;saída",estoque[produto],preçodiario[[#Headers],[OVO VERMELHO A]],estoque[data],preçodiario[[#This Row],[data]])</f>
        <v>0</v>
      </c>
      <c r="AI358" s="20">
        <f>IFERROR(preçodiario[[#This Row],[OVO VERMELHO A]]*preçodiario[[#This Row],[estoque AV]],0)</f>
        <v>0</v>
      </c>
      <c r="AJ358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Row],[data]]))),IF(AK357=0,SUMIFS(estoque[valor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Row],[data]])),((AJ357*AK357)+SUMIFS(estoque[valor total],estoque[produto],preçodiario[[#Headers],[OVO VERMELHO B]],estoque[data],preçodiario[[#This Row],[data]],estoque[fornecedor],"&lt;&gt;saída"))/(AK357+(SUMIFS(estoque[quantidade],estoque[produto],preçodiario[[#Headers],[OVO VERMELHO B]],estoque[fornecedor],"&lt;&gt;saída",estoque[data],preçodiario[[#This Row],[data]])))))</f>
        <v/>
      </c>
      <c r="AK358" s="22">
        <f>IF(preçodiario[[#This Row],[entrada BV]]=0,AK357-(SUMIFS(estoque[quantidade],estoque[fornecedor],"saída",estoque[produto],preçodiario[[#Headers],[OVO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Row],[data]]))+AK357+preçodiario[[#This Row],[entrada BV]])</f>
        <v>0</v>
      </c>
      <c r="AL358" s="22">
        <f>SUMIFS(estoque[quantidade],estoque[fornecedor],"&lt;&gt;saída",estoque[produto],preçodiario[[#Headers],[OVO VERMELHO B]],estoque[data],preçodiario[[#This Row],[data]])</f>
        <v>0</v>
      </c>
      <c r="AM358" s="20">
        <f>SUMIFS(estoque[valor total],estoque[fornecedor],"&lt;&gt;saída",estoque[produto],preçodiario[[#Headers],[OVO VERMELHO B]],estoque[data],preçodiario[[#This Row],[data]])</f>
        <v>0</v>
      </c>
      <c r="AN358" s="20">
        <f>IFERROR(preçodiario[[#This Row],[OVO VERMELHO B]]*preçodiario[[#This Row],[estoque BV]],0)</f>
        <v>0</v>
      </c>
      <c r="AO358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Row],[data]]))),IF(AP357=0,SUMIFS(estoque[valor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Row],[data]])),((AO357*AP357)+SUMIFS(estoque[valor total],estoque[produto],preçodiario[[#Headers],[OVO VERMELHO C]],estoque[data],preçodiario[[#This Row],[data]],estoque[fornecedor],"&lt;&gt;saída"))/(AP357+(SUMIFS(estoque[quantidade],estoque[produto],preçodiario[[#Headers],[OVO VERMELHO C]],estoque[fornecedor],"&lt;&gt;saída",estoque[data],preçodiario[[#This Row],[data]])))))</f>
        <v/>
      </c>
      <c r="AP358" s="22">
        <f>IF(preçodiario[[#This Row],[entrada CV]]=0,AP357-(SUMIFS(estoque[quantidade],estoque[fornecedor],"saída",estoque[produto],preçodiario[[#Headers],[OVO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Row],[data]]))+AP357+preçodiario[[#This Row],[entrada CV]])</f>
        <v>0</v>
      </c>
      <c r="AQ358" s="22">
        <f>SUMIFS(estoque[quantidade],estoque[fornecedor],"&lt;&gt;saída",estoque[produto],preçodiario[[#Headers],[OVO VERMELHO C]],estoque[data],preçodiario[[#This Row],[data]])</f>
        <v>0</v>
      </c>
      <c r="AR358" s="20">
        <f>SUMIFS(estoque[valor total],estoque[fornecedor],"&lt;&gt;saída",estoque[produto],preçodiario[[#Headers],[OVO VERMELHO C]],estoque[data],preçodiario[[#This Row],[data]])</f>
        <v>0</v>
      </c>
      <c r="AS358" s="20">
        <f>IFERROR(preçodiario[[#This Row],[OVO VERMELHO C]]*preçodiario[[#This Row],[estoque CV]],0)</f>
        <v>0</v>
      </c>
      <c r="AT358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Row],[data]]))),IF(AU357=0,SUMIFS(estoque[valor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Row],[data]])),((AT357*AU357)+SUMIFS(estoque[valor total],estoque[produto],preçodiario[[#Headers],[OVO VERMELHO EXTRA]],estoque[data],preçodiario[[#This Row],[data]],estoque[fornecedor],"&lt;&gt;saída"))/(AU357+(SUMIFS(estoque[quantidade],estoque[produto],preçodiario[[#Headers],[OVO VERMELHO EXTRA]],estoque[fornecedor],"&lt;&gt;saída",estoque[data],preçodiario[[#This Row],[data]])))))</f>
        <v/>
      </c>
      <c r="AU358" s="22">
        <f>IF(preçodiario[[#This Row],[entrada EV]]=0,AU357-(SUMIFS(estoque[quantidade],estoque[fornecedor],"saída",estoque[produto],preçodiario[[#Headers],[OVO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Row],[data]]))+AU357+preçodiario[[#This Row],[entrada EV]])</f>
        <v>0</v>
      </c>
      <c r="AV358" s="22">
        <f>SUMIFS(estoque[quantidade],estoque[fornecedor],"&lt;&gt;saída",estoque[produto],preçodiario[[#Headers],[OVO VERMELHO EXTRA]],estoque[data],preçodiario[[#This Row],[data]])</f>
        <v>0</v>
      </c>
      <c r="AW358" s="20">
        <f>SUMIFS(estoque[valor total],estoque[fornecedor],"&lt;&gt;saída",estoque[produto],preçodiario[[#Headers],[OVO VERMELHO EXTRA]],estoque[data],preçodiario[[#This Row],[data]])</f>
        <v>0</v>
      </c>
      <c r="AX358" s="20">
        <f>IFERROR(preçodiario[[#This Row],[OVO VERMELHO EXTRA]]*preçodiario[[#This Row],[estoque EV]],0)</f>
        <v>0</v>
      </c>
      <c r="AY358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Row],[data]]))),IF(AZ357=0,SUMIFS(estoque[valor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Row],[data]])),((AY357*AZ357)+SUMIFS(estoque[valor total],estoque[produto],preçodiario[[#Headers],[OVO VERMELHO JUMBO]],estoque[data],preçodiario[[#This Row],[data]],estoque[fornecedor],"&lt;&gt;saída"))/(AZ357+(SUMIFS(estoque[quantidade],estoque[produto],preçodiario[[#Headers],[OVO VERMELHO JUMBO]],estoque[fornecedor],"&lt;&gt;saída",estoque[data],preçodiario[[#This Row],[data]])))))</f>
        <v/>
      </c>
      <c r="AZ358" s="22">
        <f>IF(preçodiario[[#This Row],[entrada JV]]=0,AZ357-(SUMIFS(estoque[quantidade],estoque[fornecedor],"saída",estoque[produto],preçodiario[[#Headers],[OVO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Row],[data]]))+AZ357+preçodiario[[#This Row],[entrada JV]])</f>
        <v>0</v>
      </c>
      <c r="BA358" s="22">
        <f>SUMIFS(estoque[quantidade],estoque[fornecedor],"&lt;&gt;saída",estoque[produto],preçodiario[[#Headers],[OVO VERMELHO JUMBO]],estoque[data],preçodiario[[#This Row],[data]])</f>
        <v>0</v>
      </c>
      <c r="BB358" s="20">
        <f>SUMIFS(estoque[valor total],estoque[fornecedor],"&lt;&gt;saída",estoque[produto],preçodiario[[#Headers],[OVO VERMELHO JUMBO]],estoque[data],preçodiario[[#This Row],[data]])</f>
        <v>0</v>
      </c>
      <c r="BC358" s="20">
        <f>IFERROR(preçodiario[[#This Row],[OVO VERMELHO JUMBO]]*preçodiario[[#This Row],[estoque JV]],0)</f>
        <v>0</v>
      </c>
      <c r="BD358" t="str">
        <f>TEXT(vendaAno[[#This Row],[data]],"mmm")</f>
        <v>dez</v>
      </c>
      <c r="BE358" t="str">
        <f>TEXT(vendaAno[[#This Row],[data]],"ddd")</f>
        <v>qua</v>
      </c>
      <c r="BF358" s="82">
        <f>WEEKNUM(vendaAno[[#This Row],[data]],13)</f>
        <v>52</v>
      </c>
      <c r="BG358" s="27">
        <f>preçodiario[[#This Row],[data]]</f>
        <v>46379</v>
      </c>
      <c r="BH358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8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8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Row],[data]]))/12+BJ357,"")</f>
        <v/>
      </c>
      <c r="BK358" s="79" t="str">
        <f ca="1">IF(TODAY()&gt;=vendaAno[[#This Row],[data]],IF(SUMIFS(estoque[quantidade],estoque[fornecedor],"saída",estoque[data],vendaAno[[#This Row],[data]])/12=0,AVERAGE(BK355:BK357),SUMIFS(estoque[quantidade],estoque[fornecedor],"saída",estoque[data],vendaAno[[#This Row],[data]])/12),"")</f>
        <v/>
      </c>
      <c r="BL358" s="8" t="str">
        <f ca="1">IF(vendaAno[[#This Row],[data]]&lt;=TODAY(),IF(SUMIFS(estoque[lucro],estoque[fornecedor],"saída",estoque[data],vendaAno[[#This Row],[data]])=0,AVERAGE(BL355:BL357),SUMIFS(estoque[lucro],estoque[fornecedor],"saída",estoque[data],vendaAno[[#This Row],[data]])),"")</f>
        <v/>
      </c>
      <c r="BM358" s="10" t="str">
        <f ca="1">IFERROR(vendaAno[[#This Row],[lucro]]/vendaAno[[#This Row],[valor de venda]],"")</f>
        <v/>
      </c>
      <c r="BN358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8" s="8" t="str">
        <f ca="1">IF(TODAY()&gt;=vendaAno[[#This Row],[data]],IF(vendaAno[[#This Row],[N°]]=BF357,vendaAno[[#This Row],[lucro]]-173.33+BO357,vendaAno[[#This Row],[lucro]]-150),"")</f>
        <v/>
      </c>
      <c r="BP358" s="81" t="str">
        <f ca="1">IF(TODAY()&gt;=vendaAno[[#This Row],[data]],SUM(BK352:BK358)*12,"")</f>
        <v/>
      </c>
      <c r="BQ358" s="7" t="str">
        <f ca="1">IFERROR(vendaAno[[#This Row],[lucro]]/(vendaAno[[#This Row],[venda]]*12),"")</f>
        <v/>
      </c>
    </row>
    <row r="359" spans="1:69" x14ac:dyDescent="0.25">
      <c r="A359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Row],[data]]-1))*A358+SUMIFS(estoque[valor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59" s="18" t="str">
        <f>TEXT(preçodiario[[#This Row],[data]],"MMM")</f>
        <v>dez</v>
      </c>
      <c r="C359" s="18" t="str">
        <f>TEXT(preçodiario[[#This Row],[data]],"ddd")</f>
        <v>qui</v>
      </c>
      <c r="D359" s="96">
        <f>WEEKNUM(preçodiario[[#This Row],[data]],13)</f>
        <v>52</v>
      </c>
      <c r="E359" s="37">
        <v>46380</v>
      </c>
      <c r="F359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Row],[data]]))),IF(G358=0,SUMIFS(estoque[valor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Row],[data]])),((F358*G358)+SUMIFS(estoque[valor total],estoque[produto],preçodiario[[#Headers],[OVO BRANCO A]],estoque[data],preçodiario[[#This Row],[data]],estoque[fornecedor],"&lt;&gt;saída"))/(G358+(SUMIFS(estoque[quantidade],estoque[produto],preçodiario[[#Headers],[OVO BRANCO A]],estoque[fornecedor],"&lt;&gt;saída",estoque[data],preçodiario[[#This Row],[data]])))))</f>
        <v>15.278182701652089</v>
      </c>
      <c r="G359" s="22">
        <f>IF(preçodiario[[#This Row],[entrada A]]=0,G358-(SUMIFS(estoque[quantidade],estoque[fornecedor],"saída",estoque[produto],preçodiario[[#Headers],[OVO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Row],[data]]))+G358+preçodiario[[#This Row],[entrada A]])</f>
        <v>133</v>
      </c>
      <c r="H359" s="22">
        <f>SUMIFS(estoque[quantidade],estoque[fornecedor],"&lt;&gt;saída",estoque[produto],preçodiario[[#Headers],[OVO BRANCO A]],estoque[data],preçodiario[[#This Row],[data]])</f>
        <v>0</v>
      </c>
      <c r="I359" s="20">
        <f>SUMIFS(estoque[valor total],estoque[fornecedor],"&lt;&gt;saída",estoque[produto],preçodiario[[#Headers],[OVO BRANCO A]],estoque[data],preçodiario[[#This Row],[data]])</f>
        <v>0</v>
      </c>
      <c r="J359" s="20">
        <f>IFERROR(preçodiario[[#This Row],[estoque A]]*preçodiario[[#This Row],[OVO BRANCO A]],0)</f>
        <v>2031.9982993197277</v>
      </c>
      <c r="K359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Row],[data]]))),IF(L358=0,SUMIFS(estoque[valor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Row],[data]])),((K358*L358)+SUMIFS(estoque[valor total],estoque[produto],preçodiario[[#Headers],[OVO BRANCO B]],estoque[data],preçodiario[[#This Row],[data]],estoque[fornecedor],"&lt;&gt;saída"))/(L358+(SUMIFS(estoque[quantidade],estoque[produto],preçodiario[[#Headers],[OVO BRANCO B]],estoque[fornecedor],"&lt;&gt;saída",estoque[data],preçodiario[[#This Row],[data]])))))</f>
        <v>14.584252837326604</v>
      </c>
      <c r="L359" s="22">
        <f>IF(preçodiario[[#This Row],[entrada B]]=0,L358-(SUMIFS(estoque[quantidade],estoque[fornecedor],"saída",estoque[produto],preçodiario[[#Headers],[OVO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Row],[data]]))+L358+preçodiario[[#This Row],[entrada B]])</f>
        <v>16</v>
      </c>
      <c r="M359" s="22">
        <f>SUMIFS(estoque[quantidade],estoque[fornecedor],"&lt;&gt;saída",estoque[produto],preçodiario[[#Headers],[OVO BRANCO B]],estoque[data],preçodiario[[#This Row],[data]])</f>
        <v>0</v>
      </c>
      <c r="N359" s="20">
        <f>SUMIFS(estoque[valor total],estoque[fornecedor],"&lt;&gt;saída",estoque[produto],preçodiario[[#Headers],[OVO BRANCO B]],estoque[data],preçodiario[[#This Row],[data]])</f>
        <v>0</v>
      </c>
      <c r="O359" s="20">
        <f>IFERROR(preçodiario[[#This Row],[OVO BRANCO B]]*preçodiario[[#This Row],[estoque B]],0)</f>
        <v>233.34804539722566</v>
      </c>
      <c r="P359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Row],[data]]))),IF(Q358=0,SUMIFS(estoque[valor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Row],[data]])),((P358*Q358)+SUMIFS(estoque[valor total],estoque[produto],preçodiario[[#Headers],[OVO BRANCO C]],estoque[data],preçodiario[[#This Row],[data]],estoque[fornecedor],"&lt;&gt;saída"))/(Q358+(SUMIFS(estoque[quantidade],estoque[produto],preçodiario[[#Headers],[OVO BRANCO C]],estoque[fornecedor],"&lt;&gt;saída",estoque[data],preçodiario[[#This Row],[data]])))))</f>
        <v>12.5</v>
      </c>
      <c r="Q359" s="22">
        <f>IF(preçodiario[[#This Row],[entrada C]]=0,Q358-(SUMIFS(estoque[quantidade],estoque[fornecedor],"saída",estoque[produto],preçodiario[[#Headers],[OVO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Row],[data]]))+Q358+preçodiario[[#This Row],[entrada C]])</f>
        <v>60</v>
      </c>
      <c r="R359" s="22">
        <f>SUMIFS(estoque[quantidade],estoque[fornecedor],"&lt;&gt;saída",estoque[produto],preçodiario[[#Headers],[OVO BRANCO C]],estoque[data],preçodiario[[#This Row],[data]])</f>
        <v>0</v>
      </c>
      <c r="S359" s="20">
        <f>SUMIFS(estoque[valor total],estoque[fornecedor],"&lt;&gt;saída",estoque[produto],preçodiario[[#Headers],[OVO BRANCO C]],estoque[data],preçodiario[[#This Row],[data]])</f>
        <v>0</v>
      </c>
      <c r="T359" s="20">
        <f>IFERROR(preçodiario[[#This Row],[OVO BRANCO C]]*preçodiario[[#This Row],[estoque C]],0)</f>
        <v>750</v>
      </c>
      <c r="U359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Row],[data]]))),IF(V358=0,SUMIFS(estoque[valor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Row],[data]])),((U358*V358)+SUMIFS(estoque[valor total],estoque[produto],preçodiario[[#Headers],[OVO BRANCO EXTRA]],estoque[data],preçodiario[[#This Row],[data]],estoque[fornecedor],"&lt;&gt;saída"))/(V358+(SUMIFS(estoque[quantidade],estoque[produto],preçodiario[[#Headers],[OVO BRANCO EXTRA]],estoque[fornecedor],"&lt;&gt;saída",estoque[data],preçodiario[[#This Row],[data]])))))</f>
        <v>15.725438400674655</v>
      </c>
      <c r="V359" s="22">
        <f>IF(preçodiario[[#This Row],[entrada E]]=0,V358-(SUMIFS(estoque[quantidade],estoque[fornecedor],"saída",estoque[produto],preçodiario[[#Headers],[OVO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Row],[data]]))+V358+preçodiario[[#This Row],[entrada E]])</f>
        <v>46</v>
      </c>
      <c r="W359" s="22">
        <f>SUMIFS(estoque[quantidade],estoque[fornecedor],"&lt;&gt;saída",estoque[produto],preçodiario[[#Headers],[OVO BRANCO EXTRA]],estoque[data],preçodiario[[#This Row],[data]])</f>
        <v>0</v>
      </c>
      <c r="X359" s="20">
        <f>SUMIFS(estoque[valor total],estoque[fornecedor],"&lt;&gt;saída",estoque[produto],preçodiario[[#Headers],[OVO BRANCO EXTRA]],estoque[data],preçodiario[[#This Row],[data]])</f>
        <v>0</v>
      </c>
      <c r="Y359" s="20">
        <f>IFERROR(preçodiario[[#This Row],[estoque E]]*preçodiario[[#This Row],[OVO BRANCO EXTRA]],0)</f>
        <v>723.37016643103414</v>
      </c>
      <c r="Z359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Row],[data]]))),IF(AA358=0,SUMIFS(estoque[valor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Row],[data]])),((Z358*AA358)+SUMIFS(estoque[valor total],estoque[produto],preçodiario[[#Headers],[OVO BRANCO JUMBO]],estoque[data],preçodiario[[#This Row],[data]],estoque[fornecedor],"&lt;&gt;saída"))/(AA358+(SUMIFS(estoque[quantidade],estoque[produto],preçodiario[[#Headers],[OVO BRANCO JUMBO]],estoque[fornecedor],"&lt;&gt;saída",estoque[data],preçodiario[[#This Row],[data]])))))</f>
        <v>16.50550595238095</v>
      </c>
      <c r="AA359" s="22">
        <f>IF(preçodiario[[#This Row],[entrada J]]=0,AA358-(SUMIFS(estoque[quantidade],estoque[fornecedor],"saída",estoque[produto],preçodiario[[#Headers],[OVO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Row],[data]]))+AA358+preçodiario[[#This Row],[entrada J]])</f>
        <v>75</v>
      </c>
      <c r="AB359" s="22">
        <f>SUMIFS(estoque[quantidade],estoque[fornecedor],"&lt;&gt;saída",estoque[produto],preçodiario[[#Headers],[OVO BRANCO JUMBO]],estoque[data],preçodiario[[#This Row],[data]])</f>
        <v>0</v>
      </c>
      <c r="AC359" s="20">
        <f>SUMIFS(estoque[valor total],estoque[fornecedor],"&lt;&gt;saída",estoque[produto],preçodiario[[#Headers],[OVO BRANCO JUMBO]],estoque[data],preçodiario[[#This Row],[data]])</f>
        <v>0</v>
      </c>
      <c r="AD359" s="20">
        <f>IFERROR(preçodiario[[#This Row],[OVO BRANCO JUMBO]]*preçodiario[[#This Row],[estoque J]],0)</f>
        <v>1237.9129464285713</v>
      </c>
      <c r="AE359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Row],[data]]))),IF(AF358=0,SUMIFS(estoque[valor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Row],[data]])),((AE358*AF358)+SUMIFS(estoque[valor total],estoque[produto],preçodiario[[#Headers],[OVO VERMELHO A]],estoque[data],preçodiario[[#This Row],[data]],estoque[fornecedor],"&lt;&gt;saída"))/(AF358+(SUMIFS(estoque[quantidade],estoque[produto],preçodiario[[#Headers],[OVO VERMELHO A]],estoque[fornecedor],"&lt;&gt;saída",estoque[data],preçodiario[[#This Row],[data]])))))</f>
        <v/>
      </c>
      <c r="AF359" s="22">
        <f>IF(preçodiario[[#This Row],[entrada AV]]=0,AF358-(SUMIFS(estoque[quantidade],estoque[fornecedor],"saída",estoque[produto],preçodiario[[#Headers],[OVO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Row],[data]]))+AF358+preçodiario[[#This Row],[entrada AV]])</f>
        <v>0</v>
      </c>
      <c r="AG359" s="22">
        <f>SUMIFS(estoque[quantidade],estoque[fornecedor],"&lt;&gt;saída",estoque[produto],preçodiario[[#Headers],[OVO VERMELHO A]],estoque[data],preçodiario[[#This Row],[data]])</f>
        <v>0</v>
      </c>
      <c r="AH359" s="20">
        <f>SUMIFS(estoque[valor total],estoque[fornecedor],"&lt;&gt;saída",estoque[produto],preçodiario[[#Headers],[OVO VERMELHO A]],estoque[data],preçodiario[[#This Row],[data]])</f>
        <v>0</v>
      </c>
      <c r="AI359" s="20">
        <f>IFERROR(preçodiario[[#This Row],[OVO VERMELHO A]]*preçodiario[[#This Row],[estoque AV]],0)</f>
        <v>0</v>
      </c>
      <c r="AJ359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Row],[data]]))),IF(AK358=0,SUMIFS(estoque[valor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Row],[data]])),((AJ358*AK358)+SUMIFS(estoque[valor total],estoque[produto],preçodiario[[#Headers],[OVO VERMELHO B]],estoque[data],preçodiario[[#This Row],[data]],estoque[fornecedor],"&lt;&gt;saída"))/(AK358+(SUMIFS(estoque[quantidade],estoque[produto],preçodiario[[#Headers],[OVO VERMELHO B]],estoque[fornecedor],"&lt;&gt;saída",estoque[data],preçodiario[[#This Row],[data]])))))</f>
        <v/>
      </c>
      <c r="AK359" s="22">
        <f>IF(preçodiario[[#This Row],[entrada BV]]=0,AK358-(SUMIFS(estoque[quantidade],estoque[fornecedor],"saída",estoque[produto],preçodiario[[#Headers],[OVO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Row],[data]]))+AK358+preçodiario[[#This Row],[entrada BV]])</f>
        <v>0</v>
      </c>
      <c r="AL359" s="22">
        <f>SUMIFS(estoque[quantidade],estoque[fornecedor],"&lt;&gt;saída",estoque[produto],preçodiario[[#Headers],[OVO VERMELHO B]],estoque[data],preçodiario[[#This Row],[data]])</f>
        <v>0</v>
      </c>
      <c r="AM359" s="20">
        <f>SUMIFS(estoque[valor total],estoque[fornecedor],"&lt;&gt;saída",estoque[produto],preçodiario[[#Headers],[OVO VERMELHO B]],estoque[data],preçodiario[[#This Row],[data]])</f>
        <v>0</v>
      </c>
      <c r="AN359" s="20">
        <f>IFERROR(preçodiario[[#This Row],[OVO VERMELHO B]]*preçodiario[[#This Row],[estoque BV]],0)</f>
        <v>0</v>
      </c>
      <c r="AO359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Row],[data]]))),IF(AP358=0,SUMIFS(estoque[valor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Row],[data]])),((AO358*AP358)+SUMIFS(estoque[valor total],estoque[produto],preçodiario[[#Headers],[OVO VERMELHO C]],estoque[data],preçodiario[[#This Row],[data]],estoque[fornecedor],"&lt;&gt;saída"))/(AP358+(SUMIFS(estoque[quantidade],estoque[produto],preçodiario[[#Headers],[OVO VERMELHO C]],estoque[fornecedor],"&lt;&gt;saída",estoque[data],preçodiario[[#This Row],[data]])))))</f>
        <v/>
      </c>
      <c r="AP359" s="22">
        <f>IF(preçodiario[[#This Row],[entrada CV]]=0,AP358-(SUMIFS(estoque[quantidade],estoque[fornecedor],"saída",estoque[produto],preçodiario[[#Headers],[OVO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Row],[data]]))+AP358+preçodiario[[#This Row],[entrada CV]])</f>
        <v>0</v>
      </c>
      <c r="AQ359" s="22">
        <f>SUMIFS(estoque[quantidade],estoque[fornecedor],"&lt;&gt;saída",estoque[produto],preçodiario[[#Headers],[OVO VERMELHO C]],estoque[data],preçodiario[[#This Row],[data]])</f>
        <v>0</v>
      </c>
      <c r="AR359" s="20">
        <f>SUMIFS(estoque[valor total],estoque[fornecedor],"&lt;&gt;saída",estoque[produto],preçodiario[[#Headers],[OVO VERMELHO C]],estoque[data],preçodiario[[#This Row],[data]])</f>
        <v>0</v>
      </c>
      <c r="AS359" s="20">
        <f>IFERROR(preçodiario[[#This Row],[OVO VERMELHO C]]*preçodiario[[#This Row],[estoque CV]],0)</f>
        <v>0</v>
      </c>
      <c r="AT359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Row],[data]]))),IF(AU358=0,SUMIFS(estoque[valor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Row],[data]])),((AT358*AU358)+SUMIFS(estoque[valor total],estoque[produto],preçodiario[[#Headers],[OVO VERMELHO EXTRA]],estoque[data],preçodiario[[#This Row],[data]],estoque[fornecedor],"&lt;&gt;saída"))/(AU358+(SUMIFS(estoque[quantidade],estoque[produto],preçodiario[[#Headers],[OVO VERMELHO EXTRA]],estoque[fornecedor],"&lt;&gt;saída",estoque[data],preçodiario[[#This Row],[data]])))))</f>
        <v/>
      </c>
      <c r="AU359" s="22">
        <f>IF(preçodiario[[#This Row],[entrada EV]]=0,AU358-(SUMIFS(estoque[quantidade],estoque[fornecedor],"saída",estoque[produto],preçodiario[[#Headers],[OVO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Row],[data]]))+AU358+preçodiario[[#This Row],[entrada EV]])</f>
        <v>0</v>
      </c>
      <c r="AV359" s="22">
        <f>SUMIFS(estoque[quantidade],estoque[fornecedor],"&lt;&gt;saída",estoque[produto],preçodiario[[#Headers],[OVO VERMELHO EXTRA]],estoque[data],preçodiario[[#This Row],[data]])</f>
        <v>0</v>
      </c>
      <c r="AW359" s="20">
        <f>SUMIFS(estoque[valor total],estoque[fornecedor],"&lt;&gt;saída",estoque[produto],preçodiario[[#Headers],[OVO VERMELHO EXTRA]],estoque[data],preçodiario[[#This Row],[data]])</f>
        <v>0</v>
      </c>
      <c r="AX359" s="20">
        <f>IFERROR(preçodiario[[#This Row],[OVO VERMELHO EXTRA]]*preçodiario[[#This Row],[estoque EV]],0)</f>
        <v>0</v>
      </c>
      <c r="AY359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Row],[data]]))),IF(AZ358=0,SUMIFS(estoque[valor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Row],[data]])),((AY358*AZ358)+SUMIFS(estoque[valor total],estoque[produto],preçodiario[[#Headers],[OVO VERMELHO JUMBO]],estoque[data],preçodiario[[#This Row],[data]],estoque[fornecedor],"&lt;&gt;saída"))/(AZ358+(SUMIFS(estoque[quantidade],estoque[produto],preçodiario[[#Headers],[OVO VERMELHO JUMBO]],estoque[fornecedor],"&lt;&gt;saída",estoque[data],preçodiario[[#This Row],[data]])))))</f>
        <v/>
      </c>
      <c r="AZ359" s="22">
        <f>IF(preçodiario[[#This Row],[entrada JV]]=0,AZ358-(SUMIFS(estoque[quantidade],estoque[fornecedor],"saída",estoque[produto],preçodiario[[#Headers],[OVO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Row],[data]]))+AZ358+preçodiario[[#This Row],[entrada JV]])</f>
        <v>0</v>
      </c>
      <c r="BA359" s="22">
        <f>SUMIFS(estoque[quantidade],estoque[fornecedor],"&lt;&gt;saída",estoque[produto],preçodiario[[#Headers],[OVO VERMELHO JUMBO]],estoque[data],preçodiario[[#This Row],[data]])</f>
        <v>0</v>
      </c>
      <c r="BB359" s="20">
        <f>SUMIFS(estoque[valor total],estoque[fornecedor],"&lt;&gt;saída",estoque[produto],preçodiario[[#Headers],[OVO VERMELHO JUMBO]],estoque[data],preçodiario[[#This Row],[data]])</f>
        <v>0</v>
      </c>
      <c r="BC359" s="20">
        <f>IFERROR(preçodiario[[#This Row],[OVO VERMELHO JUMBO]]*preçodiario[[#This Row],[estoque JV]],0)</f>
        <v>0</v>
      </c>
      <c r="BD359" t="str">
        <f>TEXT(vendaAno[[#This Row],[data]],"mmm")</f>
        <v>dez</v>
      </c>
      <c r="BE359" t="str">
        <f>TEXT(vendaAno[[#This Row],[data]],"ddd")</f>
        <v>qui</v>
      </c>
      <c r="BF359" s="82">
        <f>WEEKNUM(vendaAno[[#This Row],[data]],13)</f>
        <v>52</v>
      </c>
      <c r="BG359" s="27">
        <f>preçodiario[[#This Row],[data]]</f>
        <v>46380</v>
      </c>
      <c r="BH359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59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59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Row],[data]]))/12+BJ358,"")</f>
        <v/>
      </c>
      <c r="BK359" s="79" t="str">
        <f ca="1">IF(TODAY()&gt;=vendaAno[[#This Row],[data]],IF(SUMIFS(estoque[quantidade],estoque[fornecedor],"saída",estoque[data],vendaAno[[#This Row],[data]])/12=0,AVERAGE(BK356:BK358),SUMIFS(estoque[quantidade],estoque[fornecedor],"saída",estoque[data],vendaAno[[#This Row],[data]])/12),"")</f>
        <v/>
      </c>
      <c r="BL359" s="8" t="str">
        <f ca="1">IF(vendaAno[[#This Row],[data]]&lt;=TODAY(),IF(SUMIFS(estoque[lucro],estoque[fornecedor],"saída",estoque[data],vendaAno[[#This Row],[data]])=0,AVERAGE(BL356:BL358),SUMIFS(estoque[lucro],estoque[fornecedor],"saída",estoque[data],vendaAno[[#This Row],[data]])),"")</f>
        <v/>
      </c>
      <c r="BM359" s="10" t="str">
        <f ca="1">IFERROR(vendaAno[[#This Row],[lucro]]/vendaAno[[#This Row],[valor de venda]],"")</f>
        <v/>
      </c>
      <c r="BN359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59" s="8" t="str">
        <f ca="1">IF(TODAY()&gt;=vendaAno[[#This Row],[data]],IF(vendaAno[[#This Row],[N°]]=BF358,vendaAno[[#This Row],[lucro]]-173.33+BO358,vendaAno[[#This Row],[lucro]]-150),"")</f>
        <v/>
      </c>
      <c r="BP359" s="81" t="str">
        <f ca="1">IF(TODAY()&gt;=vendaAno[[#This Row],[data]],SUM(BK353:BK359)*12,"")</f>
        <v/>
      </c>
      <c r="BQ359" s="7" t="str">
        <f ca="1">IFERROR(vendaAno[[#This Row],[lucro]]/(vendaAno[[#This Row],[venda]]*12),"")</f>
        <v/>
      </c>
    </row>
    <row r="360" spans="1:69" x14ac:dyDescent="0.25">
      <c r="A360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Row],[data]]-1))*A359+SUMIFS(estoque[valor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0" s="18" t="str">
        <f>TEXT(preçodiario[[#This Row],[data]],"MMM")</f>
        <v>dez</v>
      </c>
      <c r="C360" s="18" t="str">
        <f>TEXT(preçodiario[[#This Row],[data]],"ddd")</f>
        <v>sex</v>
      </c>
      <c r="D360" s="96">
        <f>WEEKNUM(preçodiario[[#This Row],[data]],13)</f>
        <v>52</v>
      </c>
      <c r="E360" s="37">
        <v>46381</v>
      </c>
      <c r="F360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Row],[data]]))),IF(G359=0,SUMIFS(estoque[valor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Row],[data]])),((F359*G359)+SUMIFS(estoque[valor total],estoque[produto],preçodiario[[#Headers],[OVO BRANCO A]],estoque[data],preçodiario[[#This Row],[data]],estoque[fornecedor],"&lt;&gt;saída"))/(G359+(SUMIFS(estoque[quantidade],estoque[produto],preçodiario[[#Headers],[OVO BRANCO A]],estoque[fornecedor],"&lt;&gt;saída",estoque[data],preçodiario[[#This Row],[data]])))))</f>
        <v>15.278182701652089</v>
      </c>
      <c r="G360" s="22">
        <f>IF(preçodiario[[#This Row],[entrada A]]=0,G359-(SUMIFS(estoque[quantidade],estoque[fornecedor],"saída",estoque[produto],preçodiario[[#Headers],[OVO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Row],[data]]))+G359+preçodiario[[#This Row],[entrada A]])</f>
        <v>133</v>
      </c>
      <c r="H360" s="22">
        <f>SUMIFS(estoque[quantidade],estoque[fornecedor],"&lt;&gt;saída",estoque[produto],preçodiario[[#Headers],[OVO BRANCO A]],estoque[data],preçodiario[[#This Row],[data]])</f>
        <v>0</v>
      </c>
      <c r="I360" s="20">
        <f>SUMIFS(estoque[valor total],estoque[fornecedor],"&lt;&gt;saída",estoque[produto],preçodiario[[#Headers],[OVO BRANCO A]],estoque[data],preçodiario[[#This Row],[data]])</f>
        <v>0</v>
      </c>
      <c r="J360" s="20">
        <f>IFERROR(preçodiario[[#This Row],[estoque A]]*preçodiario[[#This Row],[OVO BRANCO A]],0)</f>
        <v>2031.9982993197277</v>
      </c>
      <c r="K360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Row],[data]]))),IF(L359=0,SUMIFS(estoque[valor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Row],[data]])),((K359*L359)+SUMIFS(estoque[valor total],estoque[produto],preçodiario[[#Headers],[OVO BRANCO B]],estoque[data],preçodiario[[#This Row],[data]],estoque[fornecedor],"&lt;&gt;saída"))/(L359+(SUMIFS(estoque[quantidade],estoque[produto],preçodiario[[#Headers],[OVO BRANCO B]],estoque[fornecedor],"&lt;&gt;saída",estoque[data],preçodiario[[#This Row],[data]])))))</f>
        <v>14.584252837326604</v>
      </c>
      <c r="L360" s="22">
        <f>IF(preçodiario[[#This Row],[entrada B]]=0,L359-(SUMIFS(estoque[quantidade],estoque[fornecedor],"saída",estoque[produto],preçodiario[[#Headers],[OVO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Row],[data]]))+L359+preçodiario[[#This Row],[entrada B]])</f>
        <v>16</v>
      </c>
      <c r="M360" s="22">
        <f>SUMIFS(estoque[quantidade],estoque[fornecedor],"&lt;&gt;saída",estoque[produto],preçodiario[[#Headers],[OVO BRANCO B]],estoque[data],preçodiario[[#This Row],[data]])</f>
        <v>0</v>
      </c>
      <c r="N360" s="20">
        <f>SUMIFS(estoque[valor total],estoque[fornecedor],"&lt;&gt;saída",estoque[produto],preçodiario[[#Headers],[OVO BRANCO B]],estoque[data],preçodiario[[#This Row],[data]])</f>
        <v>0</v>
      </c>
      <c r="O360" s="20">
        <f>IFERROR(preçodiario[[#This Row],[OVO BRANCO B]]*preçodiario[[#This Row],[estoque B]],0)</f>
        <v>233.34804539722566</v>
      </c>
      <c r="P360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Row],[data]]))),IF(Q359=0,SUMIFS(estoque[valor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Row],[data]])),((P359*Q359)+SUMIFS(estoque[valor total],estoque[produto],preçodiario[[#Headers],[OVO BRANCO C]],estoque[data],preçodiario[[#This Row],[data]],estoque[fornecedor],"&lt;&gt;saída"))/(Q359+(SUMIFS(estoque[quantidade],estoque[produto],preçodiario[[#Headers],[OVO BRANCO C]],estoque[fornecedor],"&lt;&gt;saída",estoque[data],preçodiario[[#This Row],[data]])))))</f>
        <v>12.5</v>
      </c>
      <c r="Q360" s="22">
        <f>IF(preçodiario[[#This Row],[entrada C]]=0,Q359-(SUMIFS(estoque[quantidade],estoque[fornecedor],"saída",estoque[produto],preçodiario[[#Headers],[OVO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Row],[data]]))+Q359+preçodiario[[#This Row],[entrada C]])</f>
        <v>60</v>
      </c>
      <c r="R360" s="22">
        <f>SUMIFS(estoque[quantidade],estoque[fornecedor],"&lt;&gt;saída",estoque[produto],preçodiario[[#Headers],[OVO BRANCO C]],estoque[data],preçodiario[[#This Row],[data]])</f>
        <v>0</v>
      </c>
      <c r="S360" s="20">
        <f>SUMIFS(estoque[valor total],estoque[fornecedor],"&lt;&gt;saída",estoque[produto],preçodiario[[#Headers],[OVO BRANCO C]],estoque[data],preçodiario[[#This Row],[data]])</f>
        <v>0</v>
      </c>
      <c r="T360" s="20">
        <f>IFERROR(preçodiario[[#This Row],[OVO BRANCO C]]*preçodiario[[#This Row],[estoque C]],0)</f>
        <v>750</v>
      </c>
      <c r="U360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Row],[data]]))),IF(V359=0,SUMIFS(estoque[valor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Row],[data]])),((U359*V359)+SUMIFS(estoque[valor total],estoque[produto],preçodiario[[#Headers],[OVO BRANCO EXTRA]],estoque[data],preçodiario[[#This Row],[data]],estoque[fornecedor],"&lt;&gt;saída"))/(V359+(SUMIFS(estoque[quantidade],estoque[produto],preçodiario[[#Headers],[OVO BRANCO EXTRA]],estoque[fornecedor],"&lt;&gt;saída",estoque[data],preçodiario[[#This Row],[data]])))))</f>
        <v>15.725438400674655</v>
      </c>
      <c r="V360" s="22">
        <f>IF(preçodiario[[#This Row],[entrada E]]=0,V359-(SUMIFS(estoque[quantidade],estoque[fornecedor],"saída",estoque[produto],preçodiario[[#Headers],[OVO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Row],[data]]))+V359+preçodiario[[#This Row],[entrada E]])</f>
        <v>46</v>
      </c>
      <c r="W360" s="22">
        <f>SUMIFS(estoque[quantidade],estoque[fornecedor],"&lt;&gt;saída",estoque[produto],preçodiario[[#Headers],[OVO BRANCO EXTRA]],estoque[data],preçodiario[[#This Row],[data]])</f>
        <v>0</v>
      </c>
      <c r="X360" s="20">
        <f>SUMIFS(estoque[valor total],estoque[fornecedor],"&lt;&gt;saída",estoque[produto],preçodiario[[#Headers],[OVO BRANCO EXTRA]],estoque[data],preçodiario[[#This Row],[data]])</f>
        <v>0</v>
      </c>
      <c r="Y360" s="20">
        <f>IFERROR(preçodiario[[#This Row],[estoque E]]*preçodiario[[#This Row],[OVO BRANCO EXTRA]],0)</f>
        <v>723.37016643103414</v>
      </c>
      <c r="Z360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Row],[data]]))),IF(AA359=0,SUMIFS(estoque[valor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Row],[data]])),((Z359*AA359)+SUMIFS(estoque[valor total],estoque[produto],preçodiario[[#Headers],[OVO BRANCO JUMBO]],estoque[data],preçodiario[[#This Row],[data]],estoque[fornecedor],"&lt;&gt;saída"))/(AA359+(SUMIFS(estoque[quantidade],estoque[produto],preçodiario[[#Headers],[OVO BRANCO JUMBO]],estoque[fornecedor],"&lt;&gt;saída",estoque[data],preçodiario[[#This Row],[data]])))))</f>
        <v>16.50550595238095</v>
      </c>
      <c r="AA360" s="22">
        <f>IF(preçodiario[[#This Row],[entrada J]]=0,AA359-(SUMIFS(estoque[quantidade],estoque[fornecedor],"saída",estoque[produto],preçodiario[[#Headers],[OVO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Row],[data]]))+AA359+preçodiario[[#This Row],[entrada J]])</f>
        <v>75</v>
      </c>
      <c r="AB360" s="22">
        <f>SUMIFS(estoque[quantidade],estoque[fornecedor],"&lt;&gt;saída",estoque[produto],preçodiario[[#Headers],[OVO BRANCO JUMBO]],estoque[data],preçodiario[[#This Row],[data]])</f>
        <v>0</v>
      </c>
      <c r="AC360" s="20">
        <f>SUMIFS(estoque[valor total],estoque[fornecedor],"&lt;&gt;saída",estoque[produto],preçodiario[[#Headers],[OVO BRANCO JUMBO]],estoque[data],preçodiario[[#This Row],[data]])</f>
        <v>0</v>
      </c>
      <c r="AD360" s="20">
        <f>IFERROR(preçodiario[[#This Row],[OVO BRANCO JUMBO]]*preçodiario[[#This Row],[estoque J]],0)</f>
        <v>1237.9129464285713</v>
      </c>
      <c r="AE360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Row],[data]]))),IF(AF359=0,SUMIFS(estoque[valor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Row],[data]])),((AE359*AF359)+SUMIFS(estoque[valor total],estoque[produto],preçodiario[[#Headers],[OVO VERMELHO A]],estoque[data],preçodiario[[#This Row],[data]],estoque[fornecedor],"&lt;&gt;saída"))/(AF359+(SUMIFS(estoque[quantidade],estoque[produto],preçodiario[[#Headers],[OVO VERMELHO A]],estoque[fornecedor],"&lt;&gt;saída",estoque[data],preçodiario[[#This Row],[data]])))))</f>
        <v/>
      </c>
      <c r="AF360" s="22">
        <f>IF(preçodiario[[#This Row],[entrada AV]]=0,AF359-(SUMIFS(estoque[quantidade],estoque[fornecedor],"saída",estoque[produto],preçodiario[[#Headers],[OVO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Row],[data]]))+AF359+preçodiario[[#This Row],[entrada AV]])</f>
        <v>0</v>
      </c>
      <c r="AG360" s="22">
        <f>SUMIFS(estoque[quantidade],estoque[fornecedor],"&lt;&gt;saída",estoque[produto],preçodiario[[#Headers],[OVO VERMELHO A]],estoque[data],preçodiario[[#This Row],[data]])</f>
        <v>0</v>
      </c>
      <c r="AH360" s="20">
        <f>SUMIFS(estoque[valor total],estoque[fornecedor],"&lt;&gt;saída",estoque[produto],preçodiario[[#Headers],[OVO VERMELHO A]],estoque[data],preçodiario[[#This Row],[data]])</f>
        <v>0</v>
      </c>
      <c r="AI360" s="20">
        <f>IFERROR(preçodiario[[#This Row],[OVO VERMELHO A]]*preçodiario[[#This Row],[estoque AV]],0)</f>
        <v>0</v>
      </c>
      <c r="AJ360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Row],[data]]))),IF(AK359=0,SUMIFS(estoque[valor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Row],[data]])),((AJ359*AK359)+SUMIFS(estoque[valor total],estoque[produto],preçodiario[[#Headers],[OVO VERMELHO B]],estoque[data],preçodiario[[#This Row],[data]],estoque[fornecedor],"&lt;&gt;saída"))/(AK359+(SUMIFS(estoque[quantidade],estoque[produto],preçodiario[[#Headers],[OVO VERMELHO B]],estoque[fornecedor],"&lt;&gt;saída",estoque[data],preçodiario[[#This Row],[data]])))))</f>
        <v/>
      </c>
      <c r="AK360" s="22">
        <f>IF(preçodiario[[#This Row],[entrada BV]]=0,AK359-(SUMIFS(estoque[quantidade],estoque[fornecedor],"saída",estoque[produto],preçodiario[[#Headers],[OVO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Row],[data]]))+AK359+preçodiario[[#This Row],[entrada BV]])</f>
        <v>0</v>
      </c>
      <c r="AL360" s="22">
        <f>SUMIFS(estoque[quantidade],estoque[fornecedor],"&lt;&gt;saída",estoque[produto],preçodiario[[#Headers],[OVO VERMELHO B]],estoque[data],preçodiario[[#This Row],[data]])</f>
        <v>0</v>
      </c>
      <c r="AM360" s="20">
        <f>SUMIFS(estoque[valor total],estoque[fornecedor],"&lt;&gt;saída",estoque[produto],preçodiario[[#Headers],[OVO VERMELHO B]],estoque[data],preçodiario[[#This Row],[data]])</f>
        <v>0</v>
      </c>
      <c r="AN360" s="20">
        <f>IFERROR(preçodiario[[#This Row],[OVO VERMELHO B]]*preçodiario[[#This Row],[estoque BV]],0)</f>
        <v>0</v>
      </c>
      <c r="AO360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Row],[data]]))),IF(AP359=0,SUMIFS(estoque[valor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Row],[data]])),((AO359*AP359)+SUMIFS(estoque[valor total],estoque[produto],preçodiario[[#Headers],[OVO VERMELHO C]],estoque[data],preçodiario[[#This Row],[data]],estoque[fornecedor],"&lt;&gt;saída"))/(AP359+(SUMIFS(estoque[quantidade],estoque[produto],preçodiario[[#Headers],[OVO VERMELHO C]],estoque[fornecedor],"&lt;&gt;saída",estoque[data],preçodiario[[#This Row],[data]])))))</f>
        <v/>
      </c>
      <c r="AP360" s="22">
        <f>IF(preçodiario[[#This Row],[entrada CV]]=0,AP359-(SUMIFS(estoque[quantidade],estoque[fornecedor],"saída",estoque[produto],preçodiario[[#Headers],[OVO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Row],[data]]))+AP359+preçodiario[[#This Row],[entrada CV]])</f>
        <v>0</v>
      </c>
      <c r="AQ360" s="22">
        <f>SUMIFS(estoque[quantidade],estoque[fornecedor],"&lt;&gt;saída",estoque[produto],preçodiario[[#Headers],[OVO VERMELHO C]],estoque[data],preçodiario[[#This Row],[data]])</f>
        <v>0</v>
      </c>
      <c r="AR360" s="20">
        <f>SUMIFS(estoque[valor total],estoque[fornecedor],"&lt;&gt;saída",estoque[produto],preçodiario[[#Headers],[OVO VERMELHO C]],estoque[data],preçodiario[[#This Row],[data]])</f>
        <v>0</v>
      </c>
      <c r="AS360" s="20">
        <f>IFERROR(preçodiario[[#This Row],[OVO VERMELHO C]]*preçodiario[[#This Row],[estoque CV]],0)</f>
        <v>0</v>
      </c>
      <c r="AT360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Row],[data]]))),IF(AU359=0,SUMIFS(estoque[valor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Row],[data]])),((AT359*AU359)+SUMIFS(estoque[valor total],estoque[produto],preçodiario[[#Headers],[OVO VERMELHO EXTRA]],estoque[data],preçodiario[[#This Row],[data]],estoque[fornecedor],"&lt;&gt;saída"))/(AU359+(SUMIFS(estoque[quantidade],estoque[produto],preçodiario[[#Headers],[OVO VERMELHO EXTRA]],estoque[fornecedor],"&lt;&gt;saída",estoque[data],preçodiario[[#This Row],[data]])))))</f>
        <v/>
      </c>
      <c r="AU360" s="22">
        <f>IF(preçodiario[[#This Row],[entrada EV]]=0,AU359-(SUMIFS(estoque[quantidade],estoque[fornecedor],"saída",estoque[produto],preçodiario[[#Headers],[OVO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Row],[data]]))+AU359+preçodiario[[#This Row],[entrada EV]])</f>
        <v>0</v>
      </c>
      <c r="AV360" s="22">
        <f>SUMIFS(estoque[quantidade],estoque[fornecedor],"&lt;&gt;saída",estoque[produto],preçodiario[[#Headers],[OVO VERMELHO EXTRA]],estoque[data],preçodiario[[#This Row],[data]])</f>
        <v>0</v>
      </c>
      <c r="AW360" s="20">
        <f>SUMIFS(estoque[valor total],estoque[fornecedor],"&lt;&gt;saída",estoque[produto],preçodiario[[#Headers],[OVO VERMELHO EXTRA]],estoque[data],preçodiario[[#This Row],[data]])</f>
        <v>0</v>
      </c>
      <c r="AX360" s="20">
        <f>IFERROR(preçodiario[[#This Row],[OVO VERMELHO EXTRA]]*preçodiario[[#This Row],[estoque EV]],0)</f>
        <v>0</v>
      </c>
      <c r="AY360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Row],[data]]))),IF(AZ359=0,SUMIFS(estoque[valor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Row],[data]])),((AY359*AZ359)+SUMIFS(estoque[valor total],estoque[produto],preçodiario[[#Headers],[OVO VERMELHO JUMBO]],estoque[data],preçodiario[[#This Row],[data]],estoque[fornecedor],"&lt;&gt;saída"))/(AZ359+(SUMIFS(estoque[quantidade],estoque[produto],preçodiario[[#Headers],[OVO VERMELHO JUMBO]],estoque[fornecedor],"&lt;&gt;saída",estoque[data],preçodiario[[#This Row],[data]])))))</f>
        <v/>
      </c>
      <c r="AZ360" s="22">
        <f>IF(preçodiario[[#This Row],[entrada JV]]=0,AZ359-(SUMIFS(estoque[quantidade],estoque[fornecedor],"saída",estoque[produto],preçodiario[[#Headers],[OVO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Row],[data]]))+AZ359+preçodiario[[#This Row],[entrada JV]])</f>
        <v>0</v>
      </c>
      <c r="BA360" s="22">
        <f>SUMIFS(estoque[quantidade],estoque[fornecedor],"&lt;&gt;saída",estoque[produto],preçodiario[[#Headers],[OVO VERMELHO JUMBO]],estoque[data],preçodiario[[#This Row],[data]])</f>
        <v>0</v>
      </c>
      <c r="BB360" s="20">
        <f>SUMIFS(estoque[valor total],estoque[fornecedor],"&lt;&gt;saída",estoque[produto],preçodiario[[#Headers],[OVO VERMELHO JUMBO]],estoque[data],preçodiario[[#This Row],[data]])</f>
        <v>0</v>
      </c>
      <c r="BC360" s="20">
        <f>IFERROR(preçodiario[[#This Row],[OVO VERMELHO JUMBO]]*preçodiario[[#This Row],[estoque JV]],0)</f>
        <v>0</v>
      </c>
      <c r="BD360" t="str">
        <f>TEXT(vendaAno[[#This Row],[data]],"mmm")</f>
        <v>dez</v>
      </c>
      <c r="BE360" t="str">
        <f>TEXT(vendaAno[[#This Row],[data]],"ddd")</f>
        <v>sex</v>
      </c>
      <c r="BF360" s="82">
        <f>WEEKNUM(vendaAno[[#This Row],[data]],13)</f>
        <v>52</v>
      </c>
      <c r="BG360" s="27">
        <f>preçodiario[[#This Row],[data]]</f>
        <v>46381</v>
      </c>
      <c r="BH360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0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0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Row],[data]]))/12+BJ359,"")</f>
        <v/>
      </c>
      <c r="BK360" s="79" t="str">
        <f ca="1">IF(TODAY()&gt;=vendaAno[[#This Row],[data]],IF(SUMIFS(estoque[quantidade],estoque[fornecedor],"saída",estoque[data],vendaAno[[#This Row],[data]])/12=0,AVERAGE(BK357:BK359),SUMIFS(estoque[quantidade],estoque[fornecedor],"saída",estoque[data],vendaAno[[#This Row],[data]])/12),"")</f>
        <v/>
      </c>
      <c r="BL360" s="8" t="str">
        <f ca="1">IF(vendaAno[[#This Row],[data]]&lt;=TODAY(),IF(SUMIFS(estoque[lucro],estoque[fornecedor],"saída",estoque[data],vendaAno[[#This Row],[data]])=0,AVERAGE(BL357:BL359),SUMIFS(estoque[lucro],estoque[fornecedor],"saída",estoque[data],vendaAno[[#This Row],[data]])),"")</f>
        <v/>
      </c>
      <c r="BM360" s="10" t="str">
        <f ca="1">IFERROR(vendaAno[[#This Row],[lucro]]/vendaAno[[#This Row],[valor de venda]],"")</f>
        <v/>
      </c>
      <c r="BN360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0" s="8" t="str">
        <f ca="1">IF(TODAY()&gt;=vendaAno[[#This Row],[data]],IF(vendaAno[[#This Row],[N°]]=BF359,vendaAno[[#This Row],[lucro]]-173.33+BO359,vendaAno[[#This Row],[lucro]]-150),"")</f>
        <v/>
      </c>
      <c r="BP360" s="81" t="str">
        <f ca="1">IF(TODAY()&gt;=vendaAno[[#This Row],[data]],SUM(BK354:BK360)*12,"")</f>
        <v/>
      </c>
      <c r="BQ360" s="7" t="str">
        <f ca="1">IFERROR(vendaAno[[#This Row],[lucro]]/(vendaAno[[#This Row],[venda]]*12),"")</f>
        <v/>
      </c>
    </row>
    <row r="361" spans="1:69" x14ac:dyDescent="0.25">
      <c r="A361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Row],[data]]-1))*A360+SUMIFS(estoque[valor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1" s="18" t="str">
        <f>TEXT(preçodiario[[#This Row],[data]],"MMM")</f>
        <v>dez</v>
      </c>
      <c r="C361" s="18" t="str">
        <f>TEXT(preçodiario[[#This Row],[data]],"ddd")</f>
        <v>sáb</v>
      </c>
      <c r="D361" s="96">
        <f>WEEKNUM(preçodiario[[#This Row],[data]],13)</f>
        <v>52</v>
      </c>
      <c r="E361" s="37">
        <v>46382</v>
      </c>
      <c r="F361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Row],[data]]))),IF(G360=0,SUMIFS(estoque[valor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Row],[data]])),((F360*G360)+SUMIFS(estoque[valor total],estoque[produto],preçodiario[[#Headers],[OVO BRANCO A]],estoque[data],preçodiario[[#This Row],[data]],estoque[fornecedor],"&lt;&gt;saída"))/(G360+(SUMIFS(estoque[quantidade],estoque[produto],preçodiario[[#Headers],[OVO BRANCO A]],estoque[fornecedor],"&lt;&gt;saída",estoque[data],preçodiario[[#This Row],[data]])))))</f>
        <v>15.278182701652089</v>
      </c>
      <c r="G361" s="22">
        <f>IF(preçodiario[[#This Row],[entrada A]]=0,G360-(SUMIFS(estoque[quantidade],estoque[fornecedor],"saída",estoque[produto],preçodiario[[#Headers],[OVO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Row],[data]]))+G360+preçodiario[[#This Row],[entrada A]])</f>
        <v>133</v>
      </c>
      <c r="H361" s="22">
        <f>SUMIFS(estoque[quantidade],estoque[fornecedor],"&lt;&gt;saída",estoque[produto],preçodiario[[#Headers],[OVO BRANCO A]],estoque[data],preçodiario[[#This Row],[data]])</f>
        <v>0</v>
      </c>
      <c r="I361" s="20">
        <f>SUMIFS(estoque[valor total],estoque[fornecedor],"&lt;&gt;saída",estoque[produto],preçodiario[[#Headers],[OVO BRANCO A]],estoque[data],preçodiario[[#This Row],[data]])</f>
        <v>0</v>
      </c>
      <c r="J361" s="20">
        <f>IFERROR(preçodiario[[#This Row],[estoque A]]*preçodiario[[#This Row],[OVO BRANCO A]],0)</f>
        <v>2031.9982993197277</v>
      </c>
      <c r="K361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Row],[data]]))),IF(L360=0,SUMIFS(estoque[valor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Row],[data]])),((K360*L360)+SUMIFS(estoque[valor total],estoque[produto],preçodiario[[#Headers],[OVO BRANCO B]],estoque[data],preçodiario[[#This Row],[data]],estoque[fornecedor],"&lt;&gt;saída"))/(L360+(SUMIFS(estoque[quantidade],estoque[produto],preçodiario[[#Headers],[OVO BRANCO B]],estoque[fornecedor],"&lt;&gt;saída",estoque[data],preçodiario[[#This Row],[data]])))))</f>
        <v>14.584252837326604</v>
      </c>
      <c r="L361" s="22">
        <f>IF(preçodiario[[#This Row],[entrada B]]=0,L360-(SUMIFS(estoque[quantidade],estoque[fornecedor],"saída",estoque[produto],preçodiario[[#Headers],[OVO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Row],[data]]))+L360+preçodiario[[#This Row],[entrada B]])</f>
        <v>16</v>
      </c>
      <c r="M361" s="22">
        <f>SUMIFS(estoque[quantidade],estoque[fornecedor],"&lt;&gt;saída",estoque[produto],preçodiario[[#Headers],[OVO BRANCO B]],estoque[data],preçodiario[[#This Row],[data]])</f>
        <v>0</v>
      </c>
      <c r="N361" s="20">
        <f>SUMIFS(estoque[valor total],estoque[fornecedor],"&lt;&gt;saída",estoque[produto],preçodiario[[#Headers],[OVO BRANCO B]],estoque[data],preçodiario[[#This Row],[data]])</f>
        <v>0</v>
      </c>
      <c r="O361" s="20">
        <f>IFERROR(preçodiario[[#This Row],[OVO BRANCO B]]*preçodiario[[#This Row],[estoque B]],0)</f>
        <v>233.34804539722566</v>
      </c>
      <c r="P361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Row],[data]]))),IF(Q360=0,SUMIFS(estoque[valor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Row],[data]])),((P360*Q360)+SUMIFS(estoque[valor total],estoque[produto],preçodiario[[#Headers],[OVO BRANCO C]],estoque[data],preçodiario[[#This Row],[data]],estoque[fornecedor],"&lt;&gt;saída"))/(Q360+(SUMIFS(estoque[quantidade],estoque[produto],preçodiario[[#Headers],[OVO BRANCO C]],estoque[fornecedor],"&lt;&gt;saída",estoque[data],preçodiario[[#This Row],[data]])))))</f>
        <v>12.5</v>
      </c>
      <c r="Q361" s="22">
        <f>IF(preçodiario[[#This Row],[entrada C]]=0,Q360-(SUMIFS(estoque[quantidade],estoque[fornecedor],"saída",estoque[produto],preçodiario[[#Headers],[OVO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Row],[data]]))+Q360+preçodiario[[#This Row],[entrada C]])</f>
        <v>60</v>
      </c>
      <c r="R361" s="22">
        <f>SUMIFS(estoque[quantidade],estoque[fornecedor],"&lt;&gt;saída",estoque[produto],preçodiario[[#Headers],[OVO BRANCO C]],estoque[data],preçodiario[[#This Row],[data]])</f>
        <v>0</v>
      </c>
      <c r="S361" s="20">
        <f>SUMIFS(estoque[valor total],estoque[fornecedor],"&lt;&gt;saída",estoque[produto],preçodiario[[#Headers],[OVO BRANCO C]],estoque[data],preçodiario[[#This Row],[data]])</f>
        <v>0</v>
      </c>
      <c r="T361" s="20">
        <f>IFERROR(preçodiario[[#This Row],[OVO BRANCO C]]*preçodiario[[#This Row],[estoque C]],0)</f>
        <v>750</v>
      </c>
      <c r="U361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Row],[data]]))),IF(V360=0,SUMIFS(estoque[valor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Row],[data]])),((U360*V360)+SUMIFS(estoque[valor total],estoque[produto],preçodiario[[#Headers],[OVO BRANCO EXTRA]],estoque[data],preçodiario[[#This Row],[data]],estoque[fornecedor],"&lt;&gt;saída"))/(V360+(SUMIFS(estoque[quantidade],estoque[produto],preçodiario[[#Headers],[OVO BRANCO EXTRA]],estoque[fornecedor],"&lt;&gt;saída",estoque[data],preçodiario[[#This Row],[data]])))))</f>
        <v>15.725438400674655</v>
      </c>
      <c r="V361" s="22">
        <f>IF(preçodiario[[#This Row],[entrada E]]=0,V360-(SUMIFS(estoque[quantidade],estoque[fornecedor],"saída",estoque[produto],preçodiario[[#Headers],[OVO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Row],[data]]))+V360+preçodiario[[#This Row],[entrada E]])</f>
        <v>46</v>
      </c>
      <c r="W361" s="22">
        <f>SUMIFS(estoque[quantidade],estoque[fornecedor],"&lt;&gt;saída",estoque[produto],preçodiario[[#Headers],[OVO BRANCO EXTRA]],estoque[data],preçodiario[[#This Row],[data]])</f>
        <v>0</v>
      </c>
      <c r="X361" s="20">
        <f>SUMIFS(estoque[valor total],estoque[fornecedor],"&lt;&gt;saída",estoque[produto],preçodiario[[#Headers],[OVO BRANCO EXTRA]],estoque[data],preçodiario[[#This Row],[data]])</f>
        <v>0</v>
      </c>
      <c r="Y361" s="20">
        <f>IFERROR(preçodiario[[#This Row],[estoque E]]*preçodiario[[#This Row],[OVO BRANCO EXTRA]],0)</f>
        <v>723.37016643103414</v>
      </c>
      <c r="Z361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Row],[data]]))),IF(AA360=0,SUMIFS(estoque[valor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Row],[data]])),((Z360*AA360)+SUMIFS(estoque[valor total],estoque[produto],preçodiario[[#Headers],[OVO BRANCO JUMBO]],estoque[data],preçodiario[[#This Row],[data]],estoque[fornecedor],"&lt;&gt;saída"))/(AA360+(SUMIFS(estoque[quantidade],estoque[produto],preçodiario[[#Headers],[OVO BRANCO JUMBO]],estoque[fornecedor],"&lt;&gt;saída",estoque[data],preçodiario[[#This Row],[data]])))))</f>
        <v>16.50550595238095</v>
      </c>
      <c r="AA361" s="22">
        <f>IF(preçodiario[[#This Row],[entrada J]]=0,AA360-(SUMIFS(estoque[quantidade],estoque[fornecedor],"saída",estoque[produto],preçodiario[[#Headers],[OVO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Row],[data]]))+AA360+preçodiario[[#This Row],[entrada J]])</f>
        <v>75</v>
      </c>
      <c r="AB361" s="22">
        <f>SUMIFS(estoque[quantidade],estoque[fornecedor],"&lt;&gt;saída",estoque[produto],preçodiario[[#Headers],[OVO BRANCO JUMBO]],estoque[data],preçodiario[[#This Row],[data]])</f>
        <v>0</v>
      </c>
      <c r="AC361" s="20">
        <f>SUMIFS(estoque[valor total],estoque[fornecedor],"&lt;&gt;saída",estoque[produto],preçodiario[[#Headers],[OVO BRANCO JUMBO]],estoque[data],preçodiario[[#This Row],[data]])</f>
        <v>0</v>
      </c>
      <c r="AD361" s="20">
        <f>IFERROR(preçodiario[[#This Row],[OVO BRANCO JUMBO]]*preçodiario[[#This Row],[estoque J]],0)</f>
        <v>1237.9129464285713</v>
      </c>
      <c r="AE361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Row],[data]]))),IF(AF360=0,SUMIFS(estoque[valor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Row],[data]])),((AE360*AF360)+SUMIFS(estoque[valor total],estoque[produto],preçodiario[[#Headers],[OVO VERMELHO A]],estoque[data],preçodiario[[#This Row],[data]],estoque[fornecedor],"&lt;&gt;saída"))/(AF360+(SUMIFS(estoque[quantidade],estoque[produto],preçodiario[[#Headers],[OVO VERMELHO A]],estoque[fornecedor],"&lt;&gt;saída",estoque[data],preçodiario[[#This Row],[data]])))))</f>
        <v/>
      </c>
      <c r="AF361" s="22">
        <f>IF(preçodiario[[#This Row],[entrada AV]]=0,AF360-(SUMIFS(estoque[quantidade],estoque[fornecedor],"saída",estoque[produto],preçodiario[[#Headers],[OVO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Row],[data]]))+AF360+preçodiario[[#This Row],[entrada AV]])</f>
        <v>0</v>
      </c>
      <c r="AG361" s="22">
        <f>SUMIFS(estoque[quantidade],estoque[fornecedor],"&lt;&gt;saída",estoque[produto],preçodiario[[#Headers],[OVO VERMELHO A]],estoque[data],preçodiario[[#This Row],[data]])</f>
        <v>0</v>
      </c>
      <c r="AH361" s="20">
        <f>SUMIFS(estoque[valor total],estoque[fornecedor],"&lt;&gt;saída",estoque[produto],preçodiario[[#Headers],[OVO VERMELHO A]],estoque[data],preçodiario[[#This Row],[data]])</f>
        <v>0</v>
      </c>
      <c r="AI361" s="20">
        <f>IFERROR(preçodiario[[#This Row],[OVO VERMELHO A]]*preçodiario[[#This Row],[estoque AV]],0)</f>
        <v>0</v>
      </c>
      <c r="AJ361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Row],[data]]))),IF(AK360=0,SUMIFS(estoque[valor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Row],[data]])),((AJ360*AK360)+SUMIFS(estoque[valor total],estoque[produto],preçodiario[[#Headers],[OVO VERMELHO B]],estoque[data],preçodiario[[#This Row],[data]],estoque[fornecedor],"&lt;&gt;saída"))/(AK360+(SUMIFS(estoque[quantidade],estoque[produto],preçodiario[[#Headers],[OVO VERMELHO B]],estoque[fornecedor],"&lt;&gt;saída",estoque[data],preçodiario[[#This Row],[data]])))))</f>
        <v/>
      </c>
      <c r="AK361" s="22">
        <f>IF(preçodiario[[#This Row],[entrada BV]]=0,AK360-(SUMIFS(estoque[quantidade],estoque[fornecedor],"saída",estoque[produto],preçodiario[[#Headers],[OVO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Row],[data]]))+AK360+preçodiario[[#This Row],[entrada BV]])</f>
        <v>0</v>
      </c>
      <c r="AL361" s="22">
        <f>SUMIFS(estoque[quantidade],estoque[fornecedor],"&lt;&gt;saída",estoque[produto],preçodiario[[#Headers],[OVO VERMELHO B]],estoque[data],preçodiario[[#This Row],[data]])</f>
        <v>0</v>
      </c>
      <c r="AM361" s="20">
        <f>SUMIFS(estoque[valor total],estoque[fornecedor],"&lt;&gt;saída",estoque[produto],preçodiario[[#Headers],[OVO VERMELHO B]],estoque[data],preçodiario[[#This Row],[data]])</f>
        <v>0</v>
      </c>
      <c r="AN361" s="20">
        <f>IFERROR(preçodiario[[#This Row],[OVO VERMELHO B]]*preçodiario[[#This Row],[estoque BV]],0)</f>
        <v>0</v>
      </c>
      <c r="AO361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Row],[data]]))),IF(AP360=0,SUMIFS(estoque[valor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Row],[data]])),((AO360*AP360)+SUMIFS(estoque[valor total],estoque[produto],preçodiario[[#Headers],[OVO VERMELHO C]],estoque[data],preçodiario[[#This Row],[data]],estoque[fornecedor],"&lt;&gt;saída"))/(AP360+(SUMIFS(estoque[quantidade],estoque[produto],preçodiario[[#Headers],[OVO VERMELHO C]],estoque[fornecedor],"&lt;&gt;saída",estoque[data],preçodiario[[#This Row],[data]])))))</f>
        <v/>
      </c>
      <c r="AP361" s="22">
        <f>IF(preçodiario[[#This Row],[entrada CV]]=0,AP360-(SUMIFS(estoque[quantidade],estoque[fornecedor],"saída",estoque[produto],preçodiario[[#Headers],[OVO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Row],[data]]))+AP360+preçodiario[[#This Row],[entrada CV]])</f>
        <v>0</v>
      </c>
      <c r="AQ361" s="22">
        <f>SUMIFS(estoque[quantidade],estoque[fornecedor],"&lt;&gt;saída",estoque[produto],preçodiario[[#Headers],[OVO VERMELHO C]],estoque[data],preçodiario[[#This Row],[data]])</f>
        <v>0</v>
      </c>
      <c r="AR361" s="20">
        <f>SUMIFS(estoque[valor total],estoque[fornecedor],"&lt;&gt;saída",estoque[produto],preçodiario[[#Headers],[OVO VERMELHO C]],estoque[data],preçodiario[[#This Row],[data]])</f>
        <v>0</v>
      </c>
      <c r="AS361" s="20">
        <f>IFERROR(preçodiario[[#This Row],[OVO VERMELHO C]]*preçodiario[[#This Row],[estoque CV]],0)</f>
        <v>0</v>
      </c>
      <c r="AT361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Row],[data]]))),IF(AU360=0,SUMIFS(estoque[valor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Row],[data]])),((AT360*AU360)+SUMIFS(estoque[valor total],estoque[produto],preçodiario[[#Headers],[OVO VERMELHO EXTRA]],estoque[data],preçodiario[[#This Row],[data]],estoque[fornecedor],"&lt;&gt;saída"))/(AU360+(SUMIFS(estoque[quantidade],estoque[produto],preçodiario[[#Headers],[OVO VERMELHO EXTRA]],estoque[fornecedor],"&lt;&gt;saída",estoque[data],preçodiario[[#This Row],[data]])))))</f>
        <v/>
      </c>
      <c r="AU361" s="22">
        <f>IF(preçodiario[[#This Row],[entrada EV]]=0,AU360-(SUMIFS(estoque[quantidade],estoque[fornecedor],"saída",estoque[produto],preçodiario[[#Headers],[OVO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Row],[data]]))+AU360+preçodiario[[#This Row],[entrada EV]])</f>
        <v>0</v>
      </c>
      <c r="AV361" s="22">
        <f>SUMIFS(estoque[quantidade],estoque[fornecedor],"&lt;&gt;saída",estoque[produto],preçodiario[[#Headers],[OVO VERMELHO EXTRA]],estoque[data],preçodiario[[#This Row],[data]])</f>
        <v>0</v>
      </c>
      <c r="AW361" s="20">
        <f>SUMIFS(estoque[valor total],estoque[fornecedor],"&lt;&gt;saída",estoque[produto],preçodiario[[#Headers],[OVO VERMELHO EXTRA]],estoque[data],preçodiario[[#This Row],[data]])</f>
        <v>0</v>
      </c>
      <c r="AX361" s="20">
        <f>IFERROR(preçodiario[[#This Row],[OVO VERMELHO EXTRA]]*preçodiario[[#This Row],[estoque EV]],0)</f>
        <v>0</v>
      </c>
      <c r="AY361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Row],[data]]))),IF(AZ360=0,SUMIFS(estoque[valor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Row],[data]])),((AY360*AZ360)+SUMIFS(estoque[valor total],estoque[produto],preçodiario[[#Headers],[OVO VERMELHO JUMBO]],estoque[data],preçodiario[[#This Row],[data]],estoque[fornecedor],"&lt;&gt;saída"))/(AZ360+(SUMIFS(estoque[quantidade],estoque[produto],preçodiario[[#Headers],[OVO VERMELHO JUMBO]],estoque[fornecedor],"&lt;&gt;saída",estoque[data],preçodiario[[#This Row],[data]])))))</f>
        <v/>
      </c>
      <c r="AZ361" s="22">
        <f>IF(preçodiario[[#This Row],[entrada JV]]=0,AZ360-(SUMIFS(estoque[quantidade],estoque[fornecedor],"saída",estoque[produto],preçodiario[[#Headers],[OVO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Row],[data]]))+AZ360+preçodiario[[#This Row],[entrada JV]])</f>
        <v>0</v>
      </c>
      <c r="BA361" s="22">
        <f>SUMIFS(estoque[quantidade],estoque[fornecedor],"&lt;&gt;saída",estoque[produto],preçodiario[[#Headers],[OVO VERMELHO JUMBO]],estoque[data],preçodiario[[#This Row],[data]])</f>
        <v>0</v>
      </c>
      <c r="BB361" s="20">
        <f>SUMIFS(estoque[valor total],estoque[fornecedor],"&lt;&gt;saída",estoque[produto],preçodiario[[#Headers],[OVO VERMELHO JUMBO]],estoque[data],preçodiario[[#This Row],[data]])</f>
        <v>0</v>
      </c>
      <c r="BC361" s="20">
        <f>IFERROR(preçodiario[[#This Row],[OVO VERMELHO JUMBO]]*preçodiario[[#This Row],[estoque JV]],0)</f>
        <v>0</v>
      </c>
      <c r="BD361" t="str">
        <f>TEXT(vendaAno[[#This Row],[data]],"mmm")</f>
        <v>dez</v>
      </c>
      <c r="BE361" t="str">
        <f>TEXT(vendaAno[[#This Row],[data]],"ddd")</f>
        <v>sáb</v>
      </c>
      <c r="BF361" s="82">
        <f>WEEKNUM(vendaAno[[#This Row],[data]],13)</f>
        <v>52</v>
      </c>
      <c r="BG361" s="27">
        <f>preçodiario[[#This Row],[data]]</f>
        <v>46382</v>
      </c>
      <c r="BH361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1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1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Row],[data]]))/12+BJ360,"")</f>
        <v/>
      </c>
      <c r="BK361" s="79" t="str">
        <f ca="1">IF(TODAY()&gt;=vendaAno[[#This Row],[data]],IF(SUMIFS(estoque[quantidade],estoque[fornecedor],"saída",estoque[data],vendaAno[[#This Row],[data]])/12=0,AVERAGE(BK358:BK360),SUMIFS(estoque[quantidade],estoque[fornecedor],"saída",estoque[data],vendaAno[[#This Row],[data]])/12),"")</f>
        <v/>
      </c>
      <c r="BL361" s="8" t="str">
        <f ca="1">IF(vendaAno[[#This Row],[data]]&lt;=TODAY(),IF(SUMIFS(estoque[lucro],estoque[fornecedor],"saída",estoque[data],vendaAno[[#This Row],[data]])=0,AVERAGE(BL358:BL360),SUMIFS(estoque[lucro],estoque[fornecedor],"saída",estoque[data],vendaAno[[#This Row],[data]])),"")</f>
        <v/>
      </c>
      <c r="BM361" s="10" t="str">
        <f ca="1">IFERROR(vendaAno[[#This Row],[lucro]]/vendaAno[[#This Row],[valor de venda]],"")</f>
        <v/>
      </c>
      <c r="BN361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1" s="8" t="str">
        <f ca="1">IF(TODAY()&gt;=vendaAno[[#This Row],[data]],IF(vendaAno[[#This Row],[N°]]=BF360,vendaAno[[#This Row],[lucro]]-173.33+BO360,vendaAno[[#This Row],[lucro]]-150),"")</f>
        <v/>
      </c>
      <c r="BP361" s="81" t="str">
        <f ca="1">IF(TODAY()&gt;=vendaAno[[#This Row],[data]],SUM(BK355:BK361)*12,"")</f>
        <v/>
      </c>
      <c r="BQ361" s="7" t="str">
        <f ca="1">IFERROR(vendaAno[[#This Row],[lucro]]/(vendaAno[[#This Row],[venda]]*12),"")</f>
        <v/>
      </c>
    </row>
    <row r="362" spans="1:69" x14ac:dyDescent="0.25">
      <c r="A362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Row],[data]]-1))*A361+SUMIFS(estoque[valor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2" s="18" t="str">
        <f>TEXT(preçodiario[[#This Row],[data]],"MMM")</f>
        <v>dez</v>
      </c>
      <c r="C362" s="18" t="str">
        <f>TEXT(preçodiario[[#This Row],[data]],"ddd")</f>
        <v>dom</v>
      </c>
      <c r="D362" s="96">
        <f>WEEKNUM(preçodiario[[#This Row],[data]],13)</f>
        <v>52</v>
      </c>
      <c r="E362" s="37">
        <v>46383</v>
      </c>
      <c r="F362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Row],[data]]))),IF(G361=0,SUMIFS(estoque[valor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Row],[data]])),((F361*G361)+SUMIFS(estoque[valor total],estoque[produto],preçodiario[[#Headers],[OVO BRANCO A]],estoque[data],preçodiario[[#This Row],[data]],estoque[fornecedor],"&lt;&gt;saída"))/(G361+(SUMIFS(estoque[quantidade],estoque[produto],preçodiario[[#Headers],[OVO BRANCO A]],estoque[fornecedor],"&lt;&gt;saída",estoque[data],preçodiario[[#This Row],[data]])))))</f>
        <v>15.278182701652089</v>
      </c>
      <c r="G362" s="22">
        <f>IF(preçodiario[[#This Row],[entrada A]]=0,G361-(SUMIFS(estoque[quantidade],estoque[fornecedor],"saída",estoque[produto],preçodiario[[#Headers],[OVO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Row],[data]]))+G361+preçodiario[[#This Row],[entrada A]])</f>
        <v>133</v>
      </c>
      <c r="H362" s="22">
        <f>SUMIFS(estoque[quantidade],estoque[fornecedor],"&lt;&gt;saída",estoque[produto],preçodiario[[#Headers],[OVO BRANCO A]],estoque[data],preçodiario[[#This Row],[data]])</f>
        <v>0</v>
      </c>
      <c r="I362" s="20">
        <f>SUMIFS(estoque[valor total],estoque[fornecedor],"&lt;&gt;saída",estoque[produto],preçodiario[[#Headers],[OVO BRANCO A]],estoque[data],preçodiario[[#This Row],[data]])</f>
        <v>0</v>
      </c>
      <c r="J362" s="20">
        <f>IFERROR(preçodiario[[#This Row],[estoque A]]*preçodiario[[#This Row],[OVO BRANCO A]],0)</f>
        <v>2031.9982993197277</v>
      </c>
      <c r="K362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Row],[data]]))),IF(L361=0,SUMIFS(estoque[valor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Row],[data]])),((K361*L361)+SUMIFS(estoque[valor total],estoque[produto],preçodiario[[#Headers],[OVO BRANCO B]],estoque[data],preçodiario[[#This Row],[data]],estoque[fornecedor],"&lt;&gt;saída"))/(L361+(SUMIFS(estoque[quantidade],estoque[produto],preçodiario[[#Headers],[OVO BRANCO B]],estoque[fornecedor],"&lt;&gt;saída",estoque[data],preçodiario[[#This Row],[data]])))))</f>
        <v>14.584252837326604</v>
      </c>
      <c r="L362" s="22">
        <f>IF(preçodiario[[#This Row],[entrada B]]=0,L361-(SUMIFS(estoque[quantidade],estoque[fornecedor],"saída",estoque[produto],preçodiario[[#Headers],[OVO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Row],[data]]))+L361+preçodiario[[#This Row],[entrada B]])</f>
        <v>16</v>
      </c>
      <c r="M362" s="22">
        <f>SUMIFS(estoque[quantidade],estoque[fornecedor],"&lt;&gt;saída",estoque[produto],preçodiario[[#Headers],[OVO BRANCO B]],estoque[data],preçodiario[[#This Row],[data]])</f>
        <v>0</v>
      </c>
      <c r="N362" s="20">
        <f>SUMIFS(estoque[valor total],estoque[fornecedor],"&lt;&gt;saída",estoque[produto],preçodiario[[#Headers],[OVO BRANCO B]],estoque[data],preçodiario[[#This Row],[data]])</f>
        <v>0</v>
      </c>
      <c r="O362" s="20">
        <f>IFERROR(preçodiario[[#This Row],[OVO BRANCO B]]*preçodiario[[#This Row],[estoque B]],0)</f>
        <v>233.34804539722566</v>
      </c>
      <c r="P362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Row],[data]]))),IF(Q361=0,SUMIFS(estoque[valor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Row],[data]])),((P361*Q361)+SUMIFS(estoque[valor total],estoque[produto],preçodiario[[#Headers],[OVO BRANCO C]],estoque[data],preçodiario[[#This Row],[data]],estoque[fornecedor],"&lt;&gt;saída"))/(Q361+(SUMIFS(estoque[quantidade],estoque[produto],preçodiario[[#Headers],[OVO BRANCO C]],estoque[fornecedor],"&lt;&gt;saída",estoque[data],preçodiario[[#This Row],[data]])))))</f>
        <v>12.5</v>
      </c>
      <c r="Q362" s="22">
        <f>IF(preçodiario[[#This Row],[entrada C]]=0,Q361-(SUMIFS(estoque[quantidade],estoque[fornecedor],"saída",estoque[produto],preçodiario[[#Headers],[OVO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Row],[data]]))+Q361+preçodiario[[#This Row],[entrada C]])</f>
        <v>60</v>
      </c>
      <c r="R362" s="22">
        <f>SUMIFS(estoque[quantidade],estoque[fornecedor],"&lt;&gt;saída",estoque[produto],preçodiario[[#Headers],[OVO BRANCO C]],estoque[data],preçodiario[[#This Row],[data]])</f>
        <v>0</v>
      </c>
      <c r="S362" s="20">
        <f>SUMIFS(estoque[valor total],estoque[fornecedor],"&lt;&gt;saída",estoque[produto],preçodiario[[#Headers],[OVO BRANCO C]],estoque[data],preçodiario[[#This Row],[data]])</f>
        <v>0</v>
      </c>
      <c r="T362" s="20">
        <f>IFERROR(preçodiario[[#This Row],[OVO BRANCO C]]*preçodiario[[#This Row],[estoque C]],0)</f>
        <v>750</v>
      </c>
      <c r="U362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Row],[data]]))),IF(V361=0,SUMIFS(estoque[valor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Row],[data]])),((U361*V361)+SUMIFS(estoque[valor total],estoque[produto],preçodiario[[#Headers],[OVO BRANCO EXTRA]],estoque[data],preçodiario[[#This Row],[data]],estoque[fornecedor],"&lt;&gt;saída"))/(V361+(SUMIFS(estoque[quantidade],estoque[produto],preçodiario[[#Headers],[OVO BRANCO EXTRA]],estoque[fornecedor],"&lt;&gt;saída",estoque[data],preçodiario[[#This Row],[data]])))))</f>
        <v>15.725438400674655</v>
      </c>
      <c r="V362" s="22">
        <f>IF(preçodiario[[#This Row],[entrada E]]=0,V361-(SUMIFS(estoque[quantidade],estoque[fornecedor],"saída",estoque[produto],preçodiario[[#Headers],[OVO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Row],[data]]))+V361+preçodiario[[#This Row],[entrada E]])</f>
        <v>46</v>
      </c>
      <c r="W362" s="22">
        <f>SUMIFS(estoque[quantidade],estoque[fornecedor],"&lt;&gt;saída",estoque[produto],preçodiario[[#Headers],[OVO BRANCO EXTRA]],estoque[data],preçodiario[[#This Row],[data]])</f>
        <v>0</v>
      </c>
      <c r="X362" s="20">
        <f>SUMIFS(estoque[valor total],estoque[fornecedor],"&lt;&gt;saída",estoque[produto],preçodiario[[#Headers],[OVO BRANCO EXTRA]],estoque[data],preçodiario[[#This Row],[data]])</f>
        <v>0</v>
      </c>
      <c r="Y362" s="20">
        <f>IFERROR(preçodiario[[#This Row],[estoque E]]*preçodiario[[#This Row],[OVO BRANCO EXTRA]],0)</f>
        <v>723.37016643103414</v>
      </c>
      <c r="Z362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Row],[data]]))),IF(AA361=0,SUMIFS(estoque[valor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Row],[data]])),((Z361*AA361)+SUMIFS(estoque[valor total],estoque[produto],preçodiario[[#Headers],[OVO BRANCO JUMBO]],estoque[data],preçodiario[[#This Row],[data]],estoque[fornecedor],"&lt;&gt;saída"))/(AA361+(SUMIFS(estoque[quantidade],estoque[produto],preçodiario[[#Headers],[OVO BRANCO JUMBO]],estoque[fornecedor],"&lt;&gt;saída",estoque[data],preçodiario[[#This Row],[data]])))))</f>
        <v>16.50550595238095</v>
      </c>
      <c r="AA362" s="22">
        <f>IF(preçodiario[[#This Row],[entrada J]]=0,AA361-(SUMIFS(estoque[quantidade],estoque[fornecedor],"saída",estoque[produto],preçodiario[[#Headers],[OVO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Row],[data]]))+AA361+preçodiario[[#This Row],[entrada J]])</f>
        <v>75</v>
      </c>
      <c r="AB362" s="22">
        <f>SUMIFS(estoque[quantidade],estoque[fornecedor],"&lt;&gt;saída",estoque[produto],preçodiario[[#Headers],[OVO BRANCO JUMBO]],estoque[data],preçodiario[[#This Row],[data]])</f>
        <v>0</v>
      </c>
      <c r="AC362" s="20">
        <f>SUMIFS(estoque[valor total],estoque[fornecedor],"&lt;&gt;saída",estoque[produto],preçodiario[[#Headers],[OVO BRANCO JUMBO]],estoque[data],preçodiario[[#This Row],[data]])</f>
        <v>0</v>
      </c>
      <c r="AD362" s="20">
        <f>IFERROR(preçodiario[[#This Row],[OVO BRANCO JUMBO]]*preçodiario[[#This Row],[estoque J]],0)</f>
        <v>1237.9129464285713</v>
      </c>
      <c r="AE362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Row],[data]]))),IF(AF361=0,SUMIFS(estoque[valor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Row],[data]])),((AE361*AF361)+SUMIFS(estoque[valor total],estoque[produto],preçodiario[[#Headers],[OVO VERMELHO A]],estoque[data],preçodiario[[#This Row],[data]],estoque[fornecedor],"&lt;&gt;saída"))/(AF361+(SUMIFS(estoque[quantidade],estoque[produto],preçodiario[[#Headers],[OVO VERMELHO A]],estoque[fornecedor],"&lt;&gt;saída",estoque[data],preçodiario[[#This Row],[data]])))))</f>
        <v/>
      </c>
      <c r="AF362" s="22">
        <f>IF(preçodiario[[#This Row],[entrada AV]]=0,AF361-(SUMIFS(estoque[quantidade],estoque[fornecedor],"saída",estoque[produto],preçodiario[[#Headers],[OVO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Row],[data]]))+AF361+preçodiario[[#This Row],[entrada AV]])</f>
        <v>0</v>
      </c>
      <c r="AG362" s="22">
        <f>SUMIFS(estoque[quantidade],estoque[fornecedor],"&lt;&gt;saída",estoque[produto],preçodiario[[#Headers],[OVO VERMELHO A]],estoque[data],preçodiario[[#This Row],[data]])</f>
        <v>0</v>
      </c>
      <c r="AH362" s="20">
        <f>SUMIFS(estoque[valor total],estoque[fornecedor],"&lt;&gt;saída",estoque[produto],preçodiario[[#Headers],[OVO VERMELHO A]],estoque[data],preçodiario[[#This Row],[data]])</f>
        <v>0</v>
      </c>
      <c r="AI362" s="20">
        <f>IFERROR(preçodiario[[#This Row],[OVO VERMELHO A]]*preçodiario[[#This Row],[estoque AV]],0)</f>
        <v>0</v>
      </c>
      <c r="AJ362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Row],[data]]))),IF(AK361=0,SUMIFS(estoque[valor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Row],[data]])),((AJ361*AK361)+SUMIFS(estoque[valor total],estoque[produto],preçodiario[[#Headers],[OVO VERMELHO B]],estoque[data],preçodiario[[#This Row],[data]],estoque[fornecedor],"&lt;&gt;saída"))/(AK361+(SUMIFS(estoque[quantidade],estoque[produto],preçodiario[[#Headers],[OVO VERMELHO B]],estoque[fornecedor],"&lt;&gt;saída",estoque[data],preçodiario[[#This Row],[data]])))))</f>
        <v/>
      </c>
      <c r="AK362" s="22">
        <f>IF(preçodiario[[#This Row],[entrada BV]]=0,AK361-(SUMIFS(estoque[quantidade],estoque[fornecedor],"saída",estoque[produto],preçodiario[[#Headers],[OVO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Row],[data]]))+AK361+preçodiario[[#This Row],[entrada BV]])</f>
        <v>0</v>
      </c>
      <c r="AL362" s="22">
        <f>SUMIFS(estoque[quantidade],estoque[fornecedor],"&lt;&gt;saída",estoque[produto],preçodiario[[#Headers],[OVO VERMELHO B]],estoque[data],preçodiario[[#This Row],[data]])</f>
        <v>0</v>
      </c>
      <c r="AM362" s="20">
        <f>SUMIFS(estoque[valor total],estoque[fornecedor],"&lt;&gt;saída",estoque[produto],preçodiario[[#Headers],[OVO VERMELHO B]],estoque[data],preçodiario[[#This Row],[data]])</f>
        <v>0</v>
      </c>
      <c r="AN362" s="20">
        <f>IFERROR(preçodiario[[#This Row],[OVO VERMELHO B]]*preçodiario[[#This Row],[estoque BV]],0)</f>
        <v>0</v>
      </c>
      <c r="AO362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Row],[data]]))),IF(AP361=0,SUMIFS(estoque[valor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Row],[data]])),((AO361*AP361)+SUMIFS(estoque[valor total],estoque[produto],preçodiario[[#Headers],[OVO VERMELHO C]],estoque[data],preçodiario[[#This Row],[data]],estoque[fornecedor],"&lt;&gt;saída"))/(AP361+(SUMIFS(estoque[quantidade],estoque[produto],preçodiario[[#Headers],[OVO VERMELHO C]],estoque[fornecedor],"&lt;&gt;saída",estoque[data],preçodiario[[#This Row],[data]])))))</f>
        <v/>
      </c>
      <c r="AP362" s="22">
        <f>IF(preçodiario[[#This Row],[entrada CV]]=0,AP361-(SUMIFS(estoque[quantidade],estoque[fornecedor],"saída",estoque[produto],preçodiario[[#Headers],[OVO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Row],[data]]))+AP361+preçodiario[[#This Row],[entrada CV]])</f>
        <v>0</v>
      </c>
      <c r="AQ362" s="22">
        <f>SUMIFS(estoque[quantidade],estoque[fornecedor],"&lt;&gt;saída",estoque[produto],preçodiario[[#Headers],[OVO VERMELHO C]],estoque[data],preçodiario[[#This Row],[data]])</f>
        <v>0</v>
      </c>
      <c r="AR362" s="20">
        <f>SUMIFS(estoque[valor total],estoque[fornecedor],"&lt;&gt;saída",estoque[produto],preçodiario[[#Headers],[OVO VERMELHO C]],estoque[data],preçodiario[[#This Row],[data]])</f>
        <v>0</v>
      </c>
      <c r="AS362" s="20">
        <f>IFERROR(preçodiario[[#This Row],[OVO VERMELHO C]]*preçodiario[[#This Row],[estoque CV]],0)</f>
        <v>0</v>
      </c>
      <c r="AT362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Row],[data]]))),IF(AU361=0,SUMIFS(estoque[valor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Row],[data]])),((AT361*AU361)+SUMIFS(estoque[valor total],estoque[produto],preçodiario[[#Headers],[OVO VERMELHO EXTRA]],estoque[data],preçodiario[[#This Row],[data]],estoque[fornecedor],"&lt;&gt;saída"))/(AU361+(SUMIFS(estoque[quantidade],estoque[produto],preçodiario[[#Headers],[OVO VERMELHO EXTRA]],estoque[fornecedor],"&lt;&gt;saída",estoque[data],preçodiario[[#This Row],[data]])))))</f>
        <v/>
      </c>
      <c r="AU362" s="22">
        <f>IF(preçodiario[[#This Row],[entrada EV]]=0,AU361-(SUMIFS(estoque[quantidade],estoque[fornecedor],"saída",estoque[produto],preçodiario[[#Headers],[OVO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Row],[data]]))+AU361+preçodiario[[#This Row],[entrada EV]])</f>
        <v>0</v>
      </c>
      <c r="AV362" s="22">
        <f>SUMIFS(estoque[quantidade],estoque[fornecedor],"&lt;&gt;saída",estoque[produto],preçodiario[[#Headers],[OVO VERMELHO EXTRA]],estoque[data],preçodiario[[#This Row],[data]])</f>
        <v>0</v>
      </c>
      <c r="AW362" s="20">
        <f>SUMIFS(estoque[valor total],estoque[fornecedor],"&lt;&gt;saída",estoque[produto],preçodiario[[#Headers],[OVO VERMELHO EXTRA]],estoque[data],preçodiario[[#This Row],[data]])</f>
        <v>0</v>
      </c>
      <c r="AX362" s="20">
        <f>IFERROR(preçodiario[[#This Row],[OVO VERMELHO EXTRA]]*preçodiario[[#This Row],[estoque EV]],0)</f>
        <v>0</v>
      </c>
      <c r="AY362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Row],[data]]))),IF(AZ361=0,SUMIFS(estoque[valor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Row],[data]])),((AY361*AZ361)+SUMIFS(estoque[valor total],estoque[produto],preçodiario[[#Headers],[OVO VERMELHO JUMBO]],estoque[data],preçodiario[[#This Row],[data]],estoque[fornecedor],"&lt;&gt;saída"))/(AZ361+(SUMIFS(estoque[quantidade],estoque[produto],preçodiario[[#Headers],[OVO VERMELHO JUMBO]],estoque[fornecedor],"&lt;&gt;saída",estoque[data],preçodiario[[#This Row],[data]])))))</f>
        <v/>
      </c>
      <c r="AZ362" s="22">
        <f>IF(preçodiario[[#This Row],[entrada JV]]=0,AZ361-(SUMIFS(estoque[quantidade],estoque[fornecedor],"saída",estoque[produto],preçodiario[[#Headers],[OVO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Row],[data]]))+AZ361+preçodiario[[#This Row],[entrada JV]])</f>
        <v>0</v>
      </c>
      <c r="BA362" s="22">
        <f>SUMIFS(estoque[quantidade],estoque[fornecedor],"&lt;&gt;saída",estoque[produto],preçodiario[[#Headers],[OVO VERMELHO JUMBO]],estoque[data],preçodiario[[#This Row],[data]])</f>
        <v>0</v>
      </c>
      <c r="BB362" s="20">
        <f>SUMIFS(estoque[valor total],estoque[fornecedor],"&lt;&gt;saída",estoque[produto],preçodiario[[#Headers],[OVO VERMELHO JUMBO]],estoque[data],preçodiario[[#This Row],[data]])</f>
        <v>0</v>
      </c>
      <c r="BC362" s="20">
        <f>IFERROR(preçodiario[[#This Row],[OVO VERMELHO JUMBO]]*preçodiario[[#This Row],[estoque JV]],0)</f>
        <v>0</v>
      </c>
      <c r="BD362" t="str">
        <f>TEXT(vendaAno[[#This Row],[data]],"mmm")</f>
        <v>dez</v>
      </c>
      <c r="BE362" t="str">
        <f>TEXT(vendaAno[[#This Row],[data]],"ddd")</f>
        <v>dom</v>
      </c>
      <c r="BF362" s="82">
        <f>WEEKNUM(vendaAno[[#This Row],[data]],13)</f>
        <v>52</v>
      </c>
      <c r="BG362" s="27">
        <f>preçodiario[[#This Row],[data]]</f>
        <v>46383</v>
      </c>
      <c r="BH362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2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2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Row],[data]]))/12+BJ361,"")</f>
        <v/>
      </c>
      <c r="BK362" s="79" t="str">
        <f ca="1">IF(TODAY()&gt;=vendaAno[[#This Row],[data]],IF(SUMIFS(estoque[quantidade],estoque[fornecedor],"saída",estoque[data],vendaAno[[#This Row],[data]])/12=0,AVERAGE(BK359:BK361),SUMIFS(estoque[quantidade],estoque[fornecedor],"saída",estoque[data],vendaAno[[#This Row],[data]])/12),"")</f>
        <v/>
      </c>
      <c r="BL362" s="8" t="str">
        <f ca="1">IF(vendaAno[[#This Row],[data]]&lt;=TODAY(),IF(SUMIFS(estoque[lucro],estoque[fornecedor],"saída",estoque[data],vendaAno[[#This Row],[data]])=0,AVERAGE(BL359:BL361),SUMIFS(estoque[lucro],estoque[fornecedor],"saída",estoque[data],vendaAno[[#This Row],[data]])),"")</f>
        <v/>
      </c>
      <c r="BM362" s="10" t="str">
        <f ca="1">IFERROR(vendaAno[[#This Row],[lucro]]/vendaAno[[#This Row],[valor de venda]],"")</f>
        <v/>
      </c>
      <c r="BN362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2" s="8" t="str">
        <f ca="1">IF(TODAY()&gt;=vendaAno[[#This Row],[data]],IF(vendaAno[[#This Row],[N°]]=BF361,vendaAno[[#This Row],[lucro]]-173.33+BO361,vendaAno[[#This Row],[lucro]]-150),"")</f>
        <v/>
      </c>
      <c r="BP362" s="81" t="str">
        <f ca="1">IF(TODAY()&gt;=vendaAno[[#This Row],[data]],SUM(BK356:BK362)*12,"")</f>
        <v/>
      </c>
      <c r="BQ362" s="7" t="str">
        <f ca="1">IFERROR(vendaAno[[#This Row],[lucro]]/(vendaAno[[#This Row],[venda]]*12),"")</f>
        <v/>
      </c>
    </row>
    <row r="363" spans="1:69" x14ac:dyDescent="0.25">
      <c r="A363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Row],[data]]-1))*A362+SUMIFS(estoque[valor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3" s="18" t="str">
        <f>TEXT(preçodiario[[#This Row],[data]],"MMM")</f>
        <v>dez</v>
      </c>
      <c r="C363" s="18" t="str">
        <f>TEXT(preçodiario[[#This Row],[data]],"ddd")</f>
        <v>seg</v>
      </c>
      <c r="D363" s="96">
        <f>WEEKNUM(preçodiario[[#This Row],[data]],13)</f>
        <v>52</v>
      </c>
      <c r="E363" s="37">
        <v>46384</v>
      </c>
      <c r="F363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Row],[data]]))),IF(G362=0,SUMIFS(estoque[valor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Row],[data]])),((F362*G362)+SUMIFS(estoque[valor total],estoque[produto],preçodiario[[#Headers],[OVO BRANCO A]],estoque[data],preçodiario[[#This Row],[data]],estoque[fornecedor],"&lt;&gt;saída"))/(G362+(SUMIFS(estoque[quantidade],estoque[produto],preçodiario[[#Headers],[OVO BRANCO A]],estoque[fornecedor],"&lt;&gt;saída",estoque[data],preçodiario[[#This Row],[data]])))))</f>
        <v>15.278182701652089</v>
      </c>
      <c r="G363" s="22">
        <f>IF(preçodiario[[#This Row],[entrada A]]=0,G362-(SUMIFS(estoque[quantidade],estoque[fornecedor],"saída",estoque[produto],preçodiario[[#Headers],[OVO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Row],[data]]))+G362+preçodiario[[#This Row],[entrada A]])</f>
        <v>133</v>
      </c>
      <c r="H363" s="22">
        <f>SUMIFS(estoque[quantidade],estoque[fornecedor],"&lt;&gt;saída",estoque[produto],preçodiario[[#Headers],[OVO BRANCO A]],estoque[data],preçodiario[[#This Row],[data]])</f>
        <v>0</v>
      </c>
      <c r="I363" s="20">
        <f>SUMIFS(estoque[valor total],estoque[fornecedor],"&lt;&gt;saída",estoque[produto],preçodiario[[#Headers],[OVO BRANCO A]],estoque[data],preçodiario[[#This Row],[data]])</f>
        <v>0</v>
      </c>
      <c r="J363" s="20">
        <f>IFERROR(preçodiario[[#This Row],[estoque A]]*preçodiario[[#This Row],[OVO BRANCO A]],0)</f>
        <v>2031.9982993197277</v>
      </c>
      <c r="K363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Row],[data]]))),IF(L362=0,SUMIFS(estoque[valor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Row],[data]])),((K362*L362)+SUMIFS(estoque[valor total],estoque[produto],preçodiario[[#Headers],[OVO BRANCO B]],estoque[data],preçodiario[[#This Row],[data]],estoque[fornecedor],"&lt;&gt;saída"))/(L362+(SUMIFS(estoque[quantidade],estoque[produto],preçodiario[[#Headers],[OVO BRANCO B]],estoque[fornecedor],"&lt;&gt;saída",estoque[data],preçodiario[[#This Row],[data]])))))</f>
        <v>14.584252837326604</v>
      </c>
      <c r="L363" s="22">
        <f>IF(preçodiario[[#This Row],[entrada B]]=0,L362-(SUMIFS(estoque[quantidade],estoque[fornecedor],"saída",estoque[produto],preçodiario[[#Headers],[OVO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Row],[data]]))+L362+preçodiario[[#This Row],[entrada B]])</f>
        <v>16</v>
      </c>
      <c r="M363" s="22">
        <f>SUMIFS(estoque[quantidade],estoque[fornecedor],"&lt;&gt;saída",estoque[produto],preçodiario[[#Headers],[OVO BRANCO B]],estoque[data],preçodiario[[#This Row],[data]])</f>
        <v>0</v>
      </c>
      <c r="N363" s="20">
        <f>SUMIFS(estoque[valor total],estoque[fornecedor],"&lt;&gt;saída",estoque[produto],preçodiario[[#Headers],[OVO BRANCO B]],estoque[data],preçodiario[[#This Row],[data]])</f>
        <v>0</v>
      </c>
      <c r="O363" s="20">
        <f>IFERROR(preçodiario[[#This Row],[OVO BRANCO B]]*preçodiario[[#This Row],[estoque B]],0)</f>
        <v>233.34804539722566</v>
      </c>
      <c r="P363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Row],[data]]))),IF(Q362=0,SUMIFS(estoque[valor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Row],[data]])),((P362*Q362)+SUMIFS(estoque[valor total],estoque[produto],preçodiario[[#Headers],[OVO BRANCO C]],estoque[data],preçodiario[[#This Row],[data]],estoque[fornecedor],"&lt;&gt;saída"))/(Q362+(SUMIFS(estoque[quantidade],estoque[produto],preçodiario[[#Headers],[OVO BRANCO C]],estoque[fornecedor],"&lt;&gt;saída",estoque[data],preçodiario[[#This Row],[data]])))))</f>
        <v>12.5</v>
      </c>
      <c r="Q363" s="22">
        <f>IF(preçodiario[[#This Row],[entrada C]]=0,Q362-(SUMIFS(estoque[quantidade],estoque[fornecedor],"saída",estoque[produto],preçodiario[[#Headers],[OVO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Row],[data]]))+Q362+preçodiario[[#This Row],[entrada C]])</f>
        <v>60</v>
      </c>
      <c r="R363" s="22">
        <f>SUMIFS(estoque[quantidade],estoque[fornecedor],"&lt;&gt;saída",estoque[produto],preçodiario[[#Headers],[OVO BRANCO C]],estoque[data],preçodiario[[#This Row],[data]])</f>
        <v>0</v>
      </c>
      <c r="S363" s="20">
        <f>SUMIFS(estoque[valor total],estoque[fornecedor],"&lt;&gt;saída",estoque[produto],preçodiario[[#Headers],[OVO BRANCO C]],estoque[data],preçodiario[[#This Row],[data]])</f>
        <v>0</v>
      </c>
      <c r="T363" s="20">
        <f>IFERROR(preçodiario[[#This Row],[OVO BRANCO C]]*preçodiario[[#This Row],[estoque C]],0)</f>
        <v>750</v>
      </c>
      <c r="U363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Row],[data]]))),IF(V362=0,SUMIFS(estoque[valor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Row],[data]])),((U362*V362)+SUMIFS(estoque[valor total],estoque[produto],preçodiario[[#Headers],[OVO BRANCO EXTRA]],estoque[data],preçodiario[[#This Row],[data]],estoque[fornecedor],"&lt;&gt;saída"))/(V362+(SUMIFS(estoque[quantidade],estoque[produto],preçodiario[[#Headers],[OVO BRANCO EXTRA]],estoque[fornecedor],"&lt;&gt;saída",estoque[data],preçodiario[[#This Row],[data]])))))</f>
        <v>15.725438400674655</v>
      </c>
      <c r="V363" s="22">
        <f>IF(preçodiario[[#This Row],[entrada E]]=0,V362-(SUMIFS(estoque[quantidade],estoque[fornecedor],"saída",estoque[produto],preçodiario[[#Headers],[OVO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Row],[data]]))+V362+preçodiario[[#This Row],[entrada E]])</f>
        <v>46</v>
      </c>
      <c r="W363" s="22">
        <f>SUMIFS(estoque[quantidade],estoque[fornecedor],"&lt;&gt;saída",estoque[produto],preçodiario[[#Headers],[OVO BRANCO EXTRA]],estoque[data],preçodiario[[#This Row],[data]])</f>
        <v>0</v>
      </c>
      <c r="X363" s="20">
        <f>SUMIFS(estoque[valor total],estoque[fornecedor],"&lt;&gt;saída",estoque[produto],preçodiario[[#Headers],[OVO BRANCO EXTRA]],estoque[data],preçodiario[[#This Row],[data]])</f>
        <v>0</v>
      </c>
      <c r="Y363" s="20">
        <f>IFERROR(preçodiario[[#This Row],[estoque E]]*preçodiario[[#This Row],[OVO BRANCO EXTRA]],0)</f>
        <v>723.37016643103414</v>
      </c>
      <c r="Z363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Row],[data]]))),IF(AA362=0,SUMIFS(estoque[valor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Row],[data]])),((Z362*AA362)+SUMIFS(estoque[valor total],estoque[produto],preçodiario[[#Headers],[OVO BRANCO JUMBO]],estoque[data],preçodiario[[#This Row],[data]],estoque[fornecedor],"&lt;&gt;saída"))/(AA362+(SUMIFS(estoque[quantidade],estoque[produto],preçodiario[[#Headers],[OVO BRANCO JUMBO]],estoque[fornecedor],"&lt;&gt;saída",estoque[data],preçodiario[[#This Row],[data]])))))</f>
        <v>16.50550595238095</v>
      </c>
      <c r="AA363" s="22">
        <f>IF(preçodiario[[#This Row],[entrada J]]=0,AA362-(SUMIFS(estoque[quantidade],estoque[fornecedor],"saída",estoque[produto],preçodiario[[#Headers],[OVO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Row],[data]]))+AA362+preçodiario[[#This Row],[entrada J]])</f>
        <v>75</v>
      </c>
      <c r="AB363" s="22">
        <f>SUMIFS(estoque[quantidade],estoque[fornecedor],"&lt;&gt;saída",estoque[produto],preçodiario[[#Headers],[OVO BRANCO JUMBO]],estoque[data],preçodiario[[#This Row],[data]])</f>
        <v>0</v>
      </c>
      <c r="AC363" s="20">
        <f>SUMIFS(estoque[valor total],estoque[fornecedor],"&lt;&gt;saída",estoque[produto],preçodiario[[#Headers],[OVO BRANCO JUMBO]],estoque[data],preçodiario[[#This Row],[data]])</f>
        <v>0</v>
      </c>
      <c r="AD363" s="20">
        <f>IFERROR(preçodiario[[#This Row],[OVO BRANCO JUMBO]]*preçodiario[[#This Row],[estoque J]],0)</f>
        <v>1237.9129464285713</v>
      </c>
      <c r="AE363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Row],[data]]))),IF(AF362=0,SUMIFS(estoque[valor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Row],[data]])),((AE362*AF362)+SUMIFS(estoque[valor total],estoque[produto],preçodiario[[#Headers],[OVO VERMELHO A]],estoque[data],preçodiario[[#This Row],[data]],estoque[fornecedor],"&lt;&gt;saída"))/(AF362+(SUMIFS(estoque[quantidade],estoque[produto],preçodiario[[#Headers],[OVO VERMELHO A]],estoque[fornecedor],"&lt;&gt;saída",estoque[data],preçodiario[[#This Row],[data]])))))</f>
        <v/>
      </c>
      <c r="AF363" s="22">
        <f>IF(preçodiario[[#This Row],[entrada AV]]=0,AF362-(SUMIFS(estoque[quantidade],estoque[fornecedor],"saída",estoque[produto],preçodiario[[#Headers],[OVO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Row],[data]]))+AF362+preçodiario[[#This Row],[entrada AV]])</f>
        <v>0</v>
      </c>
      <c r="AG363" s="22">
        <f>SUMIFS(estoque[quantidade],estoque[fornecedor],"&lt;&gt;saída",estoque[produto],preçodiario[[#Headers],[OVO VERMELHO A]],estoque[data],preçodiario[[#This Row],[data]])</f>
        <v>0</v>
      </c>
      <c r="AH363" s="20">
        <f>SUMIFS(estoque[valor total],estoque[fornecedor],"&lt;&gt;saída",estoque[produto],preçodiario[[#Headers],[OVO VERMELHO A]],estoque[data],preçodiario[[#This Row],[data]])</f>
        <v>0</v>
      </c>
      <c r="AI363" s="20">
        <f>IFERROR(preçodiario[[#This Row],[OVO VERMELHO A]]*preçodiario[[#This Row],[estoque AV]],0)</f>
        <v>0</v>
      </c>
      <c r="AJ363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Row],[data]]))),IF(AK362=0,SUMIFS(estoque[valor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Row],[data]])),((AJ362*AK362)+SUMIFS(estoque[valor total],estoque[produto],preçodiario[[#Headers],[OVO VERMELHO B]],estoque[data],preçodiario[[#This Row],[data]],estoque[fornecedor],"&lt;&gt;saída"))/(AK362+(SUMIFS(estoque[quantidade],estoque[produto],preçodiario[[#Headers],[OVO VERMELHO B]],estoque[fornecedor],"&lt;&gt;saída",estoque[data],preçodiario[[#This Row],[data]])))))</f>
        <v/>
      </c>
      <c r="AK363" s="22">
        <f>IF(preçodiario[[#This Row],[entrada BV]]=0,AK362-(SUMIFS(estoque[quantidade],estoque[fornecedor],"saída",estoque[produto],preçodiario[[#Headers],[OVO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Row],[data]]))+AK362+preçodiario[[#This Row],[entrada BV]])</f>
        <v>0</v>
      </c>
      <c r="AL363" s="22">
        <f>SUMIFS(estoque[quantidade],estoque[fornecedor],"&lt;&gt;saída",estoque[produto],preçodiario[[#Headers],[OVO VERMELHO B]],estoque[data],preçodiario[[#This Row],[data]])</f>
        <v>0</v>
      </c>
      <c r="AM363" s="20">
        <f>SUMIFS(estoque[valor total],estoque[fornecedor],"&lt;&gt;saída",estoque[produto],preçodiario[[#Headers],[OVO VERMELHO B]],estoque[data],preçodiario[[#This Row],[data]])</f>
        <v>0</v>
      </c>
      <c r="AN363" s="20">
        <f>IFERROR(preçodiario[[#This Row],[OVO VERMELHO B]]*preçodiario[[#This Row],[estoque BV]],0)</f>
        <v>0</v>
      </c>
      <c r="AO363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Row],[data]]))),IF(AP362=0,SUMIFS(estoque[valor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Row],[data]])),((AO362*AP362)+SUMIFS(estoque[valor total],estoque[produto],preçodiario[[#Headers],[OVO VERMELHO C]],estoque[data],preçodiario[[#This Row],[data]],estoque[fornecedor],"&lt;&gt;saída"))/(AP362+(SUMIFS(estoque[quantidade],estoque[produto],preçodiario[[#Headers],[OVO VERMELHO C]],estoque[fornecedor],"&lt;&gt;saída",estoque[data],preçodiario[[#This Row],[data]])))))</f>
        <v/>
      </c>
      <c r="AP363" s="22">
        <f>IF(preçodiario[[#This Row],[entrada CV]]=0,AP362-(SUMIFS(estoque[quantidade],estoque[fornecedor],"saída",estoque[produto],preçodiario[[#Headers],[OVO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Row],[data]]))+AP362+preçodiario[[#This Row],[entrada CV]])</f>
        <v>0</v>
      </c>
      <c r="AQ363" s="22">
        <f>SUMIFS(estoque[quantidade],estoque[fornecedor],"&lt;&gt;saída",estoque[produto],preçodiario[[#Headers],[OVO VERMELHO C]],estoque[data],preçodiario[[#This Row],[data]])</f>
        <v>0</v>
      </c>
      <c r="AR363" s="20">
        <f>SUMIFS(estoque[valor total],estoque[fornecedor],"&lt;&gt;saída",estoque[produto],preçodiario[[#Headers],[OVO VERMELHO C]],estoque[data],preçodiario[[#This Row],[data]])</f>
        <v>0</v>
      </c>
      <c r="AS363" s="20">
        <f>IFERROR(preçodiario[[#This Row],[OVO VERMELHO C]]*preçodiario[[#This Row],[estoque CV]],0)</f>
        <v>0</v>
      </c>
      <c r="AT363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Row],[data]]))),IF(AU362=0,SUMIFS(estoque[valor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Row],[data]])),((AT362*AU362)+SUMIFS(estoque[valor total],estoque[produto],preçodiario[[#Headers],[OVO VERMELHO EXTRA]],estoque[data],preçodiario[[#This Row],[data]],estoque[fornecedor],"&lt;&gt;saída"))/(AU362+(SUMIFS(estoque[quantidade],estoque[produto],preçodiario[[#Headers],[OVO VERMELHO EXTRA]],estoque[fornecedor],"&lt;&gt;saída",estoque[data],preçodiario[[#This Row],[data]])))))</f>
        <v/>
      </c>
      <c r="AU363" s="22">
        <f>IF(preçodiario[[#This Row],[entrada EV]]=0,AU362-(SUMIFS(estoque[quantidade],estoque[fornecedor],"saída",estoque[produto],preçodiario[[#Headers],[OVO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Row],[data]]))+AU362+preçodiario[[#This Row],[entrada EV]])</f>
        <v>0</v>
      </c>
      <c r="AV363" s="22">
        <f>SUMIFS(estoque[quantidade],estoque[fornecedor],"&lt;&gt;saída",estoque[produto],preçodiario[[#Headers],[OVO VERMELHO EXTRA]],estoque[data],preçodiario[[#This Row],[data]])</f>
        <v>0</v>
      </c>
      <c r="AW363" s="20">
        <f>SUMIFS(estoque[valor total],estoque[fornecedor],"&lt;&gt;saída",estoque[produto],preçodiario[[#Headers],[OVO VERMELHO EXTRA]],estoque[data],preçodiario[[#This Row],[data]])</f>
        <v>0</v>
      </c>
      <c r="AX363" s="20">
        <f>IFERROR(preçodiario[[#This Row],[OVO VERMELHO EXTRA]]*preçodiario[[#This Row],[estoque EV]],0)</f>
        <v>0</v>
      </c>
      <c r="AY363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Row],[data]]))),IF(AZ362=0,SUMIFS(estoque[valor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Row],[data]])),((AY362*AZ362)+SUMIFS(estoque[valor total],estoque[produto],preçodiario[[#Headers],[OVO VERMELHO JUMBO]],estoque[data],preçodiario[[#This Row],[data]],estoque[fornecedor],"&lt;&gt;saída"))/(AZ362+(SUMIFS(estoque[quantidade],estoque[produto],preçodiario[[#Headers],[OVO VERMELHO JUMBO]],estoque[fornecedor],"&lt;&gt;saída",estoque[data],preçodiario[[#This Row],[data]])))))</f>
        <v/>
      </c>
      <c r="AZ363" s="22">
        <f>IF(preçodiario[[#This Row],[entrada JV]]=0,AZ362-(SUMIFS(estoque[quantidade],estoque[fornecedor],"saída",estoque[produto],preçodiario[[#Headers],[OVO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Row],[data]]))+AZ362+preçodiario[[#This Row],[entrada JV]])</f>
        <v>0</v>
      </c>
      <c r="BA363" s="22">
        <f>SUMIFS(estoque[quantidade],estoque[fornecedor],"&lt;&gt;saída",estoque[produto],preçodiario[[#Headers],[OVO VERMELHO JUMBO]],estoque[data],preçodiario[[#This Row],[data]])</f>
        <v>0</v>
      </c>
      <c r="BB363" s="20">
        <f>SUMIFS(estoque[valor total],estoque[fornecedor],"&lt;&gt;saída",estoque[produto],preçodiario[[#Headers],[OVO VERMELHO JUMBO]],estoque[data],preçodiario[[#This Row],[data]])</f>
        <v>0</v>
      </c>
      <c r="BC363" s="20">
        <f>IFERROR(preçodiario[[#This Row],[OVO VERMELHO JUMBO]]*preçodiario[[#This Row],[estoque JV]],0)</f>
        <v>0</v>
      </c>
      <c r="BD363" t="str">
        <f>TEXT(vendaAno[[#This Row],[data]],"mmm")</f>
        <v>dez</v>
      </c>
      <c r="BE363" t="str">
        <f>TEXT(vendaAno[[#This Row],[data]],"ddd")</f>
        <v>seg</v>
      </c>
      <c r="BF363" s="82">
        <f>WEEKNUM(vendaAno[[#This Row],[data]],13)</f>
        <v>52</v>
      </c>
      <c r="BG363" s="27">
        <f>preçodiario[[#This Row],[data]]</f>
        <v>46384</v>
      </c>
      <c r="BH363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3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3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Row],[data]]))/12+BJ362,"")</f>
        <v/>
      </c>
      <c r="BK363" s="79" t="str">
        <f ca="1">IF(TODAY()&gt;=vendaAno[[#This Row],[data]],IF(SUMIFS(estoque[quantidade],estoque[fornecedor],"saída",estoque[data],vendaAno[[#This Row],[data]])/12=0,AVERAGE(BK360:BK362),SUMIFS(estoque[quantidade],estoque[fornecedor],"saída",estoque[data],vendaAno[[#This Row],[data]])/12),"")</f>
        <v/>
      </c>
      <c r="BL363" s="8" t="str">
        <f ca="1">IF(vendaAno[[#This Row],[data]]&lt;=TODAY(),IF(SUMIFS(estoque[lucro],estoque[fornecedor],"saída",estoque[data],vendaAno[[#This Row],[data]])=0,AVERAGE(BL360:BL362),SUMIFS(estoque[lucro],estoque[fornecedor],"saída",estoque[data],vendaAno[[#This Row],[data]])),"")</f>
        <v/>
      </c>
      <c r="BM363" s="10" t="str">
        <f ca="1">IFERROR(vendaAno[[#This Row],[lucro]]/vendaAno[[#This Row],[valor de venda]],"")</f>
        <v/>
      </c>
      <c r="BN363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3" s="8" t="str">
        <f ca="1">IF(TODAY()&gt;=vendaAno[[#This Row],[data]],IF(vendaAno[[#This Row],[N°]]=BF362,vendaAno[[#This Row],[lucro]]-173.33+BO362,vendaAno[[#This Row],[lucro]]-150),"")</f>
        <v/>
      </c>
      <c r="BP363" s="81" t="str">
        <f ca="1">IF(TODAY()&gt;=vendaAno[[#This Row],[data]],SUM(BK357:BK363)*12,"")</f>
        <v/>
      </c>
      <c r="BQ363" s="7" t="str">
        <f ca="1">IFERROR(vendaAno[[#This Row],[lucro]]/(vendaAno[[#This Row],[venda]]*12),"")</f>
        <v/>
      </c>
    </row>
    <row r="364" spans="1:69" x14ac:dyDescent="0.25">
      <c r="A364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Row],[data]]-1))*A363+SUMIFS(estoque[valor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4" s="18" t="str">
        <f>TEXT(preçodiario[[#This Row],[data]],"MMM")</f>
        <v>dez</v>
      </c>
      <c r="C364" s="18" t="str">
        <f>TEXT(preçodiario[[#This Row],[data]],"ddd")</f>
        <v>ter</v>
      </c>
      <c r="D364" s="96">
        <f>WEEKNUM(preçodiario[[#This Row],[data]],13)</f>
        <v>52</v>
      </c>
      <c r="E364" s="37">
        <v>46385</v>
      </c>
      <c r="F364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Row],[data]]))),IF(G363=0,SUMIFS(estoque[valor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Row],[data]])),((F363*G363)+SUMIFS(estoque[valor total],estoque[produto],preçodiario[[#Headers],[OVO BRANCO A]],estoque[data],preçodiario[[#This Row],[data]],estoque[fornecedor],"&lt;&gt;saída"))/(G363+(SUMIFS(estoque[quantidade],estoque[produto],preçodiario[[#Headers],[OVO BRANCO A]],estoque[fornecedor],"&lt;&gt;saída",estoque[data],preçodiario[[#This Row],[data]])))))</f>
        <v>15.278182701652089</v>
      </c>
      <c r="G364" s="22">
        <f>IF(preçodiario[[#This Row],[entrada A]]=0,G363-(SUMIFS(estoque[quantidade],estoque[fornecedor],"saída",estoque[produto],preçodiario[[#Headers],[OVO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Row],[data]]))+G363+preçodiario[[#This Row],[entrada A]])</f>
        <v>133</v>
      </c>
      <c r="H364" s="22">
        <f>SUMIFS(estoque[quantidade],estoque[fornecedor],"&lt;&gt;saída",estoque[produto],preçodiario[[#Headers],[OVO BRANCO A]],estoque[data],preçodiario[[#This Row],[data]])</f>
        <v>0</v>
      </c>
      <c r="I364" s="20">
        <f>SUMIFS(estoque[valor total],estoque[fornecedor],"&lt;&gt;saída",estoque[produto],preçodiario[[#Headers],[OVO BRANCO A]],estoque[data],preçodiario[[#This Row],[data]])</f>
        <v>0</v>
      </c>
      <c r="J364" s="20">
        <f>IFERROR(preçodiario[[#This Row],[estoque A]]*preçodiario[[#This Row],[OVO BRANCO A]],0)</f>
        <v>2031.9982993197277</v>
      </c>
      <c r="K364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Row],[data]]))),IF(L363=0,SUMIFS(estoque[valor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Row],[data]])),((K363*L363)+SUMIFS(estoque[valor total],estoque[produto],preçodiario[[#Headers],[OVO BRANCO B]],estoque[data],preçodiario[[#This Row],[data]],estoque[fornecedor],"&lt;&gt;saída"))/(L363+(SUMIFS(estoque[quantidade],estoque[produto],preçodiario[[#Headers],[OVO BRANCO B]],estoque[fornecedor],"&lt;&gt;saída",estoque[data],preçodiario[[#This Row],[data]])))))</f>
        <v>14.584252837326604</v>
      </c>
      <c r="L364" s="22">
        <f>IF(preçodiario[[#This Row],[entrada B]]=0,L363-(SUMIFS(estoque[quantidade],estoque[fornecedor],"saída",estoque[produto],preçodiario[[#Headers],[OVO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Row],[data]]))+L363+preçodiario[[#This Row],[entrada B]])</f>
        <v>16</v>
      </c>
      <c r="M364" s="22">
        <f>SUMIFS(estoque[quantidade],estoque[fornecedor],"&lt;&gt;saída",estoque[produto],preçodiario[[#Headers],[OVO BRANCO B]],estoque[data],preçodiario[[#This Row],[data]])</f>
        <v>0</v>
      </c>
      <c r="N364" s="20">
        <f>SUMIFS(estoque[valor total],estoque[fornecedor],"&lt;&gt;saída",estoque[produto],preçodiario[[#Headers],[OVO BRANCO B]],estoque[data],preçodiario[[#This Row],[data]])</f>
        <v>0</v>
      </c>
      <c r="O364" s="20">
        <f>IFERROR(preçodiario[[#This Row],[OVO BRANCO B]]*preçodiario[[#This Row],[estoque B]],0)</f>
        <v>233.34804539722566</v>
      </c>
      <c r="P364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Row],[data]]))),IF(Q363=0,SUMIFS(estoque[valor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Row],[data]])),((P363*Q363)+SUMIFS(estoque[valor total],estoque[produto],preçodiario[[#Headers],[OVO BRANCO C]],estoque[data],preçodiario[[#This Row],[data]],estoque[fornecedor],"&lt;&gt;saída"))/(Q363+(SUMIFS(estoque[quantidade],estoque[produto],preçodiario[[#Headers],[OVO BRANCO C]],estoque[fornecedor],"&lt;&gt;saída",estoque[data],preçodiario[[#This Row],[data]])))))</f>
        <v>12.5</v>
      </c>
      <c r="Q364" s="22">
        <f>IF(preçodiario[[#This Row],[entrada C]]=0,Q363-(SUMIFS(estoque[quantidade],estoque[fornecedor],"saída",estoque[produto],preçodiario[[#Headers],[OVO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Row],[data]]))+Q363+preçodiario[[#This Row],[entrada C]])</f>
        <v>60</v>
      </c>
      <c r="R364" s="22">
        <f>SUMIFS(estoque[quantidade],estoque[fornecedor],"&lt;&gt;saída",estoque[produto],preçodiario[[#Headers],[OVO BRANCO C]],estoque[data],preçodiario[[#This Row],[data]])</f>
        <v>0</v>
      </c>
      <c r="S364" s="20">
        <f>SUMIFS(estoque[valor total],estoque[fornecedor],"&lt;&gt;saída",estoque[produto],preçodiario[[#Headers],[OVO BRANCO C]],estoque[data],preçodiario[[#This Row],[data]])</f>
        <v>0</v>
      </c>
      <c r="T364" s="20">
        <f>IFERROR(preçodiario[[#This Row],[OVO BRANCO C]]*preçodiario[[#This Row],[estoque C]],0)</f>
        <v>750</v>
      </c>
      <c r="U364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Row],[data]]))),IF(V363=0,SUMIFS(estoque[valor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Row],[data]])),((U363*V363)+SUMIFS(estoque[valor total],estoque[produto],preçodiario[[#Headers],[OVO BRANCO EXTRA]],estoque[data],preçodiario[[#This Row],[data]],estoque[fornecedor],"&lt;&gt;saída"))/(V363+(SUMIFS(estoque[quantidade],estoque[produto],preçodiario[[#Headers],[OVO BRANCO EXTRA]],estoque[fornecedor],"&lt;&gt;saída",estoque[data],preçodiario[[#This Row],[data]])))))</f>
        <v>15.725438400674655</v>
      </c>
      <c r="V364" s="22">
        <f>IF(preçodiario[[#This Row],[entrada E]]=0,V363-(SUMIFS(estoque[quantidade],estoque[fornecedor],"saída",estoque[produto],preçodiario[[#Headers],[OVO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Row],[data]]))+V363+preçodiario[[#This Row],[entrada E]])</f>
        <v>46</v>
      </c>
      <c r="W364" s="22">
        <f>SUMIFS(estoque[quantidade],estoque[fornecedor],"&lt;&gt;saída",estoque[produto],preçodiario[[#Headers],[OVO BRANCO EXTRA]],estoque[data],preçodiario[[#This Row],[data]])</f>
        <v>0</v>
      </c>
      <c r="X364" s="20">
        <f>SUMIFS(estoque[valor total],estoque[fornecedor],"&lt;&gt;saída",estoque[produto],preçodiario[[#Headers],[OVO BRANCO EXTRA]],estoque[data],preçodiario[[#This Row],[data]])</f>
        <v>0</v>
      </c>
      <c r="Y364" s="20">
        <f>IFERROR(preçodiario[[#This Row],[estoque E]]*preçodiario[[#This Row],[OVO BRANCO EXTRA]],0)</f>
        <v>723.37016643103414</v>
      </c>
      <c r="Z364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Row],[data]]))),IF(AA363=0,SUMIFS(estoque[valor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Row],[data]])),((Z363*AA363)+SUMIFS(estoque[valor total],estoque[produto],preçodiario[[#Headers],[OVO BRANCO JUMBO]],estoque[data],preçodiario[[#This Row],[data]],estoque[fornecedor],"&lt;&gt;saída"))/(AA363+(SUMIFS(estoque[quantidade],estoque[produto],preçodiario[[#Headers],[OVO BRANCO JUMBO]],estoque[fornecedor],"&lt;&gt;saída",estoque[data],preçodiario[[#This Row],[data]])))))</f>
        <v>16.50550595238095</v>
      </c>
      <c r="AA364" s="22">
        <f>IF(preçodiario[[#This Row],[entrada J]]=0,AA363-(SUMIFS(estoque[quantidade],estoque[fornecedor],"saída",estoque[produto],preçodiario[[#Headers],[OVO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Row],[data]]))+AA363+preçodiario[[#This Row],[entrada J]])</f>
        <v>75</v>
      </c>
      <c r="AB364" s="22">
        <f>SUMIFS(estoque[quantidade],estoque[fornecedor],"&lt;&gt;saída",estoque[produto],preçodiario[[#Headers],[OVO BRANCO JUMBO]],estoque[data],preçodiario[[#This Row],[data]])</f>
        <v>0</v>
      </c>
      <c r="AC364" s="20">
        <f>SUMIFS(estoque[valor total],estoque[fornecedor],"&lt;&gt;saída",estoque[produto],preçodiario[[#Headers],[OVO BRANCO JUMBO]],estoque[data],preçodiario[[#This Row],[data]])</f>
        <v>0</v>
      </c>
      <c r="AD364" s="20">
        <f>IFERROR(preçodiario[[#This Row],[OVO BRANCO JUMBO]]*preçodiario[[#This Row],[estoque J]],0)</f>
        <v>1237.9129464285713</v>
      </c>
      <c r="AE364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Row],[data]]))),IF(AF363=0,SUMIFS(estoque[valor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Row],[data]])),((AE363*AF363)+SUMIFS(estoque[valor total],estoque[produto],preçodiario[[#Headers],[OVO VERMELHO A]],estoque[data],preçodiario[[#This Row],[data]],estoque[fornecedor],"&lt;&gt;saída"))/(AF363+(SUMIFS(estoque[quantidade],estoque[produto],preçodiario[[#Headers],[OVO VERMELHO A]],estoque[fornecedor],"&lt;&gt;saída",estoque[data],preçodiario[[#This Row],[data]])))))</f>
        <v/>
      </c>
      <c r="AF364" s="22">
        <f>IF(preçodiario[[#This Row],[entrada AV]]=0,AF363-(SUMIFS(estoque[quantidade],estoque[fornecedor],"saída",estoque[produto],preçodiario[[#Headers],[OVO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Row],[data]]))+AF363+preçodiario[[#This Row],[entrada AV]])</f>
        <v>0</v>
      </c>
      <c r="AG364" s="22">
        <f>SUMIFS(estoque[quantidade],estoque[fornecedor],"&lt;&gt;saída",estoque[produto],preçodiario[[#Headers],[OVO VERMELHO A]],estoque[data],preçodiario[[#This Row],[data]])</f>
        <v>0</v>
      </c>
      <c r="AH364" s="20">
        <f>SUMIFS(estoque[valor total],estoque[fornecedor],"&lt;&gt;saída",estoque[produto],preçodiario[[#Headers],[OVO VERMELHO A]],estoque[data],preçodiario[[#This Row],[data]])</f>
        <v>0</v>
      </c>
      <c r="AI364" s="20">
        <f>IFERROR(preçodiario[[#This Row],[OVO VERMELHO A]]*preçodiario[[#This Row],[estoque AV]],0)</f>
        <v>0</v>
      </c>
      <c r="AJ364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Row],[data]]))),IF(AK363=0,SUMIFS(estoque[valor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Row],[data]])),((AJ363*AK363)+SUMIFS(estoque[valor total],estoque[produto],preçodiario[[#Headers],[OVO VERMELHO B]],estoque[data],preçodiario[[#This Row],[data]],estoque[fornecedor],"&lt;&gt;saída"))/(AK363+(SUMIFS(estoque[quantidade],estoque[produto],preçodiario[[#Headers],[OVO VERMELHO B]],estoque[fornecedor],"&lt;&gt;saída",estoque[data],preçodiario[[#This Row],[data]])))))</f>
        <v/>
      </c>
      <c r="AK364" s="22">
        <f>IF(preçodiario[[#This Row],[entrada BV]]=0,AK363-(SUMIFS(estoque[quantidade],estoque[fornecedor],"saída",estoque[produto],preçodiario[[#Headers],[OVO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Row],[data]]))+AK363+preçodiario[[#This Row],[entrada BV]])</f>
        <v>0</v>
      </c>
      <c r="AL364" s="22">
        <f>SUMIFS(estoque[quantidade],estoque[fornecedor],"&lt;&gt;saída",estoque[produto],preçodiario[[#Headers],[OVO VERMELHO B]],estoque[data],preçodiario[[#This Row],[data]])</f>
        <v>0</v>
      </c>
      <c r="AM364" s="20">
        <f>SUMIFS(estoque[valor total],estoque[fornecedor],"&lt;&gt;saída",estoque[produto],preçodiario[[#Headers],[OVO VERMELHO B]],estoque[data],preçodiario[[#This Row],[data]])</f>
        <v>0</v>
      </c>
      <c r="AN364" s="20">
        <f>IFERROR(preçodiario[[#This Row],[OVO VERMELHO B]]*preçodiario[[#This Row],[estoque BV]],0)</f>
        <v>0</v>
      </c>
      <c r="AO364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Row],[data]]))),IF(AP363=0,SUMIFS(estoque[valor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Row],[data]])),((AO363*AP363)+SUMIFS(estoque[valor total],estoque[produto],preçodiario[[#Headers],[OVO VERMELHO C]],estoque[data],preçodiario[[#This Row],[data]],estoque[fornecedor],"&lt;&gt;saída"))/(AP363+(SUMIFS(estoque[quantidade],estoque[produto],preçodiario[[#Headers],[OVO VERMELHO C]],estoque[fornecedor],"&lt;&gt;saída",estoque[data],preçodiario[[#This Row],[data]])))))</f>
        <v/>
      </c>
      <c r="AP364" s="22">
        <f>IF(preçodiario[[#This Row],[entrada CV]]=0,AP363-(SUMIFS(estoque[quantidade],estoque[fornecedor],"saída",estoque[produto],preçodiario[[#Headers],[OVO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Row],[data]]))+AP363+preçodiario[[#This Row],[entrada CV]])</f>
        <v>0</v>
      </c>
      <c r="AQ364" s="22">
        <f>SUMIFS(estoque[quantidade],estoque[fornecedor],"&lt;&gt;saída",estoque[produto],preçodiario[[#Headers],[OVO VERMELHO C]],estoque[data],preçodiario[[#This Row],[data]])</f>
        <v>0</v>
      </c>
      <c r="AR364" s="20">
        <f>SUMIFS(estoque[valor total],estoque[fornecedor],"&lt;&gt;saída",estoque[produto],preçodiario[[#Headers],[OVO VERMELHO C]],estoque[data],preçodiario[[#This Row],[data]])</f>
        <v>0</v>
      </c>
      <c r="AS364" s="20">
        <f>IFERROR(preçodiario[[#This Row],[OVO VERMELHO C]]*preçodiario[[#This Row],[estoque CV]],0)</f>
        <v>0</v>
      </c>
      <c r="AT364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Row],[data]]))),IF(AU363=0,SUMIFS(estoque[valor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Row],[data]])),((AT363*AU363)+SUMIFS(estoque[valor total],estoque[produto],preçodiario[[#Headers],[OVO VERMELHO EXTRA]],estoque[data],preçodiario[[#This Row],[data]],estoque[fornecedor],"&lt;&gt;saída"))/(AU363+(SUMIFS(estoque[quantidade],estoque[produto],preçodiario[[#Headers],[OVO VERMELHO EXTRA]],estoque[fornecedor],"&lt;&gt;saída",estoque[data],preçodiario[[#This Row],[data]])))))</f>
        <v/>
      </c>
      <c r="AU364" s="22">
        <f>IF(preçodiario[[#This Row],[entrada EV]]=0,AU363-(SUMIFS(estoque[quantidade],estoque[fornecedor],"saída",estoque[produto],preçodiario[[#Headers],[OVO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Row],[data]]))+AU363+preçodiario[[#This Row],[entrada EV]])</f>
        <v>0</v>
      </c>
      <c r="AV364" s="22">
        <f>SUMIFS(estoque[quantidade],estoque[fornecedor],"&lt;&gt;saída",estoque[produto],preçodiario[[#Headers],[OVO VERMELHO EXTRA]],estoque[data],preçodiario[[#This Row],[data]])</f>
        <v>0</v>
      </c>
      <c r="AW364" s="20">
        <f>SUMIFS(estoque[valor total],estoque[fornecedor],"&lt;&gt;saída",estoque[produto],preçodiario[[#Headers],[OVO VERMELHO EXTRA]],estoque[data],preçodiario[[#This Row],[data]])</f>
        <v>0</v>
      </c>
      <c r="AX364" s="20">
        <f>IFERROR(preçodiario[[#This Row],[OVO VERMELHO EXTRA]]*preçodiario[[#This Row],[estoque EV]],0)</f>
        <v>0</v>
      </c>
      <c r="AY364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Row],[data]]))),IF(AZ363=0,SUMIFS(estoque[valor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Row],[data]])),((AY363*AZ363)+SUMIFS(estoque[valor total],estoque[produto],preçodiario[[#Headers],[OVO VERMELHO JUMBO]],estoque[data],preçodiario[[#This Row],[data]],estoque[fornecedor],"&lt;&gt;saída"))/(AZ363+(SUMIFS(estoque[quantidade],estoque[produto],preçodiario[[#Headers],[OVO VERMELHO JUMBO]],estoque[fornecedor],"&lt;&gt;saída",estoque[data],preçodiario[[#This Row],[data]])))))</f>
        <v/>
      </c>
      <c r="AZ364" s="22">
        <f>IF(preçodiario[[#This Row],[entrada JV]]=0,AZ363-(SUMIFS(estoque[quantidade],estoque[fornecedor],"saída",estoque[produto],preçodiario[[#Headers],[OVO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Row],[data]]))+AZ363+preçodiario[[#This Row],[entrada JV]])</f>
        <v>0</v>
      </c>
      <c r="BA364" s="22">
        <f>SUMIFS(estoque[quantidade],estoque[fornecedor],"&lt;&gt;saída",estoque[produto],preçodiario[[#Headers],[OVO VERMELHO JUMBO]],estoque[data],preçodiario[[#This Row],[data]])</f>
        <v>0</v>
      </c>
      <c r="BB364" s="20">
        <f>SUMIFS(estoque[valor total],estoque[fornecedor],"&lt;&gt;saída",estoque[produto],preçodiario[[#Headers],[OVO VERMELHO JUMBO]],estoque[data],preçodiario[[#This Row],[data]])</f>
        <v>0</v>
      </c>
      <c r="BC364" s="20">
        <f>IFERROR(preçodiario[[#This Row],[OVO VERMELHO JUMBO]]*preçodiario[[#This Row],[estoque JV]],0)</f>
        <v>0</v>
      </c>
      <c r="BD364" t="str">
        <f>TEXT(vendaAno[[#This Row],[data]],"mmm")</f>
        <v>dez</v>
      </c>
      <c r="BE364" t="str">
        <f>TEXT(vendaAno[[#This Row],[data]],"ddd")</f>
        <v>ter</v>
      </c>
      <c r="BF364" s="82">
        <f>WEEKNUM(vendaAno[[#This Row],[data]],13)</f>
        <v>52</v>
      </c>
      <c r="BG364" s="27">
        <f>preçodiario[[#This Row],[data]]</f>
        <v>46385</v>
      </c>
      <c r="BH364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4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4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Row],[data]]))/12+BJ363,"")</f>
        <v/>
      </c>
      <c r="BK364" s="79" t="str">
        <f ca="1">IF(TODAY()&gt;=vendaAno[[#This Row],[data]],IF(SUMIFS(estoque[quantidade],estoque[fornecedor],"saída",estoque[data],vendaAno[[#This Row],[data]])/12=0,AVERAGE(BK361:BK363),SUMIFS(estoque[quantidade],estoque[fornecedor],"saída",estoque[data],vendaAno[[#This Row],[data]])/12),"")</f>
        <v/>
      </c>
      <c r="BL364" s="8" t="str">
        <f ca="1">IF(vendaAno[[#This Row],[data]]&lt;=TODAY(),IF(SUMIFS(estoque[lucro],estoque[fornecedor],"saída",estoque[data],vendaAno[[#This Row],[data]])=0,AVERAGE(BL361:BL363),SUMIFS(estoque[lucro],estoque[fornecedor],"saída",estoque[data],vendaAno[[#This Row],[data]])),"")</f>
        <v/>
      </c>
      <c r="BM364" s="10" t="str">
        <f ca="1">IFERROR(vendaAno[[#This Row],[lucro]]/vendaAno[[#This Row],[valor de venda]],"")</f>
        <v/>
      </c>
      <c r="BN364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4" s="8" t="str">
        <f ca="1">IF(TODAY()&gt;=vendaAno[[#This Row],[data]],IF(vendaAno[[#This Row],[N°]]=BF363,vendaAno[[#This Row],[lucro]]-173.33+BO363,vendaAno[[#This Row],[lucro]]-150),"")</f>
        <v/>
      </c>
      <c r="BP364" s="81" t="str">
        <f ca="1">IF(TODAY()&gt;=vendaAno[[#This Row],[data]],SUM(BK358:BK364)*12,"")</f>
        <v/>
      </c>
      <c r="BQ364" s="7" t="str">
        <f ca="1">IFERROR(vendaAno[[#This Row],[lucro]]/(vendaAno[[#This Row],[venda]]*12),"")</f>
        <v/>
      </c>
    </row>
    <row r="365" spans="1:69" x14ac:dyDescent="0.25">
      <c r="A365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Row],[data]]-1))*A364+SUMIFS(estoque[valor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5" s="18" t="str">
        <f>TEXT(preçodiario[[#This Row],[data]],"MMM")</f>
        <v>dez</v>
      </c>
      <c r="C365" s="18" t="str">
        <f>TEXT(preçodiario[[#This Row],[data]],"ddd")</f>
        <v>qua</v>
      </c>
      <c r="D365" s="96">
        <f>WEEKNUM(preçodiario[[#This Row],[data]],13)</f>
        <v>53</v>
      </c>
      <c r="E365" s="37">
        <v>46386</v>
      </c>
      <c r="F365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Row],[data]]))),IF(G364=0,SUMIFS(estoque[valor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Row],[data]])),((F364*G364)+SUMIFS(estoque[valor total],estoque[produto],preçodiario[[#Headers],[OVO BRANCO A]],estoque[data],preçodiario[[#This Row],[data]],estoque[fornecedor],"&lt;&gt;saída"))/(G364+(SUMIFS(estoque[quantidade],estoque[produto],preçodiario[[#Headers],[OVO BRANCO A]],estoque[fornecedor],"&lt;&gt;saída",estoque[data],preçodiario[[#This Row],[data]])))))</f>
        <v>15.278182701652089</v>
      </c>
      <c r="G365" s="22">
        <f>IF(preçodiario[[#This Row],[entrada A]]=0,G364-(SUMIFS(estoque[quantidade],estoque[fornecedor],"saída",estoque[produto],preçodiario[[#Headers],[OVO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Row],[data]]))+G364+preçodiario[[#This Row],[entrada A]])</f>
        <v>133</v>
      </c>
      <c r="H365" s="22">
        <f>SUMIFS(estoque[quantidade],estoque[fornecedor],"&lt;&gt;saída",estoque[produto],preçodiario[[#Headers],[OVO BRANCO A]],estoque[data],preçodiario[[#This Row],[data]])</f>
        <v>0</v>
      </c>
      <c r="I365" s="20">
        <f>SUMIFS(estoque[valor total],estoque[fornecedor],"&lt;&gt;saída",estoque[produto],preçodiario[[#Headers],[OVO BRANCO A]],estoque[data],preçodiario[[#This Row],[data]])</f>
        <v>0</v>
      </c>
      <c r="J365" s="20">
        <f>IFERROR(preçodiario[[#This Row],[estoque A]]*preçodiario[[#This Row],[OVO BRANCO A]],0)</f>
        <v>2031.9982993197277</v>
      </c>
      <c r="K365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Row],[data]]))),IF(L364=0,SUMIFS(estoque[valor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Row],[data]])),((K364*L364)+SUMIFS(estoque[valor total],estoque[produto],preçodiario[[#Headers],[OVO BRANCO B]],estoque[data],preçodiario[[#This Row],[data]],estoque[fornecedor],"&lt;&gt;saída"))/(L364+(SUMIFS(estoque[quantidade],estoque[produto],preçodiario[[#Headers],[OVO BRANCO B]],estoque[fornecedor],"&lt;&gt;saída",estoque[data],preçodiario[[#This Row],[data]])))))</f>
        <v>14.584252837326604</v>
      </c>
      <c r="L365" s="22">
        <f>IF(preçodiario[[#This Row],[entrada B]]=0,L364-(SUMIFS(estoque[quantidade],estoque[fornecedor],"saída",estoque[produto],preçodiario[[#Headers],[OVO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Row],[data]]))+L364+preçodiario[[#This Row],[entrada B]])</f>
        <v>16</v>
      </c>
      <c r="M365" s="22">
        <f>SUMIFS(estoque[quantidade],estoque[fornecedor],"&lt;&gt;saída",estoque[produto],preçodiario[[#Headers],[OVO BRANCO B]],estoque[data],preçodiario[[#This Row],[data]])</f>
        <v>0</v>
      </c>
      <c r="N365" s="20">
        <f>SUMIFS(estoque[valor total],estoque[fornecedor],"&lt;&gt;saída",estoque[produto],preçodiario[[#Headers],[OVO BRANCO B]],estoque[data],preçodiario[[#This Row],[data]])</f>
        <v>0</v>
      </c>
      <c r="O365" s="20">
        <f>IFERROR(preçodiario[[#This Row],[OVO BRANCO B]]*preçodiario[[#This Row],[estoque B]],0)</f>
        <v>233.34804539722566</v>
      </c>
      <c r="P365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Row],[data]]))),IF(Q364=0,SUMIFS(estoque[valor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Row],[data]])),((P364*Q364)+SUMIFS(estoque[valor total],estoque[produto],preçodiario[[#Headers],[OVO BRANCO C]],estoque[data],preçodiario[[#This Row],[data]],estoque[fornecedor],"&lt;&gt;saída"))/(Q364+(SUMIFS(estoque[quantidade],estoque[produto],preçodiario[[#Headers],[OVO BRANCO C]],estoque[fornecedor],"&lt;&gt;saída",estoque[data],preçodiario[[#This Row],[data]])))))</f>
        <v>12.5</v>
      </c>
      <c r="Q365" s="22">
        <f>IF(preçodiario[[#This Row],[entrada C]]=0,Q364-(SUMIFS(estoque[quantidade],estoque[fornecedor],"saída",estoque[produto],preçodiario[[#Headers],[OVO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Row],[data]]))+Q364+preçodiario[[#This Row],[entrada C]])</f>
        <v>60</v>
      </c>
      <c r="R365" s="22">
        <f>SUMIFS(estoque[quantidade],estoque[fornecedor],"&lt;&gt;saída",estoque[produto],preçodiario[[#Headers],[OVO BRANCO C]],estoque[data],preçodiario[[#This Row],[data]])</f>
        <v>0</v>
      </c>
      <c r="S365" s="20">
        <f>SUMIFS(estoque[valor total],estoque[fornecedor],"&lt;&gt;saída",estoque[produto],preçodiario[[#Headers],[OVO BRANCO C]],estoque[data],preçodiario[[#This Row],[data]])</f>
        <v>0</v>
      </c>
      <c r="T365" s="20">
        <f>IFERROR(preçodiario[[#This Row],[OVO BRANCO C]]*preçodiario[[#This Row],[estoque C]],0)</f>
        <v>750</v>
      </c>
      <c r="U365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Row],[data]]))),IF(V364=0,SUMIFS(estoque[valor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Row],[data]])),((U364*V364)+SUMIFS(estoque[valor total],estoque[produto],preçodiario[[#Headers],[OVO BRANCO EXTRA]],estoque[data],preçodiario[[#This Row],[data]],estoque[fornecedor],"&lt;&gt;saída"))/(V364+(SUMIFS(estoque[quantidade],estoque[produto],preçodiario[[#Headers],[OVO BRANCO EXTRA]],estoque[fornecedor],"&lt;&gt;saída",estoque[data],preçodiario[[#This Row],[data]])))))</f>
        <v>15.725438400674655</v>
      </c>
      <c r="V365" s="22">
        <f>IF(preçodiario[[#This Row],[entrada E]]=0,V364-(SUMIFS(estoque[quantidade],estoque[fornecedor],"saída",estoque[produto],preçodiario[[#Headers],[OVO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Row],[data]]))+V364+preçodiario[[#This Row],[entrada E]])</f>
        <v>46</v>
      </c>
      <c r="W365" s="22">
        <f>SUMIFS(estoque[quantidade],estoque[fornecedor],"&lt;&gt;saída",estoque[produto],preçodiario[[#Headers],[OVO BRANCO EXTRA]],estoque[data],preçodiario[[#This Row],[data]])</f>
        <v>0</v>
      </c>
      <c r="X365" s="20">
        <f>SUMIFS(estoque[valor total],estoque[fornecedor],"&lt;&gt;saída",estoque[produto],preçodiario[[#Headers],[OVO BRANCO EXTRA]],estoque[data],preçodiario[[#This Row],[data]])</f>
        <v>0</v>
      </c>
      <c r="Y365" s="20">
        <f>IFERROR(preçodiario[[#This Row],[estoque E]]*preçodiario[[#This Row],[OVO BRANCO EXTRA]],0)</f>
        <v>723.37016643103414</v>
      </c>
      <c r="Z365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Row],[data]]))),IF(AA364=0,SUMIFS(estoque[valor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Row],[data]])),((Z364*AA364)+SUMIFS(estoque[valor total],estoque[produto],preçodiario[[#Headers],[OVO BRANCO JUMBO]],estoque[data],preçodiario[[#This Row],[data]],estoque[fornecedor],"&lt;&gt;saída"))/(AA364+(SUMIFS(estoque[quantidade],estoque[produto],preçodiario[[#Headers],[OVO BRANCO JUMBO]],estoque[fornecedor],"&lt;&gt;saída",estoque[data],preçodiario[[#This Row],[data]])))))</f>
        <v>16.50550595238095</v>
      </c>
      <c r="AA365" s="22">
        <f>IF(preçodiario[[#This Row],[entrada J]]=0,AA364-(SUMIFS(estoque[quantidade],estoque[fornecedor],"saída",estoque[produto],preçodiario[[#Headers],[OVO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Row],[data]]))+AA364+preçodiario[[#This Row],[entrada J]])</f>
        <v>75</v>
      </c>
      <c r="AB365" s="22">
        <f>SUMIFS(estoque[quantidade],estoque[fornecedor],"&lt;&gt;saída",estoque[produto],preçodiario[[#Headers],[OVO BRANCO JUMBO]],estoque[data],preçodiario[[#This Row],[data]])</f>
        <v>0</v>
      </c>
      <c r="AC365" s="20">
        <f>SUMIFS(estoque[valor total],estoque[fornecedor],"&lt;&gt;saída",estoque[produto],preçodiario[[#Headers],[OVO BRANCO JUMBO]],estoque[data],preçodiario[[#This Row],[data]])</f>
        <v>0</v>
      </c>
      <c r="AD365" s="20">
        <f>IFERROR(preçodiario[[#This Row],[OVO BRANCO JUMBO]]*preçodiario[[#This Row],[estoque J]],0)</f>
        <v>1237.9129464285713</v>
      </c>
      <c r="AE365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Row],[data]]))),IF(AF364=0,SUMIFS(estoque[valor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Row],[data]])),((AE364*AF364)+SUMIFS(estoque[valor total],estoque[produto],preçodiario[[#Headers],[OVO VERMELHO A]],estoque[data],preçodiario[[#This Row],[data]],estoque[fornecedor],"&lt;&gt;saída"))/(AF364+(SUMIFS(estoque[quantidade],estoque[produto],preçodiario[[#Headers],[OVO VERMELHO A]],estoque[fornecedor],"&lt;&gt;saída",estoque[data],preçodiario[[#This Row],[data]])))))</f>
        <v/>
      </c>
      <c r="AF365" s="22">
        <f>IF(preçodiario[[#This Row],[entrada AV]]=0,AF364-(SUMIFS(estoque[quantidade],estoque[fornecedor],"saída",estoque[produto],preçodiario[[#Headers],[OVO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Row],[data]]))+AF364+preçodiario[[#This Row],[entrada AV]])</f>
        <v>0</v>
      </c>
      <c r="AG365" s="22">
        <f>SUMIFS(estoque[quantidade],estoque[fornecedor],"&lt;&gt;saída",estoque[produto],preçodiario[[#Headers],[OVO VERMELHO A]],estoque[data],preçodiario[[#This Row],[data]])</f>
        <v>0</v>
      </c>
      <c r="AH365" s="20">
        <f>SUMIFS(estoque[valor total],estoque[fornecedor],"&lt;&gt;saída",estoque[produto],preçodiario[[#Headers],[OVO VERMELHO A]],estoque[data],preçodiario[[#This Row],[data]])</f>
        <v>0</v>
      </c>
      <c r="AI365" s="20">
        <f>IFERROR(preçodiario[[#This Row],[OVO VERMELHO A]]*preçodiario[[#This Row],[estoque AV]],0)</f>
        <v>0</v>
      </c>
      <c r="AJ365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Row],[data]]))),IF(AK364=0,SUMIFS(estoque[valor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Row],[data]])),((AJ364*AK364)+SUMIFS(estoque[valor total],estoque[produto],preçodiario[[#Headers],[OVO VERMELHO B]],estoque[data],preçodiario[[#This Row],[data]],estoque[fornecedor],"&lt;&gt;saída"))/(AK364+(SUMIFS(estoque[quantidade],estoque[produto],preçodiario[[#Headers],[OVO VERMELHO B]],estoque[fornecedor],"&lt;&gt;saída",estoque[data],preçodiario[[#This Row],[data]])))))</f>
        <v/>
      </c>
      <c r="AK365" s="22">
        <f>IF(preçodiario[[#This Row],[entrada BV]]=0,AK364-(SUMIFS(estoque[quantidade],estoque[fornecedor],"saída",estoque[produto],preçodiario[[#Headers],[OVO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Row],[data]]))+AK364+preçodiario[[#This Row],[entrada BV]])</f>
        <v>0</v>
      </c>
      <c r="AL365" s="22">
        <f>SUMIFS(estoque[quantidade],estoque[fornecedor],"&lt;&gt;saída",estoque[produto],preçodiario[[#Headers],[OVO VERMELHO B]],estoque[data],preçodiario[[#This Row],[data]])</f>
        <v>0</v>
      </c>
      <c r="AM365" s="20">
        <f>SUMIFS(estoque[valor total],estoque[fornecedor],"&lt;&gt;saída",estoque[produto],preçodiario[[#Headers],[OVO VERMELHO B]],estoque[data],preçodiario[[#This Row],[data]])</f>
        <v>0</v>
      </c>
      <c r="AN365" s="20">
        <f>IFERROR(preçodiario[[#This Row],[OVO VERMELHO B]]*preçodiario[[#This Row],[estoque BV]],0)</f>
        <v>0</v>
      </c>
      <c r="AO365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Row],[data]]))),IF(AP364=0,SUMIFS(estoque[valor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Row],[data]])),((AO364*AP364)+SUMIFS(estoque[valor total],estoque[produto],preçodiario[[#Headers],[OVO VERMELHO C]],estoque[data],preçodiario[[#This Row],[data]],estoque[fornecedor],"&lt;&gt;saída"))/(AP364+(SUMIFS(estoque[quantidade],estoque[produto],preçodiario[[#Headers],[OVO VERMELHO C]],estoque[fornecedor],"&lt;&gt;saída",estoque[data],preçodiario[[#This Row],[data]])))))</f>
        <v/>
      </c>
      <c r="AP365" s="22">
        <f>IF(preçodiario[[#This Row],[entrada CV]]=0,AP364-(SUMIFS(estoque[quantidade],estoque[fornecedor],"saída",estoque[produto],preçodiario[[#Headers],[OVO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Row],[data]]))+AP364+preçodiario[[#This Row],[entrada CV]])</f>
        <v>0</v>
      </c>
      <c r="AQ365" s="22">
        <f>SUMIFS(estoque[quantidade],estoque[fornecedor],"&lt;&gt;saída",estoque[produto],preçodiario[[#Headers],[OVO VERMELHO C]],estoque[data],preçodiario[[#This Row],[data]])</f>
        <v>0</v>
      </c>
      <c r="AR365" s="20">
        <f>SUMIFS(estoque[valor total],estoque[fornecedor],"&lt;&gt;saída",estoque[produto],preçodiario[[#Headers],[OVO VERMELHO C]],estoque[data],preçodiario[[#This Row],[data]])</f>
        <v>0</v>
      </c>
      <c r="AS365" s="20">
        <f>IFERROR(preçodiario[[#This Row],[OVO VERMELHO C]]*preçodiario[[#This Row],[estoque CV]],0)</f>
        <v>0</v>
      </c>
      <c r="AT365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Row],[data]]))),IF(AU364=0,SUMIFS(estoque[valor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Row],[data]])),((AT364*AU364)+SUMIFS(estoque[valor total],estoque[produto],preçodiario[[#Headers],[OVO VERMELHO EXTRA]],estoque[data],preçodiario[[#This Row],[data]],estoque[fornecedor],"&lt;&gt;saída"))/(AU364+(SUMIFS(estoque[quantidade],estoque[produto],preçodiario[[#Headers],[OVO VERMELHO EXTRA]],estoque[fornecedor],"&lt;&gt;saída",estoque[data],preçodiario[[#This Row],[data]])))))</f>
        <v/>
      </c>
      <c r="AU365" s="22">
        <f>IF(preçodiario[[#This Row],[entrada EV]]=0,AU364-(SUMIFS(estoque[quantidade],estoque[fornecedor],"saída",estoque[produto],preçodiario[[#Headers],[OVO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Row],[data]]))+AU364+preçodiario[[#This Row],[entrada EV]])</f>
        <v>0</v>
      </c>
      <c r="AV365" s="22">
        <f>SUMIFS(estoque[quantidade],estoque[fornecedor],"&lt;&gt;saída",estoque[produto],preçodiario[[#Headers],[OVO VERMELHO EXTRA]],estoque[data],preçodiario[[#This Row],[data]])</f>
        <v>0</v>
      </c>
      <c r="AW365" s="20">
        <f>SUMIFS(estoque[valor total],estoque[fornecedor],"&lt;&gt;saída",estoque[produto],preçodiario[[#Headers],[OVO VERMELHO EXTRA]],estoque[data],preçodiario[[#This Row],[data]])</f>
        <v>0</v>
      </c>
      <c r="AX365" s="20">
        <f>IFERROR(preçodiario[[#This Row],[OVO VERMELHO EXTRA]]*preçodiario[[#This Row],[estoque EV]],0)</f>
        <v>0</v>
      </c>
      <c r="AY365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Row],[data]]))),IF(AZ364=0,SUMIFS(estoque[valor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Row],[data]])),((AY364*AZ364)+SUMIFS(estoque[valor total],estoque[produto],preçodiario[[#Headers],[OVO VERMELHO JUMBO]],estoque[data],preçodiario[[#This Row],[data]],estoque[fornecedor],"&lt;&gt;saída"))/(AZ364+(SUMIFS(estoque[quantidade],estoque[produto],preçodiario[[#Headers],[OVO VERMELHO JUMBO]],estoque[fornecedor],"&lt;&gt;saída",estoque[data],preçodiario[[#This Row],[data]])))))</f>
        <v/>
      </c>
      <c r="AZ365" s="22">
        <f>IF(preçodiario[[#This Row],[entrada JV]]=0,AZ364-(SUMIFS(estoque[quantidade],estoque[fornecedor],"saída",estoque[produto],preçodiario[[#Headers],[OVO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Row],[data]]))+AZ364+preçodiario[[#This Row],[entrada JV]])</f>
        <v>0</v>
      </c>
      <c r="BA365" s="22">
        <f>SUMIFS(estoque[quantidade],estoque[fornecedor],"&lt;&gt;saída",estoque[produto],preçodiario[[#Headers],[OVO VERMELHO JUMBO]],estoque[data],preçodiario[[#This Row],[data]])</f>
        <v>0</v>
      </c>
      <c r="BB365" s="20">
        <f>SUMIFS(estoque[valor total],estoque[fornecedor],"&lt;&gt;saída",estoque[produto],preçodiario[[#Headers],[OVO VERMELHO JUMBO]],estoque[data],preçodiario[[#This Row],[data]])</f>
        <v>0</v>
      </c>
      <c r="BC365" s="20">
        <f>IFERROR(preçodiario[[#This Row],[OVO VERMELHO JUMBO]]*preçodiario[[#This Row],[estoque JV]],0)</f>
        <v>0</v>
      </c>
      <c r="BD365" t="str">
        <f>TEXT(vendaAno[[#This Row],[data]],"mmm")</f>
        <v>dez</v>
      </c>
      <c r="BE365" t="str">
        <f>TEXT(vendaAno[[#This Row],[data]],"ddd")</f>
        <v>qua</v>
      </c>
      <c r="BF365" s="82">
        <f>WEEKNUM(vendaAno[[#This Row],[data]],13)</f>
        <v>53</v>
      </c>
      <c r="BG365" s="27">
        <f>preçodiario[[#This Row],[data]]</f>
        <v>46386</v>
      </c>
      <c r="BH365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5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5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Row],[data]]))/12+BJ364,"")</f>
        <v/>
      </c>
      <c r="BK365" s="79" t="str">
        <f ca="1">IF(TODAY()&gt;=vendaAno[[#This Row],[data]],IF(SUMIFS(estoque[quantidade],estoque[fornecedor],"saída",estoque[data],vendaAno[[#This Row],[data]])/12=0,AVERAGE(BK362:BK364),SUMIFS(estoque[quantidade],estoque[fornecedor],"saída",estoque[data],vendaAno[[#This Row],[data]])/12),"")</f>
        <v/>
      </c>
      <c r="BL365" s="8" t="str">
        <f ca="1">IF(vendaAno[[#This Row],[data]]&lt;=TODAY(),IF(SUMIFS(estoque[lucro],estoque[fornecedor],"saída",estoque[data],vendaAno[[#This Row],[data]])=0,AVERAGE(BL362:BL364),SUMIFS(estoque[lucro],estoque[fornecedor],"saída",estoque[data],vendaAno[[#This Row],[data]])),"")</f>
        <v/>
      </c>
      <c r="BM365" s="10" t="str">
        <f ca="1">IFERROR(vendaAno[[#This Row],[lucro]]/vendaAno[[#This Row],[valor de venda]],"")</f>
        <v/>
      </c>
      <c r="BN365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5" s="8" t="str">
        <f ca="1">IF(TODAY()&gt;=vendaAno[[#This Row],[data]],IF(vendaAno[[#This Row],[N°]]=BF364,vendaAno[[#This Row],[lucro]]-173.33+BO364,vendaAno[[#This Row],[lucro]]-150),"")</f>
        <v/>
      </c>
      <c r="BP365" s="81" t="str">
        <f ca="1">IF(TODAY()&gt;=vendaAno[[#This Row],[data]],SUM(BK359:BK365)*12,"")</f>
        <v/>
      </c>
      <c r="BQ365" s="7" t="str">
        <f ca="1">IFERROR(vendaAno[[#This Row],[lucro]]/(vendaAno[[#This Row],[venda]]*12),"")</f>
        <v/>
      </c>
    </row>
    <row r="366" spans="1:69" x14ac:dyDescent="0.25">
      <c r="A366" s="7">
        <f>IF(SUMIFS(estoque[quantidade],estoque[fornecedor],"&lt;&gt;saída",estoque[produto],Tabela60[[#Headers],[OVO BRANCO a]],estoque[data],"&gt;="&amp;SMALL(estoque[data],1),estoque[data],"&lt;="&amp;preçodiario[[#This Row],[data]])-SUMIFS(estoque[quantidade],estoque[fornecedor],"saída",estoque[produto],Tabela60[[#Headers],[OVO BRANCO a]],estoque[data],"&gt;="&amp;SMALL(estoque[data],1),estoque[data],"&lt;="&amp;preçodiario[[#This Row],[data]])=0,"",IF(AND(SUMIFS(estoque[quantidade],estoque[fornecedor],"&lt;&gt;saída",estoque[produto],Tabela60[[#Headers],[OVO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Row],[data]]-1)=0,SUMIFS(estoque[quantidade],estoque[fornecedor],"&lt;&gt;saída",estoque[produto],Tabela60[[#Headers],[OVO BRANCO a]],estoque[data],preçodiario[[#This Row],[data]])&gt;0),SUMIFS(estoque[valor total],estoque[fornecedor],"&lt;&gt;saída",estoque[produto],Tabela60[[#Headers],[OVO BRANCO a]],estoque[data],preçodiario[[#This Row],[data]])/SUMIFS(estoque[quantidade],estoque[fornecedor],"&lt;&gt;saída",estoque[produto],Tabela60[[#Headers],[OVO BRANCO a]],estoque[data],preçodiario[[#This Row],[data]]),((SUMIFS(estoque[quantidade],estoque[fornecedor],"&lt;&gt;saída",estoque[produto],Tabela60[[#Headers],[OVO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Row],[data]]-1))*A365+SUMIFS(estoque[valor total],estoque[fornecedor],"&lt;&gt;saída",estoque[produto],Tabela60[[#Headers],[OVO BRANCO a]],estoque[data],preçodiario[[#This Row],[data]]))/((SUMIFS(estoque[quantidade],estoque[fornecedor],"&lt;&gt;saída",estoque[produto],Tabela60[[#Headers],[OVO BRANCO a]],estoque[data],"&gt;="&amp;SMALL(estoque[data],1),estoque[data],"&lt;="&amp;preçodiario[[#This Row],[data]]-1)-SUMIFS(estoque[quantidade],estoque[fornecedor],"saída",estoque[produto],Tabela60[[#Headers],[OVO BRANCO a]],estoque[data],"&gt;="&amp;SMALL(estoque[data],1),estoque[data],"&lt;="&amp;preçodiario[[#This Row],[data]]-1))+SUMIFS(estoque[quantidade],estoque[fornecedor],"&lt;&gt;saída",estoque[produto],Tabela60[[#Headers],[OVO BRANCO a]],estoque[data],preçodiario[[#This Row],[data]]))))</f>
        <v>15.278182701652089</v>
      </c>
      <c r="B366" s="18" t="str">
        <f>TEXT(preçodiario[[#This Row],[data]],"MMM")</f>
        <v>dez</v>
      </c>
      <c r="C366" s="18" t="str">
        <f>TEXT(preçodiario[[#This Row],[data]],"ddd")</f>
        <v>qui</v>
      </c>
      <c r="D366" s="96">
        <f>WEEKNUM(preçodiario[[#This Row],[data]],13)</f>
        <v>53</v>
      </c>
      <c r="E366" s="37">
        <v>46387</v>
      </c>
      <c r="F366" s="19">
        <f>IF(preçodiario[[#This Row],[estoque A]]=0,IF(preçodiario[[#This Row],[entrada A]]=0,"",SUMIFS(estoque[valor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Row],[data]]))),IF(G365=0,SUMIFS(estoque[valor total],estoque[produto],preçodiario[[#Headers],[OVO BRANCO A]],estoque[data],preçodiario[[#This Row],[data]],estoque[fornecedor],"&lt;&gt;saída")/(SUMIFS(estoque[quantidade],estoque[produto],preçodiario[[#Headers],[OVO BRANCO A]],estoque[fornecedor],"&lt;&gt;saída",estoque[data],preçodiario[[#This Row],[data]])),((F365*G365)+SUMIFS(estoque[valor total],estoque[produto],preçodiario[[#Headers],[OVO BRANCO A]],estoque[data],preçodiario[[#This Row],[data]],estoque[fornecedor],"&lt;&gt;saída"))/(G365+(SUMIFS(estoque[quantidade],estoque[produto],preçodiario[[#Headers],[OVO BRANCO A]],estoque[fornecedor],"&lt;&gt;saída",estoque[data],preçodiario[[#This Row],[data]])))))</f>
        <v>15.278182701652089</v>
      </c>
      <c r="G366" s="22">
        <f>IF(preçodiario[[#This Row],[entrada A]]=0,G365-(SUMIFS(estoque[quantidade],estoque[fornecedor],"saída",estoque[produto],preçodiario[[#Headers],[OVO BRANCO A]],estoque[data],preçodiario[[#This Row],[data]])),(-SUMIFS(estoque[quantidade],estoque[fornecedor],"saída",estoque[produto],preçodiario[[#Headers],[OVO BRANCO A]],estoque[data],preçodiario[[#This Row],[data]]))+G365+preçodiario[[#This Row],[entrada A]])</f>
        <v>133</v>
      </c>
      <c r="H366" s="22">
        <f>SUMIFS(estoque[quantidade],estoque[fornecedor],"&lt;&gt;saída",estoque[produto],preçodiario[[#Headers],[OVO BRANCO A]],estoque[data],preçodiario[[#This Row],[data]])</f>
        <v>0</v>
      </c>
      <c r="I366" s="20">
        <f>SUMIFS(estoque[valor total],estoque[fornecedor],"&lt;&gt;saída",estoque[produto],preçodiario[[#Headers],[OVO BRANCO A]],estoque[data],preçodiario[[#This Row],[data]])</f>
        <v>0</v>
      </c>
      <c r="J366" s="20">
        <f>IFERROR(preçodiario[[#This Row],[estoque A]]*preçodiario[[#This Row],[OVO BRANCO A]],0)</f>
        <v>2031.9982993197277</v>
      </c>
      <c r="K366" s="19">
        <f>IF(preçodiario[[#This Row],[estoque B]]=0,IF(preçodiario[[#This Row],[entrada B]]=0,"",SUMIFS(estoque[valor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Row],[data]]))),IF(L365=0,SUMIFS(estoque[valor total],estoque[produto],preçodiario[[#Headers],[OVO BRANCO B]],estoque[data],preçodiario[[#This Row],[data]],estoque[fornecedor],"&lt;&gt;saída")/(SUMIFS(estoque[quantidade],estoque[produto],preçodiario[[#Headers],[OVO BRANCO B]],estoque[fornecedor],"&lt;&gt;saída",estoque[data],preçodiario[[#This Row],[data]])),((K365*L365)+SUMIFS(estoque[valor total],estoque[produto],preçodiario[[#Headers],[OVO BRANCO B]],estoque[data],preçodiario[[#This Row],[data]],estoque[fornecedor],"&lt;&gt;saída"))/(L365+(SUMIFS(estoque[quantidade],estoque[produto],preçodiario[[#Headers],[OVO BRANCO B]],estoque[fornecedor],"&lt;&gt;saída",estoque[data],preçodiario[[#This Row],[data]])))))</f>
        <v>14.584252837326604</v>
      </c>
      <c r="L366" s="22">
        <f>IF(preçodiario[[#This Row],[entrada B]]=0,L365-(SUMIFS(estoque[quantidade],estoque[fornecedor],"saída",estoque[produto],preçodiario[[#Headers],[OVO BRANCO B]],estoque[data],preçodiario[[#This Row],[data]])),(-SUMIFS(estoque[quantidade],estoque[fornecedor],"saída",estoque[produto],preçodiario[[#Headers],[OVO BRANCO B]],estoque[data],preçodiario[[#This Row],[data]]))+L365+preçodiario[[#This Row],[entrada B]])</f>
        <v>16</v>
      </c>
      <c r="M366" s="22">
        <f>SUMIFS(estoque[quantidade],estoque[fornecedor],"&lt;&gt;saída",estoque[produto],preçodiario[[#Headers],[OVO BRANCO B]],estoque[data],preçodiario[[#This Row],[data]])</f>
        <v>0</v>
      </c>
      <c r="N366" s="20">
        <f>SUMIFS(estoque[valor total],estoque[fornecedor],"&lt;&gt;saída",estoque[produto],preçodiario[[#Headers],[OVO BRANCO B]],estoque[data],preçodiario[[#This Row],[data]])</f>
        <v>0</v>
      </c>
      <c r="O366" s="20">
        <f>IFERROR(preçodiario[[#This Row],[OVO BRANCO B]]*preçodiario[[#This Row],[estoque B]],0)</f>
        <v>233.34804539722566</v>
      </c>
      <c r="P366" s="19">
        <f>IF(preçodiario[[#This Row],[estoque C]]=0,IF(preçodiario[[#This Row],[entrada C]]=0,"",SUMIFS(estoque[valor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Row],[data]]))),IF(Q365=0,SUMIFS(estoque[valor total],estoque[produto],preçodiario[[#Headers],[OVO BRANCO C]],estoque[data],preçodiario[[#This Row],[data]],estoque[fornecedor],"&lt;&gt;saída")/(SUMIFS(estoque[quantidade],estoque[produto],preçodiario[[#Headers],[OVO BRANCO C]],estoque[fornecedor],"&lt;&gt;saída",estoque[data],preçodiario[[#This Row],[data]])),((P365*Q365)+SUMIFS(estoque[valor total],estoque[produto],preçodiario[[#Headers],[OVO BRANCO C]],estoque[data],preçodiario[[#This Row],[data]],estoque[fornecedor],"&lt;&gt;saída"))/(Q365+(SUMIFS(estoque[quantidade],estoque[produto],preçodiario[[#Headers],[OVO BRANCO C]],estoque[fornecedor],"&lt;&gt;saída",estoque[data],preçodiario[[#This Row],[data]])))))</f>
        <v>12.5</v>
      </c>
      <c r="Q366" s="22">
        <f>IF(preçodiario[[#This Row],[entrada C]]=0,Q365-(SUMIFS(estoque[quantidade],estoque[fornecedor],"saída",estoque[produto],preçodiario[[#Headers],[OVO BRANCO C]],estoque[data],preçodiario[[#This Row],[data]])),(-SUMIFS(estoque[quantidade],estoque[fornecedor],"saída",estoque[produto],preçodiario[[#Headers],[OVO BRANCO C]],estoque[data],preçodiario[[#This Row],[data]]))+Q365+preçodiario[[#This Row],[entrada C]])</f>
        <v>60</v>
      </c>
      <c r="R366" s="22">
        <f>SUMIFS(estoque[quantidade],estoque[fornecedor],"&lt;&gt;saída",estoque[produto],preçodiario[[#Headers],[OVO BRANCO C]],estoque[data],preçodiario[[#This Row],[data]])</f>
        <v>0</v>
      </c>
      <c r="S366" s="20">
        <f>SUMIFS(estoque[valor total],estoque[fornecedor],"&lt;&gt;saída",estoque[produto],preçodiario[[#Headers],[OVO BRANCO C]],estoque[data],preçodiario[[#This Row],[data]])</f>
        <v>0</v>
      </c>
      <c r="T366" s="20">
        <f>IFERROR(preçodiario[[#This Row],[OVO BRANCO C]]*preçodiario[[#This Row],[estoque C]],0)</f>
        <v>750</v>
      </c>
      <c r="U366" s="19">
        <f>IF(preçodiario[[#This Row],[estoque E]]=0,IF(preçodiario[[#This Row],[entrada E]]=0,"",SUMIFS(estoque[valor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Row],[data]]))),IF(V365=0,SUMIFS(estoque[valor total],estoque[produto],preçodiario[[#Headers],[OVO BRANCO EXTRA]],estoque[data],preçodiario[[#This Row],[data]],estoque[fornecedor],"&lt;&gt;saída")/(SUMIFS(estoque[quantidade],estoque[produto],preçodiario[[#Headers],[OVO BRANCO EXTRA]],estoque[fornecedor],"&lt;&gt;saída",estoque[data],preçodiario[[#This Row],[data]])),((U365*V365)+SUMIFS(estoque[valor total],estoque[produto],preçodiario[[#Headers],[OVO BRANCO EXTRA]],estoque[data],preçodiario[[#This Row],[data]],estoque[fornecedor],"&lt;&gt;saída"))/(V365+(SUMIFS(estoque[quantidade],estoque[produto],preçodiario[[#Headers],[OVO BRANCO EXTRA]],estoque[fornecedor],"&lt;&gt;saída",estoque[data],preçodiario[[#This Row],[data]])))))</f>
        <v>15.725438400674655</v>
      </c>
      <c r="V366" s="22">
        <f>IF(preçodiario[[#This Row],[entrada E]]=0,V365-(SUMIFS(estoque[quantidade],estoque[fornecedor],"saída",estoque[produto],preçodiario[[#Headers],[OVO BRANCO EXTRA]],estoque[data],preçodiario[[#This Row],[data]])),(-SUMIFS(estoque[quantidade],estoque[fornecedor],"saída",estoque[produto],preçodiario[[#Headers],[OVO BRANCO EXTRA]],estoque[data],preçodiario[[#This Row],[data]]))+V365+preçodiario[[#This Row],[entrada E]])</f>
        <v>46</v>
      </c>
      <c r="W366" s="22">
        <f>SUMIFS(estoque[quantidade],estoque[fornecedor],"&lt;&gt;saída",estoque[produto],preçodiario[[#Headers],[OVO BRANCO EXTRA]],estoque[data],preçodiario[[#This Row],[data]])</f>
        <v>0</v>
      </c>
      <c r="X366" s="20">
        <f>SUMIFS(estoque[valor total],estoque[fornecedor],"&lt;&gt;saída",estoque[produto],preçodiario[[#Headers],[OVO BRANCO EXTRA]],estoque[data],preçodiario[[#This Row],[data]])</f>
        <v>0</v>
      </c>
      <c r="Y366" s="20">
        <f>IFERROR(preçodiario[[#This Row],[estoque E]]*preçodiario[[#This Row],[OVO BRANCO EXTRA]],0)</f>
        <v>723.37016643103414</v>
      </c>
      <c r="Z366" s="19">
        <f>IF(preçodiario[[#This Row],[estoque J]]=0,IF(preçodiario[[#This Row],[entrada J]]=0,"",SUMIFS(estoque[valor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Row],[data]]))),IF(AA365=0,SUMIFS(estoque[valor total],estoque[produto],preçodiario[[#Headers],[OVO BRANCO JUMBO]],estoque[data],preçodiario[[#This Row],[data]],estoque[fornecedor],"&lt;&gt;saída")/(SUMIFS(estoque[quantidade],estoque[produto],preçodiario[[#Headers],[OVO BRANCO JUMBO]],estoque[fornecedor],"&lt;&gt;saída",estoque[data],preçodiario[[#This Row],[data]])),((Z365*AA365)+SUMIFS(estoque[valor total],estoque[produto],preçodiario[[#Headers],[OVO BRANCO JUMBO]],estoque[data],preçodiario[[#This Row],[data]],estoque[fornecedor],"&lt;&gt;saída"))/(AA365+(SUMIFS(estoque[quantidade],estoque[produto],preçodiario[[#Headers],[OVO BRANCO JUMBO]],estoque[fornecedor],"&lt;&gt;saída",estoque[data],preçodiario[[#This Row],[data]])))))</f>
        <v>16.50550595238095</v>
      </c>
      <c r="AA366" s="22">
        <f>IF(preçodiario[[#This Row],[entrada J]]=0,AA365-(SUMIFS(estoque[quantidade],estoque[fornecedor],"saída",estoque[produto],preçodiario[[#Headers],[OVO BRANCO JUMBO]],estoque[data],preçodiario[[#This Row],[data]])),(-SUMIFS(estoque[quantidade],estoque[fornecedor],"saída",estoque[produto],preçodiario[[#Headers],[OVO BRANCO JUMBO]],estoque[data],preçodiario[[#This Row],[data]]))+AA365+preçodiario[[#This Row],[entrada J]])</f>
        <v>75</v>
      </c>
      <c r="AB366" s="22">
        <f>SUMIFS(estoque[quantidade],estoque[fornecedor],"&lt;&gt;saída",estoque[produto],preçodiario[[#Headers],[OVO BRANCO JUMBO]],estoque[data],preçodiario[[#This Row],[data]])</f>
        <v>0</v>
      </c>
      <c r="AC366" s="20">
        <f>SUMIFS(estoque[valor total],estoque[fornecedor],"&lt;&gt;saída",estoque[produto],preçodiario[[#Headers],[OVO BRANCO JUMBO]],estoque[data],preçodiario[[#This Row],[data]])</f>
        <v>0</v>
      </c>
      <c r="AD366" s="20">
        <f>IFERROR(preçodiario[[#This Row],[OVO BRANCO JUMBO]]*preçodiario[[#This Row],[estoque J]],0)</f>
        <v>1237.9129464285713</v>
      </c>
      <c r="AE366" s="19" t="str">
        <f>IF(preçodiario[[#This Row],[estoque AV]]=0,IF(preçodiario[[#This Row],[entrada AV]]=0,"",SUMIFS(estoque[valor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Row],[data]]))),IF(AF365=0,SUMIFS(estoque[valor total],estoque[produto],preçodiario[[#Headers],[OVO VERMELHO A]],estoque[data],preçodiario[[#This Row],[data]],estoque[fornecedor],"&lt;&gt;saída")/(SUMIFS(estoque[quantidade],estoque[produto],preçodiario[[#Headers],[OVO VERMELHO A]],estoque[fornecedor],"&lt;&gt;saída",estoque[data],preçodiario[[#This Row],[data]])),((AE365*AF365)+SUMIFS(estoque[valor total],estoque[produto],preçodiario[[#Headers],[OVO VERMELHO A]],estoque[data],preçodiario[[#This Row],[data]],estoque[fornecedor],"&lt;&gt;saída"))/(AF365+(SUMIFS(estoque[quantidade],estoque[produto],preçodiario[[#Headers],[OVO VERMELHO A]],estoque[fornecedor],"&lt;&gt;saída",estoque[data],preçodiario[[#This Row],[data]])))))</f>
        <v/>
      </c>
      <c r="AF366" s="22">
        <f>IF(preçodiario[[#This Row],[entrada AV]]=0,AF365-(SUMIFS(estoque[quantidade],estoque[fornecedor],"saída",estoque[produto],preçodiario[[#Headers],[OVO VERMELHO A]],estoque[data],preçodiario[[#This Row],[data]])),(-SUMIFS(estoque[quantidade],estoque[fornecedor],"saída",estoque[produto],preçodiario[[#Headers],[OVO VERMELHO A]],estoque[data],preçodiario[[#This Row],[data]]))+AF365+preçodiario[[#This Row],[entrada AV]])</f>
        <v>0</v>
      </c>
      <c r="AG366" s="22">
        <f>SUMIFS(estoque[quantidade],estoque[fornecedor],"&lt;&gt;saída",estoque[produto],preçodiario[[#Headers],[OVO VERMELHO A]],estoque[data],preçodiario[[#This Row],[data]])</f>
        <v>0</v>
      </c>
      <c r="AH366" s="20">
        <f>SUMIFS(estoque[valor total],estoque[fornecedor],"&lt;&gt;saída",estoque[produto],preçodiario[[#Headers],[OVO VERMELHO A]],estoque[data],preçodiario[[#This Row],[data]])</f>
        <v>0</v>
      </c>
      <c r="AI366" s="20">
        <f>IFERROR(preçodiario[[#This Row],[OVO VERMELHO A]]*preçodiario[[#This Row],[estoque AV]],0)</f>
        <v>0</v>
      </c>
      <c r="AJ366" s="19" t="str">
        <f>IF(preçodiario[[#This Row],[estoque BV]]=0,IF(preçodiario[[#This Row],[entrada BV]]=0,"",SUMIFS(estoque[valor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Row],[data]]))),IF(AK365=0,SUMIFS(estoque[valor total],estoque[produto],preçodiario[[#Headers],[OVO VERMELHO B]],estoque[data],preçodiario[[#This Row],[data]],estoque[fornecedor],"&lt;&gt;saída")/(SUMIFS(estoque[quantidade],estoque[produto],preçodiario[[#Headers],[OVO VERMELHO B]],estoque[fornecedor],"&lt;&gt;saída",estoque[data],preçodiario[[#This Row],[data]])),((AJ365*AK365)+SUMIFS(estoque[valor total],estoque[produto],preçodiario[[#Headers],[OVO VERMELHO B]],estoque[data],preçodiario[[#This Row],[data]],estoque[fornecedor],"&lt;&gt;saída"))/(AK365+(SUMIFS(estoque[quantidade],estoque[produto],preçodiario[[#Headers],[OVO VERMELHO B]],estoque[fornecedor],"&lt;&gt;saída",estoque[data],preçodiario[[#This Row],[data]])))))</f>
        <v/>
      </c>
      <c r="AK366" s="22">
        <f>IF(preçodiario[[#This Row],[entrada BV]]=0,AK365-(SUMIFS(estoque[quantidade],estoque[fornecedor],"saída",estoque[produto],preçodiario[[#Headers],[OVO VERMELHO B]],estoque[data],preçodiario[[#This Row],[data]])),(-SUMIFS(estoque[quantidade],estoque[fornecedor],"saída",estoque[produto],preçodiario[[#Headers],[OVO VERMELHO B]],estoque[data],preçodiario[[#This Row],[data]]))+AK365+preçodiario[[#This Row],[entrada BV]])</f>
        <v>0</v>
      </c>
      <c r="AL366" s="22">
        <f>SUMIFS(estoque[quantidade],estoque[fornecedor],"&lt;&gt;saída",estoque[produto],preçodiario[[#Headers],[OVO VERMELHO B]],estoque[data],preçodiario[[#This Row],[data]])</f>
        <v>0</v>
      </c>
      <c r="AM366" s="20">
        <f>SUMIFS(estoque[valor total],estoque[fornecedor],"&lt;&gt;saída",estoque[produto],preçodiario[[#Headers],[OVO VERMELHO B]],estoque[data],preçodiario[[#This Row],[data]])</f>
        <v>0</v>
      </c>
      <c r="AN366" s="20">
        <f>IFERROR(preçodiario[[#This Row],[OVO VERMELHO B]]*preçodiario[[#This Row],[estoque BV]],0)</f>
        <v>0</v>
      </c>
      <c r="AO366" s="19" t="str">
        <f>IF(preçodiario[[#This Row],[estoque CV]]=0,IF(preçodiario[[#This Row],[entrada CV]]=0,"",SUMIFS(estoque[valor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Row],[data]]))),IF(AP365=0,SUMIFS(estoque[valor total],estoque[produto],preçodiario[[#Headers],[OVO VERMELHO C]],estoque[data],preçodiario[[#This Row],[data]],estoque[fornecedor],"&lt;&gt;saída")/(SUMIFS(estoque[quantidade],estoque[produto],preçodiario[[#Headers],[OVO VERMELHO C]],estoque[fornecedor],"&lt;&gt;saída",estoque[data],preçodiario[[#This Row],[data]])),((AO365*AP365)+SUMIFS(estoque[valor total],estoque[produto],preçodiario[[#Headers],[OVO VERMELHO C]],estoque[data],preçodiario[[#This Row],[data]],estoque[fornecedor],"&lt;&gt;saída"))/(AP365+(SUMIFS(estoque[quantidade],estoque[produto],preçodiario[[#Headers],[OVO VERMELHO C]],estoque[fornecedor],"&lt;&gt;saída",estoque[data],preçodiario[[#This Row],[data]])))))</f>
        <v/>
      </c>
      <c r="AP366" s="22">
        <f>IF(preçodiario[[#This Row],[entrada CV]]=0,AP365-(SUMIFS(estoque[quantidade],estoque[fornecedor],"saída",estoque[produto],preçodiario[[#Headers],[OVO VERMELHO C]],estoque[data],preçodiario[[#This Row],[data]])),(-SUMIFS(estoque[quantidade],estoque[fornecedor],"saída",estoque[produto],preçodiario[[#Headers],[OVO VERMELHO C]],estoque[data],preçodiario[[#This Row],[data]]))+AP365+preçodiario[[#This Row],[entrada CV]])</f>
        <v>0</v>
      </c>
      <c r="AQ366" s="22">
        <f>SUMIFS(estoque[quantidade],estoque[fornecedor],"&lt;&gt;saída",estoque[produto],preçodiario[[#Headers],[OVO VERMELHO C]],estoque[data],preçodiario[[#This Row],[data]])</f>
        <v>0</v>
      </c>
      <c r="AR366" s="20">
        <f>SUMIFS(estoque[valor total],estoque[fornecedor],"&lt;&gt;saída",estoque[produto],preçodiario[[#Headers],[OVO VERMELHO C]],estoque[data],preçodiario[[#This Row],[data]])</f>
        <v>0</v>
      </c>
      <c r="AS366" s="20">
        <f>IFERROR(preçodiario[[#This Row],[OVO VERMELHO C]]*preçodiario[[#This Row],[estoque CV]],0)</f>
        <v>0</v>
      </c>
      <c r="AT366" s="19" t="str">
        <f>IF(preçodiario[[#This Row],[estoque EV]]=0,IF(preçodiario[[#This Row],[entrada EV]]=0,"",SUMIFS(estoque[valor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Row],[data]]))),IF(AU365=0,SUMIFS(estoque[valor total],estoque[produto],preçodiario[[#Headers],[OVO VERMELHO EXTRA]],estoque[data],preçodiario[[#This Row],[data]],estoque[fornecedor],"&lt;&gt;saída")/(SUMIFS(estoque[quantidade],estoque[produto],preçodiario[[#Headers],[OVO VERMELHO EXTRA]],estoque[fornecedor],"&lt;&gt;saída",estoque[data],preçodiario[[#This Row],[data]])),((AT365*AU365)+SUMIFS(estoque[valor total],estoque[produto],preçodiario[[#Headers],[OVO VERMELHO EXTRA]],estoque[data],preçodiario[[#This Row],[data]],estoque[fornecedor],"&lt;&gt;saída"))/(AU365+(SUMIFS(estoque[quantidade],estoque[produto],preçodiario[[#Headers],[OVO VERMELHO EXTRA]],estoque[fornecedor],"&lt;&gt;saída",estoque[data],preçodiario[[#This Row],[data]])))))</f>
        <v/>
      </c>
      <c r="AU366" s="22">
        <f>IF(preçodiario[[#This Row],[entrada EV]]=0,AU365-(SUMIFS(estoque[quantidade],estoque[fornecedor],"saída",estoque[produto],preçodiario[[#Headers],[OVO VERMELHO EXTRA]],estoque[data],preçodiario[[#This Row],[data]])),(-SUMIFS(estoque[quantidade],estoque[fornecedor],"saída",estoque[produto],preçodiario[[#Headers],[OVO VERMELHO EXTRA]],estoque[data],preçodiario[[#This Row],[data]]))+AU365+preçodiario[[#This Row],[entrada EV]])</f>
        <v>0</v>
      </c>
      <c r="AV366" s="22">
        <f>SUMIFS(estoque[quantidade],estoque[fornecedor],"&lt;&gt;saída",estoque[produto],preçodiario[[#Headers],[OVO VERMELHO EXTRA]],estoque[data],preçodiario[[#This Row],[data]])</f>
        <v>0</v>
      </c>
      <c r="AW366" s="20">
        <f>SUMIFS(estoque[valor total],estoque[fornecedor],"&lt;&gt;saída",estoque[produto],preçodiario[[#Headers],[OVO VERMELHO EXTRA]],estoque[data],preçodiario[[#This Row],[data]])</f>
        <v>0</v>
      </c>
      <c r="AX366" s="20">
        <f>IFERROR(preçodiario[[#This Row],[OVO VERMELHO EXTRA]]*preçodiario[[#This Row],[estoque EV]],0)</f>
        <v>0</v>
      </c>
      <c r="AY366" s="19" t="str">
        <f>IF(preçodiario[[#This Row],[estoque JV]]=0,IF(preçodiario[[#This Row],[entrada JV]]=0,"",SUMIFS(estoque[valor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Row],[data]]))),IF(AZ365=0,SUMIFS(estoque[valor total],estoque[produto],preçodiario[[#Headers],[OVO VERMELHO JUMBO]],estoque[data],preçodiario[[#This Row],[data]],estoque[fornecedor],"&lt;&gt;saída")/(SUMIFS(estoque[quantidade],estoque[produto],preçodiario[[#Headers],[OVO VERMELHO JUMBO]],estoque[fornecedor],"&lt;&gt;saída",estoque[data],preçodiario[[#This Row],[data]])),((AY365*AZ365)+SUMIFS(estoque[valor total],estoque[produto],preçodiario[[#Headers],[OVO VERMELHO JUMBO]],estoque[data],preçodiario[[#This Row],[data]],estoque[fornecedor],"&lt;&gt;saída"))/(AZ365+(SUMIFS(estoque[quantidade],estoque[produto],preçodiario[[#Headers],[OVO VERMELHO JUMBO]],estoque[fornecedor],"&lt;&gt;saída",estoque[data],preçodiario[[#This Row],[data]])))))</f>
        <v/>
      </c>
      <c r="AZ366" s="22">
        <f>IF(preçodiario[[#This Row],[entrada JV]]=0,AZ365-(SUMIFS(estoque[quantidade],estoque[fornecedor],"saída",estoque[produto],preçodiario[[#Headers],[OVO VERMELHO JUMBO]],estoque[data],preçodiario[[#This Row],[data]])),(-SUMIFS(estoque[quantidade],estoque[fornecedor],"saída",estoque[produto],preçodiario[[#Headers],[OVO VERMELHO JUMBO]],estoque[data],preçodiario[[#This Row],[data]]))+AZ365+preçodiario[[#This Row],[entrada JV]])</f>
        <v>0</v>
      </c>
      <c r="BA366" s="22">
        <f>SUMIFS(estoque[quantidade],estoque[fornecedor],"&lt;&gt;saída",estoque[produto],preçodiario[[#Headers],[OVO VERMELHO JUMBO]],estoque[data],preçodiario[[#This Row],[data]])</f>
        <v>0</v>
      </c>
      <c r="BB366" s="20">
        <f>SUMIFS(estoque[valor total],estoque[fornecedor],"&lt;&gt;saída",estoque[produto],preçodiario[[#Headers],[OVO VERMELHO JUMBO]],estoque[data],preçodiario[[#This Row],[data]])</f>
        <v>0</v>
      </c>
      <c r="BC366" s="20">
        <f>IFERROR(preçodiario[[#This Row],[OVO VERMELHO JUMBO]]*preçodiario[[#This Row],[estoque JV]],0)</f>
        <v>0</v>
      </c>
      <c r="BD366" t="str">
        <f>TEXT(vendaAno[[#This Row],[data]],"mmm")</f>
        <v>dez</v>
      </c>
      <c r="BE366" t="str">
        <f>TEXT(vendaAno[[#This Row],[data]],"ddd")</f>
        <v>qui</v>
      </c>
      <c r="BF366" s="82">
        <f>WEEKNUM(vendaAno[[#This Row],[data]],13)</f>
        <v>53</v>
      </c>
      <c r="BG366" s="27">
        <f>preçodiario[[#This Row],[data]]</f>
        <v>46387</v>
      </c>
      <c r="BH366" s="8" t="str">
        <f>IF(SUMIFS(estoque[valor total],estoque[fornecedor],"&lt;&gt;saída",estoque[data],vendaAno[[#This Row],[data]])=0,"",SUMIFS(estoque[valor total],estoque[fornecedor],"&lt;&gt;saída",estoque[data],vendaAno[[#This Row],[data]]))</f>
        <v/>
      </c>
      <c r="BI366" s="8" t="str">
        <f>IF(SUMIFS(estoque[valor total],estoque[fornecedor],"saída",estoque[data],vendaAno[[#This Row],[data]])=0,"",SUMIFS(estoque[valor total],estoque[fornecedor],"saída",estoque[data],vendaAno[[#This Row],[data]]))</f>
        <v/>
      </c>
      <c r="BJ366" s="79" t="str">
        <f ca="1">IF(vendaAno[[#This Row],[data]]&lt;=TODAY(),(SUMIFS(estoque[quantidade],estoque[fornecedor],"&lt;&gt;saída",estoque[data],vendaAno[[#This Row],[data]])-SUMIFS(estoque[quantidade],estoque[fornecedor],"saída",estoque[data],vendaAno[[#This Row],[data]]))/12+BJ365,"")</f>
        <v/>
      </c>
      <c r="BK366" s="79" t="str">
        <f ca="1">IF(TODAY()&gt;=vendaAno[[#This Row],[data]],IF(SUMIFS(estoque[quantidade],estoque[fornecedor],"saída",estoque[data],vendaAno[[#This Row],[data]])/12=0,AVERAGE(BK363:BK365),SUMIFS(estoque[quantidade],estoque[fornecedor],"saída",estoque[data],vendaAno[[#This Row],[data]])/12),"")</f>
        <v/>
      </c>
      <c r="BL366" s="8" t="str">
        <f ca="1">IF(vendaAno[[#This Row],[data]]&lt;=TODAY(),IF(SUMIFS(estoque[lucro],estoque[fornecedor],"saída",estoque[data],vendaAno[[#This Row],[data]])=0,AVERAGE(BL363:BL365),SUMIFS(estoque[lucro],estoque[fornecedor],"saída",estoque[data],vendaAno[[#This Row],[data]])),"")</f>
        <v/>
      </c>
      <c r="BM366" s="10" t="str">
        <f ca="1">IFERROR(vendaAno[[#This Row],[lucro]]/vendaAno[[#This Row],[valor de venda]],"")</f>
        <v/>
      </c>
      <c r="BN366" s="11" t="str">
        <f ca="1">IF(vendaAno[[#This Row],[data]]&lt;=TODAY(),preçodiario[[#This Row],[valor estoque Jv]]+preçodiario[[#This Row],[valor estoque Ev]]+preçodiario[[#This Row],[valor estoque Cv]]+preçodiario[[#This Row],[valor estoque Bv]]+preçodiario[[#This Row],[valor estoque Av]]+preçodiario[[#This Row],[valor estoque Jb]]+preçodiario[[#This Row],[valor estoque Eb]]+preçodiario[[#This Row],[valor estoque Cb]]+preçodiario[[#This Row],[valor estoque Bb]]+preçodiario[[#This Row],[valor estoque Ab]],"")</f>
        <v/>
      </c>
      <c r="BO366" s="8" t="str">
        <f ca="1">IF(TODAY()&gt;=vendaAno[[#This Row],[data]],IF(vendaAno[[#This Row],[N°]]=BF365,vendaAno[[#This Row],[lucro]]-173.33+BO365,vendaAno[[#This Row],[lucro]]-150),"")</f>
        <v/>
      </c>
      <c r="BP366" s="81" t="str">
        <f ca="1">IF(TODAY()&gt;=vendaAno[[#This Row],[data]],SUM(BK360:BK366)*12,"")</f>
        <v/>
      </c>
      <c r="BQ366" s="7" t="str">
        <f ca="1">IFERROR(vendaAno[[#This Row],[lucro]]/(vendaAno[[#This Row],[venda]]*12),"")</f>
        <v/>
      </c>
    </row>
  </sheetData>
  <phoneticPr fontId="8" type="noConversion"/>
  <conditionalFormatting sqref="CB2:CB54">
    <cfRule type="top10" dxfId="1483" priority="72" rank="3"/>
  </conditionalFormatting>
  <conditionalFormatting sqref="CA2:CA54">
    <cfRule type="top10" dxfId="1482" priority="71" rank="3"/>
  </conditionalFormatting>
  <conditionalFormatting sqref="BQ2:BQ3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3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366">
    <cfRule type="colorScale" priority="23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BN2:BN3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3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3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3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36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36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3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2:CE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C366">
    <cfRule type="expression" dxfId="1481" priority="12">
      <formula>$E2=TODAY()</formula>
    </cfRule>
  </conditionalFormatting>
  <conditionalFormatting sqref="BW1:BW62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2:BV62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80">
      <colorScale>
        <cfvo type="min"/>
        <cfvo type="max"/>
        <color rgb="FFFCFCFF"/>
        <color rgb="FF63BE7B"/>
      </colorScale>
    </cfRule>
  </conditionalFormatting>
  <conditionalFormatting sqref="BX2:BX62">
    <cfRule type="colorScale" priority="20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D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55:CD91 CC2:CC54">
    <cfRule type="top10" dxfId="1480" priority="2117" rank="3"/>
  </conditionalFormatting>
  <pageMargins left="0.511811024" right="0.511811024" top="0.78740157499999996" bottom="0.78740157499999996" header="0.31496062000000002" footer="0.31496062000000002"/>
  <ignoredErrors>
    <ignoredError sqref="G2:G366 BJ2:BJ366 F367:F375 BL5:BL60 BL3:BL4 BL61:BL366 BP8 BK65:BK366 BP3:BP7 BP9:BP366 BV2:BX2 BO3:BO366" calculatedColumn="1"/>
  </ignoredErrors>
  <drawing r:id="rId1"/>
  <legacy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82" id="{D15EEEF8-84C2-42EB-851B-9E314994FFD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BV2:BV62</xm:sqref>
        </x14:conditionalFormatting>
        <x14:conditionalFormatting xmlns:xm="http://schemas.microsoft.com/office/excel/2006/main">
          <x14:cfRule type="iconSet" priority="2083" id="{4C3660F0-E44C-455A-A6BB-DA7F12DA781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BW2:BW62</xm:sqref>
        </x14:conditionalFormatting>
        <x14:conditionalFormatting xmlns:xm="http://schemas.microsoft.com/office/excel/2006/main">
          <x14:cfRule type="iconSet" priority="2084" id="{36705C3E-109C-494D-A369-3895BD37DD1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BX2:BX62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ED664-E334-482E-A32A-4F46C4245291}">
  <sheetPr codeName="Planilha2"/>
  <dimension ref="A1:BA518"/>
  <sheetViews>
    <sheetView showGridLines="0" topLeftCell="F1" zoomScaleNormal="100" workbookViewId="0">
      <selection activeCell="M6" sqref="M6:T6"/>
    </sheetView>
  </sheetViews>
  <sheetFormatPr defaultRowHeight="15.6" x14ac:dyDescent="0.3"/>
  <cols>
    <col min="1" max="1" width="13.796875" bestFit="1" customWidth="1"/>
    <col min="2" max="2" width="11.69921875" bestFit="1" customWidth="1"/>
    <col min="3" max="3" width="12" customWidth="1"/>
    <col min="4" max="4" width="12.3984375" bestFit="1" customWidth="1"/>
    <col min="5" max="5" width="11.69921875" bestFit="1" customWidth="1"/>
    <col min="6" max="6" width="19.09765625" style="146" bestFit="1" customWidth="1"/>
    <col min="7" max="7" width="11.3984375" style="126" customWidth="1"/>
    <col min="8" max="8" width="12.3984375" style="197" bestFit="1" customWidth="1"/>
    <col min="9" max="9" width="12.3984375" style="126" customWidth="1"/>
    <col min="10" max="11" width="11.3984375" bestFit="1" customWidth="1"/>
    <col min="12" max="12" width="13.19921875" customWidth="1"/>
    <col min="13" max="13" width="15.59765625" customWidth="1"/>
    <col min="14" max="14" width="21.69921875" customWidth="1"/>
    <col min="15" max="15" width="11.5" customWidth="1"/>
    <col min="16" max="16" width="12" style="11" customWidth="1"/>
    <col min="17" max="17" width="10.296875" customWidth="1"/>
    <col min="22" max="22" width="20.3984375" bestFit="1" customWidth="1"/>
    <col min="23" max="23" width="17.19921875" bestFit="1" customWidth="1"/>
    <col min="24" max="24" width="12.19921875" bestFit="1" customWidth="1"/>
    <col min="25" max="25" width="18.5" bestFit="1" customWidth="1"/>
    <col min="26" max="26" width="10.296875" bestFit="1" customWidth="1"/>
    <col min="27" max="27" width="12.69921875" bestFit="1" customWidth="1"/>
    <col min="28" max="31" width="10.296875" bestFit="1" customWidth="1"/>
    <col min="32" max="32" width="12.69921875" bestFit="1" customWidth="1"/>
    <col min="33" max="33" width="10.296875" bestFit="1" customWidth="1"/>
    <col min="34" max="34" width="11.69921875" bestFit="1" customWidth="1"/>
    <col min="35" max="35" width="12.69921875" bestFit="1" customWidth="1"/>
    <col min="36" max="37" width="11.69921875" bestFit="1" customWidth="1"/>
    <col min="38" max="49" width="9.09765625" bestFit="1" customWidth="1"/>
    <col min="50" max="50" width="9.3984375" bestFit="1" customWidth="1"/>
  </cols>
  <sheetData>
    <row r="1" spans="1:23" ht="13.8" x14ac:dyDescent="0.25">
      <c r="A1" t="s">
        <v>34</v>
      </c>
      <c r="B1" t="s">
        <v>35</v>
      </c>
      <c r="C1" t="s">
        <v>36</v>
      </c>
      <c r="D1" t="s">
        <v>37</v>
      </c>
      <c r="E1" t="s">
        <v>7</v>
      </c>
      <c r="F1" t="s">
        <v>38</v>
      </c>
      <c r="G1" t="s">
        <v>39</v>
      </c>
      <c r="H1" s="166" t="s">
        <v>40</v>
      </c>
      <c r="I1" t="s">
        <v>41</v>
      </c>
      <c r="J1" t="s">
        <v>42</v>
      </c>
      <c r="L1" s="97" t="s">
        <v>22</v>
      </c>
      <c r="M1" t="s">
        <v>34</v>
      </c>
      <c r="N1" t="s">
        <v>4</v>
      </c>
      <c r="O1" t="s">
        <v>1</v>
      </c>
      <c r="P1" s="11" t="s">
        <v>2</v>
      </c>
      <c r="Q1" t="s">
        <v>7</v>
      </c>
      <c r="R1" t="s">
        <v>5</v>
      </c>
      <c r="S1" t="s">
        <v>9</v>
      </c>
      <c r="T1" t="s">
        <v>50</v>
      </c>
    </row>
    <row r="2" spans="1:23" x14ac:dyDescent="0.25">
      <c r="A2" t="s">
        <v>350</v>
      </c>
      <c r="B2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3</v>
      </c>
      <c r="C2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-190</v>
      </c>
      <c r="D2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672</v>
      </c>
      <c r="E2" s="7">
        <f ca="1">SUMIFS(aprazo[lucro],aprazo[cliente],controleAprazo[[#This Row],[cliente]],aprazo[[mês ]],TEXT(TODAY(),"mmm"))</f>
        <v>121.28571428571432</v>
      </c>
      <c r="F2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5178.5</v>
      </c>
      <c r="G2" s="7">
        <f>SUMIFS(aprazo[valor],aprazo[produto],controleAprazo[[#Headers],[crédito]],aprazo[cliente],controleAprazo[[#This Row],[cliente]])</f>
        <v>0</v>
      </c>
      <c r="H2" s="165">
        <f>SUMIFS(aprazo[valor],aprazo[produto],controleAprazo[[#Headers],[débito]],aprazo[cliente],controleAprazo[[#This Row],[cliente]])</f>
        <v>0</v>
      </c>
      <c r="I2" s="7">
        <f>SUMIFS(aprazo[valor],aprazo[produto],controleAprazo[[#Headers],[pix]],aprazo[cliente],controleAprazo[[#This Row],[cliente]])</f>
        <v>4978.5</v>
      </c>
      <c r="J2" s="7">
        <f>SUMIFS(aprazo[valor],aprazo[produto],controleAprazo[[#Headers],[dinheiro]],aprazo[cliente],controleAprazo[[#This Row],[cliente]])</f>
        <v>200</v>
      </c>
      <c r="L2" s="46" t="s">
        <v>22</v>
      </c>
      <c r="M2" s="257" t="s">
        <v>44</v>
      </c>
      <c r="N2" s="57" t="s">
        <v>10</v>
      </c>
      <c r="O2" s="60">
        <v>6</v>
      </c>
      <c r="P2" s="182">
        <f>-(registroAprazo[[#This Row],[quantidade]]*IF(registroAprazo[[#This Row],[atacado]]="atacado",SUMIFS(controleEstoque[atacado],controleEstoque[produto],registroAprazo[[#This Row],[produto]]),SUMIFS(controleEstoque[varejo],controleEstoque[produto],registroAprazo[[#This Row],[produto]])))</f>
        <v>-102</v>
      </c>
      <c r="Q2" s="58">
        <f ca="1">(IF(registroAprazo[[#This Row],[atacado]]="atacado",SUMIF(controleEstoque[produto],registroAprazo[[#This Row],[produto]],controleEstoque[atacado]),SUMIF(controleEstoque[produto],registroAprazo[[#This Row],[produto]],controleEstoque[varejo]))-SUMIF(preçodiario[data],registroAprazo[[#This Row],[data]],OFFSET(preçodiario[[#This Row],[mês]],,MATCH(registroAprazo[[#This Row],[produto]],preçodiario[[#Headers],[dia da semana]:[valor Jv]],0))))*registroAprazo[[#This Row],[quantidade]]</f>
        <v>10.330903790087469</v>
      </c>
      <c r="R2" s="59">
        <v>46232</v>
      </c>
      <c r="S2" s="57" t="str">
        <f>TEXT(registroAprazo[[#This Row],[data]],"ddd")</f>
        <v>qua</v>
      </c>
      <c r="T2" s="57" t="str">
        <f>TEXT(registroAprazo[[#This Row],[data]],"mmm")</f>
        <v>jul</v>
      </c>
      <c r="W2" t="str" cm="1">
        <f t="array" ref="W2:W14">UPPER(_xlfn.UNIQUE(aprazo[cliente]))</f>
        <v>ALEATÓRIO</v>
      </c>
    </row>
    <row r="3" spans="1:23" ht="13.8" x14ac:dyDescent="0.25">
      <c r="A3" t="s">
        <v>47</v>
      </c>
      <c r="B3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3</v>
      </c>
      <c r="C3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-173.5</v>
      </c>
      <c r="D3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672</v>
      </c>
      <c r="E3" s="7">
        <f ca="1">SUMIFS(aprazo[lucro],aprazo[cliente],controleAprazo[[#This Row],[cliente]],aprazo[[mês ]],TEXT(TODAY(),"mmm"))</f>
        <v>118.66180758017492</v>
      </c>
      <c r="F3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5820</v>
      </c>
      <c r="G3" s="7">
        <f>SUMIFS(aprazo[valor],aprazo[produto],controleAprazo[[#Headers],[crédito]],aprazo[cliente],controleAprazo[[#This Row],[cliente]])</f>
        <v>0</v>
      </c>
      <c r="H3" s="165">
        <f>SUMIFS(aprazo[valor],aprazo[produto],controleAprazo[[#Headers],[débito]],aprazo[cliente],controleAprazo[[#This Row],[cliente]])</f>
        <v>0</v>
      </c>
      <c r="I3" s="7">
        <f>SUMIFS(aprazo[valor],aprazo[produto],controleAprazo[[#Headers],[pix]],aprazo[cliente],controleAprazo[[#This Row],[cliente]])</f>
        <v>5570</v>
      </c>
      <c r="J3" s="7">
        <f>SUMIFS(aprazo[valor],aprazo[produto],controleAprazo[[#Headers],[dinheiro]],aprazo[cliente],controleAprazo[[#This Row],[cliente]])</f>
        <v>250</v>
      </c>
      <c r="M3" s="109" t="s">
        <v>38</v>
      </c>
      <c r="N3" s="109" t="s">
        <v>113</v>
      </c>
      <c r="O3" s="109" t="s">
        <v>1</v>
      </c>
      <c r="P3" s="149" t="s">
        <v>2</v>
      </c>
      <c r="Q3" s="109" t="s">
        <v>51</v>
      </c>
      <c r="R3" s="109" t="s">
        <v>5</v>
      </c>
      <c r="S3" s="109" t="s">
        <v>9</v>
      </c>
      <c r="T3" s="109" t="s">
        <v>50</v>
      </c>
      <c r="W3" t="str">
        <v>TEREZA</v>
      </c>
    </row>
    <row r="4" spans="1:23" ht="13.8" x14ac:dyDescent="0.25">
      <c r="A4" t="s">
        <v>46</v>
      </c>
      <c r="B4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</v>
      </c>
      <c r="C4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-204</v>
      </c>
      <c r="D4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420</v>
      </c>
      <c r="E4" s="7">
        <f ca="1">SUMIFS(aprazo[lucro],aprazo[cliente],controleAprazo[[#This Row],[cliente]],aprazo[[mês ]],TEXT(TODAY(),"mmm"))</f>
        <v>69.977931904161522</v>
      </c>
      <c r="F4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5843</v>
      </c>
      <c r="G4" s="7">
        <f>SUMIFS(aprazo[valor],aprazo[produto],controleAprazo[[#Headers],[crédito]],aprazo[cliente],controleAprazo[[#This Row],[cliente]])</f>
        <v>0</v>
      </c>
      <c r="H4" s="165">
        <f>SUMIFS(aprazo[valor],aprazo[produto],controleAprazo[[#Headers],[débito]],aprazo[cliente],controleAprazo[[#This Row],[cliente]])</f>
        <v>0</v>
      </c>
      <c r="I4" s="7">
        <f>SUMIFS(aprazo[valor],aprazo[produto],controleAprazo[[#Headers],[pix]],aprazo[cliente],controleAprazo[[#This Row],[cliente]])</f>
        <v>5843</v>
      </c>
      <c r="J4" s="7">
        <f>SUMIFS(aprazo[valor],aprazo[produto],controleAprazo[[#Headers],[dinheiro]],aprazo[cliente],controleAprazo[[#This Row],[cliente]])</f>
        <v>0</v>
      </c>
      <c r="K4" s="11"/>
      <c r="L4" s="11"/>
      <c r="M4" s="63" t="s">
        <v>44</v>
      </c>
      <c r="N4" s="63" t="s">
        <v>40</v>
      </c>
      <c r="O4" s="63" t="s">
        <v>38</v>
      </c>
      <c r="P4" s="150">
        <v>102</v>
      </c>
      <c r="Q4" s="180" cm="1">
        <f t="array" ref="Q4">IFERROR(-_xlfn.IFS(RegistroPagamento[[#This Row],[modo]]="débito",RegistroPagamento[[#This Row],[valor]]*dadosfechamento[[#This Row],[débito]],RegistroPagamento[[#This Row],[modo]]="crédito",RegistroPagamento[[#This Row],[valor]]*dadosfechamento[[#This Row],[crédito]]),0)</f>
        <v>-1.3974</v>
      </c>
      <c r="R4" s="59">
        <v>46232</v>
      </c>
      <c r="S4" s="63" t="str">
        <f>TEXT(RegistroPagamento[[#This Row],[data]],"ddd")</f>
        <v>qua</v>
      </c>
      <c r="T4" s="63" t="str">
        <f>TEXT(RegistroPagamento[[#This Row],[data]],"mmm")</f>
        <v>jul</v>
      </c>
      <c r="W4" t="str">
        <v>CARA AERONALTICA</v>
      </c>
    </row>
    <row r="5" spans="1:23" ht="13.8" x14ac:dyDescent="0.25">
      <c r="A5" t="s">
        <v>44</v>
      </c>
      <c r="B5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1.5</v>
      </c>
      <c r="C5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5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324</v>
      </c>
      <c r="E5" s="7">
        <f ca="1">SUMIFS(aprazo[lucro],aprazo[cliente],controleAprazo[[#This Row],[cliente]],aprazo[[mês ]],TEXT(TODAY(),"mmm"))</f>
        <v>41.871703790087452</v>
      </c>
      <c r="F5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6696.5</v>
      </c>
      <c r="G5" s="7">
        <f>SUMIFS(aprazo[valor],aprazo[produto],controleAprazo[[#Headers],[crédito]],aprazo[cliente],controleAprazo[[#This Row],[cliente]])</f>
        <v>406.5</v>
      </c>
      <c r="H5" s="165">
        <f>SUMIFS(aprazo[valor],aprazo[produto],controleAprazo[[#Headers],[débito]],aprazo[cliente],controleAprazo[[#This Row],[cliente]])</f>
        <v>1221.5</v>
      </c>
      <c r="I5" s="7">
        <f>SUMIFS(aprazo[valor],aprazo[produto],controleAprazo[[#Headers],[pix]],aprazo[cliente],controleAprazo[[#This Row],[cliente]])</f>
        <v>3117.5</v>
      </c>
      <c r="J5" s="7">
        <f>SUMIFS(aprazo[valor],aprazo[produto],controleAprazo[[#Headers],[dinheiro]],aprazo[cliente],controleAprazo[[#This Row],[cliente]])</f>
        <v>1951</v>
      </c>
      <c r="K5" s="11"/>
      <c r="L5" s="46" t="s">
        <v>22</v>
      </c>
      <c r="M5" s="109" t="s">
        <v>34</v>
      </c>
      <c r="N5" s="109" t="s">
        <v>4</v>
      </c>
      <c r="O5" s="109" t="s">
        <v>1</v>
      </c>
      <c r="P5" s="181" t="s">
        <v>2</v>
      </c>
      <c r="Q5" s="181" t="s">
        <v>7</v>
      </c>
      <c r="R5" s="109" t="s">
        <v>5</v>
      </c>
      <c r="S5" s="109" t="s">
        <v>9</v>
      </c>
      <c r="T5" s="109" t="s">
        <v>50</v>
      </c>
      <c r="W5" t="str">
        <v xml:space="preserve">JANAIRA </v>
      </c>
    </row>
    <row r="6" spans="1:23" ht="13.8" x14ac:dyDescent="0.25">
      <c r="A6" t="s">
        <v>48</v>
      </c>
      <c r="B6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</v>
      </c>
      <c r="C6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-216</v>
      </c>
      <c r="D6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432</v>
      </c>
      <c r="E6" s="7">
        <f ca="1">SUMIFS(aprazo[lucro],aprazo[cliente],controleAprazo[[#This Row],[cliente]],aprazo[[mês ]],TEXT(TODAY(),"mmm"))</f>
        <v>67.947521865889172</v>
      </c>
      <c r="F6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2904</v>
      </c>
      <c r="G6" s="7">
        <f>SUMIFS(aprazo[valor],aprazo[produto],controleAprazo[[#Headers],[crédito]],aprazo[cliente],controleAprazo[[#This Row],[cliente]])</f>
        <v>0</v>
      </c>
      <c r="H6" s="165">
        <f>SUMIFS(aprazo[valor],aprazo[produto],controleAprazo[[#Headers],[débito]],aprazo[cliente],controleAprazo[[#This Row],[cliente]])</f>
        <v>0</v>
      </c>
      <c r="I6" s="7">
        <f>SUMIFS(aprazo[valor],aprazo[produto],controleAprazo[[#Headers],[pix]],aprazo[cliente],controleAprazo[[#This Row],[cliente]])</f>
        <v>2904</v>
      </c>
      <c r="J6" s="7">
        <f>SUMIFS(aprazo[valor],aprazo[produto],controleAprazo[[#Headers],[dinheiro]],aprazo[cliente],controleAprazo[[#This Row],[cliente]])</f>
        <v>0</v>
      </c>
      <c r="L6" s="46"/>
      <c r="M6" s="63" t="s">
        <v>44</v>
      </c>
      <c r="N6" s="63" t="s">
        <v>40</v>
      </c>
      <c r="O6" s="63" t="s">
        <v>38</v>
      </c>
      <c r="P6" s="150">
        <v>102</v>
      </c>
      <c r="Q6" s="180">
        <v>-1.3974</v>
      </c>
      <c r="R6" s="59">
        <v>46232</v>
      </c>
      <c r="S6" s="63" t="s">
        <v>32</v>
      </c>
      <c r="T6" s="63" t="s">
        <v>149</v>
      </c>
      <c r="W6" t="str">
        <v>MELQUISEDEQUE</v>
      </c>
    </row>
    <row r="7" spans="1:23" x14ac:dyDescent="0.25">
      <c r="A7" t="s">
        <v>275</v>
      </c>
      <c r="B7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0.75</v>
      </c>
      <c r="C7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-180</v>
      </c>
      <c r="D7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180</v>
      </c>
      <c r="E7" s="7">
        <f ca="1">SUMIFS(aprazo[lucro],aprazo[cliente],controleAprazo[[#This Row],[cliente]],aprazo[[mês ]],TEXT(TODAY(),"mmm"))</f>
        <v>37.878400262207705</v>
      </c>
      <c r="F7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960.5</v>
      </c>
      <c r="G7" s="7">
        <f>SUMIFS(aprazo[valor],aprazo[produto],controleAprazo[[#Headers],[crédito]],aprazo[cliente],controleAprazo[[#This Row],[cliente]])</f>
        <v>0</v>
      </c>
      <c r="H7" s="165">
        <f>SUMIFS(aprazo[valor],aprazo[produto],controleAprazo[[#Headers],[débito]],aprazo[cliente],controleAprazo[[#This Row],[cliente]])</f>
        <v>893.5</v>
      </c>
      <c r="I7" s="7">
        <f>SUMIFS(aprazo[valor],aprazo[produto],controleAprazo[[#Headers],[pix]],aprazo[cliente],controleAprazo[[#This Row],[cliente]])</f>
        <v>0</v>
      </c>
      <c r="J7" s="7">
        <f>SUMIFS(aprazo[valor],aprazo[produto],controleAprazo[[#Headers],[dinheiro]],aprazo[cliente],controleAprazo[[#This Row],[cliente]])</f>
        <v>67</v>
      </c>
      <c r="L7" s="46" t="s">
        <v>22</v>
      </c>
      <c r="M7" s="257" t="s">
        <v>44</v>
      </c>
      <c r="N7" s="57" t="s">
        <v>10</v>
      </c>
      <c r="O7" s="60">
        <v>6</v>
      </c>
      <c r="P7" s="182">
        <v>-102</v>
      </c>
      <c r="Q7" s="58">
        <v>10.330903790087447</v>
      </c>
      <c r="R7" s="59">
        <v>46232</v>
      </c>
      <c r="S7" s="57" t="s">
        <v>32</v>
      </c>
      <c r="T7" s="57" t="s">
        <v>149</v>
      </c>
      <c r="W7" t="str">
        <v>NALDO</v>
      </c>
    </row>
    <row r="8" spans="1:23" x14ac:dyDescent="0.25">
      <c r="A8" t="s">
        <v>49</v>
      </c>
      <c r="B8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</v>
      </c>
      <c r="C8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-96</v>
      </c>
      <c r="D8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399</v>
      </c>
      <c r="E8" s="7">
        <f ca="1">SUMIFS(aprazo[lucro],aprazo[cliente],controleAprazo[[#This Row],[cliente]],aprazo[[mês ]],TEXT(TODAY(),"mmm"))</f>
        <v>48.971566107285028</v>
      </c>
      <c r="F8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2593</v>
      </c>
      <c r="G8" s="7">
        <f>SUMIFS(aprazo[valor],aprazo[produto],controleAprazo[[#Headers],[crédito]],aprazo[cliente],controleAprazo[[#This Row],[cliente]])</f>
        <v>1428</v>
      </c>
      <c r="H8" s="165">
        <f>SUMIFS(aprazo[valor],aprazo[produto],controleAprazo[[#Headers],[débito]],aprazo[cliente],controleAprazo[[#This Row],[cliente]])</f>
        <v>102</v>
      </c>
      <c r="I8" s="7">
        <f>SUMIFS(aprazo[valor],aprazo[produto],controleAprazo[[#Headers],[pix]],aprazo[cliente],controleAprazo[[#This Row],[cliente]])</f>
        <v>841</v>
      </c>
      <c r="J8" s="7">
        <f>SUMIFS(aprazo[valor],aprazo[produto],controleAprazo[[#Headers],[dinheiro]],aprazo[cliente],controleAprazo[[#This Row],[cliente]])</f>
        <v>222</v>
      </c>
      <c r="L8" s="46" t="s">
        <v>22</v>
      </c>
      <c r="M8" s="257" t="s">
        <v>49</v>
      </c>
      <c r="N8" s="57" t="s">
        <v>11</v>
      </c>
      <c r="O8" s="60">
        <v>6</v>
      </c>
      <c r="P8" s="182">
        <v>-96</v>
      </c>
      <c r="Q8" s="58">
        <v>8.4944829760403877</v>
      </c>
      <c r="R8" s="59">
        <v>46232</v>
      </c>
      <c r="S8" s="57" t="s">
        <v>32</v>
      </c>
      <c r="T8" s="57" t="s">
        <v>149</v>
      </c>
      <c r="W8" t="str">
        <v>JUNIO LANCHE</v>
      </c>
    </row>
    <row r="9" spans="1:23" x14ac:dyDescent="0.25">
      <c r="A9" t="s">
        <v>270</v>
      </c>
      <c r="B9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9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9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9" s="7">
        <f ca="1">SUMIFS(aprazo[lucro],aprazo[cliente],controleAprazo[[#This Row],[cliente]],aprazo[[mês ]],TEXT(TODAY(),"mmm"))</f>
        <v>0</v>
      </c>
      <c r="F9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154</v>
      </c>
      <c r="G9" s="7">
        <f>SUMIFS(aprazo[valor],aprazo[produto],controleAprazo[[#Headers],[crédito]],aprazo[cliente],controleAprazo[[#This Row],[cliente]])</f>
        <v>0</v>
      </c>
      <c r="H9" s="165">
        <f>SUMIFS(aprazo[valor],aprazo[produto],controleAprazo[[#Headers],[débito]],aprazo[cliente],controleAprazo[[#This Row],[cliente]])</f>
        <v>0</v>
      </c>
      <c r="I9" s="7">
        <f>SUMIFS(aprazo[valor],aprazo[produto],controleAprazo[[#Headers],[pix]],aprazo[cliente],controleAprazo[[#This Row],[cliente]])</f>
        <v>64</v>
      </c>
      <c r="J9" s="7">
        <f>SUMIFS(aprazo[valor],aprazo[produto],controleAprazo[[#Headers],[dinheiro]],aprazo[cliente],controleAprazo[[#This Row],[cliente]])</f>
        <v>90</v>
      </c>
      <c r="L9" s="46" t="s">
        <v>295</v>
      </c>
      <c r="M9" s="257" t="s">
        <v>275</v>
      </c>
      <c r="N9" s="57" t="s">
        <v>13</v>
      </c>
      <c r="O9" s="60">
        <v>1</v>
      </c>
      <c r="P9" s="182">
        <v>-22</v>
      </c>
      <c r="Q9" s="58">
        <v>6.2745615993253452</v>
      </c>
      <c r="R9" s="59">
        <v>46231</v>
      </c>
      <c r="S9" s="57" t="s">
        <v>290</v>
      </c>
      <c r="T9" s="57" t="s">
        <v>149</v>
      </c>
      <c r="W9" t="str">
        <v>MAY</v>
      </c>
    </row>
    <row r="10" spans="1:23" x14ac:dyDescent="0.25">
      <c r="A10" t="s">
        <v>328</v>
      </c>
      <c r="B10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8.3333333333333329E-2</v>
      </c>
      <c r="C10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</v>
      </c>
      <c r="D10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20</v>
      </c>
      <c r="E10" s="7">
        <f ca="1">SUMIFS(aprazo[lucro],aprazo[cliente],controleAprazo[[#This Row],[cliente]],aprazo[[mês ]],TEXT(TODAY(),"mmm"))</f>
        <v>4.1666666666666625</v>
      </c>
      <c r="F10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135</v>
      </c>
      <c r="G10" s="7">
        <f>SUMIFS(aprazo[valor],aprazo[produto],controleAprazo[[#Headers],[crédito]],aprazo[cliente],controleAprazo[[#This Row],[cliente]])</f>
        <v>0</v>
      </c>
      <c r="H10" s="165">
        <f>SUMIFS(aprazo[valor],aprazo[produto],controleAprazo[[#Headers],[débito]],aprazo[cliente],controleAprazo[[#This Row],[cliente]])</f>
        <v>0</v>
      </c>
      <c r="I10" s="7">
        <f>SUMIFS(aprazo[valor],aprazo[produto],controleAprazo[[#Headers],[pix]],aprazo[cliente],controleAprazo[[#This Row],[cliente]])</f>
        <v>0</v>
      </c>
      <c r="J10" s="7">
        <f>SUMIFS(aprazo[valor],aprazo[produto],controleAprazo[[#Headers],[dinheiro]],aprazo[cliente],controleAprazo[[#This Row],[cliente]])</f>
        <v>135</v>
      </c>
      <c r="L10" s="46" t="s">
        <v>295</v>
      </c>
      <c r="M10" s="257" t="s">
        <v>46</v>
      </c>
      <c r="N10" s="57" t="s">
        <v>11</v>
      </c>
      <c r="O10" s="60">
        <v>12</v>
      </c>
      <c r="P10" s="182">
        <v>-204</v>
      </c>
      <c r="Q10" s="58">
        <v>28.988965952080775</v>
      </c>
      <c r="R10" s="59">
        <v>46230</v>
      </c>
      <c r="S10" s="57" t="s">
        <v>291</v>
      </c>
      <c r="T10" s="57" t="s">
        <v>149</v>
      </c>
      <c r="W10" t="str">
        <v>VIZINHO</v>
      </c>
    </row>
    <row r="11" spans="1:23" ht="13.8" x14ac:dyDescent="0.25">
      <c r="A11" t="s">
        <v>45</v>
      </c>
      <c r="B11" s="87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>2.5</v>
      </c>
      <c r="C11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11" s="7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>570</v>
      </c>
      <c r="E11" s="7">
        <f ca="1">SUMIFS(aprazo[lucro],aprazo[cliente],controleAprazo[[#This Row],[cliente]],aprazo[[mês ]],TEXT(TODAY(),"mmm"))</f>
        <v>102.94701986754964</v>
      </c>
      <c r="F11" s="7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>1356</v>
      </c>
      <c r="G11" s="7">
        <f>SUMIFS(aprazo[valor],aprazo[produto],controleAprazo[[#Headers],[crédito]],aprazo[cliente],controleAprazo[[#This Row],[cliente]])</f>
        <v>0</v>
      </c>
      <c r="H11" s="165">
        <f>SUMIFS(aprazo[valor],aprazo[produto],controleAprazo[[#Headers],[débito]],aprazo[cliente],controleAprazo[[#This Row],[cliente]])</f>
        <v>0</v>
      </c>
      <c r="I11" s="7">
        <f>SUMIFS(aprazo[valor],aprazo[produto],controleAprazo[[#Headers],[pix]],aprazo[cliente],controleAprazo[[#This Row],[cliente]])</f>
        <v>816</v>
      </c>
      <c r="J11" s="7">
        <f>SUMIFS(aprazo[valor],aprazo[produto],controleAprazo[[#Headers],[dinheiro]],aprazo[cliente],controleAprazo[[#This Row],[cliente]])</f>
        <v>540</v>
      </c>
      <c r="L11" s="46"/>
      <c r="M11" s="63" t="s">
        <v>46</v>
      </c>
      <c r="N11" s="63" t="s">
        <v>41</v>
      </c>
      <c r="O11" s="63" t="s">
        <v>38</v>
      </c>
      <c r="P11" s="150">
        <v>216</v>
      </c>
      <c r="Q11" s="180">
        <v>0</v>
      </c>
      <c r="R11" s="59">
        <v>46230</v>
      </c>
      <c r="S11" s="63" t="s">
        <v>291</v>
      </c>
      <c r="T11" s="63" t="s">
        <v>149</v>
      </c>
      <c r="W11" t="str">
        <v>PAI DO SAULO</v>
      </c>
    </row>
    <row r="12" spans="1:23" x14ac:dyDescent="0.25">
      <c r="A12" t="s">
        <v>343</v>
      </c>
      <c r="B12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12" s="186" t="str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/>
      </c>
      <c r="D12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12" s="7">
        <f ca="1">SUMIFS(aprazo[lucro],aprazo[cliente],controleAprazo[[#This Row],[cliente]],aprazo[[mês ]],TEXT(TODAY(),"mmm"))</f>
        <v>0</v>
      </c>
      <c r="F12" s="7" t="str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/>
      </c>
      <c r="G12" s="7">
        <f>SUMIFS(aprazo[valor],aprazo[produto],controleAprazo[[#Headers],[crédito]],aprazo[cliente],controleAprazo[[#This Row],[cliente]])</f>
        <v>0</v>
      </c>
      <c r="H12" s="165">
        <f>SUMIFS(aprazo[valor],aprazo[produto],controleAprazo[[#Headers],[débito]],aprazo[cliente],controleAprazo[[#This Row],[cliente]])</f>
        <v>0</v>
      </c>
      <c r="I12" s="7">
        <f>SUMIFS(aprazo[valor],aprazo[produto],controleAprazo[[#Headers],[pix]],aprazo[cliente],controleAprazo[[#This Row],[cliente]])</f>
        <v>0</v>
      </c>
      <c r="J12" s="7">
        <f>SUMIFS(aprazo[valor],aprazo[produto],controleAprazo[[#Headers],[dinheiro]],aprazo[cliente],controleAprazo[[#This Row],[cliente]])</f>
        <v>0</v>
      </c>
      <c r="L12" s="46" t="s">
        <v>295</v>
      </c>
      <c r="M12" s="257" t="s">
        <v>48</v>
      </c>
      <c r="N12" s="57" t="s">
        <v>10</v>
      </c>
      <c r="O12" s="60">
        <v>12</v>
      </c>
      <c r="P12" s="182">
        <v>-216</v>
      </c>
      <c r="Q12" s="58">
        <v>32.661807580174894</v>
      </c>
      <c r="R12" s="59">
        <v>46229</v>
      </c>
      <c r="S12" s="57" t="s">
        <v>93</v>
      </c>
      <c r="T12" s="57" t="s">
        <v>149</v>
      </c>
      <c r="W12" t="str">
        <v>ROBERLAN</v>
      </c>
    </row>
    <row r="13" spans="1:23" ht="14.4" thickBot="1" x14ac:dyDescent="0.3">
      <c r="A13" t="s">
        <v>322</v>
      </c>
      <c r="B13" s="87" t="str">
        <f ca="1">IF(SUMIFS(aprazo[quantidade],aprazo[cliente],controleAprazo[[#This Row],[cliente]],aprazo[[mês ]],TEXT(TODAY(),"mmm"))/12=0,"",SUMIFS(aprazo[quantidade],aprazo[cliente],controleAprazo[[#This Row],[cliente]],aprazo[[mês ]],TEXT(TODAY(),"mmm"))/12)</f>
        <v/>
      </c>
      <c r="C13" s="186">
        <f>IF(SUMIFS(aprazo[valor],aprazo[cliente],controleAprazo[[#This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Row],[cliente]])=0,"",SUMIFS(aprazo[valor],aprazo[cliente],controleAprazo[[#This Row],[cliente]])-SUMIFS(aprazo[valor],aprazo[quantidade],"pagamento",aprazo[cliente],controleAprazo[[#This Row],[cliente]])+SUMIFS(aprazo[valor],aprazo[quantidade],"pagamento",aprazo[cliente],controleAprazo[[#This Row],[cliente]]))</f>
        <v>-20</v>
      </c>
      <c r="D13" s="7" t="str">
        <f ca="1">IF(ABS(SUMIFS(aprazo[valor],aprazo[quantidade],"&gt;0",aprazo[cliente],controleAprazo[[#This Row],[cliente]],aprazo[[mês ]],TEXT(TODAY(),"mmm")))=0,"",ABS(SUMIFS(aprazo[valor],aprazo[quantidade],"&gt;0",aprazo[cliente],controleAprazo[[#This Row],[cliente]],aprazo[[mês ]],TEXT(TODAY(),"mmm"))))</f>
        <v/>
      </c>
      <c r="E13" s="7">
        <f ca="1">SUMIFS(aprazo[lucro],aprazo[cliente],controleAprazo[[#This Row],[cliente]],aprazo[[mês ]],TEXT(TODAY(),"mmm"))</f>
        <v>0</v>
      </c>
      <c r="F13" s="7" t="str">
        <f>IF(SUMIFS(aprazo[valor],aprazo[quantidade],controleAprazo[[#Headers],[pagamento]],aprazo[cliente],controleAprazo[[#This Row],[cliente]])=0,"",SUMIFS(aprazo[valor],aprazo[quantidade],controleAprazo[[#Headers],[pagamento]],aprazo[cliente],controleAprazo[[#This Row],[cliente]]))</f>
        <v/>
      </c>
      <c r="G13" s="7">
        <f>SUMIFS(aprazo[valor],aprazo[produto],controleAprazo[[#Headers],[crédito]],aprazo[cliente],controleAprazo[[#This Row],[cliente]])</f>
        <v>0</v>
      </c>
      <c r="H13" s="165">
        <f>SUMIFS(aprazo[valor],aprazo[produto],controleAprazo[[#Headers],[débito]],aprazo[cliente],controleAprazo[[#This Row],[cliente]])</f>
        <v>0</v>
      </c>
      <c r="I13" s="7">
        <f>SUMIFS(aprazo[valor],aprazo[produto],controleAprazo[[#Headers],[pix]],aprazo[cliente],controleAprazo[[#This Row],[cliente]])</f>
        <v>0</v>
      </c>
      <c r="J13" s="7">
        <f>SUMIFS(aprazo[valor],aprazo[produto],controleAprazo[[#Headers],[dinheiro]],aprazo[cliente],controleAprazo[[#This Row],[cliente]])</f>
        <v>0</v>
      </c>
      <c r="L13" s="46"/>
      <c r="M13" s="63" t="s">
        <v>350</v>
      </c>
      <c r="N13" s="63" t="s">
        <v>41</v>
      </c>
      <c r="O13" s="63" t="s">
        <v>38</v>
      </c>
      <c r="P13" s="150">
        <v>266</v>
      </c>
      <c r="Q13" s="180">
        <v>0</v>
      </c>
      <c r="R13" s="59">
        <v>46229</v>
      </c>
      <c r="S13" s="63" t="s">
        <v>93</v>
      </c>
      <c r="T13" s="63" t="s">
        <v>149</v>
      </c>
      <c r="W13" t="str">
        <v>ANDREY</v>
      </c>
    </row>
    <row r="14" spans="1:23" ht="14.4" thickTop="1" x14ac:dyDescent="0.25">
      <c r="A14" s="260" t="s">
        <v>208</v>
      </c>
      <c r="B14" s="261"/>
      <c r="C14" s="261"/>
      <c r="D14" s="261"/>
      <c r="E14" s="262"/>
      <c r="F14" s="7"/>
      <c r="G14" s="7"/>
      <c r="H14" s="195"/>
      <c r="I14" s="7"/>
      <c r="J14" s="7"/>
      <c r="L14" s="46"/>
      <c r="M14" s="63" t="s">
        <v>49</v>
      </c>
      <c r="N14" s="63" t="s">
        <v>41</v>
      </c>
      <c r="O14" s="63" t="s">
        <v>38</v>
      </c>
      <c r="P14" s="150">
        <v>99</v>
      </c>
      <c r="Q14" s="180">
        <v>0</v>
      </c>
      <c r="R14" s="59">
        <v>46229</v>
      </c>
      <c r="S14" s="63" t="s">
        <v>93</v>
      </c>
      <c r="T14" s="63" t="s">
        <v>149</v>
      </c>
      <c r="W14" t="str">
        <v xml:space="preserve">NILSON LANCHE </v>
      </c>
    </row>
    <row r="15" spans="1:23" ht="14.4" thickBot="1" x14ac:dyDescent="0.3">
      <c r="A15" s="263"/>
      <c r="B15" s="264"/>
      <c r="C15" s="264"/>
      <c r="D15" s="264"/>
      <c r="E15" s="265"/>
      <c r="F15" s="7"/>
      <c r="G15" s="7"/>
      <c r="H15" s="195"/>
      <c r="I15" s="7"/>
      <c r="J15" s="7"/>
      <c r="L15" s="46"/>
      <c r="M15" s="63" t="s">
        <v>47</v>
      </c>
      <c r="N15" s="63" t="s">
        <v>41</v>
      </c>
      <c r="O15" s="63" t="s">
        <v>38</v>
      </c>
      <c r="P15" s="150">
        <v>250</v>
      </c>
      <c r="Q15" s="180">
        <v>0</v>
      </c>
      <c r="R15" s="59">
        <v>46229</v>
      </c>
      <c r="S15" s="63" t="s">
        <v>93</v>
      </c>
      <c r="T15" s="63" t="s">
        <v>149</v>
      </c>
    </row>
    <row r="16" spans="1:23" ht="16.2" thickTop="1" x14ac:dyDescent="0.25">
      <c r="A16" s="99" t="s">
        <v>270</v>
      </c>
      <c r="B16" s="100" t="s">
        <v>1</v>
      </c>
      <c r="C16" s="100" t="s">
        <v>2</v>
      </c>
      <c r="D16" s="100" t="s">
        <v>207</v>
      </c>
      <c r="E16" s="101" t="s">
        <v>285</v>
      </c>
      <c r="F16" s="146" t="str" cm="1">
        <f t="array" ref="F16:F29">_xlfn._xlws.FILTER(aprazo[produto],aprazo[cliente]=Tabela58[[#Headers],[Pai do Saulo]])</f>
        <v>dinheiro</v>
      </c>
      <c r="G16" s="121" t="str" cm="1">
        <f t="array" ref="G16:G29">_xlfn._xlws.FILTER(aprazo[quantidade],(aprazo[cliente]=Tabela58[[#Headers],[Pai do Saulo]]))</f>
        <v>pagamento</v>
      </c>
      <c r="H16" s="196" cm="1">
        <f t="array" ref="H16:H29">_xlfn._xlws.FILTER(aprazo[valor],(aprazo[cliente]=Tabela58[[#Headers],[Pai do Saulo]]))</f>
        <v>22</v>
      </c>
      <c r="I16" s="122" cm="1">
        <f t="array" ref="I16:I29">_xlfn._xlws.FILTER(aprazo[data],(aprazo[cliente]=Tabela58[[#Headers],[Pai do Saulo]]))</f>
        <v>46184</v>
      </c>
      <c r="J16" s="7"/>
      <c r="L16" s="46" t="s">
        <v>295</v>
      </c>
      <c r="M16" s="257" t="s">
        <v>47</v>
      </c>
      <c r="N16" s="57" t="s">
        <v>10</v>
      </c>
      <c r="O16" s="60">
        <v>12</v>
      </c>
      <c r="P16" s="182">
        <v>-216</v>
      </c>
      <c r="Q16" s="58">
        <v>32.661807580174894</v>
      </c>
      <c r="R16" s="59">
        <v>46229</v>
      </c>
      <c r="S16" s="57" t="s">
        <v>93</v>
      </c>
      <c r="T16" s="57" t="s">
        <v>149</v>
      </c>
    </row>
    <row r="17" spans="1:20" x14ac:dyDescent="0.25">
      <c r="A17" s="112">
        <f ca="1">TODAY()</f>
        <v>46233</v>
      </c>
      <c r="B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" s="189">
        <f ca="1">IF(Tabela58[[#This Row],[valor]]="",0,Tabela58[[#This Row],[valor]])+IF(Tabela58[[#This Row],[pagameto]]="",0,Tabela58[[#This Row],[pagameto]])+E18</f>
        <v>0</v>
      </c>
      <c r="F17" s="146" t="str">
        <v>OVO BRANCO JUMBO</v>
      </c>
      <c r="G17" s="121">
        <v>1</v>
      </c>
      <c r="H17" s="196">
        <v>-22</v>
      </c>
      <c r="I17" s="122">
        <v>46179</v>
      </c>
      <c r="J17" s="7"/>
      <c r="K17" s="7"/>
      <c r="L17" s="46"/>
      <c r="M17" s="63" t="s">
        <v>45</v>
      </c>
      <c r="N17" s="63" t="s">
        <v>42</v>
      </c>
      <c r="O17" s="63" t="s">
        <v>38</v>
      </c>
      <c r="P17" s="150">
        <v>114</v>
      </c>
      <c r="Q17" s="180">
        <v>0</v>
      </c>
      <c r="R17" s="59">
        <v>46224</v>
      </c>
      <c r="S17" s="63" t="s">
        <v>290</v>
      </c>
      <c r="T17" s="63" t="s">
        <v>149</v>
      </c>
    </row>
    <row r="18" spans="1:20" x14ac:dyDescent="0.25">
      <c r="A18" s="112">
        <f ca="1">A17-1</f>
        <v>46232</v>
      </c>
      <c r="B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" s="189">
        <f ca="1">IF(Tabela58[[#This Row],[valor]]="",0,Tabela58[[#This Row],[valor]])+IF(Tabela58[[#This Row],[pagameto]]="",0,Tabela58[[#This Row],[pagameto]])+E19</f>
        <v>0</v>
      </c>
      <c r="F18" s="146" t="str">
        <v>dinheiro</v>
      </c>
      <c r="G18" s="121" t="str">
        <v>pagamento</v>
      </c>
      <c r="H18" s="196">
        <v>23</v>
      </c>
      <c r="I18" s="122">
        <v>46169</v>
      </c>
      <c r="J18" s="7"/>
      <c r="K18" s="7"/>
      <c r="L18" s="46" t="s">
        <v>22</v>
      </c>
      <c r="M18" s="257" t="s">
        <v>45</v>
      </c>
      <c r="N18" s="57" t="s">
        <v>13</v>
      </c>
      <c r="O18" s="60">
        <v>6</v>
      </c>
      <c r="P18" s="182">
        <v>-114</v>
      </c>
      <c r="Q18" s="58">
        <v>20.98675496688741</v>
      </c>
      <c r="R18" s="59">
        <v>46227</v>
      </c>
      <c r="S18" s="57" t="s">
        <v>83</v>
      </c>
      <c r="T18" s="57" t="s">
        <v>149</v>
      </c>
    </row>
    <row r="19" spans="1:20" x14ac:dyDescent="0.25">
      <c r="A19" s="112">
        <f t="shared" ref="A19:A82" ca="1" si="0">A18-1</f>
        <v>46231</v>
      </c>
      <c r="B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" s="188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" s="189">
        <f ca="1">IF(Tabela58[[#This Row],[valor]]="",0,Tabela58[[#This Row],[valor]])+IF(Tabela58[[#This Row],[pagameto]]="",0,Tabela58[[#This Row],[pagameto]])+E20</f>
        <v>0</v>
      </c>
      <c r="F19" s="146" t="str">
        <v>OVO BRANCO JUMBO</v>
      </c>
      <c r="G19" s="121">
        <v>1</v>
      </c>
      <c r="H19" s="196">
        <v>-23</v>
      </c>
      <c r="I19" s="123">
        <v>46161</v>
      </c>
      <c r="K19" s="7"/>
      <c r="L19" s="46" t="s">
        <v>295</v>
      </c>
      <c r="M19" s="257" t="s">
        <v>275</v>
      </c>
      <c r="N19" s="57" t="s">
        <v>13</v>
      </c>
      <c r="O19" s="60">
        <v>1</v>
      </c>
      <c r="P19" s="182">
        <v>-20</v>
      </c>
      <c r="Q19" s="58">
        <v>4.4977924944812351</v>
      </c>
      <c r="R19" s="59">
        <v>46227</v>
      </c>
      <c r="S19" s="57" t="s">
        <v>83</v>
      </c>
      <c r="T19" s="57" t="s">
        <v>149</v>
      </c>
    </row>
    <row r="20" spans="1:20" ht="15" customHeight="1" x14ac:dyDescent="0.25">
      <c r="A20" s="112">
        <f t="shared" ca="1" si="0"/>
        <v>46230</v>
      </c>
      <c r="B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" s="189">
        <f ca="1">IF(Tabela58[[#This Row],[valor]]="",0,Tabela58[[#This Row],[valor]])+IF(Tabela58[[#This Row],[pagameto]]="",0,Tabela58[[#This Row],[pagameto]])+E21</f>
        <v>0</v>
      </c>
      <c r="F20" s="146" t="str">
        <v>pix</v>
      </c>
      <c r="G20" s="121" t="str">
        <v>pagamento</v>
      </c>
      <c r="H20" s="196">
        <v>20</v>
      </c>
      <c r="I20" s="122">
        <v>46101</v>
      </c>
      <c r="J20" s="7"/>
      <c r="K20" s="7"/>
      <c r="L20" s="46" t="s">
        <v>22</v>
      </c>
      <c r="M20" s="257" t="s">
        <v>49</v>
      </c>
      <c r="N20" s="57" t="s">
        <v>11</v>
      </c>
      <c r="O20" s="60">
        <v>6</v>
      </c>
      <c r="P20" s="182">
        <v>-99</v>
      </c>
      <c r="Q20" s="58">
        <v>11.494482976040388</v>
      </c>
      <c r="R20" s="59">
        <v>46225</v>
      </c>
      <c r="S20" s="57" t="s">
        <v>32</v>
      </c>
      <c r="T20" s="57" t="s">
        <v>149</v>
      </c>
    </row>
    <row r="21" spans="1:20" ht="15" customHeight="1" x14ac:dyDescent="0.25">
      <c r="A21" s="112">
        <f t="shared" ca="1" si="0"/>
        <v>46229</v>
      </c>
      <c r="B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" s="189">
        <f ca="1">IF(Tabela58[[#This Row],[valor]]="",0,Tabela58[[#This Row],[valor]])+IF(Tabela58[[#This Row],[pagameto]]="",0,Tabela58[[#This Row],[pagameto]])+E22</f>
        <v>0</v>
      </c>
      <c r="F21" s="146" t="str">
        <v>OVO BRANCO JUMBO</v>
      </c>
      <c r="G21" s="124">
        <v>1</v>
      </c>
      <c r="H21" s="196">
        <v>-20</v>
      </c>
      <c r="I21" s="125">
        <v>46096</v>
      </c>
      <c r="J21" s="7"/>
      <c r="K21" s="7"/>
      <c r="L21" s="46"/>
      <c r="M21" s="63" t="s">
        <v>45</v>
      </c>
      <c r="N21" s="63" t="s">
        <v>42</v>
      </c>
      <c r="O21" s="63" t="s">
        <v>38</v>
      </c>
      <c r="P21" s="150">
        <v>114</v>
      </c>
      <c r="Q21" s="180">
        <v>0</v>
      </c>
      <c r="R21" s="59">
        <v>46224</v>
      </c>
      <c r="S21" s="63" t="s">
        <v>290</v>
      </c>
      <c r="T21" s="63" t="s">
        <v>149</v>
      </c>
    </row>
    <row r="22" spans="1:20" x14ac:dyDescent="0.25">
      <c r="A22" s="112">
        <f t="shared" ca="1" si="0"/>
        <v>46228</v>
      </c>
      <c r="B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" s="189">
        <f ca="1">IF(Tabela58[[#This Row],[valor]]="",0,Tabela58[[#This Row],[valor]])+IF(Tabela58[[#This Row],[pagameto]]="",0,Tabela58[[#This Row],[pagameto]])+E23</f>
        <v>0</v>
      </c>
      <c r="F22" s="146" t="str">
        <v>pix</v>
      </c>
      <c r="G22" s="124" t="str">
        <v>pagamento</v>
      </c>
      <c r="H22" s="196">
        <v>22</v>
      </c>
      <c r="I22" s="123">
        <v>46093</v>
      </c>
      <c r="J22" t="s">
        <v>288</v>
      </c>
      <c r="K22" s="7"/>
      <c r="L22" s="46" t="s">
        <v>22</v>
      </c>
      <c r="M22" s="257" t="s">
        <v>45</v>
      </c>
      <c r="N22" s="57" t="s">
        <v>13</v>
      </c>
      <c r="O22" s="60">
        <v>6</v>
      </c>
      <c r="P22" s="182">
        <v>-114</v>
      </c>
      <c r="Q22" s="58">
        <v>20.986754966887421</v>
      </c>
      <c r="R22" s="59">
        <v>46224</v>
      </c>
      <c r="S22" s="57" t="s">
        <v>290</v>
      </c>
      <c r="T22" s="57" t="s">
        <v>149</v>
      </c>
    </row>
    <row r="23" spans="1:20" x14ac:dyDescent="0.25">
      <c r="A23" s="112">
        <f t="shared" ca="1" si="0"/>
        <v>46227</v>
      </c>
      <c r="B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" s="187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" s="189">
        <f ca="1">IF(Tabela58[[#This Row],[valor]]="",0,Tabela58[[#This Row],[valor]])+IF(Tabela58[[#This Row],[pagameto]]="",0,Tabela58[[#This Row],[pagameto]])+E24</f>
        <v>0</v>
      </c>
      <c r="F23" s="146" t="str">
        <v>OVO BRANCO JUMBO</v>
      </c>
      <c r="G23" s="124">
        <v>1</v>
      </c>
      <c r="H23" s="196">
        <v>-22</v>
      </c>
      <c r="I23" s="123">
        <v>46086</v>
      </c>
      <c r="K23" s="7"/>
      <c r="L23" s="46" t="s">
        <v>295</v>
      </c>
      <c r="M23" s="257" t="s">
        <v>275</v>
      </c>
      <c r="N23" s="57" t="s">
        <v>13</v>
      </c>
      <c r="O23" s="60">
        <v>1</v>
      </c>
      <c r="P23" s="182">
        <v>-20</v>
      </c>
      <c r="Q23" s="58">
        <v>4.4977924944812369</v>
      </c>
      <c r="R23" s="59">
        <v>46223</v>
      </c>
      <c r="S23" s="57" t="s">
        <v>291</v>
      </c>
      <c r="T23" s="57" t="s">
        <v>149</v>
      </c>
    </row>
    <row r="24" spans="1:20" x14ac:dyDescent="0.25">
      <c r="A24" s="113">
        <f t="shared" ca="1" si="0"/>
        <v>46226</v>
      </c>
      <c r="B24" s="106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" s="191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" s="192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" s="193">
        <f ca="1">IF(Tabela58[[#This Row],[valor]]="",0,Tabela58[[#This Row],[valor]])+IF(Tabela58[[#This Row],[pagameto]]="",0,Tabela58[[#This Row],[pagameto]])+E25</f>
        <v>0</v>
      </c>
      <c r="F24" s="146" t="str">
        <v>pix</v>
      </c>
      <c r="G24" s="124" t="str">
        <v>pagamento</v>
      </c>
      <c r="H24" s="196">
        <v>22</v>
      </c>
      <c r="I24" s="123">
        <v>46078</v>
      </c>
      <c r="K24" s="7"/>
      <c r="L24" s="46"/>
      <c r="M24" s="63" t="s">
        <v>48</v>
      </c>
      <c r="N24" s="63" t="s">
        <v>41</v>
      </c>
      <c r="O24" s="63" t="s">
        <v>38</v>
      </c>
      <c r="P24" s="150">
        <v>216</v>
      </c>
      <c r="Q24" s="180">
        <v>0</v>
      </c>
      <c r="R24" s="59">
        <v>46223</v>
      </c>
      <c r="S24" s="63" t="s">
        <v>291</v>
      </c>
      <c r="T24" s="63" t="s">
        <v>149</v>
      </c>
    </row>
    <row r="25" spans="1:20" x14ac:dyDescent="0.25">
      <c r="A25" s="112">
        <f t="shared" ca="1" si="0"/>
        <v>46225</v>
      </c>
      <c r="B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" s="189">
        <f ca="1">IF(Tabela58[[#This Row],[valor]]="",0,Tabela58[[#This Row],[valor]])+IF(Tabela58[[#This Row],[pagameto]]="",0,Tabela58[[#This Row],[pagameto]])+E26</f>
        <v>0</v>
      </c>
      <c r="F25" s="146" t="str">
        <v>OVO BRANCO JUMBO</v>
      </c>
      <c r="G25" s="124">
        <v>1</v>
      </c>
      <c r="H25" s="196">
        <v>-22</v>
      </c>
      <c r="I25" s="123">
        <v>46076</v>
      </c>
      <c r="K25" s="7"/>
      <c r="L25" s="46" t="s">
        <v>295</v>
      </c>
      <c r="M25" s="257" t="s">
        <v>275</v>
      </c>
      <c r="N25" s="57" t="s">
        <v>10</v>
      </c>
      <c r="O25" s="60">
        <v>1</v>
      </c>
      <c r="P25" s="182">
        <v>-19</v>
      </c>
      <c r="Q25" s="58">
        <v>3.9404761904761898</v>
      </c>
      <c r="R25" s="59">
        <v>46222</v>
      </c>
      <c r="S25" s="57" t="s">
        <v>93</v>
      </c>
      <c r="T25" s="57" t="s">
        <v>149</v>
      </c>
    </row>
    <row r="26" spans="1:20" x14ac:dyDescent="0.25">
      <c r="A26" s="112">
        <f t="shared" ca="1" si="0"/>
        <v>46224</v>
      </c>
      <c r="B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" s="189">
        <f ca="1">IF(Tabela58[[#This Row],[valor]]="",0,Tabela58[[#This Row],[valor]])+IF(Tabela58[[#This Row],[pagameto]]="",0,Tabela58[[#This Row],[pagameto]])+E27</f>
        <v>0</v>
      </c>
      <c r="F26" s="146" t="str">
        <v>dinheiro</v>
      </c>
      <c r="G26" s="124" t="str">
        <v>pagamento</v>
      </c>
      <c r="H26" s="196">
        <v>23</v>
      </c>
      <c r="I26" s="123">
        <v>46073</v>
      </c>
      <c r="K26" s="7"/>
      <c r="L26" s="46" t="s">
        <v>295</v>
      </c>
      <c r="M26" s="257" t="s">
        <v>275</v>
      </c>
      <c r="N26" s="57" t="s">
        <v>13</v>
      </c>
      <c r="O26" s="60">
        <v>1</v>
      </c>
      <c r="P26" s="182">
        <v>-20</v>
      </c>
      <c r="Q26" s="58">
        <v>4.4977924944812369</v>
      </c>
      <c r="R26" s="59">
        <v>46222</v>
      </c>
      <c r="S26" s="57" t="s">
        <v>93</v>
      </c>
      <c r="T26" s="57" t="s">
        <v>149</v>
      </c>
    </row>
    <row r="27" spans="1:20" x14ac:dyDescent="0.25">
      <c r="A27" s="112">
        <f t="shared" ca="1" si="0"/>
        <v>46223</v>
      </c>
      <c r="B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" s="189">
        <f ca="1">IF(Tabela58[[#This Row],[valor]]="",0,Tabela58[[#This Row],[valor]])+IF(Tabela58[[#This Row],[pagameto]]="",0,Tabela58[[#This Row],[pagameto]])+E28</f>
        <v>0</v>
      </c>
      <c r="F27" s="146" t="str">
        <v>OVO BRANCO JUMBO</v>
      </c>
      <c r="G27" s="124">
        <v>1</v>
      </c>
      <c r="H27" s="196">
        <v>-23</v>
      </c>
      <c r="I27" s="123">
        <v>46067</v>
      </c>
      <c r="K27" s="7"/>
      <c r="L27" s="46"/>
      <c r="M27" s="63" t="s">
        <v>45</v>
      </c>
      <c r="N27" s="63" t="s">
        <v>41</v>
      </c>
      <c r="O27" s="63" t="s">
        <v>38</v>
      </c>
      <c r="P27" s="150">
        <v>114</v>
      </c>
      <c r="Q27" s="180">
        <v>0</v>
      </c>
      <c r="R27" s="59">
        <v>46220</v>
      </c>
      <c r="S27" s="63" t="s">
        <v>83</v>
      </c>
      <c r="T27" s="63" t="s">
        <v>149</v>
      </c>
    </row>
    <row r="28" spans="1:20" x14ac:dyDescent="0.25">
      <c r="A28" s="112">
        <f t="shared" ca="1" si="0"/>
        <v>46222</v>
      </c>
      <c r="B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" s="189">
        <f ca="1">IF(Tabela58[[#This Row],[valor]]="",0,Tabela58[[#This Row],[valor]])+IF(Tabela58[[#This Row],[pagameto]]="",0,Tabela58[[#This Row],[pagameto]])+E29</f>
        <v>0</v>
      </c>
      <c r="F28" s="146" t="str">
        <v>dinheiro</v>
      </c>
      <c r="G28" s="124" t="str">
        <v>pagamento</v>
      </c>
      <c r="H28" s="196">
        <v>22</v>
      </c>
      <c r="I28" s="123">
        <v>46050</v>
      </c>
      <c r="L28" s="46" t="s">
        <v>22</v>
      </c>
      <c r="M28" s="257" t="s">
        <v>45</v>
      </c>
      <c r="N28" s="57" t="s">
        <v>13</v>
      </c>
      <c r="O28" s="60">
        <v>6</v>
      </c>
      <c r="P28" s="182">
        <v>-114</v>
      </c>
      <c r="Q28" s="58">
        <v>20.986754966887421</v>
      </c>
      <c r="R28" s="59">
        <v>46220</v>
      </c>
      <c r="S28" s="57" t="s">
        <v>83</v>
      </c>
      <c r="T28" s="57" t="s">
        <v>149</v>
      </c>
    </row>
    <row r="29" spans="1:20" x14ac:dyDescent="0.25">
      <c r="A29" s="112">
        <f t="shared" ca="1" si="0"/>
        <v>46221</v>
      </c>
      <c r="B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" s="189">
        <f ca="1">IF(Tabela58[[#This Row],[valor]]="",0,Tabela58[[#This Row],[valor]])+IF(Tabela58[[#This Row],[pagameto]]="",0,Tabela58[[#This Row],[pagameto]])+E30</f>
        <v>0</v>
      </c>
      <c r="F29" s="146" t="str">
        <v>OVO BRANCO EXTRA</v>
      </c>
      <c r="G29" s="124">
        <v>1</v>
      </c>
      <c r="H29" s="196">
        <v>-22</v>
      </c>
      <c r="I29" s="123">
        <v>46047</v>
      </c>
      <c r="K29" s="134"/>
      <c r="L29" s="46" t="s">
        <v>295</v>
      </c>
      <c r="M29" s="257" t="s">
        <v>350</v>
      </c>
      <c r="N29" s="57" t="s">
        <v>10</v>
      </c>
      <c r="O29" s="60">
        <v>6</v>
      </c>
      <c r="P29" s="182">
        <v>-114</v>
      </c>
      <c r="Q29" s="58">
        <v>23.642857142857139</v>
      </c>
      <c r="R29" s="59">
        <v>46219</v>
      </c>
      <c r="S29" s="57" t="s">
        <v>294</v>
      </c>
      <c r="T29" s="57" t="s">
        <v>149</v>
      </c>
    </row>
    <row r="30" spans="1:20" x14ac:dyDescent="0.25">
      <c r="A30" s="112">
        <f t="shared" ca="1" si="0"/>
        <v>46220</v>
      </c>
      <c r="B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" s="189">
        <f ca="1">IF(Tabela58[[#This Row],[valor]]="",0,Tabela58[[#This Row],[valor]])+IF(Tabela58[[#This Row],[pagameto]]="",0,Tabela58[[#This Row],[pagameto]])+E31</f>
        <v>0</v>
      </c>
      <c r="G30" s="124"/>
      <c r="H30" s="196"/>
      <c r="I30" s="123"/>
      <c r="L30" s="46" t="s">
        <v>295</v>
      </c>
      <c r="M30" s="257" t="s">
        <v>350</v>
      </c>
      <c r="N30" s="57" t="s">
        <v>10</v>
      </c>
      <c r="O30" s="60">
        <v>6</v>
      </c>
      <c r="P30" s="182">
        <v>-114</v>
      </c>
      <c r="Q30" s="58">
        <v>23.642857142857139</v>
      </c>
      <c r="R30" s="59">
        <v>46217</v>
      </c>
      <c r="S30" s="57" t="s">
        <v>290</v>
      </c>
      <c r="T30" s="57" t="s">
        <v>149</v>
      </c>
    </row>
    <row r="31" spans="1:20" x14ac:dyDescent="0.25">
      <c r="A31" s="112">
        <f t="shared" ca="1" si="0"/>
        <v>46219</v>
      </c>
      <c r="B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" s="189">
        <f ca="1">IF(Tabela58[[#This Row],[valor]]="",0,Tabela58[[#This Row],[valor]])+IF(Tabela58[[#This Row],[pagameto]]="",0,Tabela58[[#This Row],[pagameto]])+E32</f>
        <v>0</v>
      </c>
      <c r="G31" s="124"/>
      <c r="H31" s="196"/>
      <c r="I31" s="123"/>
      <c r="L31" s="46" t="s">
        <v>295</v>
      </c>
      <c r="M31" s="257" t="s">
        <v>275</v>
      </c>
      <c r="N31" s="57" t="s">
        <v>13</v>
      </c>
      <c r="O31" s="60">
        <v>1</v>
      </c>
      <c r="P31" s="182">
        <v>-20</v>
      </c>
      <c r="Q31" s="58">
        <v>4.4977924944812369</v>
      </c>
      <c r="R31" s="59">
        <v>46218</v>
      </c>
      <c r="S31" s="57" t="s">
        <v>32</v>
      </c>
      <c r="T31" s="57" t="s">
        <v>149</v>
      </c>
    </row>
    <row r="32" spans="1:20" x14ac:dyDescent="0.25">
      <c r="A32" s="112">
        <f t="shared" ca="1" si="0"/>
        <v>46218</v>
      </c>
      <c r="B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" s="189">
        <f ca="1">IF(Tabela58[[#This Row],[valor]]="",0,Tabela58[[#This Row],[valor]])+IF(Tabela58[[#This Row],[pagameto]]="",0,Tabela58[[#This Row],[pagameto]])+E33</f>
        <v>0</v>
      </c>
      <c r="G32" s="124"/>
      <c r="H32" s="196"/>
      <c r="I32" s="123"/>
      <c r="L32" s="46"/>
      <c r="M32" s="63" t="s">
        <v>45</v>
      </c>
      <c r="N32" s="63" t="s">
        <v>41</v>
      </c>
      <c r="O32" s="63" t="s">
        <v>38</v>
      </c>
      <c r="P32" s="150">
        <v>114</v>
      </c>
      <c r="Q32" s="180">
        <v>0</v>
      </c>
      <c r="R32" s="59">
        <v>46217</v>
      </c>
      <c r="S32" s="63" t="s">
        <v>290</v>
      </c>
      <c r="T32" s="63" t="s">
        <v>149</v>
      </c>
    </row>
    <row r="33" spans="1:53" x14ac:dyDescent="0.25">
      <c r="A33" s="112">
        <f t="shared" ca="1" si="0"/>
        <v>46217</v>
      </c>
      <c r="B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" s="189">
        <f ca="1">IF(Tabela58[[#This Row],[valor]]="",0,Tabela58[[#This Row],[valor]])+IF(Tabela58[[#This Row],[pagameto]]="",0,Tabela58[[#This Row],[pagameto]])+E34</f>
        <v>0</v>
      </c>
      <c r="G33" s="124"/>
      <c r="H33" s="196"/>
      <c r="I33" s="123"/>
      <c r="L33" s="46" t="s">
        <v>22</v>
      </c>
      <c r="M33" s="257" t="s">
        <v>45</v>
      </c>
      <c r="N33" s="57" t="s">
        <v>13</v>
      </c>
      <c r="O33" s="60">
        <v>6</v>
      </c>
      <c r="P33" s="182">
        <v>-114</v>
      </c>
      <c r="Q33" s="58">
        <v>20.986754966887421</v>
      </c>
      <c r="R33" s="59">
        <v>46217</v>
      </c>
      <c r="S33" s="57" t="s">
        <v>290</v>
      </c>
      <c r="T33" s="57" t="s">
        <v>149</v>
      </c>
    </row>
    <row r="34" spans="1:53" x14ac:dyDescent="0.25">
      <c r="A34" s="112">
        <f t="shared" ca="1" si="0"/>
        <v>46216</v>
      </c>
      <c r="B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" s="189">
        <f ca="1">IF(Tabela58[[#This Row],[valor]]="",0,Tabela58[[#This Row],[valor]])+IF(Tabela58[[#This Row],[pagameto]]="",0,Tabela58[[#This Row],[pagameto]])+E35</f>
        <v>0</v>
      </c>
      <c r="G34" s="124"/>
      <c r="H34" s="196"/>
      <c r="I34" s="123"/>
      <c r="L34" s="46"/>
      <c r="M34" s="63" t="s">
        <v>47</v>
      </c>
      <c r="N34" s="63" t="s">
        <v>41</v>
      </c>
      <c r="O34" s="63" t="s">
        <v>38</v>
      </c>
      <c r="P34" s="150">
        <v>250</v>
      </c>
      <c r="Q34" s="180">
        <v>0</v>
      </c>
      <c r="R34" s="59">
        <v>46216</v>
      </c>
      <c r="S34" s="63" t="s">
        <v>291</v>
      </c>
      <c r="T34" s="63" t="s">
        <v>149</v>
      </c>
    </row>
    <row r="35" spans="1:53" x14ac:dyDescent="0.25">
      <c r="A35" s="112">
        <f t="shared" ca="1" si="0"/>
        <v>46215</v>
      </c>
      <c r="B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" s="189">
        <f ca="1">IF(Tabela58[[#This Row],[valor]]="",0,Tabela58[[#This Row],[valor]])+IF(Tabela58[[#This Row],[pagameto]]="",0,Tabela58[[#This Row],[pagameto]])+E36</f>
        <v>0</v>
      </c>
      <c r="G35" s="124"/>
      <c r="H35" s="196"/>
      <c r="I35" s="123"/>
      <c r="L35" s="46"/>
      <c r="M35" s="63" t="s">
        <v>46</v>
      </c>
      <c r="N35" s="63" t="s">
        <v>41</v>
      </c>
      <c r="O35" s="63" t="s">
        <v>38</v>
      </c>
      <c r="P35" s="150">
        <v>216</v>
      </c>
      <c r="Q35" s="180">
        <v>0</v>
      </c>
      <c r="R35" s="59">
        <v>46216</v>
      </c>
      <c r="S35" s="63" t="s">
        <v>291</v>
      </c>
      <c r="T35" s="63" t="s">
        <v>149</v>
      </c>
    </row>
    <row r="36" spans="1:53" x14ac:dyDescent="0.25">
      <c r="A36" s="112">
        <f t="shared" ca="1" si="0"/>
        <v>46214</v>
      </c>
      <c r="B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" s="189">
        <f ca="1">IF(Tabela58[[#This Row],[valor]]="",0,Tabela58[[#This Row],[valor]])+IF(Tabela58[[#This Row],[pagameto]]="",0,Tabela58[[#This Row],[pagameto]])+E37</f>
        <v>0</v>
      </c>
      <c r="G36" s="124"/>
      <c r="H36" s="196"/>
      <c r="I36" s="123"/>
      <c r="L36" s="46" t="s">
        <v>295</v>
      </c>
      <c r="M36" s="257" t="s">
        <v>46</v>
      </c>
      <c r="N36" s="57" t="s">
        <v>11</v>
      </c>
      <c r="O36" s="60">
        <v>12</v>
      </c>
      <c r="P36" s="182">
        <v>-216</v>
      </c>
      <c r="Q36" s="58">
        <v>40.988965952080754</v>
      </c>
      <c r="R36" s="59">
        <v>46216</v>
      </c>
      <c r="S36" s="57" t="s">
        <v>291</v>
      </c>
      <c r="T36" s="57" t="s">
        <v>149</v>
      </c>
    </row>
    <row r="37" spans="1:53" x14ac:dyDescent="0.25">
      <c r="A37" s="112">
        <f t="shared" ca="1" si="0"/>
        <v>46213</v>
      </c>
      <c r="B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" s="189">
        <f ca="1">IF(Tabela58[[#This Row],[valor]]="",0,Tabela58[[#This Row],[valor]])+IF(Tabela58[[#This Row],[pagameto]]="",0,Tabela58[[#This Row],[pagameto]])+E38</f>
        <v>0</v>
      </c>
      <c r="G37" s="124"/>
      <c r="H37" s="196"/>
      <c r="I37" s="123"/>
      <c r="L37" s="46"/>
      <c r="M37" s="63" t="s">
        <v>49</v>
      </c>
      <c r="N37" s="63" t="s">
        <v>41</v>
      </c>
      <c r="O37" s="63" t="s">
        <v>38</v>
      </c>
      <c r="P37" s="150">
        <v>102</v>
      </c>
      <c r="Q37" s="180">
        <v>0</v>
      </c>
      <c r="R37" s="59">
        <v>46215</v>
      </c>
      <c r="S37" s="63" t="s">
        <v>93</v>
      </c>
      <c r="T37" s="63" t="s">
        <v>149</v>
      </c>
      <c r="BA37" t="s">
        <v>256</v>
      </c>
    </row>
    <row r="38" spans="1:53" x14ac:dyDescent="0.25">
      <c r="A38" s="112">
        <f t="shared" ca="1" si="0"/>
        <v>46212</v>
      </c>
      <c r="B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" s="189">
        <f ca="1">IF(Tabela58[[#This Row],[valor]]="",0,Tabela58[[#This Row],[valor]])+IF(Tabela58[[#This Row],[pagameto]]="",0,Tabela58[[#This Row],[pagameto]])+E39</f>
        <v>0</v>
      </c>
      <c r="G38" s="124"/>
      <c r="H38" s="196"/>
      <c r="I38" s="123"/>
      <c r="L38" s="46" t="s">
        <v>22</v>
      </c>
      <c r="M38" s="239" t="s">
        <v>49</v>
      </c>
      <c r="N38" s="57" t="s">
        <v>11</v>
      </c>
      <c r="O38" s="60">
        <v>6</v>
      </c>
      <c r="P38" s="182">
        <v>-102</v>
      </c>
      <c r="Q38" s="58">
        <v>14.494482976040377</v>
      </c>
      <c r="R38" s="59">
        <v>46215</v>
      </c>
      <c r="S38" s="57" t="s">
        <v>93</v>
      </c>
      <c r="T38" s="57" t="s">
        <v>149</v>
      </c>
    </row>
    <row r="39" spans="1:53" x14ac:dyDescent="0.25">
      <c r="A39" s="112">
        <f t="shared" ca="1" si="0"/>
        <v>46211</v>
      </c>
      <c r="B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9" s="189">
        <f ca="1">IF(Tabela58[[#This Row],[valor]]="",0,Tabela58[[#This Row],[valor]])+IF(Tabela58[[#This Row],[pagameto]]="",0,Tabela58[[#This Row],[pagameto]])+E40</f>
        <v>0</v>
      </c>
      <c r="G39" s="124"/>
      <c r="H39" s="196"/>
      <c r="I39" s="123"/>
      <c r="L39" s="46" t="s">
        <v>22</v>
      </c>
      <c r="M39" s="239" t="s">
        <v>48</v>
      </c>
      <c r="N39" s="57" t="s">
        <v>10</v>
      </c>
      <c r="O39" s="60">
        <v>12</v>
      </c>
      <c r="P39" s="182">
        <v>-216</v>
      </c>
      <c r="Q39" s="58">
        <v>35.285714285714278</v>
      </c>
      <c r="R39" s="59">
        <v>46215</v>
      </c>
      <c r="S39" s="57" t="s">
        <v>93</v>
      </c>
      <c r="T39" s="57" t="s">
        <v>149</v>
      </c>
    </row>
    <row r="40" spans="1:53" x14ac:dyDescent="0.25">
      <c r="A40" s="112">
        <f t="shared" ca="1" si="0"/>
        <v>46210</v>
      </c>
      <c r="B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0" s="189">
        <f ca="1">IF(Tabela58[[#This Row],[valor]]="",0,Tabela58[[#This Row],[valor]])+IF(Tabela58[[#This Row],[pagameto]]="",0,Tabela58[[#This Row],[pagameto]])+E41</f>
        <v>0</v>
      </c>
      <c r="G40" s="124"/>
      <c r="H40" s="196"/>
      <c r="I40" s="123"/>
      <c r="L40" s="46" t="s">
        <v>295</v>
      </c>
      <c r="M40" s="257" t="s">
        <v>275</v>
      </c>
      <c r="N40" s="57" t="s">
        <v>13</v>
      </c>
      <c r="O40" s="60">
        <v>1</v>
      </c>
      <c r="P40" s="182">
        <v>-20</v>
      </c>
      <c r="Q40" s="58">
        <v>4.4977924944812351</v>
      </c>
      <c r="R40" s="59">
        <v>46214</v>
      </c>
      <c r="S40" s="57" t="s">
        <v>92</v>
      </c>
      <c r="T40" s="57" t="s">
        <v>149</v>
      </c>
    </row>
    <row r="41" spans="1:53" x14ac:dyDescent="0.25">
      <c r="A41" s="112">
        <f t="shared" ca="1" si="0"/>
        <v>46209</v>
      </c>
      <c r="B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1" s="189">
        <f ca="1">IF(Tabela58[[#This Row],[valor]]="",0,Tabela58[[#This Row],[valor]])+IF(Tabela58[[#This Row],[pagameto]]="",0,Tabela58[[#This Row],[pagameto]])+E42</f>
        <v>0</v>
      </c>
      <c r="G41" s="124"/>
      <c r="H41" s="196"/>
      <c r="I41" s="123"/>
      <c r="L41" s="46"/>
      <c r="M41" s="63" t="s">
        <v>350</v>
      </c>
      <c r="N41" s="63" t="s">
        <v>41</v>
      </c>
      <c r="O41" s="63" t="s">
        <v>38</v>
      </c>
      <c r="P41" s="150">
        <v>324</v>
      </c>
      <c r="Q41" s="180">
        <v>0</v>
      </c>
      <c r="R41" s="59">
        <v>46213</v>
      </c>
      <c r="S41" s="63" t="s">
        <v>83</v>
      </c>
      <c r="T41" s="63" t="s">
        <v>149</v>
      </c>
    </row>
    <row r="42" spans="1:53" x14ac:dyDescent="0.25">
      <c r="A42" s="112">
        <f t="shared" ca="1" si="0"/>
        <v>46208</v>
      </c>
      <c r="B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2" s="189">
        <f ca="1">IF(Tabela58[[#This Row],[valor]]="",0,Tabela58[[#This Row],[valor]])+IF(Tabela58[[#This Row],[pagameto]]="",0,Tabela58[[#This Row],[pagameto]])+E43</f>
        <v>0</v>
      </c>
      <c r="G42" s="124"/>
      <c r="H42" s="196"/>
      <c r="I42" s="123"/>
      <c r="L42" s="46" t="s">
        <v>295</v>
      </c>
      <c r="M42" s="239" t="s">
        <v>275</v>
      </c>
      <c r="N42" s="57" t="s">
        <v>13</v>
      </c>
      <c r="O42" s="60">
        <v>1</v>
      </c>
      <c r="P42" s="182">
        <v>-20</v>
      </c>
      <c r="Q42" s="58">
        <v>4.1666666666666607</v>
      </c>
      <c r="R42" s="59">
        <v>46212</v>
      </c>
      <c r="S42" s="57" t="s">
        <v>294</v>
      </c>
      <c r="T42" s="57" t="s">
        <v>149</v>
      </c>
    </row>
    <row r="43" spans="1:53" x14ac:dyDescent="0.25">
      <c r="A43" s="112">
        <f t="shared" ca="1" si="0"/>
        <v>46207</v>
      </c>
      <c r="B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3" s="189">
        <f ca="1">IF(Tabela58[[#This Row],[valor]]="",0,Tabela58[[#This Row],[valor]])+IF(Tabela58[[#This Row],[pagameto]]="",0,Tabela58[[#This Row],[pagameto]])+E44</f>
        <v>0</v>
      </c>
      <c r="G43" s="124"/>
      <c r="H43" s="196"/>
      <c r="I43" s="123"/>
      <c r="L43" s="46" t="s">
        <v>295</v>
      </c>
      <c r="M43" s="239" t="s">
        <v>350</v>
      </c>
      <c r="N43" s="57" t="s">
        <v>10</v>
      </c>
      <c r="O43" s="60">
        <v>6</v>
      </c>
      <c r="P43" s="182">
        <v>-114</v>
      </c>
      <c r="Q43" s="58">
        <v>21.500000000000004</v>
      </c>
      <c r="R43" s="59">
        <v>46212</v>
      </c>
      <c r="S43" s="57" t="s">
        <v>294</v>
      </c>
      <c r="T43" s="57" t="s">
        <v>149</v>
      </c>
      <c r="V43">
        <v>417</v>
      </c>
    </row>
    <row r="44" spans="1:53" x14ac:dyDescent="0.25">
      <c r="A44" s="112">
        <f t="shared" ca="1" si="0"/>
        <v>46206</v>
      </c>
      <c r="B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4" s="189">
        <f ca="1">IF(Tabela58[[#This Row],[valor]]="",0,Tabela58[[#This Row],[valor]])+IF(Tabela58[[#This Row],[pagameto]]="",0,Tabela58[[#This Row],[pagameto]])+E45</f>
        <v>0</v>
      </c>
      <c r="G44" s="124"/>
      <c r="H44" s="196"/>
      <c r="I44" s="123"/>
      <c r="L44" s="46" t="s">
        <v>295</v>
      </c>
      <c r="M44" s="239" t="s">
        <v>47</v>
      </c>
      <c r="N44" s="57" t="s">
        <v>10</v>
      </c>
      <c r="O44" s="60">
        <v>12</v>
      </c>
      <c r="P44" s="182">
        <v>-228</v>
      </c>
      <c r="Q44" s="58">
        <v>43.000000000000007</v>
      </c>
      <c r="R44" s="59">
        <v>46212</v>
      </c>
      <c r="S44" s="57" t="s">
        <v>294</v>
      </c>
      <c r="T44" s="57" t="s">
        <v>149</v>
      </c>
    </row>
    <row r="45" spans="1:53" x14ac:dyDescent="0.25">
      <c r="A45" s="112">
        <f t="shared" ca="1" si="0"/>
        <v>46205</v>
      </c>
      <c r="B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5" s="189">
        <f ca="1">IF(Tabela58[[#This Row],[valor]]="",0,Tabela58[[#This Row],[valor]])+IF(Tabela58[[#This Row],[pagameto]]="",0,Tabela58[[#This Row],[pagameto]])+E46</f>
        <v>0</v>
      </c>
      <c r="G45" s="124"/>
      <c r="H45" s="196"/>
      <c r="I45" s="123"/>
      <c r="L45" s="46"/>
      <c r="M45" s="63" t="s">
        <v>45</v>
      </c>
      <c r="N45" s="63" t="s">
        <v>41</v>
      </c>
      <c r="O45" s="63" t="s">
        <v>38</v>
      </c>
      <c r="P45" s="150">
        <v>114</v>
      </c>
      <c r="Q45" s="180">
        <v>0</v>
      </c>
      <c r="R45" s="59">
        <v>46211</v>
      </c>
      <c r="S45" s="63" t="s">
        <v>32</v>
      </c>
      <c r="T45" s="63" t="s">
        <v>149</v>
      </c>
    </row>
    <row r="46" spans="1:53" x14ac:dyDescent="0.25">
      <c r="A46" s="112">
        <f t="shared" ca="1" si="0"/>
        <v>46204</v>
      </c>
      <c r="B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6" s="189">
        <f ca="1">IF(Tabela58[[#This Row],[valor]]="",0,Tabela58[[#This Row],[valor]])+IF(Tabela58[[#This Row],[pagameto]]="",0,Tabela58[[#This Row],[pagameto]])+E47</f>
        <v>0</v>
      </c>
      <c r="G46" s="124"/>
      <c r="H46" s="196"/>
      <c r="I46" s="123"/>
      <c r="L46" s="46" t="s">
        <v>22</v>
      </c>
      <c r="M46" s="239" t="s">
        <v>45</v>
      </c>
      <c r="N46" s="57" t="s">
        <v>13</v>
      </c>
      <c r="O46" s="60">
        <v>6</v>
      </c>
      <c r="P46" s="182">
        <v>-114</v>
      </c>
      <c r="Q46" s="58">
        <v>18.999999999999975</v>
      </c>
      <c r="R46" s="59">
        <v>46211</v>
      </c>
      <c r="S46" s="57" t="s">
        <v>32</v>
      </c>
      <c r="T46" s="57" t="s">
        <v>149</v>
      </c>
    </row>
    <row r="47" spans="1:53" x14ac:dyDescent="0.25">
      <c r="A47" s="112">
        <f t="shared" ca="1" si="0"/>
        <v>46203</v>
      </c>
      <c r="B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7" s="189">
        <f ca="1">IF(Tabela58[[#This Row],[valor]]="",0,Tabela58[[#This Row],[valor]])+IF(Tabela58[[#This Row],[pagameto]]="",0,Tabela58[[#This Row],[pagameto]])+E48</f>
        <v>0</v>
      </c>
      <c r="G47" s="124"/>
      <c r="H47" s="196"/>
      <c r="I47" s="123"/>
      <c r="L47" s="46"/>
      <c r="M47" s="63" t="s">
        <v>49</v>
      </c>
      <c r="N47" s="63" t="s">
        <v>41</v>
      </c>
      <c r="O47" s="63" t="s">
        <v>38</v>
      </c>
      <c r="P47" s="150">
        <v>102</v>
      </c>
      <c r="Q47" s="180">
        <v>0</v>
      </c>
      <c r="R47" s="59">
        <v>46211</v>
      </c>
      <c r="S47" s="63" t="s">
        <v>32</v>
      </c>
      <c r="T47" s="63" t="s">
        <v>149</v>
      </c>
    </row>
    <row r="48" spans="1:53" x14ac:dyDescent="0.25">
      <c r="A48" s="120">
        <f t="shared" ca="1" si="0"/>
        <v>46202</v>
      </c>
      <c r="B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8" s="189">
        <f ca="1">IF(Tabela58[[#This Row],[valor]]="",0,Tabela58[[#This Row],[valor]])+IF(Tabela58[[#This Row],[pagameto]]="",0,Tabela58[[#This Row],[pagameto]])+E49</f>
        <v>0</v>
      </c>
      <c r="G48" s="124"/>
      <c r="H48" s="196"/>
      <c r="I48" s="123"/>
      <c r="L48" s="46" t="s">
        <v>295</v>
      </c>
      <c r="M48" s="239" t="s">
        <v>328</v>
      </c>
      <c r="N48" s="57" t="s">
        <v>13</v>
      </c>
      <c r="O48" s="60">
        <v>1</v>
      </c>
      <c r="P48" s="182">
        <v>-20</v>
      </c>
      <c r="Q48" s="58">
        <v>4.1666666666666625</v>
      </c>
      <c r="R48" s="59">
        <v>46211</v>
      </c>
      <c r="S48" s="57" t="s">
        <v>32</v>
      </c>
      <c r="T48" s="57" t="s">
        <v>149</v>
      </c>
    </row>
    <row r="49" spans="1:20" x14ac:dyDescent="0.25">
      <c r="A49" s="112">
        <f t="shared" ca="1" si="0"/>
        <v>46201</v>
      </c>
      <c r="B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49" s="189">
        <f ca="1">IF(Tabela58[[#This Row],[valor]]="",0,Tabela58[[#This Row],[valor]])+IF(Tabela58[[#This Row],[pagameto]]="",0,Tabela58[[#This Row],[pagameto]])+E50</f>
        <v>0</v>
      </c>
      <c r="G49" s="124"/>
      <c r="H49" s="196"/>
      <c r="I49" s="123"/>
      <c r="L49" s="46"/>
      <c r="M49" s="63" t="s">
        <v>350</v>
      </c>
      <c r="N49" s="63" t="s">
        <v>41</v>
      </c>
      <c r="O49" s="63" t="s">
        <v>38</v>
      </c>
      <c r="P49" s="150">
        <v>210</v>
      </c>
      <c r="Q49" s="180">
        <v>0</v>
      </c>
      <c r="R49" s="59">
        <v>46209</v>
      </c>
      <c r="S49" s="63" t="s">
        <v>291</v>
      </c>
      <c r="T49" s="63" t="s">
        <v>149</v>
      </c>
    </row>
    <row r="50" spans="1:20" x14ac:dyDescent="0.25">
      <c r="A50" s="112">
        <f t="shared" ca="1" si="0"/>
        <v>46200</v>
      </c>
      <c r="B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0" s="189">
        <f ca="1">IF(Tabela58[[#This Row],[valor]]="",0,Tabela58[[#This Row],[valor]])+IF(Tabela58[[#This Row],[pagameto]]="",0,Tabela58[[#This Row],[pagameto]])+E51</f>
        <v>0</v>
      </c>
      <c r="G50" s="124"/>
      <c r="H50" s="196"/>
      <c r="I50" s="123"/>
      <c r="L50" s="46" t="s">
        <v>295</v>
      </c>
      <c r="M50" s="239" t="s">
        <v>350</v>
      </c>
      <c r="N50" s="57" t="s">
        <v>10</v>
      </c>
      <c r="O50" s="60">
        <v>6</v>
      </c>
      <c r="P50" s="182">
        <v>-114</v>
      </c>
      <c r="Q50" s="58">
        <v>21.500000000000014</v>
      </c>
      <c r="R50" s="59">
        <v>46207</v>
      </c>
      <c r="S50" s="57" t="s">
        <v>92</v>
      </c>
      <c r="T50" s="57" t="s">
        <v>149</v>
      </c>
    </row>
    <row r="51" spans="1:20" x14ac:dyDescent="0.25">
      <c r="A51" s="112">
        <f t="shared" ca="1" si="0"/>
        <v>46199</v>
      </c>
      <c r="B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1" s="189">
        <f ca="1">IF(Tabela58[[#This Row],[valor]]="",0,Tabela58[[#This Row],[valor]])+IF(Tabela58[[#This Row],[pagameto]]="",0,Tabela58[[#This Row],[pagameto]])+E52</f>
        <v>0</v>
      </c>
      <c r="G51" s="124"/>
      <c r="H51" s="196"/>
      <c r="I51" s="123"/>
      <c r="L51" s="46" t="s">
        <v>22</v>
      </c>
      <c r="M51" s="239" t="s">
        <v>44</v>
      </c>
      <c r="N51" s="57" t="s">
        <v>13</v>
      </c>
      <c r="O51" s="60">
        <v>6</v>
      </c>
      <c r="P51" s="182">
        <v>-114</v>
      </c>
      <c r="Q51" s="58">
        <v>18.999999999999996</v>
      </c>
      <c r="R51" s="59">
        <v>46207</v>
      </c>
      <c r="S51" s="57" t="s">
        <v>92</v>
      </c>
      <c r="T51" s="57" t="s">
        <v>149</v>
      </c>
    </row>
    <row r="52" spans="1:20" x14ac:dyDescent="0.25">
      <c r="A52" s="112">
        <f t="shared" ca="1" si="0"/>
        <v>46198</v>
      </c>
      <c r="B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2" s="189">
        <f ca="1">IF(Tabela58[[#This Row],[valor]]="",0,Tabela58[[#This Row],[valor]])+IF(Tabela58[[#This Row],[pagameto]]="",0,Tabela58[[#This Row],[pagameto]])+E53</f>
        <v>0</v>
      </c>
      <c r="G52" s="124"/>
      <c r="H52" s="196"/>
      <c r="I52" s="123"/>
      <c r="L52" s="46"/>
      <c r="M52" s="63" t="s">
        <v>44</v>
      </c>
      <c r="N52" s="63" t="s">
        <v>40</v>
      </c>
      <c r="O52" s="63" t="s">
        <v>38</v>
      </c>
      <c r="P52" s="150">
        <v>114</v>
      </c>
      <c r="Q52" s="180">
        <v>-1.5618000000000001</v>
      </c>
      <c r="R52" s="59">
        <v>46207</v>
      </c>
      <c r="S52" s="63" t="s">
        <v>92</v>
      </c>
      <c r="T52" s="63" t="s">
        <v>149</v>
      </c>
    </row>
    <row r="53" spans="1:20" x14ac:dyDescent="0.25">
      <c r="A53" s="112">
        <f t="shared" ca="1" si="0"/>
        <v>46197</v>
      </c>
      <c r="B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3" s="189">
        <f ca="1">IF(Tabela58[[#This Row],[valor]]="",0,Tabela58[[#This Row],[valor]])+IF(Tabela58[[#This Row],[pagameto]]="",0,Tabela58[[#This Row],[pagameto]])+E54</f>
        <v>0</v>
      </c>
      <c r="G53" s="124"/>
      <c r="H53" s="196"/>
      <c r="I53" s="123"/>
      <c r="L53" s="46"/>
      <c r="M53" s="63" t="s">
        <v>44</v>
      </c>
      <c r="N53" s="63" t="s">
        <v>42</v>
      </c>
      <c r="O53" s="63" t="s">
        <v>38</v>
      </c>
      <c r="P53" s="150">
        <v>108</v>
      </c>
      <c r="Q53" s="180">
        <v>0</v>
      </c>
      <c r="R53" s="59">
        <v>46207</v>
      </c>
      <c r="S53" s="63" t="s">
        <v>92</v>
      </c>
      <c r="T53" s="63" t="s">
        <v>149</v>
      </c>
    </row>
    <row r="54" spans="1:20" x14ac:dyDescent="0.25">
      <c r="A54" s="112">
        <f t="shared" ca="1" si="0"/>
        <v>46196</v>
      </c>
      <c r="B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4" s="189">
        <f ca="1">IF(Tabela58[[#This Row],[valor]]="",0,Tabela58[[#This Row],[valor]])+IF(Tabela58[[#This Row],[pagameto]]="",0,Tabela58[[#This Row],[pagameto]])+E55</f>
        <v>0</v>
      </c>
      <c r="G54" s="124"/>
      <c r="H54" s="196"/>
      <c r="I54" s="123"/>
      <c r="L54" s="46" t="s">
        <v>22</v>
      </c>
      <c r="M54" s="239" t="s">
        <v>44</v>
      </c>
      <c r="N54" s="57" t="s">
        <v>10</v>
      </c>
      <c r="O54" s="60">
        <v>6</v>
      </c>
      <c r="P54" s="182">
        <v>-108</v>
      </c>
      <c r="Q54" s="58">
        <v>15.500000000000014</v>
      </c>
      <c r="R54" s="59">
        <v>46206</v>
      </c>
      <c r="S54" s="57" t="s">
        <v>83</v>
      </c>
      <c r="T54" s="57" t="s">
        <v>149</v>
      </c>
    </row>
    <row r="55" spans="1:20" x14ac:dyDescent="0.25">
      <c r="A55" s="112">
        <f t="shared" ca="1" si="0"/>
        <v>46195</v>
      </c>
      <c r="B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5" s="189">
        <f ca="1">IF(Tabela58[[#This Row],[valor]]="",0,Tabela58[[#This Row],[valor]])+IF(Tabela58[[#This Row],[pagameto]]="",0,Tabela58[[#This Row],[pagameto]])+E56</f>
        <v>0</v>
      </c>
      <c r="G55" s="124"/>
      <c r="H55" s="196"/>
      <c r="I55" s="123"/>
      <c r="L55" s="46"/>
      <c r="M55" s="63" t="s">
        <v>350</v>
      </c>
      <c r="N55" s="63" t="s">
        <v>41</v>
      </c>
      <c r="O55" s="63" t="s">
        <v>38</v>
      </c>
      <c r="P55" s="150">
        <v>228</v>
      </c>
      <c r="Q55" s="180">
        <v>0</v>
      </c>
      <c r="R55" s="59">
        <v>46206</v>
      </c>
      <c r="S55" s="63" t="s">
        <v>83</v>
      </c>
      <c r="T55" s="63" t="s">
        <v>149</v>
      </c>
    </row>
    <row r="56" spans="1:20" x14ac:dyDescent="0.25">
      <c r="A56" s="112">
        <f t="shared" ca="1" si="0"/>
        <v>46194</v>
      </c>
      <c r="B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6" s="189">
        <f ca="1">IF(Tabela58[[#This Row],[valor]]="",0,Tabela58[[#This Row],[valor]])+IF(Tabela58[[#This Row],[pagameto]]="",0,Tabela58[[#This Row],[pagameto]])+E57</f>
        <v>0</v>
      </c>
      <c r="G56" s="124"/>
      <c r="H56" s="196"/>
      <c r="I56" s="123"/>
      <c r="L56" s="46" t="s">
        <v>22</v>
      </c>
      <c r="M56" s="239" t="s">
        <v>49</v>
      </c>
      <c r="N56" s="57" t="s">
        <v>11</v>
      </c>
      <c r="O56" s="60">
        <v>6</v>
      </c>
      <c r="P56" s="182">
        <v>-102</v>
      </c>
      <c r="Q56" s="58">
        <v>14.488117179163879</v>
      </c>
      <c r="R56" s="59">
        <v>46206</v>
      </c>
      <c r="S56" s="57" t="s">
        <v>83</v>
      </c>
      <c r="T56" s="57" t="s">
        <v>149</v>
      </c>
    </row>
    <row r="57" spans="1:20" x14ac:dyDescent="0.25">
      <c r="A57" s="112">
        <f t="shared" ca="1" si="0"/>
        <v>46193</v>
      </c>
      <c r="B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7" s="189">
        <f ca="1">IF(Tabela58[[#This Row],[valor]]="",0,Tabela58[[#This Row],[valor]])+IF(Tabela58[[#This Row],[pagameto]]="",0,Tabela58[[#This Row],[pagameto]])+E58</f>
        <v>0</v>
      </c>
      <c r="G57" s="124"/>
      <c r="H57" s="196"/>
      <c r="I57" s="123"/>
      <c r="L57" s="46" t="s">
        <v>295</v>
      </c>
      <c r="M57" s="239" t="s">
        <v>275</v>
      </c>
      <c r="N57" s="57" t="s">
        <v>10</v>
      </c>
      <c r="O57" s="60">
        <v>1</v>
      </c>
      <c r="P57" s="182">
        <v>-19</v>
      </c>
      <c r="Q57" s="58">
        <v>3.5833333333333357</v>
      </c>
      <c r="R57" s="59">
        <v>46205</v>
      </c>
      <c r="S57" s="57" t="s">
        <v>294</v>
      </c>
      <c r="T57" s="57" t="s">
        <v>149</v>
      </c>
    </row>
    <row r="58" spans="1:20" x14ac:dyDescent="0.25">
      <c r="A58" s="112">
        <f t="shared" ca="1" si="0"/>
        <v>46192</v>
      </c>
      <c r="B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8" s="189">
        <f ca="1">IF(Tabela58[[#This Row],[valor]]="",0,Tabela58[[#This Row],[valor]])+IF(Tabela58[[#This Row],[pagameto]]="",0,Tabela58[[#This Row],[pagameto]])+E59</f>
        <v>0</v>
      </c>
      <c r="G58" s="124"/>
      <c r="H58" s="196"/>
      <c r="I58" s="123"/>
      <c r="L58" s="46" t="s">
        <v>22</v>
      </c>
      <c r="M58" s="239" t="s">
        <v>350</v>
      </c>
      <c r="N58" s="57" t="s">
        <v>10</v>
      </c>
      <c r="O58" s="60">
        <v>6</v>
      </c>
      <c r="P58" s="182">
        <v>-108</v>
      </c>
      <c r="Q58" s="58">
        <v>15.500000000000014</v>
      </c>
      <c r="R58" s="59">
        <v>46205</v>
      </c>
      <c r="S58" s="57" t="s">
        <v>294</v>
      </c>
      <c r="T58" s="57" t="s">
        <v>149</v>
      </c>
    </row>
    <row r="59" spans="1:20" x14ac:dyDescent="0.25">
      <c r="A59" s="112">
        <f t="shared" ca="1" si="0"/>
        <v>46191</v>
      </c>
      <c r="B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59" s="189">
        <f ca="1">IF(Tabela58[[#This Row],[valor]]="",0,Tabela58[[#This Row],[valor]])+IF(Tabela58[[#This Row],[pagameto]]="",0,Tabela58[[#This Row],[pagameto]])+E60</f>
        <v>0</v>
      </c>
      <c r="G59" s="124"/>
      <c r="H59" s="196"/>
      <c r="I59" s="123"/>
      <c r="L59" s="46"/>
      <c r="M59" s="63" t="s">
        <v>47</v>
      </c>
      <c r="N59" s="63" t="s">
        <v>41</v>
      </c>
      <c r="O59" s="63" t="s">
        <v>38</v>
      </c>
      <c r="P59" s="150">
        <v>300</v>
      </c>
      <c r="Q59" s="180">
        <v>0</v>
      </c>
      <c r="R59" s="59">
        <v>46205</v>
      </c>
      <c r="S59" s="63" t="s">
        <v>294</v>
      </c>
      <c r="T59" s="63" t="s">
        <v>149</v>
      </c>
    </row>
    <row r="60" spans="1:20" x14ac:dyDescent="0.25">
      <c r="A60" s="112">
        <f t="shared" ca="1" si="0"/>
        <v>46190</v>
      </c>
      <c r="B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0" s="189">
        <f ca="1">IF(Tabela58[[#This Row],[valor]]="",0,Tabela58[[#This Row],[valor]])+IF(Tabela58[[#This Row],[pagameto]]="",0,Tabela58[[#This Row],[pagameto]])+E61</f>
        <v>0</v>
      </c>
      <c r="G60" s="124"/>
      <c r="H60" s="196"/>
      <c r="I60" s="123"/>
      <c r="L60" s="46"/>
      <c r="M60" s="63" t="s">
        <v>275</v>
      </c>
      <c r="N60" s="63" t="s">
        <v>40</v>
      </c>
      <c r="O60" s="63" t="s">
        <v>38</v>
      </c>
      <c r="P60" s="150">
        <v>188</v>
      </c>
      <c r="Q60" s="180">
        <v>-2.5756000000000001</v>
      </c>
      <c r="R60" s="59">
        <v>46204</v>
      </c>
      <c r="S60" s="63" t="s">
        <v>32</v>
      </c>
      <c r="T60" s="63" t="s">
        <v>149</v>
      </c>
    </row>
    <row r="61" spans="1:20" x14ac:dyDescent="0.25">
      <c r="A61" s="112">
        <f t="shared" ca="1" si="0"/>
        <v>46189</v>
      </c>
      <c r="B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1" s="189">
        <f ca="1">IF(Tabela58[[#This Row],[valor]]="",0,Tabela58[[#This Row],[valor]])+IF(Tabela58[[#This Row],[pagameto]]="",0,Tabela58[[#This Row],[pagameto]])+E62</f>
        <v>0</v>
      </c>
      <c r="G61" s="124"/>
      <c r="H61" s="196"/>
      <c r="I61" s="123"/>
      <c r="L61" s="46" t="s">
        <v>295</v>
      </c>
      <c r="M61" s="239" t="s">
        <v>47</v>
      </c>
      <c r="N61" s="57" t="s">
        <v>10</v>
      </c>
      <c r="O61" s="60">
        <v>12</v>
      </c>
      <c r="P61" s="182">
        <v>-228</v>
      </c>
      <c r="Q61" s="58">
        <v>43.000000000000028</v>
      </c>
      <c r="R61" s="59">
        <v>46204</v>
      </c>
      <c r="S61" s="57" t="s">
        <v>32</v>
      </c>
      <c r="T61" s="57" t="s">
        <v>149</v>
      </c>
    </row>
    <row r="62" spans="1:20" x14ac:dyDescent="0.25">
      <c r="A62" s="112">
        <f t="shared" ca="1" si="0"/>
        <v>46188</v>
      </c>
      <c r="B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2" s="189">
        <f ca="1">IF(Tabela58[[#This Row],[valor]]="",0,Tabela58[[#This Row],[valor]])+IF(Tabela58[[#This Row],[pagameto]]="",0,Tabela58[[#This Row],[pagameto]])+E63</f>
        <v>0</v>
      </c>
      <c r="G62" s="124"/>
      <c r="H62" s="196"/>
      <c r="I62" s="123"/>
      <c r="L62" s="46" t="s">
        <v>22</v>
      </c>
      <c r="M62" s="239" t="s">
        <v>350</v>
      </c>
      <c r="N62" s="57" t="s">
        <v>10</v>
      </c>
      <c r="O62" s="60">
        <v>6</v>
      </c>
      <c r="P62" s="182">
        <v>-108</v>
      </c>
      <c r="Q62" s="58">
        <v>15.500000000000014</v>
      </c>
      <c r="R62" s="59">
        <v>46204</v>
      </c>
      <c r="S62" s="57" t="s">
        <v>32</v>
      </c>
      <c r="T62" s="57" t="s">
        <v>149</v>
      </c>
    </row>
    <row r="63" spans="1:20" x14ac:dyDescent="0.25">
      <c r="A63" s="112">
        <f t="shared" ca="1" si="0"/>
        <v>46187</v>
      </c>
      <c r="B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3" s="189">
        <f ca="1">IF(Tabela58[[#This Row],[valor]]="",0,Tabela58[[#This Row],[valor]])+IF(Tabela58[[#This Row],[pagameto]]="",0,Tabela58[[#This Row],[pagameto]])+E64</f>
        <v>0</v>
      </c>
      <c r="G63" s="124"/>
      <c r="H63" s="196"/>
      <c r="I63" s="123"/>
      <c r="L63" s="46"/>
      <c r="M63" s="63" t="s">
        <v>46</v>
      </c>
      <c r="N63" s="63" t="s">
        <v>41</v>
      </c>
      <c r="O63" s="63" t="s">
        <v>38</v>
      </c>
      <c r="P63" s="150">
        <v>235</v>
      </c>
      <c r="Q63" s="180">
        <v>0</v>
      </c>
      <c r="R63" s="59">
        <v>46203</v>
      </c>
      <c r="S63" s="63" t="s">
        <v>290</v>
      </c>
      <c r="T63" s="63" t="s">
        <v>148</v>
      </c>
    </row>
    <row r="64" spans="1:20" x14ac:dyDescent="0.25">
      <c r="A64" s="112">
        <f t="shared" ca="1" si="0"/>
        <v>46186</v>
      </c>
      <c r="B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4" s="189">
        <f ca="1">IF(Tabela58[[#This Row],[valor]]="",0,Tabela58[[#This Row],[valor]])+IF(Tabela58[[#This Row],[pagameto]]="",0,Tabela58[[#This Row],[pagameto]])+E65</f>
        <v>0</v>
      </c>
      <c r="G64" s="124"/>
      <c r="H64" s="196"/>
      <c r="I64" s="123"/>
      <c r="L64" s="46" t="s">
        <v>295</v>
      </c>
      <c r="M64" s="239" t="s">
        <v>46</v>
      </c>
      <c r="N64" s="57" t="s">
        <v>11</v>
      </c>
      <c r="O64" s="60">
        <v>12</v>
      </c>
      <c r="P64" s="182">
        <v>-216</v>
      </c>
      <c r="Q64" s="58">
        <v>40.976234358327694</v>
      </c>
      <c r="R64" s="59">
        <v>46203</v>
      </c>
      <c r="S64" s="57" t="s">
        <v>290</v>
      </c>
      <c r="T64" s="57" t="s">
        <v>148</v>
      </c>
    </row>
    <row r="65" spans="1:20" x14ac:dyDescent="0.25">
      <c r="A65" s="112">
        <f t="shared" ca="1" si="0"/>
        <v>46185</v>
      </c>
      <c r="B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5" s="189">
        <f ca="1">IF(Tabela58[[#This Row],[valor]]="",0,Tabela58[[#This Row],[valor]])+IF(Tabela58[[#This Row],[pagameto]]="",0,Tabela58[[#This Row],[pagameto]])+E66</f>
        <v>0</v>
      </c>
      <c r="G65" s="124"/>
      <c r="H65" s="196"/>
      <c r="I65" s="123"/>
      <c r="L65" s="46" t="s">
        <v>22</v>
      </c>
      <c r="M65" s="239" t="s">
        <v>350</v>
      </c>
      <c r="N65" s="57" t="s">
        <v>10</v>
      </c>
      <c r="O65" s="60">
        <v>6</v>
      </c>
      <c r="P65" s="182">
        <v>-108</v>
      </c>
      <c r="Q65" s="58">
        <v>15.500000000000014</v>
      </c>
      <c r="R65" s="59">
        <v>46203</v>
      </c>
      <c r="S65" s="57" t="s">
        <v>290</v>
      </c>
      <c r="T65" s="57" t="s">
        <v>148</v>
      </c>
    </row>
    <row r="66" spans="1:20" x14ac:dyDescent="0.25">
      <c r="A66" s="112">
        <f t="shared" ca="1" si="0"/>
        <v>46184</v>
      </c>
      <c r="B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6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66" s="189">
        <f ca="1">IF(Tabela58[[#This Row],[valor]]="",0,Tabela58[[#This Row],[valor]])+IF(Tabela58[[#This Row],[pagameto]]="",0,Tabela58[[#This Row],[pagameto]])+E67</f>
        <v>0</v>
      </c>
      <c r="G66" s="124"/>
      <c r="H66" s="196"/>
      <c r="I66" s="123"/>
      <c r="L66" s="46"/>
      <c r="M66" s="63" t="s">
        <v>350</v>
      </c>
      <c r="N66" s="63" t="s">
        <v>41</v>
      </c>
      <c r="O66" s="63" t="s">
        <v>38</v>
      </c>
      <c r="P66" s="150">
        <v>210</v>
      </c>
      <c r="Q66" s="180">
        <v>0</v>
      </c>
      <c r="R66" s="59">
        <v>46203</v>
      </c>
      <c r="S66" s="63" t="s">
        <v>290</v>
      </c>
      <c r="T66" s="63" t="s">
        <v>148</v>
      </c>
    </row>
    <row r="67" spans="1:20" x14ac:dyDescent="0.25">
      <c r="A67" s="112">
        <f t="shared" ca="1" si="0"/>
        <v>46183</v>
      </c>
      <c r="B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7" s="189">
        <f ca="1">IF(Tabela58[[#This Row],[valor]]="",0,Tabela58[[#This Row],[valor]])+IF(Tabela58[[#This Row],[pagameto]]="",0,Tabela58[[#This Row],[pagameto]])+E68</f>
        <v>-22</v>
      </c>
      <c r="G67" s="124"/>
      <c r="H67" s="196"/>
      <c r="I67" s="123"/>
      <c r="L67" s="46"/>
      <c r="M67" s="63" t="s">
        <v>49</v>
      </c>
      <c r="N67" s="63" t="s">
        <v>39</v>
      </c>
      <c r="O67" s="63" t="s">
        <v>38</v>
      </c>
      <c r="P67" s="150">
        <v>102</v>
      </c>
      <c r="Q67" s="180">
        <v>-3.2130000000000001</v>
      </c>
      <c r="R67" s="59">
        <v>46203</v>
      </c>
      <c r="S67" s="63" t="s">
        <v>290</v>
      </c>
      <c r="T67" s="63" t="s">
        <v>148</v>
      </c>
    </row>
    <row r="68" spans="1:20" x14ac:dyDescent="0.25">
      <c r="A68" s="112">
        <f t="shared" ca="1" si="0"/>
        <v>46182</v>
      </c>
      <c r="B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8" s="189">
        <f ca="1">IF(Tabela58[[#This Row],[valor]]="",0,Tabela58[[#This Row],[valor]])+IF(Tabela58[[#This Row],[pagameto]]="",0,Tabela58[[#This Row],[pagameto]])+E69</f>
        <v>-22</v>
      </c>
      <c r="G68" s="124"/>
      <c r="H68" s="196"/>
      <c r="I68" s="123"/>
      <c r="L68" s="46" t="s">
        <v>22</v>
      </c>
      <c r="M68" s="239" t="s">
        <v>49</v>
      </c>
      <c r="N68" s="57" t="s">
        <v>11</v>
      </c>
      <c r="O68" s="60">
        <v>6</v>
      </c>
      <c r="P68" s="182">
        <v>-102</v>
      </c>
      <c r="Q68" s="58">
        <v>14.488117179163847</v>
      </c>
      <c r="R68" s="59">
        <v>46203</v>
      </c>
      <c r="S68" s="57" t="s">
        <v>290</v>
      </c>
      <c r="T68" s="57" t="s">
        <v>148</v>
      </c>
    </row>
    <row r="69" spans="1:20" x14ac:dyDescent="0.25">
      <c r="A69" s="112">
        <f t="shared" ca="1" si="0"/>
        <v>46181</v>
      </c>
      <c r="B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69" s="189">
        <f ca="1">IF(Tabela58[[#This Row],[valor]]="",0,Tabela58[[#This Row],[valor]])+IF(Tabela58[[#This Row],[pagameto]]="",0,Tabela58[[#This Row],[pagameto]])+E70</f>
        <v>-22</v>
      </c>
      <c r="G69" s="124"/>
      <c r="H69" s="196"/>
      <c r="I69" s="123"/>
      <c r="L69" s="46"/>
      <c r="M69" s="63" t="s">
        <v>48</v>
      </c>
      <c r="N69" s="63" t="s">
        <v>41</v>
      </c>
      <c r="O69" s="63" t="s">
        <v>38</v>
      </c>
      <c r="P69" s="150">
        <v>228</v>
      </c>
      <c r="Q69" s="180">
        <v>0</v>
      </c>
      <c r="R69" s="59">
        <v>46202</v>
      </c>
      <c r="S69" s="63" t="s">
        <v>291</v>
      </c>
      <c r="T69" s="63" t="s">
        <v>148</v>
      </c>
    </row>
    <row r="70" spans="1:20" x14ac:dyDescent="0.25">
      <c r="A70" s="112">
        <f t="shared" ca="1" si="0"/>
        <v>46180</v>
      </c>
      <c r="B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0" s="189">
        <f ca="1">IF(Tabela58[[#This Row],[valor]]="",0,Tabela58[[#This Row],[valor]])+IF(Tabela58[[#This Row],[pagameto]]="",0,Tabela58[[#This Row],[pagameto]])+E71</f>
        <v>-22</v>
      </c>
      <c r="G70" s="124"/>
      <c r="H70" s="196"/>
      <c r="I70" s="123"/>
      <c r="L70" s="46"/>
      <c r="M70" s="63" t="s">
        <v>350</v>
      </c>
      <c r="N70" s="63" t="s">
        <v>41</v>
      </c>
      <c r="O70" s="63" t="s">
        <v>38</v>
      </c>
      <c r="P70" s="150">
        <v>243.5</v>
      </c>
      <c r="Q70" s="180">
        <v>0</v>
      </c>
      <c r="R70" s="59">
        <v>46201</v>
      </c>
      <c r="S70" s="63" t="s">
        <v>93</v>
      </c>
      <c r="T70" s="63" t="s">
        <v>148</v>
      </c>
    </row>
    <row r="71" spans="1:20" x14ac:dyDescent="0.25">
      <c r="A71" s="112">
        <f t="shared" ca="1" si="0"/>
        <v>46179</v>
      </c>
      <c r="B71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71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1" s="189">
        <f ca="1">IF(Tabela58[[#This Row],[valor]]="",0,Tabela58[[#This Row],[valor]])+IF(Tabela58[[#This Row],[pagameto]]="",0,Tabela58[[#This Row],[pagameto]])+E72</f>
        <v>-22</v>
      </c>
      <c r="G71" s="124"/>
      <c r="H71" s="196"/>
      <c r="I71" s="123"/>
      <c r="L71" s="46" t="s">
        <v>295</v>
      </c>
      <c r="M71" s="239" t="s">
        <v>350</v>
      </c>
      <c r="N71" s="57" t="s">
        <v>10</v>
      </c>
      <c r="O71" s="60">
        <v>6</v>
      </c>
      <c r="P71" s="182">
        <v>-114</v>
      </c>
      <c r="Q71" s="58">
        <v>21.500000000000004</v>
      </c>
      <c r="R71" s="59">
        <v>46201</v>
      </c>
      <c r="S71" s="57" t="s">
        <v>93</v>
      </c>
      <c r="T71" s="57" t="s">
        <v>148</v>
      </c>
    </row>
    <row r="72" spans="1:20" x14ac:dyDescent="0.25">
      <c r="A72" s="112">
        <f t="shared" ca="1" si="0"/>
        <v>46178</v>
      </c>
      <c r="B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2" s="189">
        <f ca="1">IF(Tabela58[[#This Row],[valor]]="",0,Tabela58[[#This Row],[valor]])+IF(Tabela58[[#This Row],[pagameto]]="",0,Tabela58[[#This Row],[pagameto]])+E73</f>
        <v>0</v>
      </c>
      <c r="G72" s="124"/>
      <c r="H72" s="196"/>
      <c r="I72" s="123"/>
      <c r="L72" s="46" t="s">
        <v>295</v>
      </c>
      <c r="M72" s="239" t="s">
        <v>275</v>
      </c>
      <c r="N72" s="57" t="s">
        <v>13</v>
      </c>
      <c r="O72" s="60">
        <v>1</v>
      </c>
      <c r="P72" s="182">
        <v>-20</v>
      </c>
      <c r="Q72" s="58">
        <v>4.1666666666666661</v>
      </c>
      <c r="R72" s="59">
        <v>46200</v>
      </c>
      <c r="S72" s="57" t="s">
        <v>92</v>
      </c>
      <c r="T72" s="57" t="s">
        <v>148</v>
      </c>
    </row>
    <row r="73" spans="1:20" x14ac:dyDescent="0.25">
      <c r="A73" s="112">
        <f t="shared" ca="1" si="0"/>
        <v>46177</v>
      </c>
      <c r="B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3" s="189">
        <f ca="1">IF(Tabela58[[#This Row],[valor]]="",0,Tabela58[[#This Row],[valor]])+IF(Tabela58[[#This Row],[pagameto]]="",0,Tabela58[[#This Row],[pagameto]])+E74</f>
        <v>0</v>
      </c>
      <c r="G73" s="124"/>
      <c r="H73" s="196"/>
      <c r="I73" s="123"/>
      <c r="L73" s="46" t="s">
        <v>295</v>
      </c>
      <c r="M73" s="239" t="s">
        <v>350</v>
      </c>
      <c r="N73" s="57" t="s">
        <v>11</v>
      </c>
      <c r="O73" s="60">
        <v>6</v>
      </c>
      <c r="P73" s="182">
        <v>-96</v>
      </c>
      <c r="Q73" s="58">
        <v>7.7751479289941052</v>
      </c>
      <c r="R73" s="59">
        <v>46199</v>
      </c>
      <c r="S73" s="57" t="s">
        <v>83</v>
      </c>
      <c r="T73" s="57" t="s">
        <v>148</v>
      </c>
    </row>
    <row r="74" spans="1:20" x14ac:dyDescent="0.25">
      <c r="A74" s="112">
        <f t="shared" ca="1" si="0"/>
        <v>46176</v>
      </c>
      <c r="B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4" s="189">
        <f ca="1">IF(Tabela58[[#This Row],[valor]]="",0,Tabela58[[#This Row],[valor]])+IF(Tabela58[[#This Row],[pagameto]]="",0,Tabela58[[#This Row],[pagameto]])+E75</f>
        <v>0</v>
      </c>
      <c r="G74" s="124"/>
      <c r="H74" s="196"/>
      <c r="I74" s="123"/>
      <c r="L74" s="46" t="s">
        <v>295</v>
      </c>
      <c r="M74" s="239" t="s">
        <v>350</v>
      </c>
      <c r="N74" s="57" t="s">
        <v>10</v>
      </c>
      <c r="O74" s="60">
        <v>6</v>
      </c>
      <c r="P74" s="182">
        <v>-114</v>
      </c>
      <c r="Q74" s="58">
        <v>21.500000000000004</v>
      </c>
      <c r="R74" s="59">
        <v>46198</v>
      </c>
      <c r="S74" s="57" t="s">
        <v>294</v>
      </c>
      <c r="T74" s="57" t="s">
        <v>148</v>
      </c>
    </row>
    <row r="75" spans="1:20" x14ac:dyDescent="0.25">
      <c r="A75" s="112">
        <f t="shared" ca="1" si="0"/>
        <v>46175</v>
      </c>
      <c r="B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5" s="189">
        <f ca="1">IF(Tabela58[[#This Row],[valor]]="",0,Tabela58[[#This Row],[valor]])+IF(Tabela58[[#This Row],[pagameto]]="",0,Tabela58[[#This Row],[pagameto]])+E76</f>
        <v>0</v>
      </c>
      <c r="G75" s="124"/>
      <c r="H75" s="196"/>
      <c r="I75" s="123"/>
      <c r="L75" s="46" t="s">
        <v>295</v>
      </c>
      <c r="M75" s="239" t="s">
        <v>275</v>
      </c>
      <c r="N75" s="57" t="s">
        <v>13</v>
      </c>
      <c r="O75" s="60">
        <v>1</v>
      </c>
      <c r="P75" s="182">
        <v>-20</v>
      </c>
      <c r="Q75" s="58">
        <v>4.1666666666666661</v>
      </c>
      <c r="R75" s="59">
        <v>46197</v>
      </c>
      <c r="S75" s="57" t="s">
        <v>32</v>
      </c>
      <c r="T75" s="57" t="s">
        <v>148</v>
      </c>
    </row>
    <row r="76" spans="1:20" x14ac:dyDescent="0.25">
      <c r="A76" s="112">
        <f t="shared" ca="1" si="0"/>
        <v>46174</v>
      </c>
      <c r="B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6" s="189">
        <f ca="1">IF(Tabela58[[#This Row],[valor]]="",0,Tabela58[[#This Row],[valor]])+IF(Tabela58[[#This Row],[pagameto]]="",0,Tabela58[[#This Row],[pagameto]])+E77</f>
        <v>0</v>
      </c>
      <c r="G76" s="124"/>
      <c r="H76" s="196"/>
      <c r="I76" s="123"/>
      <c r="L76" s="46"/>
      <c r="M76" s="63" t="s">
        <v>44</v>
      </c>
      <c r="N76" s="63" t="s">
        <v>41</v>
      </c>
      <c r="O76" s="63" t="s">
        <v>38</v>
      </c>
      <c r="P76" s="150">
        <v>108</v>
      </c>
      <c r="Q76" s="180">
        <v>0</v>
      </c>
      <c r="R76" s="59">
        <v>46197</v>
      </c>
      <c r="S76" s="63" t="s">
        <v>32</v>
      </c>
      <c r="T76" s="63" t="s">
        <v>148</v>
      </c>
    </row>
    <row r="77" spans="1:20" x14ac:dyDescent="0.25">
      <c r="A77" s="112">
        <f t="shared" ca="1" si="0"/>
        <v>46173</v>
      </c>
      <c r="B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7" s="189">
        <f ca="1">IF(Tabela58[[#This Row],[valor]]="",0,Tabela58[[#This Row],[valor]])+IF(Tabela58[[#This Row],[pagameto]]="",0,Tabela58[[#This Row],[pagameto]])+E78</f>
        <v>0</v>
      </c>
      <c r="G77" s="124"/>
      <c r="H77" s="196"/>
      <c r="I77" s="123"/>
      <c r="L77" s="46" t="s">
        <v>22</v>
      </c>
      <c r="M77" s="239" t="s">
        <v>44</v>
      </c>
      <c r="N77" s="57" t="s">
        <v>10</v>
      </c>
      <c r="O77" s="60">
        <v>6</v>
      </c>
      <c r="P77" s="182">
        <v>-108</v>
      </c>
      <c r="Q77" s="58">
        <v>15.500000000000014</v>
      </c>
      <c r="R77" s="59">
        <v>46197</v>
      </c>
      <c r="S77" s="57" t="s">
        <v>32</v>
      </c>
      <c r="T77" s="57" t="s">
        <v>148</v>
      </c>
    </row>
    <row r="78" spans="1:20" x14ac:dyDescent="0.25">
      <c r="A78" s="112">
        <f t="shared" ca="1" si="0"/>
        <v>46172</v>
      </c>
      <c r="B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8" s="189">
        <f ca="1">IF(Tabela58[[#This Row],[valor]]="",0,Tabela58[[#This Row],[valor]])+IF(Tabela58[[#This Row],[pagameto]]="",0,Tabela58[[#This Row],[pagameto]])+E79</f>
        <v>0</v>
      </c>
      <c r="G78" s="124"/>
      <c r="H78" s="196"/>
      <c r="I78" s="123"/>
      <c r="L78" s="46" t="s">
        <v>295</v>
      </c>
      <c r="M78" s="239" t="s">
        <v>350</v>
      </c>
      <c r="N78" s="57" t="s">
        <v>10</v>
      </c>
      <c r="O78" s="60">
        <v>6</v>
      </c>
      <c r="P78" s="182">
        <v>-114</v>
      </c>
      <c r="Q78" s="58">
        <v>21.500000000000014</v>
      </c>
      <c r="R78" s="59">
        <v>46197</v>
      </c>
      <c r="S78" s="57" t="s">
        <v>32</v>
      </c>
      <c r="T78" s="57" t="s">
        <v>148</v>
      </c>
    </row>
    <row r="79" spans="1:20" x14ac:dyDescent="0.25">
      <c r="A79" s="112">
        <f t="shared" ca="1" si="0"/>
        <v>46171</v>
      </c>
      <c r="B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79" s="189">
        <f ca="1">IF(Tabela58[[#This Row],[valor]]="",0,Tabela58[[#This Row],[valor]])+IF(Tabela58[[#This Row],[pagameto]]="",0,Tabela58[[#This Row],[pagameto]])+E80</f>
        <v>0</v>
      </c>
      <c r="G79" s="124"/>
      <c r="H79" s="196"/>
      <c r="I79" s="123"/>
      <c r="L79" s="46"/>
      <c r="M79" s="63" t="s">
        <v>44</v>
      </c>
      <c r="N79" s="63" t="s">
        <v>41</v>
      </c>
      <c r="O79" s="63" t="s">
        <v>38</v>
      </c>
      <c r="P79" s="150">
        <v>114</v>
      </c>
      <c r="Q79" s="180">
        <v>0</v>
      </c>
      <c r="R79" s="59">
        <v>46196</v>
      </c>
      <c r="S79" s="63" t="s">
        <v>290</v>
      </c>
      <c r="T79" s="63" t="s">
        <v>148</v>
      </c>
    </row>
    <row r="80" spans="1:20" x14ac:dyDescent="0.25">
      <c r="A80" s="112">
        <f t="shared" ca="1" si="0"/>
        <v>46170</v>
      </c>
      <c r="B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0" s="189">
        <f ca="1">IF(Tabela58[[#This Row],[valor]]="",0,Tabela58[[#This Row],[valor]])+IF(Tabela58[[#This Row],[pagameto]]="",0,Tabela58[[#This Row],[pagameto]])+E81</f>
        <v>0</v>
      </c>
      <c r="G80" s="124"/>
      <c r="H80" s="196"/>
      <c r="I80" s="123"/>
      <c r="L80" s="46" t="s">
        <v>22</v>
      </c>
      <c r="M80" s="239" t="s">
        <v>44</v>
      </c>
      <c r="N80" s="57" t="s">
        <v>13</v>
      </c>
      <c r="O80" s="60">
        <v>6</v>
      </c>
      <c r="P80" s="182">
        <v>-114</v>
      </c>
      <c r="Q80" s="58">
        <v>18.999999999999996</v>
      </c>
      <c r="R80" s="59">
        <v>46196</v>
      </c>
      <c r="S80" s="57" t="s">
        <v>290</v>
      </c>
      <c r="T80" s="57" t="s">
        <v>148</v>
      </c>
    </row>
    <row r="81" spans="1:20" x14ac:dyDescent="0.25">
      <c r="A81" s="112">
        <f t="shared" ca="1" si="0"/>
        <v>46169</v>
      </c>
      <c r="B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1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23</v>
      </c>
      <c r="E81" s="189">
        <f ca="1">IF(Tabela58[[#This Row],[valor]]="",0,Tabela58[[#This Row],[valor]])+IF(Tabela58[[#This Row],[pagameto]]="",0,Tabela58[[#This Row],[pagameto]])+E82</f>
        <v>0</v>
      </c>
      <c r="G81" s="124"/>
      <c r="H81" s="196"/>
      <c r="I81" s="123"/>
      <c r="L81" s="46" t="s">
        <v>295</v>
      </c>
      <c r="M81" s="239" t="s">
        <v>47</v>
      </c>
      <c r="N81" s="57" t="s">
        <v>10</v>
      </c>
      <c r="O81" s="60">
        <v>12</v>
      </c>
      <c r="P81" s="182">
        <v>-228</v>
      </c>
      <c r="Q81" s="58">
        <v>43.000000000000028</v>
      </c>
      <c r="R81" s="59">
        <v>46196</v>
      </c>
      <c r="S81" s="57" t="s">
        <v>290</v>
      </c>
      <c r="T81" s="57" t="s">
        <v>148</v>
      </c>
    </row>
    <row r="82" spans="1:20" x14ac:dyDescent="0.25">
      <c r="A82" s="112">
        <f t="shared" ca="1" si="0"/>
        <v>46168</v>
      </c>
      <c r="B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2" s="189">
        <f ca="1">IF(Tabela58[[#This Row],[valor]]="",0,Tabela58[[#This Row],[valor]])+IF(Tabela58[[#This Row],[pagameto]]="",0,Tabela58[[#This Row],[pagameto]])+E83</f>
        <v>-23</v>
      </c>
      <c r="G82" s="124"/>
      <c r="H82" s="196"/>
      <c r="I82" s="123"/>
      <c r="L82" s="46" t="s">
        <v>295</v>
      </c>
      <c r="M82" s="239" t="s">
        <v>350</v>
      </c>
      <c r="N82" s="57" t="s">
        <v>10</v>
      </c>
      <c r="O82" s="60">
        <v>6</v>
      </c>
      <c r="P82" s="182">
        <v>-114</v>
      </c>
      <c r="Q82" s="58">
        <v>21.500000000000014</v>
      </c>
      <c r="R82" s="59">
        <v>46196</v>
      </c>
      <c r="S82" s="57" t="s">
        <v>290</v>
      </c>
      <c r="T82" s="57" t="s">
        <v>148</v>
      </c>
    </row>
    <row r="83" spans="1:20" x14ac:dyDescent="0.25">
      <c r="A83" s="112">
        <f t="shared" ref="A83:A146" ca="1" si="1">A82-1</f>
        <v>46167</v>
      </c>
      <c r="B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3" s="189">
        <f ca="1">IF(Tabela58[[#This Row],[valor]]="",0,Tabela58[[#This Row],[valor]])+IF(Tabela58[[#This Row],[pagameto]]="",0,Tabela58[[#This Row],[pagameto]])+E84</f>
        <v>-23</v>
      </c>
      <c r="G83" s="124"/>
      <c r="H83" s="196"/>
      <c r="I83" s="123"/>
      <c r="L83" s="46" t="s">
        <v>295</v>
      </c>
      <c r="M83" s="239" t="s">
        <v>350</v>
      </c>
      <c r="N83" s="57" t="s">
        <v>11</v>
      </c>
      <c r="O83" s="60">
        <v>6</v>
      </c>
      <c r="P83" s="182">
        <v>-96</v>
      </c>
      <c r="Q83" s="58">
        <v>7.7751479289941052</v>
      </c>
      <c r="R83" s="59">
        <v>46195</v>
      </c>
      <c r="S83" s="57" t="s">
        <v>291</v>
      </c>
      <c r="T83" s="57" t="s">
        <v>148</v>
      </c>
    </row>
    <row r="84" spans="1:20" x14ac:dyDescent="0.25">
      <c r="A84" s="112">
        <f t="shared" ca="1" si="1"/>
        <v>46166</v>
      </c>
      <c r="B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4" s="189">
        <f ca="1">IF(Tabela58[[#This Row],[valor]]="",0,Tabela58[[#This Row],[valor]])+IF(Tabela58[[#This Row],[pagameto]]="",0,Tabela58[[#This Row],[pagameto]])+E85</f>
        <v>-23</v>
      </c>
      <c r="G84" s="124"/>
      <c r="H84" s="196"/>
      <c r="I84" s="123"/>
      <c r="L84" s="46" t="s">
        <v>295</v>
      </c>
      <c r="M84" s="239" t="s">
        <v>275</v>
      </c>
      <c r="N84" s="57" t="s">
        <v>11</v>
      </c>
      <c r="O84" s="60">
        <v>1</v>
      </c>
      <c r="P84" s="182">
        <v>-16</v>
      </c>
      <c r="Q84" s="58">
        <v>1.2958579881656842</v>
      </c>
      <c r="R84" s="59">
        <v>46195</v>
      </c>
      <c r="S84" s="57" t="s">
        <v>291</v>
      </c>
      <c r="T84" s="57" t="s">
        <v>148</v>
      </c>
    </row>
    <row r="85" spans="1:20" x14ac:dyDescent="0.25">
      <c r="A85" s="112">
        <f t="shared" ca="1" si="1"/>
        <v>46165</v>
      </c>
      <c r="B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5" s="189">
        <f ca="1">IF(Tabela58[[#This Row],[valor]]="",0,Tabela58[[#This Row],[valor]])+IF(Tabela58[[#This Row],[pagameto]]="",0,Tabela58[[#This Row],[pagameto]])+E86</f>
        <v>-23</v>
      </c>
      <c r="G85" s="124"/>
      <c r="H85" s="196"/>
      <c r="I85" s="123"/>
      <c r="L85" s="46"/>
      <c r="M85" s="63" t="s">
        <v>47</v>
      </c>
      <c r="N85" s="63" t="s">
        <v>41</v>
      </c>
      <c r="O85" s="63" t="s">
        <v>38</v>
      </c>
      <c r="P85" s="150">
        <v>200</v>
      </c>
      <c r="Q85" s="180">
        <v>0</v>
      </c>
      <c r="R85" s="59">
        <v>46194</v>
      </c>
      <c r="S85" s="63" t="s">
        <v>93</v>
      </c>
      <c r="T85" s="63" t="s">
        <v>148</v>
      </c>
    </row>
    <row r="86" spans="1:20" x14ac:dyDescent="0.25">
      <c r="A86" s="112">
        <f t="shared" ca="1" si="1"/>
        <v>46164</v>
      </c>
      <c r="B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6" s="189">
        <f ca="1">IF(Tabela58[[#This Row],[valor]]="",0,Tabela58[[#This Row],[valor]])+IF(Tabela58[[#This Row],[pagameto]]="",0,Tabela58[[#This Row],[pagameto]])+E87</f>
        <v>-23</v>
      </c>
      <c r="G86" s="124"/>
      <c r="H86" s="196"/>
      <c r="I86" s="123"/>
      <c r="L86" s="46" t="s">
        <v>295</v>
      </c>
      <c r="M86" s="239" t="s">
        <v>275</v>
      </c>
      <c r="N86" s="57" t="s">
        <v>13</v>
      </c>
      <c r="O86" s="60">
        <v>1</v>
      </c>
      <c r="P86" s="182">
        <v>-20</v>
      </c>
      <c r="Q86" s="58">
        <v>4.1666666666666661</v>
      </c>
      <c r="R86" s="59">
        <v>46194</v>
      </c>
      <c r="S86" s="57" t="s">
        <v>93</v>
      </c>
      <c r="T86" s="57" t="s">
        <v>148</v>
      </c>
    </row>
    <row r="87" spans="1:20" x14ac:dyDescent="0.25">
      <c r="A87" s="112">
        <f t="shared" ca="1" si="1"/>
        <v>46163</v>
      </c>
      <c r="B8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7" s="189">
        <f ca="1">IF(Tabela58[[#This Row],[valor]]="",0,Tabela58[[#This Row],[valor]])+IF(Tabela58[[#This Row],[pagameto]]="",0,Tabela58[[#This Row],[pagameto]])+E88</f>
        <v>-23</v>
      </c>
      <c r="G87" s="124"/>
      <c r="H87" s="196"/>
      <c r="I87" s="123"/>
      <c r="L87" s="46" t="s">
        <v>295</v>
      </c>
      <c r="M87" s="239" t="s">
        <v>350</v>
      </c>
      <c r="N87" s="57" t="s">
        <v>11</v>
      </c>
      <c r="O87" s="60">
        <v>12</v>
      </c>
      <c r="P87" s="182">
        <v>-192</v>
      </c>
      <c r="Q87" s="58">
        <v>15.55029585798821</v>
      </c>
      <c r="R87" s="59">
        <v>46194</v>
      </c>
      <c r="S87" s="57" t="s">
        <v>93</v>
      </c>
      <c r="T87" s="57" t="s">
        <v>148</v>
      </c>
    </row>
    <row r="88" spans="1:20" x14ac:dyDescent="0.25">
      <c r="A88" s="112">
        <f t="shared" ca="1" si="1"/>
        <v>46162</v>
      </c>
      <c r="B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8" s="189">
        <f ca="1">IF(Tabela58[[#This Row],[valor]]="",0,Tabela58[[#This Row],[valor]])+IF(Tabela58[[#This Row],[pagameto]]="",0,Tabela58[[#This Row],[pagameto]])+E89</f>
        <v>-23</v>
      </c>
      <c r="G88" s="124"/>
      <c r="H88" s="196"/>
      <c r="I88" s="123"/>
      <c r="L88" s="46" t="s">
        <v>295</v>
      </c>
      <c r="M88" s="239" t="s">
        <v>48</v>
      </c>
      <c r="N88" s="57" t="s">
        <v>10</v>
      </c>
      <c r="O88" s="60">
        <v>12</v>
      </c>
      <c r="P88" s="182">
        <v>-228</v>
      </c>
      <c r="Q88" s="58">
        <v>43.000000000000007</v>
      </c>
      <c r="R88" s="59">
        <v>46193</v>
      </c>
      <c r="S88" s="57" t="s">
        <v>92</v>
      </c>
      <c r="T88" s="57" t="s">
        <v>148</v>
      </c>
    </row>
    <row r="89" spans="1:20" x14ac:dyDescent="0.25">
      <c r="A89" s="112">
        <f t="shared" ca="1" si="1"/>
        <v>46161</v>
      </c>
      <c r="B89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89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-23</v>
      </c>
      <c r="D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89" s="189">
        <f ca="1">IF(Tabela58[[#This Row],[valor]]="",0,Tabela58[[#This Row],[valor]])+IF(Tabela58[[#This Row],[pagameto]]="",0,Tabela58[[#This Row],[pagameto]])+E90</f>
        <v>-23</v>
      </c>
      <c r="G89" s="124"/>
      <c r="H89" s="196"/>
      <c r="I89" s="123"/>
      <c r="L89" s="46"/>
      <c r="M89" s="63" t="s">
        <v>350</v>
      </c>
      <c r="N89" s="63" t="s">
        <v>42</v>
      </c>
      <c r="O89" s="63" t="s">
        <v>38</v>
      </c>
      <c r="P89" s="150">
        <v>200</v>
      </c>
      <c r="Q89" s="180">
        <v>0</v>
      </c>
      <c r="R89" s="59">
        <v>46192</v>
      </c>
      <c r="S89" s="63" t="s">
        <v>83</v>
      </c>
      <c r="T89" s="63" t="s">
        <v>148</v>
      </c>
    </row>
    <row r="90" spans="1:20" x14ac:dyDescent="0.25">
      <c r="A90" s="112">
        <f t="shared" ca="1" si="1"/>
        <v>46160</v>
      </c>
      <c r="B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0" s="189">
        <f ca="1">IF(Tabela58[[#This Row],[valor]]="",0,Tabela58[[#This Row],[valor]])+IF(Tabela58[[#This Row],[pagameto]]="",0,Tabela58[[#This Row],[pagameto]])+E91</f>
        <v>0</v>
      </c>
      <c r="G90" s="124"/>
      <c r="H90" s="196"/>
      <c r="I90" s="123"/>
      <c r="L90" s="46" t="s">
        <v>295</v>
      </c>
      <c r="M90" s="239" t="s">
        <v>350</v>
      </c>
      <c r="N90" s="57" t="s">
        <v>11</v>
      </c>
      <c r="O90" s="60">
        <v>6</v>
      </c>
      <c r="P90" s="182">
        <v>-96</v>
      </c>
      <c r="Q90" s="58">
        <v>7.7751479289941052</v>
      </c>
      <c r="R90" s="59">
        <v>46191</v>
      </c>
      <c r="S90" s="57" t="s">
        <v>294</v>
      </c>
      <c r="T90" s="57" t="s">
        <v>148</v>
      </c>
    </row>
    <row r="91" spans="1:20" x14ac:dyDescent="0.25">
      <c r="A91" s="112">
        <f t="shared" ca="1" si="1"/>
        <v>46159</v>
      </c>
      <c r="B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1" s="189">
        <f ca="1">IF(Tabela58[[#This Row],[valor]]="",0,Tabela58[[#This Row],[valor]])+IF(Tabela58[[#This Row],[pagameto]]="",0,Tabela58[[#This Row],[pagameto]])+E92</f>
        <v>0</v>
      </c>
      <c r="G91" s="124"/>
      <c r="H91" s="196"/>
      <c r="I91" s="123"/>
      <c r="L91" s="46" t="s">
        <v>22</v>
      </c>
      <c r="M91" s="239" t="s">
        <v>46</v>
      </c>
      <c r="N91" s="57" t="s">
        <v>12</v>
      </c>
      <c r="O91" s="60">
        <v>1</v>
      </c>
      <c r="P91" s="182">
        <v>-14.5</v>
      </c>
      <c r="Q91" s="58">
        <v>0.6666666666666643</v>
      </c>
      <c r="R91" s="59">
        <v>46191</v>
      </c>
      <c r="S91" s="57" t="s">
        <v>294</v>
      </c>
      <c r="T91" s="57" t="s">
        <v>148</v>
      </c>
    </row>
    <row r="92" spans="1:20" x14ac:dyDescent="0.25">
      <c r="A92" s="112">
        <f t="shared" ca="1" si="1"/>
        <v>46158</v>
      </c>
      <c r="B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2" s="189">
        <f ca="1">IF(Tabela58[[#This Row],[valor]]="",0,Tabela58[[#This Row],[valor]])+IF(Tabela58[[#This Row],[pagameto]]="",0,Tabela58[[#This Row],[pagameto]])+E93</f>
        <v>0</v>
      </c>
      <c r="G92" s="124"/>
      <c r="H92" s="196"/>
      <c r="I92" s="123"/>
      <c r="L92" s="46" t="s">
        <v>22</v>
      </c>
      <c r="M92" s="239" t="s">
        <v>46</v>
      </c>
      <c r="N92" s="57" t="s">
        <v>11</v>
      </c>
      <c r="O92" s="60">
        <v>13</v>
      </c>
      <c r="P92" s="182">
        <v>-201.5</v>
      </c>
      <c r="Q92" s="58">
        <v>10.346153846153895</v>
      </c>
      <c r="R92" s="59">
        <v>46191</v>
      </c>
      <c r="S92" s="57" t="s">
        <v>294</v>
      </c>
      <c r="T92" s="57" t="s">
        <v>148</v>
      </c>
    </row>
    <row r="93" spans="1:20" x14ac:dyDescent="0.25">
      <c r="A93" s="112">
        <f t="shared" ca="1" si="1"/>
        <v>46157</v>
      </c>
      <c r="B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3" s="189">
        <f ca="1">IF(Tabela58[[#This Row],[valor]]="",0,Tabela58[[#This Row],[valor]])+IF(Tabela58[[#This Row],[pagameto]]="",0,Tabela58[[#This Row],[pagameto]])+E94</f>
        <v>0</v>
      </c>
      <c r="G93" s="124"/>
      <c r="H93" s="196"/>
      <c r="I93" s="123"/>
      <c r="L93" s="46" t="s">
        <v>22</v>
      </c>
      <c r="M93" s="239" t="s">
        <v>46</v>
      </c>
      <c r="N93" s="57" t="s">
        <v>13</v>
      </c>
      <c r="O93" s="60">
        <v>1</v>
      </c>
      <c r="P93" s="182">
        <v>-19</v>
      </c>
      <c r="Q93" s="58">
        <v>3.1666666666666661</v>
      </c>
      <c r="R93" s="59">
        <v>46191</v>
      </c>
      <c r="S93" s="57" t="s">
        <v>294</v>
      </c>
      <c r="T93" s="57" t="s">
        <v>148</v>
      </c>
    </row>
    <row r="94" spans="1:20" x14ac:dyDescent="0.25">
      <c r="A94" s="112">
        <f t="shared" ca="1" si="1"/>
        <v>46156</v>
      </c>
      <c r="B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4" s="189">
        <f ca="1">IF(Tabela58[[#This Row],[valor]]="",0,Tabela58[[#This Row],[valor]])+IF(Tabela58[[#This Row],[pagameto]]="",0,Tabela58[[#This Row],[pagameto]])+E95</f>
        <v>0</v>
      </c>
      <c r="G94" s="124"/>
      <c r="H94" s="196"/>
      <c r="I94" s="123"/>
      <c r="L94" s="46"/>
      <c r="M94" s="63" t="s">
        <v>46</v>
      </c>
      <c r="N94" s="63" t="s">
        <v>41</v>
      </c>
      <c r="O94" s="63" t="s">
        <v>38</v>
      </c>
      <c r="P94" s="150">
        <v>204</v>
      </c>
      <c r="Q94" s="180">
        <v>0</v>
      </c>
      <c r="R94" s="59">
        <v>46191</v>
      </c>
      <c r="S94" s="63" t="s">
        <v>294</v>
      </c>
      <c r="T94" s="63" t="s">
        <v>148</v>
      </c>
    </row>
    <row r="95" spans="1:20" x14ac:dyDescent="0.25">
      <c r="A95" s="112">
        <f t="shared" ca="1" si="1"/>
        <v>46155</v>
      </c>
      <c r="B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5" s="189">
        <f ca="1">IF(Tabela58[[#This Row],[valor]]="",0,Tabela58[[#This Row],[valor]])+IF(Tabela58[[#This Row],[pagameto]]="",0,Tabela58[[#This Row],[pagameto]])+E96</f>
        <v>0</v>
      </c>
      <c r="G95" s="124"/>
      <c r="H95" s="196"/>
      <c r="I95" s="123"/>
      <c r="L95" s="46" t="s">
        <v>295</v>
      </c>
      <c r="M95" s="239" t="s">
        <v>275</v>
      </c>
      <c r="N95" s="57" t="s">
        <v>13</v>
      </c>
      <c r="O95" s="60">
        <v>2</v>
      </c>
      <c r="P95" s="182">
        <v>-40</v>
      </c>
      <c r="Q95" s="58">
        <v>8.3333333333333321</v>
      </c>
      <c r="R95" s="59">
        <v>46189</v>
      </c>
      <c r="S95" s="57" t="s">
        <v>290</v>
      </c>
      <c r="T95" s="57" t="s">
        <v>148</v>
      </c>
    </row>
    <row r="96" spans="1:20" x14ac:dyDescent="0.25">
      <c r="A96" s="112">
        <f t="shared" ca="1" si="1"/>
        <v>46154</v>
      </c>
      <c r="B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6" s="189">
        <f ca="1">IF(Tabela58[[#This Row],[valor]]="",0,Tabela58[[#This Row],[valor]])+IF(Tabela58[[#This Row],[pagameto]]="",0,Tabela58[[#This Row],[pagameto]])+E97</f>
        <v>0</v>
      </c>
      <c r="G96" s="124"/>
      <c r="H96" s="196"/>
      <c r="I96" s="123"/>
      <c r="L96" s="46"/>
      <c r="M96" s="63" t="s">
        <v>46</v>
      </c>
      <c r="N96" s="63" t="s">
        <v>41</v>
      </c>
      <c r="O96" s="63" t="s">
        <v>38</v>
      </c>
      <c r="P96" s="150">
        <v>204</v>
      </c>
      <c r="Q96" s="180">
        <v>0</v>
      </c>
      <c r="R96" s="59">
        <v>46188</v>
      </c>
      <c r="S96" s="63" t="s">
        <v>291</v>
      </c>
      <c r="T96" s="63" t="s">
        <v>148</v>
      </c>
    </row>
    <row r="97" spans="1:20" x14ac:dyDescent="0.25">
      <c r="A97" s="112">
        <f t="shared" ca="1" si="1"/>
        <v>46153</v>
      </c>
      <c r="B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7" s="189">
        <f ca="1">IF(Tabela58[[#This Row],[valor]]="",0,Tabela58[[#This Row],[valor]])+IF(Tabela58[[#This Row],[pagameto]]="",0,Tabela58[[#This Row],[pagameto]])+E98</f>
        <v>0</v>
      </c>
      <c r="G97" s="124"/>
      <c r="H97" s="196"/>
      <c r="I97" s="123"/>
      <c r="L97" s="46" t="s">
        <v>295</v>
      </c>
      <c r="M97" s="239" t="s">
        <v>46</v>
      </c>
      <c r="N97" s="57" t="s">
        <v>11</v>
      </c>
      <c r="O97" s="60">
        <v>12</v>
      </c>
      <c r="P97" s="182">
        <v>-204</v>
      </c>
      <c r="Q97" s="58">
        <v>27.55029585798821</v>
      </c>
      <c r="R97" s="59">
        <v>46188</v>
      </c>
      <c r="S97" s="57" t="s">
        <v>291</v>
      </c>
      <c r="T97" s="57" t="s">
        <v>148</v>
      </c>
    </row>
    <row r="98" spans="1:20" x14ac:dyDescent="0.25">
      <c r="A98" s="112">
        <f t="shared" ca="1" si="1"/>
        <v>46152</v>
      </c>
      <c r="B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8" s="189">
        <f ca="1">IF(Tabela58[[#This Row],[valor]]="",0,Tabela58[[#This Row],[valor]])+IF(Tabela58[[#This Row],[pagameto]]="",0,Tabela58[[#This Row],[pagameto]])+E99</f>
        <v>0</v>
      </c>
      <c r="G98" s="124"/>
      <c r="H98" s="196"/>
      <c r="I98" s="123"/>
      <c r="L98" s="46"/>
      <c r="M98" s="63" t="s">
        <v>49</v>
      </c>
      <c r="N98" s="63" t="s">
        <v>39</v>
      </c>
      <c r="O98" s="63" t="s">
        <v>38</v>
      </c>
      <c r="P98" s="150">
        <v>192</v>
      </c>
      <c r="Q98" s="180">
        <v>-6.048</v>
      </c>
      <c r="R98" s="59">
        <v>46187</v>
      </c>
      <c r="S98" s="63" t="s">
        <v>93</v>
      </c>
      <c r="T98" s="63" t="s">
        <v>148</v>
      </c>
    </row>
    <row r="99" spans="1:20" x14ac:dyDescent="0.25">
      <c r="A99" s="112">
        <f t="shared" ca="1" si="1"/>
        <v>46151</v>
      </c>
      <c r="B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99" s="189">
        <f ca="1">IF(Tabela58[[#This Row],[valor]]="",0,Tabela58[[#This Row],[valor]])+IF(Tabela58[[#This Row],[pagameto]]="",0,Tabela58[[#This Row],[pagameto]])+E100</f>
        <v>0</v>
      </c>
      <c r="G99" s="124"/>
      <c r="H99" s="196"/>
      <c r="I99" s="123"/>
      <c r="L99" s="46" t="s">
        <v>22</v>
      </c>
      <c r="M99" s="239" t="s">
        <v>49</v>
      </c>
      <c r="N99" s="57" t="s">
        <v>11</v>
      </c>
      <c r="O99" s="60">
        <v>12</v>
      </c>
      <c r="P99" s="182">
        <v>-192</v>
      </c>
      <c r="Q99" s="58">
        <v>15.550295857988189</v>
      </c>
      <c r="R99" s="59">
        <v>46187</v>
      </c>
      <c r="S99" s="57" t="s">
        <v>93</v>
      </c>
      <c r="T99" s="57" t="s">
        <v>148</v>
      </c>
    </row>
    <row r="100" spans="1:20" x14ac:dyDescent="0.25">
      <c r="A100" s="112">
        <f t="shared" ca="1" si="1"/>
        <v>46150</v>
      </c>
      <c r="B1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0" s="189">
        <f ca="1">IF(Tabela58[[#This Row],[valor]]="",0,Tabela58[[#This Row],[valor]])+IF(Tabela58[[#This Row],[pagameto]]="",0,Tabela58[[#This Row],[pagameto]])+E101</f>
        <v>0</v>
      </c>
      <c r="G100" s="124"/>
      <c r="H100" s="196"/>
      <c r="I100" s="123"/>
      <c r="L100" s="46"/>
      <c r="M100" s="63" t="s">
        <v>47</v>
      </c>
      <c r="N100" s="63" t="s">
        <v>41</v>
      </c>
      <c r="O100" s="63" t="s">
        <v>38</v>
      </c>
      <c r="P100" s="150">
        <v>250</v>
      </c>
      <c r="Q100" s="180">
        <v>0</v>
      </c>
      <c r="R100" s="59">
        <v>46186</v>
      </c>
      <c r="S100" s="63" t="s">
        <v>92</v>
      </c>
      <c r="T100" s="63" t="s">
        <v>148</v>
      </c>
    </row>
    <row r="101" spans="1:20" x14ac:dyDescent="0.25">
      <c r="A101" s="112">
        <f t="shared" ca="1" si="1"/>
        <v>46149</v>
      </c>
      <c r="B10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1" s="189">
        <f ca="1">IF(Tabela58[[#This Row],[valor]]="",0,Tabela58[[#This Row],[valor]])+IF(Tabela58[[#This Row],[pagameto]]="",0,Tabela58[[#This Row],[pagameto]])+E102</f>
        <v>0</v>
      </c>
      <c r="G101" s="124"/>
      <c r="H101" s="196"/>
      <c r="I101" s="123"/>
      <c r="L101" s="46" t="s">
        <v>295</v>
      </c>
      <c r="M101" s="239" t="s">
        <v>47</v>
      </c>
      <c r="N101" s="57" t="s">
        <v>10</v>
      </c>
      <c r="O101" s="60">
        <v>12</v>
      </c>
      <c r="P101" s="182">
        <v>-216</v>
      </c>
      <c r="Q101" s="58">
        <v>30.680297279487704</v>
      </c>
      <c r="R101" s="59">
        <v>46186</v>
      </c>
      <c r="S101" s="57" t="s">
        <v>92</v>
      </c>
      <c r="T101" s="57" t="s">
        <v>148</v>
      </c>
    </row>
    <row r="102" spans="1:20" x14ac:dyDescent="0.25">
      <c r="A102" s="112">
        <f t="shared" ca="1" si="1"/>
        <v>46148</v>
      </c>
      <c r="B1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2" s="189">
        <f ca="1">IF(Tabela58[[#This Row],[valor]]="",0,Tabela58[[#This Row],[valor]])+IF(Tabela58[[#This Row],[pagameto]]="",0,Tabela58[[#This Row],[pagameto]])+E103</f>
        <v>0</v>
      </c>
      <c r="G102" s="124"/>
      <c r="H102" s="196"/>
      <c r="I102" s="123"/>
      <c r="L102" s="46" t="s">
        <v>22</v>
      </c>
      <c r="M102" s="239" t="s">
        <v>44</v>
      </c>
      <c r="N102" s="57" t="s">
        <v>10</v>
      </c>
      <c r="O102" s="60">
        <v>6</v>
      </c>
      <c r="P102" s="182">
        <v>-102</v>
      </c>
      <c r="Q102" s="58">
        <v>9.3401486397438518</v>
      </c>
      <c r="R102" s="59">
        <v>46185</v>
      </c>
      <c r="S102" s="57" t="s">
        <v>83</v>
      </c>
      <c r="T102" s="57" t="s">
        <v>148</v>
      </c>
    </row>
    <row r="103" spans="1:20" x14ac:dyDescent="0.25">
      <c r="A103" s="112">
        <f t="shared" ca="1" si="1"/>
        <v>46147</v>
      </c>
      <c r="B10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3" s="189">
        <f ca="1">IF(Tabela58[[#This Row],[valor]]="",0,Tabela58[[#This Row],[valor]])+IF(Tabela58[[#This Row],[pagameto]]="",0,Tabela58[[#This Row],[pagameto]])+E104</f>
        <v>0</v>
      </c>
      <c r="G103" s="124"/>
      <c r="H103" s="196"/>
      <c r="I103" s="123"/>
      <c r="L103" s="46"/>
      <c r="M103" s="63" t="s">
        <v>44</v>
      </c>
      <c r="N103" s="63" t="s">
        <v>41</v>
      </c>
      <c r="O103" s="63" t="s">
        <v>38</v>
      </c>
      <c r="P103" s="150">
        <v>12</v>
      </c>
      <c r="Q103" s="180">
        <v>0</v>
      </c>
      <c r="R103" s="59">
        <v>46185</v>
      </c>
      <c r="S103" s="63" t="s">
        <v>83</v>
      </c>
      <c r="T103" s="63" t="s">
        <v>148</v>
      </c>
    </row>
    <row r="104" spans="1:20" x14ac:dyDescent="0.25">
      <c r="A104" s="112">
        <f t="shared" ca="1" si="1"/>
        <v>46146</v>
      </c>
      <c r="B1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4" s="189">
        <f ca="1">IF(Tabela58[[#This Row],[valor]]="",0,Tabela58[[#This Row],[valor]])+IF(Tabela58[[#This Row],[pagameto]]="",0,Tabela58[[#This Row],[pagameto]])+E105</f>
        <v>0</v>
      </c>
      <c r="G104" s="124"/>
      <c r="H104" s="196"/>
      <c r="I104" s="123"/>
      <c r="L104" s="46"/>
      <c r="M104" s="63" t="s">
        <v>44</v>
      </c>
      <c r="N104" s="63" t="s">
        <v>42</v>
      </c>
      <c r="O104" s="63" t="s">
        <v>38</v>
      </c>
      <c r="P104" s="150">
        <v>90</v>
      </c>
      <c r="Q104" s="180">
        <v>0</v>
      </c>
      <c r="R104" s="59">
        <v>46185</v>
      </c>
      <c r="S104" s="63" t="s">
        <v>83</v>
      </c>
      <c r="T104" s="63" t="s">
        <v>148</v>
      </c>
    </row>
    <row r="105" spans="1:20" x14ac:dyDescent="0.25">
      <c r="A105" s="112">
        <f t="shared" ca="1" si="1"/>
        <v>46145</v>
      </c>
      <c r="B1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5" s="189">
        <f ca="1">IF(Tabela58[[#This Row],[valor]]="",0,Tabela58[[#This Row],[valor]])+IF(Tabela58[[#This Row],[pagameto]]="",0,Tabela58[[#This Row],[pagameto]])+E106</f>
        <v>0</v>
      </c>
      <c r="G105" s="124"/>
      <c r="H105" s="196"/>
      <c r="I105" s="123"/>
      <c r="L105" s="46" t="s">
        <v>295</v>
      </c>
      <c r="M105" s="239" t="s">
        <v>275</v>
      </c>
      <c r="N105" s="57" t="s">
        <v>11</v>
      </c>
      <c r="O105" s="60">
        <v>1</v>
      </c>
      <c r="P105" s="182">
        <v>-17</v>
      </c>
      <c r="Q105" s="58">
        <v>2.2958579881656824</v>
      </c>
      <c r="R105" s="59">
        <v>46184</v>
      </c>
      <c r="S105" s="57" t="s">
        <v>294</v>
      </c>
      <c r="T105" s="57" t="s">
        <v>148</v>
      </c>
    </row>
    <row r="106" spans="1:20" x14ac:dyDescent="0.25">
      <c r="A106" s="112">
        <f t="shared" ca="1" si="1"/>
        <v>46144</v>
      </c>
      <c r="B1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6" s="189">
        <f ca="1">IF(Tabela58[[#This Row],[valor]]="",0,Tabela58[[#This Row],[valor]])+IF(Tabela58[[#This Row],[pagameto]]="",0,Tabela58[[#This Row],[pagameto]])+E107</f>
        <v>0</v>
      </c>
      <c r="G106" s="124"/>
      <c r="H106" s="196"/>
      <c r="I106" s="123"/>
      <c r="L106" s="46"/>
      <c r="M106" s="63" t="s">
        <v>270</v>
      </c>
      <c r="N106" s="63" t="s">
        <v>42</v>
      </c>
      <c r="O106" s="63" t="s">
        <v>38</v>
      </c>
      <c r="P106" s="150">
        <v>22</v>
      </c>
      <c r="Q106" s="180">
        <v>0</v>
      </c>
      <c r="R106" s="59">
        <v>46184</v>
      </c>
      <c r="S106" s="63" t="s">
        <v>294</v>
      </c>
      <c r="T106" s="63" t="s">
        <v>148</v>
      </c>
    </row>
    <row r="107" spans="1:20" x14ac:dyDescent="0.25">
      <c r="A107" s="112">
        <f t="shared" ca="1" si="1"/>
        <v>46143</v>
      </c>
      <c r="B1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7" s="189">
        <f ca="1">IF(Tabela58[[#This Row],[valor]]="",0,Tabela58[[#This Row],[valor]])+IF(Tabela58[[#This Row],[pagameto]]="",0,Tabela58[[#This Row],[pagameto]])+E108</f>
        <v>0</v>
      </c>
      <c r="G107" s="124"/>
      <c r="H107" s="196"/>
      <c r="I107" s="123"/>
      <c r="L107" s="46"/>
      <c r="M107" s="63" t="s">
        <v>44</v>
      </c>
      <c r="N107" s="63" t="s">
        <v>42</v>
      </c>
      <c r="O107" s="63" t="s">
        <v>38</v>
      </c>
      <c r="P107" s="150">
        <v>102</v>
      </c>
      <c r="Q107" s="180">
        <v>0</v>
      </c>
      <c r="R107" s="59">
        <v>46183</v>
      </c>
      <c r="S107" s="63" t="s">
        <v>32</v>
      </c>
      <c r="T107" s="63" t="s">
        <v>148</v>
      </c>
    </row>
    <row r="108" spans="1:20" x14ac:dyDescent="0.25">
      <c r="A108" s="112">
        <f t="shared" ca="1" si="1"/>
        <v>46142</v>
      </c>
      <c r="B1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8" s="189">
        <f ca="1">IF(Tabela58[[#This Row],[valor]]="",0,Tabela58[[#This Row],[valor]])+IF(Tabela58[[#This Row],[pagameto]]="",0,Tabela58[[#This Row],[pagameto]])+E109</f>
        <v>0</v>
      </c>
      <c r="G108" s="124"/>
      <c r="H108" s="196"/>
      <c r="I108" s="123"/>
      <c r="L108" s="46" t="s">
        <v>22</v>
      </c>
      <c r="M108" s="239" t="s">
        <v>44</v>
      </c>
      <c r="N108" s="57" t="s">
        <v>10</v>
      </c>
      <c r="O108" s="60">
        <v>6</v>
      </c>
      <c r="P108" s="182">
        <v>-102</v>
      </c>
      <c r="Q108" s="58">
        <v>9.3401486397438624</v>
      </c>
      <c r="R108" s="59">
        <v>46183</v>
      </c>
      <c r="S108" s="57" t="s">
        <v>32</v>
      </c>
      <c r="T108" s="57" t="s">
        <v>148</v>
      </c>
    </row>
    <row r="109" spans="1:20" x14ac:dyDescent="0.25">
      <c r="A109" s="112">
        <f t="shared" ca="1" si="1"/>
        <v>46141</v>
      </c>
      <c r="B1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09" s="189">
        <f ca="1">IF(Tabela58[[#This Row],[valor]]="",0,Tabela58[[#This Row],[valor]])+IF(Tabela58[[#This Row],[pagameto]]="",0,Tabela58[[#This Row],[pagameto]])+E110</f>
        <v>0</v>
      </c>
      <c r="G109" s="124"/>
      <c r="H109" s="196"/>
      <c r="I109" s="123"/>
      <c r="L109" s="46"/>
      <c r="M109" s="63" t="s">
        <v>44</v>
      </c>
      <c r="N109" s="63" t="s">
        <v>39</v>
      </c>
      <c r="O109" s="63" t="s">
        <v>38</v>
      </c>
      <c r="P109" s="150">
        <v>192</v>
      </c>
      <c r="Q109" s="180">
        <v>-6.048</v>
      </c>
      <c r="R109" s="59">
        <v>46182</v>
      </c>
      <c r="S109" s="63" t="s">
        <v>290</v>
      </c>
      <c r="T109" s="63" t="s">
        <v>148</v>
      </c>
    </row>
    <row r="110" spans="1:20" x14ac:dyDescent="0.25">
      <c r="A110" s="112">
        <f t="shared" ca="1" si="1"/>
        <v>46140</v>
      </c>
      <c r="B1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0" s="189">
        <f ca="1">IF(Tabela58[[#This Row],[valor]]="",0,Tabela58[[#This Row],[valor]])+IF(Tabela58[[#This Row],[pagameto]]="",0,Tabela58[[#This Row],[pagameto]])+E111</f>
        <v>0</v>
      </c>
      <c r="G110" s="124"/>
      <c r="H110" s="196"/>
      <c r="I110" s="123"/>
      <c r="L110" s="46" t="s">
        <v>22</v>
      </c>
      <c r="M110" s="239" t="s">
        <v>44</v>
      </c>
      <c r="N110" s="57" t="s">
        <v>11</v>
      </c>
      <c r="O110" s="60">
        <v>12</v>
      </c>
      <c r="P110" s="182">
        <v>-192</v>
      </c>
      <c r="Q110" s="58">
        <v>15.550295857988189</v>
      </c>
      <c r="R110" s="59">
        <v>46182</v>
      </c>
      <c r="S110" s="57" t="s">
        <v>290</v>
      </c>
      <c r="T110" s="57" t="s">
        <v>148</v>
      </c>
    </row>
    <row r="111" spans="1:20" x14ac:dyDescent="0.25">
      <c r="A111" s="112">
        <f t="shared" ca="1" si="1"/>
        <v>46139</v>
      </c>
      <c r="B1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1" s="189">
        <f ca="1">IF(Tabela58[[#This Row],[valor]]="",0,Tabela58[[#This Row],[valor]])+IF(Tabela58[[#This Row],[pagameto]]="",0,Tabela58[[#This Row],[pagameto]])+E112</f>
        <v>0</v>
      </c>
      <c r="G111" s="124"/>
      <c r="H111" s="196"/>
      <c r="I111" s="123"/>
      <c r="L111" s="46"/>
      <c r="M111" s="63" t="s">
        <v>328</v>
      </c>
      <c r="N111" s="63" t="s">
        <v>42</v>
      </c>
      <c r="O111" s="63" t="s">
        <v>38</v>
      </c>
      <c r="P111" s="150">
        <v>15</v>
      </c>
      <c r="Q111" s="180">
        <v>0</v>
      </c>
      <c r="R111" s="59">
        <v>46182</v>
      </c>
      <c r="S111" s="63" t="s">
        <v>290</v>
      </c>
      <c r="T111" s="63" t="s">
        <v>148</v>
      </c>
    </row>
    <row r="112" spans="1:20" x14ac:dyDescent="0.25">
      <c r="A112" s="112">
        <f t="shared" ca="1" si="1"/>
        <v>46138</v>
      </c>
      <c r="B1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2" s="189">
        <f ca="1">IF(Tabela58[[#This Row],[valor]]="",0,Tabela58[[#This Row],[valor]])+IF(Tabela58[[#This Row],[pagameto]]="",0,Tabela58[[#This Row],[pagameto]])+E113</f>
        <v>0</v>
      </c>
      <c r="G112" s="124"/>
      <c r="H112" s="196"/>
      <c r="I112" s="123"/>
      <c r="L112" s="46"/>
      <c r="M112" s="63" t="s">
        <v>350</v>
      </c>
      <c r="N112" s="63" t="s">
        <v>41</v>
      </c>
      <c r="O112" s="63" t="s">
        <v>38</v>
      </c>
      <c r="P112" s="150">
        <v>200</v>
      </c>
      <c r="Q112" s="180">
        <v>0</v>
      </c>
      <c r="R112" s="59">
        <v>46182</v>
      </c>
      <c r="S112" s="63" t="s">
        <v>290</v>
      </c>
      <c r="T112" s="63" t="s">
        <v>148</v>
      </c>
    </row>
    <row r="113" spans="1:20" x14ac:dyDescent="0.25">
      <c r="A113" s="112">
        <f t="shared" ca="1" si="1"/>
        <v>46137</v>
      </c>
      <c r="B1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3" s="189">
        <f ca="1">IF(Tabela58[[#This Row],[valor]]="",0,Tabela58[[#This Row],[valor]])+IF(Tabela58[[#This Row],[pagameto]]="",0,Tabela58[[#This Row],[pagameto]])+E114</f>
        <v>0</v>
      </c>
      <c r="G113" s="124"/>
      <c r="H113" s="196"/>
      <c r="I113" s="123"/>
      <c r="L113" s="46" t="s">
        <v>295</v>
      </c>
      <c r="M113" s="239" t="s">
        <v>46</v>
      </c>
      <c r="N113" s="57" t="s">
        <v>11</v>
      </c>
      <c r="O113" s="60">
        <v>12</v>
      </c>
      <c r="P113" s="182">
        <v>-204</v>
      </c>
      <c r="Q113" s="58">
        <v>27.550295857988189</v>
      </c>
      <c r="R113" s="59">
        <v>46181</v>
      </c>
      <c r="S113" s="57" t="s">
        <v>291</v>
      </c>
      <c r="T113" s="57" t="s">
        <v>148</v>
      </c>
    </row>
    <row r="114" spans="1:20" x14ac:dyDescent="0.25">
      <c r="A114" s="112">
        <f t="shared" ca="1" si="1"/>
        <v>46136</v>
      </c>
      <c r="B1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4" s="189">
        <f ca="1">IF(Tabela58[[#This Row],[valor]]="",0,Tabela58[[#This Row],[valor]])+IF(Tabela58[[#This Row],[pagameto]]="",0,Tabela58[[#This Row],[pagameto]])+E115</f>
        <v>0</v>
      </c>
      <c r="G114" s="124"/>
      <c r="H114" s="196"/>
      <c r="I114" s="123"/>
      <c r="L114" s="46"/>
      <c r="M114" s="63" t="s">
        <v>48</v>
      </c>
      <c r="N114" s="63" t="s">
        <v>41</v>
      </c>
      <c r="O114" s="63" t="s">
        <v>38</v>
      </c>
      <c r="P114" s="150">
        <v>216</v>
      </c>
      <c r="Q114" s="180">
        <v>0</v>
      </c>
      <c r="R114" s="59">
        <v>46181</v>
      </c>
      <c r="S114" s="63" t="s">
        <v>291</v>
      </c>
      <c r="T114" s="63" t="s">
        <v>148</v>
      </c>
    </row>
    <row r="115" spans="1:20" x14ac:dyDescent="0.25">
      <c r="A115" s="112">
        <f t="shared" ca="1" si="1"/>
        <v>46135</v>
      </c>
      <c r="B1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5" s="189">
        <f ca="1">IF(Tabela58[[#This Row],[valor]]="",0,Tabela58[[#This Row],[valor]])+IF(Tabela58[[#This Row],[pagameto]]="",0,Tabela58[[#This Row],[pagameto]])+E116</f>
        <v>0</v>
      </c>
      <c r="G115" s="124"/>
      <c r="H115" s="196"/>
      <c r="I115" s="123"/>
      <c r="L115" s="46" t="s">
        <v>295</v>
      </c>
      <c r="M115" s="239" t="s">
        <v>275</v>
      </c>
      <c r="N115" s="57" t="s">
        <v>11</v>
      </c>
      <c r="O115" s="60">
        <v>2</v>
      </c>
      <c r="P115" s="182">
        <v>-36</v>
      </c>
      <c r="Q115" s="58">
        <v>6.5917159763313649</v>
      </c>
      <c r="R115" s="59">
        <v>46179</v>
      </c>
      <c r="S115" s="57" t="s">
        <v>92</v>
      </c>
      <c r="T115" s="57" t="s">
        <v>148</v>
      </c>
    </row>
    <row r="116" spans="1:20" x14ac:dyDescent="0.25">
      <c r="A116" s="112">
        <f t="shared" ca="1" si="1"/>
        <v>46134</v>
      </c>
      <c r="B1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6" s="189">
        <f ca="1">IF(Tabela58[[#This Row],[valor]]="",0,Tabela58[[#This Row],[valor]])+IF(Tabela58[[#This Row],[pagameto]]="",0,Tabela58[[#This Row],[pagameto]])+E117</f>
        <v>0</v>
      </c>
      <c r="G116" s="124"/>
      <c r="H116" s="196"/>
      <c r="I116" s="123"/>
      <c r="L116" s="46" t="s">
        <v>295</v>
      </c>
      <c r="M116" s="239" t="s">
        <v>270</v>
      </c>
      <c r="N116" s="57" t="s">
        <v>14</v>
      </c>
      <c r="O116" s="60">
        <v>1</v>
      </c>
      <c r="P116" s="182">
        <v>-22</v>
      </c>
      <c r="Q116" s="58">
        <v>4.5875904159131977</v>
      </c>
      <c r="R116" s="59">
        <v>46179</v>
      </c>
      <c r="S116" s="57" t="s">
        <v>92</v>
      </c>
      <c r="T116" s="57" t="s">
        <v>148</v>
      </c>
    </row>
    <row r="117" spans="1:20" x14ac:dyDescent="0.25">
      <c r="A117" s="112">
        <f t="shared" ca="1" si="1"/>
        <v>46133</v>
      </c>
      <c r="B1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7" s="189">
        <f ca="1">IF(Tabela58[[#This Row],[valor]]="",0,Tabela58[[#This Row],[valor]])+IF(Tabela58[[#This Row],[pagameto]]="",0,Tabela58[[#This Row],[pagameto]])+E118</f>
        <v>0</v>
      </c>
      <c r="G117" s="124"/>
      <c r="H117" s="196"/>
      <c r="I117" s="123"/>
      <c r="L117" s="46"/>
      <c r="M117" s="63" t="s">
        <v>47</v>
      </c>
      <c r="N117" s="63" t="s">
        <v>41</v>
      </c>
      <c r="O117" s="63" t="s">
        <v>38</v>
      </c>
      <c r="P117" s="150">
        <v>250</v>
      </c>
      <c r="Q117" s="180">
        <v>0</v>
      </c>
      <c r="R117" s="59">
        <v>46178</v>
      </c>
      <c r="S117" s="63" t="s">
        <v>83</v>
      </c>
      <c r="T117" s="63" t="s">
        <v>148</v>
      </c>
    </row>
    <row r="118" spans="1:20" x14ac:dyDescent="0.25">
      <c r="A118" s="112">
        <f t="shared" ca="1" si="1"/>
        <v>46132</v>
      </c>
      <c r="B1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8" s="189">
        <f ca="1">IF(Tabela58[[#This Row],[valor]]="",0,Tabela58[[#This Row],[valor]])+IF(Tabela58[[#This Row],[pagameto]]="",0,Tabela58[[#This Row],[pagameto]])+E119</f>
        <v>0</v>
      </c>
      <c r="G118" s="124"/>
      <c r="H118" s="196"/>
      <c r="I118" s="123"/>
      <c r="L118" s="46" t="s">
        <v>295</v>
      </c>
      <c r="M118" s="239" t="s">
        <v>47</v>
      </c>
      <c r="N118" s="57" t="s">
        <v>10</v>
      </c>
      <c r="O118" s="60">
        <v>12</v>
      </c>
      <c r="P118" s="182">
        <v>-228</v>
      </c>
      <c r="Q118" s="58">
        <v>42.680297279487704</v>
      </c>
      <c r="R118" s="59">
        <v>46178</v>
      </c>
      <c r="S118" s="57" t="s">
        <v>83</v>
      </c>
      <c r="T118" s="57" t="s">
        <v>148</v>
      </c>
    </row>
    <row r="119" spans="1:20" x14ac:dyDescent="0.25">
      <c r="A119" s="112">
        <f t="shared" ca="1" si="1"/>
        <v>46131</v>
      </c>
      <c r="B1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19" s="189">
        <f ca="1">IF(Tabela58[[#This Row],[valor]]="",0,Tabela58[[#This Row],[valor]])+IF(Tabela58[[#This Row],[pagameto]]="",0,Tabela58[[#This Row],[pagameto]])+E120</f>
        <v>0</v>
      </c>
      <c r="G119" s="124"/>
      <c r="H119" s="196"/>
      <c r="I119" s="123"/>
      <c r="L119" s="46"/>
      <c r="M119" s="63" t="s">
        <v>46</v>
      </c>
      <c r="N119" s="63" t="s">
        <v>41</v>
      </c>
      <c r="O119" s="63" t="s">
        <v>38</v>
      </c>
      <c r="P119" s="150">
        <v>328.5</v>
      </c>
      <c r="Q119" s="180">
        <v>0</v>
      </c>
      <c r="R119" s="59">
        <v>46176</v>
      </c>
      <c r="S119" s="63" t="s">
        <v>32</v>
      </c>
      <c r="T119" s="63" t="s">
        <v>148</v>
      </c>
    </row>
    <row r="120" spans="1:20" x14ac:dyDescent="0.25">
      <c r="A120" s="112">
        <f t="shared" ca="1" si="1"/>
        <v>46130</v>
      </c>
      <c r="B1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0" s="189">
        <f ca="1">IF(Tabela58[[#This Row],[valor]]="",0,Tabela58[[#This Row],[valor]])+IF(Tabela58[[#This Row],[pagameto]]="",0,Tabela58[[#This Row],[pagameto]])+E121</f>
        <v>0</v>
      </c>
      <c r="G120" s="124"/>
      <c r="H120" s="196"/>
      <c r="I120" s="123"/>
      <c r="L120" s="46" t="s">
        <v>295</v>
      </c>
      <c r="M120" s="239" t="s">
        <v>275</v>
      </c>
      <c r="N120" s="57" t="s">
        <v>10</v>
      </c>
      <c r="O120" s="60">
        <v>1</v>
      </c>
      <c r="P120" s="182">
        <v>-19</v>
      </c>
      <c r="Q120" s="58">
        <v>3.5566914399573069</v>
      </c>
      <c r="R120" s="59">
        <v>46175</v>
      </c>
      <c r="S120" s="57" t="s">
        <v>290</v>
      </c>
      <c r="T120" s="57" t="s">
        <v>148</v>
      </c>
    </row>
    <row r="121" spans="1:20" x14ac:dyDescent="0.25">
      <c r="A121" s="112">
        <f t="shared" ca="1" si="1"/>
        <v>46129</v>
      </c>
      <c r="B1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1" s="189">
        <f ca="1">IF(Tabela58[[#This Row],[valor]]="",0,Tabela58[[#This Row],[valor]])+IF(Tabela58[[#This Row],[pagameto]]="",0,Tabela58[[#This Row],[pagameto]])+E122</f>
        <v>0</v>
      </c>
      <c r="G121" s="124"/>
      <c r="H121" s="196"/>
      <c r="I121" s="123"/>
      <c r="L121" s="46"/>
      <c r="M121" s="63" t="s">
        <v>275</v>
      </c>
      <c r="N121" s="63" t="s">
        <v>40</v>
      </c>
      <c r="O121" s="63" t="s">
        <v>38</v>
      </c>
      <c r="P121" s="150">
        <v>143</v>
      </c>
      <c r="Q121" s="180">
        <v>-1.9591000000000001</v>
      </c>
      <c r="R121" s="59">
        <v>46174</v>
      </c>
      <c r="S121" s="63" t="s">
        <v>291</v>
      </c>
      <c r="T121" s="63" t="s">
        <v>148</v>
      </c>
    </row>
    <row r="122" spans="1:20" x14ac:dyDescent="0.25">
      <c r="A122" s="112">
        <f t="shared" ca="1" si="1"/>
        <v>46128</v>
      </c>
      <c r="B1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2" s="189">
        <f ca="1">IF(Tabela58[[#This Row],[valor]]="",0,Tabela58[[#This Row],[valor]])+IF(Tabela58[[#This Row],[pagameto]]="",0,Tabela58[[#This Row],[pagameto]])+E123</f>
        <v>0</v>
      </c>
      <c r="G122" s="124"/>
      <c r="H122" s="196"/>
      <c r="I122" s="123"/>
      <c r="L122" s="46"/>
      <c r="M122" s="63" t="s">
        <v>44</v>
      </c>
      <c r="N122" s="63" t="s">
        <v>41</v>
      </c>
      <c r="O122" s="63" t="s">
        <v>38</v>
      </c>
      <c r="P122" s="150">
        <v>126</v>
      </c>
      <c r="Q122" s="180">
        <v>0</v>
      </c>
      <c r="R122" s="59">
        <v>46173</v>
      </c>
      <c r="S122" s="63" t="s">
        <v>93</v>
      </c>
      <c r="T122" s="63" t="s">
        <v>147</v>
      </c>
    </row>
    <row r="123" spans="1:20" x14ac:dyDescent="0.25">
      <c r="A123" s="112">
        <f t="shared" ca="1" si="1"/>
        <v>46127</v>
      </c>
      <c r="B1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3" s="189">
        <f ca="1">IF(Tabela58[[#This Row],[valor]]="",0,Tabela58[[#This Row],[valor]])+IF(Tabela58[[#This Row],[pagameto]]="",0,Tabela58[[#This Row],[pagameto]])+E124</f>
        <v>0</v>
      </c>
      <c r="G123" s="124"/>
      <c r="H123" s="196"/>
      <c r="I123" s="123"/>
      <c r="L123" s="46" t="s">
        <v>22</v>
      </c>
      <c r="M123" s="239" t="s">
        <v>44</v>
      </c>
      <c r="N123" s="57" t="s">
        <v>14</v>
      </c>
      <c r="O123" s="60">
        <v>6</v>
      </c>
      <c r="P123" s="182">
        <v>-126</v>
      </c>
      <c r="Q123" s="58">
        <v>21.525542495479186</v>
      </c>
      <c r="R123" s="59">
        <v>46173</v>
      </c>
      <c r="S123" s="57" t="s">
        <v>93</v>
      </c>
      <c r="T123" s="57" t="s">
        <v>147</v>
      </c>
    </row>
    <row r="124" spans="1:20" x14ac:dyDescent="0.25">
      <c r="A124" s="112">
        <f t="shared" ca="1" si="1"/>
        <v>46126</v>
      </c>
      <c r="B1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4" s="189">
        <f ca="1">IF(Tabela58[[#This Row],[valor]]="",0,Tabela58[[#This Row],[valor]])+IF(Tabela58[[#This Row],[pagameto]]="",0,Tabela58[[#This Row],[pagameto]])+E125</f>
        <v>0</v>
      </c>
      <c r="G124" s="124"/>
      <c r="H124" s="196"/>
      <c r="I124" s="123"/>
      <c r="L124" s="46" t="s">
        <v>22</v>
      </c>
      <c r="M124" s="239" t="s">
        <v>48</v>
      </c>
      <c r="N124" s="57" t="s">
        <v>10</v>
      </c>
      <c r="O124" s="60">
        <v>12</v>
      </c>
      <c r="P124" s="182">
        <v>-216</v>
      </c>
      <c r="Q124" s="58">
        <v>28.762080956413563</v>
      </c>
      <c r="R124" s="59">
        <v>46173</v>
      </c>
      <c r="S124" s="57" t="s">
        <v>93</v>
      </c>
      <c r="T124" s="57" t="s">
        <v>147</v>
      </c>
    </row>
    <row r="125" spans="1:20" x14ac:dyDescent="0.25">
      <c r="A125" s="112">
        <f t="shared" ca="1" si="1"/>
        <v>46125</v>
      </c>
      <c r="B1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5" s="189">
        <f ca="1">IF(Tabela58[[#This Row],[valor]]="",0,Tabela58[[#This Row],[valor]])+IF(Tabela58[[#This Row],[pagameto]]="",0,Tabela58[[#This Row],[pagameto]])+E126</f>
        <v>0</v>
      </c>
      <c r="G125" s="124"/>
      <c r="H125" s="196"/>
      <c r="I125" s="123"/>
      <c r="L125" s="46" t="s">
        <v>295</v>
      </c>
      <c r="M125" s="239" t="s">
        <v>47</v>
      </c>
      <c r="N125" s="57" t="s">
        <v>10</v>
      </c>
      <c r="O125" s="60">
        <v>12</v>
      </c>
      <c r="P125" s="182">
        <v>-228</v>
      </c>
      <c r="Q125" s="58">
        <v>40.762080956413541</v>
      </c>
      <c r="R125" s="59">
        <v>46170</v>
      </c>
      <c r="S125" s="57" t="s">
        <v>294</v>
      </c>
      <c r="T125" s="57" t="s">
        <v>147</v>
      </c>
    </row>
    <row r="126" spans="1:20" x14ac:dyDescent="0.25">
      <c r="A126" s="112">
        <f t="shared" ca="1" si="1"/>
        <v>46124</v>
      </c>
      <c r="B1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6" s="189">
        <f ca="1">IF(Tabela58[[#This Row],[valor]]="",0,Tabela58[[#This Row],[valor]])+IF(Tabela58[[#This Row],[pagameto]]="",0,Tabela58[[#This Row],[pagameto]])+E127</f>
        <v>0</v>
      </c>
      <c r="G126" s="124"/>
      <c r="H126" s="196"/>
      <c r="I126" s="123"/>
      <c r="L126" s="46"/>
      <c r="M126" s="63" t="s">
        <v>270</v>
      </c>
      <c r="N126" s="63" t="s">
        <v>42</v>
      </c>
      <c r="O126" s="63" t="s">
        <v>38</v>
      </c>
      <c r="P126" s="150">
        <v>23</v>
      </c>
      <c r="Q126" s="180">
        <v>0</v>
      </c>
      <c r="R126" s="59">
        <v>46169</v>
      </c>
      <c r="S126" s="63" t="s">
        <v>32</v>
      </c>
      <c r="T126" s="63" t="s">
        <v>147</v>
      </c>
    </row>
    <row r="127" spans="1:20" x14ac:dyDescent="0.25">
      <c r="A127" s="112">
        <f t="shared" ca="1" si="1"/>
        <v>46123</v>
      </c>
      <c r="B1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7" s="189">
        <f ca="1">IF(Tabela58[[#This Row],[valor]]="",0,Tabela58[[#This Row],[valor]])+IF(Tabela58[[#This Row],[pagameto]]="",0,Tabela58[[#This Row],[pagameto]])+E128</f>
        <v>0</v>
      </c>
      <c r="G127" s="124"/>
      <c r="H127" s="196"/>
      <c r="I127" s="123"/>
      <c r="L127" s="46"/>
      <c r="M127" s="63" t="s">
        <v>47</v>
      </c>
      <c r="N127" s="63" t="s">
        <v>41</v>
      </c>
      <c r="O127" s="63" t="s">
        <v>38</v>
      </c>
      <c r="P127" s="150">
        <v>250</v>
      </c>
      <c r="Q127" s="180">
        <v>0</v>
      </c>
      <c r="R127" s="59">
        <v>46169</v>
      </c>
      <c r="S127" s="63" t="s">
        <v>32</v>
      </c>
      <c r="T127" s="63" t="s">
        <v>147</v>
      </c>
    </row>
    <row r="128" spans="1:20" x14ac:dyDescent="0.25">
      <c r="A128" s="112">
        <f t="shared" ca="1" si="1"/>
        <v>46122</v>
      </c>
      <c r="B1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8" s="189">
        <f ca="1">IF(Tabela58[[#This Row],[valor]]="",0,Tabela58[[#This Row],[valor]])+IF(Tabela58[[#This Row],[pagameto]]="",0,Tabela58[[#This Row],[pagameto]])+E129</f>
        <v>0</v>
      </c>
      <c r="G128" s="124"/>
      <c r="H128" s="196"/>
      <c r="I128" s="123"/>
      <c r="L128" s="46" t="s">
        <v>22</v>
      </c>
      <c r="M128" s="239" t="s">
        <v>46</v>
      </c>
      <c r="N128" s="57" t="s">
        <v>11</v>
      </c>
      <c r="O128" s="60">
        <v>12</v>
      </c>
      <c r="P128" s="182">
        <v>-219</v>
      </c>
      <c r="Q128" s="58">
        <v>39</v>
      </c>
      <c r="R128" s="59">
        <v>46168</v>
      </c>
      <c r="S128" s="57" t="s">
        <v>290</v>
      </c>
      <c r="T128" s="57" t="s">
        <v>147</v>
      </c>
    </row>
    <row r="129" spans="1:20" x14ac:dyDescent="0.25">
      <c r="A129" s="112">
        <f t="shared" ca="1" si="1"/>
        <v>46121</v>
      </c>
      <c r="B1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29" s="189">
        <f ca="1">IF(Tabela58[[#This Row],[valor]]="",0,Tabela58[[#This Row],[valor]])+IF(Tabela58[[#This Row],[pagameto]]="",0,Tabela58[[#This Row],[pagameto]])+E130</f>
        <v>0</v>
      </c>
      <c r="G129" s="124"/>
      <c r="H129" s="196"/>
      <c r="I129" s="123"/>
      <c r="L129" s="46"/>
      <c r="M129" s="63" t="s">
        <v>46</v>
      </c>
      <c r="N129" s="63" t="s">
        <v>41</v>
      </c>
      <c r="O129" s="63" t="s">
        <v>38</v>
      </c>
      <c r="P129" s="150">
        <v>109.5</v>
      </c>
      <c r="Q129" s="180">
        <v>0</v>
      </c>
      <c r="R129" s="59">
        <v>46168</v>
      </c>
      <c r="S129" s="63" t="s">
        <v>290</v>
      </c>
      <c r="T129" s="63" t="s">
        <v>147</v>
      </c>
    </row>
    <row r="130" spans="1:20" x14ac:dyDescent="0.25">
      <c r="A130" s="112">
        <f t="shared" ca="1" si="1"/>
        <v>46120</v>
      </c>
      <c r="B1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0" s="189">
        <f ca="1">IF(Tabela58[[#This Row],[valor]]="",0,Tabela58[[#This Row],[valor]])+IF(Tabela58[[#This Row],[pagameto]]="",0,Tabela58[[#This Row],[pagameto]])+E131</f>
        <v>0</v>
      </c>
      <c r="G130" s="124"/>
      <c r="H130" s="196"/>
      <c r="I130" s="123"/>
      <c r="L130" s="46"/>
      <c r="M130" s="63" t="s">
        <v>49</v>
      </c>
      <c r="N130" s="63" t="s">
        <v>39</v>
      </c>
      <c r="O130" s="63" t="s">
        <v>38</v>
      </c>
      <c r="P130" s="150">
        <v>219</v>
      </c>
      <c r="Q130" s="180">
        <v>-6.8985000000000003</v>
      </c>
      <c r="R130" s="59">
        <v>46168</v>
      </c>
      <c r="S130" s="63" t="s">
        <v>290</v>
      </c>
      <c r="T130" s="63" t="s">
        <v>147</v>
      </c>
    </row>
    <row r="131" spans="1:20" x14ac:dyDescent="0.25">
      <c r="A131" s="112">
        <f t="shared" ca="1" si="1"/>
        <v>46119</v>
      </c>
      <c r="B1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1" s="189">
        <f ca="1">IF(Tabela58[[#This Row],[valor]]="",0,Tabela58[[#This Row],[valor]])+IF(Tabela58[[#This Row],[pagameto]]="",0,Tabela58[[#This Row],[pagameto]])+E132</f>
        <v>0</v>
      </c>
      <c r="G131" s="124"/>
      <c r="H131" s="196"/>
      <c r="I131" s="123"/>
      <c r="L131" s="46" t="s">
        <v>22</v>
      </c>
      <c r="M131" s="239" t="s">
        <v>49</v>
      </c>
      <c r="N131" s="57" t="s">
        <v>11</v>
      </c>
      <c r="O131" s="60">
        <v>12</v>
      </c>
      <c r="P131" s="182">
        <v>-219</v>
      </c>
      <c r="Q131" s="58">
        <v>39</v>
      </c>
      <c r="R131" s="59">
        <v>46168</v>
      </c>
      <c r="S131" s="57" t="s">
        <v>290</v>
      </c>
      <c r="T131" s="57" t="s">
        <v>147</v>
      </c>
    </row>
    <row r="132" spans="1:20" x14ac:dyDescent="0.25">
      <c r="A132" s="112">
        <f t="shared" ca="1" si="1"/>
        <v>46118</v>
      </c>
      <c r="B1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2" s="189">
        <f ca="1">IF(Tabela58[[#This Row],[valor]]="",0,Tabela58[[#This Row],[valor]])+IF(Tabela58[[#This Row],[pagameto]]="",0,Tabela58[[#This Row],[pagameto]])+E133</f>
        <v>0</v>
      </c>
      <c r="G132" s="124"/>
      <c r="H132" s="196"/>
      <c r="I132" s="123"/>
      <c r="L132" s="46" t="s">
        <v>295</v>
      </c>
      <c r="M132" s="239" t="s">
        <v>275</v>
      </c>
      <c r="N132" s="57" t="s">
        <v>10</v>
      </c>
      <c r="O132" s="60">
        <v>1</v>
      </c>
      <c r="P132" s="182">
        <v>-20</v>
      </c>
      <c r="Q132" s="58">
        <v>3.9664710328575907</v>
      </c>
      <c r="R132" s="59">
        <v>46166</v>
      </c>
      <c r="S132" s="57" t="s">
        <v>93</v>
      </c>
      <c r="T132" s="57" t="s">
        <v>147</v>
      </c>
    </row>
    <row r="133" spans="1:20" x14ac:dyDescent="0.25">
      <c r="A133" s="112">
        <f t="shared" ca="1" si="1"/>
        <v>46117</v>
      </c>
      <c r="B1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3" s="189">
        <f ca="1">IF(Tabela58[[#This Row],[valor]]="",0,Tabela58[[#This Row],[valor]])+IF(Tabela58[[#This Row],[pagameto]]="",0,Tabela58[[#This Row],[pagameto]])+E134</f>
        <v>0</v>
      </c>
      <c r="G133" s="124"/>
      <c r="H133" s="196"/>
      <c r="I133" s="123"/>
      <c r="L133" s="46" t="s">
        <v>295</v>
      </c>
      <c r="M133" s="239" t="s">
        <v>275</v>
      </c>
      <c r="N133" s="57" t="s">
        <v>10</v>
      </c>
      <c r="O133" s="60">
        <v>1</v>
      </c>
      <c r="P133" s="182">
        <v>-20</v>
      </c>
      <c r="Q133" s="58">
        <v>3.9664710328575907</v>
      </c>
      <c r="R133" s="59">
        <v>46166</v>
      </c>
      <c r="S133" s="57" t="s">
        <v>93</v>
      </c>
      <c r="T133" s="57" t="s">
        <v>147</v>
      </c>
    </row>
    <row r="134" spans="1:20" x14ac:dyDescent="0.25">
      <c r="A134" s="112">
        <f t="shared" ca="1" si="1"/>
        <v>46116</v>
      </c>
      <c r="B1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4" s="189">
        <f ca="1">IF(Tabela58[[#This Row],[valor]]="",0,Tabela58[[#This Row],[valor]])+IF(Tabela58[[#This Row],[pagameto]]="",0,Tabela58[[#This Row],[pagameto]])+E135</f>
        <v>0</v>
      </c>
      <c r="G134" s="124"/>
      <c r="H134" s="196"/>
      <c r="I134" s="123"/>
      <c r="L134" s="46"/>
      <c r="M134" s="63" t="s">
        <v>48</v>
      </c>
      <c r="N134" s="63" t="s">
        <v>41</v>
      </c>
      <c r="O134" s="63" t="s">
        <v>38</v>
      </c>
      <c r="P134" s="150">
        <v>228</v>
      </c>
      <c r="Q134" s="180">
        <v>0</v>
      </c>
      <c r="R134" s="59">
        <v>46165</v>
      </c>
      <c r="S134" s="63" t="s">
        <v>92</v>
      </c>
      <c r="T134" s="63" t="s">
        <v>147</v>
      </c>
    </row>
    <row r="135" spans="1:20" x14ac:dyDescent="0.25">
      <c r="A135" s="112">
        <f t="shared" ca="1" si="1"/>
        <v>46115</v>
      </c>
      <c r="B1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5" s="189">
        <f ca="1">IF(Tabela58[[#This Row],[valor]]="",0,Tabela58[[#This Row],[valor]])+IF(Tabela58[[#This Row],[pagameto]]="",0,Tabela58[[#This Row],[pagameto]])+E136</f>
        <v>0</v>
      </c>
      <c r="G135" s="124"/>
      <c r="H135" s="196"/>
      <c r="I135" s="123"/>
      <c r="L135" s="46" t="s">
        <v>295</v>
      </c>
      <c r="M135" s="239" t="s">
        <v>350</v>
      </c>
      <c r="N135" s="57" t="s">
        <v>11</v>
      </c>
      <c r="O135" s="60">
        <v>6</v>
      </c>
      <c r="P135" s="182">
        <v>-120</v>
      </c>
      <c r="Q135" s="58">
        <v>30</v>
      </c>
      <c r="R135" s="59">
        <v>46163</v>
      </c>
      <c r="S135" s="57" t="s">
        <v>294</v>
      </c>
      <c r="T135" s="57" t="s">
        <v>147</v>
      </c>
    </row>
    <row r="136" spans="1:20" x14ac:dyDescent="0.25">
      <c r="A136" s="112">
        <f t="shared" ca="1" si="1"/>
        <v>46114</v>
      </c>
      <c r="B1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6" s="189">
        <f ca="1">IF(Tabela58[[#This Row],[valor]]="",0,Tabela58[[#This Row],[valor]])+IF(Tabela58[[#This Row],[pagameto]]="",0,Tabela58[[#This Row],[pagameto]])+E137</f>
        <v>0</v>
      </c>
      <c r="G136" s="124"/>
      <c r="H136" s="196"/>
      <c r="I136" s="123"/>
      <c r="L136" s="46"/>
      <c r="M136" s="63" t="s">
        <v>44</v>
      </c>
      <c r="N136" s="63" t="s">
        <v>40</v>
      </c>
      <c r="O136" s="63" t="s">
        <v>38</v>
      </c>
      <c r="P136" s="150">
        <v>38</v>
      </c>
      <c r="Q136" s="180">
        <v>-0.52060000000000006</v>
      </c>
      <c r="R136" s="59">
        <v>46163</v>
      </c>
      <c r="S136" s="63" t="s">
        <v>294</v>
      </c>
      <c r="T136" s="63" t="s">
        <v>147</v>
      </c>
    </row>
    <row r="137" spans="1:20" x14ac:dyDescent="0.25">
      <c r="A137" s="112">
        <f t="shared" ca="1" si="1"/>
        <v>46113</v>
      </c>
      <c r="B1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7" s="189">
        <f ca="1">IF(Tabela58[[#This Row],[valor]]="",0,Tabela58[[#This Row],[valor]])+IF(Tabela58[[#This Row],[pagameto]]="",0,Tabela58[[#This Row],[pagameto]])+E138</f>
        <v>0</v>
      </c>
      <c r="G137" s="124"/>
      <c r="H137" s="196"/>
      <c r="I137" s="123"/>
      <c r="L137" s="46" t="s">
        <v>22</v>
      </c>
      <c r="M137" s="239" t="s">
        <v>44</v>
      </c>
      <c r="N137" s="57" t="s">
        <v>10</v>
      </c>
      <c r="O137" s="60">
        <v>2</v>
      </c>
      <c r="P137" s="182">
        <v>-38</v>
      </c>
      <c r="Q137" s="58">
        <v>5.9329420657151815</v>
      </c>
      <c r="R137" s="59">
        <v>46163</v>
      </c>
      <c r="S137" s="57" t="s">
        <v>294</v>
      </c>
      <c r="T137" s="57" t="s">
        <v>147</v>
      </c>
    </row>
    <row r="138" spans="1:20" x14ac:dyDescent="0.25">
      <c r="A138" s="112">
        <f t="shared" ca="1" si="1"/>
        <v>46112</v>
      </c>
      <c r="B1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8" s="189">
        <f ca="1">IF(Tabela58[[#This Row],[valor]]="",0,Tabela58[[#This Row],[valor]])+IF(Tabela58[[#This Row],[pagameto]]="",0,Tabela58[[#This Row],[pagameto]])+E139</f>
        <v>0</v>
      </c>
      <c r="G138" s="124"/>
      <c r="H138" s="196"/>
      <c r="I138" s="123"/>
      <c r="L138" s="46"/>
      <c r="M138" s="63" t="s">
        <v>46</v>
      </c>
      <c r="N138" s="63" t="s">
        <v>41</v>
      </c>
      <c r="O138" s="63" t="s">
        <v>38</v>
      </c>
      <c r="P138" s="150">
        <v>110.75</v>
      </c>
      <c r="Q138" s="180">
        <v>0</v>
      </c>
      <c r="R138" s="59">
        <v>46162</v>
      </c>
      <c r="S138" s="63" t="s">
        <v>32</v>
      </c>
      <c r="T138" s="63" t="s">
        <v>147</v>
      </c>
    </row>
    <row r="139" spans="1:20" x14ac:dyDescent="0.25">
      <c r="A139" s="112">
        <f t="shared" ca="1" si="1"/>
        <v>46111</v>
      </c>
      <c r="B1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39" s="189">
        <f ca="1">IF(Tabela58[[#This Row],[valor]]="",0,Tabela58[[#This Row],[valor]])+IF(Tabela58[[#This Row],[pagameto]]="",0,Tabela58[[#This Row],[pagameto]])+E140</f>
        <v>0</v>
      </c>
      <c r="G139" s="124"/>
      <c r="H139" s="196"/>
      <c r="I139" s="123"/>
      <c r="L139" s="46"/>
      <c r="M139" s="63" t="s">
        <v>46</v>
      </c>
      <c r="N139" s="63" t="s">
        <v>41</v>
      </c>
      <c r="O139" s="63" t="s">
        <v>38</v>
      </c>
      <c r="P139" s="150">
        <v>17</v>
      </c>
      <c r="Q139" s="180">
        <v>0</v>
      </c>
      <c r="R139" s="59">
        <v>46162</v>
      </c>
      <c r="S139" s="63" t="s">
        <v>32</v>
      </c>
      <c r="T139" s="63" t="s">
        <v>147</v>
      </c>
    </row>
    <row r="140" spans="1:20" x14ac:dyDescent="0.25">
      <c r="A140" s="112">
        <f t="shared" ca="1" si="1"/>
        <v>46110</v>
      </c>
      <c r="B1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0" s="189">
        <f ca="1">IF(Tabela58[[#This Row],[valor]]="",0,Tabela58[[#This Row],[valor]])+IF(Tabela58[[#This Row],[pagameto]]="",0,Tabela58[[#This Row],[pagameto]])+E141</f>
        <v>0</v>
      </c>
      <c r="G140" s="124"/>
      <c r="H140" s="196"/>
      <c r="I140" s="123"/>
      <c r="L140" s="46"/>
      <c r="M140" s="63" t="s">
        <v>46</v>
      </c>
      <c r="N140" s="63" t="s">
        <v>41</v>
      </c>
      <c r="O140" s="63" t="s">
        <v>38</v>
      </c>
      <c r="P140" s="150">
        <v>17</v>
      </c>
      <c r="Q140" s="180">
        <v>0</v>
      </c>
      <c r="R140" s="59">
        <v>46162</v>
      </c>
      <c r="S140" s="63" t="s">
        <v>32</v>
      </c>
      <c r="T140" s="63" t="s">
        <v>147</v>
      </c>
    </row>
    <row r="141" spans="1:20" x14ac:dyDescent="0.25">
      <c r="A141" s="112">
        <f t="shared" ca="1" si="1"/>
        <v>46109</v>
      </c>
      <c r="B1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1" s="189">
        <f ca="1">IF(Tabela58[[#This Row],[valor]]="",0,Tabela58[[#This Row],[valor]])+IF(Tabela58[[#This Row],[pagameto]]="",0,Tabela58[[#This Row],[pagameto]])+E142</f>
        <v>0</v>
      </c>
      <c r="G141" s="124"/>
      <c r="H141" s="196"/>
      <c r="I141" s="123"/>
      <c r="L141" s="46" t="s">
        <v>22</v>
      </c>
      <c r="M141" s="239" t="s">
        <v>46</v>
      </c>
      <c r="N141" s="57" t="s">
        <v>11</v>
      </c>
      <c r="O141" s="60">
        <v>6</v>
      </c>
      <c r="P141" s="182">
        <v>-109.5</v>
      </c>
      <c r="Q141" s="58">
        <v>19.5</v>
      </c>
      <c r="R141" s="59">
        <v>46162</v>
      </c>
      <c r="S141" s="57" t="s">
        <v>32</v>
      </c>
      <c r="T141" s="57" t="s">
        <v>147</v>
      </c>
    </row>
    <row r="142" spans="1:20" x14ac:dyDescent="0.25">
      <c r="A142" s="112">
        <f t="shared" ca="1" si="1"/>
        <v>46108</v>
      </c>
      <c r="B1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2" s="189">
        <f ca="1">IF(Tabela58[[#This Row],[valor]]="",0,Tabela58[[#This Row],[valor]])+IF(Tabela58[[#This Row],[pagameto]]="",0,Tabela58[[#This Row],[pagameto]])+E143</f>
        <v>0</v>
      </c>
      <c r="G142" s="124"/>
      <c r="H142" s="196"/>
      <c r="I142" s="123"/>
      <c r="L142" s="46"/>
      <c r="M142" s="63" t="s">
        <v>46</v>
      </c>
      <c r="N142" s="63" t="s">
        <v>41</v>
      </c>
      <c r="O142" s="63" t="s">
        <v>38</v>
      </c>
      <c r="P142" s="150">
        <v>109</v>
      </c>
      <c r="Q142" s="180">
        <v>0</v>
      </c>
      <c r="R142" s="59">
        <v>46161</v>
      </c>
      <c r="S142" s="63" t="s">
        <v>290</v>
      </c>
      <c r="T142" s="63" t="s">
        <v>147</v>
      </c>
    </row>
    <row r="143" spans="1:20" x14ac:dyDescent="0.25">
      <c r="A143" s="112">
        <f t="shared" ca="1" si="1"/>
        <v>46107</v>
      </c>
      <c r="B1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3" s="189">
        <f ca="1">IF(Tabela58[[#This Row],[valor]]="",0,Tabela58[[#This Row],[valor]])+IF(Tabela58[[#This Row],[pagameto]]="",0,Tabela58[[#This Row],[pagameto]])+E144</f>
        <v>0</v>
      </c>
      <c r="G143" s="124"/>
      <c r="H143" s="196"/>
      <c r="I143" s="123"/>
      <c r="L143" s="46"/>
      <c r="M143" s="63" t="s">
        <v>350</v>
      </c>
      <c r="N143" s="63" t="s">
        <v>41</v>
      </c>
      <c r="O143" s="63" t="s">
        <v>38</v>
      </c>
      <c r="P143" s="150">
        <v>328.5</v>
      </c>
      <c r="Q143" s="180">
        <v>0</v>
      </c>
      <c r="R143" s="59">
        <v>46161</v>
      </c>
      <c r="S143" s="63" t="s">
        <v>290</v>
      </c>
      <c r="T143" s="63" t="s">
        <v>147</v>
      </c>
    </row>
    <row r="144" spans="1:20" x14ac:dyDescent="0.25">
      <c r="A144" s="112">
        <f t="shared" ca="1" si="1"/>
        <v>46106</v>
      </c>
      <c r="B1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4" s="189">
        <f ca="1">IF(Tabela58[[#This Row],[valor]]="",0,Tabela58[[#This Row],[valor]])+IF(Tabela58[[#This Row],[pagameto]]="",0,Tabela58[[#This Row],[pagameto]])+E145</f>
        <v>0</v>
      </c>
      <c r="G144" s="124"/>
      <c r="H144" s="196"/>
      <c r="I144" s="123"/>
      <c r="L144" s="46" t="s">
        <v>295</v>
      </c>
      <c r="M144" s="239" t="s">
        <v>270</v>
      </c>
      <c r="N144" s="57" t="s">
        <v>14</v>
      </c>
      <c r="O144" s="60">
        <v>1</v>
      </c>
      <c r="P144" s="182">
        <v>-23</v>
      </c>
      <c r="Q144" s="58">
        <v>5.7232142857142847</v>
      </c>
      <c r="R144" s="59">
        <v>46161</v>
      </c>
      <c r="S144" s="57" t="s">
        <v>290</v>
      </c>
      <c r="T144" s="57" t="s">
        <v>147</v>
      </c>
    </row>
    <row r="145" spans="1:20" x14ac:dyDescent="0.25">
      <c r="A145" s="112">
        <f t="shared" ca="1" si="1"/>
        <v>46105</v>
      </c>
      <c r="B1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5" s="189">
        <f ca="1">IF(Tabela58[[#This Row],[valor]]="",0,Tabela58[[#This Row],[valor]])+IF(Tabela58[[#This Row],[pagameto]]="",0,Tabela58[[#This Row],[pagameto]])+E146</f>
        <v>0</v>
      </c>
      <c r="G145" s="124"/>
      <c r="H145" s="196"/>
      <c r="I145" s="123"/>
      <c r="L145" s="46" t="s">
        <v>22</v>
      </c>
      <c r="M145" s="239" t="s">
        <v>47</v>
      </c>
      <c r="N145" s="57" t="s">
        <v>10</v>
      </c>
      <c r="O145" s="60">
        <v>12</v>
      </c>
      <c r="P145" s="182">
        <v>-228</v>
      </c>
      <c r="Q145" s="58">
        <v>35.597652394291089</v>
      </c>
      <c r="R145" s="59">
        <v>46161</v>
      </c>
      <c r="S145" s="57" t="s">
        <v>290</v>
      </c>
      <c r="T145" s="57" t="s">
        <v>147</v>
      </c>
    </row>
    <row r="146" spans="1:20" x14ac:dyDescent="0.25">
      <c r="A146" s="112">
        <f t="shared" ca="1" si="1"/>
        <v>46104</v>
      </c>
      <c r="B1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6" s="189">
        <f ca="1">IF(Tabela58[[#This Row],[valor]]="",0,Tabela58[[#This Row],[valor]])+IF(Tabela58[[#This Row],[pagameto]]="",0,Tabela58[[#This Row],[pagameto]])+E147</f>
        <v>0</v>
      </c>
      <c r="G146" s="124"/>
      <c r="H146" s="196"/>
      <c r="I146" s="123"/>
      <c r="L146" s="46" t="s">
        <v>22</v>
      </c>
      <c r="M146" s="239" t="s">
        <v>350</v>
      </c>
      <c r="N146" s="57" t="s">
        <v>11</v>
      </c>
      <c r="O146" s="60">
        <v>6</v>
      </c>
      <c r="P146" s="182">
        <v>-109.5</v>
      </c>
      <c r="Q146" s="58">
        <v>19.5</v>
      </c>
      <c r="R146" s="59">
        <v>46161</v>
      </c>
      <c r="S146" s="57" t="s">
        <v>290</v>
      </c>
      <c r="T146" s="57" t="s">
        <v>147</v>
      </c>
    </row>
    <row r="147" spans="1:20" x14ac:dyDescent="0.25">
      <c r="A147" s="112">
        <f t="shared" ref="A147:A210" ca="1" si="2">A146-1</f>
        <v>46103</v>
      </c>
      <c r="B1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7" s="189">
        <f ca="1">IF(Tabela58[[#This Row],[valor]]="",0,Tabela58[[#This Row],[valor]])+IF(Tabela58[[#This Row],[pagameto]]="",0,Tabela58[[#This Row],[pagameto]])+E148</f>
        <v>0</v>
      </c>
      <c r="G147" s="124"/>
      <c r="H147" s="196"/>
      <c r="I147" s="123"/>
      <c r="L147" s="46" t="s">
        <v>22</v>
      </c>
      <c r="M147" s="239" t="s">
        <v>46</v>
      </c>
      <c r="N147" s="57" t="s">
        <v>11</v>
      </c>
      <c r="O147" s="60">
        <v>7</v>
      </c>
      <c r="P147" s="182">
        <v>-127.75</v>
      </c>
      <c r="Q147" s="58">
        <v>22.75</v>
      </c>
      <c r="R147" s="59">
        <v>46161</v>
      </c>
      <c r="S147" s="57" t="s">
        <v>290</v>
      </c>
      <c r="T147" s="57" t="s">
        <v>147</v>
      </c>
    </row>
    <row r="148" spans="1:20" x14ac:dyDescent="0.25">
      <c r="A148" s="112">
        <f t="shared" ca="1" si="2"/>
        <v>46102</v>
      </c>
      <c r="B1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48" s="189">
        <f ca="1">IF(Tabela58[[#This Row],[valor]]="",0,Tabela58[[#This Row],[valor]])+IF(Tabela58[[#This Row],[pagameto]]="",0,Tabela58[[#This Row],[pagameto]])+E149</f>
        <v>0</v>
      </c>
      <c r="G148" s="124"/>
      <c r="H148" s="196"/>
      <c r="I148" s="123"/>
      <c r="L148" s="46" t="s">
        <v>22</v>
      </c>
      <c r="M148" s="239" t="s">
        <v>46</v>
      </c>
      <c r="N148" s="57" t="s">
        <v>11</v>
      </c>
      <c r="O148" s="60">
        <v>6</v>
      </c>
      <c r="P148" s="182">
        <v>-109.5</v>
      </c>
      <c r="Q148" s="58">
        <v>19.5</v>
      </c>
      <c r="R148" s="59">
        <v>46160</v>
      </c>
      <c r="S148" s="57" t="s">
        <v>291</v>
      </c>
      <c r="T148" s="57" t="s">
        <v>147</v>
      </c>
    </row>
    <row r="149" spans="1:20" x14ac:dyDescent="0.25">
      <c r="A149" s="112">
        <f t="shared" ca="1" si="2"/>
        <v>46101</v>
      </c>
      <c r="B1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49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20</v>
      </c>
      <c r="E149" s="189">
        <f ca="1">IF(Tabela58[[#This Row],[valor]]="",0,Tabela58[[#This Row],[valor]])+IF(Tabela58[[#This Row],[pagameto]]="",0,Tabela58[[#This Row],[pagameto]])+E150</f>
        <v>0</v>
      </c>
      <c r="G149" s="124"/>
      <c r="H149" s="196"/>
      <c r="I149" s="123"/>
      <c r="L149" s="46"/>
      <c r="M149" s="63" t="s">
        <v>47</v>
      </c>
      <c r="N149" s="63" t="s">
        <v>41</v>
      </c>
      <c r="O149" s="63" t="s">
        <v>38</v>
      </c>
      <c r="P149" s="150">
        <v>250</v>
      </c>
      <c r="Q149" s="180">
        <v>0</v>
      </c>
      <c r="R149" s="59">
        <v>46160</v>
      </c>
      <c r="S149" s="63" t="s">
        <v>291</v>
      </c>
      <c r="T149" s="63" t="s">
        <v>147</v>
      </c>
    </row>
    <row r="150" spans="1:20" x14ac:dyDescent="0.25">
      <c r="A150" s="112">
        <f t="shared" ca="1" si="2"/>
        <v>46100</v>
      </c>
      <c r="B1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0" s="189">
        <f ca="1">IF(Tabela58[[#This Row],[valor]]="",0,Tabela58[[#This Row],[valor]])+IF(Tabela58[[#This Row],[pagameto]]="",0,Tabela58[[#This Row],[pagameto]])+E151</f>
        <v>-20</v>
      </c>
      <c r="G150" s="124"/>
      <c r="H150" s="196"/>
      <c r="I150" s="123"/>
      <c r="L150" s="46" t="s">
        <v>295</v>
      </c>
      <c r="M150" s="239" t="s">
        <v>275</v>
      </c>
      <c r="N150" s="57" t="s">
        <v>10</v>
      </c>
      <c r="O150" s="60">
        <v>1</v>
      </c>
      <c r="P150" s="182">
        <v>-21</v>
      </c>
      <c r="Q150" s="58">
        <v>4.9664710328575907</v>
      </c>
      <c r="R150" s="59">
        <v>46159</v>
      </c>
      <c r="S150" s="57" t="s">
        <v>93</v>
      </c>
      <c r="T150" s="57" t="s">
        <v>147</v>
      </c>
    </row>
    <row r="151" spans="1:20" x14ac:dyDescent="0.25">
      <c r="A151" s="112">
        <f t="shared" ca="1" si="2"/>
        <v>46099</v>
      </c>
      <c r="B1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1" s="189">
        <f ca="1">IF(Tabela58[[#This Row],[valor]]="",0,Tabela58[[#This Row],[valor]])+IF(Tabela58[[#This Row],[pagameto]]="",0,Tabela58[[#This Row],[pagameto]])+E152</f>
        <v>-20</v>
      </c>
      <c r="G151" s="124"/>
      <c r="H151" s="196"/>
      <c r="I151" s="123"/>
      <c r="L151" s="46"/>
      <c r="M151" s="63" t="s">
        <v>49</v>
      </c>
      <c r="N151" s="63" t="s">
        <v>39</v>
      </c>
      <c r="O151" s="63" t="s">
        <v>38</v>
      </c>
      <c r="P151" s="150">
        <v>219</v>
      </c>
      <c r="Q151" s="180">
        <v>-6.8985000000000003</v>
      </c>
      <c r="R151" s="59">
        <v>46158</v>
      </c>
      <c r="S151" s="63" t="s">
        <v>92</v>
      </c>
      <c r="T151" s="63" t="s">
        <v>147</v>
      </c>
    </row>
    <row r="152" spans="1:20" x14ac:dyDescent="0.25">
      <c r="A152" s="112">
        <f t="shared" ca="1" si="2"/>
        <v>46098</v>
      </c>
      <c r="B1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2" s="189">
        <f ca="1">IF(Tabela58[[#This Row],[valor]]="",0,Tabela58[[#This Row],[valor]])+IF(Tabela58[[#This Row],[pagameto]]="",0,Tabela58[[#This Row],[pagameto]])+E153</f>
        <v>-20</v>
      </c>
      <c r="G152" s="124"/>
      <c r="H152" s="196"/>
      <c r="I152" s="123"/>
      <c r="L152" s="46" t="s">
        <v>22</v>
      </c>
      <c r="M152" s="239" t="s">
        <v>49</v>
      </c>
      <c r="N152" s="57" t="s">
        <v>11</v>
      </c>
      <c r="O152" s="60">
        <v>12</v>
      </c>
      <c r="P152" s="182">
        <v>-219</v>
      </c>
      <c r="Q152" s="58">
        <v>39</v>
      </c>
      <c r="R152" s="59">
        <v>46158</v>
      </c>
      <c r="S152" s="57" t="s">
        <v>92</v>
      </c>
      <c r="T152" s="57" t="s">
        <v>147</v>
      </c>
    </row>
    <row r="153" spans="1:20" x14ac:dyDescent="0.25">
      <c r="A153" s="112">
        <f t="shared" ca="1" si="2"/>
        <v>46097</v>
      </c>
      <c r="B1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3" s="189">
        <f ca="1">IF(Tabela58[[#This Row],[valor]]="",0,Tabela58[[#This Row],[valor]])+IF(Tabela58[[#This Row],[pagameto]]="",0,Tabela58[[#This Row],[pagameto]])+E154</f>
        <v>-20</v>
      </c>
      <c r="G153" s="124"/>
      <c r="H153" s="196"/>
      <c r="I153" s="123"/>
      <c r="L153" s="46"/>
      <c r="M153" s="63" t="s">
        <v>44</v>
      </c>
      <c r="N153" s="63" t="s">
        <v>41</v>
      </c>
      <c r="O153" s="63" t="s">
        <v>38</v>
      </c>
      <c r="P153" s="150">
        <v>120</v>
      </c>
      <c r="Q153" s="180">
        <v>0</v>
      </c>
      <c r="R153" s="59">
        <v>46157</v>
      </c>
      <c r="S153" s="63" t="s">
        <v>83</v>
      </c>
      <c r="T153" s="63" t="s">
        <v>147</v>
      </c>
    </row>
    <row r="154" spans="1:20" x14ac:dyDescent="0.25">
      <c r="A154" s="112">
        <f t="shared" ca="1" si="2"/>
        <v>46096</v>
      </c>
      <c r="B154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54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-20</v>
      </c>
      <c r="D1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4" s="189">
        <f ca="1">IF(Tabela58[[#This Row],[valor]]="",0,Tabela58[[#This Row],[valor]])+IF(Tabela58[[#This Row],[pagameto]]="",0,Tabela58[[#This Row],[pagameto]])+E155</f>
        <v>-20</v>
      </c>
      <c r="G154" s="124"/>
      <c r="H154" s="196"/>
      <c r="I154" s="123"/>
      <c r="L154" s="46" t="s">
        <v>22</v>
      </c>
      <c r="M154" s="239" t="s">
        <v>44</v>
      </c>
      <c r="N154" s="57" t="s">
        <v>13</v>
      </c>
      <c r="O154" s="60">
        <v>6</v>
      </c>
      <c r="P154" s="182">
        <v>-120</v>
      </c>
      <c r="Q154" s="58">
        <v>21.203703703703695</v>
      </c>
      <c r="R154" s="59">
        <v>46157</v>
      </c>
      <c r="S154" s="57" t="s">
        <v>83</v>
      </c>
      <c r="T154" s="57" t="s">
        <v>147</v>
      </c>
    </row>
    <row r="155" spans="1:20" x14ac:dyDescent="0.25">
      <c r="A155" s="112">
        <f t="shared" ca="1" si="2"/>
        <v>46095</v>
      </c>
      <c r="B1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5" s="189">
        <f ca="1">IF(Tabela58[[#This Row],[valor]]="",0,Tabela58[[#This Row],[valor]])+IF(Tabela58[[#This Row],[pagameto]]="",0,Tabela58[[#This Row],[pagameto]])+E156</f>
        <v>0</v>
      </c>
      <c r="G155" s="124"/>
      <c r="H155" s="196"/>
      <c r="I155" s="123"/>
      <c r="L155" s="46" t="s">
        <v>22</v>
      </c>
      <c r="M155" s="239" t="s">
        <v>48</v>
      </c>
      <c r="N155" s="57" t="s">
        <v>10</v>
      </c>
      <c r="O155" s="60">
        <v>12</v>
      </c>
      <c r="P155" s="182">
        <v>-228</v>
      </c>
      <c r="Q155" s="58">
        <v>35.597652394291089</v>
      </c>
      <c r="R155" s="59">
        <v>46157</v>
      </c>
      <c r="S155" s="57" t="s">
        <v>83</v>
      </c>
      <c r="T155" s="57" t="s">
        <v>147</v>
      </c>
    </row>
    <row r="156" spans="1:20" x14ac:dyDescent="0.25">
      <c r="A156" s="112">
        <f t="shared" ca="1" si="2"/>
        <v>46094</v>
      </c>
      <c r="B1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6" s="189">
        <f ca="1">IF(Tabela58[[#This Row],[valor]]="",0,Tabela58[[#This Row],[valor]])+IF(Tabela58[[#This Row],[pagameto]]="",0,Tabela58[[#This Row],[pagameto]])+E157</f>
        <v>0</v>
      </c>
      <c r="G156" s="124"/>
      <c r="H156" s="196"/>
      <c r="I156" s="123"/>
      <c r="L156" s="46"/>
      <c r="M156" s="63" t="s">
        <v>46</v>
      </c>
      <c r="N156" s="63" t="s">
        <v>41</v>
      </c>
      <c r="O156" s="63" t="s">
        <v>38</v>
      </c>
      <c r="P156" s="150">
        <v>120</v>
      </c>
      <c r="Q156" s="180">
        <v>0</v>
      </c>
      <c r="R156" s="59">
        <v>46157</v>
      </c>
      <c r="S156" s="63" t="s">
        <v>83</v>
      </c>
      <c r="T156" s="63" t="s">
        <v>147</v>
      </c>
    </row>
    <row r="157" spans="1:20" x14ac:dyDescent="0.25">
      <c r="A157" s="112">
        <f t="shared" ca="1" si="2"/>
        <v>46093</v>
      </c>
      <c r="B1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7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157" s="189">
        <f ca="1">IF(Tabela58[[#This Row],[valor]]="",0,Tabela58[[#This Row],[valor]])+IF(Tabela58[[#This Row],[pagameto]]="",0,Tabela58[[#This Row],[pagameto]])+E158</f>
        <v>0</v>
      </c>
      <c r="G157" s="124"/>
      <c r="H157" s="196"/>
      <c r="I157" s="123"/>
      <c r="L157" s="46" t="s">
        <v>295</v>
      </c>
      <c r="M157" s="239" t="s">
        <v>275</v>
      </c>
      <c r="N157" s="57" t="s">
        <v>10</v>
      </c>
      <c r="O157" s="60">
        <v>2</v>
      </c>
      <c r="P157" s="182">
        <v>-42</v>
      </c>
      <c r="Q157" s="58">
        <v>9.9329420657151815</v>
      </c>
      <c r="R157" s="59">
        <v>46156</v>
      </c>
      <c r="S157" s="57" t="s">
        <v>294</v>
      </c>
      <c r="T157" s="57" t="s">
        <v>147</v>
      </c>
    </row>
    <row r="158" spans="1:20" x14ac:dyDescent="0.25">
      <c r="A158" s="112">
        <f t="shared" ca="1" si="2"/>
        <v>46092</v>
      </c>
      <c r="B1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8" s="189">
        <f ca="1">IF(Tabela58[[#This Row],[valor]]="",0,Tabela58[[#This Row],[valor]])+IF(Tabela58[[#This Row],[pagameto]]="",0,Tabela58[[#This Row],[pagameto]])+E159</f>
        <v>-22</v>
      </c>
      <c r="G158" s="124"/>
      <c r="H158" s="196"/>
      <c r="I158" s="123"/>
      <c r="L158" s="46" t="s">
        <v>295</v>
      </c>
      <c r="M158" s="239" t="s">
        <v>350</v>
      </c>
      <c r="N158" s="57" t="s">
        <v>10</v>
      </c>
      <c r="O158" s="60">
        <v>6</v>
      </c>
      <c r="P158" s="182">
        <v>-126</v>
      </c>
      <c r="Q158" s="58">
        <v>26.034920634920653</v>
      </c>
      <c r="R158" s="59">
        <v>46155</v>
      </c>
      <c r="S158" s="57" t="s">
        <v>32</v>
      </c>
      <c r="T158" s="57" t="s">
        <v>147</v>
      </c>
    </row>
    <row r="159" spans="1:20" x14ac:dyDescent="0.25">
      <c r="A159" s="112">
        <f t="shared" ca="1" si="2"/>
        <v>46091</v>
      </c>
      <c r="B1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59" s="189">
        <f ca="1">IF(Tabela58[[#This Row],[valor]]="",0,Tabela58[[#This Row],[valor]])+IF(Tabela58[[#This Row],[pagameto]]="",0,Tabela58[[#This Row],[pagameto]])+E160</f>
        <v>-22</v>
      </c>
      <c r="G159" s="124"/>
      <c r="H159" s="196"/>
      <c r="I159" s="123"/>
      <c r="L159" s="46"/>
      <c r="M159" s="63" t="s">
        <v>46</v>
      </c>
      <c r="N159" s="63" t="s">
        <v>41</v>
      </c>
      <c r="O159" s="63" t="s">
        <v>38</v>
      </c>
      <c r="P159" s="150">
        <v>21</v>
      </c>
      <c r="Q159" s="180">
        <v>0</v>
      </c>
      <c r="R159" s="59">
        <v>46155</v>
      </c>
      <c r="S159" s="63" t="s">
        <v>32</v>
      </c>
      <c r="T159" s="63" t="s">
        <v>147</v>
      </c>
    </row>
    <row r="160" spans="1:20" x14ac:dyDescent="0.25">
      <c r="A160" s="112">
        <f t="shared" ca="1" si="2"/>
        <v>46090</v>
      </c>
      <c r="B1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0" s="189">
        <f ca="1">IF(Tabela58[[#This Row],[valor]]="",0,Tabela58[[#This Row],[valor]])+IF(Tabela58[[#This Row],[pagameto]]="",0,Tabela58[[#This Row],[pagameto]])+E161</f>
        <v>-22</v>
      </c>
      <c r="G160" s="124"/>
      <c r="H160" s="196"/>
      <c r="I160" s="123"/>
      <c r="L160" s="46"/>
      <c r="M160" s="63" t="s">
        <v>46</v>
      </c>
      <c r="N160" s="63" t="s">
        <v>41</v>
      </c>
      <c r="O160" s="63" t="s">
        <v>38</v>
      </c>
      <c r="P160" s="150">
        <v>120</v>
      </c>
      <c r="Q160" s="180">
        <v>0</v>
      </c>
      <c r="R160" s="59">
        <v>46155</v>
      </c>
      <c r="S160" s="63" t="s">
        <v>32</v>
      </c>
      <c r="T160" s="63" t="s">
        <v>147</v>
      </c>
    </row>
    <row r="161" spans="1:20" x14ac:dyDescent="0.25">
      <c r="A161" s="112">
        <f t="shared" ca="1" si="2"/>
        <v>46089</v>
      </c>
      <c r="B1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1" s="189">
        <f ca="1">IF(Tabela58[[#This Row],[valor]]="",0,Tabela58[[#This Row],[valor]])+IF(Tabela58[[#This Row],[pagameto]]="",0,Tabela58[[#This Row],[pagameto]])+E162</f>
        <v>-22</v>
      </c>
      <c r="G161" s="124"/>
      <c r="H161" s="196"/>
      <c r="I161" s="123"/>
      <c r="L161" s="46" t="s">
        <v>295</v>
      </c>
      <c r="M161" s="239" t="s">
        <v>46</v>
      </c>
      <c r="N161" s="57" t="s">
        <v>10</v>
      </c>
      <c r="O161" s="60">
        <v>6</v>
      </c>
      <c r="P161" s="182">
        <v>-126</v>
      </c>
      <c r="Q161" s="58">
        <v>26.034920634920653</v>
      </c>
      <c r="R161" s="59">
        <v>46155</v>
      </c>
      <c r="S161" s="57" t="s">
        <v>32</v>
      </c>
      <c r="T161" s="57" t="s">
        <v>147</v>
      </c>
    </row>
    <row r="162" spans="1:20" x14ac:dyDescent="0.25">
      <c r="A162" s="112">
        <f t="shared" ca="1" si="2"/>
        <v>46088</v>
      </c>
      <c r="B1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2" s="189">
        <f ca="1">IF(Tabela58[[#This Row],[valor]]="",0,Tabela58[[#This Row],[valor]])+IF(Tabela58[[#This Row],[pagameto]]="",0,Tabela58[[#This Row],[pagameto]])+E163</f>
        <v>-22</v>
      </c>
      <c r="G162" s="124"/>
      <c r="H162" s="196"/>
      <c r="I162" s="123"/>
      <c r="L162" s="46"/>
      <c r="M162" s="63" t="s">
        <v>44</v>
      </c>
      <c r="N162" s="63" t="s">
        <v>42</v>
      </c>
      <c r="O162" s="63" t="s">
        <v>38</v>
      </c>
      <c r="P162" s="150">
        <v>132</v>
      </c>
      <c r="Q162" s="180">
        <v>0</v>
      </c>
      <c r="R162" s="59">
        <v>46153</v>
      </c>
      <c r="S162" s="63" t="s">
        <v>291</v>
      </c>
      <c r="T162" s="63" t="s">
        <v>147</v>
      </c>
    </row>
    <row r="163" spans="1:20" x14ac:dyDescent="0.25">
      <c r="A163" s="112">
        <f t="shared" ca="1" si="2"/>
        <v>46087</v>
      </c>
      <c r="B1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3" s="189">
        <f ca="1">IF(Tabela58[[#This Row],[valor]]="",0,Tabela58[[#This Row],[valor]])+IF(Tabela58[[#This Row],[pagameto]]="",0,Tabela58[[#This Row],[pagameto]])+E164</f>
        <v>-22</v>
      </c>
      <c r="G163" s="124"/>
      <c r="H163" s="196"/>
      <c r="I163" s="123"/>
      <c r="L163" s="46" t="s">
        <v>22</v>
      </c>
      <c r="M163" s="239" t="s">
        <v>44</v>
      </c>
      <c r="N163" s="57" t="s">
        <v>14</v>
      </c>
      <c r="O163" s="60">
        <v>6</v>
      </c>
      <c r="P163" s="182">
        <v>-132</v>
      </c>
      <c r="Q163" s="58">
        <v>27</v>
      </c>
      <c r="R163" s="59">
        <v>46153</v>
      </c>
      <c r="S163" s="57" t="s">
        <v>291</v>
      </c>
      <c r="T163" s="57" t="s">
        <v>147</v>
      </c>
    </row>
    <row r="164" spans="1:20" x14ac:dyDescent="0.25">
      <c r="A164" s="112">
        <f t="shared" ca="1" si="2"/>
        <v>46086</v>
      </c>
      <c r="B164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64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1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4" s="189">
        <f ca="1">IF(Tabela58[[#This Row],[valor]]="",0,Tabela58[[#This Row],[valor]])+IF(Tabela58[[#This Row],[pagameto]]="",0,Tabela58[[#This Row],[pagameto]])+E165</f>
        <v>-22</v>
      </c>
      <c r="G164" s="124"/>
      <c r="H164" s="196"/>
      <c r="I164" s="123"/>
      <c r="L164" s="46"/>
      <c r="M164" s="63" t="s">
        <v>49</v>
      </c>
      <c r="N164" s="63" t="s">
        <v>39</v>
      </c>
      <c r="O164" s="63" t="s">
        <v>38</v>
      </c>
      <c r="P164" s="150">
        <v>109.5</v>
      </c>
      <c r="Q164" s="180">
        <v>-3.4492500000000001</v>
      </c>
      <c r="R164" s="59">
        <v>46153</v>
      </c>
      <c r="S164" s="63" t="s">
        <v>291</v>
      </c>
      <c r="T164" s="63" t="s">
        <v>147</v>
      </c>
    </row>
    <row r="165" spans="1:20" x14ac:dyDescent="0.25">
      <c r="A165" s="112">
        <f t="shared" ca="1" si="2"/>
        <v>46085</v>
      </c>
      <c r="B1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5" s="189">
        <f ca="1">IF(Tabela58[[#This Row],[valor]]="",0,Tabela58[[#This Row],[valor]])+IF(Tabela58[[#This Row],[pagameto]]="",0,Tabela58[[#This Row],[pagameto]])+E166</f>
        <v>0</v>
      </c>
      <c r="G165" s="124"/>
      <c r="H165" s="196"/>
      <c r="I165" s="123"/>
      <c r="L165" s="46" t="s">
        <v>22</v>
      </c>
      <c r="M165" s="239" t="s">
        <v>49</v>
      </c>
      <c r="N165" s="57" t="s">
        <v>11</v>
      </c>
      <c r="O165" s="60">
        <v>6</v>
      </c>
      <c r="P165" s="182">
        <v>-109.5</v>
      </c>
      <c r="Q165" s="58">
        <v>12.031928195510858</v>
      </c>
      <c r="R165" s="59">
        <v>46153</v>
      </c>
      <c r="S165" s="57" t="s">
        <v>291</v>
      </c>
      <c r="T165" s="57" t="s">
        <v>147</v>
      </c>
    </row>
    <row r="166" spans="1:20" x14ac:dyDescent="0.25">
      <c r="A166" s="112">
        <f t="shared" ca="1" si="2"/>
        <v>46084</v>
      </c>
      <c r="B1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6" s="189">
        <f ca="1">IF(Tabela58[[#This Row],[valor]]="",0,Tabela58[[#This Row],[valor]])+IF(Tabela58[[#This Row],[pagameto]]="",0,Tabela58[[#This Row],[pagameto]])+E167</f>
        <v>0</v>
      </c>
      <c r="G166" s="124"/>
      <c r="H166" s="196"/>
      <c r="I166" s="123"/>
      <c r="L166" s="46" t="s">
        <v>22</v>
      </c>
      <c r="M166" s="239" t="s">
        <v>47</v>
      </c>
      <c r="N166" s="57" t="s">
        <v>11</v>
      </c>
      <c r="O166" s="60">
        <v>12</v>
      </c>
      <c r="P166" s="182">
        <v>-219</v>
      </c>
      <c r="Q166" s="58">
        <v>24.063856391021716</v>
      </c>
      <c r="R166" s="59">
        <v>46153</v>
      </c>
      <c r="S166" s="57" t="s">
        <v>291</v>
      </c>
      <c r="T166" s="57" t="s">
        <v>147</v>
      </c>
    </row>
    <row r="167" spans="1:20" x14ac:dyDescent="0.25">
      <c r="A167" s="112">
        <f t="shared" ca="1" si="2"/>
        <v>46083</v>
      </c>
      <c r="B1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7" s="189">
        <f ca="1">IF(Tabela58[[#This Row],[valor]]="",0,Tabela58[[#This Row],[valor]])+IF(Tabela58[[#This Row],[pagameto]]="",0,Tabela58[[#This Row],[pagameto]])+E168</f>
        <v>0</v>
      </c>
      <c r="G167" s="124"/>
      <c r="H167" s="196"/>
      <c r="I167" s="123"/>
      <c r="L167" s="46" t="s">
        <v>295</v>
      </c>
      <c r="M167" s="239" t="s">
        <v>275</v>
      </c>
      <c r="N167" s="57" t="s">
        <v>11</v>
      </c>
      <c r="O167" s="60">
        <v>1</v>
      </c>
      <c r="P167" s="182">
        <v>-20</v>
      </c>
      <c r="Q167" s="58">
        <v>3.7553213659184763</v>
      </c>
      <c r="R167" s="59">
        <v>46151</v>
      </c>
      <c r="S167" s="57" t="s">
        <v>92</v>
      </c>
      <c r="T167" s="57" t="s">
        <v>147</v>
      </c>
    </row>
    <row r="168" spans="1:20" x14ac:dyDescent="0.25">
      <c r="A168" s="112">
        <f t="shared" ca="1" si="2"/>
        <v>46082</v>
      </c>
      <c r="B1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8" s="189">
        <f ca="1">IF(Tabela58[[#This Row],[valor]]="",0,Tabela58[[#This Row],[valor]])+IF(Tabela58[[#This Row],[pagameto]]="",0,Tabela58[[#This Row],[pagameto]])+E169</f>
        <v>0</v>
      </c>
      <c r="G168" s="124"/>
      <c r="H168" s="196"/>
      <c r="I168" s="123"/>
      <c r="L168" s="46" t="s">
        <v>22</v>
      </c>
      <c r="M168" s="239" t="s">
        <v>350</v>
      </c>
      <c r="N168" s="57" t="s">
        <v>11</v>
      </c>
      <c r="O168" s="60">
        <v>6</v>
      </c>
      <c r="P168" s="182">
        <v>-109.5</v>
      </c>
      <c r="Q168" s="58">
        <v>12.031928195510858</v>
      </c>
      <c r="R168" s="59">
        <v>46150</v>
      </c>
      <c r="S168" s="57" t="s">
        <v>83</v>
      </c>
      <c r="T168" s="57" t="s">
        <v>147</v>
      </c>
    </row>
    <row r="169" spans="1:20" x14ac:dyDescent="0.25">
      <c r="A169" s="112">
        <f t="shared" ca="1" si="2"/>
        <v>46081</v>
      </c>
      <c r="B1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69" s="189">
        <f ca="1">IF(Tabela58[[#This Row],[valor]]="",0,Tabela58[[#This Row],[valor]])+IF(Tabela58[[#This Row],[pagameto]]="",0,Tabela58[[#This Row],[pagameto]])+E170</f>
        <v>0</v>
      </c>
      <c r="G169" s="124"/>
      <c r="H169" s="196"/>
      <c r="I169" s="123"/>
      <c r="L169" s="46"/>
      <c r="M169" s="63" t="s">
        <v>46</v>
      </c>
      <c r="N169" s="63" t="s">
        <v>41</v>
      </c>
      <c r="O169" s="63" t="s">
        <v>38</v>
      </c>
      <c r="P169" s="150">
        <v>120</v>
      </c>
      <c r="Q169" s="180">
        <v>0</v>
      </c>
      <c r="R169" s="59">
        <v>46150</v>
      </c>
      <c r="S169" s="63" t="s">
        <v>83</v>
      </c>
      <c r="T169" s="63" t="s">
        <v>147</v>
      </c>
    </row>
    <row r="170" spans="1:20" x14ac:dyDescent="0.25">
      <c r="A170" s="112">
        <f t="shared" ca="1" si="2"/>
        <v>46080</v>
      </c>
      <c r="B1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0" s="189">
        <f ca="1">IF(Tabela58[[#This Row],[valor]]="",0,Tabela58[[#This Row],[valor]])+IF(Tabela58[[#This Row],[pagameto]]="",0,Tabela58[[#This Row],[pagameto]])+E171</f>
        <v>0</v>
      </c>
      <c r="G170" s="124"/>
      <c r="H170" s="196"/>
      <c r="I170" s="123"/>
      <c r="L170" s="46" t="s">
        <v>295</v>
      </c>
      <c r="M170" s="239" t="s">
        <v>46</v>
      </c>
      <c r="N170" s="57" t="s">
        <v>10</v>
      </c>
      <c r="O170" s="60">
        <v>1</v>
      </c>
      <c r="P170" s="182">
        <v>-21</v>
      </c>
      <c r="Q170" s="58">
        <v>4.3391534391534421</v>
      </c>
      <c r="R170" s="59">
        <v>46150</v>
      </c>
      <c r="S170" s="57" t="s">
        <v>83</v>
      </c>
      <c r="T170" s="57" t="s">
        <v>147</v>
      </c>
    </row>
    <row r="171" spans="1:20" x14ac:dyDescent="0.25">
      <c r="A171" s="112">
        <f t="shared" ca="1" si="2"/>
        <v>46079</v>
      </c>
      <c r="B1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1" s="189">
        <f ca="1">IF(Tabela58[[#This Row],[valor]]="",0,Tabela58[[#This Row],[valor]])+IF(Tabela58[[#This Row],[pagameto]]="",0,Tabela58[[#This Row],[pagameto]])+E172</f>
        <v>0</v>
      </c>
      <c r="G171" s="124"/>
      <c r="H171" s="196"/>
      <c r="I171" s="123"/>
      <c r="L171" s="46" t="s">
        <v>295</v>
      </c>
      <c r="M171" s="239" t="s">
        <v>46</v>
      </c>
      <c r="N171" s="57" t="s">
        <v>11</v>
      </c>
      <c r="O171" s="60">
        <v>6</v>
      </c>
      <c r="P171" s="182">
        <v>-120</v>
      </c>
      <c r="Q171" s="58">
        <v>22.531928195510858</v>
      </c>
      <c r="R171" s="59">
        <v>46150</v>
      </c>
      <c r="S171" s="57" t="s">
        <v>83</v>
      </c>
      <c r="T171" s="57" t="s">
        <v>147</v>
      </c>
    </row>
    <row r="172" spans="1:20" x14ac:dyDescent="0.25">
      <c r="A172" s="112">
        <f t="shared" ca="1" si="2"/>
        <v>46078</v>
      </c>
      <c r="B1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2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172" s="189">
        <f ca="1">IF(Tabela58[[#This Row],[valor]]="",0,Tabela58[[#This Row],[valor]])+IF(Tabela58[[#This Row],[pagameto]]="",0,Tabela58[[#This Row],[pagameto]])+E173</f>
        <v>0</v>
      </c>
      <c r="G172" s="124"/>
      <c r="H172" s="196"/>
      <c r="I172" s="123"/>
      <c r="L172" s="46"/>
      <c r="M172" s="63" t="s">
        <v>46</v>
      </c>
      <c r="N172" s="63" t="s">
        <v>41</v>
      </c>
      <c r="O172" s="63" t="s">
        <v>38</v>
      </c>
      <c r="P172" s="150">
        <v>120</v>
      </c>
      <c r="Q172" s="180">
        <v>0</v>
      </c>
      <c r="R172" s="59">
        <v>46149</v>
      </c>
      <c r="S172" s="63" t="s">
        <v>294</v>
      </c>
      <c r="T172" s="63" t="s">
        <v>147</v>
      </c>
    </row>
    <row r="173" spans="1:20" x14ac:dyDescent="0.25">
      <c r="A173" s="112">
        <f t="shared" ca="1" si="2"/>
        <v>46077</v>
      </c>
      <c r="B1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3" s="189">
        <f ca="1">IF(Tabela58[[#This Row],[valor]]="",0,Tabela58[[#This Row],[valor]])+IF(Tabela58[[#This Row],[pagameto]]="",0,Tabela58[[#This Row],[pagameto]])+E174</f>
        <v>-22</v>
      </c>
      <c r="G173" s="124"/>
      <c r="H173" s="196"/>
      <c r="I173" s="123"/>
      <c r="L173" s="46" t="s">
        <v>295</v>
      </c>
      <c r="M173" s="239" t="s">
        <v>46</v>
      </c>
      <c r="N173" s="57" t="s">
        <v>11</v>
      </c>
      <c r="O173" s="60">
        <v>6</v>
      </c>
      <c r="P173" s="182">
        <v>-120</v>
      </c>
      <c r="Q173" s="58">
        <v>22.531928195510858</v>
      </c>
      <c r="R173" s="59">
        <v>46149</v>
      </c>
      <c r="S173" s="57" t="s">
        <v>294</v>
      </c>
      <c r="T173" s="57" t="s">
        <v>147</v>
      </c>
    </row>
    <row r="174" spans="1:20" x14ac:dyDescent="0.25">
      <c r="A174" s="112">
        <f t="shared" ca="1" si="2"/>
        <v>46076</v>
      </c>
      <c r="B174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74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1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4" s="189">
        <f ca="1">IF(Tabela58[[#This Row],[valor]]="",0,Tabela58[[#This Row],[valor]])+IF(Tabela58[[#This Row],[pagameto]]="",0,Tabela58[[#This Row],[pagameto]])+E175</f>
        <v>-22</v>
      </c>
      <c r="G174" s="124"/>
      <c r="H174" s="196"/>
      <c r="I174" s="123"/>
      <c r="L174" s="46"/>
      <c r="M174" s="63" t="s">
        <v>328</v>
      </c>
      <c r="N174" s="63" t="s">
        <v>42</v>
      </c>
      <c r="O174" s="63" t="s">
        <v>38</v>
      </c>
      <c r="P174" s="150">
        <v>7</v>
      </c>
      <c r="Q174" s="180">
        <v>0</v>
      </c>
      <c r="R174" s="59">
        <v>46149</v>
      </c>
      <c r="S174" s="63" t="s">
        <v>294</v>
      </c>
      <c r="T174" s="63" t="s">
        <v>147</v>
      </c>
    </row>
    <row r="175" spans="1:20" x14ac:dyDescent="0.25">
      <c r="A175" s="112">
        <f t="shared" ca="1" si="2"/>
        <v>46075</v>
      </c>
      <c r="B1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5" s="189">
        <f ca="1">IF(Tabela58[[#This Row],[valor]]="",0,Tabela58[[#This Row],[valor]])+IF(Tabela58[[#This Row],[pagameto]]="",0,Tabela58[[#This Row],[pagameto]])+E176</f>
        <v>0</v>
      </c>
      <c r="G175" s="124"/>
      <c r="H175" s="196"/>
      <c r="I175" s="123"/>
      <c r="L175" s="46" t="s">
        <v>295</v>
      </c>
      <c r="M175" s="239" t="s">
        <v>328</v>
      </c>
      <c r="N175" s="57" t="s">
        <v>13</v>
      </c>
      <c r="O175" s="60">
        <v>1</v>
      </c>
      <c r="P175" s="182">
        <v>-22</v>
      </c>
      <c r="Q175" s="58">
        <v>4.9166666666666643</v>
      </c>
      <c r="R175" s="59">
        <v>46149</v>
      </c>
      <c r="S175" s="57" t="s">
        <v>294</v>
      </c>
      <c r="T175" s="57" t="s">
        <v>147</v>
      </c>
    </row>
    <row r="176" spans="1:20" x14ac:dyDescent="0.25">
      <c r="A176" s="112">
        <f t="shared" ca="1" si="2"/>
        <v>46074</v>
      </c>
      <c r="B1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6" s="189">
        <f ca="1">IF(Tabela58[[#This Row],[valor]]="",0,Tabela58[[#This Row],[valor]])+IF(Tabela58[[#This Row],[pagameto]]="",0,Tabela58[[#This Row],[pagameto]])+E177</f>
        <v>0</v>
      </c>
      <c r="G176" s="124"/>
      <c r="H176" s="196"/>
      <c r="I176" s="123"/>
      <c r="L176" s="46" t="s">
        <v>295</v>
      </c>
      <c r="M176" s="239" t="s">
        <v>275</v>
      </c>
      <c r="N176" s="57" t="s">
        <v>11</v>
      </c>
      <c r="O176" s="60">
        <v>1</v>
      </c>
      <c r="P176" s="182">
        <v>-20</v>
      </c>
      <c r="Q176" s="58">
        <v>3.7553213659184763</v>
      </c>
      <c r="R176" s="59">
        <v>46148</v>
      </c>
      <c r="S176" s="57" t="s">
        <v>32</v>
      </c>
      <c r="T176" s="57" t="s">
        <v>147</v>
      </c>
    </row>
    <row r="177" spans="1:20" x14ac:dyDescent="0.25">
      <c r="A177" s="112">
        <f t="shared" ca="1" si="2"/>
        <v>46073</v>
      </c>
      <c r="B1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7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23</v>
      </c>
      <c r="E177" s="189">
        <f ca="1">IF(Tabela58[[#This Row],[valor]]="",0,Tabela58[[#This Row],[valor]])+IF(Tabela58[[#This Row],[pagameto]]="",0,Tabela58[[#This Row],[pagameto]])+E178</f>
        <v>0</v>
      </c>
      <c r="G177" s="124"/>
      <c r="H177" s="196"/>
      <c r="I177" s="123"/>
      <c r="L177" s="46"/>
      <c r="M177" s="63" t="s">
        <v>328</v>
      </c>
      <c r="N177" s="63" t="s">
        <v>42</v>
      </c>
      <c r="O177" s="63" t="s">
        <v>38</v>
      </c>
      <c r="P177" s="150">
        <v>22</v>
      </c>
      <c r="Q177" s="180">
        <v>0</v>
      </c>
      <c r="R177" s="59">
        <v>46148</v>
      </c>
      <c r="S177" s="63" t="s">
        <v>32</v>
      </c>
      <c r="T177" s="63" t="s">
        <v>147</v>
      </c>
    </row>
    <row r="178" spans="1:20" x14ac:dyDescent="0.25">
      <c r="A178" s="112">
        <f t="shared" ca="1" si="2"/>
        <v>46072</v>
      </c>
      <c r="B1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8" s="189">
        <f ca="1">IF(Tabela58[[#This Row],[valor]]="",0,Tabela58[[#This Row],[valor]])+IF(Tabela58[[#This Row],[pagameto]]="",0,Tabela58[[#This Row],[pagameto]])+E179</f>
        <v>-23</v>
      </c>
      <c r="G178" s="124"/>
      <c r="H178" s="196"/>
      <c r="I178" s="123"/>
      <c r="L178" s="46"/>
      <c r="M178" s="63" t="s">
        <v>44</v>
      </c>
      <c r="N178" s="63" t="s">
        <v>40</v>
      </c>
      <c r="O178" s="63" t="s">
        <v>38</v>
      </c>
      <c r="P178" s="150">
        <v>114</v>
      </c>
      <c r="Q178" s="180">
        <v>-1.5618000000000001</v>
      </c>
      <c r="R178" s="59">
        <v>46148</v>
      </c>
      <c r="S178" s="63" t="s">
        <v>32</v>
      </c>
      <c r="T178" s="63" t="s">
        <v>147</v>
      </c>
    </row>
    <row r="179" spans="1:20" x14ac:dyDescent="0.25">
      <c r="A179" s="112">
        <f t="shared" ca="1" si="2"/>
        <v>46071</v>
      </c>
      <c r="B1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79" s="189">
        <f ca="1">IF(Tabela58[[#This Row],[valor]]="",0,Tabela58[[#This Row],[valor]])+IF(Tabela58[[#This Row],[pagameto]]="",0,Tabela58[[#This Row],[pagameto]])+E180</f>
        <v>-23</v>
      </c>
      <c r="G179" s="124"/>
      <c r="H179" s="196"/>
      <c r="I179" s="123"/>
      <c r="L179" s="46" t="s">
        <v>22</v>
      </c>
      <c r="M179" s="239" t="s">
        <v>44</v>
      </c>
      <c r="N179" s="57" t="s">
        <v>10</v>
      </c>
      <c r="O179" s="60">
        <v>6</v>
      </c>
      <c r="P179" s="182">
        <v>-114</v>
      </c>
      <c r="Q179" s="58">
        <v>14.034920634920653</v>
      </c>
      <c r="R179" s="59">
        <v>46148</v>
      </c>
      <c r="S179" s="57" t="s">
        <v>32</v>
      </c>
      <c r="T179" s="57" t="s">
        <v>147</v>
      </c>
    </row>
    <row r="180" spans="1:20" x14ac:dyDescent="0.25">
      <c r="A180" s="112">
        <f t="shared" ca="1" si="2"/>
        <v>46070</v>
      </c>
      <c r="B1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0" s="189">
        <f ca="1">IF(Tabela58[[#This Row],[valor]]="",0,Tabela58[[#This Row],[valor]])+IF(Tabela58[[#This Row],[pagameto]]="",0,Tabela58[[#This Row],[pagameto]])+E181</f>
        <v>-23</v>
      </c>
      <c r="G180" s="124"/>
      <c r="H180" s="196"/>
      <c r="I180" s="123"/>
      <c r="L180" s="46" t="s">
        <v>295</v>
      </c>
      <c r="M180" s="239" t="s">
        <v>46</v>
      </c>
      <c r="N180" s="57" t="s">
        <v>11</v>
      </c>
      <c r="O180" s="60">
        <v>6</v>
      </c>
      <c r="P180" s="182">
        <v>-120</v>
      </c>
      <c r="Q180" s="58">
        <v>22.531928195510858</v>
      </c>
      <c r="R180" s="59">
        <v>46148</v>
      </c>
      <c r="S180" s="57" t="s">
        <v>32</v>
      </c>
      <c r="T180" s="57" t="s">
        <v>147</v>
      </c>
    </row>
    <row r="181" spans="1:20" x14ac:dyDescent="0.25">
      <c r="A181" s="112">
        <f t="shared" ca="1" si="2"/>
        <v>46069</v>
      </c>
      <c r="B1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1" s="189">
        <f ca="1">IF(Tabela58[[#This Row],[valor]]="",0,Tabela58[[#This Row],[valor]])+IF(Tabela58[[#This Row],[pagameto]]="",0,Tabela58[[#This Row],[pagameto]])+E182</f>
        <v>-23</v>
      </c>
      <c r="G181" s="124"/>
      <c r="H181" s="196"/>
      <c r="I181" s="123"/>
      <c r="L181" s="46"/>
      <c r="M181" s="63" t="s">
        <v>49</v>
      </c>
      <c r="N181" s="63" t="s">
        <v>39</v>
      </c>
      <c r="O181" s="63" t="s">
        <v>38</v>
      </c>
      <c r="P181" s="150">
        <v>109.5</v>
      </c>
      <c r="Q181" s="180">
        <v>-3.4492500000000001</v>
      </c>
      <c r="R181" s="59">
        <v>46147</v>
      </c>
      <c r="S181" s="63" t="s">
        <v>290</v>
      </c>
      <c r="T181" s="63" t="s">
        <v>147</v>
      </c>
    </row>
    <row r="182" spans="1:20" x14ac:dyDescent="0.25">
      <c r="A182" s="112">
        <f t="shared" ca="1" si="2"/>
        <v>46068</v>
      </c>
      <c r="B1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2" s="189">
        <f ca="1">IF(Tabela58[[#This Row],[valor]]="",0,Tabela58[[#This Row],[valor]])+IF(Tabela58[[#This Row],[pagameto]]="",0,Tabela58[[#This Row],[pagameto]])+E183</f>
        <v>-23</v>
      </c>
      <c r="G182" s="124"/>
      <c r="H182" s="196"/>
      <c r="I182" s="123"/>
      <c r="L182" s="46" t="s">
        <v>22</v>
      </c>
      <c r="M182" s="239" t="s">
        <v>49</v>
      </c>
      <c r="N182" s="57" t="s">
        <v>11</v>
      </c>
      <c r="O182" s="60">
        <v>6</v>
      </c>
      <c r="P182" s="182">
        <v>-109.5</v>
      </c>
      <c r="Q182" s="58">
        <v>12.031928195510858</v>
      </c>
      <c r="R182" s="59">
        <v>46147</v>
      </c>
      <c r="S182" s="57" t="s">
        <v>290</v>
      </c>
      <c r="T182" s="57" t="s">
        <v>147</v>
      </c>
    </row>
    <row r="183" spans="1:20" x14ac:dyDescent="0.25">
      <c r="A183" s="112">
        <f t="shared" ca="1" si="2"/>
        <v>46067</v>
      </c>
      <c r="B183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183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-23</v>
      </c>
      <c r="D1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3" s="189">
        <f ca="1">IF(Tabela58[[#This Row],[valor]]="",0,Tabela58[[#This Row],[valor]])+IF(Tabela58[[#This Row],[pagameto]]="",0,Tabela58[[#This Row],[pagameto]])+E184</f>
        <v>-23</v>
      </c>
      <c r="G183" s="124"/>
      <c r="H183" s="196"/>
      <c r="I183" s="123"/>
      <c r="L183" s="46" t="s">
        <v>295</v>
      </c>
      <c r="M183" s="239" t="s">
        <v>46</v>
      </c>
      <c r="N183" s="57" t="s">
        <v>11</v>
      </c>
      <c r="O183" s="60">
        <v>6</v>
      </c>
      <c r="P183" s="182">
        <v>-120</v>
      </c>
      <c r="Q183" s="58">
        <v>22.531928195510858</v>
      </c>
      <c r="R183" s="59">
        <v>46146</v>
      </c>
      <c r="S183" s="57" t="s">
        <v>291</v>
      </c>
      <c r="T183" s="57" t="s">
        <v>147</v>
      </c>
    </row>
    <row r="184" spans="1:20" x14ac:dyDescent="0.25">
      <c r="A184" s="112">
        <f t="shared" ca="1" si="2"/>
        <v>46066</v>
      </c>
      <c r="B1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4" s="189">
        <f ca="1">IF(Tabela58[[#This Row],[valor]]="",0,Tabela58[[#This Row],[valor]])+IF(Tabela58[[#This Row],[pagameto]]="",0,Tabela58[[#This Row],[pagameto]])+E185</f>
        <v>0</v>
      </c>
      <c r="G184" s="124"/>
      <c r="H184" s="196"/>
      <c r="I184" s="123"/>
      <c r="L184" s="46" t="s">
        <v>22</v>
      </c>
      <c r="M184" s="239" t="s">
        <v>350</v>
      </c>
      <c r="N184" s="57" t="s">
        <v>11</v>
      </c>
      <c r="O184" s="60">
        <v>6</v>
      </c>
      <c r="P184" s="182">
        <v>-109.5</v>
      </c>
      <c r="Q184" s="58">
        <v>12.031928195510858</v>
      </c>
      <c r="R184" s="59">
        <v>46146</v>
      </c>
      <c r="S184" s="57" t="s">
        <v>291</v>
      </c>
      <c r="T184" s="57" t="s">
        <v>147</v>
      </c>
    </row>
    <row r="185" spans="1:20" x14ac:dyDescent="0.25">
      <c r="A185" s="112">
        <f t="shared" ca="1" si="2"/>
        <v>46065</v>
      </c>
      <c r="B1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5" s="189">
        <f ca="1">IF(Tabela58[[#This Row],[valor]]="",0,Tabela58[[#This Row],[valor]])+IF(Tabela58[[#This Row],[pagameto]]="",0,Tabela58[[#This Row],[pagameto]])+E186</f>
        <v>0</v>
      </c>
      <c r="G185" s="124"/>
      <c r="H185" s="196"/>
      <c r="I185" s="123"/>
      <c r="L185" s="46"/>
      <c r="M185" s="63" t="s">
        <v>46</v>
      </c>
      <c r="N185" s="63" t="s">
        <v>41</v>
      </c>
      <c r="O185" s="63" t="s">
        <v>38</v>
      </c>
      <c r="P185" s="150">
        <v>120</v>
      </c>
      <c r="Q185" s="180">
        <v>0</v>
      </c>
      <c r="R185" s="59">
        <v>46146</v>
      </c>
      <c r="S185" s="63" t="s">
        <v>291</v>
      </c>
      <c r="T185" s="63" t="s">
        <v>147</v>
      </c>
    </row>
    <row r="186" spans="1:20" x14ac:dyDescent="0.25">
      <c r="A186" s="112">
        <f t="shared" ca="1" si="2"/>
        <v>46064</v>
      </c>
      <c r="B1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6" s="189">
        <f ca="1">IF(Tabela58[[#This Row],[valor]]="",0,Tabela58[[#This Row],[valor]])+IF(Tabela58[[#This Row],[pagameto]]="",0,Tabela58[[#This Row],[pagameto]])+E187</f>
        <v>0</v>
      </c>
      <c r="G186" s="124"/>
      <c r="H186" s="196"/>
      <c r="I186" s="123"/>
      <c r="L186" s="46"/>
      <c r="M186" s="63" t="s">
        <v>44</v>
      </c>
      <c r="N186" s="63" t="s">
        <v>40</v>
      </c>
      <c r="O186" s="63" t="s">
        <v>38</v>
      </c>
      <c r="P186" s="150">
        <v>66</v>
      </c>
      <c r="Q186" s="180">
        <v>-0.9042</v>
      </c>
      <c r="R186" s="59">
        <v>46146</v>
      </c>
      <c r="S186" s="63" t="s">
        <v>291</v>
      </c>
      <c r="T186" s="63" t="s">
        <v>147</v>
      </c>
    </row>
    <row r="187" spans="1:20" x14ac:dyDescent="0.25">
      <c r="A187" s="112">
        <f t="shared" ca="1" si="2"/>
        <v>46063</v>
      </c>
      <c r="B18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7" s="189">
        <f ca="1">IF(Tabela58[[#This Row],[valor]]="",0,Tabela58[[#This Row],[valor]])+IF(Tabela58[[#This Row],[pagameto]]="",0,Tabela58[[#This Row],[pagameto]])+E188</f>
        <v>0</v>
      </c>
      <c r="G187" s="124"/>
      <c r="H187" s="196"/>
      <c r="I187" s="123"/>
      <c r="L187" s="46" t="s">
        <v>22</v>
      </c>
      <c r="M187" s="239" t="s">
        <v>44</v>
      </c>
      <c r="N187" s="57" t="s">
        <v>14</v>
      </c>
      <c r="O187" s="60">
        <v>3</v>
      </c>
      <c r="P187" s="182">
        <v>-66</v>
      </c>
      <c r="Q187" s="58">
        <v>13.5</v>
      </c>
      <c r="R187" s="59">
        <v>46146</v>
      </c>
      <c r="S187" s="57" t="s">
        <v>291</v>
      </c>
      <c r="T187" s="57" t="s">
        <v>147</v>
      </c>
    </row>
    <row r="188" spans="1:20" x14ac:dyDescent="0.25">
      <c r="A188" s="112">
        <f t="shared" ca="1" si="2"/>
        <v>46062</v>
      </c>
      <c r="B1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8" s="189">
        <f ca="1">IF(Tabela58[[#This Row],[valor]]="",0,Tabela58[[#This Row],[valor]])+IF(Tabela58[[#This Row],[pagameto]]="",0,Tabela58[[#This Row],[pagameto]])+E189</f>
        <v>0</v>
      </c>
      <c r="G188" s="124"/>
      <c r="H188" s="196"/>
      <c r="I188" s="123"/>
      <c r="L188" s="46"/>
      <c r="M188" s="63" t="s">
        <v>275</v>
      </c>
      <c r="N188" s="63" t="s">
        <v>40</v>
      </c>
      <c r="O188" s="63" t="s">
        <v>38</v>
      </c>
      <c r="P188" s="150">
        <v>205</v>
      </c>
      <c r="Q188" s="180">
        <v>-2.8085</v>
      </c>
      <c r="R188" s="59">
        <v>46146</v>
      </c>
      <c r="S188" s="63" t="s">
        <v>291</v>
      </c>
      <c r="T188" s="63" t="s">
        <v>147</v>
      </c>
    </row>
    <row r="189" spans="1:20" x14ac:dyDescent="0.25">
      <c r="A189" s="112">
        <f t="shared" ca="1" si="2"/>
        <v>46061</v>
      </c>
      <c r="B18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8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89" s="189">
        <f ca="1">IF(Tabela58[[#This Row],[valor]]="",0,Tabela58[[#This Row],[valor]])+IF(Tabela58[[#This Row],[pagameto]]="",0,Tabela58[[#This Row],[pagameto]])+E190</f>
        <v>0</v>
      </c>
      <c r="G189" s="124"/>
      <c r="H189" s="196"/>
      <c r="I189" s="123"/>
      <c r="L189" s="46"/>
      <c r="M189" s="63" t="s">
        <v>47</v>
      </c>
      <c r="N189" s="63" t="s">
        <v>41</v>
      </c>
      <c r="O189" s="63" t="s">
        <v>38</v>
      </c>
      <c r="P189" s="150">
        <v>250</v>
      </c>
      <c r="Q189" s="180">
        <v>0</v>
      </c>
      <c r="R189" s="59">
        <v>46146</v>
      </c>
      <c r="S189" s="63" t="s">
        <v>291</v>
      </c>
      <c r="T189" s="63" t="s">
        <v>147</v>
      </c>
    </row>
    <row r="190" spans="1:20" x14ac:dyDescent="0.25">
      <c r="A190" s="112">
        <f t="shared" ca="1" si="2"/>
        <v>46060</v>
      </c>
      <c r="B1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0" s="189">
        <f ca="1">IF(Tabela58[[#This Row],[valor]]="",0,Tabela58[[#This Row],[valor]])+IF(Tabela58[[#This Row],[pagameto]]="",0,Tabela58[[#This Row],[pagameto]])+E191</f>
        <v>0</v>
      </c>
      <c r="G190" s="124"/>
      <c r="H190" s="196"/>
      <c r="I190" s="123"/>
      <c r="L190" s="46"/>
      <c r="M190" s="63" t="s">
        <v>350</v>
      </c>
      <c r="N190" s="63" t="s">
        <v>41</v>
      </c>
      <c r="O190" s="63" t="s">
        <v>38</v>
      </c>
      <c r="P190" s="150">
        <v>375.5</v>
      </c>
      <c r="Q190" s="180">
        <v>0</v>
      </c>
      <c r="R190" s="59">
        <v>46145</v>
      </c>
      <c r="S190" s="63" t="s">
        <v>93</v>
      </c>
      <c r="T190" s="63" t="s">
        <v>147</v>
      </c>
    </row>
    <row r="191" spans="1:20" x14ac:dyDescent="0.25">
      <c r="A191" s="112">
        <f t="shared" ca="1" si="2"/>
        <v>46059</v>
      </c>
      <c r="B1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1" s="189">
        <f ca="1">IF(Tabela58[[#This Row],[valor]]="",0,Tabela58[[#This Row],[valor]])+IF(Tabela58[[#This Row],[pagameto]]="",0,Tabela58[[#This Row],[pagameto]])+E192</f>
        <v>0</v>
      </c>
      <c r="G191" s="124"/>
      <c r="H191" s="196"/>
      <c r="I191" s="123"/>
      <c r="L191" s="46"/>
      <c r="M191" s="63" t="s">
        <v>48</v>
      </c>
      <c r="N191" s="63" t="s">
        <v>41</v>
      </c>
      <c r="O191" s="63" t="s">
        <v>38</v>
      </c>
      <c r="P191" s="150">
        <v>219</v>
      </c>
      <c r="Q191" s="180">
        <v>0</v>
      </c>
      <c r="R191" s="59">
        <v>46145</v>
      </c>
      <c r="S191" s="63" t="s">
        <v>93</v>
      </c>
      <c r="T191" s="63" t="s">
        <v>147</v>
      </c>
    </row>
    <row r="192" spans="1:20" x14ac:dyDescent="0.25">
      <c r="A192" s="112">
        <f t="shared" ca="1" si="2"/>
        <v>46058</v>
      </c>
      <c r="B1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2" s="189">
        <f ca="1">IF(Tabela58[[#This Row],[valor]]="",0,Tabela58[[#This Row],[valor]])+IF(Tabela58[[#This Row],[pagameto]]="",0,Tabela58[[#This Row],[pagameto]])+E193</f>
        <v>0</v>
      </c>
      <c r="G192" s="124"/>
      <c r="H192" s="196"/>
      <c r="I192" s="123"/>
      <c r="L192" s="46" t="s">
        <v>22</v>
      </c>
      <c r="M192" s="239" t="s">
        <v>47</v>
      </c>
      <c r="N192" s="57" t="s">
        <v>10</v>
      </c>
      <c r="O192" s="60">
        <v>12</v>
      </c>
      <c r="P192" s="182">
        <v>-228</v>
      </c>
      <c r="Q192" s="58">
        <v>28.069841269841305</v>
      </c>
      <c r="R192" s="59">
        <v>46144</v>
      </c>
      <c r="S192" s="57" t="s">
        <v>92</v>
      </c>
      <c r="T192" s="57" t="s">
        <v>147</v>
      </c>
    </row>
    <row r="193" spans="1:20" x14ac:dyDescent="0.25">
      <c r="A193" s="112">
        <f t="shared" ca="1" si="2"/>
        <v>46057</v>
      </c>
      <c r="B1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3" s="189">
        <f ca="1">IF(Tabela58[[#This Row],[valor]]="",0,Tabela58[[#This Row],[valor]])+IF(Tabela58[[#This Row],[pagameto]]="",0,Tabela58[[#This Row],[pagameto]])+E194</f>
        <v>0</v>
      </c>
      <c r="G193" s="124"/>
      <c r="H193" s="196"/>
      <c r="I193" s="123"/>
      <c r="L193" s="46"/>
      <c r="M193" s="63" t="s">
        <v>44</v>
      </c>
      <c r="N193" s="63" t="s">
        <v>41</v>
      </c>
      <c r="O193" s="63" t="s">
        <v>38</v>
      </c>
      <c r="P193" s="150">
        <v>219</v>
      </c>
      <c r="Q193" s="180">
        <v>0</v>
      </c>
      <c r="R193" s="59">
        <v>46144</v>
      </c>
      <c r="S193" s="63" t="s">
        <v>92</v>
      </c>
      <c r="T193" s="63" t="s">
        <v>147</v>
      </c>
    </row>
    <row r="194" spans="1:20" x14ac:dyDescent="0.25">
      <c r="A194" s="112">
        <f t="shared" ca="1" si="2"/>
        <v>46056</v>
      </c>
      <c r="B1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4" s="189">
        <f ca="1">IF(Tabela58[[#This Row],[valor]]="",0,Tabela58[[#This Row],[valor]])+IF(Tabela58[[#This Row],[pagameto]]="",0,Tabela58[[#This Row],[pagameto]])+E195</f>
        <v>0</v>
      </c>
      <c r="G194" s="124"/>
      <c r="H194" s="196"/>
      <c r="I194" s="123"/>
      <c r="L194" s="46" t="s">
        <v>22</v>
      </c>
      <c r="M194" s="239" t="s">
        <v>44</v>
      </c>
      <c r="N194" s="57" t="s">
        <v>11</v>
      </c>
      <c r="O194" s="60">
        <v>12</v>
      </c>
      <c r="P194" s="182">
        <v>-219</v>
      </c>
      <c r="Q194" s="58">
        <v>24.063856391021716</v>
      </c>
      <c r="R194" s="59">
        <v>46144</v>
      </c>
      <c r="S194" s="57" t="s">
        <v>92</v>
      </c>
      <c r="T194" s="57" t="s">
        <v>147</v>
      </c>
    </row>
    <row r="195" spans="1:20" x14ac:dyDescent="0.25">
      <c r="A195" s="112">
        <f t="shared" ca="1" si="2"/>
        <v>46055</v>
      </c>
      <c r="B1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5" s="189">
        <f ca="1">IF(Tabela58[[#This Row],[valor]]="",0,Tabela58[[#This Row],[valor]])+IF(Tabela58[[#This Row],[pagameto]]="",0,Tabela58[[#This Row],[pagameto]])+E196</f>
        <v>0</v>
      </c>
      <c r="G195" s="124"/>
      <c r="H195" s="196"/>
      <c r="I195" s="123"/>
      <c r="L195" s="46" t="s">
        <v>295</v>
      </c>
      <c r="M195" s="239" t="s">
        <v>275</v>
      </c>
      <c r="N195" s="57" t="s">
        <v>11</v>
      </c>
      <c r="O195" s="60">
        <v>1</v>
      </c>
      <c r="P195" s="182">
        <v>-20</v>
      </c>
      <c r="Q195" s="58">
        <v>3.797892293266262</v>
      </c>
      <c r="R195" s="59">
        <v>46143</v>
      </c>
      <c r="S195" s="57" t="s">
        <v>83</v>
      </c>
      <c r="T195" s="57" t="s">
        <v>147</v>
      </c>
    </row>
    <row r="196" spans="1:20" x14ac:dyDescent="0.25">
      <c r="A196" s="112">
        <f t="shared" ca="1" si="2"/>
        <v>46054</v>
      </c>
      <c r="B1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6" s="189">
        <f ca="1">IF(Tabela58[[#This Row],[valor]]="",0,Tabela58[[#This Row],[valor]])+IF(Tabela58[[#This Row],[pagameto]]="",0,Tabela58[[#This Row],[pagameto]])+E197</f>
        <v>0</v>
      </c>
      <c r="G196" s="124"/>
      <c r="H196" s="196"/>
      <c r="I196" s="123"/>
      <c r="L196" s="46" t="s">
        <v>295</v>
      </c>
      <c r="M196" s="239" t="s">
        <v>46</v>
      </c>
      <c r="N196" s="57" t="s">
        <v>11</v>
      </c>
      <c r="O196" s="60">
        <v>6</v>
      </c>
      <c r="P196" s="182">
        <v>-120</v>
      </c>
      <c r="Q196" s="58">
        <v>22.787353759597572</v>
      </c>
      <c r="R196" s="59">
        <v>46141</v>
      </c>
      <c r="S196" s="57" t="s">
        <v>32</v>
      </c>
      <c r="T196" s="57" t="s">
        <v>146</v>
      </c>
    </row>
    <row r="197" spans="1:20" x14ac:dyDescent="0.25">
      <c r="A197" s="112">
        <f t="shared" ca="1" si="2"/>
        <v>46053</v>
      </c>
      <c r="B1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7" s="189">
        <f ca="1">IF(Tabela58[[#This Row],[valor]]="",0,Tabela58[[#This Row],[valor]])+IF(Tabela58[[#This Row],[pagameto]]="",0,Tabela58[[#This Row],[pagameto]])+E198</f>
        <v>0</v>
      </c>
      <c r="G197" s="124"/>
      <c r="H197" s="196"/>
      <c r="I197" s="123"/>
      <c r="L197" s="46"/>
      <c r="M197" s="63" t="s">
        <v>46</v>
      </c>
      <c r="N197" s="63" t="s">
        <v>41</v>
      </c>
      <c r="O197" s="63" t="s">
        <v>38</v>
      </c>
      <c r="P197" s="150">
        <v>500</v>
      </c>
      <c r="Q197" s="180">
        <v>0</v>
      </c>
      <c r="R197" s="59">
        <v>46140</v>
      </c>
      <c r="S197" s="63" t="s">
        <v>290</v>
      </c>
      <c r="T197" s="63" t="s">
        <v>146</v>
      </c>
    </row>
    <row r="198" spans="1:20" x14ac:dyDescent="0.25">
      <c r="A198" s="112">
        <f t="shared" ca="1" si="2"/>
        <v>46052</v>
      </c>
      <c r="B1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8" s="189">
        <f ca="1">IF(Tabela58[[#This Row],[valor]]="",0,Tabela58[[#This Row],[valor]])+IF(Tabela58[[#This Row],[pagameto]]="",0,Tabela58[[#This Row],[pagameto]])+E199</f>
        <v>0</v>
      </c>
      <c r="G198" s="124"/>
      <c r="H198" s="196"/>
      <c r="I198" s="123"/>
      <c r="L198" s="46"/>
      <c r="M198" s="63" t="s">
        <v>47</v>
      </c>
      <c r="N198" s="63" t="s">
        <v>41</v>
      </c>
      <c r="O198" s="63" t="s">
        <v>38</v>
      </c>
      <c r="P198" s="150">
        <v>250</v>
      </c>
      <c r="Q198" s="180">
        <v>0</v>
      </c>
      <c r="R198" s="59">
        <v>46140</v>
      </c>
      <c r="S198" s="63" t="s">
        <v>290</v>
      </c>
      <c r="T198" s="63" t="s">
        <v>146</v>
      </c>
    </row>
    <row r="199" spans="1:20" x14ac:dyDescent="0.25">
      <c r="A199" s="112">
        <f t="shared" ca="1" si="2"/>
        <v>46051</v>
      </c>
      <c r="B1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1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1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199" s="189">
        <f ca="1">IF(Tabela58[[#This Row],[valor]]="",0,Tabela58[[#This Row],[valor]])+IF(Tabela58[[#This Row],[pagameto]]="",0,Tabela58[[#This Row],[pagameto]])+E200</f>
        <v>0</v>
      </c>
      <c r="G199" s="124"/>
      <c r="H199" s="196"/>
      <c r="I199" s="123"/>
      <c r="L199" s="46"/>
      <c r="M199" s="63" t="s">
        <v>350</v>
      </c>
      <c r="N199" s="63" t="s">
        <v>41</v>
      </c>
      <c r="O199" s="63" t="s">
        <v>38</v>
      </c>
      <c r="P199" s="150">
        <v>400</v>
      </c>
      <c r="Q199" s="180">
        <v>0</v>
      </c>
      <c r="R199" s="59">
        <v>46140</v>
      </c>
      <c r="S199" s="63" t="s">
        <v>290</v>
      </c>
      <c r="T199" s="63" t="s">
        <v>146</v>
      </c>
    </row>
    <row r="200" spans="1:20" x14ac:dyDescent="0.25">
      <c r="A200" s="112">
        <f t="shared" ca="1" si="2"/>
        <v>46050</v>
      </c>
      <c r="B2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0" s="190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>22</v>
      </c>
      <c r="E200" s="189">
        <f ca="1">IF(Tabela58[[#This Row],[valor]]="",0,Tabela58[[#This Row],[valor]])+IF(Tabela58[[#This Row],[pagameto]]="",0,Tabela58[[#This Row],[pagameto]])+E201</f>
        <v>0</v>
      </c>
      <c r="G200" s="124"/>
      <c r="H200" s="196"/>
      <c r="I200" s="123"/>
      <c r="L200" s="46" t="s">
        <v>22</v>
      </c>
      <c r="M200" s="239" t="s">
        <v>350</v>
      </c>
      <c r="N200" s="57" t="s">
        <v>11</v>
      </c>
      <c r="O200" s="60">
        <v>6</v>
      </c>
      <c r="P200" s="182">
        <v>-109.5</v>
      </c>
      <c r="Q200" s="58">
        <v>12.287353759597572</v>
      </c>
      <c r="R200" s="59">
        <v>46140</v>
      </c>
      <c r="S200" s="57" t="s">
        <v>290</v>
      </c>
      <c r="T200" s="57" t="s">
        <v>146</v>
      </c>
    </row>
    <row r="201" spans="1:20" x14ac:dyDescent="0.25">
      <c r="A201" s="112">
        <f t="shared" ca="1" si="2"/>
        <v>46049</v>
      </c>
      <c r="B20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1" s="189">
        <f ca="1">IF(Tabela58[[#This Row],[valor]]="",0,Tabela58[[#This Row],[valor]])+IF(Tabela58[[#This Row],[pagameto]]="",0,Tabela58[[#This Row],[pagameto]])+E202</f>
        <v>-22</v>
      </c>
      <c r="G201" s="124"/>
      <c r="H201" s="196"/>
      <c r="I201" s="123"/>
      <c r="L201" s="46" t="s">
        <v>22</v>
      </c>
      <c r="M201" s="239" t="s">
        <v>48</v>
      </c>
      <c r="N201" s="57" t="s">
        <v>11</v>
      </c>
      <c r="O201" s="60">
        <v>12</v>
      </c>
      <c r="P201" s="182">
        <v>-219</v>
      </c>
      <c r="Q201" s="58">
        <v>24.574707519195144</v>
      </c>
      <c r="R201" s="59">
        <v>46138</v>
      </c>
      <c r="S201" s="57" t="s">
        <v>93</v>
      </c>
      <c r="T201" s="57" t="s">
        <v>146</v>
      </c>
    </row>
    <row r="202" spans="1:20" x14ac:dyDescent="0.25">
      <c r="A202" s="112">
        <f t="shared" ca="1" si="2"/>
        <v>46048</v>
      </c>
      <c r="B2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2" s="189">
        <f ca="1">IF(Tabela58[[#This Row],[valor]]="",0,Tabela58[[#This Row],[valor]])+IF(Tabela58[[#This Row],[pagameto]]="",0,Tabela58[[#This Row],[pagameto]])+E203</f>
        <v>-22</v>
      </c>
      <c r="G202" s="124"/>
      <c r="H202" s="196"/>
      <c r="I202" s="123"/>
      <c r="L202" s="46"/>
      <c r="M202" s="63" t="s">
        <v>44</v>
      </c>
      <c r="N202" s="63" t="s">
        <v>41</v>
      </c>
      <c r="O202" s="63" t="s">
        <v>38</v>
      </c>
      <c r="P202" s="150">
        <v>114</v>
      </c>
      <c r="Q202" s="180">
        <v>0</v>
      </c>
      <c r="R202" s="59">
        <v>46138</v>
      </c>
      <c r="S202" s="63" t="s">
        <v>93</v>
      </c>
      <c r="T202" s="63" t="s">
        <v>146</v>
      </c>
    </row>
    <row r="203" spans="1:20" x14ac:dyDescent="0.25">
      <c r="A203" s="112">
        <f t="shared" ca="1" si="2"/>
        <v>46047</v>
      </c>
      <c r="B203" s="87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>1</v>
      </c>
      <c r="C203" s="188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>-22</v>
      </c>
      <c r="D2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3" s="189">
        <f ca="1">IF(Tabela58[[#This Row],[valor]]="",0,Tabela58[[#This Row],[valor]])+IF(Tabela58[[#This Row],[pagameto]]="",0,Tabela58[[#This Row],[pagameto]])+E204</f>
        <v>-22</v>
      </c>
      <c r="G203" s="124"/>
      <c r="H203" s="196"/>
      <c r="I203" s="123"/>
      <c r="L203" s="46" t="s">
        <v>22</v>
      </c>
      <c r="M203" s="239" t="s">
        <v>44</v>
      </c>
      <c r="N203" s="57" t="s">
        <v>10</v>
      </c>
      <c r="O203" s="60">
        <v>6</v>
      </c>
      <c r="P203" s="182">
        <v>-114</v>
      </c>
      <c r="Q203" s="58">
        <v>14.06666666666667</v>
      </c>
      <c r="R203" s="59">
        <v>46138</v>
      </c>
      <c r="S203" s="57" t="s">
        <v>93</v>
      </c>
      <c r="T203" s="57" t="s">
        <v>146</v>
      </c>
    </row>
    <row r="204" spans="1:20" x14ac:dyDescent="0.25">
      <c r="A204" s="112">
        <f t="shared" ca="1" si="2"/>
        <v>46046</v>
      </c>
      <c r="B2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4" s="189">
        <f ca="1">IF(Tabela58[[#This Row],[valor]]="",0,Tabela58[[#This Row],[valor]])+IF(Tabela58[[#This Row],[pagameto]]="",0,Tabela58[[#This Row],[pagameto]])+E205</f>
        <v>0</v>
      </c>
      <c r="G204" s="124"/>
      <c r="H204" s="196"/>
      <c r="I204" s="123"/>
      <c r="L204" s="46" t="s">
        <v>295</v>
      </c>
      <c r="M204" s="239" t="s">
        <v>275</v>
      </c>
      <c r="N204" s="57" t="s">
        <v>10</v>
      </c>
      <c r="O204" s="60">
        <v>1</v>
      </c>
      <c r="P204" s="182">
        <v>-21</v>
      </c>
      <c r="Q204" s="58">
        <v>4.344444444444445</v>
      </c>
      <c r="R204" s="59">
        <v>46138</v>
      </c>
      <c r="S204" s="57" t="s">
        <v>93</v>
      </c>
      <c r="T204" s="57" t="s">
        <v>146</v>
      </c>
    </row>
    <row r="205" spans="1:20" x14ac:dyDescent="0.25">
      <c r="A205" s="112">
        <f t="shared" ca="1" si="2"/>
        <v>46045</v>
      </c>
      <c r="B2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5" s="189">
        <f ca="1">IF(Tabela58[[#This Row],[valor]]="",0,Tabela58[[#This Row],[valor]])+IF(Tabela58[[#This Row],[pagameto]]="",0,Tabela58[[#This Row],[pagameto]])+E206</f>
        <v>0</v>
      </c>
      <c r="G205" s="124"/>
      <c r="H205" s="196"/>
      <c r="I205" s="123"/>
      <c r="L205" s="46" t="s">
        <v>22</v>
      </c>
      <c r="M205" s="239" t="s">
        <v>350</v>
      </c>
      <c r="N205" s="57" t="s">
        <v>11</v>
      </c>
      <c r="O205" s="60">
        <v>6</v>
      </c>
      <c r="P205" s="182">
        <v>-109.5</v>
      </c>
      <c r="Q205" s="58">
        <v>12.287353759597572</v>
      </c>
      <c r="R205" s="59">
        <v>46137</v>
      </c>
      <c r="S205" s="57" t="s">
        <v>92</v>
      </c>
      <c r="T205" s="57" t="s">
        <v>146</v>
      </c>
    </row>
    <row r="206" spans="1:20" x14ac:dyDescent="0.25">
      <c r="A206" s="112">
        <f t="shared" ca="1" si="2"/>
        <v>46044</v>
      </c>
      <c r="B2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6" s="189">
        <f ca="1">IF(Tabela58[[#This Row],[valor]]="",0,Tabela58[[#This Row],[valor]])+IF(Tabela58[[#This Row],[pagameto]]="",0,Tabela58[[#This Row],[pagameto]])+E207</f>
        <v>0</v>
      </c>
      <c r="G206" s="124"/>
      <c r="H206" s="196"/>
      <c r="I206" s="123"/>
      <c r="L206" s="46"/>
      <c r="M206" s="63" t="s">
        <v>44</v>
      </c>
      <c r="N206" s="63" t="s">
        <v>41</v>
      </c>
      <c r="O206" s="63" t="s">
        <v>38</v>
      </c>
      <c r="P206" s="150">
        <v>120</v>
      </c>
      <c r="Q206" s="180">
        <v>0</v>
      </c>
      <c r="R206" s="59">
        <v>46136</v>
      </c>
      <c r="S206" s="63" t="s">
        <v>83</v>
      </c>
      <c r="T206" s="63" t="s">
        <v>146</v>
      </c>
    </row>
    <row r="207" spans="1:20" x14ac:dyDescent="0.25">
      <c r="A207" s="112">
        <f t="shared" ca="1" si="2"/>
        <v>46043</v>
      </c>
      <c r="B2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7" s="189">
        <f ca="1">IF(Tabela58[[#This Row],[valor]]="",0,Tabela58[[#This Row],[valor]])+IF(Tabela58[[#This Row],[pagameto]]="",0,Tabela58[[#This Row],[pagameto]])+E208</f>
        <v>0</v>
      </c>
      <c r="G207" s="124"/>
      <c r="H207" s="196"/>
      <c r="I207" s="123"/>
      <c r="L207" s="46" t="s">
        <v>22</v>
      </c>
      <c r="M207" s="239" t="s">
        <v>44</v>
      </c>
      <c r="N207" s="57" t="s">
        <v>13</v>
      </c>
      <c r="O207" s="60">
        <v>6</v>
      </c>
      <c r="P207" s="182">
        <v>-120</v>
      </c>
      <c r="Q207" s="58">
        <v>17.500000000000007</v>
      </c>
      <c r="R207" s="59">
        <v>46136</v>
      </c>
      <c r="S207" s="57" t="s">
        <v>83</v>
      </c>
      <c r="T207" s="57" t="s">
        <v>146</v>
      </c>
    </row>
    <row r="208" spans="1:20" x14ac:dyDescent="0.25">
      <c r="A208" s="112">
        <f t="shared" ca="1" si="2"/>
        <v>46042</v>
      </c>
      <c r="B2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8" s="189">
        <f ca="1">IF(Tabela58[[#This Row],[valor]]="",0,Tabela58[[#This Row],[valor]])+IF(Tabela58[[#This Row],[pagameto]]="",0,Tabela58[[#This Row],[pagameto]])+E209</f>
        <v>0</v>
      </c>
      <c r="G208" s="124"/>
      <c r="H208" s="196"/>
      <c r="I208" s="123"/>
      <c r="L208" s="46" t="s">
        <v>295</v>
      </c>
      <c r="M208" s="239" t="s">
        <v>275</v>
      </c>
      <c r="N208" s="57" t="s">
        <v>13</v>
      </c>
      <c r="O208" s="60">
        <v>1</v>
      </c>
      <c r="P208" s="182">
        <v>-22</v>
      </c>
      <c r="Q208" s="58">
        <v>4.9166666666666679</v>
      </c>
      <c r="R208" s="59">
        <v>46135</v>
      </c>
      <c r="S208" s="57" t="s">
        <v>294</v>
      </c>
      <c r="T208" s="57" t="s">
        <v>146</v>
      </c>
    </row>
    <row r="209" spans="1:20" x14ac:dyDescent="0.25">
      <c r="A209" s="112">
        <f t="shared" ca="1" si="2"/>
        <v>46041</v>
      </c>
      <c r="B2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09" s="189">
        <f ca="1">IF(Tabela58[[#This Row],[valor]]="",0,Tabela58[[#This Row],[valor]])+IF(Tabela58[[#This Row],[pagameto]]="",0,Tabela58[[#This Row],[pagameto]])+E210</f>
        <v>0</v>
      </c>
      <c r="G209" s="124"/>
      <c r="H209" s="196"/>
      <c r="I209" s="123"/>
      <c r="L209" s="46" t="s">
        <v>22</v>
      </c>
      <c r="M209" s="239" t="s">
        <v>47</v>
      </c>
      <c r="N209" s="57" t="s">
        <v>10</v>
      </c>
      <c r="O209" s="60">
        <v>12</v>
      </c>
      <c r="P209" s="182">
        <v>-228</v>
      </c>
      <c r="Q209" s="58">
        <v>28.13333333333334</v>
      </c>
      <c r="R209" s="59">
        <v>46135</v>
      </c>
      <c r="S209" s="57" t="s">
        <v>294</v>
      </c>
      <c r="T209" s="57" t="s">
        <v>146</v>
      </c>
    </row>
    <row r="210" spans="1:20" x14ac:dyDescent="0.25">
      <c r="A210" s="112">
        <f t="shared" ca="1" si="2"/>
        <v>46040</v>
      </c>
      <c r="B2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0" s="189">
        <f ca="1">IF(Tabela58[[#This Row],[valor]]="",0,Tabela58[[#This Row],[valor]])+IF(Tabela58[[#This Row],[pagameto]]="",0,Tabela58[[#This Row],[pagameto]])+E211</f>
        <v>0</v>
      </c>
      <c r="G210" s="124"/>
      <c r="H210" s="196"/>
      <c r="I210" s="123"/>
      <c r="L210" s="46" t="s">
        <v>22</v>
      </c>
      <c r="M210" s="239" t="s">
        <v>350</v>
      </c>
      <c r="N210" s="57" t="s">
        <v>10</v>
      </c>
      <c r="O210" s="60">
        <v>6</v>
      </c>
      <c r="P210" s="182">
        <v>-114</v>
      </c>
      <c r="Q210" s="58">
        <v>14.06666666666667</v>
      </c>
      <c r="R210" s="59">
        <v>46135</v>
      </c>
      <c r="S210" s="57" t="s">
        <v>294</v>
      </c>
      <c r="T210" s="57" t="s">
        <v>146</v>
      </c>
    </row>
    <row r="211" spans="1:20" x14ac:dyDescent="0.25">
      <c r="A211" s="112">
        <f t="shared" ref="A211:A274" ca="1" si="3">A210-1</f>
        <v>46039</v>
      </c>
      <c r="B2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1" s="189">
        <f ca="1">IF(Tabela58[[#This Row],[valor]]="",0,Tabela58[[#This Row],[valor]])+IF(Tabela58[[#This Row],[pagameto]]="",0,Tabela58[[#This Row],[pagameto]])+E212</f>
        <v>0</v>
      </c>
      <c r="G211" s="124"/>
      <c r="H211" s="196"/>
      <c r="I211" s="123"/>
      <c r="L211" s="46" t="s">
        <v>22</v>
      </c>
      <c r="M211" s="239" t="s">
        <v>350</v>
      </c>
      <c r="N211" s="57" t="s">
        <v>10</v>
      </c>
      <c r="O211" s="60">
        <v>6</v>
      </c>
      <c r="P211" s="182">
        <v>-114</v>
      </c>
      <c r="Q211" s="58">
        <v>14.06666666666667</v>
      </c>
      <c r="R211" s="59">
        <v>46134</v>
      </c>
      <c r="S211" s="57" t="s">
        <v>32</v>
      </c>
      <c r="T211" s="57" t="s">
        <v>146</v>
      </c>
    </row>
    <row r="212" spans="1:20" x14ac:dyDescent="0.25">
      <c r="A212" s="112">
        <f t="shared" ca="1" si="3"/>
        <v>46038</v>
      </c>
      <c r="B2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2" s="189">
        <f ca="1">IF(Tabela58[[#This Row],[valor]]="",0,Tabela58[[#This Row],[valor]])+IF(Tabela58[[#This Row],[pagameto]]="",0,Tabela58[[#This Row],[pagameto]])+E213</f>
        <v>0</v>
      </c>
      <c r="G212" s="124"/>
      <c r="H212" s="196"/>
      <c r="I212" s="123"/>
      <c r="L212" s="46"/>
      <c r="M212" s="63" t="s">
        <v>46</v>
      </c>
      <c r="N212" s="63" t="s">
        <v>41</v>
      </c>
      <c r="O212" s="63" t="s">
        <v>38</v>
      </c>
      <c r="P212" s="150">
        <v>91.25</v>
      </c>
      <c r="Q212" s="180">
        <v>0</v>
      </c>
      <c r="R212" s="59">
        <v>46134</v>
      </c>
      <c r="S212" s="63" t="s">
        <v>32</v>
      </c>
      <c r="T212" s="63" t="s">
        <v>146</v>
      </c>
    </row>
    <row r="213" spans="1:20" x14ac:dyDescent="0.25">
      <c r="A213" s="112">
        <f t="shared" ca="1" si="3"/>
        <v>46037</v>
      </c>
      <c r="B2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3" s="189">
        <f ca="1">IF(Tabela58[[#This Row],[valor]]="",0,Tabela58[[#This Row],[valor]])+IF(Tabela58[[#This Row],[pagameto]]="",0,Tabela58[[#This Row],[pagameto]])+E214</f>
        <v>0</v>
      </c>
      <c r="G213" s="124"/>
      <c r="H213" s="196"/>
      <c r="I213" s="123"/>
      <c r="L213" s="46" t="s">
        <v>22</v>
      </c>
      <c r="M213" s="239" t="s">
        <v>46</v>
      </c>
      <c r="N213" s="57" t="s">
        <v>11</v>
      </c>
      <c r="O213" s="60">
        <v>5</v>
      </c>
      <c r="P213" s="182">
        <v>-91.25</v>
      </c>
      <c r="Q213" s="58">
        <v>10.23946146633131</v>
      </c>
      <c r="R213" s="59">
        <v>46134</v>
      </c>
      <c r="S213" s="57" t="s">
        <v>32</v>
      </c>
      <c r="T213" s="57" t="s">
        <v>146</v>
      </c>
    </row>
    <row r="214" spans="1:20" x14ac:dyDescent="0.25">
      <c r="A214" s="112">
        <f t="shared" ca="1" si="3"/>
        <v>46036</v>
      </c>
      <c r="B2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4" s="189">
        <f ca="1">IF(Tabela58[[#This Row],[valor]]="",0,Tabela58[[#This Row],[valor]])+IF(Tabela58[[#This Row],[pagameto]]="",0,Tabela58[[#This Row],[pagameto]])+E215</f>
        <v>0</v>
      </c>
      <c r="G214" s="124"/>
      <c r="H214" s="196"/>
      <c r="I214" s="123"/>
      <c r="L214" s="46" t="s">
        <v>22</v>
      </c>
      <c r="M214" s="239" t="s">
        <v>350</v>
      </c>
      <c r="N214" s="57" t="s">
        <v>11</v>
      </c>
      <c r="O214" s="60">
        <v>6</v>
      </c>
      <c r="P214" s="182">
        <v>-109.5</v>
      </c>
      <c r="Q214" s="58">
        <v>12.287353759597572</v>
      </c>
      <c r="R214" s="59">
        <v>46133</v>
      </c>
      <c r="S214" s="57" t="s">
        <v>290</v>
      </c>
      <c r="T214" s="57" t="s">
        <v>146</v>
      </c>
    </row>
    <row r="215" spans="1:20" x14ac:dyDescent="0.25">
      <c r="A215" s="112">
        <f t="shared" ca="1" si="3"/>
        <v>46035</v>
      </c>
      <c r="B2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5" s="189">
        <f ca="1">IF(Tabela58[[#This Row],[valor]]="",0,Tabela58[[#This Row],[valor]])+IF(Tabela58[[#This Row],[pagameto]]="",0,Tabela58[[#This Row],[pagameto]])+E216</f>
        <v>0</v>
      </c>
      <c r="G215" s="124"/>
      <c r="H215" s="196"/>
      <c r="I215" s="123"/>
      <c r="L215" s="46"/>
      <c r="M215" s="63" t="s">
        <v>44</v>
      </c>
      <c r="N215" s="63" t="s">
        <v>40</v>
      </c>
      <c r="O215" s="63" t="s">
        <v>38</v>
      </c>
      <c r="P215" s="150">
        <v>120</v>
      </c>
      <c r="Q215" s="180">
        <v>-1.6440000000000001</v>
      </c>
      <c r="R215" s="59">
        <v>46133</v>
      </c>
      <c r="S215" s="63" t="s">
        <v>290</v>
      </c>
      <c r="T215" s="63" t="s">
        <v>146</v>
      </c>
    </row>
    <row r="216" spans="1:20" x14ac:dyDescent="0.25">
      <c r="A216" s="112">
        <f t="shared" ca="1" si="3"/>
        <v>46034</v>
      </c>
      <c r="B2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6" s="189">
        <f ca="1">IF(Tabela58[[#This Row],[valor]]="",0,Tabela58[[#This Row],[valor]])+IF(Tabela58[[#This Row],[pagameto]]="",0,Tabela58[[#This Row],[pagameto]])+E217</f>
        <v>0</v>
      </c>
      <c r="G216" s="124"/>
      <c r="H216" s="196"/>
      <c r="I216" s="123"/>
      <c r="L216" s="46" t="s">
        <v>22</v>
      </c>
      <c r="M216" s="239" t="s">
        <v>44</v>
      </c>
      <c r="N216" s="57" t="s">
        <v>13</v>
      </c>
      <c r="O216" s="60">
        <v>6</v>
      </c>
      <c r="P216" s="182">
        <v>-120</v>
      </c>
      <c r="Q216" s="58">
        <v>17.500000000000007</v>
      </c>
      <c r="R216" s="59">
        <v>46133</v>
      </c>
      <c r="S216" s="57" t="s">
        <v>290</v>
      </c>
      <c r="T216" s="57" t="s">
        <v>146</v>
      </c>
    </row>
    <row r="217" spans="1:20" x14ac:dyDescent="0.25">
      <c r="A217" s="112">
        <f t="shared" ca="1" si="3"/>
        <v>46033</v>
      </c>
      <c r="B2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7" s="189">
        <f ca="1">IF(Tabela58[[#This Row],[valor]]="",0,Tabela58[[#This Row],[valor]])+IF(Tabela58[[#This Row],[pagameto]]="",0,Tabela58[[#This Row],[pagameto]])+E218</f>
        <v>0</v>
      </c>
      <c r="G217" s="124"/>
      <c r="H217" s="196"/>
      <c r="I217" s="123"/>
      <c r="L217" s="46"/>
      <c r="M217" s="63" t="s">
        <v>350</v>
      </c>
      <c r="N217" s="63" t="s">
        <v>41</v>
      </c>
      <c r="O217" s="63" t="s">
        <v>38</v>
      </c>
      <c r="P217" s="150">
        <v>219</v>
      </c>
      <c r="Q217" s="180">
        <v>0</v>
      </c>
      <c r="R217" s="59">
        <v>46133</v>
      </c>
      <c r="S217" s="63" t="s">
        <v>290</v>
      </c>
      <c r="T217" s="63" t="s">
        <v>146</v>
      </c>
    </row>
    <row r="218" spans="1:20" x14ac:dyDescent="0.25">
      <c r="A218" s="112">
        <f t="shared" ca="1" si="3"/>
        <v>46032</v>
      </c>
      <c r="B2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8" s="189">
        <f ca="1">IF(Tabela58[[#This Row],[valor]]="",0,Tabela58[[#This Row],[valor]])+IF(Tabela58[[#This Row],[pagameto]]="",0,Tabela58[[#This Row],[pagameto]])+E219</f>
        <v>0</v>
      </c>
      <c r="G218" s="124"/>
      <c r="H218" s="196"/>
      <c r="I218" s="123"/>
      <c r="L218" s="46"/>
      <c r="M218" s="63" t="s">
        <v>44</v>
      </c>
      <c r="N218" s="63" t="s">
        <v>41</v>
      </c>
      <c r="O218" s="63" t="s">
        <v>38</v>
      </c>
      <c r="P218" s="150">
        <v>114</v>
      </c>
      <c r="Q218" s="180">
        <v>0</v>
      </c>
      <c r="R218" s="59">
        <v>46132</v>
      </c>
      <c r="S218" s="63" t="s">
        <v>291</v>
      </c>
      <c r="T218" s="63" t="s">
        <v>146</v>
      </c>
    </row>
    <row r="219" spans="1:20" x14ac:dyDescent="0.25">
      <c r="A219" s="112">
        <f t="shared" ca="1" si="3"/>
        <v>46031</v>
      </c>
      <c r="B2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19" s="189">
        <f ca="1">IF(Tabela58[[#This Row],[valor]]="",0,Tabela58[[#This Row],[valor]])+IF(Tabela58[[#This Row],[pagameto]]="",0,Tabela58[[#This Row],[pagameto]])+E220</f>
        <v>0</v>
      </c>
      <c r="G219" s="124"/>
      <c r="H219" s="196"/>
      <c r="I219" s="123"/>
      <c r="L219" s="46" t="s">
        <v>22</v>
      </c>
      <c r="M219" s="239" t="s">
        <v>44</v>
      </c>
      <c r="N219" s="57" t="s">
        <v>10</v>
      </c>
      <c r="O219" s="60">
        <v>6</v>
      </c>
      <c r="P219" s="182">
        <v>-114</v>
      </c>
      <c r="Q219" s="58">
        <v>14.399999999999991</v>
      </c>
      <c r="R219" s="59">
        <v>46132</v>
      </c>
      <c r="S219" s="57" t="s">
        <v>291</v>
      </c>
      <c r="T219" s="57" t="s">
        <v>146</v>
      </c>
    </row>
    <row r="220" spans="1:20" x14ac:dyDescent="0.25">
      <c r="A220" s="112">
        <f t="shared" ca="1" si="3"/>
        <v>46030</v>
      </c>
      <c r="B2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0" s="189">
        <f ca="1">IF(Tabela58[[#This Row],[valor]]="",0,Tabela58[[#This Row],[valor]])+IF(Tabela58[[#This Row],[pagameto]]="",0,Tabela58[[#This Row],[pagameto]])+E221</f>
        <v>0</v>
      </c>
      <c r="G220" s="124"/>
      <c r="H220" s="196"/>
      <c r="I220" s="123"/>
      <c r="L220" s="46"/>
      <c r="M220" s="63" t="s">
        <v>48</v>
      </c>
      <c r="N220" s="63" t="s">
        <v>41</v>
      </c>
      <c r="O220" s="63" t="s">
        <v>38</v>
      </c>
      <c r="P220" s="150">
        <v>219</v>
      </c>
      <c r="Q220" s="180">
        <v>0</v>
      </c>
      <c r="R220" s="59">
        <v>46132</v>
      </c>
      <c r="S220" s="63" t="s">
        <v>291</v>
      </c>
      <c r="T220" s="63" t="s">
        <v>146</v>
      </c>
    </row>
    <row r="221" spans="1:20" x14ac:dyDescent="0.25">
      <c r="A221" s="112">
        <f t="shared" ca="1" si="3"/>
        <v>46029</v>
      </c>
      <c r="B2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1" s="189">
        <f ca="1">IF(Tabela58[[#This Row],[valor]]="",0,Tabela58[[#This Row],[valor]])+IF(Tabela58[[#This Row],[pagameto]]="",0,Tabela58[[#This Row],[pagameto]])+E222</f>
        <v>0</v>
      </c>
      <c r="G221" s="124"/>
      <c r="H221" s="196"/>
      <c r="I221" s="123"/>
      <c r="L221" s="46"/>
      <c r="M221" s="63" t="s">
        <v>44</v>
      </c>
      <c r="N221" s="63" t="s">
        <v>42</v>
      </c>
      <c r="O221" s="63" t="s">
        <v>38</v>
      </c>
      <c r="P221" s="150">
        <v>50</v>
      </c>
      <c r="Q221" s="180">
        <v>0</v>
      </c>
      <c r="R221" s="59">
        <v>46132</v>
      </c>
      <c r="S221" s="63" t="s">
        <v>291</v>
      </c>
      <c r="T221" s="63" t="s">
        <v>146</v>
      </c>
    </row>
    <row r="222" spans="1:20" x14ac:dyDescent="0.25">
      <c r="A222" s="112">
        <f t="shared" ca="1" si="3"/>
        <v>46028</v>
      </c>
      <c r="B2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2" s="189">
        <f ca="1">IF(Tabela58[[#This Row],[valor]]="",0,Tabela58[[#This Row],[valor]])+IF(Tabela58[[#This Row],[pagameto]]="",0,Tabela58[[#This Row],[pagameto]])+E223</f>
        <v>0</v>
      </c>
      <c r="G222" s="124"/>
      <c r="H222" s="196"/>
      <c r="I222" s="123"/>
      <c r="L222" s="46"/>
      <c r="M222" s="63" t="s">
        <v>44</v>
      </c>
      <c r="N222" s="63" t="s">
        <v>41</v>
      </c>
      <c r="O222" s="63" t="s">
        <v>38</v>
      </c>
      <c r="P222" s="150">
        <v>64</v>
      </c>
      <c r="Q222" s="180">
        <v>0</v>
      </c>
      <c r="R222" s="59">
        <v>46132</v>
      </c>
      <c r="S222" s="63" t="s">
        <v>291</v>
      </c>
      <c r="T222" s="63" t="s">
        <v>146</v>
      </c>
    </row>
    <row r="223" spans="1:20" x14ac:dyDescent="0.25">
      <c r="A223" s="112">
        <f t="shared" ca="1" si="3"/>
        <v>46027</v>
      </c>
      <c r="B2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3" s="189">
        <f ca="1">IF(Tabela58[[#This Row],[valor]]="",0,Tabela58[[#This Row],[valor]])+IF(Tabela58[[#This Row],[pagameto]]="",0,Tabela58[[#This Row],[pagameto]])+E224</f>
        <v>0</v>
      </c>
      <c r="G223" s="124"/>
      <c r="H223" s="196"/>
      <c r="I223" s="123"/>
      <c r="L223" s="46" t="s">
        <v>22</v>
      </c>
      <c r="M223" s="239" t="s">
        <v>44</v>
      </c>
      <c r="N223" s="57" t="s">
        <v>10</v>
      </c>
      <c r="O223" s="60">
        <v>6</v>
      </c>
      <c r="P223" s="182">
        <v>-114</v>
      </c>
      <c r="Q223" s="58">
        <v>14.399999999999991</v>
      </c>
      <c r="R223" s="59">
        <v>46132</v>
      </c>
      <c r="S223" s="57" t="s">
        <v>291</v>
      </c>
      <c r="T223" s="57" t="s">
        <v>146</v>
      </c>
    </row>
    <row r="224" spans="1:20" x14ac:dyDescent="0.25">
      <c r="A224" s="112">
        <f t="shared" ca="1" si="3"/>
        <v>46026</v>
      </c>
      <c r="B2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4" s="189">
        <f ca="1">IF(Tabela58[[#This Row],[valor]]="",0,Tabela58[[#This Row],[valor]])+IF(Tabela58[[#This Row],[pagameto]]="",0,Tabela58[[#This Row],[pagameto]])+E225</f>
        <v>0</v>
      </c>
      <c r="G224" s="124"/>
      <c r="H224" s="196"/>
      <c r="I224" s="123"/>
      <c r="L224" s="46" t="s">
        <v>22</v>
      </c>
      <c r="M224" s="239" t="s">
        <v>350</v>
      </c>
      <c r="N224" s="57" t="s">
        <v>11</v>
      </c>
      <c r="O224" s="60">
        <v>6</v>
      </c>
      <c r="P224" s="182">
        <v>-109.5</v>
      </c>
      <c r="Q224" s="58">
        <v>12.429062462960758</v>
      </c>
      <c r="R224" s="59">
        <v>46132</v>
      </c>
      <c r="S224" s="57" t="s">
        <v>291</v>
      </c>
      <c r="T224" s="57" t="s">
        <v>146</v>
      </c>
    </row>
    <row r="225" spans="1:20" x14ac:dyDescent="0.25">
      <c r="A225" s="112">
        <f t="shared" ca="1" si="3"/>
        <v>46025</v>
      </c>
      <c r="B2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5" s="189">
        <f ca="1">IF(Tabela58[[#This Row],[valor]]="",0,Tabela58[[#This Row],[valor]])+IF(Tabela58[[#This Row],[pagameto]]="",0,Tabela58[[#This Row],[pagameto]])+E226</f>
        <v>0</v>
      </c>
      <c r="G225" s="124"/>
      <c r="H225" s="196"/>
      <c r="I225" s="123"/>
      <c r="L225" s="46"/>
      <c r="M225" s="63" t="s">
        <v>47</v>
      </c>
      <c r="N225" s="63" t="s">
        <v>41</v>
      </c>
      <c r="O225" s="63" t="s">
        <v>38</v>
      </c>
      <c r="P225" s="150">
        <v>250</v>
      </c>
      <c r="Q225" s="180">
        <v>0</v>
      </c>
      <c r="R225" s="59">
        <v>46131</v>
      </c>
      <c r="S225" s="63" t="s">
        <v>93</v>
      </c>
      <c r="T225" s="63" t="s">
        <v>146</v>
      </c>
    </row>
    <row r="226" spans="1:20" x14ac:dyDescent="0.25">
      <c r="A226" s="112">
        <f t="shared" ca="1" si="3"/>
        <v>46024</v>
      </c>
      <c r="B2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6" s="189">
        <f ca="1">IF(Tabela58[[#This Row],[valor]]="",0,Tabela58[[#This Row],[valor]])+IF(Tabela58[[#This Row],[pagameto]]="",0,Tabela58[[#This Row],[pagameto]])+E227</f>
        <v>0</v>
      </c>
      <c r="G226" s="124"/>
      <c r="H226" s="196"/>
      <c r="I226" s="123"/>
      <c r="L226" s="46" t="s">
        <v>295</v>
      </c>
      <c r="M226" s="239" t="s">
        <v>328</v>
      </c>
      <c r="N226" s="57" t="s">
        <v>13</v>
      </c>
      <c r="O226" s="60">
        <v>1</v>
      </c>
      <c r="P226" s="182">
        <v>-22</v>
      </c>
      <c r="Q226" s="58">
        <v>6.1666666666666661</v>
      </c>
      <c r="R226" s="59">
        <v>46131</v>
      </c>
      <c r="S226" s="57" t="s">
        <v>93</v>
      </c>
      <c r="T226" s="57" t="s">
        <v>146</v>
      </c>
    </row>
    <row r="227" spans="1:20" x14ac:dyDescent="0.25">
      <c r="A227" s="112">
        <f t="shared" ca="1" si="3"/>
        <v>46023</v>
      </c>
      <c r="B2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7" s="189">
        <f ca="1">IF(Tabela58[[#This Row],[valor]]="",0,Tabela58[[#This Row],[valor]])+IF(Tabela58[[#This Row],[pagameto]]="",0,Tabela58[[#This Row],[pagameto]])+E228</f>
        <v>0</v>
      </c>
      <c r="G227" s="124"/>
      <c r="H227" s="196"/>
      <c r="I227" s="123"/>
      <c r="L227" s="46" t="s">
        <v>22</v>
      </c>
      <c r="M227" s="239" t="s">
        <v>350</v>
      </c>
      <c r="N227" s="57" t="s">
        <v>11</v>
      </c>
      <c r="O227" s="60">
        <v>6</v>
      </c>
      <c r="P227" s="182">
        <v>-109.5</v>
      </c>
      <c r="Q227" s="58">
        <v>12.429062462960758</v>
      </c>
      <c r="R227" s="59">
        <v>46131</v>
      </c>
      <c r="S227" s="57" t="s">
        <v>93</v>
      </c>
      <c r="T227" s="57" t="s">
        <v>146</v>
      </c>
    </row>
    <row r="228" spans="1:20" x14ac:dyDescent="0.25">
      <c r="A228" s="112">
        <f t="shared" ca="1" si="3"/>
        <v>46022</v>
      </c>
      <c r="B2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8" s="189">
        <f ca="1">IF(Tabela58[[#This Row],[valor]]="",0,Tabela58[[#This Row],[valor]])+IF(Tabela58[[#This Row],[pagameto]]="",0,Tabela58[[#This Row],[pagameto]])+E229</f>
        <v>0</v>
      </c>
      <c r="G228" s="124"/>
      <c r="H228" s="196"/>
      <c r="I228" s="123"/>
      <c r="L228" s="46"/>
      <c r="M228" s="63" t="s">
        <v>44</v>
      </c>
      <c r="N228" s="63" t="s">
        <v>40</v>
      </c>
      <c r="O228" s="63" t="s">
        <v>38</v>
      </c>
      <c r="P228" s="150">
        <v>19.5</v>
      </c>
      <c r="Q228" s="180">
        <v>-0.26715</v>
      </c>
      <c r="R228" s="59">
        <v>46129</v>
      </c>
      <c r="S228" s="63" t="s">
        <v>83</v>
      </c>
      <c r="T228" s="63" t="s">
        <v>146</v>
      </c>
    </row>
    <row r="229" spans="1:20" x14ac:dyDescent="0.25">
      <c r="A229" s="112">
        <f t="shared" ca="1" si="3"/>
        <v>46021</v>
      </c>
      <c r="B2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29" s="189">
        <f ca="1">IF(Tabela58[[#This Row],[valor]]="",0,Tabela58[[#This Row],[valor]])+IF(Tabela58[[#This Row],[pagameto]]="",0,Tabela58[[#This Row],[pagameto]])+E230</f>
        <v>0</v>
      </c>
      <c r="G229" s="124"/>
      <c r="H229" s="196"/>
      <c r="I229" s="123"/>
      <c r="L229" s="46" t="s">
        <v>22</v>
      </c>
      <c r="M229" s="239" t="s">
        <v>44</v>
      </c>
      <c r="N229" s="57" t="s">
        <v>13</v>
      </c>
      <c r="O229" s="60">
        <v>1</v>
      </c>
      <c r="P229" s="182">
        <v>-19.5</v>
      </c>
      <c r="Q229" s="58">
        <v>3.6666666666666661</v>
      </c>
      <c r="R229" s="59">
        <v>46129</v>
      </c>
      <c r="S229" s="57" t="s">
        <v>83</v>
      </c>
      <c r="T229" s="57" t="s">
        <v>146</v>
      </c>
    </row>
    <row r="230" spans="1:20" x14ac:dyDescent="0.25">
      <c r="A230" s="112">
        <f t="shared" ca="1" si="3"/>
        <v>46020</v>
      </c>
      <c r="B2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0" s="189">
        <f ca="1">IF(Tabela58[[#This Row],[valor]]="",0,Tabela58[[#This Row],[valor]])+IF(Tabela58[[#This Row],[pagameto]]="",0,Tabela58[[#This Row],[pagameto]])+E231</f>
        <v>0</v>
      </c>
      <c r="G230" s="124"/>
      <c r="H230" s="196"/>
      <c r="I230" s="123"/>
      <c r="L230" s="46" t="s">
        <v>22</v>
      </c>
      <c r="M230" s="239" t="s">
        <v>350</v>
      </c>
      <c r="N230" s="57" t="s">
        <v>11</v>
      </c>
      <c r="O230" s="60">
        <v>6</v>
      </c>
      <c r="P230" s="182">
        <v>-109.5</v>
      </c>
      <c r="Q230" s="58">
        <v>12.429062462960758</v>
      </c>
      <c r="R230" s="59">
        <v>46129</v>
      </c>
      <c r="S230" s="57" t="s">
        <v>83</v>
      </c>
      <c r="T230" s="57" t="s">
        <v>146</v>
      </c>
    </row>
    <row r="231" spans="1:20" x14ac:dyDescent="0.25">
      <c r="A231" s="112">
        <f t="shared" ca="1" si="3"/>
        <v>46019</v>
      </c>
      <c r="B2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1" s="189">
        <f ca="1">IF(Tabela58[[#This Row],[valor]]="",0,Tabela58[[#This Row],[valor]])+IF(Tabela58[[#This Row],[pagameto]]="",0,Tabela58[[#This Row],[pagameto]])+E232</f>
        <v>0</v>
      </c>
      <c r="G231" s="124"/>
      <c r="H231" s="196"/>
      <c r="I231" s="123"/>
      <c r="L231" s="46" t="s">
        <v>295</v>
      </c>
      <c r="M231" s="239" t="s">
        <v>275</v>
      </c>
      <c r="N231" s="57" t="s">
        <v>13</v>
      </c>
      <c r="O231" s="60">
        <v>1</v>
      </c>
      <c r="P231" s="182">
        <v>-22</v>
      </c>
      <c r="Q231" s="58">
        <v>6.1666666666666661</v>
      </c>
      <c r="R231" s="59">
        <v>46129</v>
      </c>
      <c r="S231" s="57" t="s">
        <v>83</v>
      </c>
      <c r="T231" s="57" t="s">
        <v>146</v>
      </c>
    </row>
    <row r="232" spans="1:20" x14ac:dyDescent="0.25">
      <c r="A232" s="112">
        <f t="shared" ca="1" si="3"/>
        <v>46018</v>
      </c>
      <c r="B2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2" s="189">
        <f ca="1">IF(Tabela58[[#This Row],[valor]]="",0,Tabela58[[#This Row],[valor]])+IF(Tabela58[[#This Row],[pagameto]]="",0,Tabela58[[#This Row],[pagameto]])+E233</f>
        <v>0</v>
      </c>
      <c r="G232" s="124"/>
      <c r="H232" s="196"/>
      <c r="I232" s="123"/>
      <c r="L232" s="46"/>
      <c r="M232" s="63" t="s">
        <v>44</v>
      </c>
      <c r="N232" s="63" t="s">
        <v>39</v>
      </c>
      <c r="O232" s="63" t="s">
        <v>38</v>
      </c>
      <c r="P232" s="150">
        <v>36.5</v>
      </c>
      <c r="Q232" s="180">
        <v>-1.14975</v>
      </c>
      <c r="R232" s="59">
        <v>46128</v>
      </c>
      <c r="S232" s="63" t="s">
        <v>294</v>
      </c>
      <c r="T232" s="63" t="s">
        <v>146</v>
      </c>
    </row>
    <row r="233" spans="1:20" x14ac:dyDescent="0.25">
      <c r="A233" s="112">
        <f t="shared" ca="1" si="3"/>
        <v>46017</v>
      </c>
      <c r="B2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3" s="189">
        <f ca="1">IF(Tabela58[[#This Row],[valor]]="",0,Tabela58[[#This Row],[valor]])+IF(Tabela58[[#This Row],[pagameto]]="",0,Tabela58[[#This Row],[pagameto]])+E234</f>
        <v>0</v>
      </c>
      <c r="G233" s="124"/>
      <c r="H233" s="196"/>
      <c r="I233" s="123"/>
      <c r="L233" s="46" t="s">
        <v>22</v>
      </c>
      <c r="M233" s="239" t="s">
        <v>44</v>
      </c>
      <c r="N233" s="57" t="s">
        <v>11</v>
      </c>
      <c r="O233" s="60">
        <v>2</v>
      </c>
      <c r="P233" s="182">
        <v>-36.5</v>
      </c>
      <c r="Q233" s="58">
        <v>4.1430208209869193</v>
      </c>
      <c r="R233" s="59">
        <v>46128</v>
      </c>
      <c r="S233" s="57" t="s">
        <v>294</v>
      </c>
      <c r="T233" s="57" t="s">
        <v>146</v>
      </c>
    </row>
    <row r="234" spans="1:20" x14ac:dyDescent="0.25">
      <c r="A234" s="112">
        <f t="shared" ca="1" si="3"/>
        <v>46016</v>
      </c>
      <c r="B2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4" s="189">
        <f ca="1">IF(Tabela58[[#This Row],[valor]]="",0,Tabela58[[#This Row],[valor]])+IF(Tabela58[[#This Row],[pagameto]]="",0,Tabela58[[#This Row],[pagameto]])+E235</f>
        <v>0</v>
      </c>
      <c r="G234" s="124"/>
      <c r="H234" s="196"/>
      <c r="I234" s="123"/>
      <c r="L234" s="46"/>
      <c r="M234" s="63" t="s">
        <v>44</v>
      </c>
      <c r="N234" s="63" t="s">
        <v>42</v>
      </c>
      <c r="O234" s="63" t="s">
        <v>38</v>
      </c>
      <c r="P234" s="150">
        <v>117</v>
      </c>
      <c r="Q234" s="180">
        <v>0</v>
      </c>
      <c r="R234" s="59">
        <v>46128</v>
      </c>
      <c r="S234" s="63" t="s">
        <v>294</v>
      </c>
      <c r="T234" s="63" t="s">
        <v>146</v>
      </c>
    </row>
    <row r="235" spans="1:20" x14ac:dyDescent="0.25">
      <c r="A235" s="112">
        <f t="shared" ca="1" si="3"/>
        <v>46015</v>
      </c>
      <c r="B2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5" s="189">
        <f ca="1">IF(Tabela58[[#This Row],[valor]]="",0,Tabela58[[#This Row],[valor]])+IF(Tabela58[[#This Row],[pagameto]]="",0,Tabela58[[#This Row],[pagameto]])+E236</f>
        <v>0</v>
      </c>
      <c r="G235" s="124"/>
      <c r="H235" s="196"/>
      <c r="I235" s="123"/>
      <c r="L235" s="46" t="s">
        <v>22</v>
      </c>
      <c r="M235" s="239" t="s">
        <v>44</v>
      </c>
      <c r="N235" s="57" t="s">
        <v>13</v>
      </c>
      <c r="O235" s="60">
        <v>6</v>
      </c>
      <c r="P235" s="182">
        <v>-117</v>
      </c>
      <c r="Q235" s="58">
        <v>37</v>
      </c>
      <c r="R235" s="59">
        <v>46128</v>
      </c>
      <c r="S235" s="57" t="s">
        <v>294</v>
      </c>
      <c r="T235" s="57" t="s">
        <v>146</v>
      </c>
    </row>
    <row r="236" spans="1:20" x14ac:dyDescent="0.25">
      <c r="A236" s="112">
        <f t="shared" ca="1" si="3"/>
        <v>46014</v>
      </c>
      <c r="B2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6" s="189">
        <f ca="1">IF(Tabela58[[#This Row],[valor]]="",0,Tabela58[[#This Row],[valor]])+IF(Tabela58[[#This Row],[pagameto]]="",0,Tabela58[[#This Row],[pagameto]])+E237</f>
        <v>0</v>
      </c>
      <c r="G236" s="124"/>
      <c r="H236" s="196"/>
      <c r="I236" s="123"/>
      <c r="L236" s="46" t="s">
        <v>295</v>
      </c>
      <c r="M236" s="239" t="s">
        <v>47</v>
      </c>
      <c r="N236" s="57" t="s">
        <v>11</v>
      </c>
      <c r="O236" s="60">
        <v>12</v>
      </c>
      <c r="P236" s="182">
        <v>-240</v>
      </c>
      <c r="Q236" s="58">
        <v>45.858124925921516</v>
      </c>
      <c r="R236" s="59">
        <v>46127</v>
      </c>
      <c r="S236" s="57" t="s">
        <v>32</v>
      </c>
      <c r="T236" s="57" t="s">
        <v>146</v>
      </c>
    </row>
    <row r="237" spans="1:20" x14ac:dyDescent="0.25">
      <c r="A237" s="112">
        <f t="shared" ca="1" si="3"/>
        <v>46013</v>
      </c>
      <c r="B2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7" s="189">
        <f ca="1">IF(Tabela58[[#This Row],[valor]]="",0,Tabela58[[#This Row],[valor]])+IF(Tabela58[[#This Row],[pagameto]]="",0,Tabela58[[#This Row],[pagameto]])+E238</f>
        <v>0</v>
      </c>
      <c r="G237" s="124"/>
      <c r="H237" s="196"/>
      <c r="I237" s="123"/>
      <c r="L237" s="46"/>
      <c r="M237" s="63" t="s">
        <v>328</v>
      </c>
      <c r="N237" s="63" t="s">
        <v>42</v>
      </c>
      <c r="O237" s="63" t="s">
        <v>38</v>
      </c>
      <c r="P237" s="150">
        <v>23</v>
      </c>
      <c r="Q237" s="180">
        <v>0</v>
      </c>
      <c r="R237" s="59">
        <v>46127</v>
      </c>
      <c r="S237" s="63" t="s">
        <v>32</v>
      </c>
      <c r="T237" s="63" t="s">
        <v>146</v>
      </c>
    </row>
    <row r="238" spans="1:20" x14ac:dyDescent="0.25">
      <c r="A238" s="112">
        <f t="shared" ca="1" si="3"/>
        <v>46012</v>
      </c>
      <c r="B2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8" s="189">
        <f ca="1">IF(Tabela58[[#This Row],[valor]]="",0,Tabela58[[#This Row],[valor]])+IF(Tabela58[[#This Row],[pagameto]]="",0,Tabela58[[#This Row],[pagameto]])+E239</f>
        <v>0</v>
      </c>
      <c r="G238" s="124"/>
      <c r="H238" s="196"/>
      <c r="I238" s="123"/>
      <c r="L238" s="46" t="s">
        <v>295</v>
      </c>
      <c r="M238" s="239" t="s">
        <v>275</v>
      </c>
      <c r="N238" s="57" t="s">
        <v>13</v>
      </c>
      <c r="O238" s="60">
        <v>2</v>
      </c>
      <c r="P238" s="182">
        <v>-44</v>
      </c>
      <c r="Q238" s="58">
        <v>12.333333333333329</v>
      </c>
      <c r="R238" s="59">
        <v>46127</v>
      </c>
      <c r="S238" s="57" t="s">
        <v>32</v>
      </c>
      <c r="T238" s="57" t="s">
        <v>146</v>
      </c>
    </row>
    <row r="239" spans="1:20" x14ac:dyDescent="0.25">
      <c r="A239" s="112">
        <f t="shared" ca="1" si="3"/>
        <v>46011</v>
      </c>
      <c r="B2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39" s="189">
        <f ca="1">IF(Tabela58[[#This Row],[valor]]="",0,Tabela58[[#This Row],[valor]])+IF(Tabela58[[#This Row],[pagameto]]="",0,Tabela58[[#This Row],[pagameto]])+E240</f>
        <v>0</v>
      </c>
      <c r="G239" s="124"/>
      <c r="H239" s="196"/>
      <c r="I239" s="123"/>
      <c r="L239" s="46"/>
      <c r="M239" s="63" t="s">
        <v>44</v>
      </c>
      <c r="N239" s="63" t="s">
        <v>41</v>
      </c>
      <c r="O239" s="63" t="s">
        <v>38</v>
      </c>
      <c r="P239" s="150">
        <v>114</v>
      </c>
      <c r="Q239" s="180">
        <v>0</v>
      </c>
      <c r="R239" s="59">
        <v>46125</v>
      </c>
      <c r="S239" s="63" t="s">
        <v>291</v>
      </c>
      <c r="T239" s="63" t="s">
        <v>146</v>
      </c>
    </row>
    <row r="240" spans="1:20" x14ac:dyDescent="0.25">
      <c r="A240" s="112">
        <f t="shared" ca="1" si="3"/>
        <v>46010</v>
      </c>
      <c r="B2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0" s="189">
        <f ca="1">IF(Tabela58[[#This Row],[valor]]="",0,Tabela58[[#This Row],[valor]])+IF(Tabela58[[#This Row],[pagameto]]="",0,Tabela58[[#This Row],[pagameto]])+E241</f>
        <v>0</v>
      </c>
      <c r="G240" s="124"/>
      <c r="H240" s="196"/>
      <c r="I240" s="123"/>
      <c r="L240" s="46" t="s">
        <v>22</v>
      </c>
      <c r="M240" s="239" t="s">
        <v>44</v>
      </c>
      <c r="N240" s="57" t="s">
        <v>10</v>
      </c>
      <c r="O240" s="60">
        <v>6</v>
      </c>
      <c r="P240" s="182">
        <v>-114</v>
      </c>
      <c r="Q240" s="58">
        <v>14.399999999999991</v>
      </c>
      <c r="R240" s="59">
        <v>46125</v>
      </c>
      <c r="S240" s="57" t="s">
        <v>291</v>
      </c>
      <c r="T240" s="57" t="s">
        <v>146</v>
      </c>
    </row>
    <row r="241" spans="1:20" x14ac:dyDescent="0.25">
      <c r="A241" s="112">
        <f t="shared" ca="1" si="3"/>
        <v>46009</v>
      </c>
      <c r="B2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1" s="189">
        <f ca="1">IF(Tabela58[[#This Row],[valor]]="",0,Tabela58[[#This Row],[valor]])+IF(Tabela58[[#This Row],[pagameto]]="",0,Tabela58[[#This Row],[pagameto]])+E242</f>
        <v>0</v>
      </c>
      <c r="G241" s="124"/>
      <c r="H241" s="196"/>
      <c r="I241" s="123"/>
      <c r="L241" s="46"/>
      <c r="M241" s="63" t="s">
        <v>49</v>
      </c>
      <c r="N241" s="63" t="s">
        <v>39</v>
      </c>
      <c r="O241" s="63" t="s">
        <v>38</v>
      </c>
      <c r="P241" s="150">
        <v>219</v>
      </c>
      <c r="Q241" s="180">
        <v>-6.8985000000000003</v>
      </c>
      <c r="R241" s="59">
        <v>46125</v>
      </c>
      <c r="S241" s="63" t="s">
        <v>291</v>
      </c>
      <c r="T241" s="63" t="s">
        <v>146</v>
      </c>
    </row>
    <row r="242" spans="1:20" x14ac:dyDescent="0.25">
      <c r="A242" s="112">
        <f t="shared" ca="1" si="3"/>
        <v>46008</v>
      </c>
      <c r="B2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2" s="189">
        <f ca="1">IF(Tabela58[[#This Row],[valor]]="",0,Tabela58[[#This Row],[valor]])+IF(Tabela58[[#This Row],[pagameto]]="",0,Tabela58[[#This Row],[pagameto]])+E243</f>
        <v>0</v>
      </c>
      <c r="G242" s="124"/>
      <c r="H242" s="196"/>
      <c r="I242" s="123"/>
      <c r="L242" s="46" t="s">
        <v>22</v>
      </c>
      <c r="M242" s="239" t="s">
        <v>49</v>
      </c>
      <c r="N242" s="57" t="s">
        <v>11</v>
      </c>
      <c r="O242" s="60">
        <v>12</v>
      </c>
      <c r="P242" s="182">
        <v>-219</v>
      </c>
      <c r="Q242" s="58">
        <v>24.858124925921516</v>
      </c>
      <c r="R242" s="59">
        <v>46125</v>
      </c>
      <c r="S242" s="57" t="s">
        <v>291</v>
      </c>
      <c r="T242" s="57" t="s">
        <v>146</v>
      </c>
    </row>
    <row r="243" spans="1:20" x14ac:dyDescent="0.25">
      <c r="A243" s="112">
        <f t="shared" ca="1" si="3"/>
        <v>46007</v>
      </c>
      <c r="B2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3" s="189">
        <f ca="1">IF(Tabela58[[#This Row],[valor]]="",0,Tabela58[[#This Row],[valor]])+IF(Tabela58[[#This Row],[pagameto]]="",0,Tabela58[[#This Row],[pagameto]])+E244</f>
        <v>0</v>
      </c>
      <c r="G243" s="124"/>
      <c r="H243" s="196"/>
      <c r="I243" s="123"/>
      <c r="L243" s="46"/>
      <c r="M243" s="63" t="s">
        <v>47</v>
      </c>
      <c r="N243" s="63" t="s">
        <v>41</v>
      </c>
      <c r="O243" s="63" t="s">
        <v>38</v>
      </c>
      <c r="P243" s="150">
        <v>200</v>
      </c>
      <c r="Q243" s="180">
        <v>0</v>
      </c>
      <c r="R243" s="59">
        <v>46125</v>
      </c>
      <c r="S243" s="63" t="s">
        <v>291</v>
      </c>
      <c r="T243" s="63" t="s">
        <v>146</v>
      </c>
    </row>
    <row r="244" spans="1:20" x14ac:dyDescent="0.25">
      <c r="A244" s="112">
        <f t="shared" ca="1" si="3"/>
        <v>46006</v>
      </c>
      <c r="B2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4" s="189">
        <f ca="1">IF(Tabela58[[#This Row],[valor]]="",0,Tabela58[[#This Row],[valor]])+IF(Tabela58[[#This Row],[pagameto]]="",0,Tabela58[[#This Row],[pagameto]])+E245</f>
        <v>0</v>
      </c>
      <c r="G244" s="124"/>
      <c r="H244" s="196"/>
      <c r="I244" s="123"/>
      <c r="L244" s="46" t="s">
        <v>295</v>
      </c>
      <c r="M244" s="239" t="s">
        <v>275</v>
      </c>
      <c r="N244" s="57" t="s">
        <v>11</v>
      </c>
      <c r="O244" s="60">
        <v>1</v>
      </c>
      <c r="P244" s="182">
        <v>-20</v>
      </c>
      <c r="Q244" s="58">
        <v>3.8215104104934596</v>
      </c>
      <c r="R244" s="59">
        <v>46124</v>
      </c>
      <c r="S244" s="57" t="s">
        <v>93</v>
      </c>
      <c r="T244" s="57" t="s">
        <v>146</v>
      </c>
    </row>
    <row r="245" spans="1:20" x14ac:dyDescent="0.3">
      <c r="A245" s="112">
        <f t="shared" ca="1" si="3"/>
        <v>46005</v>
      </c>
      <c r="B2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5" s="189">
        <f ca="1">IF(Tabela58[[#This Row],[valor]]="",0,Tabela58[[#This Row],[valor]])+IF(Tabela58[[#This Row],[pagameto]]="",0,Tabela58[[#This Row],[pagameto]])+E246</f>
        <v>0</v>
      </c>
      <c r="L245" s="46" t="s">
        <v>22</v>
      </c>
      <c r="M245" s="239" t="s">
        <v>48</v>
      </c>
      <c r="N245" s="57" t="s">
        <v>11</v>
      </c>
      <c r="O245" s="60">
        <v>12</v>
      </c>
      <c r="P245" s="182">
        <v>-219</v>
      </c>
      <c r="Q245" s="58">
        <v>24.858124925921516</v>
      </c>
      <c r="R245" s="59">
        <v>46124</v>
      </c>
      <c r="S245" s="57" t="s">
        <v>93</v>
      </c>
      <c r="T245" s="57" t="s">
        <v>146</v>
      </c>
    </row>
    <row r="246" spans="1:20" x14ac:dyDescent="0.3">
      <c r="A246" s="112">
        <f t="shared" ca="1" si="3"/>
        <v>46004</v>
      </c>
      <c r="B2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6" s="189">
        <f ca="1">IF(Tabela58[[#This Row],[valor]]="",0,Tabela58[[#This Row],[valor]])+IF(Tabela58[[#This Row],[pagameto]]="",0,Tabela58[[#This Row],[pagameto]])+E247</f>
        <v>0</v>
      </c>
      <c r="L246" s="46"/>
      <c r="M246" s="63" t="s">
        <v>350</v>
      </c>
      <c r="N246" s="63" t="s">
        <v>41</v>
      </c>
      <c r="O246" s="63" t="s">
        <v>38</v>
      </c>
      <c r="P246" s="150">
        <v>204</v>
      </c>
      <c r="Q246" s="180">
        <v>0</v>
      </c>
      <c r="R246" s="59">
        <v>46123</v>
      </c>
      <c r="S246" s="63" t="s">
        <v>92</v>
      </c>
      <c r="T246" s="63" t="s">
        <v>146</v>
      </c>
    </row>
    <row r="247" spans="1:20" x14ac:dyDescent="0.3">
      <c r="A247" s="112">
        <f t="shared" ca="1" si="3"/>
        <v>46003</v>
      </c>
      <c r="B2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7" s="189">
        <f ca="1">IF(Tabela58[[#This Row],[valor]]="",0,Tabela58[[#This Row],[valor]])+IF(Tabela58[[#This Row],[pagameto]]="",0,Tabela58[[#This Row],[pagameto]])+E248</f>
        <v>0</v>
      </c>
      <c r="L247" s="46" t="s">
        <v>22</v>
      </c>
      <c r="M247" s="239" t="s">
        <v>350</v>
      </c>
      <c r="N247" s="57" t="s">
        <v>11</v>
      </c>
      <c r="O247" s="60">
        <v>12</v>
      </c>
      <c r="P247" s="182">
        <v>-219</v>
      </c>
      <c r="Q247" s="58">
        <v>24.858124925921516</v>
      </c>
      <c r="R247" s="59">
        <v>46123</v>
      </c>
      <c r="S247" s="57" t="s">
        <v>92</v>
      </c>
      <c r="T247" s="57" t="s">
        <v>146</v>
      </c>
    </row>
    <row r="248" spans="1:20" x14ac:dyDescent="0.3">
      <c r="A248" s="112">
        <f t="shared" ca="1" si="3"/>
        <v>46002</v>
      </c>
      <c r="B2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8" s="189">
        <f ca="1">IF(Tabela58[[#This Row],[valor]]="",0,Tabela58[[#This Row],[valor]])+IF(Tabela58[[#This Row],[pagameto]]="",0,Tabela58[[#This Row],[pagameto]])+E249</f>
        <v>0</v>
      </c>
      <c r="L248" s="46" t="s">
        <v>295</v>
      </c>
      <c r="M248" s="239" t="s">
        <v>275</v>
      </c>
      <c r="N248" s="57" t="s">
        <v>11</v>
      </c>
      <c r="O248" s="60">
        <v>1</v>
      </c>
      <c r="P248" s="182">
        <v>-20</v>
      </c>
      <c r="Q248" s="58">
        <v>3.8215104104934596</v>
      </c>
      <c r="R248" s="59">
        <v>46122</v>
      </c>
      <c r="S248" s="57" t="s">
        <v>83</v>
      </c>
      <c r="T248" s="57" t="s">
        <v>146</v>
      </c>
    </row>
    <row r="249" spans="1:20" x14ac:dyDescent="0.3">
      <c r="A249" s="112">
        <f t="shared" ca="1" si="3"/>
        <v>46001</v>
      </c>
      <c r="B2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49" s="189">
        <f ca="1">IF(Tabela58[[#This Row],[valor]]="",0,Tabela58[[#This Row],[valor]])+IF(Tabela58[[#This Row],[pagameto]]="",0,Tabela58[[#This Row],[pagameto]])+E250</f>
        <v>0</v>
      </c>
      <c r="L249" s="46"/>
      <c r="M249" s="63" t="s">
        <v>46</v>
      </c>
      <c r="N249" s="63" t="s">
        <v>41</v>
      </c>
      <c r="O249" s="63" t="s">
        <v>38</v>
      </c>
      <c r="P249" s="150">
        <v>510</v>
      </c>
      <c r="Q249" s="180">
        <v>0</v>
      </c>
      <c r="R249" s="59">
        <v>46122</v>
      </c>
      <c r="S249" s="63" t="s">
        <v>83</v>
      </c>
      <c r="T249" s="63" t="s">
        <v>146</v>
      </c>
    </row>
    <row r="250" spans="1:20" x14ac:dyDescent="0.3">
      <c r="A250" s="112">
        <f t="shared" ca="1" si="3"/>
        <v>46000</v>
      </c>
      <c r="B2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0" s="189">
        <f ca="1">IF(Tabela58[[#This Row],[valor]]="",0,Tabela58[[#This Row],[valor]])+IF(Tabela58[[#This Row],[pagameto]]="",0,Tabela58[[#This Row],[pagameto]])+E251</f>
        <v>0</v>
      </c>
      <c r="L250" s="46" t="s">
        <v>295</v>
      </c>
      <c r="M250" s="239" t="s">
        <v>47</v>
      </c>
      <c r="N250" s="57" t="s">
        <v>11</v>
      </c>
      <c r="O250" s="60">
        <v>12</v>
      </c>
      <c r="P250" s="182">
        <v>-240</v>
      </c>
      <c r="Q250" s="58">
        <v>45.858124925921516</v>
      </c>
      <c r="R250" s="59">
        <v>46122</v>
      </c>
      <c r="S250" s="57" t="s">
        <v>83</v>
      </c>
      <c r="T250" s="57" t="s">
        <v>146</v>
      </c>
    </row>
    <row r="251" spans="1:20" x14ac:dyDescent="0.3">
      <c r="A251" s="112">
        <f t="shared" ca="1" si="3"/>
        <v>45999</v>
      </c>
      <c r="B2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1" s="189">
        <f ca="1">IF(Tabela58[[#This Row],[valor]]="",0,Tabela58[[#This Row],[valor]])+IF(Tabela58[[#This Row],[pagameto]]="",0,Tabela58[[#This Row],[pagameto]])+E252</f>
        <v>0</v>
      </c>
      <c r="L251" s="46"/>
      <c r="M251" s="63" t="s">
        <v>45</v>
      </c>
      <c r="N251" s="63" t="s">
        <v>42</v>
      </c>
      <c r="O251" s="63" t="s">
        <v>38</v>
      </c>
      <c r="P251" s="150">
        <v>100</v>
      </c>
      <c r="Q251" s="180">
        <v>0</v>
      </c>
      <c r="R251" s="59">
        <v>46121</v>
      </c>
      <c r="S251" s="63" t="s">
        <v>294</v>
      </c>
      <c r="T251" s="63" t="s">
        <v>146</v>
      </c>
    </row>
    <row r="252" spans="1:20" x14ac:dyDescent="0.3">
      <c r="A252" s="112">
        <f t="shared" ca="1" si="3"/>
        <v>45998</v>
      </c>
      <c r="B2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2" s="189">
        <f ca="1">IF(Tabela58[[#This Row],[valor]]="",0,Tabela58[[#This Row],[valor]])+IF(Tabela58[[#This Row],[pagameto]]="",0,Tabela58[[#This Row],[pagameto]])+E253</f>
        <v>0</v>
      </c>
      <c r="L252" s="46"/>
      <c r="M252" s="63" t="s">
        <v>44</v>
      </c>
      <c r="N252" s="63" t="s">
        <v>41</v>
      </c>
      <c r="O252" s="63" t="s">
        <v>38</v>
      </c>
      <c r="P252" s="150">
        <v>19.5</v>
      </c>
      <c r="Q252" s="180">
        <v>0</v>
      </c>
      <c r="R252" s="59">
        <v>46121</v>
      </c>
      <c r="S252" s="63" t="s">
        <v>294</v>
      </c>
      <c r="T252" s="63" t="s">
        <v>146</v>
      </c>
    </row>
    <row r="253" spans="1:20" x14ac:dyDescent="0.3">
      <c r="A253" s="112">
        <f t="shared" ca="1" si="3"/>
        <v>45997</v>
      </c>
      <c r="B2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3" s="189">
        <f ca="1">IF(Tabela58[[#This Row],[valor]]="",0,Tabela58[[#This Row],[valor]])+IF(Tabela58[[#This Row],[pagameto]]="",0,Tabela58[[#This Row],[pagameto]])+E254</f>
        <v>0</v>
      </c>
      <c r="L253" s="46" t="s">
        <v>22</v>
      </c>
      <c r="M253" s="239" t="s">
        <v>44</v>
      </c>
      <c r="N253" s="57" t="s">
        <v>13</v>
      </c>
      <c r="O253" s="60">
        <v>1</v>
      </c>
      <c r="P253" s="182">
        <v>-19.5</v>
      </c>
      <c r="Q253" s="58">
        <v>3.6666666666666625</v>
      </c>
      <c r="R253" s="59">
        <v>46121</v>
      </c>
      <c r="S253" s="57" t="s">
        <v>294</v>
      </c>
      <c r="T253" s="57" t="s">
        <v>146</v>
      </c>
    </row>
    <row r="254" spans="1:20" x14ac:dyDescent="0.3">
      <c r="A254" s="112">
        <f t="shared" ca="1" si="3"/>
        <v>45996</v>
      </c>
      <c r="B2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4" s="189">
        <f ca="1">IF(Tabela58[[#This Row],[valor]]="",0,Tabela58[[#This Row],[valor]])+IF(Tabela58[[#This Row],[pagameto]]="",0,Tabela58[[#This Row],[pagameto]])+E255</f>
        <v>0</v>
      </c>
      <c r="L254" s="46"/>
      <c r="M254" s="63" t="s">
        <v>350</v>
      </c>
      <c r="N254" s="63" t="s">
        <v>41</v>
      </c>
      <c r="O254" s="63" t="s">
        <v>38</v>
      </c>
      <c r="P254" s="150">
        <v>306</v>
      </c>
      <c r="Q254" s="180">
        <v>0</v>
      </c>
      <c r="R254" s="59">
        <v>46120</v>
      </c>
      <c r="S254" s="63" t="s">
        <v>32</v>
      </c>
      <c r="T254" s="63" t="s">
        <v>146</v>
      </c>
    </row>
    <row r="255" spans="1:20" x14ac:dyDescent="0.3">
      <c r="A255" s="112">
        <f t="shared" ca="1" si="3"/>
        <v>45995</v>
      </c>
      <c r="B2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5" s="189">
        <f ca="1">IF(Tabela58[[#This Row],[valor]]="",0,Tabela58[[#This Row],[valor]])+IF(Tabela58[[#This Row],[pagameto]]="",0,Tabela58[[#This Row],[pagameto]])+E256</f>
        <v>0</v>
      </c>
      <c r="L255" s="46"/>
      <c r="M255" s="63" t="s">
        <v>44</v>
      </c>
      <c r="N255" s="63" t="s">
        <v>39</v>
      </c>
      <c r="O255" s="63" t="s">
        <v>38</v>
      </c>
      <c r="P255" s="150">
        <v>34</v>
      </c>
      <c r="Q255" s="180">
        <v>-1.071</v>
      </c>
      <c r="R255" s="59">
        <v>46120</v>
      </c>
      <c r="S255" s="63" t="s">
        <v>32</v>
      </c>
      <c r="T255" s="63" t="s">
        <v>146</v>
      </c>
    </row>
    <row r="256" spans="1:20" x14ac:dyDescent="0.3">
      <c r="A256" s="112">
        <f t="shared" ca="1" si="3"/>
        <v>45994</v>
      </c>
      <c r="B2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6" s="189">
        <f ca="1">IF(Tabela58[[#This Row],[valor]]="",0,Tabela58[[#This Row],[valor]])+IF(Tabela58[[#This Row],[pagameto]]="",0,Tabela58[[#This Row],[pagameto]])+E257</f>
        <v>0</v>
      </c>
      <c r="L256" s="46" t="s">
        <v>22</v>
      </c>
      <c r="M256" s="239" t="s">
        <v>44</v>
      </c>
      <c r="N256" s="57" t="s">
        <v>11</v>
      </c>
      <c r="O256" s="60">
        <v>2</v>
      </c>
      <c r="P256" s="182">
        <v>-34</v>
      </c>
      <c r="Q256" s="58">
        <v>1.6430208209869193</v>
      </c>
      <c r="R256" s="59">
        <v>46120</v>
      </c>
      <c r="S256" s="57" t="s">
        <v>32</v>
      </c>
      <c r="T256" s="57" t="s">
        <v>146</v>
      </c>
    </row>
    <row r="257" spans="1:20" x14ac:dyDescent="0.3">
      <c r="A257" s="112">
        <f t="shared" ca="1" si="3"/>
        <v>45993</v>
      </c>
      <c r="B2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7" s="189">
        <f ca="1">IF(Tabela58[[#This Row],[valor]]="",0,Tabela58[[#This Row],[valor]])+IF(Tabela58[[#This Row],[pagameto]]="",0,Tabela58[[#This Row],[pagameto]])+E258</f>
        <v>0</v>
      </c>
      <c r="L257" s="46"/>
      <c r="M257" s="63" t="s">
        <v>44</v>
      </c>
      <c r="N257" s="63" t="s">
        <v>41</v>
      </c>
      <c r="O257" s="63" t="s">
        <v>38</v>
      </c>
      <c r="P257" s="150">
        <v>102</v>
      </c>
      <c r="Q257" s="180">
        <v>0</v>
      </c>
      <c r="R257" s="59">
        <v>46119</v>
      </c>
      <c r="S257" s="63" t="s">
        <v>290</v>
      </c>
      <c r="T257" s="63" t="s">
        <v>146</v>
      </c>
    </row>
    <row r="258" spans="1:20" x14ac:dyDescent="0.3">
      <c r="A258" s="112">
        <f t="shared" ca="1" si="3"/>
        <v>45992</v>
      </c>
      <c r="B2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8" s="189">
        <f ca="1">IF(Tabela58[[#This Row],[valor]]="",0,Tabela58[[#This Row],[valor]])+IF(Tabela58[[#This Row],[pagameto]]="",0,Tabela58[[#This Row],[pagameto]])+E259</f>
        <v>0</v>
      </c>
      <c r="L258" s="46" t="s">
        <v>22</v>
      </c>
      <c r="M258" s="239" t="s">
        <v>44</v>
      </c>
      <c r="N258" s="57" t="s">
        <v>11</v>
      </c>
      <c r="O258" s="60">
        <v>6</v>
      </c>
      <c r="P258" s="182">
        <v>-102</v>
      </c>
      <c r="Q258" s="58">
        <v>17.157342657342664</v>
      </c>
      <c r="R258" s="59">
        <v>46119</v>
      </c>
      <c r="S258" s="57" t="s">
        <v>290</v>
      </c>
      <c r="T258" s="57" t="s">
        <v>146</v>
      </c>
    </row>
    <row r="259" spans="1:20" x14ac:dyDescent="0.3">
      <c r="A259" s="112">
        <f t="shared" ca="1" si="3"/>
        <v>45991</v>
      </c>
      <c r="B2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59" s="189">
        <f ca="1">IF(Tabela58[[#This Row],[valor]]="",0,Tabela58[[#This Row],[valor]])+IF(Tabela58[[#This Row],[pagameto]]="",0,Tabela58[[#This Row],[pagameto]])+E260</f>
        <v>0</v>
      </c>
      <c r="L259" s="46"/>
      <c r="M259" s="63" t="s">
        <v>48</v>
      </c>
      <c r="N259" s="63" t="s">
        <v>41</v>
      </c>
      <c r="O259" s="63" t="s">
        <v>38</v>
      </c>
      <c r="P259" s="150">
        <v>216</v>
      </c>
      <c r="Q259" s="180">
        <v>0</v>
      </c>
      <c r="R259" s="59">
        <v>46118</v>
      </c>
      <c r="S259" s="63" t="s">
        <v>291</v>
      </c>
      <c r="T259" s="63" t="s">
        <v>146</v>
      </c>
    </row>
    <row r="260" spans="1:20" x14ac:dyDescent="0.3">
      <c r="A260" s="112">
        <f t="shared" ca="1" si="3"/>
        <v>45990</v>
      </c>
      <c r="B2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0" s="189">
        <f ca="1">IF(Tabela58[[#This Row],[valor]]="",0,Tabela58[[#This Row],[valor]])+IF(Tabela58[[#This Row],[pagameto]]="",0,Tabela58[[#This Row],[pagameto]])+E261</f>
        <v>0</v>
      </c>
      <c r="L260" s="46"/>
      <c r="M260" s="63" t="s">
        <v>47</v>
      </c>
      <c r="N260" s="63" t="s">
        <v>41</v>
      </c>
      <c r="O260" s="63" t="s">
        <v>38</v>
      </c>
      <c r="P260" s="150">
        <v>250</v>
      </c>
      <c r="Q260" s="180">
        <v>0</v>
      </c>
      <c r="R260" s="59">
        <v>46118</v>
      </c>
      <c r="S260" s="63" t="s">
        <v>291</v>
      </c>
      <c r="T260" s="63" t="s">
        <v>146</v>
      </c>
    </row>
    <row r="261" spans="1:20" x14ac:dyDescent="0.3">
      <c r="A261" s="112">
        <f t="shared" ca="1" si="3"/>
        <v>45989</v>
      </c>
      <c r="B2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1" s="189">
        <f ca="1">IF(Tabela58[[#This Row],[valor]]="",0,Tabela58[[#This Row],[valor]])+IF(Tabela58[[#This Row],[pagameto]]="",0,Tabela58[[#This Row],[pagameto]])+E262</f>
        <v>0</v>
      </c>
      <c r="L261" s="46"/>
      <c r="M261" s="63" t="s">
        <v>44</v>
      </c>
      <c r="N261" s="63" t="s">
        <v>41</v>
      </c>
      <c r="O261" s="63" t="s">
        <v>38</v>
      </c>
      <c r="P261" s="150">
        <v>111</v>
      </c>
      <c r="Q261" s="180">
        <v>0</v>
      </c>
      <c r="R261" s="59">
        <v>46117</v>
      </c>
      <c r="S261" s="63" t="s">
        <v>93</v>
      </c>
      <c r="T261" s="63" t="s">
        <v>146</v>
      </c>
    </row>
    <row r="262" spans="1:20" x14ac:dyDescent="0.3">
      <c r="A262" s="112">
        <f t="shared" ca="1" si="3"/>
        <v>45988</v>
      </c>
      <c r="B2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2" s="189">
        <f ca="1">IF(Tabela58[[#This Row],[valor]]="",0,Tabela58[[#This Row],[valor]])+IF(Tabela58[[#This Row],[pagameto]]="",0,Tabela58[[#This Row],[pagameto]])+E263</f>
        <v>0</v>
      </c>
      <c r="L262" s="46" t="s">
        <v>22</v>
      </c>
      <c r="M262" s="239" t="s">
        <v>44</v>
      </c>
      <c r="N262" s="57" t="s">
        <v>10</v>
      </c>
      <c r="O262" s="60">
        <v>6</v>
      </c>
      <c r="P262" s="182">
        <v>-111</v>
      </c>
      <c r="Q262" s="58">
        <v>21</v>
      </c>
      <c r="R262" s="59">
        <v>46117</v>
      </c>
      <c r="S262" s="57" t="s">
        <v>93</v>
      </c>
      <c r="T262" s="57" t="s">
        <v>146</v>
      </c>
    </row>
    <row r="263" spans="1:20" x14ac:dyDescent="0.3">
      <c r="A263" s="112">
        <f t="shared" ca="1" si="3"/>
        <v>45987</v>
      </c>
      <c r="B2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3" s="189">
        <f ca="1">IF(Tabela58[[#This Row],[valor]]="",0,Tabela58[[#This Row],[valor]])+IF(Tabela58[[#This Row],[pagameto]]="",0,Tabela58[[#This Row],[pagameto]])+E264</f>
        <v>0</v>
      </c>
      <c r="L263" s="46"/>
      <c r="M263" s="63" t="s">
        <v>328</v>
      </c>
      <c r="N263" s="63" t="s">
        <v>42</v>
      </c>
      <c r="O263" s="63" t="s">
        <v>38</v>
      </c>
      <c r="P263" s="150">
        <v>20</v>
      </c>
      <c r="Q263" s="180">
        <v>0</v>
      </c>
      <c r="R263" s="59">
        <v>46117</v>
      </c>
      <c r="S263" s="63" t="s">
        <v>93</v>
      </c>
      <c r="T263" s="63" t="s">
        <v>146</v>
      </c>
    </row>
    <row r="264" spans="1:20" x14ac:dyDescent="0.3">
      <c r="A264" s="112">
        <f t="shared" ca="1" si="3"/>
        <v>45986</v>
      </c>
      <c r="B2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4" s="189">
        <f ca="1">IF(Tabela58[[#This Row],[valor]]="",0,Tabela58[[#This Row],[valor]])+IF(Tabela58[[#This Row],[pagameto]]="",0,Tabela58[[#This Row],[pagameto]])+E265</f>
        <v>0</v>
      </c>
      <c r="L264" s="46" t="s">
        <v>295</v>
      </c>
      <c r="M264" s="239" t="s">
        <v>328</v>
      </c>
      <c r="N264" s="57" t="s">
        <v>14</v>
      </c>
      <c r="O264" s="60">
        <v>1</v>
      </c>
      <c r="P264" s="182">
        <v>-23</v>
      </c>
      <c r="Q264" s="58">
        <v>6.3333333333333321</v>
      </c>
      <c r="R264" s="59">
        <v>46117</v>
      </c>
      <c r="S264" s="57" t="s">
        <v>93</v>
      </c>
      <c r="T264" s="57" t="s">
        <v>146</v>
      </c>
    </row>
    <row r="265" spans="1:20" x14ac:dyDescent="0.3">
      <c r="A265" s="112">
        <f t="shared" ca="1" si="3"/>
        <v>45985</v>
      </c>
      <c r="B2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5" s="189">
        <f ca="1">IF(Tabela58[[#This Row],[valor]]="",0,Tabela58[[#This Row],[valor]])+IF(Tabela58[[#This Row],[pagameto]]="",0,Tabela58[[#This Row],[pagameto]])+E266</f>
        <v>0</v>
      </c>
      <c r="L265" s="46" t="s">
        <v>295</v>
      </c>
      <c r="M265" s="239" t="s">
        <v>275</v>
      </c>
      <c r="N265" s="57" t="s">
        <v>11</v>
      </c>
      <c r="O265" s="60">
        <v>1</v>
      </c>
      <c r="P265" s="182">
        <v>-18</v>
      </c>
      <c r="Q265" s="58">
        <v>3.8595571095571106</v>
      </c>
      <c r="R265" s="59">
        <v>46116</v>
      </c>
      <c r="S265" s="57" t="s">
        <v>92</v>
      </c>
      <c r="T265" s="57" t="s">
        <v>146</v>
      </c>
    </row>
    <row r="266" spans="1:20" x14ac:dyDescent="0.3">
      <c r="A266" s="112">
        <f t="shared" ca="1" si="3"/>
        <v>45984</v>
      </c>
      <c r="B2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6" s="189">
        <f ca="1">IF(Tabela58[[#This Row],[valor]]="",0,Tabela58[[#This Row],[valor]])+IF(Tabela58[[#This Row],[pagameto]]="",0,Tabela58[[#This Row],[pagameto]])+E267</f>
        <v>0</v>
      </c>
      <c r="L266" s="46"/>
      <c r="M266" s="63" t="s">
        <v>350</v>
      </c>
      <c r="N266" s="63" t="s">
        <v>41</v>
      </c>
      <c r="O266" s="63" t="s">
        <v>38</v>
      </c>
      <c r="P266" s="150">
        <v>306</v>
      </c>
      <c r="Q266" s="180">
        <v>0</v>
      </c>
      <c r="R266" s="59">
        <v>46116</v>
      </c>
      <c r="S266" s="63" t="s">
        <v>92</v>
      </c>
      <c r="T266" s="63" t="s">
        <v>146</v>
      </c>
    </row>
    <row r="267" spans="1:20" x14ac:dyDescent="0.3">
      <c r="A267" s="112">
        <f t="shared" ca="1" si="3"/>
        <v>45983</v>
      </c>
      <c r="B2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7" s="189">
        <f ca="1">IF(Tabela58[[#This Row],[valor]]="",0,Tabela58[[#This Row],[valor]])+IF(Tabela58[[#This Row],[pagameto]]="",0,Tabela58[[#This Row],[pagameto]])+E268</f>
        <v>0</v>
      </c>
      <c r="L267" s="46" t="s">
        <v>295</v>
      </c>
      <c r="M267" s="239" t="s">
        <v>47</v>
      </c>
      <c r="N267" s="57" t="s">
        <v>10</v>
      </c>
      <c r="O267" s="60">
        <v>12</v>
      </c>
      <c r="P267" s="182">
        <v>-240</v>
      </c>
      <c r="Q267" s="58">
        <v>60</v>
      </c>
      <c r="R267" s="59">
        <v>46115</v>
      </c>
      <c r="S267" s="57" t="s">
        <v>83</v>
      </c>
      <c r="T267" s="57" t="s">
        <v>146</v>
      </c>
    </row>
    <row r="268" spans="1:20" x14ac:dyDescent="0.3">
      <c r="A268" s="112">
        <f t="shared" ca="1" si="3"/>
        <v>45982</v>
      </c>
      <c r="B2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8" s="189">
        <f ca="1">IF(Tabela58[[#This Row],[valor]]="",0,Tabela58[[#This Row],[valor]])+IF(Tabela58[[#This Row],[pagameto]]="",0,Tabela58[[#This Row],[pagameto]])+E269</f>
        <v>0</v>
      </c>
      <c r="L268" s="46" t="s">
        <v>22</v>
      </c>
      <c r="M268" s="239" t="s">
        <v>384</v>
      </c>
      <c r="N268" s="57" t="s">
        <v>11</v>
      </c>
      <c r="O268" s="60">
        <v>12</v>
      </c>
      <c r="P268" s="182">
        <v>-204</v>
      </c>
      <c r="Q268" s="58">
        <v>34.314685314685327</v>
      </c>
      <c r="R268" s="59">
        <v>46115</v>
      </c>
      <c r="S268" s="57" t="s">
        <v>83</v>
      </c>
      <c r="T268" s="57" t="s">
        <v>146</v>
      </c>
    </row>
    <row r="269" spans="1:20" x14ac:dyDescent="0.3">
      <c r="A269" s="112">
        <f t="shared" ca="1" si="3"/>
        <v>45981</v>
      </c>
      <c r="B2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69" s="189">
        <f ca="1">IF(Tabela58[[#This Row],[valor]]="",0,Tabela58[[#This Row],[valor]])+IF(Tabela58[[#This Row],[pagameto]]="",0,Tabela58[[#This Row],[pagameto]])+E270</f>
        <v>0</v>
      </c>
      <c r="L269" s="46" t="s">
        <v>295</v>
      </c>
      <c r="M269" s="130" t="s">
        <v>275</v>
      </c>
      <c r="N269" s="57" t="s">
        <v>11</v>
      </c>
      <c r="O269" s="60">
        <v>1</v>
      </c>
      <c r="P269" s="182">
        <v>-18</v>
      </c>
      <c r="Q269" s="58">
        <v>3.8595571095571106</v>
      </c>
      <c r="R269" s="59">
        <v>46114</v>
      </c>
      <c r="S269" s="57" t="s">
        <v>294</v>
      </c>
      <c r="T269" s="57" t="s">
        <v>146</v>
      </c>
    </row>
    <row r="270" spans="1:20" x14ac:dyDescent="0.3">
      <c r="A270" s="112">
        <f t="shared" ca="1" si="3"/>
        <v>45980</v>
      </c>
      <c r="B2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0" s="189">
        <f ca="1">IF(Tabela58[[#This Row],[valor]]="",0,Tabela58[[#This Row],[valor]])+IF(Tabela58[[#This Row],[pagameto]]="",0,Tabela58[[#This Row],[pagameto]])+E271</f>
        <v>0</v>
      </c>
      <c r="L270" s="46"/>
      <c r="M270" s="63" t="s">
        <v>44</v>
      </c>
      <c r="N270" s="63" t="s">
        <v>42</v>
      </c>
      <c r="O270" s="63" t="s">
        <v>38</v>
      </c>
      <c r="P270" s="150">
        <v>117</v>
      </c>
      <c r="Q270" s="180">
        <v>0</v>
      </c>
      <c r="R270" s="59">
        <v>46114</v>
      </c>
      <c r="S270" s="63" t="s">
        <v>294</v>
      </c>
      <c r="T270" s="63" t="s">
        <v>146</v>
      </c>
    </row>
    <row r="271" spans="1:20" x14ac:dyDescent="0.3">
      <c r="A271" s="112">
        <f t="shared" ca="1" si="3"/>
        <v>45979</v>
      </c>
      <c r="B2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1" s="189">
        <f ca="1">IF(Tabela58[[#This Row],[valor]]="",0,Tabela58[[#This Row],[valor]])+IF(Tabela58[[#This Row],[pagameto]]="",0,Tabela58[[#This Row],[pagameto]])+E272</f>
        <v>0</v>
      </c>
      <c r="L271" s="46" t="s">
        <v>22</v>
      </c>
      <c r="M271" s="130" t="s">
        <v>44</v>
      </c>
      <c r="N271" s="57" t="s">
        <v>13</v>
      </c>
      <c r="O271" s="60">
        <v>6</v>
      </c>
      <c r="P271" s="182">
        <v>-117</v>
      </c>
      <c r="Q271" s="58">
        <v>21.999999999999986</v>
      </c>
      <c r="R271" s="59">
        <v>46114</v>
      </c>
      <c r="S271" s="57" t="s">
        <v>294</v>
      </c>
      <c r="T271" s="57" t="s">
        <v>146</v>
      </c>
    </row>
    <row r="272" spans="1:20" x14ac:dyDescent="0.3">
      <c r="A272" s="112">
        <f t="shared" ca="1" si="3"/>
        <v>45978</v>
      </c>
      <c r="B2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2" s="189">
        <f ca="1">IF(Tabela58[[#This Row],[valor]]="",0,Tabela58[[#This Row],[valor]])+IF(Tabela58[[#This Row],[pagameto]]="",0,Tabela58[[#This Row],[pagameto]])+E273</f>
        <v>0</v>
      </c>
      <c r="L272" s="46" t="s">
        <v>22</v>
      </c>
      <c r="M272" s="130" t="s">
        <v>350</v>
      </c>
      <c r="N272" s="57" t="s">
        <v>11</v>
      </c>
      <c r="O272" s="60">
        <v>6</v>
      </c>
      <c r="P272" s="182">
        <v>-102</v>
      </c>
      <c r="Q272" s="58">
        <v>17.157342657342664</v>
      </c>
      <c r="R272" s="59">
        <v>46113</v>
      </c>
      <c r="S272" s="57" t="s">
        <v>32</v>
      </c>
      <c r="T272" s="57" t="s">
        <v>146</v>
      </c>
    </row>
    <row r="273" spans="1:20" x14ac:dyDescent="0.3">
      <c r="A273" s="112">
        <f t="shared" ca="1" si="3"/>
        <v>45977</v>
      </c>
      <c r="B2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3" s="189">
        <f ca="1">IF(Tabela58[[#This Row],[valor]]="",0,Tabela58[[#This Row],[valor]])+IF(Tabela58[[#This Row],[pagameto]]="",0,Tabela58[[#This Row],[pagameto]])+E274</f>
        <v>0</v>
      </c>
      <c r="L273" s="46"/>
      <c r="M273" s="63" t="s">
        <v>275</v>
      </c>
      <c r="N273" s="63" t="s">
        <v>40</v>
      </c>
      <c r="O273" s="63" t="s">
        <v>38</v>
      </c>
      <c r="P273" s="150">
        <v>125</v>
      </c>
      <c r="Q273" s="180">
        <v>-1.7125000000000001</v>
      </c>
      <c r="R273" s="59">
        <v>46113</v>
      </c>
      <c r="S273" s="63" t="s">
        <v>32</v>
      </c>
      <c r="T273" s="63" t="s">
        <v>146</v>
      </c>
    </row>
    <row r="274" spans="1:20" x14ac:dyDescent="0.3">
      <c r="A274" s="112">
        <f t="shared" ca="1" si="3"/>
        <v>45976</v>
      </c>
      <c r="B2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4" s="189">
        <f ca="1">IF(Tabela58[[#This Row],[valor]]="",0,Tabela58[[#This Row],[valor]])+IF(Tabela58[[#This Row],[pagameto]]="",0,Tabela58[[#This Row],[pagameto]])+E275</f>
        <v>0</v>
      </c>
      <c r="L274" s="46" t="s">
        <v>22</v>
      </c>
      <c r="M274" s="130" t="s">
        <v>350</v>
      </c>
      <c r="N274" s="57" t="s">
        <v>11</v>
      </c>
      <c r="O274" s="60">
        <v>6</v>
      </c>
      <c r="P274" s="182">
        <v>-102</v>
      </c>
      <c r="Q274" s="58">
        <v>17.157342657342653</v>
      </c>
      <c r="R274" s="59">
        <v>46112</v>
      </c>
      <c r="S274" s="57" t="s">
        <v>290</v>
      </c>
      <c r="T274" s="57" t="s">
        <v>145</v>
      </c>
    </row>
    <row r="275" spans="1:20" x14ac:dyDescent="0.3">
      <c r="A275" s="112">
        <f t="shared" ref="A275:A338" ca="1" si="4">A274-1</f>
        <v>45975</v>
      </c>
      <c r="B2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5" s="189">
        <f ca="1">IF(Tabela58[[#This Row],[valor]]="",0,Tabela58[[#This Row],[valor]])+IF(Tabela58[[#This Row],[pagameto]]="",0,Tabela58[[#This Row],[pagameto]])+E276</f>
        <v>0</v>
      </c>
      <c r="L275" s="46"/>
      <c r="M275" s="63" t="s">
        <v>47</v>
      </c>
      <c r="N275" s="63" t="s">
        <v>41</v>
      </c>
      <c r="O275" s="63" t="s">
        <v>38</v>
      </c>
      <c r="P275" s="150">
        <v>400</v>
      </c>
      <c r="Q275" s="180">
        <v>0</v>
      </c>
      <c r="R275" s="59">
        <v>46111</v>
      </c>
      <c r="S275" s="63" t="s">
        <v>291</v>
      </c>
      <c r="T275" s="63" t="s">
        <v>145</v>
      </c>
    </row>
    <row r="276" spans="1:20" x14ac:dyDescent="0.3">
      <c r="A276" s="112">
        <f t="shared" ca="1" si="4"/>
        <v>45974</v>
      </c>
      <c r="B2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6" s="189">
        <f ca="1">IF(Tabela58[[#This Row],[valor]]="",0,Tabela58[[#This Row],[valor]])+IF(Tabela58[[#This Row],[pagameto]]="",0,Tabela58[[#This Row],[pagameto]])+E277</f>
        <v>0</v>
      </c>
      <c r="L276" s="46" t="s">
        <v>295</v>
      </c>
      <c r="M276" s="130" t="s">
        <v>275</v>
      </c>
      <c r="N276" s="57" t="s">
        <v>11</v>
      </c>
      <c r="O276" s="60">
        <v>1</v>
      </c>
      <c r="P276" s="182">
        <v>-18</v>
      </c>
      <c r="Q276" s="58">
        <v>3.8595571095571088</v>
      </c>
      <c r="R276" s="59">
        <v>46110</v>
      </c>
      <c r="S276" s="57" t="s">
        <v>93</v>
      </c>
      <c r="T276" s="57" t="s">
        <v>145</v>
      </c>
    </row>
    <row r="277" spans="1:20" x14ac:dyDescent="0.3">
      <c r="A277" s="112">
        <f t="shared" ca="1" si="4"/>
        <v>45973</v>
      </c>
      <c r="B2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7" s="189">
        <f ca="1">IF(Tabela58[[#This Row],[valor]]="",0,Tabela58[[#This Row],[valor]])+IF(Tabela58[[#This Row],[pagameto]]="",0,Tabela58[[#This Row],[pagameto]])+E278</f>
        <v>0</v>
      </c>
      <c r="L277" s="46" t="s">
        <v>22</v>
      </c>
      <c r="M277" s="130" t="s">
        <v>350</v>
      </c>
      <c r="N277" s="57" t="s">
        <v>11</v>
      </c>
      <c r="O277" s="60">
        <v>6</v>
      </c>
      <c r="P277" s="182">
        <v>-102</v>
      </c>
      <c r="Q277" s="58">
        <v>17.157342657342653</v>
      </c>
      <c r="R277" s="59">
        <v>46110</v>
      </c>
      <c r="S277" s="57" t="s">
        <v>93</v>
      </c>
      <c r="T277" s="57" t="s">
        <v>145</v>
      </c>
    </row>
    <row r="278" spans="1:20" x14ac:dyDescent="0.3">
      <c r="A278" s="112">
        <f t="shared" ca="1" si="4"/>
        <v>45972</v>
      </c>
      <c r="B2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8" s="189">
        <f ca="1">IF(Tabela58[[#This Row],[valor]]="",0,Tabela58[[#This Row],[valor]])+IF(Tabela58[[#This Row],[pagameto]]="",0,Tabela58[[#This Row],[pagameto]])+E279</f>
        <v>0</v>
      </c>
      <c r="L278" s="46"/>
      <c r="M278" s="63" t="s">
        <v>49</v>
      </c>
      <c r="N278" s="63" t="s">
        <v>40</v>
      </c>
      <c r="O278" s="63" t="s">
        <v>38</v>
      </c>
      <c r="P278" s="150">
        <v>102</v>
      </c>
      <c r="Q278" s="180">
        <v>-1.3974</v>
      </c>
      <c r="R278" s="59">
        <v>46110</v>
      </c>
      <c r="S278" s="63" t="s">
        <v>93</v>
      </c>
      <c r="T278" s="63" t="s">
        <v>145</v>
      </c>
    </row>
    <row r="279" spans="1:20" x14ac:dyDescent="0.3">
      <c r="A279" s="112">
        <f t="shared" ca="1" si="4"/>
        <v>45971</v>
      </c>
      <c r="B2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79" s="189">
        <f ca="1">IF(Tabela58[[#This Row],[valor]]="",0,Tabela58[[#This Row],[valor]])+IF(Tabela58[[#This Row],[pagameto]]="",0,Tabela58[[#This Row],[pagameto]])+E280</f>
        <v>0</v>
      </c>
      <c r="L279" s="46" t="s">
        <v>22</v>
      </c>
      <c r="M279" s="130" t="s">
        <v>49</v>
      </c>
      <c r="N279" s="57" t="s">
        <v>11</v>
      </c>
      <c r="O279" s="60">
        <v>6</v>
      </c>
      <c r="P279" s="182">
        <v>-102</v>
      </c>
      <c r="Q279" s="58">
        <v>17.157342657342653</v>
      </c>
      <c r="R279" s="59">
        <v>46110</v>
      </c>
      <c r="S279" s="57" t="s">
        <v>93</v>
      </c>
      <c r="T279" s="57" t="s">
        <v>145</v>
      </c>
    </row>
    <row r="280" spans="1:20" x14ac:dyDescent="0.3">
      <c r="A280" s="112">
        <f t="shared" ca="1" si="4"/>
        <v>45970</v>
      </c>
      <c r="B2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0" s="189">
        <f ca="1">IF(Tabela58[[#This Row],[valor]]="",0,Tabela58[[#This Row],[valor]])+IF(Tabela58[[#This Row],[pagameto]]="",0,Tabela58[[#This Row],[pagameto]])+E281</f>
        <v>0</v>
      </c>
      <c r="L280" s="46" t="s">
        <v>295</v>
      </c>
      <c r="M280" s="130" t="s">
        <v>48</v>
      </c>
      <c r="N280" s="57" t="s">
        <v>11</v>
      </c>
      <c r="O280" s="60">
        <v>12</v>
      </c>
      <c r="P280" s="182">
        <v>-216</v>
      </c>
      <c r="Q280" s="58">
        <v>46.314685314685306</v>
      </c>
      <c r="R280" s="59">
        <v>46109</v>
      </c>
      <c r="S280" s="57" t="s">
        <v>92</v>
      </c>
      <c r="T280" s="57" t="s">
        <v>145</v>
      </c>
    </row>
    <row r="281" spans="1:20" x14ac:dyDescent="0.3">
      <c r="A281" s="112">
        <f t="shared" ca="1" si="4"/>
        <v>45969</v>
      </c>
      <c r="B2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1" s="189">
        <f ca="1">IF(Tabela58[[#This Row],[valor]]="",0,Tabela58[[#This Row],[valor]])+IF(Tabela58[[#This Row],[pagameto]]="",0,Tabela58[[#This Row],[pagameto]])+E282</f>
        <v>0</v>
      </c>
      <c r="L281" s="46"/>
      <c r="M281" s="63" t="s">
        <v>350</v>
      </c>
      <c r="N281" s="63" t="s">
        <v>41</v>
      </c>
      <c r="O281" s="63" t="s">
        <v>38</v>
      </c>
      <c r="P281" s="150">
        <v>348</v>
      </c>
      <c r="Q281" s="180">
        <v>0</v>
      </c>
      <c r="R281" s="59">
        <v>46109</v>
      </c>
      <c r="S281" s="63" t="s">
        <v>92</v>
      </c>
      <c r="T281" s="63" t="s">
        <v>145</v>
      </c>
    </row>
    <row r="282" spans="1:20" x14ac:dyDescent="0.3">
      <c r="A282" s="112">
        <f t="shared" ca="1" si="4"/>
        <v>45968</v>
      </c>
      <c r="B2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2" s="189">
        <f ca="1">IF(Tabela58[[#This Row],[valor]]="",0,Tabela58[[#This Row],[valor]])+IF(Tabela58[[#This Row],[pagameto]]="",0,Tabela58[[#This Row],[pagameto]])+E283</f>
        <v>0</v>
      </c>
      <c r="L282" s="46" t="s">
        <v>22</v>
      </c>
      <c r="M282" s="130" t="s">
        <v>350</v>
      </c>
      <c r="N282" s="57" t="s">
        <v>11</v>
      </c>
      <c r="O282" s="60">
        <v>6</v>
      </c>
      <c r="P282" s="182">
        <v>-102</v>
      </c>
      <c r="Q282" s="58">
        <v>17.157342657342653</v>
      </c>
      <c r="R282" s="59">
        <v>46109</v>
      </c>
      <c r="S282" s="57" t="s">
        <v>92</v>
      </c>
      <c r="T282" s="57" t="s">
        <v>145</v>
      </c>
    </row>
    <row r="283" spans="1:20" x14ac:dyDescent="0.3">
      <c r="A283" s="112">
        <f t="shared" ca="1" si="4"/>
        <v>45967</v>
      </c>
      <c r="B2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3" s="189">
        <f ca="1">IF(Tabela58[[#This Row],[valor]]="",0,Tabela58[[#This Row],[valor]])+IF(Tabela58[[#This Row],[pagameto]]="",0,Tabela58[[#This Row],[pagameto]])+E284</f>
        <v>0</v>
      </c>
      <c r="L283" s="46" t="s">
        <v>295</v>
      </c>
      <c r="M283" s="130" t="s">
        <v>47</v>
      </c>
      <c r="N283" s="57" t="s">
        <v>10</v>
      </c>
      <c r="O283" s="60">
        <v>12</v>
      </c>
      <c r="P283" s="182">
        <v>-240</v>
      </c>
      <c r="Q283" s="58">
        <v>60</v>
      </c>
      <c r="R283" s="59">
        <v>46108</v>
      </c>
      <c r="S283" s="57" t="s">
        <v>83</v>
      </c>
      <c r="T283" s="57" t="s">
        <v>145</v>
      </c>
    </row>
    <row r="284" spans="1:20" x14ac:dyDescent="0.3">
      <c r="A284" s="112">
        <f t="shared" ca="1" si="4"/>
        <v>45966</v>
      </c>
      <c r="B28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4" s="189">
        <f ca="1">IF(Tabela58[[#This Row],[valor]]="",0,Tabela58[[#This Row],[valor]])+IF(Tabela58[[#This Row],[pagameto]]="",0,Tabela58[[#This Row],[pagameto]])+E285</f>
        <v>0</v>
      </c>
      <c r="L284" s="46" t="s">
        <v>22</v>
      </c>
      <c r="M284" s="130" t="s">
        <v>350</v>
      </c>
      <c r="N284" s="57" t="s">
        <v>11</v>
      </c>
      <c r="O284" s="60">
        <v>12</v>
      </c>
      <c r="P284" s="182">
        <v>-204</v>
      </c>
      <c r="Q284" s="58">
        <v>38.090909090909086</v>
      </c>
      <c r="R284" s="59">
        <v>46108</v>
      </c>
      <c r="S284" s="57" t="s">
        <v>83</v>
      </c>
      <c r="T284" s="57" t="s">
        <v>145</v>
      </c>
    </row>
    <row r="285" spans="1:20" x14ac:dyDescent="0.3">
      <c r="A285" s="112">
        <f t="shared" ca="1" si="4"/>
        <v>45965</v>
      </c>
      <c r="B28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5" s="189">
        <f ca="1">IF(Tabela58[[#This Row],[valor]]="",0,Tabela58[[#This Row],[valor]])+IF(Tabela58[[#This Row],[pagameto]]="",0,Tabela58[[#This Row],[pagameto]])+E286</f>
        <v>0</v>
      </c>
      <c r="L285" s="46" t="s">
        <v>295</v>
      </c>
      <c r="M285" s="130" t="s">
        <v>275</v>
      </c>
      <c r="N285" s="57" t="s">
        <v>10</v>
      </c>
      <c r="O285" s="60">
        <v>1</v>
      </c>
      <c r="P285" s="182">
        <v>-20</v>
      </c>
      <c r="Q285" s="58">
        <v>5</v>
      </c>
      <c r="R285" s="59">
        <v>46108</v>
      </c>
      <c r="S285" s="57" t="s">
        <v>83</v>
      </c>
      <c r="T285" s="57" t="s">
        <v>145</v>
      </c>
    </row>
    <row r="286" spans="1:20" x14ac:dyDescent="0.3">
      <c r="A286" s="112">
        <f t="shared" ca="1" si="4"/>
        <v>45964</v>
      </c>
      <c r="B28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6" s="189">
        <f ca="1">IF(Tabela58[[#This Row],[valor]]="",0,Tabela58[[#This Row],[valor]])+IF(Tabela58[[#This Row],[pagameto]]="",0,Tabela58[[#This Row],[pagameto]])+E287</f>
        <v>0</v>
      </c>
      <c r="L286" s="46"/>
      <c r="M286" s="63" t="s">
        <v>44</v>
      </c>
      <c r="N286" s="63" t="s">
        <v>42</v>
      </c>
      <c r="O286" s="63" t="s">
        <v>38</v>
      </c>
      <c r="P286" s="150">
        <v>20.5</v>
      </c>
      <c r="Q286" s="180">
        <v>0</v>
      </c>
      <c r="R286" s="59">
        <v>46108</v>
      </c>
      <c r="S286" s="57" t="s">
        <v>83</v>
      </c>
      <c r="T286" s="63" t="s">
        <v>145</v>
      </c>
    </row>
    <row r="287" spans="1:20" x14ac:dyDescent="0.3">
      <c r="A287" s="112">
        <f t="shared" ca="1" si="4"/>
        <v>45963</v>
      </c>
      <c r="B28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7" s="189">
        <f ca="1">IF(Tabela58[[#This Row],[valor]]="",0,Tabela58[[#This Row],[valor]])+IF(Tabela58[[#This Row],[pagameto]]="",0,Tabela58[[#This Row],[pagameto]])+E288</f>
        <v>0</v>
      </c>
      <c r="L287" s="46" t="s">
        <v>22</v>
      </c>
      <c r="M287" s="130" t="s">
        <v>44</v>
      </c>
      <c r="N287" s="57" t="s">
        <v>13</v>
      </c>
      <c r="O287" s="60">
        <v>1</v>
      </c>
      <c r="P287" s="182">
        <v>-20.5</v>
      </c>
      <c r="Q287" s="58">
        <v>4.6666666666666661</v>
      </c>
      <c r="R287" s="59">
        <v>46108</v>
      </c>
      <c r="S287" s="57" t="s">
        <v>83</v>
      </c>
      <c r="T287" s="57" t="s">
        <v>145</v>
      </c>
    </row>
    <row r="288" spans="1:20" x14ac:dyDescent="0.3">
      <c r="A288" s="112">
        <f t="shared" ca="1" si="4"/>
        <v>45962</v>
      </c>
      <c r="B28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8" s="189">
        <f ca="1">IF(Tabela58[[#This Row],[valor]]="",0,Tabela58[[#This Row],[valor]])+IF(Tabela58[[#This Row],[pagameto]]="",0,Tabela58[[#This Row],[pagameto]])+E289</f>
        <v>0</v>
      </c>
      <c r="L288" s="46"/>
      <c r="M288" s="63" t="s">
        <v>44</v>
      </c>
      <c r="N288" s="63" t="s">
        <v>42</v>
      </c>
      <c r="O288" s="63" t="s">
        <v>38</v>
      </c>
      <c r="P288" s="150">
        <v>61.5</v>
      </c>
      <c r="Q288" s="180">
        <v>0</v>
      </c>
      <c r="R288" s="59">
        <v>46107</v>
      </c>
      <c r="S288" s="63" t="s">
        <v>294</v>
      </c>
      <c r="T288" s="63" t="s">
        <v>145</v>
      </c>
    </row>
    <row r="289" spans="1:20" x14ac:dyDescent="0.3">
      <c r="A289" s="112">
        <f t="shared" ca="1" si="4"/>
        <v>45961</v>
      </c>
      <c r="B28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8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8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89" s="189">
        <f ca="1">IF(Tabela58[[#This Row],[valor]]="",0,Tabela58[[#This Row],[valor]])+IF(Tabela58[[#This Row],[pagameto]]="",0,Tabela58[[#This Row],[pagameto]])+E290</f>
        <v>0</v>
      </c>
      <c r="L289" s="46" t="s">
        <v>22</v>
      </c>
      <c r="M289" s="130" t="s">
        <v>44</v>
      </c>
      <c r="N289" s="57" t="s">
        <v>13</v>
      </c>
      <c r="O289" s="60">
        <v>3</v>
      </c>
      <c r="P289" s="182">
        <v>-61.5</v>
      </c>
      <c r="Q289" s="58">
        <v>13.999999999999998</v>
      </c>
      <c r="R289" s="59">
        <v>46107</v>
      </c>
      <c r="S289" s="57" t="s">
        <v>294</v>
      </c>
      <c r="T289" s="57" t="s">
        <v>145</v>
      </c>
    </row>
    <row r="290" spans="1:20" x14ac:dyDescent="0.3">
      <c r="A290" s="112">
        <f t="shared" ca="1" si="4"/>
        <v>45960</v>
      </c>
      <c r="B29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0" s="189">
        <f ca="1">IF(Tabela58[[#This Row],[valor]]="",0,Tabela58[[#This Row],[valor]])+IF(Tabela58[[#This Row],[pagameto]]="",0,Tabela58[[#This Row],[pagameto]])+E291</f>
        <v>0</v>
      </c>
      <c r="L290" s="46"/>
      <c r="M290" s="63" t="s">
        <v>49</v>
      </c>
      <c r="N290" s="63" t="s">
        <v>41</v>
      </c>
      <c r="O290" s="63" t="s">
        <v>38</v>
      </c>
      <c r="P290" s="150">
        <v>92</v>
      </c>
      <c r="Q290" s="180">
        <v>0</v>
      </c>
      <c r="R290" s="59">
        <v>46106</v>
      </c>
      <c r="S290" s="63" t="s">
        <v>32</v>
      </c>
      <c r="T290" s="63" t="s">
        <v>145</v>
      </c>
    </row>
    <row r="291" spans="1:20" x14ac:dyDescent="0.3">
      <c r="A291" s="112">
        <f t="shared" ca="1" si="4"/>
        <v>45959</v>
      </c>
      <c r="B29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1" s="189">
        <f ca="1">IF(Tabela58[[#This Row],[valor]]="",0,Tabela58[[#This Row],[valor]])+IF(Tabela58[[#This Row],[pagameto]]="",0,Tabela58[[#This Row],[pagameto]])+E292</f>
        <v>0</v>
      </c>
      <c r="L291" s="46"/>
      <c r="M291" s="63" t="s">
        <v>44</v>
      </c>
      <c r="N291" s="63" t="s">
        <v>42</v>
      </c>
      <c r="O291" s="63" t="s">
        <v>38</v>
      </c>
      <c r="P291" s="150">
        <v>123</v>
      </c>
      <c r="Q291" s="180">
        <v>0</v>
      </c>
      <c r="R291" s="59">
        <v>46106</v>
      </c>
      <c r="S291" s="63" t="s">
        <v>32</v>
      </c>
      <c r="T291" s="63" t="s">
        <v>145</v>
      </c>
    </row>
    <row r="292" spans="1:20" x14ac:dyDescent="0.3">
      <c r="A292" s="112">
        <f t="shared" ca="1" si="4"/>
        <v>45958</v>
      </c>
      <c r="B29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2" s="189">
        <f ca="1">IF(Tabela58[[#This Row],[valor]]="",0,Tabela58[[#This Row],[valor]])+IF(Tabela58[[#This Row],[pagameto]]="",0,Tabela58[[#This Row],[pagameto]])+E293</f>
        <v>0</v>
      </c>
      <c r="L292" s="46" t="s">
        <v>22</v>
      </c>
      <c r="M292" s="130" t="s">
        <v>44</v>
      </c>
      <c r="N292" s="57" t="s">
        <v>13</v>
      </c>
      <c r="O292" s="60">
        <v>6</v>
      </c>
      <c r="P292" s="182">
        <v>-123</v>
      </c>
      <c r="Q292" s="58">
        <v>27.999999999999996</v>
      </c>
      <c r="R292" s="59">
        <v>46106</v>
      </c>
      <c r="S292" s="57" t="s">
        <v>32</v>
      </c>
      <c r="T292" s="57" t="s">
        <v>145</v>
      </c>
    </row>
    <row r="293" spans="1:20" x14ac:dyDescent="0.3">
      <c r="A293" s="112">
        <f t="shared" ca="1" si="4"/>
        <v>45957</v>
      </c>
      <c r="B29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3" s="189">
        <f ca="1">IF(Tabela58[[#This Row],[valor]]="",0,Tabela58[[#This Row],[valor]])+IF(Tabela58[[#This Row],[pagameto]]="",0,Tabela58[[#This Row],[pagameto]])+E294</f>
        <v>0</v>
      </c>
      <c r="L293" s="46" t="s">
        <v>295</v>
      </c>
      <c r="M293" s="130" t="s">
        <v>275</v>
      </c>
      <c r="N293" s="57" t="s">
        <v>10</v>
      </c>
      <c r="O293" s="60">
        <v>1</v>
      </c>
      <c r="P293" s="182">
        <v>-18</v>
      </c>
      <c r="Q293" s="58">
        <v>3</v>
      </c>
      <c r="R293" s="59">
        <v>46105</v>
      </c>
      <c r="S293" s="57" t="s">
        <v>290</v>
      </c>
      <c r="T293" s="57" t="s">
        <v>145</v>
      </c>
    </row>
    <row r="294" spans="1:20" x14ac:dyDescent="0.3">
      <c r="A294" s="112">
        <f t="shared" ca="1" si="4"/>
        <v>45956</v>
      </c>
      <c r="B29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4" s="189">
        <f ca="1">IF(Tabela58[[#This Row],[valor]]="",0,Tabela58[[#This Row],[valor]])+IF(Tabela58[[#This Row],[pagameto]]="",0,Tabela58[[#This Row],[pagameto]])+E295</f>
        <v>0</v>
      </c>
      <c r="L294" s="46"/>
      <c r="M294" s="63" t="s">
        <v>44</v>
      </c>
      <c r="N294" s="63" t="s">
        <v>40</v>
      </c>
      <c r="O294" s="63" t="s">
        <v>38</v>
      </c>
      <c r="P294" s="150">
        <v>108</v>
      </c>
      <c r="Q294" s="180">
        <v>-1.4796</v>
      </c>
      <c r="R294" s="59">
        <v>46104</v>
      </c>
      <c r="S294" s="63" t="s">
        <v>291</v>
      </c>
      <c r="T294" s="63" t="s">
        <v>145</v>
      </c>
    </row>
    <row r="295" spans="1:20" x14ac:dyDescent="0.3">
      <c r="A295" s="112">
        <f t="shared" ca="1" si="4"/>
        <v>45955</v>
      </c>
      <c r="B29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5" s="189">
        <f ca="1">IF(Tabela58[[#This Row],[valor]]="",0,Tabela58[[#This Row],[valor]])+IF(Tabela58[[#This Row],[pagameto]]="",0,Tabela58[[#This Row],[pagameto]])+E296</f>
        <v>0</v>
      </c>
      <c r="L295" s="46" t="s">
        <v>22</v>
      </c>
      <c r="M295" s="130" t="s">
        <v>44</v>
      </c>
      <c r="N295" s="57" t="s">
        <v>13</v>
      </c>
      <c r="O295" s="60">
        <v>6</v>
      </c>
      <c r="P295" s="182">
        <v>-108</v>
      </c>
      <c r="Q295" s="58">
        <v>12.999999999999996</v>
      </c>
      <c r="R295" s="59">
        <v>46104</v>
      </c>
      <c r="S295" s="57" t="s">
        <v>291</v>
      </c>
      <c r="T295" s="57" t="s">
        <v>145</v>
      </c>
    </row>
    <row r="296" spans="1:20" x14ac:dyDescent="0.3">
      <c r="A296" s="112">
        <f t="shared" ca="1" si="4"/>
        <v>45954</v>
      </c>
      <c r="B29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6" s="189">
        <f ca="1">IF(Tabela58[[#This Row],[valor]]="",0,Tabela58[[#This Row],[valor]])+IF(Tabela58[[#This Row],[pagameto]]="",0,Tabela58[[#This Row],[pagameto]])+E297</f>
        <v>0</v>
      </c>
      <c r="L296" s="46" t="s">
        <v>295</v>
      </c>
      <c r="M296" s="130" t="s">
        <v>46</v>
      </c>
      <c r="N296" s="57" t="s">
        <v>11</v>
      </c>
      <c r="O296" s="60">
        <v>26</v>
      </c>
      <c r="P296" s="182">
        <v>-442</v>
      </c>
      <c r="Q296" s="58">
        <v>82.530303030303017</v>
      </c>
      <c r="R296" s="59">
        <v>46104</v>
      </c>
      <c r="S296" s="57" t="s">
        <v>291</v>
      </c>
      <c r="T296" s="57" t="s">
        <v>145</v>
      </c>
    </row>
    <row r="297" spans="1:20" x14ac:dyDescent="0.3">
      <c r="A297" s="112">
        <f t="shared" ca="1" si="4"/>
        <v>45953</v>
      </c>
      <c r="B29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7" s="189">
        <f ca="1">IF(Tabela58[[#This Row],[valor]]="",0,Tabela58[[#This Row],[valor]])+IF(Tabela58[[#This Row],[pagameto]]="",0,Tabela58[[#This Row],[pagameto]])+E298</f>
        <v>0</v>
      </c>
      <c r="L297" s="46"/>
      <c r="M297" s="63" t="s">
        <v>48</v>
      </c>
      <c r="N297" s="63" t="s">
        <v>41</v>
      </c>
      <c r="O297" s="63" t="s">
        <v>38</v>
      </c>
      <c r="P297" s="150">
        <v>168</v>
      </c>
      <c r="Q297" s="180">
        <v>0</v>
      </c>
      <c r="R297" s="59">
        <v>46103</v>
      </c>
      <c r="S297" s="63" t="s">
        <v>93</v>
      </c>
      <c r="T297" s="63" t="s">
        <v>145</v>
      </c>
    </row>
    <row r="298" spans="1:20" x14ac:dyDescent="0.3">
      <c r="A298" s="112">
        <f t="shared" ca="1" si="4"/>
        <v>45952</v>
      </c>
      <c r="B29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8" s="189">
        <f ca="1">IF(Tabela58[[#This Row],[valor]]="",0,Tabela58[[#This Row],[valor]])+IF(Tabela58[[#This Row],[pagameto]]="",0,Tabela58[[#This Row],[pagameto]])+E299</f>
        <v>0</v>
      </c>
      <c r="L298" s="46"/>
      <c r="M298" s="63" t="s">
        <v>270</v>
      </c>
      <c r="N298" s="63" t="s">
        <v>41</v>
      </c>
      <c r="O298" s="63" t="s">
        <v>38</v>
      </c>
      <c r="P298" s="150">
        <v>20</v>
      </c>
      <c r="Q298" s="180">
        <v>0</v>
      </c>
      <c r="R298" s="59">
        <v>46101</v>
      </c>
      <c r="S298" s="63" t="s">
        <v>83</v>
      </c>
      <c r="T298" s="63" t="s">
        <v>145</v>
      </c>
    </row>
    <row r="299" spans="1:20" x14ac:dyDescent="0.3">
      <c r="A299" s="112">
        <f t="shared" ca="1" si="4"/>
        <v>45951</v>
      </c>
      <c r="B29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29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29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299" s="189">
        <f ca="1">IF(Tabela58[[#This Row],[valor]]="",0,Tabela58[[#This Row],[valor]])+IF(Tabela58[[#This Row],[pagameto]]="",0,Tabela58[[#This Row],[pagameto]])+E300</f>
        <v>0</v>
      </c>
      <c r="L299" s="46" t="s">
        <v>295</v>
      </c>
      <c r="M299" s="130" t="s">
        <v>275</v>
      </c>
      <c r="N299" s="57" t="s">
        <v>11</v>
      </c>
      <c r="O299" s="60">
        <v>1</v>
      </c>
      <c r="P299" s="182">
        <v>-17</v>
      </c>
      <c r="Q299" s="58">
        <v>3.1742424242424239</v>
      </c>
      <c r="R299" s="59">
        <v>46101</v>
      </c>
      <c r="S299" s="57" t="s">
        <v>83</v>
      </c>
      <c r="T299" s="57" t="s">
        <v>145</v>
      </c>
    </row>
    <row r="300" spans="1:20" x14ac:dyDescent="0.3">
      <c r="A300" s="112">
        <f t="shared" ca="1" si="4"/>
        <v>45950</v>
      </c>
      <c r="B30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0" s="189">
        <f ca="1">IF(Tabela58[[#This Row],[valor]]="",0,Tabela58[[#This Row],[valor]])+IF(Tabela58[[#This Row],[pagameto]]="",0,Tabela58[[#This Row],[pagameto]])+E301</f>
        <v>0</v>
      </c>
      <c r="L300" s="46" t="s">
        <v>22</v>
      </c>
      <c r="M300" s="130" t="s">
        <v>47</v>
      </c>
      <c r="N300" s="57" t="s">
        <v>11</v>
      </c>
      <c r="O300" s="60">
        <v>12</v>
      </c>
      <c r="P300" s="182">
        <v>-192</v>
      </c>
      <c r="Q300" s="58">
        <v>26.090909090909086</v>
      </c>
      <c r="R300" s="59">
        <v>46101</v>
      </c>
      <c r="S300" s="57" t="s">
        <v>83</v>
      </c>
      <c r="T300" s="57" t="s">
        <v>145</v>
      </c>
    </row>
    <row r="301" spans="1:20" x14ac:dyDescent="0.3">
      <c r="A301" s="112">
        <f t="shared" ca="1" si="4"/>
        <v>45949</v>
      </c>
      <c r="B30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1" s="189">
        <f ca="1">IF(Tabela58[[#This Row],[valor]]="",0,Tabela58[[#This Row],[valor]])+IF(Tabela58[[#This Row],[pagameto]]="",0,Tabela58[[#This Row],[pagameto]])+E302</f>
        <v>0</v>
      </c>
      <c r="L301" s="46"/>
      <c r="M301" s="63" t="s">
        <v>44</v>
      </c>
      <c r="N301" s="63" t="s">
        <v>41</v>
      </c>
      <c r="O301" s="63" t="s">
        <v>38</v>
      </c>
      <c r="P301" s="150">
        <v>128</v>
      </c>
      <c r="Q301" s="180">
        <v>0</v>
      </c>
      <c r="R301" s="59">
        <v>46101</v>
      </c>
      <c r="S301" s="63" t="s">
        <v>83</v>
      </c>
      <c r="T301" s="63" t="s">
        <v>145</v>
      </c>
    </row>
    <row r="302" spans="1:20" x14ac:dyDescent="0.3">
      <c r="A302" s="112">
        <f t="shared" ca="1" si="4"/>
        <v>45948</v>
      </c>
      <c r="B30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2" s="189">
        <f ca="1">IF(Tabela58[[#This Row],[valor]]="",0,Tabela58[[#This Row],[valor]])+IF(Tabela58[[#This Row],[pagameto]]="",0,Tabela58[[#This Row],[pagameto]])+E303</f>
        <v>0</v>
      </c>
      <c r="L302" s="46" t="s">
        <v>22</v>
      </c>
      <c r="M302" s="130" t="s">
        <v>44</v>
      </c>
      <c r="N302" s="57" t="s">
        <v>11</v>
      </c>
      <c r="O302" s="60">
        <v>8</v>
      </c>
      <c r="P302" s="182">
        <v>-128</v>
      </c>
      <c r="Q302" s="58">
        <v>17.393939393939391</v>
      </c>
      <c r="R302" s="59">
        <v>46101</v>
      </c>
      <c r="S302" s="57" t="s">
        <v>83</v>
      </c>
      <c r="T302" s="57" t="s">
        <v>145</v>
      </c>
    </row>
    <row r="303" spans="1:20" x14ac:dyDescent="0.3">
      <c r="A303" s="112">
        <f t="shared" ca="1" si="4"/>
        <v>45947</v>
      </c>
      <c r="B30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3" s="189">
        <f ca="1">IF(Tabela58[[#This Row],[valor]]="",0,Tabela58[[#This Row],[valor]])+IF(Tabela58[[#This Row],[pagameto]]="",0,Tabela58[[#This Row],[pagameto]])+E304</f>
        <v>0</v>
      </c>
      <c r="L303" s="46"/>
      <c r="M303" s="63" t="s">
        <v>47</v>
      </c>
      <c r="N303" s="63" t="s">
        <v>41</v>
      </c>
      <c r="O303" s="63" t="s">
        <v>38</v>
      </c>
      <c r="P303" s="150">
        <v>200</v>
      </c>
      <c r="Q303" s="180">
        <v>0</v>
      </c>
      <c r="R303" s="59">
        <v>46101</v>
      </c>
      <c r="S303" s="63" t="s">
        <v>83</v>
      </c>
      <c r="T303" s="63" t="s">
        <v>145</v>
      </c>
    </row>
    <row r="304" spans="1:20" x14ac:dyDescent="0.3">
      <c r="A304" s="112">
        <f t="shared" ca="1" si="4"/>
        <v>45946</v>
      </c>
      <c r="B30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4" s="189">
        <f ca="1">IF(Tabela58[[#This Row],[valor]]="",0,Tabela58[[#This Row],[valor]])+IF(Tabela58[[#This Row],[pagameto]]="",0,Tabela58[[#This Row],[pagameto]])+E305</f>
        <v>0</v>
      </c>
      <c r="L304" s="46"/>
      <c r="M304" s="63" t="s">
        <v>49</v>
      </c>
      <c r="N304" s="63" t="s">
        <v>42</v>
      </c>
      <c r="O304" s="63" t="s">
        <v>38</v>
      </c>
      <c r="P304" s="150">
        <v>100</v>
      </c>
      <c r="Q304" s="180">
        <v>0</v>
      </c>
      <c r="R304" s="59">
        <v>46101</v>
      </c>
      <c r="S304" s="63" t="s">
        <v>83</v>
      </c>
      <c r="T304" s="63" t="s">
        <v>145</v>
      </c>
    </row>
    <row r="305" spans="1:20" x14ac:dyDescent="0.3">
      <c r="A305" s="112">
        <f t="shared" ca="1" si="4"/>
        <v>45945</v>
      </c>
      <c r="B30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5" s="189">
        <f ca="1">IF(Tabela58[[#This Row],[valor]]="",0,Tabela58[[#This Row],[valor]])+IF(Tabela58[[#This Row],[pagameto]]="",0,Tabela58[[#This Row],[pagameto]])+E306</f>
        <v>0</v>
      </c>
      <c r="L305" s="46" t="s">
        <v>22</v>
      </c>
      <c r="M305" s="130" t="s">
        <v>49</v>
      </c>
      <c r="N305" s="57" t="s">
        <v>11</v>
      </c>
      <c r="O305" s="60">
        <v>12</v>
      </c>
      <c r="P305" s="182">
        <v>-192</v>
      </c>
      <c r="Q305" s="58">
        <v>26.090909090909086</v>
      </c>
      <c r="R305" s="59">
        <v>46101</v>
      </c>
      <c r="S305" s="57" t="s">
        <v>83</v>
      </c>
      <c r="T305" s="57" t="s">
        <v>145</v>
      </c>
    </row>
    <row r="306" spans="1:20" x14ac:dyDescent="0.3">
      <c r="A306" s="112">
        <f t="shared" ca="1" si="4"/>
        <v>45944</v>
      </c>
      <c r="B30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6" s="189">
        <f ca="1">IF(Tabela58[[#This Row],[valor]]="",0,Tabela58[[#This Row],[valor]])+IF(Tabela58[[#This Row],[pagameto]]="",0,Tabela58[[#This Row],[pagameto]])+E307</f>
        <v>0</v>
      </c>
      <c r="L306" s="46" t="s">
        <v>22</v>
      </c>
      <c r="M306" s="130" t="s">
        <v>350</v>
      </c>
      <c r="N306" s="57" t="s">
        <v>11</v>
      </c>
      <c r="O306" s="60">
        <v>6</v>
      </c>
      <c r="P306" s="182">
        <v>-96</v>
      </c>
      <c r="Q306" s="58">
        <v>13.045454545454543</v>
      </c>
      <c r="R306" s="59">
        <v>46100</v>
      </c>
      <c r="S306" s="57" t="s">
        <v>294</v>
      </c>
      <c r="T306" s="57" t="s">
        <v>145</v>
      </c>
    </row>
    <row r="307" spans="1:20" x14ac:dyDescent="0.3">
      <c r="A307" s="112">
        <f t="shared" ca="1" si="4"/>
        <v>45943</v>
      </c>
      <c r="B30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7" s="189">
        <f ca="1">IF(Tabela58[[#This Row],[valor]]="",0,Tabela58[[#This Row],[valor]])+IF(Tabela58[[#This Row],[pagameto]]="",0,Tabela58[[#This Row],[pagameto]])+E308</f>
        <v>0</v>
      </c>
      <c r="L307" s="46" t="s">
        <v>295</v>
      </c>
      <c r="M307" s="130" t="s">
        <v>46</v>
      </c>
      <c r="N307" s="57" t="s">
        <v>11</v>
      </c>
      <c r="O307" s="60">
        <v>12</v>
      </c>
      <c r="P307" s="182">
        <v>-204</v>
      </c>
      <c r="Q307" s="58">
        <v>38.090909090909086</v>
      </c>
      <c r="R307" s="59">
        <v>46100</v>
      </c>
      <c r="S307" s="57" t="s">
        <v>294</v>
      </c>
      <c r="T307" s="57" t="s">
        <v>145</v>
      </c>
    </row>
    <row r="308" spans="1:20" x14ac:dyDescent="0.3">
      <c r="A308" s="112">
        <f t="shared" ca="1" si="4"/>
        <v>45942</v>
      </c>
      <c r="B30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8" s="189">
        <f ca="1">IF(Tabela58[[#This Row],[valor]]="",0,Tabela58[[#This Row],[valor]])+IF(Tabela58[[#This Row],[pagameto]]="",0,Tabela58[[#This Row],[pagameto]])+E309</f>
        <v>0</v>
      </c>
      <c r="L308" s="46"/>
      <c r="M308" s="63" t="s">
        <v>44</v>
      </c>
      <c r="N308" s="63" t="s">
        <v>41</v>
      </c>
      <c r="O308" s="63" t="s">
        <v>38</v>
      </c>
      <c r="P308" s="150">
        <v>108</v>
      </c>
      <c r="Q308" s="180">
        <v>0</v>
      </c>
      <c r="R308" s="59">
        <v>46099</v>
      </c>
      <c r="S308" s="63" t="s">
        <v>32</v>
      </c>
      <c r="T308" s="63" t="s">
        <v>145</v>
      </c>
    </row>
    <row r="309" spans="1:20" x14ac:dyDescent="0.3">
      <c r="A309" s="112">
        <f t="shared" ca="1" si="4"/>
        <v>45941</v>
      </c>
      <c r="B30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0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0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09" s="189">
        <f ca="1">IF(Tabela58[[#This Row],[valor]]="",0,Tabela58[[#This Row],[valor]])+IF(Tabela58[[#This Row],[pagameto]]="",0,Tabela58[[#This Row],[pagameto]])+E310</f>
        <v>0</v>
      </c>
      <c r="L309" s="46" t="s">
        <v>22</v>
      </c>
      <c r="M309" s="130" t="s">
        <v>44</v>
      </c>
      <c r="N309" s="57" t="s">
        <v>12</v>
      </c>
      <c r="O309" s="60">
        <v>8</v>
      </c>
      <c r="P309" s="182">
        <v>-108</v>
      </c>
      <c r="Q309" s="58">
        <v>15.333333333333314</v>
      </c>
      <c r="R309" s="59">
        <v>46099</v>
      </c>
      <c r="S309" s="57" t="s">
        <v>32</v>
      </c>
      <c r="T309" s="57" t="s">
        <v>145</v>
      </c>
    </row>
    <row r="310" spans="1:20" x14ac:dyDescent="0.3">
      <c r="A310" s="112">
        <f t="shared" ca="1" si="4"/>
        <v>45940</v>
      </c>
      <c r="B31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0" s="189">
        <f ca="1">IF(Tabela58[[#This Row],[valor]]="",0,Tabela58[[#This Row],[valor]])+IF(Tabela58[[#This Row],[pagameto]]="",0,Tabela58[[#This Row],[pagameto]])+E311</f>
        <v>0</v>
      </c>
      <c r="L310" s="46" t="s">
        <v>295</v>
      </c>
      <c r="M310" s="130" t="s">
        <v>275</v>
      </c>
      <c r="N310" s="57" t="s">
        <v>11</v>
      </c>
      <c r="O310" s="60">
        <v>1</v>
      </c>
      <c r="P310" s="182">
        <v>-16</v>
      </c>
      <c r="Q310" s="58">
        <v>2.1742424242424239</v>
      </c>
      <c r="R310" s="59">
        <v>46098</v>
      </c>
      <c r="S310" s="57" t="s">
        <v>290</v>
      </c>
      <c r="T310" s="57" t="s">
        <v>145</v>
      </c>
    </row>
    <row r="311" spans="1:20" x14ac:dyDescent="0.3">
      <c r="A311" s="112">
        <f t="shared" ca="1" si="4"/>
        <v>45939</v>
      </c>
      <c r="B31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1" s="189">
        <f ca="1">IF(Tabela58[[#This Row],[valor]]="",0,Tabela58[[#This Row],[valor]])+IF(Tabela58[[#This Row],[pagameto]]="",0,Tabela58[[#This Row],[pagameto]])+E312</f>
        <v>0</v>
      </c>
      <c r="L311" s="46" t="s">
        <v>22</v>
      </c>
      <c r="M311" s="130" t="s">
        <v>350</v>
      </c>
      <c r="N311" s="57" t="s">
        <v>11</v>
      </c>
      <c r="O311" s="60">
        <v>6</v>
      </c>
      <c r="P311" s="182">
        <v>-84</v>
      </c>
      <c r="Q311" s="58">
        <v>6.5000000000000142</v>
      </c>
      <c r="R311" s="59">
        <v>46098</v>
      </c>
      <c r="S311" s="57" t="s">
        <v>290</v>
      </c>
      <c r="T311" s="57" t="s">
        <v>145</v>
      </c>
    </row>
    <row r="312" spans="1:20" x14ac:dyDescent="0.3">
      <c r="A312" s="112">
        <f t="shared" ca="1" si="4"/>
        <v>45938</v>
      </c>
      <c r="B31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2" s="189">
        <f ca="1">IF(Tabela58[[#This Row],[valor]]="",0,Tabela58[[#This Row],[valor]])+IF(Tabela58[[#This Row],[pagameto]]="",0,Tabela58[[#This Row],[pagameto]])+E313</f>
        <v>0</v>
      </c>
      <c r="L312" s="46"/>
      <c r="M312" s="63" t="s">
        <v>44</v>
      </c>
      <c r="N312" s="63" t="s">
        <v>41</v>
      </c>
      <c r="O312" s="63" t="s">
        <v>38</v>
      </c>
      <c r="P312" s="150">
        <v>84</v>
      </c>
      <c r="Q312" s="180">
        <v>0</v>
      </c>
      <c r="R312" s="59">
        <v>46098</v>
      </c>
      <c r="S312" s="63" t="s">
        <v>290</v>
      </c>
      <c r="T312" s="63" t="s">
        <v>145</v>
      </c>
    </row>
    <row r="313" spans="1:20" x14ac:dyDescent="0.3">
      <c r="A313" s="112">
        <f t="shared" ca="1" si="4"/>
        <v>45937</v>
      </c>
      <c r="B31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3" s="189">
        <f ca="1">IF(Tabela58[[#This Row],[valor]]="",0,Tabela58[[#This Row],[valor]])+IF(Tabela58[[#This Row],[pagameto]]="",0,Tabela58[[#This Row],[pagameto]])+E314</f>
        <v>0</v>
      </c>
      <c r="L313" s="46" t="s">
        <v>22</v>
      </c>
      <c r="M313" s="130" t="s">
        <v>44</v>
      </c>
      <c r="N313" s="57" t="s">
        <v>11</v>
      </c>
      <c r="O313" s="60">
        <v>6</v>
      </c>
      <c r="P313" s="182">
        <v>-84</v>
      </c>
      <c r="Q313" s="58">
        <v>6.5000000000000142</v>
      </c>
      <c r="R313" s="59">
        <v>46098</v>
      </c>
      <c r="S313" s="57" t="s">
        <v>290</v>
      </c>
      <c r="T313" s="57" t="s">
        <v>145</v>
      </c>
    </row>
    <row r="314" spans="1:20" x14ac:dyDescent="0.3">
      <c r="A314" s="112">
        <f t="shared" ca="1" si="4"/>
        <v>45936</v>
      </c>
      <c r="B31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4" s="189">
        <f ca="1">IF(Tabela58[[#This Row],[valor]]="",0,Tabela58[[#This Row],[valor]])+IF(Tabela58[[#This Row],[pagameto]]="",0,Tabela58[[#This Row],[pagameto]])+E315</f>
        <v>0</v>
      </c>
      <c r="L314" s="46" t="s">
        <v>22</v>
      </c>
      <c r="M314" s="130" t="s">
        <v>47</v>
      </c>
      <c r="N314" s="57" t="s">
        <v>11</v>
      </c>
      <c r="O314" s="60">
        <v>6</v>
      </c>
      <c r="P314" s="182">
        <v>-84</v>
      </c>
      <c r="Q314" s="58">
        <v>6.5000000000000142</v>
      </c>
      <c r="R314" s="59">
        <v>46097</v>
      </c>
      <c r="S314" s="57" t="s">
        <v>291</v>
      </c>
      <c r="T314" s="57" t="s">
        <v>145</v>
      </c>
    </row>
    <row r="315" spans="1:20" x14ac:dyDescent="0.3">
      <c r="A315" s="112">
        <f t="shared" ca="1" si="4"/>
        <v>45935</v>
      </c>
      <c r="B31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5" s="189">
        <f ca="1">IF(Tabela58[[#This Row],[valor]]="",0,Tabela58[[#This Row],[valor]])+IF(Tabela58[[#This Row],[pagameto]]="",0,Tabela58[[#This Row],[pagameto]])+E316</f>
        <v>0</v>
      </c>
      <c r="L315" s="46" t="s">
        <v>22</v>
      </c>
      <c r="M315" s="130" t="s">
        <v>46</v>
      </c>
      <c r="N315" s="57" t="s">
        <v>11</v>
      </c>
      <c r="O315" s="60">
        <v>12</v>
      </c>
      <c r="P315" s="182">
        <v>-168</v>
      </c>
      <c r="Q315" s="58">
        <v>13.000000000000028</v>
      </c>
      <c r="R315" s="59">
        <v>46097</v>
      </c>
      <c r="S315" s="57" t="s">
        <v>291</v>
      </c>
      <c r="T315" s="57" t="s">
        <v>145</v>
      </c>
    </row>
    <row r="316" spans="1:20" x14ac:dyDescent="0.3">
      <c r="A316" s="112">
        <f t="shared" ca="1" si="4"/>
        <v>45934</v>
      </c>
      <c r="B31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6" s="189">
        <f ca="1">IF(Tabela58[[#This Row],[valor]]="",0,Tabela58[[#This Row],[valor]])+IF(Tabela58[[#This Row],[pagameto]]="",0,Tabela58[[#This Row],[pagameto]])+E317</f>
        <v>0</v>
      </c>
      <c r="L316" s="46" t="s">
        <v>295</v>
      </c>
      <c r="M316" s="130" t="s">
        <v>270</v>
      </c>
      <c r="N316" s="57" t="s">
        <v>14</v>
      </c>
      <c r="O316" s="60">
        <v>1</v>
      </c>
      <c r="P316" s="182">
        <v>-20</v>
      </c>
      <c r="Q316" s="58">
        <v>20</v>
      </c>
      <c r="R316" s="59">
        <v>46096</v>
      </c>
      <c r="S316" s="57" t="s">
        <v>93</v>
      </c>
      <c r="T316" s="57" t="s">
        <v>145</v>
      </c>
    </row>
    <row r="317" spans="1:20" x14ac:dyDescent="0.3">
      <c r="A317" s="112">
        <f t="shared" ca="1" si="4"/>
        <v>45933</v>
      </c>
      <c r="B31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7" s="189">
        <f ca="1">IF(Tabela58[[#This Row],[valor]]="",0,Tabela58[[#This Row],[valor]])+IF(Tabela58[[#This Row],[pagameto]]="",0,Tabela58[[#This Row],[pagameto]])+E318</f>
        <v>0</v>
      </c>
      <c r="L317" s="46" t="s">
        <v>22</v>
      </c>
      <c r="M317" s="130" t="s">
        <v>350</v>
      </c>
      <c r="N317" s="57" t="s">
        <v>11</v>
      </c>
      <c r="O317" s="60">
        <v>12</v>
      </c>
      <c r="P317" s="182">
        <v>-168</v>
      </c>
      <c r="Q317" s="58">
        <v>13.000000000000028</v>
      </c>
      <c r="R317" s="59">
        <v>46096</v>
      </c>
      <c r="S317" s="57" t="s">
        <v>93</v>
      </c>
      <c r="T317" s="57" t="s">
        <v>145</v>
      </c>
    </row>
    <row r="318" spans="1:20" x14ac:dyDescent="0.3">
      <c r="A318" s="112">
        <f t="shared" ca="1" si="4"/>
        <v>45932</v>
      </c>
      <c r="B31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8" s="189">
        <f ca="1">IF(Tabela58[[#This Row],[valor]]="",0,Tabela58[[#This Row],[valor]])+IF(Tabela58[[#This Row],[pagameto]]="",0,Tabela58[[#This Row],[pagameto]])+E319</f>
        <v>0</v>
      </c>
      <c r="L318" s="46"/>
      <c r="M318" s="63" t="s">
        <v>350</v>
      </c>
      <c r="N318" s="63" t="s">
        <v>41</v>
      </c>
      <c r="O318" s="63" t="s">
        <v>38</v>
      </c>
      <c r="P318" s="150">
        <v>264</v>
      </c>
      <c r="Q318" s="180">
        <v>0</v>
      </c>
      <c r="R318" s="59">
        <v>46096</v>
      </c>
      <c r="S318" s="63" t="s">
        <v>93</v>
      </c>
      <c r="T318" s="63" t="s">
        <v>145</v>
      </c>
    </row>
    <row r="319" spans="1:20" x14ac:dyDescent="0.3">
      <c r="A319" s="112">
        <f t="shared" ca="1" si="4"/>
        <v>45931</v>
      </c>
      <c r="B31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1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1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19" s="189">
        <f ca="1">IF(Tabela58[[#This Row],[valor]]="",0,Tabela58[[#This Row],[valor]])+IF(Tabela58[[#This Row],[pagameto]]="",0,Tabela58[[#This Row],[pagameto]])+E320</f>
        <v>0</v>
      </c>
      <c r="L319" s="46"/>
      <c r="M319" s="63" t="s">
        <v>44</v>
      </c>
      <c r="N319" s="63" t="s">
        <v>42</v>
      </c>
      <c r="O319" s="63" t="s">
        <v>38</v>
      </c>
      <c r="P319" s="150">
        <v>204</v>
      </c>
      <c r="Q319" s="180">
        <v>0</v>
      </c>
      <c r="R319" s="59">
        <v>46096</v>
      </c>
      <c r="S319" s="63" t="s">
        <v>93</v>
      </c>
      <c r="T319" s="63" t="s">
        <v>145</v>
      </c>
    </row>
    <row r="320" spans="1:20" x14ac:dyDescent="0.3">
      <c r="A320" s="112">
        <f t="shared" ca="1" si="4"/>
        <v>45930</v>
      </c>
      <c r="B32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0" s="189">
        <f ca="1">IF(Tabela58[[#This Row],[valor]]="",0,Tabela58[[#This Row],[valor]])+IF(Tabela58[[#This Row],[pagameto]]="",0,Tabela58[[#This Row],[pagameto]])+E321</f>
        <v>0</v>
      </c>
      <c r="L320" s="46" t="s">
        <v>22</v>
      </c>
      <c r="M320" s="130" t="s">
        <v>44</v>
      </c>
      <c r="N320" s="57" t="s">
        <v>13</v>
      </c>
      <c r="O320" s="60">
        <v>12</v>
      </c>
      <c r="P320" s="182">
        <v>-204</v>
      </c>
      <c r="Q320" s="58">
        <v>28.556459820097182</v>
      </c>
      <c r="R320" s="59">
        <v>46096</v>
      </c>
      <c r="S320" s="57" t="s">
        <v>93</v>
      </c>
      <c r="T320" s="57" t="s">
        <v>145</v>
      </c>
    </row>
    <row r="321" spans="1:20" x14ac:dyDescent="0.3">
      <c r="A321" s="112">
        <f t="shared" ca="1" si="4"/>
        <v>45929</v>
      </c>
      <c r="B32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1" s="189">
        <f ca="1">IF(Tabela58[[#This Row],[valor]]="",0,Tabela58[[#This Row],[valor]])+IF(Tabela58[[#This Row],[pagameto]]="",0,Tabela58[[#This Row],[pagameto]])+E322</f>
        <v>0</v>
      </c>
      <c r="L321" s="46"/>
      <c r="M321" s="63" t="s">
        <v>44</v>
      </c>
      <c r="N321" s="63" t="s">
        <v>41</v>
      </c>
      <c r="O321" s="63" t="s">
        <v>38</v>
      </c>
      <c r="P321" s="150">
        <v>216</v>
      </c>
      <c r="Q321" s="180">
        <v>0</v>
      </c>
      <c r="R321" s="59">
        <v>46096</v>
      </c>
      <c r="S321" s="63" t="s">
        <v>93</v>
      </c>
      <c r="T321" s="63" t="s">
        <v>145</v>
      </c>
    </row>
    <row r="322" spans="1:20" x14ac:dyDescent="0.3">
      <c r="A322" s="112">
        <f t="shared" ca="1" si="4"/>
        <v>45928</v>
      </c>
      <c r="B32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2" s="189">
        <f ca="1">IF(Tabela58[[#This Row],[valor]]="",0,Tabela58[[#This Row],[valor]])+IF(Tabela58[[#This Row],[pagameto]]="",0,Tabela58[[#This Row],[pagameto]])+E323</f>
        <v>0</v>
      </c>
      <c r="L322" s="46" t="s">
        <v>22</v>
      </c>
      <c r="M322" s="130" t="s">
        <v>44</v>
      </c>
      <c r="N322" s="57" t="s">
        <v>14</v>
      </c>
      <c r="O322" s="60">
        <v>12</v>
      </c>
      <c r="P322" s="182">
        <v>-216</v>
      </c>
      <c r="Q322" s="58">
        <v>30.933170765960433</v>
      </c>
      <c r="R322" s="59">
        <v>46096</v>
      </c>
      <c r="S322" s="57" t="s">
        <v>93</v>
      </c>
      <c r="T322" s="57" t="s">
        <v>145</v>
      </c>
    </row>
    <row r="323" spans="1:20" x14ac:dyDescent="0.3">
      <c r="A323" s="112">
        <f t="shared" ca="1" si="4"/>
        <v>45927</v>
      </c>
      <c r="B32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3" s="189">
        <f ca="1">IF(Tabela58[[#This Row],[valor]]="",0,Tabela58[[#This Row],[valor]])+IF(Tabela58[[#This Row],[pagameto]]="",0,Tabela58[[#This Row],[pagameto]])+E324</f>
        <v>0</v>
      </c>
      <c r="L323" s="46" t="s">
        <v>295</v>
      </c>
      <c r="M323" s="130" t="s">
        <v>275</v>
      </c>
      <c r="N323" s="57" t="s">
        <v>13</v>
      </c>
      <c r="O323" s="60">
        <v>1</v>
      </c>
      <c r="P323" s="182">
        <v>-18</v>
      </c>
      <c r="Q323" s="58">
        <v>3.3797049850080985</v>
      </c>
      <c r="R323" s="59">
        <v>46096</v>
      </c>
      <c r="S323" s="57" t="s">
        <v>93</v>
      </c>
      <c r="T323" s="57" t="s">
        <v>145</v>
      </c>
    </row>
    <row r="324" spans="1:20" x14ac:dyDescent="0.3">
      <c r="A324" s="112">
        <f t="shared" ca="1" si="4"/>
        <v>45926</v>
      </c>
      <c r="B32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4" s="189">
        <f ca="1">IF(Tabela58[[#This Row],[valor]]="",0,Tabela58[[#This Row],[valor]])+IF(Tabela58[[#This Row],[pagameto]]="",0,Tabela58[[#This Row],[pagameto]])+E325</f>
        <v>0</v>
      </c>
      <c r="L324" s="46" t="s">
        <v>22</v>
      </c>
      <c r="M324" s="130" t="s">
        <v>48</v>
      </c>
      <c r="N324" s="57" t="s">
        <v>11</v>
      </c>
      <c r="O324" s="60">
        <v>12</v>
      </c>
      <c r="P324" s="182">
        <v>-168</v>
      </c>
      <c r="Q324" s="58">
        <v>13.000000000000028</v>
      </c>
      <c r="R324" s="59">
        <v>46095</v>
      </c>
      <c r="S324" s="57" t="s">
        <v>92</v>
      </c>
      <c r="T324" s="57" t="s">
        <v>145</v>
      </c>
    </row>
    <row r="325" spans="1:20" x14ac:dyDescent="0.3">
      <c r="A325" s="112">
        <f t="shared" ca="1" si="4"/>
        <v>45925</v>
      </c>
      <c r="B32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5" s="189">
        <f ca="1">IF(Tabela58[[#This Row],[valor]]="",0,Tabela58[[#This Row],[valor]])+IF(Tabela58[[#This Row],[pagameto]]="",0,Tabela58[[#This Row],[pagameto]])+E326</f>
        <v>0</v>
      </c>
      <c r="L325" s="46"/>
      <c r="M325" s="63" t="s">
        <v>44</v>
      </c>
      <c r="N325" s="63" t="s">
        <v>42</v>
      </c>
      <c r="O325" s="63" t="s">
        <v>38</v>
      </c>
      <c r="P325" s="150">
        <v>34</v>
      </c>
      <c r="Q325" s="180">
        <v>0</v>
      </c>
      <c r="R325" s="59">
        <v>46095</v>
      </c>
      <c r="S325" s="63" t="s">
        <v>92</v>
      </c>
      <c r="T325" s="63" t="s">
        <v>145</v>
      </c>
    </row>
    <row r="326" spans="1:20" x14ac:dyDescent="0.3">
      <c r="A326" s="112">
        <f t="shared" ca="1" si="4"/>
        <v>45924</v>
      </c>
      <c r="B32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6" s="189">
        <f ca="1">IF(Tabela58[[#This Row],[valor]]="",0,Tabela58[[#This Row],[valor]])+IF(Tabela58[[#This Row],[pagameto]]="",0,Tabela58[[#This Row],[pagameto]])+E327</f>
        <v>0</v>
      </c>
      <c r="L326" s="46" t="s">
        <v>22</v>
      </c>
      <c r="M326" s="130" t="s">
        <v>44</v>
      </c>
      <c r="N326" s="57" t="s">
        <v>13</v>
      </c>
      <c r="O326" s="60">
        <v>2</v>
      </c>
      <c r="P326" s="182">
        <v>-34</v>
      </c>
      <c r="Q326" s="58">
        <v>4.7594099700161934</v>
      </c>
      <c r="R326" s="59">
        <v>46094</v>
      </c>
      <c r="S326" s="57" t="s">
        <v>83</v>
      </c>
      <c r="T326" s="57" t="s">
        <v>145</v>
      </c>
    </row>
    <row r="327" spans="1:20" x14ac:dyDescent="0.3">
      <c r="A327" s="112">
        <f t="shared" ca="1" si="4"/>
        <v>45923</v>
      </c>
      <c r="B32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7" s="189">
        <f ca="1">IF(Tabela58[[#This Row],[valor]]="",0,Tabela58[[#This Row],[valor]])+IF(Tabela58[[#This Row],[pagameto]]="",0,Tabela58[[#This Row],[pagameto]])+E328</f>
        <v>0</v>
      </c>
      <c r="L327" s="46"/>
      <c r="M327" s="63" t="s">
        <v>270</v>
      </c>
      <c r="N327" s="63" t="s">
        <v>41</v>
      </c>
      <c r="O327" s="63" t="s">
        <v>38</v>
      </c>
      <c r="P327" s="150">
        <v>22</v>
      </c>
      <c r="Q327" s="180">
        <v>0</v>
      </c>
      <c r="R327" s="59">
        <v>46093</v>
      </c>
      <c r="S327" s="63" t="s">
        <v>294</v>
      </c>
      <c r="T327" s="63" t="s">
        <v>145</v>
      </c>
    </row>
    <row r="328" spans="1:20" x14ac:dyDescent="0.3">
      <c r="A328" s="112">
        <f t="shared" ca="1" si="4"/>
        <v>45922</v>
      </c>
      <c r="B32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8" s="189">
        <f ca="1">IF(Tabela58[[#This Row],[valor]]="",0,Tabela58[[#This Row],[valor]])+IF(Tabela58[[#This Row],[pagameto]]="",0,Tabela58[[#This Row],[pagameto]])+E329</f>
        <v>0</v>
      </c>
      <c r="L328" s="46" t="s">
        <v>22</v>
      </c>
      <c r="M328" s="130" t="s">
        <v>350</v>
      </c>
      <c r="N328" s="57" t="s">
        <v>11</v>
      </c>
      <c r="O328" s="60">
        <v>6</v>
      </c>
      <c r="P328" s="182">
        <v>-84</v>
      </c>
      <c r="Q328" s="58">
        <v>6.5000000000000036</v>
      </c>
      <c r="R328" s="59">
        <v>46092</v>
      </c>
      <c r="S328" s="57" t="s">
        <v>32</v>
      </c>
      <c r="T328" s="57" t="s">
        <v>145</v>
      </c>
    </row>
    <row r="329" spans="1:20" x14ac:dyDescent="0.3">
      <c r="A329" s="112">
        <f t="shared" ca="1" si="4"/>
        <v>45921</v>
      </c>
      <c r="B32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2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2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29" s="189">
        <f ca="1">IF(Tabela58[[#This Row],[valor]]="",0,Tabela58[[#This Row],[valor]])+IF(Tabela58[[#This Row],[pagameto]]="",0,Tabela58[[#This Row],[pagameto]])+E330</f>
        <v>0</v>
      </c>
      <c r="L329" s="46" t="s">
        <v>22</v>
      </c>
      <c r="M329" s="130" t="s">
        <v>350</v>
      </c>
      <c r="N329" s="57" t="s">
        <v>11</v>
      </c>
      <c r="O329" s="60">
        <v>6</v>
      </c>
      <c r="P329" s="182">
        <v>-84</v>
      </c>
      <c r="Q329" s="58">
        <v>6.5000000000000036</v>
      </c>
      <c r="R329" s="59">
        <v>46091</v>
      </c>
      <c r="S329" s="57" t="s">
        <v>290</v>
      </c>
      <c r="T329" s="57" t="s">
        <v>145</v>
      </c>
    </row>
    <row r="330" spans="1:20" x14ac:dyDescent="0.3">
      <c r="A330" s="112">
        <f t="shared" ca="1" si="4"/>
        <v>45920</v>
      </c>
      <c r="B33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0" s="189">
        <f ca="1">IF(Tabela58[[#This Row],[valor]]="",0,Tabela58[[#This Row],[valor]])+IF(Tabela58[[#This Row],[pagameto]]="",0,Tabela58[[#This Row],[pagameto]])+E331</f>
        <v>0</v>
      </c>
      <c r="L330" s="46"/>
      <c r="M330" s="63" t="s">
        <v>49</v>
      </c>
      <c r="N330" s="63" t="s">
        <v>39</v>
      </c>
      <c r="O330" s="63" t="s">
        <v>38</v>
      </c>
      <c r="P330" s="150">
        <v>168</v>
      </c>
      <c r="Q330" s="180">
        <v>-5.2919999999999998</v>
      </c>
      <c r="R330" s="59">
        <v>46091</v>
      </c>
      <c r="S330" s="63" t="s">
        <v>290</v>
      </c>
      <c r="T330" s="63" t="s">
        <v>145</v>
      </c>
    </row>
    <row r="331" spans="1:20" x14ac:dyDescent="0.3">
      <c r="A331" s="112">
        <f t="shared" ca="1" si="4"/>
        <v>45919</v>
      </c>
      <c r="B33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1" s="189">
        <f ca="1">IF(Tabela58[[#This Row],[valor]]="",0,Tabela58[[#This Row],[valor]])+IF(Tabela58[[#This Row],[pagameto]]="",0,Tabela58[[#This Row],[pagameto]])+E332</f>
        <v>0</v>
      </c>
      <c r="L331" s="46" t="s">
        <v>22</v>
      </c>
      <c r="M331" s="130" t="s">
        <v>49</v>
      </c>
      <c r="N331" s="57" t="s">
        <v>11</v>
      </c>
      <c r="O331" s="60">
        <v>12</v>
      </c>
      <c r="P331" s="182">
        <v>-168</v>
      </c>
      <c r="Q331" s="58">
        <v>13.000000000000007</v>
      </c>
      <c r="R331" s="59">
        <v>46091</v>
      </c>
      <c r="S331" s="57" t="s">
        <v>290</v>
      </c>
      <c r="T331" s="57" t="s">
        <v>145</v>
      </c>
    </row>
    <row r="332" spans="1:20" x14ac:dyDescent="0.3">
      <c r="A332" s="112">
        <f t="shared" ca="1" si="4"/>
        <v>45918</v>
      </c>
      <c r="B33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2" s="189">
        <f ca="1">IF(Tabela58[[#This Row],[valor]]="",0,Tabela58[[#This Row],[valor]])+IF(Tabela58[[#This Row],[pagameto]]="",0,Tabela58[[#This Row],[pagameto]])+E333</f>
        <v>0</v>
      </c>
      <c r="L332" s="46"/>
      <c r="M332" s="63" t="s">
        <v>44</v>
      </c>
      <c r="N332" s="63" t="s">
        <v>41</v>
      </c>
      <c r="O332" s="63" t="s">
        <v>38</v>
      </c>
      <c r="P332" s="150">
        <v>108</v>
      </c>
      <c r="Q332" s="180">
        <v>0</v>
      </c>
      <c r="R332" s="59">
        <v>46091</v>
      </c>
      <c r="S332" s="63" t="s">
        <v>290</v>
      </c>
      <c r="T332" s="63" t="s">
        <v>145</v>
      </c>
    </row>
    <row r="333" spans="1:20" x14ac:dyDescent="0.3">
      <c r="A333" s="112">
        <f t="shared" ca="1" si="4"/>
        <v>45917</v>
      </c>
      <c r="B33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3" s="189">
        <f ca="1">IF(Tabela58[[#This Row],[valor]]="",0,Tabela58[[#This Row],[valor]])+IF(Tabela58[[#This Row],[pagameto]]="",0,Tabela58[[#This Row],[pagameto]])+E334</f>
        <v>0</v>
      </c>
      <c r="L333" s="46" t="s">
        <v>22</v>
      </c>
      <c r="M333" s="130" t="s">
        <v>44</v>
      </c>
      <c r="N333" s="57" t="s">
        <v>14</v>
      </c>
      <c r="O333" s="60">
        <v>6</v>
      </c>
      <c r="P333" s="182">
        <v>-108</v>
      </c>
      <c r="Q333" s="58">
        <v>15.466585382980206</v>
      </c>
      <c r="R333" s="59">
        <v>46091</v>
      </c>
      <c r="S333" s="57" t="s">
        <v>290</v>
      </c>
      <c r="T333" s="57" t="s">
        <v>145</v>
      </c>
    </row>
    <row r="334" spans="1:20" x14ac:dyDescent="0.3">
      <c r="A334" s="112">
        <f t="shared" ca="1" si="4"/>
        <v>45916</v>
      </c>
      <c r="B33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4" s="189">
        <f ca="1">IF(Tabela58[[#This Row],[valor]]="",0,Tabela58[[#This Row],[valor]])+IF(Tabela58[[#This Row],[pagameto]]="",0,Tabela58[[#This Row],[pagameto]])+E335</f>
        <v>0</v>
      </c>
      <c r="L334" s="46" t="s">
        <v>22</v>
      </c>
      <c r="M334" s="130" t="s">
        <v>46</v>
      </c>
      <c r="N334" s="57" t="s">
        <v>11</v>
      </c>
      <c r="O334" s="60">
        <v>14</v>
      </c>
      <c r="P334" s="182">
        <v>-196</v>
      </c>
      <c r="Q334" s="58">
        <v>15.166666666666675</v>
      </c>
      <c r="R334" s="59">
        <v>46091</v>
      </c>
      <c r="S334" s="57" t="s">
        <v>290</v>
      </c>
      <c r="T334" s="57" t="s">
        <v>145</v>
      </c>
    </row>
    <row r="335" spans="1:20" x14ac:dyDescent="0.3">
      <c r="A335" s="112">
        <f t="shared" ca="1" si="4"/>
        <v>45915</v>
      </c>
      <c r="B33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5" s="189">
        <f ca="1">IF(Tabela58[[#This Row],[valor]]="",0,Tabela58[[#This Row],[valor]])+IF(Tabela58[[#This Row],[pagameto]]="",0,Tabela58[[#This Row],[pagameto]])+E336</f>
        <v>0</v>
      </c>
      <c r="L335" s="46"/>
      <c r="M335" s="63" t="s">
        <v>46</v>
      </c>
      <c r="N335" s="63" t="s">
        <v>41</v>
      </c>
      <c r="O335" s="63" t="s">
        <v>38</v>
      </c>
      <c r="P335" s="150">
        <v>860</v>
      </c>
      <c r="Q335" s="180">
        <v>0</v>
      </c>
      <c r="R335" s="59">
        <v>46091</v>
      </c>
      <c r="S335" s="63" t="s">
        <v>290</v>
      </c>
      <c r="T335" s="63" t="s">
        <v>145</v>
      </c>
    </row>
    <row r="336" spans="1:20" x14ac:dyDescent="0.3">
      <c r="A336" s="112">
        <f t="shared" ca="1" si="4"/>
        <v>45914</v>
      </c>
      <c r="B33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6" s="189">
        <f ca="1">IF(Tabela58[[#This Row],[valor]]="",0,Tabela58[[#This Row],[valor]])+IF(Tabela58[[#This Row],[pagameto]]="",0,Tabela58[[#This Row],[pagameto]])+E337</f>
        <v>0</v>
      </c>
      <c r="L336" s="46"/>
      <c r="M336" s="63" t="s">
        <v>47</v>
      </c>
      <c r="N336" s="63" t="s">
        <v>41</v>
      </c>
      <c r="O336" s="63" t="s">
        <v>38</v>
      </c>
      <c r="P336" s="150">
        <v>250</v>
      </c>
      <c r="Q336" s="180">
        <v>0</v>
      </c>
      <c r="R336" s="59">
        <v>46090</v>
      </c>
      <c r="S336" s="63" t="s">
        <v>291</v>
      </c>
      <c r="T336" s="63" t="s">
        <v>145</v>
      </c>
    </row>
    <row r="337" spans="1:20" x14ac:dyDescent="0.3">
      <c r="A337" s="112">
        <f t="shared" ca="1" si="4"/>
        <v>45913</v>
      </c>
      <c r="B33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7" s="189">
        <f ca="1">IF(Tabela58[[#This Row],[valor]]="",0,Tabela58[[#This Row],[valor]])+IF(Tabela58[[#This Row],[pagameto]]="",0,Tabela58[[#This Row],[pagameto]])+E338</f>
        <v>0</v>
      </c>
      <c r="L337" s="46" t="s">
        <v>22</v>
      </c>
      <c r="M337" s="130" t="s">
        <v>47</v>
      </c>
      <c r="N337" s="57" t="s">
        <v>10</v>
      </c>
      <c r="O337" s="60">
        <v>12</v>
      </c>
      <c r="P337" s="182">
        <v>-180</v>
      </c>
      <c r="Q337" s="58">
        <v>15</v>
      </c>
      <c r="R337" s="59">
        <v>46090</v>
      </c>
      <c r="S337" s="57" t="s">
        <v>291</v>
      </c>
      <c r="T337" s="57" t="s">
        <v>145</v>
      </c>
    </row>
    <row r="338" spans="1:20" x14ac:dyDescent="0.3">
      <c r="A338" s="112">
        <f t="shared" ca="1" si="4"/>
        <v>45912</v>
      </c>
      <c r="B33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8" s="189">
        <f ca="1">IF(Tabela58[[#This Row],[valor]]="",0,Tabela58[[#This Row],[valor]])+IF(Tabela58[[#This Row],[pagameto]]="",0,Tabela58[[#This Row],[pagameto]])+E339</f>
        <v>0</v>
      </c>
      <c r="L338" s="46" t="s">
        <v>295</v>
      </c>
      <c r="M338" s="130" t="s">
        <v>328</v>
      </c>
      <c r="N338" s="57" t="s">
        <v>14</v>
      </c>
      <c r="O338" s="60">
        <v>1</v>
      </c>
      <c r="P338" s="182">
        <v>-20</v>
      </c>
      <c r="Q338" s="58">
        <v>4.5777642304967028</v>
      </c>
      <c r="R338" s="59">
        <v>46089</v>
      </c>
      <c r="S338" s="57" t="s">
        <v>93</v>
      </c>
      <c r="T338" s="57" t="s">
        <v>145</v>
      </c>
    </row>
    <row r="339" spans="1:20" x14ac:dyDescent="0.3">
      <c r="A339" s="112">
        <f t="shared" ref="A339:A383" ca="1" si="5">A338-1</f>
        <v>45911</v>
      </c>
      <c r="B33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3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3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39" s="189">
        <f ca="1">IF(Tabela58[[#This Row],[valor]]="",0,Tabela58[[#This Row],[valor]])+IF(Tabela58[[#This Row],[pagameto]]="",0,Tabela58[[#This Row],[pagameto]])+E340</f>
        <v>0</v>
      </c>
      <c r="L339" s="46"/>
      <c r="M339" s="63" t="s">
        <v>48</v>
      </c>
      <c r="N339" s="63" t="s">
        <v>41</v>
      </c>
      <c r="O339" s="63" t="s">
        <v>38</v>
      </c>
      <c r="P339" s="150">
        <v>180</v>
      </c>
      <c r="Q339" s="180">
        <v>0</v>
      </c>
      <c r="R339" s="59">
        <v>46089</v>
      </c>
      <c r="S339" s="63" t="s">
        <v>93</v>
      </c>
      <c r="T339" s="63" t="s">
        <v>145</v>
      </c>
    </row>
    <row r="340" spans="1:20" x14ac:dyDescent="0.3">
      <c r="A340" s="112">
        <f t="shared" ca="1" si="5"/>
        <v>45910</v>
      </c>
      <c r="B34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0" s="189">
        <f ca="1">IF(Tabela58[[#This Row],[valor]]="",0,Tabela58[[#This Row],[valor]])+IF(Tabela58[[#This Row],[pagameto]]="",0,Tabela58[[#This Row],[pagameto]])+E341</f>
        <v>0</v>
      </c>
      <c r="L340" s="46"/>
      <c r="M340" s="63" t="s">
        <v>47</v>
      </c>
      <c r="N340" s="63" t="s">
        <v>41</v>
      </c>
      <c r="O340" s="63" t="s">
        <v>38</v>
      </c>
      <c r="P340" s="150">
        <v>100</v>
      </c>
      <c r="Q340" s="180">
        <v>0</v>
      </c>
      <c r="R340" s="59">
        <v>46088</v>
      </c>
      <c r="S340" s="63" t="s">
        <v>92</v>
      </c>
      <c r="T340" s="63" t="s">
        <v>145</v>
      </c>
    </row>
    <row r="341" spans="1:20" x14ac:dyDescent="0.3">
      <c r="A341" s="112">
        <f t="shared" ca="1" si="5"/>
        <v>45909</v>
      </c>
      <c r="B34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1" s="189">
        <f ca="1">IF(Tabela58[[#This Row],[valor]]="",0,Tabela58[[#This Row],[valor]])+IF(Tabela58[[#This Row],[pagameto]]="",0,Tabela58[[#This Row],[pagameto]])+E342</f>
        <v>0</v>
      </c>
      <c r="L341" s="46"/>
      <c r="M341" s="63" t="s">
        <v>44</v>
      </c>
      <c r="N341" s="63" t="s">
        <v>42</v>
      </c>
      <c r="O341" s="63" t="s">
        <v>38</v>
      </c>
      <c r="P341" s="150">
        <v>108</v>
      </c>
      <c r="Q341" s="180">
        <v>0</v>
      </c>
      <c r="R341" s="59">
        <v>46087</v>
      </c>
      <c r="S341" s="63" t="s">
        <v>83</v>
      </c>
      <c r="T341" s="63" t="s">
        <v>145</v>
      </c>
    </row>
    <row r="342" spans="1:20" x14ac:dyDescent="0.3">
      <c r="A342" s="112">
        <f t="shared" ca="1" si="5"/>
        <v>45908</v>
      </c>
      <c r="B34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2" s="189">
        <f ca="1">IF(Tabela58[[#This Row],[valor]]="",0,Tabela58[[#This Row],[valor]])+IF(Tabela58[[#This Row],[pagameto]]="",0,Tabela58[[#This Row],[pagameto]])+E343</f>
        <v>0</v>
      </c>
      <c r="L342" s="46" t="s">
        <v>22</v>
      </c>
      <c r="M342" s="130" t="s">
        <v>44</v>
      </c>
      <c r="N342" s="57" t="s">
        <v>13</v>
      </c>
      <c r="O342" s="60">
        <v>6</v>
      </c>
      <c r="P342" s="182">
        <v>-108</v>
      </c>
      <c r="Q342" s="58">
        <v>20.012105802106838</v>
      </c>
      <c r="R342" s="59">
        <v>46087</v>
      </c>
      <c r="S342" s="57" t="s">
        <v>83</v>
      </c>
      <c r="T342" s="57" t="s">
        <v>145</v>
      </c>
    </row>
    <row r="343" spans="1:20" x14ac:dyDescent="0.3">
      <c r="A343" s="112">
        <f t="shared" ca="1" si="5"/>
        <v>45907</v>
      </c>
      <c r="B34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3" s="189">
        <f ca="1">IF(Tabela58[[#This Row],[valor]]="",0,Tabela58[[#This Row],[valor]])+IF(Tabela58[[#This Row],[pagameto]]="",0,Tabela58[[#This Row],[pagameto]])+E344</f>
        <v>0</v>
      </c>
      <c r="L343" s="46" t="s">
        <v>295</v>
      </c>
      <c r="M343" s="130" t="s">
        <v>270</v>
      </c>
      <c r="N343" s="57" t="s">
        <v>14</v>
      </c>
      <c r="O343" s="60">
        <v>1</v>
      </c>
      <c r="P343" s="182">
        <v>-22</v>
      </c>
      <c r="Q343" s="58">
        <v>6.5689709102283391</v>
      </c>
      <c r="R343" s="59">
        <v>46086</v>
      </c>
      <c r="S343" s="57" t="s">
        <v>294</v>
      </c>
      <c r="T343" s="57" t="s">
        <v>145</v>
      </c>
    </row>
    <row r="344" spans="1:20" x14ac:dyDescent="0.3">
      <c r="A344" s="112">
        <f t="shared" ca="1" si="5"/>
        <v>45906</v>
      </c>
      <c r="B34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4" s="189">
        <f ca="1">IF(Tabela58[[#This Row],[valor]]="",0,Tabela58[[#This Row],[valor]])+IF(Tabela58[[#This Row],[pagameto]]="",0,Tabela58[[#This Row],[pagameto]])+E345</f>
        <v>0</v>
      </c>
      <c r="L344" s="46"/>
      <c r="M344" s="63" t="s">
        <v>44</v>
      </c>
      <c r="N344" s="63" t="s">
        <v>40</v>
      </c>
      <c r="O344" s="63" t="s">
        <v>38</v>
      </c>
      <c r="P344" s="150">
        <v>20</v>
      </c>
      <c r="Q344" s="180">
        <v>-0.27400000000000002</v>
      </c>
      <c r="R344" s="59">
        <v>46086</v>
      </c>
      <c r="S344" s="63" t="s">
        <v>294</v>
      </c>
      <c r="T344" s="63" t="s">
        <v>145</v>
      </c>
    </row>
    <row r="345" spans="1:20" x14ac:dyDescent="0.3">
      <c r="A345" s="112">
        <f t="shared" ca="1" si="5"/>
        <v>45905</v>
      </c>
      <c r="B34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5" s="189">
        <f ca="1">IF(Tabela58[[#This Row],[valor]]="",0,Tabela58[[#This Row],[valor]])+IF(Tabela58[[#This Row],[pagameto]]="",0,Tabela58[[#This Row],[pagameto]])+E346</f>
        <v>0</v>
      </c>
      <c r="L345" s="46" t="s">
        <v>22</v>
      </c>
      <c r="M345" s="130" t="s">
        <v>44</v>
      </c>
      <c r="N345" s="57" t="s">
        <v>14</v>
      </c>
      <c r="O345" s="60">
        <v>1</v>
      </c>
      <c r="P345" s="182">
        <v>-20</v>
      </c>
      <c r="Q345" s="58">
        <v>4.5689709102283391</v>
      </c>
      <c r="R345" s="59">
        <v>46086</v>
      </c>
      <c r="S345" s="57" t="s">
        <v>294</v>
      </c>
      <c r="T345" s="57" t="s">
        <v>145</v>
      </c>
    </row>
    <row r="346" spans="1:20" x14ac:dyDescent="0.3">
      <c r="A346" s="112">
        <f t="shared" ca="1" si="5"/>
        <v>45904</v>
      </c>
      <c r="B34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6" s="189">
        <f ca="1">IF(Tabela58[[#This Row],[valor]]="",0,Tabela58[[#This Row],[valor]])+IF(Tabela58[[#This Row],[pagameto]]="",0,Tabela58[[#This Row],[pagameto]])+E347</f>
        <v>0</v>
      </c>
      <c r="L346" s="46" t="s">
        <v>22</v>
      </c>
      <c r="M346" s="130" t="s">
        <v>350</v>
      </c>
      <c r="N346" s="57" t="s">
        <v>10</v>
      </c>
      <c r="O346" s="60">
        <v>6</v>
      </c>
      <c r="P346" s="182">
        <v>-96</v>
      </c>
      <c r="Q346" s="58">
        <v>13.5</v>
      </c>
      <c r="R346" s="59">
        <v>46086</v>
      </c>
      <c r="S346" s="57" t="s">
        <v>294</v>
      </c>
      <c r="T346" s="57" t="s">
        <v>145</v>
      </c>
    </row>
    <row r="347" spans="1:20" x14ac:dyDescent="0.3">
      <c r="A347" s="112">
        <f t="shared" ca="1" si="5"/>
        <v>45903</v>
      </c>
      <c r="B34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7" s="189">
        <f ca="1">IF(Tabela58[[#This Row],[valor]]="",0,Tabela58[[#This Row],[valor]])+IF(Tabela58[[#This Row],[pagameto]]="",0,Tabela58[[#This Row],[pagameto]])+E348</f>
        <v>0</v>
      </c>
      <c r="L347" s="46"/>
      <c r="M347" s="63" t="s">
        <v>328</v>
      </c>
      <c r="N347" s="63" t="s">
        <v>42</v>
      </c>
      <c r="O347" s="63" t="s">
        <v>38</v>
      </c>
      <c r="P347" s="150">
        <v>23</v>
      </c>
      <c r="Q347" s="180">
        <v>0</v>
      </c>
      <c r="R347" s="59">
        <v>46086</v>
      </c>
      <c r="S347" s="63" t="s">
        <v>294</v>
      </c>
      <c r="T347" s="63" t="s">
        <v>145</v>
      </c>
    </row>
    <row r="348" spans="1:20" x14ac:dyDescent="0.3">
      <c r="A348" s="112">
        <f t="shared" ca="1" si="5"/>
        <v>45902</v>
      </c>
      <c r="B34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8" s="189">
        <f ca="1">IF(Tabela58[[#This Row],[valor]]="",0,Tabela58[[#This Row],[valor]])+IF(Tabela58[[#This Row],[pagameto]]="",0,Tabela58[[#This Row],[pagameto]])+E349</f>
        <v>0</v>
      </c>
      <c r="L348" s="46"/>
      <c r="M348" s="63" t="s">
        <v>350</v>
      </c>
      <c r="N348" s="63" t="s">
        <v>41</v>
      </c>
      <c r="O348" s="63" t="s">
        <v>38</v>
      </c>
      <c r="P348" s="150">
        <v>267</v>
      </c>
      <c r="Q348" s="180">
        <v>0</v>
      </c>
      <c r="R348" s="59">
        <v>46085</v>
      </c>
      <c r="S348" s="63" t="s">
        <v>32</v>
      </c>
      <c r="T348" s="63" t="s">
        <v>145</v>
      </c>
    </row>
    <row r="349" spans="1:20" x14ac:dyDescent="0.3">
      <c r="A349" s="112">
        <f t="shared" ca="1" si="5"/>
        <v>45901</v>
      </c>
      <c r="B34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4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4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49" s="189">
        <f ca="1">IF(Tabela58[[#This Row],[valor]]="",0,Tabela58[[#This Row],[valor]])+IF(Tabela58[[#This Row],[pagameto]]="",0,Tabela58[[#This Row],[pagameto]])+E350</f>
        <v>0</v>
      </c>
      <c r="L349" s="46" t="s">
        <v>295</v>
      </c>
      <c r="M349" s="130" t="s">
        <v>275</v>
      </c>
      <c r="N349" s="57" t="s">
        <v>10</v>
      </c>
      <c r="O349" s="60">
        <v>1</v>
      </c>
      <c r="P349" s="182">
        <v>-18</v>
      </c>
      <c r="Q349" s="58">
        <v>4.25</v>
      </c>
      <c r="R349" s="59">
        <v>46085</v>
      </c>
      <c r="S349" s="57" t="s">
        <v>32</v>
      </c>
      <c r="T349" s="57" t="s">
        <v>145</v>
      </c>
    </row>
    <row r="350" spans="1:20" x14ac:dyDescent="0.3">
      <c r="A350" s="112">
        <f t="shared" ca="1" si="5"/>
        <v>45900</v>
      </c>
      <c r="B35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0" s="189">
        <f ca="1">IF(Tabela58[[#This Row],[valor]]="",0,Tabela58[[#This Row],[valor]])+IF(Tabela58[[#This Row],[pagameto]]="",0,Tabela58[[#This Row],[pagameto]])+E351</f>
        <v>0</v>
      </c>
      <c r="L350" s="46"/>
      <c r="M350" s="63" t="s">
        <v>275</v>
      </c>
      <c r="N350" s="63" t="s">
        <v>42</v>
      </c>
      <c r="O350" s="63" t="s">
        <v>38</v>
      </c>
      <c r="P350" s="150">
        <v>67</v>
      </c>
      <c r="Q350" s="180">
        <v>0</v>
      </c>
      <c r="R350" s="59">
        <v>46085</v>
      </c>
      <c r="S350" s="63" t="s">
        <v>32</v>
      </c>
      <c r="T350" s="63" t="s">
        <v>145</v>
      </c>
    </row>
    <row r="351" spans="1:20" x14ac:dyDescent="0.3">
      <c r="A351" s="112">
        <f t="shared" ca="1" si="5"/>
        <v>45899</v>
      </c>
      <c r="B35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1" s="189">
        <f ca="1">IF(Tabela58[[#This Row],[valor]]="",0,Tabela58[[#This Row],[valor]])+IF(Tabela58[[#This Row],[pagameto]]="",0,Tabela58[[#This Row],[pagameto]])+E352</f>
        <v>0</v>
      </c>
      <c r="L351" s="46"/>
      <c r="M351" s="63" t="s">
        <v>45</v>
      </c>
      <c r="N351" s="63" t="s">
        <v>42</v>
      </c>
      <c r="O351" s="63" t="s">
        <v>38</v>
      </c>
      <c r="P351" s="150">
        <v>122</v>
      </c>
      <c r="Q351" s="180">
        <v>0</v>
      </c>
      <c r="R351" s="59">
        <v>46084</v>
      </c>
      <c r="S351" s="63" t="s">
        <v>290</v>
      </c>
      <c r="T351" s="63" t="s">
        <v>145</v>
      </c>
    </row>
    <row r="352" spans="1:20" x14ac:dyDescent="0.3">
      <c r="A352" s="112">
        <f t="shared" ca="1" si="5"/>
        <v>45898</v>
      </c>
      <c r="B35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2" s="189">
        <f ca="1">IF(Tabela58[[#This Row],[valor]]="",0,Tabela58[[#This Row],[valor]])+IF(Tabela58[[#This Row],[pagameto]]="",0,Tabela58[[#This Row],[pagameto]])+E353</f>
        <v>0</v>
      </c>
      <c r="L352" s="46" t="s">
        <v>22</v>
      </c>
      <c r="M352" s="130" t="s">
        <v>45</v>
      </c>
      <c r="N352" s="57" t="s">
        <v>13</v>
      </c>
      <c r="O352" s="60">
        <v>6</v>
      </c>
      <c r="P352" s="182">
        <v>-108</v>
      </c>
      <c r="Q352" s="58">
        <v>20.012105802106827</v>
      </c>
      <c r="R352" s="59">
        <v>46084</v>
      </c>
      <c r="S352" s="57" t="s">
        <v>290</v>
      </c>
      <c r="T352" s="57" t="s">
        <v>145</v>
      </c>
    </row>
    <row r="353" spans="1:20" x14ac:dyDescent="0.3">
      <c r="A353" s="112">
        <f t="shared" ca="1" si="5"/>
        <v>45897</v>
      </c>
      <c r="B35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3" s="189">
        <f ca="1">IF(Tabela58[[#This Row],[valor]]="",0,Tabela58[[#This Row],[valor]])+IF(Tabela58[[#This Row],[pagameto]]="",0,Tabela58[[#This Row],[pagameto]])+E354</f>
        <v>0</v>
      </c>
      <c r="L353" s="46" t="s">
        <v>22</v>
      </c>
      <c r="M353" s="130" t="s">
        <v>47</v>
      </c>
      <c r="N353" s="57" t="s">
        <v>10</v>
      </c>
      <c r="O353" s="60">
        <v>12</v>
      </c>
      <c r="P353" s="182">
        <v>-192</v>
      </c>
      <c r="Q353" s="58">
        <v>27</v>
      </c>
      <c r="R353" s="59">
        <v>46084</v>
      </c>
      <c r="S353" s="57" t="s">
        <v>290</v>
      </c>
      <c r="T353" s="57" t="s">
        <v>145</v>
      </c>
    </row>
    <row r="354" spans="1:20" x14ac:dyDescent="0.3">
      <c r="A354" s="112">
        <f t="shared" ca="1" si="5"/>
        <v>45896</v>
      </c>
      <c r="B35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4" s="189">
        <f ca="1">IF(Tabela58[[#This Row],[valor]]="",0,Tabela58[[#This Row],[valor]])+IF(Tabela58[[#This Row],[pagameto]]="",0,Tabela58[[#This Row],[pagameto]])+E355</f>
        <v>0</v>
      </c>
      <c r="L354" s="46" t="s">
        <v>22</v>
      </c>
      <c r="M354" s="130" t="s">
        <v>46</v>
      </c>
      <c r="N354" s="57" t="s">
        <v>11</v>
      </c>
      <c r="O354" s="60">
        <v>18</v>
      </c>
      <c r="P354" s="182">
        <v>-270</v>
      </c>
      <c r="Q354" s="58">
        <v>36.830892205310882</v>
      </c>
      <c r="R354" s="59">
        <v>46083</v>
      </c>
      <c r="S354" s="57" t="s">
        <v>291</v>
      </c>
      <c r="T354" s="57" t="s">
        <v>145</v>
      </c>
    </row>
    <row r="355" spans="1:20" x14ac:dyDescent="0.3">
      <c r="A355" s="112">
        <f t="shared" ca="1" si="5"/>
        <v>45895</v>
      </c>
      <c r="B35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5" s="189">
        <f ca="1">IF(Tabela58[[#This Row],[valor]]="",0,Tabela58[[#This Row],[valor]])+IF(Tabela58[[#This Row],[pagameto]]="",0,Tabela58[[#This Row],[pagameto]])+E356</f>
        <v>0</v>
      </c>
      <c r="L355" s="46" t="s">
        <v>22</v>
      </c>
      <c r="M355" s="130" t="s">
        <v>350</v>
      </c>
      <c r="N355" s="57" t="s">
        <v>11</v>
      </c>
      <c r="O355" s="60">
        <v>12</v>
      </c>
      <c r="P355" s="182">
        <v>-180</v>
      </c>
      <c r="Q355" s="58">
        <v>24.553928136873921</v>
      </c>
      <c r="R355" s="59">
        <v>46082</v>
      </c>
      <c r="S355" s="57" t="s">
        <v>93</v>
      </c>
      <c r="T355" s="57" t="s">
        <v>145</v>
      </c>
    </row>
    <row r="356" spans="1:20" x14ac:dyDescent="0.3">
      <c r="A356" s="112">
        <f t="shared" ca="1" si="5"/>
        <v>45894</v>
      </c>
      <c r="B35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6" s="189">
        <f ca="1">IF(Tabela58[[#This Row],[valor]]="",0,Tabela58[[#This Row],[valor]])+IF(Tabela58[[#This Row],[pagameto]]="",0,Tabela58[[#This Row],[pagameto]])+E357</f>
        <v>0</v>
      </c>
      <c r="L356" s="46"/>
      <c r="M356" s="63" t="s">
        <v>44</v>
      </c>
      <c r="N356" s="63" t="s">
        <v>39</v>
      </c>
      <c r="O356" s="63" t="s">
        <v>38</v>
      </c>
      <c r="P356" s="150">
        <v>30</v>
      </c>
      <c r="Q356" s="180">
        <v>-0.94500000000000006</v>
      </c>
      <c r="R356" s="59">
        <v>46082</v>
      </c>
      <c r="S356" s="63" t="s">
        <v>93</v>
      </c>
      <c r="T356" s="63" t="s">
        <v>145</v>
      </c>
    </row>
    <row r="357" spans="1:20" x14ac:dyDescent="0.3">
      <c r="A357" s="112">
        <f t="shared" ca="1" si="5"/>
        <v>45893</v>
      </c>
      <c r="B35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7" s="189">
        <f ca="1">IF(Tabela58[[#This Row],[valor]]="",0,Tabela58[[#This Row],[valor]])+IF(Tabela58[[#This Row],[pagameto]]="",0,Tabela58[[#This Row],[pagameto]])+E358</f>
        <v>0</v>
      </c>
      <c r="L357" s="46" t="s">
        <v>22</v>
      </c>
      <c r="M357" s="130" t="s">
        <v>44</v>
      </c>
      <c r="N357" s="57" t="s">
        <v>11</v>
      </c>
      <c r="O357" s="60">
        <v>2</v>
      </c>
      <c r="P357" s="182">
        <v>-30</v>
      </c>
      <c r="Q357" s="58">
        <v>4.0923213561456535</v>
      </c>
      <c r="R357" s="59">
        <v>46082</v>
      </c>
      <c r="S357" s="57" t="s">
        <v>93</v>
      </c>
      <c r="T357" s="57" t="s">
        <v>145</v>
      </c>
    </row>
    <row r="358" spans="1:20" x14ac:dyDescent="0.3">
      <c r="A358" s="112">
        <f t="shared" ca="1" si="5"/>
        <v>45892</v>
      </c>
      <c r="B35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8" s="189">
        <f ca="1">IF(Tabela58[[#This Row],[valor]]="",0,Tabela58[[#This Row],[valor]])+IF(Tabela58[[#This Row],[pagameto]]="",0,Tabela58[[#This Row],[pagameto]])+E359</f>
        <v>0</v>
      </c>
      <c r="L358" s="46"/>
      <c r="M358" s="63" t="s">
        <v>49</v>
      </c>
      <c r="N358" s="63" t="s">
        <v>39</v>
      </c>
      <c r="O358" s="63" t="s">
        <v>38</v>
      </c>
      <c r="P358" s="150">
        <v>90</v>
      </c>
      <c r="Q358" s="180">
        <v>-2.835</v>
      </c>
      <c r="R358" s="59">
        <v>46082</v>
      </c>
      <c r="S358" s="63" t="s">
        <v>93</v>
      </c>
      <c r="T358" s="63" t="s">
        <v>145</v>
      </c>
    </row>
    <row r="359" spans="1:20" x14ac:dyDescent="0.3">
      <c r="A359" s="112">
        <f t="shared" ca="1" si="5"/>
        <v>45891</v>
      </c>
      <c r="B35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5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5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59" s="189">
        <f ca="1">IF(Tabela58[[#This Row],[valor]]="",0,Tabela58[[#This Row],[valor]])+IF(Tabela58[[#This Row],[pagameto]]="",0,Tabela58[[#This Row],[pagameto]])+E360</f>
        <v>0</v>
      </c>
      <c r="L359" s="46" t="s">
        <v>22</v>
      </c>
      <c r="M359" s="130" t="s">
        <v>49</v>
      </c>
      <c r="N359" s="57" t="s">
        <v>11</v>
      </c>
      <c r="O359" s="60">
        <v>6</v>
      </c>
      <c r="P359" s="182">
        <v>-90</v>
      </c>
      <c r="Q359" s="58">
        <v>12.276964068436961</v>
      </c>
      <c r="R359" s="59">
        <v>46082</v>
      </c>
      <c r="S359" s="57" t="s">
        <v>93</v>
      </c>
      <c r="T359" s="57" t="s">
        <v>145</v>
      </c>
    </row>
    <row r="360" spans="1:20" x14ac:dyDescent="0.3">
      <c r="A360" s="112">
        <f t="shared" ca="1" si="5"/>
        <v>45890</v>
      </c>
      <c r="B36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0" s="189">
        <f ca="1">IF(Tabela58[[#This Row],[valor]]="",0,Tabela58[[#This Row],[valor]])+IF(Tabela58[[#This Row],[pagameto]]="",0,Tabela58[[#This Row],[pagameto]])+E361</f>
        <v>0</v>
      </c>
      <c r="L360" s="46" t="s">
        <v>22</v>
      </c>
      <c r="M360" s="130" t="s">
        <v>48</v>
      </c>
      <c r="N360" s="57" t="s">
        <v>11</v>
      </c>
      <c r="O360" s="60">
        <v>12</v>
      </c>
      <c r="P360" s="182">
        <v>-180</v>
      </c>
      <c r="Q360" s="58">
        <v>24.553928136873921</v>
      </c>
      <c r="R360" s="59">
        <v>46080</v>
      </c>
      <c r="S360" s="57" t="s">
        <v>83</v>
      </c>
      <c r="T360" s="57" t="s">
        <v>144</v>
      </c>
    </row>
    <row r="361" spans="1:20" x14ac:dyDescent="0.3">
      <c r="A361" s="112">
        <f t="shared" ca="1" si="5"/>
        <v>45889</v>
      </c>
      <c r="B36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1" s="189">
        <f ca="1">IF(Tabela58[[#This Row],[valor]]="",0,Tabela58[[#This Row],[valor]])+IF(Tabela58[[#This Row],[pagameto]]="",0,Tabela58[[#This Row],[pagameto]])+E362</f>
        <v>0</v>
      </c>
      <c r="L361" s="46"/>
      <c r="M361" s="63" t="s">
        <v>44</v>
      </c>
      <c r="N361" s="63" t="s">
        <v>41</v>
      </c>
      <c r="O361" s="63" t="s">
        <v>38</v>
      </c>
      <c r="P361" s="150">
        <v>20</v>
      </c>
      <c r="Q361" s="180">
        <v>0</v>
      </c>
      <c r="R361" s="59">
        <v>46080</v>
      </c>
      <c r="S361" s="63" t="s">
        <v>83</v>
      </c>
      <c r="T361" s="63" t="s">
        <v>144</v>
      </c>
    </row>
    <row r="362" spans="1:20" x14ac:dyDescent="0.3">
      <c r="A362" s="112">
        <f t="shared" ca="1" si="5"/>
        <v>45888</v>
      </c>
      <c r="B36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2" s="189">
        <f ca="1">IF(Tabela58[[#This Row],[valor]]="",0,Tabela58[[#This Row],[valor]])+IF(Tabela58[[#This Row],[pagameto]]="",0,Tabela58[[#This Row],[pagameto]])+E363</f>
        <v>0</v>
      </c>
      <c r="L362" s="46" t="s">
        <v>22</v>
      </c>
      <c r="M362" s="130" t="s">
        <v>44</v>
      </c>
      <c r="N362" s="57" t="s">
        <v>14</v>
      </c>
      <c r="O362" s="60">
        <v>1</v>
      </c>
      <c r="P362" s="182">
        <v>-20</v>
      </c>
      <c r="Q362" s="58">
        <v>4.5689709102283356</v>
      </c>
      <c r="R362" s="59">
        <v>46080</v>
      </c>
      <c r="S362" s="57" t="s">
        <v>83</v>
      </c>
      <c r="T362" s="57" t="s">
        <v>144</v>
      </c>
    </row>
    <row r="363" spans="1:20" x14ac:dyDescent="0.3">
      <c r="A363" s="112">
        <f t="shared" ca="1" si="5"/>
        <v>45887</v>
      </c>
      <c r="B36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3" s="189">
        <f ca="1">IF(Tabela58[[#This Row],[valor]]="",0,Tabela58[[#This Row],[valor]])+IF(Tabela58[[#This Row],[pagameto]]="",0,Tabela58[[#This Row],[pagameto]])+E364</f>
        <v>0</v>
      </c>
      <c r="L363" s="46"/>
      <c r="M363" s="63" t="s">
        <v>47</v>
      </c>
      <c r="N363" s="63" t="s">
        <v>41</v>
      </c>
      <c r="O363" s="63" t="s">
        <v>38</v>
      </c>
      <c r="P363" s="150">
        <v>200</v>
      </c>
      <c r="Q363" s="180">
        <v>0</v>
      </c>
      <c r="R363" s="59">
        <v>46080</v>
      </c>
      <c r="S363" s="63" t="s">
        <v>83</v>
      </c>
      <c r="T363" s="63" t="s">
        <v>144</v>
      </c>
    </row>
    <row r="364" spans="1:20" x14ac:dyDescent="0.3">
      <c r="A364" s="112">
        <f t="shared" ca="1" si="5"/>
        <v>45886</v>
      </c>
      <c r="B36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4" s="189">
        <f ca="1">IF(Tabela58[[#This Row],[valor]]="",0,Tabela58[[#This Row],[valor]])+IF(Tabela58[[#This Row],[pagameto]]="",0,Tabela58[[#This Row],[pagameto]])+E365</f>
        <v>0</v>
      </c>
      <c r="L364" s="46"/>
      <c r="M364" s="63" t="s">
        <v>44</v>
      </c>
      <c r="N364" s="63" t="s">
        <v>40</v>
      </c>
      <c r="O364" s="63" t="s">
        <v>38</v>
      </c>
      <c r="P364" s="150">
        <v>40</v>
      </c>
      <c r="Q364" s="180">
        <v>-0.54800000000000004</v>
      </c>
      <c r="R364" s="59">
        <v>46079</v>
      </c>
      <c r="S364" s="63" t="s">
        <v>294</v>
      </c>
      <c r="T364" s="63" t="s">
        <v>144</v>
      </c>
    </row>
    <row r="365" spans="1:20" x14ac:dyDescent="0.3">
      <c r="A365" s="112">
        <f t="shared" ca="1" si="5"/>
        <v>45885</v>
      </c>
      <c r="B36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5" s="189">
        <f ca="1">IF(Tabela58[[#This Row],[valor]]="",0,Tabela58[[#This Row],[valor]])+IF(Tabela58[[#This Row],[pagameto]]="",0,Tabela58[[#This Row],[pagameto]])+E366</f>
        <v>0</v>
      </c>
      <c r="L365" s="46" t="s">
        <v>22</v>
      </c>
      <c r="M365" s="130" t="s">
        <v>44</v>
      </c>
      <c r="N365" s="57" t="s">
        <v>14</v>
      </c>
      <c r="O365" s="60">
        <v>2</v>
      </c>
      <c r="P365" s="182">
        <v>-40</v>
      </c>
      <c r="Q365" s="58">
        <v>9.1379418204566711</v>
      </c>
      <c r="R365" s="59">
        <v>46079</v>
      </c>
      <c r="S365" s="57" t="s">
        <v>294</v>
      </c>
      <c r="T365" s="57" t="s">
        <v>144</v>
      </c>
    </row>
    <row r="366" spans="1:20" x14ac:dyDescent="0.3">
      <c r="A366" s="112">
        <f t="shared" ca="1" si="5"/>
        <v>45884</v>
      </c>
      <c r="B36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6" s="189">
        <f ca="1">IF(Tabela58[[#This Row],[valor]]="",0,Tabela58[[#This Row],[valor]])+IF(Tabela58[[#This Row],[pagameto]]="",0,Tabela58[[#This Row],[pagameto]])+E367</f>
        <v>0</v>
      </c>
      <c r="L366" s="46" t="s">
        <v>22</v>
      </c>
      <c r="M366" s="130" t="s">
        <v>46</v>
      </c>
      <c r="N366" s="57" t="s">
        <v>11</v>
      </c>
      <c r="O366" s="60">
        <v>12</v>
      </c>
      <c r="P366" s="182">
        <v>-180</v>
      </c>
      <c r="Q366" s="58">
        <v>24.5539281368739</v>
      </c>
      <c r="R366" s="59">
        <v>46079</v>
      </c>
      <c r="S366" s="57" t="s">
        <v>294</v>
      </c>
      <c r="T366" s="57" t="s">
        <v>144</v>
      </c>
    </row>
    <row r="367" spans="1:20" x14ac:dyDescent="0.3">
      <c r="A367" s="112">
        <f t="shared" ca="1" si="5"/>
        <v>45883</v>
      </c>
      <c r="B36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7" s="189">
        <f ca="1">IF(Tabela58[[#This Row],[valor]]="",0,Tabela58[[#This Row],[valor]])+IF(Tabela58[[#This Row],[pagameto]]="",0,Tabela58[[#This Row],[pagameto]])+E368</f>
        <v>0</v>
      </c>
      <c r="L367" s="46" t="s">
        <v>22</v>
      </c>
      <c r="M367" s="130" t="s">
        <v>46</v>
      </c>
      <c r="N367" s="57" t="s">
        <v>10</v>
      </c>
      <c r="O367" s="60">
        <v>1</v>
      </c>
      <c r="P367" s="182">
        <v>-16</v>
      </c>
      <c r="Q367" s="58">
        <v>2.25</v>
      </c>
      <c r="R367" s="59">
        <v>46079</v>
      </c>
      <c r="S367" s="57" t="s">
        <v>294</v>
      </c>
      <c r="T367" s="57" t="s">
        <v>144</v>
      </c>
    </row>
    <row r="368" spans="1:20" x14ac:dyDescent="0.3">
      <c r="A368" s="112">
        <f t="shared" ca="1" si="5"/>
        <v>45882</v>
      </c>
      <c r="B36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8" s="189">
        <f ca="1">IF(Tabela58[[#This Row],[valor]]="",0,Tabela58[[#This Row],[valor]])+IF(Tabela58[[#This Row],[pagameto]]="",0,Tabela58[[#This Row],[pagameto]])+E369</f>
        <v>0</v>
      </c>
      <c r="L368" s="46" t="s">
        <v>22</v>
      </c>
      <c r="M368" s="130" t="s">
        <v>47</v>
      </c>
      <c r="N368" s="57" t="s">
        <v>10</v>
      </c>
      <c r="O368" s="60">
        <v>12</v>
      </c>
      <c r="P368" s="182">
        <v>-192</v>
      </c>
      <c r="Q368" s="58">
        <v>27</v>
      </c>
      <c r="R368" s="59">
        <v>46078</v>
      </c>
      <c r="S368" s="57" t="s">
        <v>32</v>
      </c>
      <c r="T368" s="57" t="s">
        <v>144</v>
      </c>
    </row>
    <row r="369" spans="1:20" x14ac:dyDescent="0.3">
      <c r="A369" s="112">
        <f t="shared" ca="1" si="5"/>
        <v>45881</v>
      </c>
      <c r="B36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6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6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69" s="189">
        <f ca="1">IF(Tabela58[[#This Row],[valor]]="",0,Tabela58[[#This Row],[valor]])+IF(Tabela58[[#This Row],[pagameto]]="",0,Tabela58[[#This Row],[pagameto]])+E370</f>
        <v>0</v>
      </c>
      <c r="L369" s="46"/>
      <c r="M369" s="63" t="s">
        <v>49</v>
      </c>
      <c r="N369" s="63" t="s">
        <v>41</v>
      </c>
      <c r="O369" s="63" t="s">
        <v>38</v>
      </c>
      <c r="P369" s="150">
        <v>74</v>
      </c>
      <c r="Q369" s="180">
        <v>0</v>
      </c>
      <c r="R369" s="59">
        <v>46078</v>
      </c>
      <c r="S369" s="63" t="s">
        <v>32</v>
      </c>
      <c r="T369" s="63" t="s">
        <v>144</v>
      </c>
    </row>
    <row r="370" spans="1:20" x14ac:dyDescent="0.3">
      <c r="A370" s="112">
        <f t="shared" ca="1" si="5"/>
        <v>45880</v>
      </c>
      <c r="B37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0" s="189">
        <f ca="1">IF(Tabela58[[#This Row],[valor]]="",0,Tabela58[[#This Row],[valor]])+IF(Tabela58[[#This Row],[pagameto]]="",0,Tabela58[[#This Row],[pagameto]])+E371</f>
        <v>0</v>
      </c>
      <c r="L370" s="46"/>
      <c r="M370" s="63" t="s">
        <v>270</v>
      </c>
      <c r="N370" s="63" t="s">
        <v>41</v>
      </c>
      <c r="O370" s="63" t="s">
        <v>38</v>
      </c>
      <c r="P370" s="150">
        <v>22</v>
      </c>
      <c r="Q370" s="180">
        <v>0</v>
      </c>
      <c r="R370" s="59">
        <v>46078</v>
      </c>
      <c r="S370" s="63" t="s">
        <v>32</v>
      </c>
      <c r="T370" s="63" t="s">
        <v>144</v>
      </c>
    </row>
    <row r="371" spans="1:20" x14ac:dyDescent="0.3">
      <c r="A371" s="112">
        <f t="shared" ca="1" si="5"/>
        <v>45879</v>
      </c>
      <c r="B37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1" s="189">
        <f ca="1">IF(Tabela58[[#This Row],[valor]]="",0,Tabela58[[#This Row],[valor]])+IF(Tabela58[[#This Row],[pagameto]]="",0,Tabela58[[#This Row],[pagameto]])+E372</f>
        <v>0</v>
      </c>
      <c r="L371" s="46"/>
      <c r="M371" s="63" t="s">
        <v>44</v>
      </c>
      <c r="N371" s="63" t="s">
        <v>40</v>
      </c>
      <c r="O371" s="63" t="s">
        <v>38</v>
      </c>
      <c r="P371" s="150">
        <v>90</v>
      </c>
      <c r="Q371" s="180">
        <v>-1.2330000000000001</v>
      </c>
      <c r="R371" s="59">
        <v>46077</v>
      </c>
      <c r="S371" s="63" t="s">
        <v>290</v>
      </c>
      <c r="T371" s="63" t="s">
        <v>144</v>
      </c>
    </row>
    <row r="372" spans="1:20" x14ac:dyDescent="0.3">
      <c r="A372" s="112">
        <f t="shared" ca="1" si="5"/>
        <v>45878</v>
      </c>
      <c r="B37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2" s="189">
        <f ca="1">IF(Tabela58[[#This Row],[valor]]="",0,Tabela58[[#This Row],[valor]])+IF(Tabela58[[#This Row],[pagameto]]="",0,Tabela58[[#This Row],[pagameto]])+E373</f>
        <v>0</v>
      </c>
      <c r="L372" s="46" t="s">
        <v>22</v>
      </c>
      <c r="M372" s="130" t="s">
        <v>44</v>
      </c>
      <c r="N372" s="57" t="s">
        <v>11</v>
      </c>
      <c r="O372" s="60">
        <v>6</v>
      </c>
      <c r="P372" s="182">
        <v>-90</v>
      </c>
      <c r="Q372" s="58">
        <v>12.27696406843695</v>
      </c>
      <c r="R372" s="59">
        <v>46077</v>
      </c>
      <c r="S372" s="57" t="s">
        <v>290</v>
      </c>
      <c r="T372" s="57" t="s">
        <v>144</v>
      </c>
    </row>
    <row r="373" spans="1:20" x14ac:dyDescent="0.3">
      <c r="A373" s="112">
        <f t="shared" ca="1" si="5"/>
        <v>45877</v>
      </c>
      <c r="B37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3" s="189">
        <f ca="1">IF(Tabela58[[#This Row],[valor]]="",0,Tabela58[[#This Row],[valor]])+IF(Tabela58[[#This Row],[pagameto]]="",0,Tabela58[[#This Row],[pagameto]])+E374</f>
        <v>0</v>
      </c>
      <c r="L373" s="46"/>
      <c r="M373" s="63" t="s">
        <v>44</v>
      </c>
      <c r="N373" s="63" t="s">
        <v>40</v>
      </c>
      <c r="O373" s="63" t="s">
        <v>38</v>
      </c>
      <c r="P373" s="150">
        <v>100</v>
      </c>
      <c r="Q373" s="180">
        <v>-1.37</v>
      </c>
      <c r="R373" s="59">
        <v>46077</v>
      </c>
      <c r="S373" s="63" t="s">
        <v>290</v>
      </c>
      <c r="T373" s="63" t="s">
        <v>144</v>
      </c>
    </row>
    <row r="374" spans="1:20" x14ac:dyDescent="0.3">
      <c r="A374" s="112">
        <f t="shared" ca="1" si="5"/>
        <v>45876</v>
      </c>
      <c r="B374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4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4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4" s="189">
        <f ca="1">IF(Tabela58[[#This Row],[valor]]="",0,Tabela58[[#This Row],[valor]])+IF(Tabela58[[#This Row],[pagameto]]="",0,Tabela58[[#This Row],[pagameto]])+E375</f>
        <v>0</v>
      </c>
      <c r="L374" s="46" t="s">
        <v>22</v>
      </c>
      <c r="M374" s="130" t="s">
        <v>44</v>
      </c>
      <c r="N374" s="57" t="s">
        <v>14</v>
      </c>
      <c r="O374" s="60">
        <v>2</v>
      </c>
      <c r="P374" s="182">
        <v>-40</v>
      </c>
      <c r="Q374" s="58">
        <v>9.1379418204566747</v>
      </c>
      <c r="R374" s="59">
        <v>46077</v>
      </c>
      <c r="S374" s="57" t="s">
        <v>290</v>
      </c>
      <c r="T374" s="57" t="s">
        <v>144</v>
      </c>
    </row>
    <row r="375" spans="1:20" x14ac:dyDescent="0.3">
      <c r="A375" s="112">
        <f t="shared" ca="1" si="5"/>
        <v>45875</v>
      </c>
      <c r="B375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5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5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5" s="189">
        <f ca="1">IF(Tabela58[[#This Row],[valor]]="",0,Tabela58[[#This Row],[valor]])+IF(Tabela58[[#This Row],[pagameto]]="",0,Tabela58[[#This Row],[pagameto]])+E376</f>
        <v>0</v>
      </c>
      <c r="L375" s="46" t="s">
        <v>22</v>
      </c>
      <c r="M375" s="130" t="s">
        <v>44</v>
      </c>
      <c r="N375" s="57" t="s">
        <v>11</v>
      </c>
      <c r="O375" s="60">
        <v>4</v>
      </c>
      <c r="P375" s="182">
        <v>-60</v>
      </c>
      <c r="Q375" s="58">
        <v>8.1846427122912999</v>
      </c>
      <c r="R375" s="59">
        <v>46077</v>
      </c>
      <c r="S375" s="57" t="s">
        <v>290</v>
      </c>
      <c r="T375" s="57" t="s">
        <v>144</v>
      </c>
    </row>
    <row r="376" spans="1:20" x14ac:dyDescent="0.3">
      <c r="A376" s="112">
        <f t="shared" ca="1" si="5"/>
        <v>45874</v>
      </c>
      <c r="B376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6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6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6" s="189">
        <f ca="1">IF(Tabela58[[#This Row],[valor]]="",0,Tabela58[[#This Row],[valor]])+IF(Tabela58[[#This Row],[pagameto]]="",0,Tabela58[[#This Row],[pagameto]])+E377</f>
        <v>0</v>
      </c>
      <c r="L376" s="46" t="s">
        <v>295</v>
      </c>
      <c r="M376" s="130" t="s">
        <v>270</v>
      </c>
      <c r="N376" s="57" t="s">
        <v>14</v>
      </c>
      <c r="O376" s="60">
        <v>1</v>
      </c>
      <c r="P376" s="182">
        <v>-22</v>
      </c>
      <c r="Q376" s="58">
        <v>6.5689709102283373</v>
      </c>
      <c r="R376" s="59">
        <v>46076</v>
      </c>
      <c r="S376" s="57" t="s">
        <v>291</v>
      </c>
      <c r="T376" s="57" t="s">
        <v>144</v>
      </c>
    </row>
    <row r="377" spans="1:20" x14ac:dyDescent="0.3">
      <c r="A377" s="112">
        <f t="shared" ca="1" si="5"/>
        <v>45873</v>
      </c>
      <c r="B377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7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7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7" s="189">
        <f ca="1">IF(Tabela58[[#This Row],[valor]]="",0,Tabela58[[#This Row],[valor]])+IF(Tabela58[[#This Row],[pagameto]]="",0,Tabela58[[#This Row],[pagameto]])+E378</f>
        <v>0</v>
      </c>
      <c r="L377" s="46" t="s">
        <v>22</v>
      </c>
      <c r="M377" s="130" t="s">
        <v>350</v>
      </c>
      <c r="N377" s="57" t="s">
        <v>11</v>
      </c>
      <c r="O377" s="60">
        <v>6</v>
      </c>
      <c r="P377" s="182">
        <v>-87</v>
      </c>
      <c r="Q377" s="58">
        <v>8.7622657648299267</v>
      </c>
      <c r="R377" s="59">
        <v>46076</v>
      </c>
      <c r="S377" s="57" t="s">
        <v>291</v>
      </c>
      <c r="T377" s="57" t="s">
        <v>144</v>
      </c>
    </row>
    <row r="378" spans="1:20" x14ac:dyDescent="0.3">
      <c r="A378" s="112">
        <f t="shared" ca="1" si="5"/>
        <v>45872</v>
      </c>
      <c r="B378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8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8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8" s="189">
        <f ca="1">IF(Tabela58[[#This Row],[valor]]="",0,Tabela58[[#This Row],[valor]])+IF(Tabela58[[#This Row],[pagameto]]="",0,Tabela58[[#This Row],[pagameto]])+E379</f>
        <v>0</v>
      </c>
      <c r="L378" s="46"/>
      <c r="M378" s="63" t="s">
        <v>350</v>
      </c>
      <c r="N378" s="63" t="s">
        <v>41</v>
      </c>
      <c r="O378" s="63" t="s">
        <v>38</v>
      </c>
      <c r="P378" s="150">
        <v>186</v>
      </c>
      <c r="Q378" s="180">
        <v>0</v>
      </c>
      <c r="R378" s="59">
        <v>46076</v>
      </c>
      <c r="S378" s="63" t="s">
        <v>291</v>
      </c>
      <c r="T378" s="63" t="s">
        <v>144</v>
      </c>
    </row>
    <row r="379" spans="1:20" x14ac:dyDescent="0.3">
      <c r="A379" s="112">
        <f t="shared" ca="1" si="5"/>
        <v>45871</v>
      </c>
      <c r="B379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79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79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79" s="189">
        <f ca="1">IF(Tabela58[[#This Row],[valor]]="",0,Tabela58[[#This Row],[valor]])+IF(Tabela58[[#This Row],[pagameto]]="",0,Tabela58[[#This Row],[pagameto]])+E380</f>
        <v>0</v>
      </c>
      <c r="L379" s="46" t="s">
        <v>22</v>
      </c>
      <c r="M379" s="130" t="s">
        <v>46</v>
      </c>
      <c r="N379" s="57" t="s">
        <v>11</v>
      </c>
      <c r="O379" s="60">
        <v>12</v>
      </c>
      <c r="P379" s="182">
        <v>-174</v>
      </c>
      <c r="Q379" s="58">
        <v>17.524531529659853</v>
      </c>
      <c r="R379" s="59">
        <v>46076</v>
      </c>
      <c r="S379" s="57" t="s">
        <v>291</v>
      </c>
      <c r="T379" s="57" t="s">
        <v>144</v>
      </c>
    </row>
    <row r="380" spans="1:20" x14ac:dyDescent="0.3">
      <c r="A380" s="112">
        <f t="shared" ca="1" si="5"/>
        <v>45870</v>
      </c>
      <c r="B380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0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0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0" s="189">
        <f ca="1">IF(Tabela58[[#This Row],[valor]]="",0,Tabela58[[#This Row],[valor]])+IF(Tabela58[[#This Row],[pagameto]]="",0,Tabela58[[#This Row],[pagameto]])+E381</f>
        <v>0</v>
      </c>
      <c r="L380" s="46"/>
      <c r="M380" s="63" t="s">
        <v>49</v>
      </c>
      <c r="N380" s="63" t="s">
        <v>42</v>
      </c>
      <c r="O380" s="63" t="s">
        <v>38</v>
      </c>
      <c r="P380" s="150">
        <v>100</v>
      </c>
      <c r="Q380" s="180">
        <v>0</v>
      </c>
      <c r="R380" s="59">
        <v>46075</v>
      </c>
      <c r="S380" s="63" t="s">
        <v>93</v>
      </c>
      <c r="T380" s="63" t="s">
        <v>144</v>
      </c>
    </row>
    <row r="381" spans="1:20" x14ac:dyDescent="0.3">
      <c r="A381" s="112">
        <f t="shared" ca="1" si="5"/>
        <v>45869</v>
      </c>
      <c r="B381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1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1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1" s="189">
        <f ca="1">IF(Tabela58[[#This Row],[valor]]="",0,Tabela58[[#This Row],[valor]])+IF(Tabela58[[#This Row],[pagameto]]="",0,Tabela58[[#This Row],[pagameto]])+E382</f>
        <v>0</v>
      </c>
      <c r="L381" s="46" t="s">
        <v>22</v>
      </c>
      <c r="M381" s="130" t="s">
        <v>49</v>
      </c>
      <c r="N381" s="57" t="s">
        <v>11</v>
      </c>
      <c r="O381" s="60">
        <v>12</v>
      </c>
      <c r="P381" s="182">
        <v>-174</v>
      </c>
      <c r="Q381" s="58">
        <v>17.524531529659853</v>
      </c>
      <c r="R381" s="59">
        <v>46075</v>
      </c>
      <c r="S381" s="57" t="s">
        <v>93</v>
      </c>
      <c r="T381" s="57" t="s">
        <v>144</v>
      </c>
    </row>
    <row r="382" spans="1:20" x14ac:dyDescent="0.3">
      <c r="A382" s="112">
        <f t="shared" ca="1" si="5"/>
        <v>45868</v>
      </c>
      <c r="B382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2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2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2" s="189">
        <f ca="1">IF(Tabela58[[#This Row],[valor]]="",0,Tabela58[[#This Row],[valor]])+IF(Tabela58[[#This Row],[pagameto]]="",0,Tabela58[[#This Row],[pagameto]])+E383</f>
        <v>0</v>
      </c>
      <c r="L382" s="46"/>
      <c r="M382" s="63" t="s">
        <v>48</v>
      </c>
      <c r="N382" s="63" t="s">
        <v>41</v>
      </c>
      <c r="O382" s="63" t="s">
        <v>38</v>
      </c>
      <c r="P382" s="150">
        <v>186</v>
      </c>
      <c r="Q382" s="180">
        <v>0</v>
      </c>
      <c r="R382" s="59">
        <v>46075</v>
      </c>
      <c r="S382" s="63" t="s">
        <v>93</v>
      </c>
      <c r="T382" s="63" t="s">
        <v>144</v>
      </c>
    </row>
    <row r="383" spans="1:20" x14ac:dyDescent="0.3">
      <c r="A383" s="112">
        <f t="shared" ca="1" si="5"/>
        <v>45867</v>
      </c>
      <c r="B383" s="87" t="str">
        <f ca="1">IF(SUMIFS(aprazo[quantidade],aprazo[cliente],Tabela58[[#Headers],[Pai do Saulo]],aprazo[data],Tabela58[[#This Row],[Pai do Saulo]])=0,"",SUMIFS(aprazo[quantidade],aprazo[cliente],Tabela58[[#Headers],[Pai do Saulo]],aprazo[data],Tabela58[[#This Row],[Pai do Saulo]]))</f>
        <v/>
      </c>
      <c r="C383" s="188" t="str">
        <f ca="1">IF(SUMIFS(aprazo[valor],aprazo[cliente],Tabela58[[#Headers],[Pai do Saulo]],aprazo[data],Tabela58[[#This Row],[Pai do Saulo]],aprazo[quantidade],"&lt;&gt;pagamento")=0,"",SUMIFS(aprazo[valor],aprazo[cliente],Tabela58[[#Headers],[Pai do Saulo]],aprazo[data],Tabela58[[#This Row],[Pai do Saulo]],aprazo[quantidade],"&lt;&gt;pagamento"))</f>
        <v/>
      </c>
      <c r="D383" s="190" t="str">
        <f ca="1">IF(SUMIFS(aprazo[valor],aprazo[data],Tabela58[[#This Row],[Pai do Saulo]],aprazo[quantidade],"pagamento",aprazo[cliente],Tabela58[[#Headers],[Pai do Saulo]])=0,"",SUMIFS(aprazo[valor],aprazo[data],Tabela58[[#This Row],[Pai do Saulo]],aprazo[quantidade],"pagamento",aprazo[cliente],Tabela58[[#Headers],[Pai do Saulo]]))</f>
        <v/>
      </c>
      <c r="E383" s="189">
        <f ca="1">IF(Tabela58[[#This Row],[valor]]="",0,Tabela58[[#This Row],[valor]])+IF(Tabela58[[#This Row],[pagameto]]="",0,Tabela58[[#This Row],[pagameto]])+E384</f>
        <v>0</v>
      </c>
      <c r="L383" s="46"/>
      <c r="M383" s="63" t="s">
        <v>44</v>
      </c>
      <c r="N383" s="63" t="s">
        <v>41</v>
      </c>
      <c r="O383" s="63" t="s">
        <v>38</v>
      </c>
      <c r="P383" s="150">
        <v>90</v>
      </c>
      <c r="Q383" s="180">
        <v>0</v>
      </c>
      <c r="R383" s="59">
        <v>46073</v>
      </c>
      <c r="S383" s="63" t="s">
        <v>83</v>
      </c>
      <c r="T383" s="63" t="s">
        <v>144</v>
      </c>
    </row>
    <row r="384" spans="1:20" x14ac:dyDescent="0.3">
      <c r="L384" s="46" t="s">
        <v>22</v>
      </c>
      <c r="M384" s="130" t="s">
        <v>44</v>
      </c>
      <c r="N384" s="57" t="s">
        <v>10</v>
      </c>
      <c r="O384" s="60">
        <v>6</v>
      </c>
      <c r="P384" s="182">
        <v>-90</v>
      </c>
      <c r="Q384" s="58">
        <v>3.8581585934031715</v>
      </c>
      <c r="R384" s="59">
        <v>46073</v>
      </c>
      <c r="S384" s="57" t="s">
        <v>83</v>
      </c>
      <c r="T384" s="57" t="s">
        <v>144</v>
      </c>
    </row>
    <row r="385" spans="12:20" x14ac:dyDescent="0.3">
      <c r="L385" s="46"/>
      <c r="M385" s="63" t="s">
        <v>44</v>
      </c>
      <c r="N385" s="63" t="s">
        <v>41</v>
      </c>
      <c r="O385" s="63" t="s">
        <v>38</v>
      </c>
      <c r="P385" s="150">
        <v>38</v>
      </c>
      <c r="Q385" s="180">
        <v>0</v>
      </c>
      <c r="R385" s="59">
        <v>46073</v>
      </c>
      <c r="S385" s="63" t="s">
        <v>83</v>
      </c>
      <c r="T385" s="63" t="s">
        <v>144</v>
      </c>
    </row>
    <row r="386" spans="12:20" x14ac:dyDescent="0.3">
      <c r="L386" s="46" t="s">
        <v>22</v>
      </c>
      <c r="M386" s="130" t="s">
        <v>44</v>
      </c>
      <c r="N386" s="57" t="s">
        <v>13</v>
      </c>
      <c r="O386" s="60">
        <v>2</v>
      </c>
      <c r="P386" s="182">
        <v>-38</v>
      </c>
      <c r="Q386" s="58">
        <v>8.2803865757210708</v>
      </c>
      <c r="R386" s="59">
        <v>46073</v>
      </c>
      <c r="S386" s="57" t="s">
        <v>83</v>
      </c>
      <c r="T386" s="57" t="s">
        <v>144</v>
      </c>
    </row>
    <row r="387" spans="12:20" x14ac:dyDescent="0.3">
      <c r="L387" s="46" t="s">
        <v>22</v>
      </c>
      <c r="M387" s="130" t="s">
        <v>350</v>
      </c>
      <c r="N387" s="57" t="s">
        <v>11</v>
      </c>
      <c r="O387" s="60">
        <v>6</v>
      </c>
      <c r="P387" s="182">
        <v>-93</v>
      </c>
      <c r="Q387" s="58">
        <v>14.762265764829927</v>
      </c>
      <c r="R387" s="59">
        <v>46073</v>
      </c>
      <c r="S387" s="57" t="s">
        <v>83</v>
      </c>
      <c r="T387" s="57" t="s">
        <v>144</v>
      </c>
    </row>
    <row r="388" spans="12:20" x14ac:dyDescent="0.3">
      <c r="L388" s="46" t="s">
        <v>22</v>
      </c>
      <c r="M388" s="130" t="s">
        <v>44</v>
      </c>
      <c r="N388" s="57" t="s">
        <v>14</v>
      </c>
      <c r="O388" s="60">
        <v>1</v>
      </c>
      <c r="P388" s="182">
        <v>-20</v>
      </c>
      <c r="Q388" s="58">
        <v>4.4782608695652151</v>
      </c>
      <c r="R388" s="59">
        <v>46073</v>
      </c>
      <c r="S388" s="57" t="s">
        <v>83</v>
      </c>
      <c r="T388" s="57" t="s">
        <v>144</v>
      </c>
    </row>
    <row r="389" spans="12:20" x14ac:dyDescent="0.3">
      <c r="L389" s="46"/>
      <c r="M389" s="63" t="s">
        <v>44</v>
      </c>
      <c r="N389" s="63" t="s">
        <v>40</v>
      </c>
      <c r="O389" s="63" t="s">
        <v>38</v>
      </c>
      <c r="P389" s="150">
        <v>20</v>
      </c>
      <c r="Q389" s="180">
        <v>-0.27400000000000002</v>
      </c>
      <c r="R389" s="59">
        <v>46073</v>
      </c>
      <c r="S389" s="63" t="s">
        <v>83</v>
      </c>
      <c r="T389" s="63" t="s">
        <v>144</v>
      </c>
    </row>
    <row r="390" spans="12:20" x14ac:dyDescent="0.3">
      <c r="L390" s="46"/>
      <c r="M390" s="63" t="s">
        <v>270</v>
      </c>
      <c r="N390" s="63" t="s">
        <v>42</v>
      </c>
      <c r="O390" s="63" t="s">
        <v>38</v>
      </c>
      <c r="P390" s="150">
        <v>23</v>
      </c>
      <c r="Q390" s="180">
        <v>0</v>
      </c>
      <c r="R390" s="59">
        <v>46073</v>
      </c>
      <c r="S390" s="63" t="s">
        <v>83</v>
      </c>
      <c r="T390" s="63" t="s">
        <v>144</v>
      </c>
    </row>
    <row r="391" spans="12:20" x14ac:dyDescent="0.3">
      <c r="L391" s="46" t="s">
        <v>22</v>
      </c>
      <c r="M391" s="130" t="s">
        <v>46</v>
      </c>
      <c r="N391" s="57" t="s">
        <v>11</v>
      </c>
      <c r="O391" s="60">
        <v>12</v>
      </c>
      <c r="P391" s="182">
        <v>-186</v>
      </c>
      <c r="Q391" s="58">
        <v>29.524531529659875</v>
      </c>
      <c r="R391" s="59">
        <v>46071</v>
      </c>
      <c r="S391" s="57" t="s">
        <v>32</v>
      </c>
      <c r="T391" s="57" t="s">
        <v>144</v>
      </c>
    </row>
    <row r="392" spans="12:20" x14ac:dyDescent="0.3">
      <c r="L392" s="46" t="s">
        <v>295</v>
      </c>
      <c r="M392" s="130" t="s">
        <v>46</v>
      </c>
      <c r="N392" s="57" t="s">
        <v>10</v>
      </c>
      <c r="O392" s="60">
        <v>2</v>
      </c>
      <c r="P392" s="182">
        <v>-34</v>
      </c>
      <c r="Q392" s="58">
        <v>5.2860528644677203</v>
      </c>
      <c r="R392" s="59">
        <v>46071</v>
      </c>
      <c r="S392" s="57" t="s">
        <v>32</v>
      </c>
      <c r="T392" s="57" t="s">
        <v>144</v>
      </c>
    </row>
    <row r="393" spans="12:20" x14ac:dyDescent="0.3">
      <c r="L393" s="46"/>
      <c r="M393" s="63" t="s">
        <v>46</v>
      </c>
      <c r="N393" s="63" t="s">
        <v>41</v>
      </c>
      <c r="O393" s="63" t="s">
        <v>38</v>
      </c>
      <c r="P393" s="150">
        <v>773.5</v>
      </c>
      <c r="Q393" s="180">
        <v>0</v>
      </c>
      <c r="R393" s="59">
        <v>46071</v>
      </c>
      <c r="S393" s="63" t="s">
        <v>32</v>
      </c>
      <c r="T393" s="63" t="s">
        <v>144</v>
      </c>
    </row>
    <row r="394" spans="12:20" x14ac:dyDescent="0.3">
      <c r="L394" s="46" t="s">
        <v>22</v>
      </c>
      <c r="M394" s="130" t="s">
        <v>47</v>
      </c>
      <c r="N394" s="57" t="s">
        <v>10</v>
      </c>
      <c r="O394" s="60">
        <v>12</v>
      </c>
      <c r="P394" s="182">
        <v>-192</v>
      </c>
      <c r="Q394" s="58">
        <v>19.716317186806343</v>
      </c>
      <c r="R394" s="59">
        <v>46070</v>
      </c>
      <c r="S394" s="57" t="s">
        <v>290</v>
      </c>
      <c r="T394" s="57" t="s">
        <v>144</v>
      </c>
    </row>
    <row r="395" spans="12:20" x14ac:dyDescent="0.3">
      <c r="L395" s="46"/>
      <c r="M395" s="63" t="s">
        <v>47</v>
      </c>
      <c r="N395" s="63" t="s">
        <v>41</v>
      </c>
      <c r="O395" s="63" t="s">
        <v>38</v>
      </c>
      <c r="P395" s="150">
        <v>170</v>
      </c>
      <c r="Q395" s="180">
        <v>0</v>
      </c>
      <c r="R395" s="59">
        <v>46070</v>
      </c>
      <c r="S395" s="63" t="s">
        <v>290</v>
      </c>
      <c r="T395" s="63" t="s">
        <v>144</v>
      </c>
    </row>
    <row r="396" spans="12:20" x14ac:dyDescent="0.3">
      <c r="L396" s="46" t="s">
        <v>22</v>
      </c>
      <c r="M396" s="130" t="s">
        <v>350</v>
      </c>
      <c r="N396" s="57" t="s">
        <v>11</v>
      </c>
      <c r="O396" s="60">
        <v>6</v>
      </c>
      <c r="P396" s="182">
        <v>-93</v>
      </c>
      <c r="Q396" s="58">
        <v>14.762265764829927</v>
      </c>
      <c r="R396" s="59">
        <v>46069</v>
      </c>
      <c r="S396" s="57" t="s">
        <v>291</v>
      </c>
      <c r="T396" s="57" t="s">
        <v>144</v>
      </c>
    </row>
    <row r="397" spans="12:20" x14ac:dyDescent="0.3">
      <c r="L397" s="46"/>
      <c r="M397" s="63" t="s">
        <v>350</v>
      </c>
      <c r="N397" s="63" t="s">
        <v>41</v>
      </c>
      <c r="O397" s="63" t="s">
        <v>38</v>
      </c>
      <c r="P397" s="150">
        <v>93</v>
      </c>
      <c r="Q397" s="180">
        <v>0</v>
      </c>
      <c r="R397" s="59">
        <v>46069</v>
      </c>
      <c r="S397" s="63" t="s">
        <v>291</v>
      </c>
      <c r="T397" s="63" t="s">
        <v>144</v>
      </c>
    </row>
    <row r="398" spans="12:20" x14ac:dyDescent="0.3">
      <c r="L398" s="46" t="s">
        <v>295</v>
      </c>
      <c r="M398" s="130" t="s">
        <v>275</v>
      </c>
      <c r="N398" s="57" t="s">
        <v>10</v>
      </c>
      <c r="O398" s="60">
        <v>1</v>
      </c>
      <c r="P398" s="182">
        <v>-17</v>
      </c>
      <c r="Q398" s="58">
        <v>2.6430264322338619</v>
      </c>
      <c r="R398" s="59">
        <v>46068</v>
      </c>
      <c r="S398" s="57" t="s">
        <v>93</v>
      </c>
      <c r="T398" s="57" t="s">
        <v>144</v>
      </c>
    </row>
    <row r="399" spans="12:20" x14ac:dyDescent="0.3">
      <c r="L399" s="46" t="s">
        <v>22</v>
      </c>
      <c r="M399" s="130" t="s">
        <v>48</v>
      </c>
      <c r="N399" s="57" t="s">
        <v>11</v>
      </c>
      <c r="O399" s="60">
        <v>12</v>
      </c>
      <c r="P399" s="182">
        <v>-186</v>
      </c>
      <c r="Q399" s="58">
        <v>29.524531529659853</v>
      </c>
      <c r="R399" s="59">
        <v>46067</v>
      </c>
      <c r="S399" s="57" t="s">
        <v>92</v>
      </c>
      <c r="T399" s="57" t="s">
        <v>144</v>
      </c>
    </row>
    <row r="400" spans="12:20" x14ac:dyDescent="0.3">
      <c r="L400" s="46" t="s">
        <v>295</v>
      </c>
      <c r="M400" s="130" t="s">
        <v>270</v>
      </c>
      <c r="N400" s="57" t="s">
        <v>14</v>
      </c>
      <c r="O400" s="60">
        <v>1</v>
      </c>
      <c r="P400" s="182">
        <v>-23</v>
      </c>
      <c r="Q400" s="58">
        <v>7.4782608695652186</v>
      </c>
      <c r="R400" s="59">
        <v>46067</v>
      </c>
      <c r="S400" s="57" t="s">
        <v>92</v>
      </c>
      <c r="T400" s="57" t="s">
        <v>144</v>
      </c>
    </row>
    <row r="401" spans="12:20" x14ac:dyDescent="0.3">
      <c r="L401" s="46" t="s">
        <v>295</v>
      </c>
      <c r="M401" s="130" t="s">
        <v>275</v>
      </c>
      <c r="N401" s="57" t="s">
        <v>11</v>
      </c>
      <c r="O401" s="60">
        <v>1</v>
      </c>
      <c r="P401" s="182">
        <v>-16</v>
      </c>
      <c r="Q401" s="58">
        <v>2.9603776274716544</v>
      </c>
      <c r="R401" s="59">
        <v>46066</v>
      </c>
      <c r="S401" s="57" t="s">
        <v>83</v>
      </c>
      <c r="T401" s="57" t="s">
        <v>144</v>
      </c>
    </row>
    <row r="402" spans="12:20" x14ac:dyDescent="0.3">
      <c r="L402" s="46"/>
      <c r="M402" s="63" t="s">
        <v>47</v>
      </c>
      <c r="N402" s="63" t="s">
        <v>41</v>
      </c>
      <c r="O402" s="63" t="s">
        <v>38</v>
      </c>
      <c r="P402" s="150">
        <v>250</v>
      </c>
      <c r="Q402" s="180">
        <v>0</v>
      </c>
      <c r="R402" s="59">
        <v>46065</v>
      </c>
      <c r="S402" s="63" t="s">
        <v>294</v>
      </c>
      <c r="T402" s="63" t="s">
        <v>144</v>
      </c>
    </row>
    <row r="403" spans="12:20" x14ac:dyDescent="0.3">
      <c r="L403" s="46"/>
      <c r="M403" s="63" t="s">
        <v>44</v>
      </c>
      <c r="N403" s="63" t="s">
        <v>40</v>
      </c>
      <c r="O403" s="63" t="s">
        <v>38</v>
      </c>
      <c r="P403" s="150">
        <v>120</v>
      </c>
      <c r="Q403" s="180">
        <v>-1.6440000000000001</v>
      </c>
      <c r="R403" s="59">
        <v>46065</v>
      </c>
      <c r="S403" s="63" t="s">
        <v>294</v>
      </c>
      <c r="T403" s="63" t="s">
        <v>144</v>
      </c>
    </row>
    <row r="404" spans="12:20" x14ac:dyDescent="0.3">
      <c r="L404" s="46" t="s">
        <v>22</v>
      </c>
      <c r="M404" s="130" t="s">
        <v>44</v>
      </c>
      <c r="N404" s="57" t="s">
        <v>14</v>
      </c>
      <c r="O404" s="60">
        <v>6</v>
      </c>
      <c r="P404" s="182">
        <v>-120</v>
      </c>
      <c r="Q404" s="58">
        <v>26.869565217391301</v>
      </c>
      <c r="R404" s="59">
        <v>46065</v>
      </c>
      <c r="S404" s="57" t="s">
        <v>294</v>
      </c>
      <c r="T404" s="57" t="s">
        <v>144</v>
      </c>
    </row>
    <row r="405" spans="12:20" x14ac:dyDescent="0.3">
      <c r="L405" s="46" t="s">
        <v>22</v>
      </c>
      <c r="M405" s="130" t="s">
        <v>47</v>
      </c>
      <c r="N405" s="57" t="s">
        <v>10</v>
      </c>
      <c r="O405" s="60">
        <v>12</v>
      </c>
      <c r="P405" s="182">
        <v>-192</v>
      </c>
      <c r="Q405" s="58">
        <v>19.716317186806343</v>
      </c>
      <c r="R405" s="59">
        <v>46063</v>
      </c>
      <c r="S405" s="57" t="s">
        <v>290</v>
      </c>
      <c r="T405" s="57" t="s">
        <v>144</v>
      </c>
    </row>
    <row r="406" spans="12:20" x14ac:dyDescent="0.3">
      <c r="L406" s="46"/>
      <c r="M406" s="63" t="s">
        <v>49</v>
      </c>
      <c r="N406" s="63" t="s">
        <v>41</v>
      </c>
      <c r="O406" s="63" t="s">
        <v>38</v>
      </c>
      <c r="P406" s="150">
        <v>186</v>
      </c>
      <c r="Q406" s="180">
        <v>0</v>
      </c>
      <c r="R406" s="59">
        <v>46062</v>
      </c>
      <c r="S406" s="63" t="s">
        <v>291</v>
      </c>
      <c r="T406" s="63" t="s">
        <v>144</v>
      </c>
    </row>
    <row r="407" spans="12:20" x14ac:dyDescent="0.3">
      <c r="L407" s="46" t="s">
        <v>22</v>
      </c>
      <c r="M407" s="130" t="s">
        <v>350</v>
      </c>
      <c r="N407" s="57" t="s">
        <v>11</v>
      </c>
      <c r="O407" s="60">
        <v>6</v>
      </c>
      <c r="P407" s="182">
        <v>-93</v>
      </c>
      <c r="Q407" s="58">
        <v>12.955569678699131</v>
      </c>
      <c r="R407" s="59">
        <v>46062</v>
      </c>
      <c r="S407" s="57" t="s">
        <v>291</v>
      </c>
      <c r="T407" s="57" t="s">
        <v>144</v>
      </c>
    </row>
    <row r="408" spans="12:20" x14ac:dyDescent="0.3">
      <c r="L408" s="46" t="s">
        <v>22</v>
      </c>
      <c r="M408" s="130" t="s">
        <v>45</v>
      </c>
      <c r="N408" s="57" t="s">
        <v>13</v>
      </c>
      <c r="O408" s="60">
        <v>6</v>
      </c>
      <c r="P408" s="182">
        <v>-114</v>
      </c>
      <c r="Q408" s="58">
        <v>24.841159727163213</v>
      </c>
      <c r="R408" s="59">
        <v>46062</v>
      </c>
      <c r="S408" s="57" t="s">
        <v>291</v>
      </c>
      <c r="T408" s="57" t="s">
        <v>144</v>
      </c>
    </row>
    <row r="409" spans="12:20" x14ac:dyDescent="0.3">
      <c r="L409" s="46" t="s">
        <v>22</v>
      </c>
      <c r="M409" s="130" t="s">
        <v>46</v>
      </c>
      <c r="N409" s="57" t="s">
        <v>11</v>
      </c>
      <c r="O409" s="60">
        <v>12</v>
      </c>
      <c r="P409" s="182">
        <v>-186</v>
      </c>
      <c r="Q409" s="58">
        <v>25.911139357398262</v>
      </c>
      <c r="R409" s="59">
        <v>46062</v>
      </c>
      <c r="S409" s="57" t="s">
        <v>291</v>
      </c>
      <c r="T409" s="57" t="s">
        <v>144</v>
      </c>
    </row>
    <row r="410" spans="12:20" x14ac:dyDescent="0.3">
      <c r="L410" s="46"/>
      <c r="M410" s="63" t="s">
        <v>44</v>
      </c>
      <c r="N410" s="63" t="s">
        <v>41</v>
      </c>
      <c r="O410" s="63" t="s">
        <v>38</v>
      </c>
      <c r="P410" s="150">
        <v>93</v>
      </c>
      <c r="Q410" s="180">
        <v>0</v>
      </c>
      <c r="R410" s="59">
        <v>46061</v>
      </c>
      <c r="S410" s="63" t="s">
        <v>93</v>
      </c>
      <c r="T410" s="63" t="s">
        <v>144</v>
      </c>
    </row>
    <row r="411" spans="12:20" x14ac:dyDescent="0.3">
      <c r="L411" s="46" t="s">
        <v>22</v>
      </c>
      <c r="M411" s="130" t="s">
        <v>44</v>
      </c>
      <c r="N411" s="57" t="s">
        <v>11</v>
      </c>
      <c r="O411" s="60">
        <v>6</v>
      </c>
      <c r="P411" s="182">
        <v>-93</v>
      </c>
      <c r="Q411" s="58">
        <v>12.955569678699131</v>
      </c>
      <c r="R411" s="59">
        <v>46061</v>
      </c>
      <c r="S411" s="57" t="s">
        <v>93</v>
      </c>
      <c r="T411" s="57" t="s">
        <v>144</v>
      </c>
    </row>
    <row r="412" spans="12:20" x14ac:dyDescent="0.3">
      <c r="L412" s="46"/>
      <c r="M412" s="63" t="s">
        <v>48</v>
      </c>
      <c r="N412" s="63" t="s">
        <v>41</v>
      </c>
      <c r="O412" s="63" t="s">
        <v>38</v>
      </c>
      <c r="P412" s="150">
        <v>186</v>
      </c>
      <c r="Q412" s="180">
        <v>0</v>
      </c>
      <c r="R412" s="59">
        <v>46061</v>
      </c>
      <c r="S412" s="63" t="s">
        <v>93</v>
      </c>
      <c r="T412" s="63" t="s">
        <v>144</v>
      </c>
    </row>
    <row r="413" spans="12:20" x14ac:dyDescent="0.3">
      <c r="L413" s="46"/>
      <c r="M413" s="63" t="s">
        <v>45</v>
      </c>
      <c r="N413" s="63" t="s">
        <v>41</v>
      </c>
      <c r="O413" s="63" t="s">
        <v>38</v>
      </c>
      <c r="P413" s="150">
        <v>114</v>
      </c>
      <c r="Q413" s="180">
        <v>0</v>
      </c>
      <c r="R413" s="59">
        <v>46061</v>
      </c>
      <c r="S413" s="63" t="s">
        <v>93</v>
      </c>
      <c r="T413" s="63" t="s">
        <v>144</v>
      </c>
    </row>
    <row r="414" spans="12:20" x14ac:dyDescent="0.3">
      <c r="L414" s="46" t="s">
        <v>295</v>
      </c>
      <c r="M414" s="130" t="s">
        <v>328</v>
      </c>
      <c r="N414" s="57" t="s">
        <v>14</v>
      </c>
      <c r="O414" s="60">
        <v>1</v>
      </c>
      <c r="P414" s="182">
        <v>-23</v>
      </c>
      <c r="Q414" s="58">
        <v>8</v>
      </c>
      <c r="R414" s="59">
        <v>46061</v>
      </c>
      <c r="S414" s="57" t="s">
        <v>93</v>
      </c>
      <c r="T414" s="57" t="s">
        <v>144</v>
      </c>
    </row>
    <row r="415" spans="12:20" x14ac:dyDescent="0.3">
      <c r="L415" s="46" t="s">
        <v>22</v>
      </c>
      <c r="M415" s="130" t="s">
        <v>49</v>
      </c>
      <c r="N415" s="57" t="s">
        <v>11</v>
      </c>
      <c r="O415" s="60">
        <v>12</v>
      </c>
      <c r="P415" s="182">
        <v>-186</v>
      </c>
      <c r="Q415" s="58">
        <v>25.911139357398284</v>
      </c>
      <c r="R415" s="59">
        <v>46060</v>
      </c>
      <c r="S415" s="57" t="s">
        <v>92</v>
      </c>
      <c r="T415" s="57" t="s">
        <v>144</v>
      </c>
    </row>
    <row r="416" spans="12:20" x14ac:dyDescent="0.3">
      <c r="L416" s="46"/>
      <c r="M416" s="63" t="s">
        <v>44</v>
      </c>
      <c r="N416" s="63" t="s">
        <v>42</v>
      </c>
      <c r="O416" s="63" t="s">
        <v>38</v>
      </c>
      <c r="P416" s="150">
        <v>228</v>
      </c>
      <c r="Q416" s="180">
        <v>0</v>
      </c>
      <c r="R416" s="59">
        <v>46060</v>
      </c>
      <c r="S416" s="63" t="s">
        <v>92</v>
      </c>
      <c r="T416" s="63" t="s">
        <v>144</v>
      </c>
    </row>
    <row r="417" spans="12:20" x14ac:dyDescent="0.3">
      <c r="L417" s="46" t="s">
        <v>22</v>
      </c>
      <c r="M417" s="130" t="s">
        <v>44</v>
      </c>
      <c r="N417" s="57" t="s">
        <v>13</v>
      </c>
      <c r="O417" s="60">
        <v>12</v>
      </c>
      <c r="P417" s="182">
        <v>-228</v>
      </c>
      <c r="Q417" s="58">
        <v>54.994907204830767</v>
      </c>
      <c r="R417" s="59">
        <v>46060</v>
      </c>
      <c r="S417" s="57" t="s">
        <v>92</v>
      </c>
      <c r="T417" s="57" t="s">
        <v>144</v>
      </c>
    </row>
    <row r="418" spans="12:20" x14ac:dyDescent="0.3">
      <c r="L418" s="46" t="s">
        <v>295</v>
      </c>
      <c r="M418" s="130" t="s">
        <v>275</v>
      </c>
      <c r="N418" s="57" t="s">
        <v>10</v>
      </c>
      <c r="O418" s="60">
        <v>1</v>
      </c>
      <c r="P418" s="182">
        <v>-17</v>
      </c>
      <c r="Q418" s="58">
        <v>1.6501208612801062</v>
      </c>
      <c r="R418" s="59">
        <v>46060</v>
      </c>
      <c r="S418" s="57" t="s">
        <v>92</v>
      </c>
      <c r="T418" s="57" t="s">
        <v>144</v>
      </c>
    </row>
    <row r="419" spans="12:20" x14ac:dyDescent="0.3">
      <c r="L419" s="46" t="s">
        <v>22</v>
      </c>
      <c r="M419" s="130" t="s">
        <v>45</v>
      </c>
      <c r="N419" s="57" t="s">
        <v>13</v>
      </c>
      <c r="O419" s="60">
        <v>6</v>
      </c>
      <c r="P419" s="182">
        <v>-114</v>
      </c>
      <c r="Q419" s="58">
        <v>27.497453602415384</v>
      </c>
      <c r="R419" s="59">
        <v>46059</v>
      </c>
      <c r="S419" s="57" t="s">
        <v>83</v>
      </c>
      <c r="T419" s="57" t="s">
        <v>144</v>
      </c>
    </row>
    <row r="420" spans="12:20" x14ac:dyDescent="0.3">
      <c r="L420" s="46"/>
      <c r="M420" s="63" t="s">
        <v>44</v>
      </c>
      <c r="N420" s="63" t="s">
        <v>41</v>
      </c>
      <c r="O420" s="63" t="s">
        <v>38</v>
      </c>
      <c r="P420" s="150">
        <v>114</v>
      </c>
      <c r="Q420" s="180">
        <v>0</v>
      </c>
      <c r="R420" s="59">
        <v>46059</v>
      </c>
      <c r="S420" s="63" t="s">
        <v>83</v>
      </c>
      <c r="T420" s="63" t="s">
        <v>144</v>
      </c>
    </row>
    <row r="421" spans="12:20" x14ac:dyDescent="0.3">
      <c r="L421" s="46" t="s">
        <v>22</v>
      </c>
      <c r="M421" s="130" t="s">
        <v>44</v>
      </c>
      <c r="N421" s="57" t="s">
        <v>13</v>
      </c>
      <c r="O421" s="60">
        <v>6</v>
      </c>
      <c r="P421" s="182">
        <v>-114</v>
      </c>
      <c r="Q421" s="58">
        <v>27.497453602415384</v>
      </c>
      <c r="R421" s="59">
        <v>46059</v>
      </c>
      <c r="S421" s="57" t="s">
        <v>83</v>
      </c>
      <c r="T421" s="57" t="s">
        <v>144</v>
      </c>
    </row>
    <row r="422" spans="12:20" x14ac:dyDescent="0.3">
      <c r="L422" s="46"/>
      <c r="M422" s="63" t="s">
        <v>44</v>
      </c>
      <c r="N422" s="63" t="s">
        <v>41</v>
      </c>
      <c r="O422" s="63" t="s">
        <v>38</v>
      </c>
      <c r="P422" s="150">
        <v>38</v>
      </c>
      <c r="Q422" s="180">
        <v>0</v>
      </c>
      <c r="R422" s="59">
        <v>46058</v>
      </c>
      <c r="S422" s="63" t="s">
        <v>294</v>
      </c>
      <c r="T422" s="63" t="s">
        <v>144</v>
      </c>
    </row>
    <row r="423" spans="12:20" x14ac:dyDescent="0.3">
      <c r="L423" s="46" t="s">
        <v>22</v>
      </c>
      <c r="M423" s="130" t="s">
        <v>44</v>
      </c>
      <c r="N423" s="57" t="s">
        <v>13</v>
      </c>
      <c r="O423" s="60">
        <v>2</v>
      </c>
      <c r="P423" s="182">
        <v>-38</v>
      </c>
      <c r="Q423" s="58">
        <v>9.1658178674717945</v>
      </c>
      <c r="R423" s="59">
        <v>46058</v>
      </c>
      <c r="S423" s="57" t="s">
        <v>294</v>
      </c>
      <c r="T423" s="57" t="s">
        <v>144</v>
      </c>
    </row>
    <row r="424" spans="12:20" x14ac:dyDescent="0.3">
      <c r="L424" s="46"/>
      <c r="M424" s="63" t="s">
        <v>44</v>
      </c>
      <c r="N424" s="63" t="s">
        <v>41</v>
      </c>
      <c r="O424" s="63" t="s">
        <v>38</v>
      </c>
      <c r="P424" s="150">
        <v>19</v>
      </c>
      <c r="Q424" s="180">
        <v>0</v>
      </c>
      <c r="R424" s="59">
        <v>46058</v>
      </c>
      <c r="S424" s="63" t="s">
        <v>294</v>
      </c>
      <c r="T424" s="63" t="s">
        <v>144</v>
      </c>
    </row>
    <row r="425" spans="12:20" x14ac:dyDescent="0.3">
      <c r="L425" s="46" t="s">
        <v>22</v>
      </c>
      <c r="M425" s="130" t="s">
        <v>44</v>
      </c>
      <c r="N425" s="57" t="s">
        <v>13</v>
      </c>
      <c r="O425" s="60">
        <v>1</v>
      </c>
      <c r="P425" s="182">
        <v>-19</v>
      </c>
      <c r="Q425" s="58">
        <v>4.5829089337358973</v>
      </c>
      <c r="R425" s="59">
        <v>46058</v>
      </c>
      <c r="S425" s="57" t="s">
        <v>294</v>
      </c>
      <c r="T425" s="57" t="s">
        <v>144</v>
      </c>
    </row>
    <row r="426" spans="12:20" x14ac:dyDescent="0.3">
      <c r="L426" s="46"/>
      <c r="M426" s="63" t="s">
        <v>44</v>
      </c>
      <c r="N426" s="63" t="s">
        <v>40</v>
      </c>
      <c r="O426" s="63" t="s">
        <v>38</v>
      </c>
      <c r="P426" s="150">
        <v>19</v>
      </c>
      <c r="Q426" s="180">
        <v>-0.26030000000000003</v>
      </c>
      <c r="R426" s="59">
        <v>46057</v>
      </c>
      <c r="S426" s="63" t="s">
        <v>32</v>
      </c>
      <c r="T426" s="63" t="s">
        <v>144</v>
      </c>
    </row>
    <row r="427" spans="12:20" x14ac:dyDescent="0.3">
      <c r="L427" s="46" t="s">
        <v>22</v>
      </c>
      <c r="M427" s="130" t="s">
        <v>44</v>
      </c>
      <c r="N427" s="57" t="s">
        <v>13</v>
      </c>
      <c r="O427" s="60">
        <v>1</v>
      </c>
      <c r="P427" s="182">
        <v>-19</v>
      </c>
      <c r="Q427" s="58">
        <v>4.5829089337358973</v>
      </c>
      <c r="R427" s="59">
        <v>46057</v>
      </c>
      <c r="S427" s="57" t="s">
        <v>32</v>
      </c>
      <c r="T427" s="57" t="s">
        <v>144</v>
      </c>
    </row>
    <row r="428" spans="12:20" x14ac:dyDescent="0.3">
      <c r="L428" s="46" t="s">
        <v>22</v>
      </c>
      <c r="M428" s="130" t="s">
        <v>46</v>
      </c>
      <c r="N428" s="57" t="s">
        <v>11</v>
      </c>
      <c r="O428" s="60">
        <v>12</v>
      </c>
      <c r="P428" s="182">
        <v>-186</v>
      </c>
      <c r="Q428" s="58">
        <v>25.911139357398241</v>
      </c>
      <c r="R428" s="59">
        <v>46056</v>
      </c>
      <c r="S428" s="57" t="s">
        <v>290</v>
      </c>
      <c r="T428" s="57" t="s">
        <v>144</v>
      </c>
    </row>
    <row r="429" spans="12:20" x14ac:dyDescent="0.3">
      <c r="L429" s="46"/>
      <c r="M429" s="63" t="s">
        <v>45</v>
      </c>
      <c r="N429" s="63" t="s">
        <v>41</v>
      </c>
      <c r="O429" s="63" t="s">
        <v>38</v>
      </c>
      <c r="P429" s="150">
        <v>44</v>
      </c>
      <c r="Q429" s="180">
        <v>0</v>
      </c>
      <c r="R429" s="59">
        <v>46055</v>
      </c>
      <c r="S429" s="63" t="s">
        <v>291</v>
      </c>
      <c r="T429" s="63" t="s">
        <v>144</v>
      </c>
    </row>
    <row r="430" spans="12:20" x14ac:dyDescent="0.3">
      <c r="L430" s="46" t="s">
        <v>295</v>
      </c>
      <c r="M430" s="130" t="s">
        <v>275</v>
      </c>
      <c r="N430" s="57" t="s">
        <v>10</v>
      </c>
      <c r="O430" s="60">
        <v>1</v>
      </c>
      <c r="P430" s="182">
        <v>-17</v>
      </c>
      <c r="Q430" s="58">
        <v>1.6501208612801097</v>
      </c>
      <c r="R430" s="59">
        <v>46055</v>
      </c>
      <c r="S430" s="57" t="s">
        <v>291</v>
      </c>
      <c r="T430" s="57" t="s">
        <v>144</v>
      </c>
    </row>
    <row r="431" spans="12:20" x14ac:dyDescent="0.3">
      <c r="L431" s="46"/>
      <c r="M431" s="63" t="s">
        <v>44</v>
      </c>
      <c r="N431" s="63" t="s">
        <v>40</v>
      </c>
      <c r="O431" s="63" t="s">
        <v>38</v>
      </c>
      <c r="P431" s="150">
        <v>93</v>
      </c>
      <c r="Q431" s="180">
        <v>-1.2741</v>
      </c>
      <c r="R431" s="59">
        <v>46055</v>
      </c>
      <c r="S431" s="63" t="s">
        <v>291</v>
      </c>
      <c r="T431" s="63" t="s">
        <v>144</v>
      </c>
    </row>
    <row r="432" spans="12:20" x14ac:dyDescent="0.3">
      <c r="L432" s="46" t="s">
        <v>22</v>
      </c>
      <c r="M432" s="130" t="s">
        <v>44</v>
      </c>
      <c r="N432" s="57" t="s">
        <v>11</v>
      </c>
      <c r="O432" s="60">
        <v>6</v>
      </c>
      <c r="P432" s="182">
        <v>-93</v>
      </c>
      <c r="Q432" s="58">
        <v>12.95556967869911</v>
      </c>
      <c r="R432" s="59">
        <v>46055</v>
      </c>
      <c r="S432" s="57" t="s">
        <v>291</v>
      </c>
      <c r="T432" s="57" t="s">
        <v>144</v>
      </c>
    </row>
    <row r="433" spans="12:20" x14ac:dyDescent="0.3">
      <c r="L433" s="46"/>
      <c r="M433" s="63" t="s">
        <v>47</v>
      </c>
      <c r="N433" s="63" t="s">
        <v>42</v>
      </c>
      <c r="O433" s="63" t="s">
        <v>38</v>
      </c>
      <c r="P433" s="150">
        <v>250</v>
      </c>
      <c r="Q433" s="180">
        <v>0</v>
      </c>
      <c r="R433" s="59">
        <v>46055</v>
      </c>
      <c r="S433" s="63" t="s">
        <v>291</v>
      </c>
      <c r="T433" s="63" t="s">
        <v>144</v>
      </c>
    </row>
    <row r="434" spans="12:20" x14ac:dyDescent="0.3">
      <c r="L434" s="46"/>
      <c r="M434" s="63" t="s">
        <v>275</v>
      </c>
      <c r="N434" s="63" t="s">
        <v>40</v>
      </c>
      <c r="O434" s="63" t="s">
        <v>38</v>
      </c>
      <c r="P434" s="150">
        <v>151</v>
      </c>
      <c r="Q434" s="180">
        <v>-2.0687000000000002</v>
      </c>
      <c r="R434" s="59">
        <v>46055</v>
      </c>
      <c r="S434" s="63" t="s">
        <v>291</v>
      </c>
      <c r="T434" s="63" t="s">
        <v>144</v>
      </c>
    </row>
    <row r="435" spans="12:20" x14ac:dyDescent="0.3">
      <c r="L435" s="46" t="s">
        <v>22</v>
      </c>
      <c r="M435" s="130" t="s">
        <v>47</v>
      </c>
      <c r="N435" s="57" t="s">
        <v>10</v>
      </c>
      <c r="O435" s="60">
        <v>12</v>
      </c>
      <c r="P435" s="182">
        <v>-192</v>
      </c>
      <c r="Q435" s="58">
        <v>7.8014503353613165</v>
      </c>
      <c r="R435" s="59">
        <v>46054</v>
      </c>
      <c r="S435" s="57" t="s">
        <v>93</v>
      </c>
      <c r="T435" s="57" t="s">
        <v>144</v>
      </c>
    </row>
    <row r="436" spans="12:20" x14ac:dyDescent="0.3">
      <c r="L436" s="46"/>
      <c r="M436" s="63" t="s">
        <v>44</v>
      </c>
      <c r="N436" s="63" t="s">
        <v>42</v>
      </c>
      <c r="O436" s="63" t="s">
        <v>38</v>
      </c>
      <c r="P436" s="150">
        <v>114</v>
      </c>
      <c r="Q436" s="180">
        <v>0</v>
      </c>
      <c r="R436" s="59">
        <v>46054</v>
      </c>
      <c r="S436" s="63" t="s">
        <v>93</v>
      </c>
      <c r="T436" s="63" t="s">
        <v>144</v>
      </c>
    </row>
    <row r="437" spans="12:20" x14ac:dyDescent="0.3">
      <c r="L437" s="46" t="s">
        <v>22</v>
      </c>
      <c r="M437" s="130" t="s">
        <v>44</v>
      </c>
      <c r="N437" s="57" t="s">
        <v>13</v>
      </c>
      <c r="O437" s="60">
        <v>6</v>
      </c>
      <c r="P437" s="182">
        <v>-114</v>
      </c>
      <c r="Q437" s="58">
        <v>27.497453602415384</v>
      </c>
      <c r="R437" s="59">
        <v>46054</v>
      </c>
      <c r="S437" s="57" t="s">
        <v>93</v>
      </c>
      <c r="T437" s="57" t="s">
        <v>144</v>
      </c>
    </row>
    <row r="438" spans="12:20" x14ac:dyDescent="0.3">
      <c r="L438" s="46"/>
      <c r="M438" s="63" t="s">
        <v>49</v>
      </c>
      <c r="N438" s="63" t="s">
        <v>41</v>
      </c>
      <c r="O438" s="63" t="s">
        <v>38</v>
      </c>
      <c r="P438" s="150">
        <v>86</v>
      </c>
      <c r="Q438" s="180">
        <v>0</v>
      </c>
      <c r="R438" s="59">
        <v>46053</v>
      </c>
      <c r="S438" s="63" t="s">
        <v>92</v>
      </c>
      <c r="T438" s="63" t="s">
        <v>141</v>
      </c>
    </row>
    <row r="439" spans="12:20" x14ac:dyDescent="0.3">
      <c r="L439" s="46" t="s">
        <v>22</v>
      </c>
      <c r="M439" s="130" t="s">
        <v>48</v>
      </c>
      <c r="N439" s="57" t="s">
        <v>11</v>
      </c>
      <c r="O439" s="60">
        <v>12</v>
      </c>
      <c r="P439" s="182">
        <v>-186</v>
      </c>
      <c r="Q439" s="58">
        <v>25.91113935739822</v>
      </c>
      <c r="R439" s="59">
        <v>46053</v>
      </c>
      <c r="S439" s="57" t="s">
        <v>92</v>
      </c>
      <c r="T439" s="57" t="s">
        <v>141</v>
      </c>
    </row>
    <row r="440" spans="12:20" x14ac:dyDescent="0.3">
      <c r="L440" s="46" t="s">
        <v>295</v>
      </c>
      <c r="M440" s="130" t="s">
        <v>275</v>
      </c>
      <c r="N440" s="57" t="s">
        <v>13</v>
      </c>
      <c r="O440" s="60">
        <v>1</v>
      </c>
      <c r="P440" s="182">
        <v>-22</v>
      </c>
      <c r="Q440" s="58">
        <v>7.5829089337358973</v>
      </c>
      <c r="R440" s="59">
        <v>46052</v>
      </c>
      <c r="S440" s="57" t="s">
        <v>83</v>
      </c>
      <c r="T440" s="57" t="s">
        <v>141</v>
      </c>
    </row>
    <row r="441" spans="12:20" x14ac:dyDescent="0.3">
      <c r="L441" s="46"/>
      <c r="M441" s="63" t="s">
        <v>328</v>
      </c>
      <c r="N441" s="63" t="s">
        <v>42</v>
      </c>
      <c r="O441" s="63" t="s">
        <v>38</v>
      </c>
      <c r="P441" s="150">
        <v>25</v>
      </c>
      <c r="Q441" s="180">
        <v>0</v>
      </c>
      <c r="R441" s="59">
        <v>46050</v>
      </c>
      <c r="S441" s="63" t="s">
        <v>32</v>
      </c>
      <c r="T441" s="63" t="s">
        <v>141</v>
      </c>
    </row>
    <row r="442" spans="12:20" x14ac:dyDescent="0.3">
      <c r="L442" s="46"/>
      <c r="M442" s="63" t="s">
        <v>270</v>
      </c>
      <c r="N442" s="63" t="s">
        <v>42</v>
      </c>
      <c r="O442" s="63" t="s">
        <v>38</v>
      </c>
      <c r="P442" s="150">
        <v>22</v>
      </c>
      <c r="Q442" s="180">
        <v>0</v>
      </c>
      <c r="R442" s="59">
        <v>46050</v>
      </c>
      <c r="S442" s="63" t="s">
        <v>32</v>
      </c>
      <c r="T442" s="63" t="s">
        <v>141</v>
      </c>
    </row>
    <row r="443" spans="12:20" x14ac:dyDescent="0.3">
      <c r="L443" s="46"/>
      <c r="M443" s="63" t="s">
        <v>44</v>
      </c>
      <c r="N443" s="63" t="s">
        <v>41</v>
      </c>
      <c r="O443" s="63" t="s">
        <v>38</v>
      </c>
      <c r="P443" s="150">
        <v>210</v>
      </c>
      <c r="Q443" s="180">
        <v>0</v>
      </c>
      <c r="R443" s="59">
        <v>46050</v>
      </c>
      <c r="S443" s="63" t="s">
        <v>32</v>
      </c>
      <c r="T443" s="63" t="s">
        <v>141</v>
      </c>
    </row>
    <row r="444" spans="12:20" x14ac:dyDescent="0.3">
      <c r="L444" s="46" t="s">
        <v>22</v>
      </c>
      <c r="M444" s="130" t="s">
        <v>44</v>
      </c>
      <c r="N444" s="57" t="s">
        <v>10</v>
      </c>
      <c r="O444" s="60">
        <v>12</v>
      </c>
      <c r="P444" s="182">
        <v>-210</v>
      </c>
      <c r="Q444" s="58">
        <v>25.801450335361316</v>
      </c>
      <c r="R444" s="59">
        <v>46050</v>
      </c>
      <c r="S444" s="57" t="s">
        <v>32</v>
      </c>
      <c r="T444" s="57" t="s">
        <v>141</v>
      </c>
    </row>
    <row r="445" spans="12:20" x14ac:dyDescent="0.3">
      <c r="L445" s="46"/>
      <c r="M445" s="63" t="s">
        <v>49</v>
      </c>
      <c r="N445" s="63" t="s">
        <v>41</v>
      </c>
      <c r="O445" s="63" t="s">
        <v>38</v>
      </c>
      <c r="P445" s="150">
        <v>100</v>
      </c>
      <c r="Q445" s="180">
        <v>0</v>
      </c>
      <c r="R445" s="59">
        <v>46050</v>
      </c>
      <c r="S445" s="63" t="s">
        <v>32</v>
      </c>
      <c r="T445" s="63" t="s">
        <v>141</v>
      </c>
    </row>
    <row r="446" spans="12:20" x14ac:dyDescent="0.3">
      <c r="L446" s="46"/>
      <c r="M446" s="63" t="s">
        <v>47</v>
      </c>
      <c r="N446" s="63" t="s">
        <v>41</v>
      </c>
      <c r="O446" s="63" t="s">
        <v>38</v>
      </c>
      <c r="P446" s="150">
        <v>200</v>
      </c>
      <c r="Q446" s="180">
        <v>0</v>
      </c>
      <c r="R446" s="59">
        <v>46050</v>
      </c>
      <c r="S446" s="63" t="s">
        <v>32</v>
      </c>
      <c r="T446" s="63" t="s">
        <v>141</v>
      </c>
    </row>
    <row r="447" spans="12:20" x14ac:dyDescent="0.3">
      <c r="L447" s="46"/>
      <c r="M447" s="63" t="s">
        <v>49</v>
      </c>
      <c r="N447" s="63" t="s">
        <v>42</v>
      </c>
      <c r="O447" s="63" t="s">
        <v>38</v>
      </c>
      <c r="P447" s="150">
        <v>22</v>
      </c>
      <c r="Q447" s="180">
        <v>0</v>
      </c>
      <c r="R447" s="59">
        <v>46050</v>
      </c>
      <c r="S447" s="63" t="s">
        <v>32</v>
      </c>
      <c r="T447" s="63" t="s">
        <v>141</v>
      </c>
    </row>
    <row r="448" spans="12:20" x14ac:dyDescent="0.3">
      <c r="L448" s="46" t="s">
        <v>22</v>
      </c>
      <c r="M448" s="130" t="s">
        <v>49</v>
      </c>
      <c r="N448" s="57" t="s">
        <v>11</v>
      </c>
      <c r="O448" s="60">
        <v>13</v>
      </c>
      <c r="P448" s="182">
        <v>-208</v>
      </c>
      <c r="Q448" s="58">
        <v>34.570400970514712</v>
      </c>
      <c r="R448" s="59">
        <v>46050</v>
      </c>
      <c r="S448" s="57" t="s">
        <v>32</v>
      </c>
      <c r="T448" s="57" t="s">
        <v>141</v>
      </c>
    </row>
    <row r="449" spans="12:20" x14ac:dyDescent="0.3">
      <c r="L449" s="46" t="s">
        <v>22</v>
      </c>
      <c r="M449" s="130" t="s">
        <v>46</v>
      </c>
      <c r="N449" s="57" t="s">
        <v>11</v>
      </c>
      <c r="O449" s="60">
        <v>12</v>
      </c>
      <c r="P449" s="182">
        <v>-192</v>
      </c>
      <c r="Q449" s="58">
        <v>31.91113935739822</v>
      </c>
      <c r="R449" s="59">
        <v>46049</v>
      </c>
      <c r="S449" s="57" t="s">
        <v>290</v>
      </c>
      <c r="T449" s="57" t="s">
        <v>141</v>
      </c>
    </row>
    <row r="450" spans="12:20" x14ac:dyDescent="0.3">
      <c r="L450" s="46"/>
      <c r="M450" s="63" t="s">
        <v>44</v>
      </c>
      <c r="N450" s="63" t="s">
        <v>41</v>
      </c>
      <c r="O450" s="63" t="s">
        <v>38</v>
      </c>
      <c r="P450" s="150">
        <v>38</v>
      </c>
      <c r="Q450" s="180">
        <v>0</v>
      </c>
      <c r="R450" s="59">
        <v>46049</v>
      </c>
      <c r="S450" s="63" t="s">
        <v>290</v>
      </c>
      <c r="T450" s="63" t="s">
        <v>141</v>
      </c>
    </row>
    <row r="451" spans="12:20" x14ac:dyDescent="0.3">
      <c r="L451" s="46" t="s">
        <v>22</v>
      </c>
      <c r="M451" s="130" t="s">
        <v>44</v>
      </c>
      <c r="N451" s="57" t="s">
        <v>13</v>
      </c>
      <c r="O451" s="60">
        <v>2</v>
      </c>
      <c r="P451" s="182">
        <v>-38</v>
      </c>
      <c r="Q451" s="58">
        <v>9.1658178674717945</v>
      </c>
      <c r="R451" s="59">
        <v>46049</v>
      </c>
      <c r="S451" s="57" t="s">
        <v>290</v>
      </c>
      <c r="T451" s="57" t="s">
        <v>141</v>
      </c>
    </row>
    <row r="452" spans="12:20" x14ac:dyDescent="0.3">
      <c r="L452" s="46" t="s">
        <v>295</v>
      </c>
      <c r="M452" s="130" t="s">
        <v>275</v>
      </c>
      <c r="N452" s="57" t="s">
        <v>13</v>
      </c>
      <c r="O452" s="60">
        <v>1</v>
      </c>
      <c r="P452" s="182">
        <v>-22</v>
      </c>
      <c r="Q452" s="58">
        <v>6.7243109922589692</v>
      </c>
      <c r="R452" s="59">
        <v>46048</v>
      </c>
      <c r="S452" s="57" t="s">
        <v>291</v>
      </c>
      <c r="T452" s="57" t="s">
        <v>141</v>
      </c>
    </row>
    <row r="453" spans="12:20" x14ac:dyDescent="0.3">
      <c r="L453" s="46"/>
      <c r="M453" s="63" t="s">
        <v>44</v>
      </c>
      <c r="N453" s="63" t="s">
        <v>42</v>
      </c>
      <c r="O453" s="63" t="s">
        <v>38</v>
      </c>
      <c r="P453" s="150">
        <v>114</v>
      </c>
      <c r="Q453" s="180">
        <v>0</v>
      </c>
      <c r="R453" s="59">
        <v>46048</v>
      </c>
      <c r="S453" s="63" t="s">
        <v>291</v>
      </c>
      <c r="T453" s="63" t="s">
        <v>141</v>
      </c>
    </row>
    <row r="454" spans="12:20" x14ac:dyDescent="0.3">
      <c r="L454" s="46" t="s">
        <v>22</v>
      </c>
      <c r="M454" s="130" t="s">
        <v>44</v>
      </c>
      <c r="N454" s="57" t="s">
        <v>13</v>
      </c>
      <c r="O454" s="60">
        <v>6</v>
      </c>
      <c r="P454" s="182">
        <v>-114</v>
      </c>
      <c r="Q454" s="58">
        <v>22.345865953553815</v>
      </c>
      <c r="R454" s="59">
        <v>46048</v>
      </c>
      <c r="S454" s="57" t="s">
        <v>291</v>
      </c>
      <c r="T454" s="57" t="s">
        <v>141</v>
      </c>
    </row>
    <row r="455" spans="12:20" x14ac:dyDescent="0.3">
      <c r="L455" s="46"/>
      <c r="M455" s="63" t="s">
        <v>44</v>
      </c>
      <c r="N455" s="63" t="s">
        <v>40</v>
      </c>
      <c r="O455" s="63" t="s">
        <v>38</v>
      </c>
      <c r="P455" s="150">
        <v>19</v>
      </c>
      <c r="Q455" s="180">
        <v>-0.26030000000000003</v>
      </c>
      <c r="R455" s="59">
        <v>46047</v>
      </c>
      <c r="S455" s="63" t="s">
        <v>93</v>
      </c>
      <c r="T455" s="63" t="s">
        <v>141</v>
      </c>
    </row>
    <row r="456" spans="12:20" x14ac:dyDescent="0.3">
      <c r="L456" s="46" t="s">
        <v>22</v>
      </c>
      <c r="M456" s="130" t="s">
        <v>44</v>
      </c>
      <c r="N456" s="57" t="s">
        <v>13</v>
      </c>
      <c r="O456" s="60">
        <v>1</v>
      </c>
      <c r="P456" s="182">
        <v>-19</v>
      </c>
      <c r="Q456" s="58">
        <v>3.7243109922589692</v>
      </c>
      <c r="R456" s="59">
        <v>46047</v>
      </c>
      <c r="S456" s="57" t="s">
        <v>93</v>
      </c>
      <c r="T456" s="57" t="s">
        <v>141</v>
      </c>
    </row>
    <row r="457" spans="12:20" x14ac:dyDescent="0.3">
      <c r="L457" s="46" t="s">
        <v>295</v>
      </c>
      <c r="M457" s="130" t="s">
        <v>270</v>
      </c>
      <c r="N457" s="57" t="s">
        <v>13</v>
      </c>
      <c r="O457" s="60">
        <v>1</v>
      </c>
      <c r="P457" s="182">
        <v>-22</v>
      </c>
      <c r="Q457" s="58">
        <v>6.7243109922589692</v>
      </c>
      <c r="R457" s="59">
        <v>46047</v>
      </c>
      <c r="S457" s="57" t="s">
        <v>93</v>
      </c>
      <c r="T457" s="57" t="s">
        <v>141</v>
      </c>
    </row>
    <row r="458" spans="12:20" x14ac:dyDescent="0.3">
      <c r="L458" s="46" t="s">
        <v>22</v>
      </c>
      <c r="M458" s="130" t="s">
        <v>47</v>
      </c>
      <c r="N458" s="57" t="s">
        <v>10</v>
      </c>
      <c r="O458" s="60">
        <v>12</v>
      </c>
      <c r="P458" s="182">
        <v>-210</v>
      </c>
      <c r="Q458" s="58">
        <v>25.801450335361338</v>
      </c>
      <c r="R458" s="59">
        <v>46046</v>
      </c>
      <c r="S458" s="57" t="s">
        <v>92</v>
      </c>
      <c r="T458" s="57" t="s">
        <v>141</v>
      </c>
    </row>
    <row r="459" spans="12:20" x14ac:dyDescent="0.3">
      <c r="L459" s="46"/>
      <c r="M459" s="63" t="s">
        <v>48</v>
      </c>
      <c r="N459" s="63" t="s">
        <v>41</v>
      </c>
      <c r="O459" s="63" t="s">
        <v>38</v>
      </c>
      <c r="P459" s="150">
        <v>216</v>
      </c>
      <c r="Q459" s="150">
        <v>0</v>
      </c>
      <c r="R459" s="59">
        <v>46046</v>
      </c>
      <c r="S459" s="63" t="s">
        <v>92</v>
      </c>
      <c r="T459" s="63" t="s">
        <v>141</v>
      </c>
    </row>
    <row r="460" spans="12:20" x14ac:dyDescent="0.3">
      <c r="L460" s="46" t="s">
        <v>22</v>
      </c>
      <c r="M460" s="130" t="s">
        <v>46</v>
      </c>
      <c r="N460" s="57" t="s">
        <v>11</v>
      </c>
      <c r="O460" s="60">
        <v>12</v>
      </c>
      <c r="P460" s="182">
        <v>-192</v>
      </c>
      <c r="Q460" s="58">
        <v>12.384312307201263</v>
      </c>
      <c r="R460" s="59">
        <v>46045</v>
      </c>
      <c r="S460" s="57" t="s">
        <v>83</v>
      </c>
      <c r="T460" s="57" t="s">
        <v>141</v>
      </c>
    </row>
    <row r="461" spans="12:20" x14ac:dyDescent="0.3">
      <c r="L461" s="46" t="s">
        <v>22</v>
      </c>
      <c r="M461" s="130" t="s">
        <v>46</v>
      </c>
      <c r="N461" s="57" t="s">
        <v>10</v>
      </c>
      <c r="O461" s="60">
        <v>1</v>
      </c>
      <c r="P461" s="182">
        <v>-17.5</v>
      </c>
      <c r="Q461" s="58">
        <v>2.1501208612801133</v>
      </c>
      <c r="R461" s="59">
        <v>46045</v>
      </c>
      <c r="S461" s="57" t="s">
        <v>83</v>
      </c>
      <c r="T461" s="57" t="s">
        <v>141</v>
      </c>
    </row>
    <row r="462" spans="12:20" x14ac:dyDescent="0.3">
      <c r="L462" s="46" t="s">
        <v>295</v>
      </c>
      <c r="M462" s="130" t="s">
        <v>275</v>
      </c>
      <c r="N462" s="57" t="s">
        <v>13</v>
      </c>
      <c r="O462" s="60">
        <v>1</v>
      </c>
      <c r="P462" s="182">
        <v>-22</v>
      </c>
      <c r="Q462" s="58">
        <v>6.0576443255923049</v>
      </c>
      <c r="R462" s="59">
        <v>46044</v>
      </c>
      <c r="S462" s="57" t="s">
        <v>294</v>
      </c>
      <c r="T462" s="57" t="s">
        <v>141</v>
      </c>
    </row>
    <row r="463" spans="12:20" x14ac:dyDescent="0.3">
      <c r="L463" s="46"/>
      <c r="M463" s="63" t="s">
        <v>46</v>
      </c>
      <c r="N463" s="63" t="s">
        <v>41</v>
      </c>
      <c r="O463" s="63" t="s">
        <v>38</v>
      </c>
      <c r="P463" s="150">
        <v>606.5</v>
      </c>
      <c r="Q463" s="150">
        <v>0</v>
      </c>
      <c r="R463" s="59">
        <v>46044</v>
      </c>
      <c r="S463" s="63" t="s">
        <v>294</v>
      </c>
      <c r="T463" s="63" t="s">
        <v>141</v>
      </c>
    </row>
    <row r="464" spans="12:20" x14ac:dyDescent="0.3">
      <c r="L464" s="46"/>
      <c r="M464" s="63" t="s">
        <v>44</v>
      </c>
      <c r="N464" s="63" t="s">
        <v>41</v>
      </c>
      <c r="O464" s="63" t="s">
        <v>38</v>
      </c>
      <c r="P464" s="150">
        <v>114</v>
      </c>
      <c r="Q464" s="150">
        <v>0</v>
      </c>
      <c r="R464" s="59">
        <v>46042</v>
      </c>
      <c r="S464" s="63" t="s">
        <v>290</v>
      </c>
      <c r="T464" s="63" t="s">
        <v>141</v>
      </c>
    </row>
    <row r="465" spans="12:20" x14ac:dyDescent="0.3">
      <c r="L465" s="46" t="s">
        <v>22</v>
      </c>
      <c r="M465" s="130" t="s">
        <v>44</v>
      </c>
      <c r="N465" s="57" t="s">
        <v>13</v>
      </c>
      <c r="O465" s="60">
        <v>6</v>
      </c>
      <c r="P465" s="182">
        <v>-114</v>
      </c>
      <c r="Q465" s="58">
        <v>18.345865953553819</v>
      </c>
      <c r="R465" s="59">
        <v>46042</v>
      </c>
      <c r="S465" s="57" t="s">
        <v>290</v>
      </c>
      <c r="T465" s="57" t="s">
        <v>141</v>
      </c>
    </row>
    <row r="466" spans="12:20" x14ac:dyDescent="0.3">
      <c r="L466" s="46" t="s">
        <v>295</v>
      </c>
      <c r="M466" s="130" t="s">
        <v>275</v>
      </c>
      <c r="N466" s="57" t="s">
        <v>13</v>
      </c>
      <c r="O466" s="60">
        <v>1</v>
      </c>
      <c r="P466" s="182">
        <v>-22</v>
      </c>
      <c r="Q466" s="58">
        <v>6.0576443255923031</v>
      </c>
      <c r="R466" s="59">
        <v>46041</v>
      </c>
      <c r="S466" s="57" t="s">
        <v>291</v>
      </c>
      <c r="T466" s="57" t="s">
        <v>141</v>
      </c>
    </row>
    <row r="467" spans="12:20" x14ac:dyDescent="0.3">
      <c r="L467" s="46" t="s">
        <v>295</v>
      </c>
      <c r="M467" s="130" t="s">
        <v>328</v>
      </c>
      <c r="N467" s="57" t="s">
        <v>14</v>
      </c>
      <c r="O467" s="60">
        <v>1</v>
      </c>
      <c r="P467" s="179">
        <v>-25</v>
      </c>
      <c r="Q467" s="179">
        <v>7.5</v>
      </c>
      <c r="R467" s="59">
        <v>46040</v>
      </c>
      <c r="S467" s="57" t="s">
        <v>93</v>
      </c>
      <c r="T467" s="57" t="s">
        <v>141</v>
      </c>
    </row>
    <row r="468" spans="12:20" x14ac:dyDescent="0.3">
      <c r="L468" s="46"/>
      <c r="M468" s="63" t="s">
        <v>44</v>
      </c>
      <c r="N468" s="63" t="s">
        <v>41</v>
      </c>
      <c r="O468" s="63" t="s">
        <v>38</v>
      </c>
      <c r="P468" s="180">
        <v>128</v>
      </c>
      <c r="Q468" s="180">
        <v>0</v>
      </c>
      <c r="R468" s="59">
        <v>46040</v>
      </c>
      <c r="S468" s="63" t="s">
        <v>93</v>
      </c>
      <c r="T468" s="63" t="s">
        <v>141</v>
      </c>
    </row>
    <row r="469" spans="12:20" x14ac:dyDescent="0.3">
      <c r="L469" s="46" t="s">
        <v>22</v>
      </c>
      <c r="M469" s="130" t="s">
        <v>44</v>
      </c>
      <c r="N469" s="57" t="s">
        <v>11</v>
      </c>
      <c r="O469" s="60">
        <v>8</v>
      </c>
      <c r="P469" s="179">
        <v>-128</v>
      </c>
      <c r="Q469" s="179">
        <v>8.2562082048008705</v>
      </c>
      <c r="R469" s="59">
        <v>46040</v>
      </c>
      <c r="S469" s="57" t="s">
        <v>93</v>
      </c>
      <c r="T469" s="57" t="s">
        <v>141</v>
      </c>
    </row>
    <row r="470" spans="12:20" x14ac:dyDescent="0.3">
      <c r="L470" s="46" t="s">
        <v>22</v>
      </c>
      <c r="M470" s="130" t="s">
        <v>47</v>
      </c>
      <c r="N470" s="57" t="s">
        <v>10</v>
      </c>
      <c r="O470" s="60">
        <v>12</v>
      </c>
      <c r="P470" s="179">
        <v>-222</v>
      </c>
      <c r="Q470" s="179">
        <v>37.801450335361359</v>
      </c>
      <c r="R470" s="59">
        <v>46038</v>
      </c>
      <c r="S470" s="57" t="s">
        <v>83</v>
      </c>
      <c r="T470" s="57" t="s">
        <v>141</v>
      </c>
    </row>
    <row r="471" spans="12:20" x14ac:dyDescent="0.3">
      <c r="L471" s="46" t="s">
        <v>22</v>
      </c>
      <c r="M471" s="130" t="s">
        <v>48</v>
      </c>
      <c r="N471" s="57" t="s">
        <v>11</v>
      </c>
      <c r="O471" s="60">
        <v>12</v>
      </c>
      <c r="P471" s="179">
        <v>-216</v>
      </c>
      <c r="Q471" s="179">
        <v>36.384312307201327</v>
      </c>
      <c r="R471" s="59">
        <v>46038</v>
      </c>
      <c r="S471" s="57" t="s">
        <v>83</v>
      </c>
      <c r="T471" s="57" t="s">
        <v>141</v>
      </c>
    </row>
    <row r="472" spans="12:20" x14ac:dyDescent="0.3">
      <c r="L472" s="46"/>
      <c r="M472" s="63" t="s">
        <v>323</v>
      </c>
      <c r="N472" s="63" t="s">
        <v>42</v>
      </c>
      <c r="O472" s="63" t="s">
        <v>38</v>
      </c>
      <c r="P472" s="180">
        <v>38</v>
      </c>
      <c r="Q472" s="180">
        <v>0</v>
      </c>
      <c r="R472" s="59">
        <v>46037</v>
      </c>
      <c r="S472" s="63" t="s">
        <v>294</v>
      </c>
      <c r="T472" s="63" t="s">
        <v>141</v>
      </c>
    </row>
    <row r="473" spans="12:20" x14ac:dyDescent="0.3">
      <c r="L473" s="46"/>
      <c r="M473" s="63" t="s">
        <v>45</v>
      </c>
      <c r="N473" s="63" t="s">
        <v>42</v>
      </c>
      <c r="O473" s="63" t="s">
        <v>38</v>
      </c>
      <c r="P473" s="180">
        <v>20</v>
      </c>
      <c r="Q473" s="180">
        <v>0</v>
      </c>
      <c r="R473" s="59">
        <v>46036</v>
      </c>
      <c r="S473" s="63" t="s">
        <v>32</v>
      </c>
      <c r="T473" s="63" t="s">
        <v>141</v>
      </c>
    </row>
    <row r="474" spans="12:20" x14ac:dyDescent="0.3">
      <c r="L474" s="46"/>
      <c r="M474" s="63" t="s">
        <v>45</v>
      </c>
      <c r="N474" s="63" t="s">
        <v>41</v>
      </c>
      <c r="O474" s="63" t="s">
        <v>38</v>
      </c>
      <c r="P474" s="180">
        <v>70</v>
      </c>
      <c r="Q474" s="180">
        <v>0</v>
      </c>
      <c r="R474" s="59">
        <v>46036</v>
      </c>
      <c r="S474" s="63" t="s">
        <v>32</v>
      </c>
      <c r="T474" s="63" t="s">
        <v>141</v>
      </c>
    </row>
    <row r="475" spans="12:20" x14ac:dyDescent="0.3">
      <c r="L475" s="46" t="s">
        <v>22</v>
      </c>
      <c r="M475" s="130" t="s">
        <v>45</v>
      </c>
      <c r="N475" s="57" t="s">
        <v>13</v>
      </c>
      <c r="O475" s="60">
        <v>6</v>
      </c>
      <c r="P475" s="179">
        <v>-114</v>
      </c>
      <c r="Q475" s="179">
        <v>15.729329767769173</v>
      </c>
      <c r="R475" s="59">
        <v>46036</v>
      </c>
      <c r="S475" s="57" t="s">
        <v>32</v>
      </c>
      <c r="T475" s="57" t="s">
        <v>141</v>
      </c>
    </row>
    <row r="476" spans="12:20" x14ac:dyDescent="0.3">
      <c r="L476" s="46" t="s">
        <v>22</v>
      </c>
      <c r="M476" s="130" t="s">
        <v>46</v>
      </c>
      <c r="N476" s="57" t="s">
        <v>10</v>
      </c>
      <c r="O476" s="60">
        <v>1</v>
      </c>
      <c r="P476" s="179">
        <v>-18.5</v>
      </c>
      <c r="Q476" s="179">
        <v>3.0043378868134951</v>
      </c>
      <c r="R476" s="59">
        <v>46036</v>
      </c>
      <c r="S476" s="57" t="s">
        <v>32</v>
      </c>
      <c r="T476" s="57" t="s">
        <v>141</v>
      </c>
    </row>
    <row r="477" spans="12:20" x14ac:dyDescent="0.3">
      <c r="L477" s="46" t="s">
        <v>22</v>
      </c>
      <c r="M477" s="130" t="s">
        <v>46</v>
      </c>
      <c r="N477" s="57" t="s">
        <v>12</v>
      </c>
      <c r="O477" s="60">
        <v>12</v>
      </c>
      <c r="P477" s="179">
        <v>-186</v>
      </c>
      <c r="Q477" s="179">
        <v>19.503937007873994</v>
      </c>
      <c r="R477" s="59">
        <v>46036</v>
      </c>
      <c r="S477" s="57" t="s">
        <v>32</v>
      </c>
      <c r="T477" s="57" t="s">
        <v>141</v>
      </c>
    </row>
    <row r="478" spans="12:20" x14ac:dyDescent="0.3">
      <c r="L478" s="46"/>
      <c r="M478" s="63" t="s">
        <v>47</v>
      </c>
      <c r="N478" s="63" t="s">
        <v>41</v>
      </c>
      <c r="O478" s="63" t="s">
        <v>38</v>
      </c>
      <c r="P478" s="180">
        <v>100</v>
      </c>
      <c r="Q478" s="180">
        <v>0</v>
      </c>
      <c r="R478" s="59">
        <v>46036</v>
      </c>
      <c r="S478" s="63" t="s">
        <v>32</v>
      </c>
      <c r="T478" s="63" t="s">
        <v>141</v>
      </c>
    </row>
    <row r="479" spans="12:20" x14ac:dyDescent="0.3">
      <c r="L479" s="46" t="s">
        <v>22</v>
      </c>
      <c r="M479" s="130" t="s">
        <v>323</v>
      </c>
      <c r="N479" s="57" t="s">
        <v>13</v>
      </c>
      <c r="O479" s="60">
        <v>2</v>
      </c>
      <c r="P479" s="179">
        <v>-38</v>
      </c>
      <c r="Q479" s="179">
        <v>5.2431099225897242</v>
      </c>
      <c r="R479" s="59">
        <v>46036</v>
      </c>
      <c r="S479" s="57" t="s">
        <v>32</v>
      </c>
      <c r="T479" s="57" t="s">
        <v>141</v>
      </c>
    </row>
    <row r="480" spans="12:20" x14ac:dyDescent="0.3">
      <c r="L480" s="46" t="s">
        <v>295</v>
      </c>
      <c r="M480" s="130" t="s">
        <v>275</v>
      </c>
      <c r="N480" s="57" t="s">
        <v>13</v>
      </c>
      <c r="O480" s="60">
        <v>1</v>
      </c>
      <c r="P480" s="179">
        <v>-21</v>
      </c>
      <c r="Q480" s="179">
        <v>4.6215549612948621</v>
      </c>
      <c r="R480" s="59">
        <v>46036</v>
      </c>
      <c r="S480" s="57" t="s">
        <v>32</v>
      </c>
      <c r="T480" s="57" t="s">
        <v>141</v>
      </c>
    </row>
    <row r="481" spans="12:20" x14ac:dyDescent="0.3">
      <c r="L481" s="46" t="s">
        <v>295</v>
      </c>
      <c r="M481" s="130" t="s">
        <v>322</v>
      </c>
      <c r="N481" s="57" t="s">
        <v>10</v>
      </c>
      <c r="O481" s="60">
        <v>1</v>
      </c>
      <c r="P481" s="179">
        <v>-20</v>
      </c>
      <c r="Q481" s="179">
        <v>4.5043378868134951</v>
      </c>
      <c r="R481" s="59">
        <v>46035</v>
      </c>
      <c r="S481" s="57" t="s">
        <v>290</v>
      </c>
      <c r="T481" s="57" t="s">
        <v>141</v>
      </c>
    </row>
    <row r="482" spans="12:20" x14ac:dyDescent="0.3">
      <c r="L482" s="46"/>
      <c r="M482" s="63" t="s">
        <v>47</v>
      </c>
      <c r="N482" s="63" t="s">
        <v>41</v>
      </c>
      <c r="O482" s="63" t="s">
        <v>38</v>
      </c>
      <c r="P482" s="180">
        <v>200</v>
      </c>
      <c r="Q482" s="180">
        <v>0</v>
      </c>
      <c r="R482" s="59">
        <v>46035</v>
      </c>
      <c r="S482" s="63" t="s">
        <v>290</v>
      </c>
      <c r="T482" s="63" t="s">
        <v>141</v>
      </c>
    </row>
    <row r="483" spans="12:20" x14ac:dyDescent="0.3">
      <c r="L483" s="46"/>
      <c r="M483" s="63" t="s">
        <v>44</v>
      </c>
      <c r="N483" s="63" t="s">
        <v>42</v>
      </c>
      <c r="O483" s="63" t="s">
        <v>38</v>
      </c>
      <c r="P483" s="180">
        <v>114</v>
      </c>
      <c r="Q483" s="180">
        <v>0</v>
      </c>
      <c r="R483" s="59">
        <v>46035</v>
      </c>
      <c r="S483" s="63" t="s">
        <v>290</v>
      </c>
      <c r="T483" s="63" t="s">
        <v>141</v>
      </c>
    </row>
    <row r="484" spans="12:20" x14ac:dyDescent="0.3">
      <c r="L484" s="46" t="s">
        <v>22</v>
      </c>
      <c r="M484" s="130" t="s">
        <v>44</v>
      </c>
      <c r="N484" s="57" t="s">
        <v>13</v>
      </c>
      <c r="O484" s="60">
        <v>6</v>
      </c>
      <c r="P484" s="179">
        <v>-114</v>
      </c>
      <c r="Q484" s="179">
        <v>15.729329767769173</v>
      </c>
      <c r="R484" s="59">
        <v>46035</v>
      </c>
      <c r="S484" s="57" t="s">
        <v>290</v>
      </c>
      <c r="T484" s="57" t="s">
        <v>141</v>
      </c>
    </row>
    <row r="485" spans="12:20" x14ac:dyDescent="0.3">
      <c r="L485" s="46"/>
      <c r="M485" s="63" t="s">
        <v>48</v>
      </c>
      <c r="N485" s="63" t="s">
        <v>41</v>
      </c>
      <c r="O485" s="63" t="s">
        <v>38</v>
      </c>
      <c r="P485" s="180">
        <v>216</v>
      </c>
      <c r="Q485" s="180">
        <v>0</v>
      </c>
      <c r="R485" s="59">
        <v>46034</v>
      </c>
      <c r="S485" s="63" t="s">
        <v>291</v>
      </c>
      <c r="T485" s="63" t="s">
        <v>141</v>
      </c>
    </row>
    <row r="486" spans="12:20" x14ac:dyDescent="0.3">
      <c r="L486" s="46"/>
      <c r="M486" s="63" t="s">
        <v>45</v>
      </c>
      <c r="N486" s="63" t="s">
        <v>41</v>
      </c>
      <c r="O486" s="63" t="s">
        <v>38</v>
      </c>
      <c r="P486" s="180">
        <v>41</v>
      </c>
      <c r="Q486" s="180">
        <v>0</v>
      </c>
      <c r="R486" s="59">
        <v>46032</v>
      </c>
      <c r="S486" s="63" t="s">
        <v>92</v>
      </c>
      <c r="T486" s="63" t="s">
        <v>141</v>
      </c>
    </row>
    <row r="487" spans="12:20" x14ac:dyDescent="0.3">
      <c r="L487" s="46" t="s">
        <v>22</v>
      </c>
      <c r="M487" s="130" t="s">
        <v>45</v>
      </c>
      <c r="N487" s="57" t="s">
        <v>10</v>
      </c>
      <c r="O487" s="60">
        <v>6</v>
      </c>
      <c r="P487" s="179">
        <v>-111</v>
      </c>
      <c r="Q487" s="179">
        <v>18.02602732088096</v>
      </c>
      <c r="R487" s="59">
        <v>46032</v>
      </c>
      <c r="S487" s="57" t="s">
        <v>92</v>
      </c>
      <c r="T487" s="57" t="s">
        <v>141</v>
      </c>
    </row>
    <row r="488" spans="12:20" x14ac:dyDescent="0.3">
      <c r="L488" s="46"/>
      <c r="M488" s="63" t="s">
        <v>45</v>
      </c>
      <c r="N488" s="63" t="s">
        <v>41</v>
      </c>
      <c r="O488" s="63" t="s">
        <v>38</v>
      </c>
      <c r="P488" s="180">
        <v>50</v>
      </c>
      <c r="Q488" s="180">
        <v>0</v>
      </c>
      <c r="R488" s="59">
        <v>46032</v>
      </c>
      <c r="S488" s="63" t="s">
        <v>92</v>
      </c>
      <c r="T488" s="63" t="s">
        <v>141</v>
      </c>
    </row>
    <row r="489" spans="12:20" x14ac:dyDescent="0.3">
      <c r="L489" s="46"/>
      <c r="M489" s="63" t="s">
        <v>45</v>
      </c>
      <c r="N489" s="63" t="s">
        <v>41</v>
      </c>
      <c r="O489" s="63" t="s">
        <v>38</v>
      </c>
      <c r="P489" s="180">
        <v>41</v>
      </c>
      <c r="Q489" s="180">
        <v>0</v>
      </c>
      <c r="R489" s="59">
        <v>46032</v>
      </c>
      <c r="S489" s="63" t="s">
        <v>92</v>
      </c>
      <c r="T489" s="63" t="s">
        <v>141</v>
      </c>
    </row>
    <row r="490" spans="12:20" x14ac:dyDescent="0.3">
      <c r="L490" s="46"/>
      <c r="M490" s="63" t="s">
        <v>44</v>
      </c>
      <c r="N490" s="63" t="s">
        <v>40</v>
      </c>
      <c r="O490" s="63" t="s">
        <v>38</v>
      </c>
      <c r="P490" s="180">
        <v>19</v>
      </c>
      <c r="Q490" s="180">
        <v>-0.26030000000000003</v>
      </c>
      <c r="R490" s="59">
        <v>46031</v>
      </c>
      <c r="S490" s="63" t="s">
        <v>83</v>
      </c>
      <c r="T490" s="63" t="s">
        <v>141</v>
      </c>
    </row>
    <row r="491" spans="12:20" x14ac:dyDescent="0.3">
      <c r="L491" s="46" t="s">
        <v>22</v>
      </c>
      <c r="M491" s="130" t="s">
        <v>44</v>
      </c>
      <c r="N491" s="57" t="s">
        <v>13</v>
      </c>
      <c r="O491" s="60">
        <v>1</v>
      </c>
      <c r="P491" s="179">
        <v>-19</v>
      </c>
      <c r="Q491" s="179">
        <v>2.6215549612948621</v>
      </c>
      <c r="R491" s="59">
        <v>46031</v>
      </c>
      <c r="S491" s="57" t="s">
        <v>83</v>
      </c>
      <c r="T491" s="57" t="s">
        <v>141</v>
      </c>
    </row>
    <row r="492" spans="12:20" x14ac:dyDescent="0.3">
      <c r="L492" s="46" t="s">
        <v>295</v>
      </c>
      <c r="M492" s="130" t="s">
        <v>275</v>
      </c>
      <c r="N492" s="57" t="s">
        <v>13</v>
      </c>
      <c r="O492" s="60">
        <v>1</v>
      </c>
      <c r="P492" s="179">
        <v>-21</v>
      </c>
      <c r="Q492" s="179">
        <v>4.6215549612948621</v>
      </c>
      <c r="R492" s="59">
        <v>46030</v>
      </c>
      <c r="S492" s="57" t="s">
        <v>294</v>
      </c>
      <c r="T492" s="57" t="s">
        <v>141</v>
      </c>
    </row>
    <row r="493" spans="12:20" x14ac:dyDescent="0.3">
      <c r="L493" s="46" t="s">
        <v>22</v>
      </c>
      <c r="M493" s="130" t="s">
        <v>45</v>
      </c>
      <c r="N493" s="57" t="s">
        <v>10</v>
      </c>
      <c r="O493" s="60">
        <v>6</v>
      </c>
      <c r="P493" s="179">
        <v>-111</v>
      </c>
      <c r="Q493" s="179">
        <v>18.02602732088096</v>
      </c>
      <c r="R493" s="59">
        <v>46030</v>
      </c>
      <c r="S493" s="57" t="s">
        <v>294</v>
      </c>
      <c r="T493" s="57" t="s">
        <v>141</v>
      </c>
    </row>
    <row r="494" spans="12:20" x14ac:dyDescent="0.3">
      <c r="L494" s="46"/>
      <c r="M494" s="63" t="s">
        <v>45</v>
      </c>
      <c r="N494" s="63" t="s">
        <v>42</v>
      </c>
      <c r="O494" s="63" t="s">
        <v>38</v>
      </c>
      <c r="P494" s="180">
        <v>70</v>
      </c>
      <c r="Q494" s="180">
        <v>0</v>
      </c>
      <c r="R494" s="59">
        <v>46030</v>
      </c>
      <c r="S494" s="63" t="s">
        <v>294</v>
      </c>
      <c r="T494" s="63" t="s">
        <v>141</v>
      </c>
    </row>
    <row r="495" spans="12:20" x14ac:dyDescent="0.3">
      <c r="L495" s="46" t="s">
        <v>22</v>
      </c>
      <c r="M495" s="130" t="s">
        <v>46</v>
      </c>
      <c r="N495" s="57" t="s">
        <v>12</v>
      </c>
      <c r="O495" s="60">
        <v>12</v>
      </c>
      <c r="P495" s="179">
        <v>-186</v>
      </c>
      <c r="Q495" s="179">
        <v>10.999999999999993</v>
      </c>
      <c r="R495" s="59">
        <v>46029</v>
      </c>
      <c r="S495" s="57" t="s">
        <v>32</v>
      </c>
      <c r="T495" s="57" t="s">
        <v>141</v>
      </c>
    </row>
    <row r="496" spans="12:20" x14ac:dyDescent="0.3">
      <c r="L496" s="46"/>
      <c r="M496" s="63" t="s">
        <v>44</v>
      </c>
      <c r="N496" s="63" t="s">
        <v>39</v>
      </c>
      <c r="O496" s="63" t="s">
        <v>38</v>
      </c>
      <c r="P496" s="180">
        <v>114</v>
      </c>
      <c r="Q496" s="180">
        <v>-3.5910000000000002</v>
      </c>
      <c r="R496" s="59">
        <v>46029</v>
      </c>
      <c r="S496" s="63" t="s">
        <v>32</v>
      </c>
      <c r="T496" s="63" t="s">
        <v>141</v>
      </c>
    </row>
    <row r="497" spans="12:20" x14ac:dyDescent="0.3">
      <c r="L497" s="46" t="s">
        <v>22</v>
      </c>
      <c r="M497" s="161" t="s">
        <v>44</v>
      </c>
      <c r="N497" s="57" t="s">
        <v>13</v>
      </c>
      <c r="O497" s="60">
        <v>6</v>
      </c>
      <c r="P497" s="179">
        <v>-114</v>
      </c>
      <c r="Q497" s="179">
        <v>10.823401701668686</v>
      </c>
      <c r="R497" s="59">
        <v>46029</v>
      </c>
      <c r="S497" s="57" t="s">
        <v>32</v>
      </c>
      <c r="T497" s="57" t="s">
        <v>141</v>
      </c>
    </row>
    <row r="498" spans="12:20" x14ac:dyDescent="0.3">
      <c r="L498" s="46"/>
      <c r="M498" s="63" t="s">
        <v>45</v>
      </c>
      <c r="N498" s="63" t="s">
        <v>41</v>
      </c>
      <c r="O498" s="63" t="s">
        <v>38</v>
      </c>
      <c r="P498" s="180">
        <v>114</v>
      </c>
      <c r="Q498" s="180">
        <v>0</v>
      </c>
      <c r="R498" s="59">
        <v>46029</v>
      </c>
      <c r="S498" s="63" t="s">
        <v>32</v>
      </c>
      <c r="T498" s="63" t="s">
        <v>141</v>
      </c>
    </row>
    <row r="499" spans="12:20" x14ac:dyDescent="0.3">
      <c r="L499" s="46"/>
      <c r="M499" s="63" t="s">
        <v>43</v>
      </c>
      <c r="N499" s="63" t="s">
        <v>40</v>
      </c>
      <c r="O499" s="63" t="s">
        <v>38</v>
      </c>
      <c r="P499" s="180">
        <v>140</v>
      </c>
      <c r="Q499" s="180">
        <v>-1.9180000000000001</v>
      </c>
      <c r="R499" s="59">
        <v>46028</v>
      </c>
      <c r="S499" s="63" t="s">
        <v>290</v>
      </c>
      <c r="T499" s="63" t="s">
        <v>141</v>
      </c>
    </row>
    <row r="500" spans="12:20" x14ac:dyDescent="0.3">
      <c r="L500" s="46" t="s">
        <v>22</v>
      </c>
      <c r="M500" s="161" t="s">
        <v>43</v>
      </c>
      <c r="N500" s="57" t="s">
        <v>10</v>
      </c>
      <c r="O500" s="60">
        <v>6</v>
      </c>
      <c r="P500" s="179">
        <v>-111</v>
      </c>
      <c r="Q500" s="179">
        <v>10.807692307692307</v>
      </c>
      <c r="R500" s="59">
        <v>46028</v>
      </c>
      <c r="S500" s="57" t="s">
        <v>290</v>
      </c>
      <c r="T500" s="57" t="s">
        <v>141</v>
      </c>
    </row>
    <row r="501" spans="12:20" x14ac:dyDescent="0.3">
      <c r="L501" s="46"/>
      <c r="M501" s="63" t="s">
        <v>46</v>
      </c>
      <c r="N501" s="63" t="s">
        <v>41</v>
      </c>
      <c r="O501" s="63" t="s">
        <v>38</v>
      </c>
      <c r="P501" s="180">
        <v>114</v>
      </c>
      <c r="Q501" s="180">
        <v>0</v>
      </c>
      <c r="R501" s="59">
        <v>46028</v>
      </c>
      <c r="S501" s="63" t="s">
        <v>290</v>
      </c>
      <c r="T501" s="63" t="s">
        <v>141</v>
      </c>
    </row>
    <row r="502" spans="12:20" x14ac:dyDescent="0.3">
      <c r="L502" s="46"/>
      <c r="M502" s="63" t="s">
        <v>44</v>
      </c>
      <c r="N502" s="63" t="s">
        <v>41</v>
      </c>
      <c r="O502" s="63" t="s">
        <v>38</v>
      </c>
      <c r="P502" s="180">
        <v>114</v>
      </c>
      <c r="Q502" s="180">
        <v>0</v>
      </c>
      <c r="R502" s="59">
        <v>46028</v>
      </c>
      <c r="S502" s="63" t="s">
        <v>290</v>
      </c>
      <c r="T502" s="63" t="s">
        <v>141</v>
      </c>
    </row>
    <row r="503" spans="12:20" x14ac:dyDescent="0.3">
      <c r="L503" s="46" t="s">
        <v>22</v>
      </c>
      <c r="M503" s="161" t="s">
        <v>44</v>
      </c>
      <c r="N503" s="57" t="s">
        <v>13</v>
      </c>
      <c r="O503" s="60">
        <v>6</v>
      </c>
      <c r="P503" s="179">
        <v>-114</v>
      </c>
      <c r="Q503" s="179">
        <v>10.823401701668686</v>
      </c>
      <c r="R503" s="59">
        <v>46028</v>
      </c>
      <c r="S503" s="57" t="s">
        <v>290</v>
      </c>
      <c r="T503" s="57" t="s">
        <v>141</v>
      </c>
    </row>
    <row r="504" spans="12:20" x14ac:dyDescent="0.3">
      <c r="L504" s="46" t="s">
        <v>22</v>
      </c>
      <c r="M504" s="161" t="s">
        <v>45</v>
      </c>
      <c r="N504" s="57" t="s">
        <v>13</v>
      </c>
      <c r="O504" s="60">
        <v>6</v>
      </c>
      <c r="P504" s="179">
        <v>-114</v>
      </c>
      <c r="Q504" s="179">
        <v>10.823401701668686</v>
      </c>
      <c r="R504" s="59">
        <v>46027</v>
      </c>
      <c r="S504" s="57" t="s">
        <v>291</v>
      </c>
      <c r="T504" s="57" t="s">
        <v>141</v>
      </c>
    </row>
    <row r="505" spans="12:20" x14ac:dyDescent="0.3">
      <c r="L505" s="46" t="s">
        <v>22</v>
      </c>
      <c r="M505" s="161" t="s">
        <v>47</v>
      </c>
      <c r="N505" s="57" t="s">
        <v>10</v>
      </c>
      <c r="O505" s="60">
        <v>12</v>
      </c>
      <c r="P505" s="179">
        <v>-222</v>
      </c>
      <c r="Q505" s="179">
        <v>21.615384615384613</v>
      </c>
      <c r="R505" s="59">
        <v>46027</v>
      </c>
      <c r="S505" s="57" t="s">
        <v>291</v>
      </c>
      <c r="T505" s="57" t="s">
        <v>141</v>
      </c>
    </row>
    <row r="506" spans="12:20" x14ac:dyDescent="0.3">
      <c r="L506" s="46"/>
      <c r="M506" s="63" t="s">
        <v>44</v>
      </c>
      <c r="N506" s="63" t="s">
        <v>42</v>
      </c>
      <c r="O506" s="63" t="s">
        <v>38</v>
      </c>
      <c r="P506" s="180">
        <v>114</v>
      </c>
      <c r="Q506" s="180">
        <v>0</v>
      </c>
      <c r="R506" s="59">
        <v>46027</v>
      </c>
      <c r="S506" s="63" t="s">
        <v>291</v>
      </c>
      <c r="T506" s="63" t="s">
        <v>141</v>
      </c>
    </row>
    <row r="507" spans="12:20" x14ac:dyDescent="0.3">
      <c r="L507" s="46" t="s">
        <v>22</v>
      </c>
      <c r="M507" s="161" t="s">
        <v>44</v>
      </c>
      <c r="N507" s="57" t="s">
        <v>13</v>
      </c>
      <c r="O507" s="60">
        <v>6</v>
      </c>
      <c r="P507" s="179">
        <v>-114</v>
      </c>
      <c r="Q507" s="179">
        <v>10.823401701668686</v>
      </c>
      <c r="R507" s="59">
        <v>46027</v>
      </c>
      <c r="S507" s="57" t="s">
        <v>291</v>
      </c>
      <c r="T507" s="57" t="s">
        <v>141</v>
      </c>
    </row>
    <row r="508" spans="12:20" x14ac:dyDescent="0.3">
      <c r="L508" s="46"/>
      <c r="M508" s="63" t="s">
        <v>47</v>
      </c>
      <c r="N508" s="63" t="s">
        <v>41</v>
      </c>
      <c r="O508" s="63" t="s">
        <v>38</v>
      </c>
      <c r="P508" s="180">
        <v>300</v>
      </c>
      <c r="Q508" s="180">
        <v>0</v>
      </c>
      <c r="R508" s="59">
        <v>46027</v>
      </c>
      <c r="S508" s="63" t="s">
        <v>291</v>
      </c>
      <c r="T508" s="63" t="s">
        <v>141</v>
      </c>
    </row>
    <row r="509" spans="12:20" x14ac:dyDescent="0.3">
      <c r="L509" s="46" t="s">
        <v>22</v>
      </c>
      <c r="M509" s="161" t="s">
        <v>46</v>
      </c>
      <c r="N509" s="57" t="s">
        <v>11</v>
      </c>
      <c r="O509" s="60">
        <v>12</v>
      </c>
      <c r="P509" s="179">
        <v>-216</v>
      </c>
      <c r="Q509" s="179">
        <v>23.563768870380002</v>
      </c>
      <c r="R509" s="59">
        <v>46027</v>
      </c>
      <c r="S509" s="57" t="s">
        <v>291</v>
      </c>
      <c r="T509" s="57" t="s">
        <v>141</v>
      </c>
    </row>
    <row r="510" spans="12:20" x14ac:dyDescent="0.3">
      <c r="L510" s="46" t="s">
        <v>295</v>
      </c>
      <c r="M510" s="161" t="s">
        <v>275</v>
      </c>
      <c r="N510" s="57" t="s">
        <v>13</v>
      </c>
      <c r="O510" s="60">
        <v>1</v>
      </c>
      <c r="P510" s="179">
        <v>-21</v>
      </c>
      <c r="Q510" s="179">
        <v>3.8039002836114477</v>
      </c>
      <c r="R510" s="59">
        <v>46026</v>
      </c>
      <c r="S510" s="57" t="s">
        <v>93</v>
      </c>
      <c r="T510" s="57" t="s">
        <v>141</v>
      </c>
    </row>
    <row r="511" spans="12:20" x14ac:dyDescent="0.3">
      <c r="L511" s="46" t="s">
        <v>22</v>
      </c>
      <c r="M511" s="161" t="s">
        <v>48</v>
      </c>
      <c r="N511" s="57" t="s">
        <v>11</v>
      </c>
      <c r="O511" s="60">
        <v>12</v>
      </c>
      <c r="P511" s="179">
        <v>-216</v>
      </c>
      <c r="Q511" s="179">
        <v>23.563768870380002</v>
      </c>
      <c r="R511" s="59">
        <v>46026</v>
      </c>
      <c r="S511" s="57" t="s">
        <v>93</v>
      </c>
      <c r="T511" s="57" t="s">
        <v>141</v>
      </c>
    </row>
    <row r="512" spans="12:20" x14ac:dyDescent="0.3">
      <c r="L512" s="46"/>
      <c r="M512" s="63" t="s">
        <v>48</v>
      </c>
      <c r="N512" s="63" t="s">
        <v>41</v>
      </c>
      <c r="O512" s="63" t="s">
        <v>38</v>
      </c>
      <c r="P512" s="180">
        <v>210</v>
      </c>
      <c r="Q512" s="180">
        <v>0</v>
      </c>
      <c r="R512" s="59">
        <v>46025</v>
      </c>
      <c r="S512" s="63" t="s">
        <v>92</v>
      </c>
      <c r="T512" s="63" t="s">
        <v>141</v>
      </c>
    </row>
    <row r="513" spans="12:20" x14ac:dyDescent="0.3">
      <c r="L513" s="46"/>
      <c r="M513" s="63" t="s">
        <v>275</v>
      </c>
      <c r="N513" s="63" t="s">
        <v>40</v>
      </c>
      <c r="O513" s="63" t="s">
        <v>38</v>
      </c>
      <c r="P513" s="180">
        <v>81.5</v>
      </c>
      <c r="Q513" s="180">
        <v>-1.1165499999999999</v>
      </c>
      <c r="R513" s="59">
        <v>46024</v>
      </c>
      <c r="S513" s="63" t="s">
        <v>83</v>
      </c>
      <c r="T513" s="63" t="s">
        <v>141</v>
      </c>
    </row>
    <row r="514" spans="12:20" x14ac:dyDescent="0.3">
      <c r="L514" s="46" t="s">
        <v>22</v>
      </c>
      <c r="M514" s="130" t="s">
        <v>48</v>
      </c>
      <c r="N514" s="57"/>
      <c r="O514" s="60"/>
      <c r="P514" s="179">
        <v>-210</v>
      </c>
      <c r="Q514" s="179"/>
      <c r="R514" s="59">
        <v>46023</v>
      </c>
      <c r="S514" s="57" t="s">
        <v>294</v>
      </c>
      <c r="T514" s="57" t="s">
        <v>141</v>
      </c>
    </row>
    <row r="515" spans="12:20" x14ac:dyDescent="0.3">
      <c r="L515" s="46" t="s">
        <v>22</v>
      </c>
      <c r="M515" s="130" t="s">
        <v>275</v>
      </c>
      <c r="N515" s="57"/>
      <c r="O515" s="60"/>
      <c r="P515" s="179">
        <v>-81.5</v>
      </c>
      <c r="Q515" s="179"/>
      <c r="R515" s="59">
        <v>46023</v>
      </c>
      <c r="S515" s="57" t="s">
        <v>294</v>
      </c>
      <c r="T515" s="57" t="s">
        <v>141</v>
      </c>
    </row>
    <row r="516" spans="12:20" x14ac:dyDescent="0.3">
      <c r="L516" s="46" t="s">
        <v>22</v>
      </c>
      <c r="M516" s="130" t="s">
        <v>43</v>
      </c>
      <c r="N516" s="57"/>
      <c r="O516" s="60"/>
      <c r="P516" s="179">
        <v>-29</v>
      </c>
      <c r="Q516" s="179"/>
      <c r="R516" s="59">
        <v>46023</v>
      </c>
      <c r="S516" s="57" t="s">
        <v>294</v>
      </c>
      <c r="T516" s="57" t="s">
        <v>141</v>
      </c>
    </row>
    <row r="517" spans="12:20" x14ac:dyDescent="0.3">
      <c r="L517" s="46" t="s">
        <v>22</v>
      </c>
      <c r="M517" s="130" t="s">
        <v>46</v>
      </c>
      <c r="N517" s="57"/>
      <c r="O517" s="60"/>
      <c r="P517" s="179">
        <v>-114</v>
      </c>
      <c r="Q517" s="179"/>
      <c r="R517" s="59">
        <v>46023</v>
      </c>
      <c r="S517" s="57" t="s">
        <v>294</v>
      </c>
      <c r="T517" s="57" t="s">
        <v>141</v>
      </c>
    </row>
    <row r="518" spans="12:20" x14ac:dyDescent="0.3">
      <c r="L518" s="46" t="s">
        <v>22</v>
      </c>
      <c r="M518" s="130" t="s">
        <v>47</v>
      </c>
      <c r="N518" s="57"/>
      <c r="O518" s="60"/>
      <c r="P518" s="179">
        <v>-488.5</v>
      </c>
      <c r="Q518" s="179"/>
      <c r="R518" s="59">
        <v>46023</v>
      </c>
      <c r="S518" s="57" t="s">
        <v>294</v>
      </c>
      <c r="T518" s="57" t="s">
        <v>141</v>
      </c>
    </row>
  </sheetData>
  <mergeCells count="1">
    <mergeCell ref="A14:E15"/>
  </mergeCells>
  <phoneticPr fontId="8" type="noConversion"/>
  <conditionalFormatting sqref="L2 L5:L500">
    <cfRule type="containsText" dxfId="1391" priority="4007" operator="containsText" text="avulso">
      <formula>NOT(ISERROR(SEARCH("avulso",L2)))</formula>
    </cfRule>
  </conditionalFormatting>
  <conditionalFormatting sqref="C2:C13">
    <cfRule type="cellIs" dxfId="1390" priority="3971" operator="lessThan">
      <formula>0</formula>
    </cfRule>
    <cfRule type="cellIs" dxfId="1389" priority="3972" operator="greaterThan">
      <formula>0</formula>
    </cfRule>
  </conditionalFormatting>
  <conditionalFormatting sqref="R2 R341 R283:R288">
    <cfRule type="timePeriod" dxfId="1388" priority="3967" timePeriod="yesterday">
      <formula>FLOOR(R2,1)=TODAY()-1</formula>
    </cfRule>
    <cfRule type="timePeriod" dxfId="1387" priority="3968" timePeriod="today">
      <formula>FLOOR(R2,1)=TODAY()</formula>
    </cfRule>
  </conditionalFormatting>
  <conditionalFormatting sqref="E17:E383">
    <cfRule type="cellIs" dxfId="1386" priority="3956" operator="lessThan">
      <formula>0</formula>
    </cfRule>
    <cfRule type="cellIs" dxfId="1385" priority="3957" operator="greaterThan">
      <formula>0</formula>
    </cfRule>
  </conditionalFormatting>
  <conditionalFormatting sqref="R4">
    <cfRule type="timePeriod" dxfId="1384" priority="3954" timePeriod="yesterday">
      <formula>FLOOR(R4,1)=TODAY()-1</formula>
    </cfRule>
    <cfRule type="timePeriod" dxfId="1383" priority="3955" timePeriod="today">
      <formula>FLOOR(R4,1)=TODAY()</formula>
    </cfRule>
  </conditionalFormatting>
  <conditionalFormatting sqref="H16:H1048576">
    <cfRule type="cellIs" dxfId="1382" priority="3062" operator="lessThan">
      <formula>0</formula>
    </cfRule>
    <cfRule type="cellIs" dxfId="1381" priority="3063" operator="greaterThan">
      <formula>0</formula>
    </cfRule>
  </conditionalFormatting>
  <conditionalFormatting sqref="G16:G1048576">
    <cfRule type="notContainsText" dxfId="1380" priority="3060" operator="notContains" text="pagamento">
      <formula>ISERROR(SEARCH("pagamento",G16))</formula>
    </cfRule>
    <cfRule type="containsText" dxfId="1379" priority="3061" operator="containsText" text="PAGAMENTO">
      <formula>NOT(ISERROR(SEARCH("PAGAMENTO",G16)))</formula>
    </cfRule>
  </conditionalFormatting>
  <conditionalFormatting sqref="L501:L518">
    <cfRule type="containsText" dxfId="1378" priority="1101" operator="containsText" text="avulso">
      <formula>NOT(ISERROR(SEARCH("avulso",L501)))</formula>
    </cfRule>
  </conditionalFormatting>
  <conditionalFormatting sqref="R518">
    <cfRule type="timePeriod" dxfId="1377" priority="1099" timePeriod="yesterday">
      <formula>FLOOR(R518,1)=TODAY()-1</formula>
    </cfRule>
    <cfRule type="timePeriod" dxfId="1376" priority="1100" timePeriod="today">
      <formula>FLOOR(R518,1)=TODAY()</formula>
    </cfRule>
  </conditionalFormatting>
  <conditionalFormatting sqref="R517">
    <cfRule type="timePeriod" dxfId="1375" priority="1097" timePeriod="yesterday">
      <formula>FLOOR(R517,1)=TODAY()-1</formula>
    </cfRule>
    <cfRule type="timePeriod" dxfId="1374" priority="1098" timePeriod="today">
      <formula>FLOOR(R517,1)=TODAY()</formula>
    </cfRule>
  </conditionalFormatting>
  <conditionalFormatting sqref="R516">
    <cfRule type="timePeriod" dxfId="1373" priority="1095" timePeriod="yesterday">
      <formula>FLOOR(R516,1)=TODAY()-1</formula>
    </cfRule>
    <cfRule type="timePeriod" dxfId="1372" priority="1096" timePeriod="today">
      <formula>FLOOR(R516,1)=TODAY()</formula>
    </cfRule>
  </conditionalFormatting>
  <conditionalFormatting sqref="R515">
    <cfRule type="timePeriod" dxfId="1371" priority="1093" timePeriod="yesterday">
      <formula>FLOOR(R515,1)=TODAY()-1</formula>
    </cfRule>
    <cfRule type="timePeriod" dxfId="1370" priority="1094" timePeriod="today">
      <formula>FLOOR(R515,1)=TODAY()</formula>
    </cfRule>
  </conditionalFormatting>
  <conditionalFormatting sqref="R514">
    <cfRule type="timePeriod" dxfId="1369" priority="1091" timePeriod="yesterday">
      <formula>FLOOR(R514,1)=TODAY()-1</formula>
    </cfRule>
    <cfRule type="timePeriod" dxfId="1368" priority="1092" timePeriod="today">
      <formula>FLOOR(R514,1)=TODAY()</formula>
    </cfRule>
  </conditionalFormatting>
  <conditionalFormatting sqref="R513">
    <cfRule type="timePeriod" dxfId="1367" priority="1089" timePeriod="yesterday">
      <formula>FLOOR(R513,1)=TODAY()-1</formula>
    </cfRule>
    <cfRule type="timePeriod" dxfId="1366" priority="1090" timePeriod="today">
      <formula>FLOOR(R513,1)=TODAY()</formula>
    </cfRule>
  </conditionalFormatting>
  <conditionalFormatting sqref="R512">
    <cfRule type="timePeriod" dxfId="1365" priority="1087" timePeriod="yesterday">
      <formula>FLOOR(R512,1)=TODAY()-1</formula>
    </cfRule>
    <cfRule type="timePeriod" dxfId="1364" priority="1088" timePeriod="today">
      <formula>FLOOR(R512,1)=TODAY()</formula>
    </cfRule>
  </conditionalFormatting>
  <conditionalFormatting sqref="R511">
    <cfRule type="timePeriod" dxfId="1363" priority="1085" timePeriod="yesterday">
      <formula>FLOOR(R511,1)=TODAY()-1</formula>
    </cfRule>
    <cfRule type="timePeriod" dxfId="1362" priority="1086" timePeriod="today">
      <formula>FLOOR(R511,1)=TODAY()</formula>
    </cfRule>
  </conditionalFormatting>
  <conditionalFormatting sqref="R510">
    <cfRule type="timePeriod" dxfId="1361" priority="1083" timePeriod="yesterday">
      <formula>FLOOR(R510,1)=TODAY()-1</formula>
    </cfRule>
    <cfRule type="timePeriod" dxfId="1360" priority="1084" timePeriod="today">
      <formula>FLOOR(R510,1)=TODAY()</formula>
    </cfRule>
  </conditionalFormatting>
  <conditionalFormatting sqref="R509">
    <cfRule type="timePeriod" dxfId="1359" priority="1081" timePeriod="yesterday">
      <formula>FLOOR(R509,1)=TODAY()-1</formula>
    </cfRule>
    <cfRule type="timePeriod" dxfId="1358" priority="1082" timePeriod="today">
      <formula>FLOOR(R509,1)=TODAY()</formula>
    </cfRule>
  </conditionalFormatting>
  <conditionalFormatting sqref="R508">
    <cfRule type="timePeriod" dxfId="1357" priority="1079" timePeriod="yesterday">
      <formula>FLOOR(R508,1)=TODAY()-1</formula>
    </cfRule>
    <cfRule type="timePeriod" dxfId="1356" priority="1080" timePeriod="today">
      <formula>FLOOR(R508,1)=TODAY()</formula>
    </cfRule>
  </conditionalFormatting>
  <conditionalFormatting sqref="R507">
    <cfRule type="timePeriod" dxfId="1355" priority="1077" timePeriod="yesterday">
      <formula>FLOOR(R507,1)=TODAY()-1</formula>
    </cfRule>
    <cfRule type="timePeriod" dxfId="1354" priority="1078" timePeriod="today">
      <formula>FLOOR(R507,1)=TODAY()</formula>
    </cfRule>
  </conditionalFormatting>
  <conditionalFormatting sqref="R506">
    <cfRule type="timePeriod" dxfId="1353" priority="1075" timePeriod="yesterday">
      <formula>FLOOR(R506,1)=TODAY()-1</formula>
    </cfRule>
    <cfRule type="timePeriod" dxfId="1352" priority="1076" timePeriod="today">
      <formula>FLOOR(R506,1)=TODAY()</formula>
    </cfRule>
  </conditionalFormatting>
  <conditionalFormatting sqref="R505">
    <cfRule type="timePeriod" dxfId="1351" priority="1073" timePeriod="yesterday">
      <formula>FLOOR(R505,1)=TODAY()-1</formula>
    </cfRule>
    <cfRule type="timePeriod" dxfId="1350" priority="1074" timePeriod="today">
      <formula>FLOOR(R505,1)=TODAY()</formula>
    </cfRule>
  </conditionalFormatting>
  <conditionalFormatting sqref="R504">
    <cfRule type="timePeriod" dxfId="1349" priority="1071" timePeriod="yesterday">
      <formula>FLOOR(R504,1)=TODAY()-1</formula>
    </cfRule>
    <cfRule type="timePeriod" dxfId="1348" priority="1072" timePeriod="today">
      <formula>FLOOR(R504,1)=TODAY()</formula>
    </cfRule>
  </conditionalFormatting>
  <conditionalFormatting sqref="R503">
    <cfRule type="timePeriod" dxfId="1347" priority="1069" timePeriod="yesterday">
      <formula>FLOOR(R503,1)=TODAY()-1</formula>
    </cfRule>
    <cfRule type="timePeriod" dxfId="1346" priority="1070" timePeriod="today">
      <formula>FLOOR(R503,1)=TODAY()</formula>
    </cfRule>
  </conditionalFormatting>
  <conditionalFormatting sqref="R502">
    <cfRule type="timePeriod" dxfId="1345" priority="1067" timePeriod="yesterday">
      <formula>FLOOR(R502,1)=TODAY()-1</formula>
    </cfRule>
    <cfRule type="timePeriod" dxfId="1344" priority="1068" timePeriod="today">
      <formula>FLOOR(R502,1)=TODAY()</formula>
    </cfRule>
  </conditionalFormatting>
  <conditionalFormatting sqref="R501">
    <cfRule type="timePeriod" dxfId="1343" priority="1065" timePeriod="yesterday">
      <formula>FLOOR(R501,1)=TODAY()-1</formula>
    </cfRule>
    <cfRule type="timePeriod" dxfId="1342" priority="1066" timePeriod="today">
      <formula>FLOOR(R501,1)=TODAY()</formula>
    </cfRule>
  </conditionalFormatting>
  <conditionalFormatting sqref="R500">
    <cfRule type="timePeriod" dxfId="1341" priority="1063" timePeriod="yesterday">
      <formula>FLOOR(R500,1)=TODAY()-1</formula>
    </cfRule>
    <cfRule type="timePeriod" dxfId="1340" priority="1064" timePeriod="today">
      <formula>FLOOR(R500,1)=TODAY()</formula>
    </cfRule>
  </conditionalFormatting>
  <conditionalFormatting sqref="R499">
    <cfRule type="timePeriod" dxfId="1339" priority="1061" timePeriod="yesterday">
      <formula>FLOOR(R499,1)=TODAY()-1</formula>
    </cfRule>
    <cfRule type="timePeriod" dxfId="1338" priority="1062" timePeriod="today">
      <formula>FLOOR(R499,1)=TODAY()</formula>
    </cfRule>
  </conditionalFormatting>
  <conditionalFormatting sqref="R498">
    <cfRule type="timePeriod" dxfId="1337" priority="1059" timePeriod="yesterday">
      <formula>FLOOR(R498,1)=TODAY()-1</formula>
    </cfRule>
    <cfRule type="timePeriod" dxfId="1336" priority="1060" timePeriod="today">
      <formula>FLOOR(R498,1)=TODAY()</formula>
    </cfRule>
  </conditionalFormatting>
  <conditionalFormatting sqref="R497">
    <cfRule type="timePeriod" dxfId="1335" priority="1057" timePeriod="yesterday">
      <formula>FLOOR(R497,1)=TODAY()-1</formula>
    </cfRule>
    <cfRule type="timePeriod" dxfId="1334" priority="1058" timePeriod="today">
      <formula>FLOOR(R497,1)=TODAY()</formula>
    </cfRule>
  </conditionalFormatting>
  <conditionalFormatting sqref="R496">
    <cfRule type="timePeriod" dxfId="1333" priority="1055" timePeriod="yesterday">
      <formula>FLOOR(R496,1)=TODAY()-1</formula>
    </cfRule>
    <cfRule type="timePeriod" dxfId="1332" priority="1056" timePeriod="today">
      <formula>FLOOR(R496,1)=TODAY()</formula>
    </cfRule>
  </conditionalFormatting>
  <conditionalFormatting sqref="R495">
    <cfRule type="timePeriod" dxfId="1331" priority="1053" timePeriod="yesterday">
      <formula>FLOOR(R495,1)=TODAY()-1</formula>
    </cfRule>
    <cfRule type="timePeriod" dxfId="1330" priority="1054" timePeriod="today">
      <formula>FLOOR(R495,1)=TODAY()</formula>
    </cfRule>
  </conditionalFormatting>
  <conditionalFormatting sqref="R494">
    <cfRule type="timePeriod" dxfId="1329" priority="1051" timePeriod="yesterday">
      <formula>FLOOR(R494,1)=TODAY()-1</formula>
    </cfRule>
    <cfRule type="timePeriod" dxfId="1328" priority="1052" timePeriod="today">
      <formula>FLOOR(R494,1)=TODAY()</formula>
    </cfRule>
  </conditionalFormatting>
  <conditionalFormatting sqref="R493">
    <cfRule type="timePeriod" dxfId="1327" priority="1049" timePeriod="yesterday">
      <formula>FLOOR(R493,1)=TODAY()-1</formula>
    </cfRule>
    <cfRule type="timePeriod" dxfId="1326" priority="1050" timePeriod="today">
      <formula>FLOOR(R493,1)=TODAY()</formula>
    </cfRule>
  </conditionalFormatting>
  <conditionalFormatting sqref="R492">
    <cfRule type="timePeriod" dxfId="1325" priority="1047" timePeriod="yesterday">
      <formula>FLOOR(R492,1)=TODAY()-1</formula>
    </cfRule>
    <cfRule type="timePeriod" dxfId="1324" priority="1048" timePeriod="today">
      <formula>FLOOR(R492,1)=TODAY()</formula>
    </cfRule>
  </conditionalFormatting>
  <conditionalFormatting sqref="R491">
    <cfRule type="timePeriod" dxfId="1323" priority="1045" timePeriod="yesterday">
      <formula>FLOOR(R491,1)=TODAY()-1</formula>
    </cfRule>
    <cfRule type="timePeriod" dxfId="1322" priority="1046" timePeriod="today">
      <formula>FLOOR(R491,1)=TODAY()</formula>
    </cfRule>
  </conditionalFormatting>
  <conditionalFormatting sqref="R490">
    <cfRule type="timePeriod" dxfId="1321" priority="1043" timePeriod="yesterday">
      <formula>FLOOR(R490,1)=TODAY()-1</formula>
    </cfRule>
    <cfRule type="timePeriod" dxfId="1320" priority="1044" timePeriod="today">
      <formula>FLOOR(R490,1)=TODAY()</formula>
    </cfRule>
  </conditionalFormatting>
  <conditionalFormatting sqref="R489">
    <cfRule type="timePeriod" dxfId="1319" priority="1041" timePeriod="yesterday">
      <formula>FLOOR(R489,1)=TODAY()-1</formula>
    </cfRule>
    <cfRule type="timePeriod" dxfId="1318" priority="1042" timePeriod="today">
      <formula>FLOOR(R489,1)=TODAY()</formula>
    </cfRule>
  </conditionalFormatting>
  <conditionalFormatting sqref="R488">
    <cfRule type="timePeriod" dxfId="1317" priority="1039" timePeriod="yesterday">
      <formula>FLOOR(R488,1)=TODAY()-1</formula>
    </cfRule>
    <cfRule type="timePeriod" dxfId="1316" priority="1040" timePeriod="today">
      <formula>FLOOR(R488,1)=TODAY()</formula>
    </cfRule>
  </conditionalFormatting>
  <conditionalFormatting sqref="R487">
    <cfRule type="timePeriod" dxfId="1315" priority="1037" timePeriod="yesterday">
      <formula>FLOOR(R487,1)=TODAY()-1</formula>
    </cfRule>
    <cfRule type="timePeriod" dxfId="1314" priority="1038" timePeriod="today">
      <formula>FLOOR(R487,1)=TODAY()</formula>
    </cfRule>
  </conditionalFormatting>
  <conditionalFormatting sqref="R486">
    <cfRule type="timePeriod" dxfId="1313" priority="1035" timePeriod="yesterday">
      <formula>FLOOR(R486,1)=TODAY()-1</formula>
    </cfRule>
    <cfRule type="timePeriod" dxfId="1312" priority="1036" timePeriod="today">
      <formula>FLOOR(R486,1)=TODAY()</formula>
    </cfRule>
  </conditionalFormatting>
  <conditionalFormatting sqref="R485">
    <cfRule type="timePeriod" dxfId="1311" priority="1033" timePeriod="yesterday">
      <formula>FLOOR(R485,1)=TODAY()-1</formula>
    </cfRule>
    <cfRule type="timePeriod" dxfId="1310" priority="1034" timePeriod="today">
      <formula>FLOOR(R485,1)=TODAY()</formula>
    </cfRule>
  </conditionalFormatting>
  <conditionalFormatting sqref="R484">
    <cfRule type="timePeriod" dxfId="1309" priority="1031" timePeriod="yesterday">
      <formula>FLOOR(R484,1)=TODAY()-1</formula>
    </cfRule>
    <cfRule type="timePeriod" dxfId="1308" priority="1032" timePeriod="today">
      <formula>FLOOR(R484,1)=TODAY()</formula>
    </cfRule>
  </conditionalFormatting>
  <conditionalFormatting sqref="R483">
    <cfRule type="timePeriod" dxfId="1307" priority="1029" timePeriod="yesterday">
      <formula>FLOOR(R483,1)=TODAY()-1</formula>
    </cfRule>
    <cfRule type="timePeriod" dxfId="1306" priority="1030" timePeriod="today">
      <formula>FLOOR(R483,1)=TODAY()</formula>
    </cfRule>
  </conditionalFormatting>
  <conditionalFormatting sqref="R482">
    <cfRule type="timePeriod" dxfId="1305" priority="1027" timePeriod="yesterday">
      <formula>FLOOR(R482,1)=TODAY()-1</formula>
    </cfRule>
    <cfRule type="timePeriod" dxfId="1304" priority="1028" timePeriod="today">
      <formula>FLOOR(R482,1)=TODAY()</formula>
    </cfRule>
  </conditionalFormatting>
  <conditionalFormatting sqref="R481">
    <cfRule type="timePeriod" dxfId="1303" priority="1025" timePeriod="yesterday">
      <formula>FLOOR(R481,1)=TODAY()-1</formula>
    </cfRule>
    <cfRule type="timePeriod" dxfId="1302" priority="1026" timePeriod="today">
      <formula>FLOOR(R481,1)=TODAY()</formula>
    </cfRule>
  </conditionalFormatting>
  <conditionalFormatting sqref="R480">
    <cfRule type="timePeriod" dxfId="1301" priority="1023" timePeriod="yesterday">
      <formula>FLOOR(R480,1)=TODAY()-1</formula>
    </cfRule>
    <cfRule type="timePeriod" dxfId="1300" priority="1024" timePeriod="today">
      <formula>FLOOR(R480,1)=TODAY()</formula>
    </cfRule>
  </conditionalFormatting>
  <conditionalFormatting sqref="R479">
    <cfRule type="timePeriod" dxfId="1299" priority="1021" timePeriod="yesterday">
      <formula>FLOOR(R479,1)=TODAY()-1</formula>
    </cfRule>
    <cfRule type="timePeriod" dxfId="1298" priority="1022" timePeriod="today">
      <formula>FLOOR(R479,1)=TODAY()</formula>
    </cfRule>
  </conditionalFormatting>
  <conditionalFormatting sqref="R478">
    <cfRule type="timePeriod" dxfId="1297" priority="1019" timePeriod="yesterday">
      <formula>FLOOR(R478,1)=TODAY()-1</formula>
    </cfRule>
    <cfRule type="timePeriod" dxfId="1296" priority="1020" timePeriod="today">
      <formula>FLOOR(R478,1)=TODAY()</formula>
    </cfRule>
  </conditionalFormatting>
  <conditionalFormatting sqref="R477">
    <cfRule type="timePeriod" dxfId="1295" priority="1017" timePeriod="yesterday">
      <formula>FLOOR(R477,1)=TODAY()-1</formula>
    </cfRule>
    <cfRule type="timePeriod" dxfId="1294" priority="1018" timePeriod="today">
      <formula>FLOOR(R477,1)=TODAY()</formula>
    </cfRule>
  </conditionalFormatting>
  <conditionalFormatting sqref="R476">
    <cfRule type="timePeriod" dxfId="1293" priority="1015" timePeriod="yesterday">
      <formula>FLOOR(R476,1)=TODAY()-1</formula>
    </cfRule>
    <cfRule type="timePeriod" dxfId="1292" priority="1016" timePeriod="today">
      <formula>FLOOR(R476,1)=TODAY()</formula>
    </cfRule>
  </conditionalFormatting>
  <conditionalFormatting sqref="R475">
    <cfRule type="timePeriod" dxfId="1291" priority="1013" timePeriod="yesterday">
      <formula>FLOOR(R475,1)=TODAY()-1</formula>
    </cfRule>
    <cfRule type="timePeriod" dxfId="1290" priority="1014" timePeriod="today">
      <formula>FLOOR(R475,1)=TODAY()</formula>
    </cfRule>
  </conditionalFormatting>
  <conditionalFormatting sqref="R474">
    <cfRule type="timePeriod" dxfId="1289" priority="1011" timePeriod="yesterday">
      <formula>FLOOR(R474,1)=TODAY()-1</formula>
    </cfRule>
    <cfRule type="timePeriod" dxfId="1288" priority="1012" timePeriod="today">
      <formula>FLOOR(R474,1)=TODAY()</formula>
    </cfRule>
  </conditionalFormatting>
  <conditionalFormatting sqref="R473">
    <cfRule type="timePeriod" dxfId="1287" priority="1009" timePeriod="yesterday">
      <formula>FLOOR(R473,1)=TODAY()-1</formula>
    </cfRule>
    <cfRule type="timePeriod" dxfId="1286" priority="1010" timePeriod="today">
      <formula>FLOOR(R473,1)=TODAY()</formula>
    </cfRule>
  </conditionalFormatting>
  <conditionalFormatting sqref="R472">
    <cfRule type="timePeriod" dxfId="1285" priority="1007" timePeriod="yesterday">
      <formula>FLOOR(R472,1)=TODAY()-1</formula>
    </cfRule>
    <cfRule type="timePeriod" dxfId="1284" priority="1008" timePeriod="today">
      <formula>FLOOR(R472,1)=TODAY()</formula>
    </cfRule>
  </conditionalFormatting>
  <conditionalFormatting sqref="R471">
    <cfRule type="timePeriod" dxfId="1283" priority="1005" timePeriod="yesterday">
      <formula>FLOOR(R471,1)=TODAY()-1</formula>
    </cfRule>
    <cfRule type="timePeriod" dxfId="1282" priority="1006" timePeriod="today">
      <formula>FLOOR(R471,1)=TODAY()</formula>
    </cfRule>
  </conditionalFormatting>
  <conditionalFormatting sqref="R470">
    <cfRule type="timePeriod" dxfId="1281" priority="1003" timePeriod="yesterday">
      <formula>FLOOR(R470,1)=TODAY()-1</formula>
    </cfRule>
    <cfRule type="timePeriod" dxfId="1280" priority="1004" timePeriod="today">
      <formula>FLOOR(R470,1)=TODAY()</formula>
    </cfRule>
  </conditionalFormatting>
  <conditionalFormatting sqref="R469">
    <cfRule type="timePeriod" dxfId="1279" priority="1001" timePeriod="yesterday">
      <formula>FLOOR(R469,1)=TODAY()-1</formula>
    </cfRule>
    <cfRule type="timePeriod" dxfId="1278" priority="1002" timePeriod="today">
      <formula>FLOOR(R469,1)=TODAY()</formula>
    </cfRule>
  </conditionalFormatting>
  <conditionalFormatting sqref="R468">
    <cfRule type="timePeriod" dxfId="1277" priority="999" timePeriod="yesterday">
      <formula>FLOOR(R468,1)=TODAY()-1</formula>
    </cfRule>
    <cfRule type="timePeriod" dxfId="1276" priority="1000" timePeriod="today">
      <formula>FLOOR(R468,1)=TODAY()</formula>
    </cfRule>
  </conditionalFormatting>
  <conditionalFormatting sqref="R467">
    <cfRule type="timePeriod" dxfId="1275" priority="997" timePeriod="yesterday">
      <formula>FLOOR(R467,1)=TODAY()-1</formula>
    </cfRule>
    <cfRule type="timePeriod" dxfId="1274" priority="998" timePeriod="today">
      <formula>FLOOR(R467,1)=TODAY()</formula>
    </cfRule>
  </conditionalFormatting>
  <conditionalFormatting sqref="R466">
    <cfRule type="timePeriod" dxfId="1273" priority="995" timePeriod="yesterday">
      <formula>FLOOR(R466,1)=TODAY()-1</formula>
    </cfRule>
    <cfRule type="timePeriod" dxfId="1272" priority="996" timePeriod="today">
      <formula>FLOOR(R466,1)=TODAY()</formula>
    </cfRule>
  </conditionalFormatting>
  <conditionalFormatting sqref="R465">
    <cfRule type="timePeriod" dxfId="1271" priority="993" timePeriod="yesterday">
      <formula>FLOOR(R465,1)=TODAY()-1</formula>
    </cfRule>
    <cfRule type="timePeriod" dxfId="1270" priority="994" timePeriod="today">
      <formula>FLOOR(R465,1)=TODAY()</formula>
    </cfRule>
  </conditionalFormatting>
  <conditionalFormatting sqref="R464">
    <cfRule type="timePeriod" dxfId="1269" priority="991" timePeriod="yesterday">
      <formula>FLOOR(R464,1)=TODAY()-1</formula>
    </cfRule>
    <cfRule type="timePeriod" dxfId="1268" priority="992" timePeriod="today">
      <formula>FLOOR(R464,1)=TODAY()</formula>
    </cfRule>
  </conditionalFormatting>
  <conditionalFormatting sqref="R463">
    <cfRule type="timePeriod" dxfId="1267" priority="989" timePeriod="yesterday">
      <formula>FLOOR(R463,1)=TODAY()-1</formula>
    </cfRule>
    <cfRule type="timePeriod" dxfId="1266" priority="990" timePeriod="today">
      <formula>FLOOR(R463,1)=TODAY()</formula>
    </cfRule>
  </conditionalFormatting>
  <conditionalFormatting sqref="R462">
    <cfRule type="timePeriod" dxfId="1265" priority="987" timePeriod="yesterday">
      <formula>FLOOR(R462,1)=TODAY()-1</formula>
    </cfRule>
    <cfRule type="timePeriod" dxfId="1264" priority="988" timePeriod="today">
      <formula>FLOOR(R462,1)=TODAY()</formula>
    </cfRule>
  </conditionalFormatting>
  <conditionalFormatting sqref="R461">
    <cfRule type="timePeriod" dxfId="1263" priority="985" timePeriod="yesterday">
      <formula>FLOOR(R461,1)=TODAY()-1</formula>
    </cfRule>
    <cfRule type="timePeriod" dxfId="1262" priority="986" timePeriod="today">
      <formula>FLOOR(R461,1)=TODAY()</formula>
    </cfRule>
  </conditionalFormatting>
  <conditionalFormatting sqref="R460">
    <cfRule type="timePeriod" dxfId="1261" priority="983" timePeriod="yesterday">
      <formula>FLOOR(R460,1)=TODAY()-1</formula>
    </cfRule>
    <cfRule type="timePeriod" dxfId="1260" priority="984" timePeriod="today">
      <formula>FLOOR(R460,1)=TODAY()</formula>
    </cfRule>
  </conditionalFormatting>
  <conditionalFormatting sqref="R459">
    <cfRule type="timePeriod" dxfId="1259" priority="981" timePeriod="yesterday">
      <formula>FLOOR(R459,1)=TODAY()-1</formula>
    </cfRule>
    <cfRule type="timePeriod" dxfId="1258" priority="982" timePeriod="today">
      <formula>FLOOR(R459,1)=TODAY()</formula>
    </cfRule>
  </conditionalFormatting>
  <conditionalFormatting sqref="R458">
    <cfRule type="timePeriod" dxfId="1257" priority="979" timePeriod="yesterday">
      <formula>FLOOR(R458,1)=TODAY()-1</formula>
    </cfRule>
    <cfRule type="timePeriod" dxfId="1256" priority="980" timePeriod="today">
      <formula>FLOOR(R458,1)=TODAY()</formula>
    </cfRule>
  </conditionalFormatting>
  <conditionalFormatting sqref="R457">
    <cfRule type="timePeriod" dxfId="1255" priority="977" timePeriod="yesterday">
      <formula>FLOOR(R457,1)=TODAY()-1</formula>
    </cfRule>
    <cfRule type="timePeriod" dxfId="1254" priority="978" timePeriod="today">
      <formula>FLOOR(R457,1)=TODAY()</formula>
    </cfRule>
  </conditionalFormatting>
  <conditionalFormatting sqref="R456">
    <cfRule type="timePeriod" dxfId="1253" priority="975" timePeriod="yesterday">
      <formula>FLOOR(R456,1)=TODAY()-1</formula>
    </cfRule>
    <cfRule type="timePeriod" dxfId="1252" priority="976" timePeriod="today">
      <formula>FLOOR(R456,1)=TODAY()</formula>
    </cfRule>
  </conditionalFormatting>
  <conditionalFormatting sqref="R455">
    <cfRule type="timePeriod" dxfId="1251" priority="973" timePeriod="yesterday">
      <formula>FLOOR(R455,1)=TODAY()-1</formula>
    </cfRule>
    <cfRule type="timePeriod" dxfId="1250" priority="974" timePeriod="today">
      <formula>FLOOR(R455,1)=TODAY()</formula>
    </cfRule>
  </conditionalFormatting>
  <conditionalFormatting sqref="R454">
    <cfRule type="timePeriod" dxfId="1249" priority="971" timePeriod="yesterday">
      <formula>FLOOR(R454,1)=TODAY()-1</formula>
    </cfRule>
    <cfRule type="timePeriod" dxfId="1248" priority="972" timePeriod="today">
      <formula>FLOOR(R454,1)=TODAY()</formula>
    </cfRule>
  </conditionalFormatting>
  <conditionalFormatting sqref="R453">
    <cfRule type="timePeriod" dxfId="1247" priority="969" timePeriod="yesterday">
      <formula>FLOOR(R453,1)=TODAY()-1</formula>
    </cfRule>
    <cfRule type="timePeriod" dxfId="1246" priority="970" timePeriod="today">
      <formula>FLOOR(R453,1)=TODAY()</formula>
    </cfRule>
  </conditionalFormatting>
  <conditionalFormatting sqref="R452">
    <cfRule type="timePeriod" dxfId="1245" priority="967" timePeriod="yesterday">
      <formula>FLOOR(R452,1)=TODAY()-1</formula>
    </cfRule>
    <cfRule type="timePeriod" dxfId="1244" priority="968" timePeriod="today">
      <formula>FLOOR(R452,1)=TODAY()</formula>
    </cfRule>
  </conditionalFormatting>
  <conditionalFormatting sqref="R451">
    <cfRule type="timePeriod" dxfId="1243" priority="965" timePeriod="yesterday">
      <formula>FLOOR(R451,1)=TODAY()-1</formula>
    </cfRule>
    <cfRule type="timePeriod" dxfId="1242" priority="966" timePeriod="today">
      <formula>FLOOR(R451,1)=TODAY()</formula>
    </cfRule>
  </conditionalFormatting>
  <conditionalFormatting sqref="R450">
    <cfRule type="timePeriod" dxfId="1241" priority="963" timePeriod="yesterday">
      <formula>FLOOR(R450,1)=TODAY()-1</formula>
    </cfRule>
    <cfRule type="timePeriod" dxfId="1240" priority="964" timePeriod="today">
      <formula>FLOOR(R450,1)=TODAY()</formula>
    </cfRule>
  </conditionalFormatting>
  <conditionalFormatting sqref="R449">
    <cfRule type="timePeriod" dxfId="1239" priority="961" timePeriod="yesterday">
      <formula>FLOOR(R449,1)=TODAY()-1</formula>
    </cfRule>
    <cfRule type="timePeriod" dxfId="1238" priority="962" timePeriod="today">
      <formula>FLOOR(R449,1)=TODAY()</formula>
    </cfRule>
  </conditionalFormatting>
  <conditionalFormatting sqref="R448">
    <cfRule type="timePeriod" dxfId="1237" priority="957" timePeriod="yesterday">
      <formula>FLOOR(R448,1)=TODAY()-1</formula>
    </cfRule>
    <cfRule type="timePeriod" dxfId="1236" priority="958" timePeriod="today">
      <formula>FLOOR(R448,1)=TODAY()</formula>
    </cfRule>
  </conditionalFormatting>
  <conditionalFormatting sqref="R447">
    <cfRule type="timePeriod" dxfId="1235" priority="955" timePeriod="yesterday">
      <formula>FLOOR(R447,1)=TODAY()-1</formula>
    </cfRule>
    <cfRule type="timePeriod" dxfId="1234" priority="956" timePeriod="today">
      <formula>FLOOR(R447,1)=TODAY()</formula>
    </cfRule>
  </conditionalFormatting>
  <conditionalFormatting sqref="R446">
    <cfRule type="timePeriod" dxfId="1233" priority="953" timePeriod="yesterday">
      <formula>FLOOR(R446,1)=TODAY()-1</formula>
    </cfRule>
    <cfRule type="timePeriod" dxfId="1232" priority="954" timePeriod="today">
      <formula>FLOOR(R446,1)=TODAY()</formula>
    </cfRule>
  </conditionalFormatting>
  <conditionalFormatting sqref="R445">
    <cfRule type="timePeriod" dxfId="1231" priority="951" timePeriod="yesterday">
      <formula>FLOOR(R445,1)=TODAY()-1</formula>
    </cfRule>
    <cfRule type="timePeriod" dxfId="1230" priority="952" timePeriod="today">
      <formula>FLOOR(R445,1)=TODAY()</formula>
    </cfRule>
  </conditionalFormatting>
  <conditionalFormatting sqref="R444">
    <cfRule type="timePeriod" dxfId="1229" priority="949" timePeriod="yesterday">
      <formula>FLOOR(R444,1)=TODAY()-1</formula>
    </cfRule>
    <cfRule type="timePeriod" dxfId="1228" priority="950" timePeriod="today">
      <formula>FLOOR(R444,1)=TODAY()</formula>
    </cfRule>
  </conditionalFormatting>
  <conditionalFormatting sqref="R443">
    <cfRule type="timePeriod" dxfId="1227" priority="947" timePeriod="yesterday">
      <formula>FLOOR(R443,1)=TODAY()-1</formula>
    </cfRule>
    <cfRule type="timePeriod" dxfId="1226" priority="948" timePeriod="today">
      <formula>FLOOR(R443,1)=TODAY()</formula>
    </cfRule>
  </conditionalFormatting>
  <conditionalFormatting sqref="R442">
    <cfRule type="timePeriod" dxfId="1225" priority="945" timePeriod="yesterday">
      <formula>FLOOR(R442,1)=TODAY()-1</formula>
    </cfRule>
    <cfRule type="timePeriod" dxfId="1224" priority="946" timePeriod="today">
      <formula>FLOOR(R442,1)=TODAY()</formula>
    </cfRule>
  </conditionalFormatting>
  <conditionalFormatting sqref="R441">
    <cfRule type="timePeriod" dxfId="1223" priority="943" timePeriod="yesterday">
      <formula>FLOOR(R441,1)=TODAY()-1</formula>
    </cfRule>
    <cfRule type="timePeriod" dxfId="1222" priority="944" timePeriod="today">
      <formula>FLOOR(R441,1)=TODAY()</formula>
    </cfRule>
  </conditionalFormatting>
  <conditionalFormatting sqref="R440">
    <cfRule type="timePeriod" dxfId="1221" priority="941" timePeriod="yesterday">
      <formula>FLOOR(R440,1)=TODAY()-1</formula>
    </cfRule>
    <cfRule type="timePeriod" dxfId="1220" priority="942" timePeriod="today">
      <formula>FLOOR(R440,1)=TODAY()</formula>
    </cfRule>
  </conditionalFormatting>
  <conditionalFormatting sqref="R439">
    <cfRule type="timePeriod" dxfId="1219" priority="939" timePeriod="yesterday">
      <formula>FLOOR(R439,1)=TODAY()-1</formula>
    </cfRule>
    <cfRule type="timePeriod" dxfId="1218" priority="940" timePeriod="today">
      <formula>FLOOR(R439,1)=TODAY()</formula>
    </cfRule>
  </conditionalFormatting>
  <conditionalFormatting sqref="R438">
    <cfRule type="timePeriod" dxfId="1217" priority="937" timePeriod="yesterday">
      <formula>FLOOR(R438,1)=TODAY()-1</formula>
    </cfRule>
    <cfRule type="timePeriod" dxfId="1216" priority="938" timePeriod="today">
      <formula>FLOOR(R438,1)=TODAY()</formula>
    </cfRule>
  </conditionalFormatting>
  <conditionalFormatting sqref="R437">
    <cfRule type="timePeriod" dxfId="1215" priority="935" timePeriod="yesterday">
      <formula>FLOOR(R437,1)=TODAY()-1</formula>
    </cfRule>
    <cfRule type="timePeriod" dxfId="1214" priority="936" timePeriod="today">
      <formula>FLOOR(R437,1)=TODAY()</formula>
    </cfRule>
  </conditionalFormatting>
  <conditionalFormatting sqref="R436">
    <cfRule type="timePeriod" dxfId="1213" priority="933" timePeriod="yesterday">
      <formula>FLOOR(R436,1)=TODAY()-1</formula>
    </cfRule>
    <cfRule type="timePeriod" dxfId="1212" priority="934" timePeriod="today">
      <formula>FLOOR(R436,1)=TODAY()</formula>
    </cfRule>
  </conditionalFormatting>
  <conditionalFormatting sqref="R435">
    <cfRule type="timePeriod" dxfId="1211" priority="931" timePeriod="yesterday">
      <formula>FLOOR(R435,1)=TODAY()-1</formula>
    </cfRule>
    <cfRule type="timePeriod" dxfId="1210" priority="932" timePeriod="today">
      <formula>FLOOR(R435,1)=TODAY()</formula>
    </cfRule>
  </conditionalFormatting>
  <conditionalFormatting sqref="R434">
    <cfRule type="timePeriod" dxfId="1209" priority="929" timePeriod="yesterday">
      <formula>FLOOR(R434,1)=TODAY()-1</formula>
    </cfRule>
    <cfRule type="timePeriod" dxfId="1208" priority="930" timePeriod="today">
      <formula>FLOOR(R434,1)=TODAY()</formula>
    </cfRule>
  </conditionalFormatting>
  <conditionalFormatting sqref="R433">
    <cfRule type="timePeriod" dxfId="1207" priority="927" timePeriod="yesterday">
      <formula>FLOOR(R433,1)=TODAY()-1</formula>
    </cfRule>
    <cfRule type="timePeriod" dxfId="1206" priority="928" timePeriod="today">
      <formula>FLOOR(R433,1)=TODAY()</formula>
    </cfRule>
  </conditionalFormatting>
  <conditionalFormatting sqref="R432">
    <cfRule type="timePeriod" dxfId="1205" priority="925" timePeriod="yesterday">
      <formula>FLOOR(R432,1)=TODAY()-1</formula>
    </cfRule>
    <cfRule type="timePeriod" dxfId="1204" priority="926" timePeriod="today">
      <formula>FLOOR(R432,1)=TODAY()</formula>
    </cfRule>
  </conditionalFormatting>
  <conditionalFormatting sqref="R431">
    <cfRule type="timePeriod" dxfId="1203" priority="923" timePeriod="yesterday">
      <formula>FLOOR(R431,1)=TODAY()-1</formula>
    </cfRule>
    <cfRule type="timePeriod" dxfId="1202" priority="924" timePeriod="today">
      <formula>FLOOR(R431,1)=TODAY()</formula>
    </cfRule>
  </conditionalFormatting>
  <conditionalFormatting sqref="R430">
    <cfRule type="timePeriod" dxfId="1201" priority="921" timePeriod="yesterday">
      <formula>FLOOR(R430,1)=TODAY()-1</formula>
    </cfRule>
    <cfRule type="timePeriod" dxfId="1200" priority="922" timePeriod="today">
      <formula>FLOOR(R430,1)=TODAY()</formula>
    </cfRule>
  </conditionalFormatting>
  <conditionalFormatting sqref="R429">
    <cfRule type="timePeriod" dxfId="1199" priority="919" timePeriod="yesterday">
      <formula>FLOOR(R429,1)=TODAY()-1</formula>
    </cfRule>
    <cfRule type="timePeriod" dxfId="1198" priority="920" timePeriod="today">
      <formula>FLOOR(R429,1)=TODAY()</formula>
    </cfRule>
  </conditionalFormatting>
  <conditionalFormatting sqref="R428">
    <cfRule type="timePeriod" dxfId="1197" priority="917" timePeriod="yesterday">
      <formula>FLOOR(R428,1)=TODAY()-1</formula>
    </cfRule>
    <cfRule type="timePeriod" dxfId="1196" priority="918" timePeriod="today">
      <formula>FLOOR(R428,1)=TODAY()</formula>
    </cfRule>
  </conditionalFormatting>
  <conditionalFormatting sqref="R427">
    <cfRule type="timePeriod" dxfId="1195" priority="915" timePeriod="yesterday">
      <formula>FLOOR(R427,1)=TODAY()-1</formula>
    </cfRule>
    <cfRule type="timePeriod" dxfId="1194" priority="916" timePeriod="today">
      <formula>FLOOR(R427,1)=TODAY()</formula>
    </cfRule>
  </conditionalFormatting>
  <conditionalFormatting sqref="R426">
    <cfRule type="timePeriod" dxfId="1193" priority="913" timePeriod="yesterday">
      <formula>FLOOR(R426,1)=TODAY()-1</formula>
    </cfRule>
    <cfRule type="timePeriod" dxfId="1192" priority="914" timePeriod="today">
      <formula>FLOOR(R426,1)=TODAY()</formula>
    </cfRule>
  </conditionalFormatting>
  <conditionalFormatting sqref="R425">
    <cfRule type="timePeriod" dxfId="1191" priority="911" timePeriod="yesterday">
      <formula>FLOOR(R425,1)=TODAY()-1</formula>
    </cfRule>
    <cfRule type="timePeriod" dxfId="1190" priority="912" timePeriod="today">
      <formula>FLOOR(R425,1)=TODAY()</formula>
    </cfRule>
  </conditionalFormatting>
  <conditionalFormatting sqref="R424">
    <cfRule type="timePeriod" dxfId="1189" priority="909" timePeriod="yesterday">
      <formula>FLOOR(R424,1)=TODAY()-1</formula>
    </cfRule>
    <cfRule type="timePeriod" dxfId="1188" priority="910" timePeriod="today">
      <formula>FLOOR(R424,1)=TODAY()</formula>
    </cfRule>
  </conditionalFormatting>
  <conditionalFormatting sqref="R423">
    <cfRule type="timePeriod" dxfId="1187" priority="907" timePeriod="yesterday">
      <formula>FLOOR(R423,1)=TODAY()-1</formula>
    </cfRule>
    <cfRule type="timePeriod" dxfId="1186" priority="908" timePeriod="today">
      <formula>FLOOR(R423,1)=TODAY()</formula>
    </cfRule>
  </conditionalFormatting>
  <conditionalFormatting sqref="R422">
    <cfRule type="timePeriod" dxfId="1185" priority="905" timePeriod="yesterday">
      <formula>FLOOR(R422,1)=TODAY()-1</formula>
    </cfRule>
    <cfRule type="timePeriod" dxfId="1184" priority="906" timePeriod="today">
      <formula>FLOOR(R422,1)=TODAY()</formula>
    </cfRule>
  </conditionalFormatting>
  <conditionalFormatting sqref="R421">
    <cfRule type="timePeriod" dxfId="1183" priority="903" timePeriod="yesterday">
      <formula>FLOOR(R421,1)=TODAY()-1</formula>
    </cfRule>
    <cfRule type="timePeriod" dxfId="1182" priority="904" timePeriod="today">
      <formula>FLOOR(R421,1)=TODAY()</formula>
    </cfRule>
  </conditionalFormatting>
  <conditionalFormatting sqref="R420">
    <cfRule type="timePeriod" dxfId="1181" priority="901" timePeriod="yesterday">
      <formula>FLOOR(R420,1)=TODAY()-1</formula>
    </cfRule>
    <cfRule type="timePeriod" dxfId="1180" priority="902" timePeriod="today">
      <formula>FLOOR(R420,1)=TODAY()</formula>
    </cfRule>
  </conditionalFormatting>
  <conditionalFormatting sqref="R419">
    <cfRule type="timePeriod" dxfId="1179" priority="899" timePeriod="yesterday">
      <formula>FLOOR(R419,1)=TODAY()-1</formula>
    </cfRule>
    <cfRule type="timePeriod" dxfId="1178" priority="900" timePeriod="today">
      <formula>FLOOR(R419,1)=TODAY()</formula>
    </cfRule>
  </conditionalFormatting>
  <conditionalFormatting sqref="R418">
    <cfRule type="timePeriod" dxfId="1177" priority="897" timePeriod="yesterday">
      <formula>FLOOR(R418,1)=TODAY()-1</formula>
    </cfRule>
    <cfRule type="timePeriod" dxfId="1176" priority="898" timePeriod="today">
      <formula>FLOOR(R418,1)=TODAY()</formula>
    </cfRule>
  </conditionalFormatting>
  <conditionalFormatting sqref="R417">
    <cfRule type="timePeriod" dxfId="1175" priority="895" timePeriod="yesterday">
      <formula>FLOOR(R417,1)=TODAY()-1</formula>
    </cfRule>
    <cfRule type="timePeriod" dxfId="1174" priority="896" timePeriod="today">
      <formula>FLOOR(R417,1)=TODAY()</formula>
    </cfRule>
  </conditionalFormatting>
  <conditionalFormatting sqref="R416">
    <cfRule type="timePeriod" dxfId="1173" priority="893" timePeriod="yesterday">
      <formula>FLOOR(R416,1)=TODAY()-1</formula>
    </cfRule>
    <cfRule type="timePeriod" dxfId="1172" priority="894" timePeriod="today">
      <formula>FLOOR(R416,1)=TODAY()</formula>
    </cfRule>
  </conditionalFormatting>
  <conditionalFormatting sqref="R415">
    <cfRule type="timePeriod" dxfId="1171" priority="891" timePeriod="yesterday">
      <formula>FLOOR(R415,1)=TODAY()-1</formula>
    </cfRule>
    <cfRule type="timePeriod" dxfId="1170" priority="892" timePeriod="today">
      <formula>FLOOR(R415,1)=TODAY()</formula>
    </cfRule>
  </conditionalFormatting>
  <conditionalFormatting sqref="R414">
    <cfRule type="timePeriod" dxfId="1169" priority="889" timePeriod="yesterday">
      <formula>FLOOR(R414,1)=TODAY()-1</formula>
    </cfRule>
    <cfRule type="timePeriod" dxfId="1168" priority="890" timePeriod="today">
      <formula>FLOOR(R414,1)=TODAY()</formula>
    </cfRule>
  </conditionalFormatting>
  <conditionalFormatting sqref="R413">
    <cfRule type="timePeriod" dxfId="1167" priority="887" timePeriod="yesterday">
      <formula>FLOOR(R413,1)=TODAY()-1</formula>
    </cfRule>
    <cfRule type="timePeriod" dxfId="1166" priority="888" timePeriod="today">
      <formula>FLOOR(R413,1)=TODAY()</formula>
    </cfRule>
  </conditionalFormatting>
  <conditionalFormatting sqref="R412">
    <cfRule type="timePeriod" dxfId="1165" priority="885" timePeriod="yesterday">
      <formula>FLOOR(R412,1)=TODAY()-1</formula>
    </cfRule>
    <cfRule type="timePeriod" dxfId="1164" priority="886" timePeriod="today">
      <formula>FLOOR(R412,1)=TODAY()</formula>
    </cfRule>
  </conditionalFormatting>
  <conditionalFormatting sqref="R411">
    <cfRule type="timePeriod" dxfId="1163" priority="881" timePeriod="yesterday">
      <formula>FLOOR(R411,1)=TODAY()-1</formula>
    </cfRule>
    <cfRule type="timePeriod" dxfId="1162" priority="882" timePeriod="today">
      <formula>FLOOR(R411,1)=TODAY()</formula>
    </cfRule>
  </conditionalFormatting>
  <conditionalFormatting sqref="R410">
    <cfRule type="timePeriod" dxfId="1161" priority="879" timePeriod="yesterday">
      <formula>FLOOR(R410,1)=TODAY()-1</formula>
    </cfRule>
    <cfRule type="timePeriod" dxfId="1160" priority="880" timePeriod="today">
      <formula>FLOOR(R410,1)=TODAY()</formula>
    </cfRule>
  </conditionalFormatting>
  <conditionalFormatting sqref="R409">
    <cfRule type="timePeriod" dxfId="1159" priority="877" timePeriod="yesterday">
      <formula>FLOOR(R409,1)=TODAY()-1</formula>
    </cfRule>
    <cfRule type="timePeriod" dxfId="1158" priority="878" timePeriod="today">
      <formula>FLOOR(R409,1)=TODAY()</formula>
    </cfRule>
  </conditionalFormatting>
  <conditionalFormatting sqref="R408">
    <cfRule type="timePeriod" dxfId="1157" priority="875" timePeriod="yesterday">
      <formula>FLOOR(R408,1)=TODAY()-1</formula>
    </cfRule>
    <cfRule type="timePeriod" dxfId="1156" priority="876" timePeriod="today">
      <formula>FLOOR(R408,1)=TODAY()</formula>
    </cfRule>
  </conditionalFormatting>
  <conditionalFormatting sqref="R407">
    <cfRule type="timePeriod" dxfId="1155" priority="873" timePeriod="yesterday">
      <formula>FLOOR(R407,1)=TODAY()-1</formula>
    </cfRule>
    <cfRule type="timePeriod" dxfId="1154" priority="874" timePeriod="today">
      <formula>FLOOR(R407,1)=TODAY()</formula>
    </cfRule>
  </conditionalFormatting>
  <conditionalFormatting sqref="R406">
    <cfRule type="timePeriod" dxfId="1153" priority="871" timePeriod="yesterday">
      <formula>FLOOR(R406,1)=TODAY()-1</formula>
    </cfRule>
    <cfRule type="timePeriod" dxfId="1152" priority="872" timePeriod="today">
      <formula>FLOOR(R406,1)=TODAY()</formula>
    </cfRule>
  </conditionalFormatting>
  <conditionalFormatting sqref="R405">
    <cfRule type="timePeriod" dxfId="1151" priority="869" timePeriod="yesterday">
      <formula>FLOOR(R405,1)=TODAY()-1</formula>
    </cfRule>
    <cfRule type="timePeriod" dxfId="1150" priority="870" timePeriod="today">
      <formula>FLOOR(R405,1)=TODAY()</formula>
    </cfRule>
  </conditionalFormatting>
  <conditionalFormatting sqref="R404">
    <cfRule type="timePeriod" dxfId="1149" priority="867" timePeriod="yesterday">
      <formula>FLOOR(R404,1)=TODAY()-1</formula>
    </cfRule>
    <cfRule type="timePeriod" dxfId="1148" priority="868" timePeriod="today">
      <formula>FLOOR(R404,1)=TODAY()</formula>
    </cfRule>
  </conditionalFormatting>
  <conditionalFormatting sqref="R403">
    <cfRule type="timePeriod" dxfId="1147" priority="865" timePeriod="yesterday">
      <formula>FLOOR(R403,1)=TODAY()-1</formula>
    </cfRule>
    <cfRule type="timePeriod" dxfId="1146" priority="866" timePeriod="today">
      <formula>FLOOR(R403,1)=TODAY()</formula>
    </cfRule>
  </conditionalFormatting>
  <conditionalFormatting sqref="R402">
    <cfRule type="timePeriod" dxfId="1145" priority="863" timePeriod="yesterday">
      <formula>FLOOR(R402,1)=TODAY()-1</formula>
    </cfRule>
    <cfRule type="timePeriod" dxfId="1144" priority="864" timePeriod="today">
      <formula>FLOOR(R402,1)=TODAY()</formula>
    </cfRule>
  </conditionalFormatting>
  <conditionalFormatting sqref="R401">
    <cfRule type="timePeriod" dxfId="1143" priority="861" timePeriod="yesterday">
      <formula>FLOOR(R401,1)=TODAY()-1</formula>
    </cfRule>
    <cfRule type="timePeriod" dxfId="1142" priority="862" timePeriod="today">
      <formula>FLOOR(R401,1)=TODAY()</formula>
    </cfRule>
  </conditionalFormatting>
  <conditionalFormatting sqref="R400">
    <cfRule type="timePeriod" dxfId="1141" priority="859" timePeriod="yesterday">
      <formula>FLOOR(R400,1)=TODAY()-1</formula>
    </cfRule>
    <cfRule type="timePeriod" dxfId="1140" priority="860" timePeriod="today">
      <formula>FLOOR(R400,1)=TODAY()</formula>
    </cfRule>
  </conditionalFormatting>
  <conditionalFormatting sqref="R399">
    <cfRule type="timePeriod" dxfId="1139" priority="857" timePeriod="yesterday">
      <formula>FLOOR(R399,1)=TODAY()-1</formula>
    </cfRule>
    <cfRule type="timePeriod" dxfId="1138" priority="858" timePeriod="today">
      <formula>FLOOR(R399,1)=TODAY()</formula>
    </cfRule>
  </conditionalFormatting>
  <conditionalFormatting sqref="R398">
    <cfRule type="timePeriod" dxfId="1137" priority="855" timePeriod="yesterday">
      <formula>FLOOR(R398,1)=TODAY()-1</formula>
    </cfRule>
    <cfRule type="timePeriod" dxfId="1136" priority="856" timePeriod="today">
      <formula>FLOOR(R398,1)=TODAY()</formula>
    </cfRule>
  </conditionalFormatting>
  <conditionalFormatting sqref="R397">
    <cfRule type="timePeriod" dxfId="1135" priority="853" timePeriod="yesterday">
      <formula>FLOOR(R397,1)=TODAY()-1</formula>
    </cfRule>
    <cfRule type="timePeriod" dxfId="1134" priority="854" timePeriod="today">
      <formula>FLOOR(R397,1)=TODAY()</formula>
    </cfRule>
  </conditionalFormatting>
  <conditionalFormatting sqref="R396">
    <cfRule type="timePeriod" dxfId="1133" priority="851" timePeriod="yesterday">
      <formula>FLOOR(R396,1)=TODAY()-1</formula>
    </cfRule>
    <cfRule type="timePeriod" dxfId="1132" priority="852" timePeriod="today">
      <formula>FLOOR(R396,1)=TODAY()</formula>
    </cfRule>
  </conditionalFormatting>
  <conditionalFormatting sqref="R395">
    <cfRule type="timePeriod" dxfId="1131" priority="849" timePeriod="yesterday">
      <formula>FLOOR(R395,1)=TODAY()-1</formula>
    </cfRule>
    <cfRule type="timePeriod" dxfId="1130" priority="850" timePeriod="today">
      <formula>FLOOR(R395,1)=TODAY()</formula>
    </cfRule>
  </conditionalFormatting>
  <conditionalFormatting sqref="R394">
    <cfRule type="timePeriod" dxfId="1129" priority="847" timePeriod="yesterday">
      <formula>FLOOR(R394,1)=TODAY()-1</formula>
    </cfRule>
    <cfRule type="timePeriod" dxfId="1128" priority="848" timePeriod="today">
      <formula>FLOOR(R394,1)=TODAY()</formula>
    </cfRule>
  </conditionalFormatting>
  <conditionalFormatting sqref="R393">
    <cfRule type="timePeriod" dxfId="1127" priority="845" timePeriod="yesterday">
      <formula>FLOOR(R393,1)=TODAY()-1</formula>
    </cfRule>
    <cfRule type="timePeriod" dxfId="1126" priority="846" timePeriod="today">
      <formula>FLOOR(R393,1)=TODAY()</formula>
    </cfRule>
  </conditionalFormatting>
  <conditionalFormatting sqref="R392">
    <cfRule type="timePeriod" dxfId="1125" priority="843" timePeriod="yesterday">
      <formula>FLOOR(R392,1)=TODAY()-1</formula>
    </cfRule>
    <cfRule type="timePeriod" dxfId="1124" priority="844" timePeriod="today">
      <formula>FLOOR(R392,1)=TODAY()</formula>
    </cfRule>
  </conditionalFormatting>
  <conditionalFormatting sqref="R391">
    <cfRule type="timePeriod" dxfId="1123" priority="841" timePeriod="yesterday">
      <formula>FLOOR(R391,1)=TODAY()-1</formula>
    </cfRule>
    <cfRule type="timePeriod" dxfId="1122" priority="842" timePeriod="today">
      <formula>FLOOR(R391,1)=TODAY()</formula>
    </cfRule>
  </conditionalFormatting>
  <conditionalFormatting sqref="R390">
    <cfRule type="timePeriod" dxfId="1121" priority="839" timePeriod="yesterday">
      <formula>FLOOR(R390,1)=TODAY()-1</formula>
    </cfRule>
    <cfRule type="timePeriod" dxfId="1120" priority="840" timePeriod="today">
      <formula>FLOOR(R390,1)=TODAY()</formula>
    </cfRule>
  </conditionalFormatting>
  <conditionalFormatting sqref="R389">
    <cfRule type="timePeriod" dxfId="1119" priority="837" timePeriod="yesterday">
      <formula>FLOOR(R389,1)=TODAY()-1</formula>
    </cfRule>
    <cfRule type="timePeriod" dxfId="1118" priority="838" timePeriod="today">
      <formula>FLOOR(R389,1)=TODAY()</formula>
    </cfRule>
  </conditionalFormatting>
  <conditionalFormatting sqref="R388">
    <cfRule type="timePeriod" dxfId="1117" priority="835" timePeriod="yesterday">
      <formula>FLOOR(R388,1)=TODAY()-1</formula>
    </cfRule>
    <cfRule type="timePeriod" dxfId="1116" priority="836" timePeriod="today">
      <formula>FLOOR(R388,1)=TODAY()</formula>
    </cfRule>
  </conditionalFormatting>
  <conditionalFormatting sqref="R387">
    <cfRule type="timePeriod" dxfId="1115" priority="833" timePeriod="yesterday">
      <formula>FLOOR(R387,1)=TODAY()-1</formula>
    </cfRule>
    <cfRule type="timePeriod" dxfId="1114" priority="834" timePeriod="today">
      <formula>FLOOR(R387,1)=TODAY()</formula>
    </cfRule>
  </conditionalFormatting>
  <conditionalFormatting sqref="R386">
    <cfRule type="timePeriod" dxfId="1113" priority="831" timePeriod="yesterday">
      <formula>FLOOR(R386,1)=TODAY()-1</formula>
    </cfRule>
    <cfRule type="timePeriod" dxfId="1112" priority="832" timePeriod="today">
      <formula>FLOOR(R386,1)=TODAY()</formula>
    </cfRule>
  </conditionalFormatting>
  <conditionalFormatting sqref="R385">
    <cfRule type="timePeriod" dxfId="1111" priority="829" timePeriod="yesterday">
      <formula>FLOOR(R385,1)=TODAY()-1</formula>
    </cfRule>
    <cfRule type="timePeriod" dxfId="1110" priority="830" timePeriod="today">
      <formula>FLOOR(R385,1)=TODAY()</formula>
    </cfRule>
  </conditionalFormatting>
  <conditionalFormatting sqref="R384">
    <cfRule type="timePeriod" dxfId="1109" priority="827" timePeriod="yesterday">
      <formula>FLOOR(R384,1)=TODAY()-1</formula>
    </cfRule>
    <cfRule type="timePeriod" dxfId="1108" priority="828" timePeriod="today">
      <formula>FLOOR(R384,1)=TODAY()</formula>
    </cfRule>
  </conditionalFormatting>
  <conditionalFormatting sqref="R383">
    <cfRule type="timePeriod" dxfId="1107" priority="825" timePeriod="yesterday">
      <formula>FLOOR(R383,1)=TODAY()-1</formula>
    </cfRule>
    <cfRule type="timePeriod" dxfId="1106" priority="826" timePeriod="today">
      <formula>FLOOR(R383,1)=TODAY()</formula>
    </cfRule>
  </conditionalFormatting>
  <conditionalFormatting sqref="R382">
    <cfRule type="timePeriod" dxfId="1105" priority="823" timePeriod="yesterday">
      <formula>FLOOR(R382,1)=TODAY()-1</formula>
    </cfRule>
    <cfRule type="timePeriod" dxfId="1104" priority="824" timePeriod="today">
      <formula>FLOOR(R382,1)=TODAY()</formula>
    </cfRule>
  </conditionalFormatting>
  <conditionalFormatting sqref="R381">
    <cfRule type="timePeriod" dxfId="1103" priority="821" timePeriod="yesterday">
      <formula>FLOOR(R381,1)=TODAY()-1</formula>
    </cfRule>
    <cfRule type="timePeriod" dxfId="1102" priority="822" timePeriod="today">
      <formula>FLOOR(R381,1)=TODAY()</formula>
    </cfRule>
  </conditionalFormatting>
  <conditionalFormatting sqref="R380">
    <cfRule type="timePeriod" dxfId="1101" priority="819" timePeriod="yesterday">
      <formula>FLOOR(R380,1)=TODAY()-1</formula>
    </cfRule>
    <cfRule type="timePeriod" dxfId="1100" priority="820" timePeriod="today">
      <formula>FLOOR(R380,1)=TODAY()</formula>
    </cfRule>
  </conditionalFormatting>
  <conditionalFormatting sqref="R379">
    <cfRule type="timePeriod" dxfId="1099" priority="817" timePeriod="yesterday">
      <formula>FLOOR(R379,1)=TODAY()-1</formula>
    </cfRule>
    <cfRule type="timePeriod" dxfId="1098" priority="818" timePeriod="today">
      <formula>FLOOR(R379,1)=TODAY()</formula>
    </cfRule>
  </conditionalFormatting>
  <conditionalFormatting sqref="R378">
    <cfRule type="timePeriod" dxfId="1097" priority="815" timePeriod="yesterday">
      <formula>FLOOR(R378,1)=TODAY()-1</formula>
    </cfRule>
    <cfRule type="timePeriod" dxfId="1096" priority="816" timePeriod="today">
      <formula>FLOOR(R378,1)=TODAY()</formula>
    </cfRule>
  </conditionalFormatting>
  <conditionalFormatting sqref="R377">
    <cfRule type="timePeriod" dxfId="1095" priority="813" timePeriod="yesterday">
      <formula>FLOOR(R377,1)=TODAY()-1</formula>
    </cfRule>
    <cfRule type="timePeriod" dxfId="1094" priority="814" timePeriod="today">
      <formula>FLOOR(R377,1)=TODAY()</formula>
    </cfRule>
  </conditionalFormatting>
  <conditionalFormatting sqref="R376">
    <cfRule type="timePeriod" dxfId="1093" priority="811" timePeriod="yesterday">
      <formula>FLOOR(R376,1)=TODAY()-1</formula>
    </cfRule>
    <cfRule type="timePeriod" dxfId="1092" priority="812" timePeriod="today">
      <formula>FLOOR(R376,1)=TODAY()</formula>
    </cfRule>
  </conditionalFormatting>
  <conditionalFormatting sqref="R375">
    <cfRule type="timePeriod" dxfId="1091" priority="809" timePeriod="yesterday">
      <formula>FLOOR(R375,1)=TODAY()-1</formula>
    </cfRule>
    <cfRule type="timePeriod" dxfId="1090" priority="810" timePeriod="today">
      <formula>FLOOR(R375,1)=TODAY()</formula>
    </cfRule>
  </conditionalFormatting>
  <conditionalFormatting sqref="R374">
    <cfRule type="timePeriod" dxfId="1089" priority="807" timePeriod="yesterday">
      <formula>FLOOR(R374,1)=TODAY()-1</formula>
    </cfRule>
    <cfRule type="timePeriod" dxfId="1088" priority="808" timePeriod="today">
      <formula>FLOOR(R374,1)=TODAY()</formula>
    </cfRule>
  </conditionalFormatting>
  <conditionalFormatting sqref="R373">
    <cfRule type="timePeriod" dxfId="1087" priority="805" timePeriod="yesterday">
      <formula>FLOOR(R373,1)=TODAY()-1</formula>
    </cfRule>
    <cfRule type="timePeriod" dxfId="1086" priority="806" timePeriod="today">
      <formula>FLOOR(R373,1)=TODAY()</formula>
    </cfRule>
  </conditionalFormatting>
  <conditionalFormatting sqref="R372">
    <cfRule type="timePeriod" dxfId="1085" priority="803" timePeriod="yesterday">
      <formula>FLOOR(R372,1)=TODAY()-1</formula>
    </cfRule>
    <cfRule type="timePeriod" dxfId="1084" priority="804" timePeriod="today">
      <formula>FLOOR(R372,1)=TODAY()</formula>
    </cfRule>
  </conditionalFormatting>
  <conditionalFormatting sqref="R371">
    <cfRule type="timePeriod" dxfId="1083" priority="801" timePeriod="yesterday">
      <formula>FLOOR(R371,1)=TODAY()-1</formula>
    </cfRule>
    <cfRule type="timePeriod" dxfId="1082" priority="802" timePeriod="today">
      <formula>FLOOR(R371,1)=TODAY()</formula>
    </cfRule>
  </conditionalFormatting>
  <conditionalFormatting sqref="R370">
    <cfRule type="timePeriod" dxfId="1081" priority="799" timePeriod="yesterday">
      <formula>FLOOR(R370,1)=TODAY()-1</formula>
    </cfRule>
    <cfRule type="timePeriod" dxfId="1080" priority="800" timePeriod="today">
      <formula>FLOOR(R370,1)=TODAY()</formula>
    </cfRule>
  </conditionalFormatting>
  <conditionalFormatting sqref="R369">
    <cfRule type="timePeriod" dxfId="1079" priority="797" timePeriod="yesterday">
      <formula>FLOOR(R369,1)=TODAY()-1</formula>
    </cfRule>
    <cfRule type="timePeriod" dxfId="1078" priority="798" timePeriod="today">
      <formula>FLOOR(R369,1)=TODAY()</formula>
    </cfRule>
  </conditionalFormatting>
  <conditionalFormatting sqref="R368">
    <cfRule type="timePeriod" dxfId="1077" priority="795" timePeriod="yesterday">
      <formula>FLOOR(R368,1)=TODAY()-1</formula>
    </cfRule>
    <cfRule type="timePeriod" dxfId="1076" priority="796" timePeriod="today">
      <formula>FLOOR(R368,1)=TODAY()</formula>
    </cfRule>
  </conditionalFormatting>
  <conditionalFormatting sqref="R367">
    <cfRule type="timePeriod" dxfId="1075" priority="793" timePeriod="yesterday">
      <formula>FLOOR(R367,1)=TODAY()-1</formula>
    </cfRule>
    <cfRule type="timePeriod" dxfId="1074" priority="794" timePeriod="today">
      <formula>FLOOR(R367,1)=TODAY()</formula>
    </cfRule>
  </conditionalFormatting>
  <conditionalFormatting sqref="R366">
    <cfRule type="timePeriod" dxfId="1073" priority="791" timePeriod="yesterday">
      <formula>FLOOR(R366,1)=TODAY()-1</formula>
    </cfRule>
    <cfRule type="timePeriod" dxfId="1072" priority="792" timePeriod="today">
      <formula>FLOOR(R366,1)=TODAY()</formula>
    </cfRule>
  </conditionalFormatting>
  <conditionalFormatting sqref="R365">
    <cfRule type="timePeriod" dxfId="1071" priority="789" timePeriod="yesterday">
      <formula>FLOOR(R365,1)=TODAY()-1</formula>
    </cfRule>
    <cfRule type="timePeriod" dxfId="1070" priority="790" timePeriod="today">
      <formula>FLOOR(R365,1)=TODAY()</formula>
    </cfRule>
  </conditionalFormatting>
  <conditionalFormatting sqref="R364">
    <cfRule type="timePeriod" dxfId="1069" priority="787" timePeriod="yesterday">
      <formula>FLOOR(R364,1)=TODAY()-1</formula>
    </cfRule>
    <cfRule type="timePeriod" dxfId="1068" priority="788" timePeriod="today">
      <formula>FLOOR(R364,1)=TODAY()</formula>
    </cfRule>
  </conditionalFormatting>
  <conditionalFormatting sqref="R363">
    <cfRule type="timePeriod" dxfId="1067" priority="785" timePeriod="yesterday">
      <formula>FLOOR(R363,1)=TODAY()-1</formula>
    </cfRule>
    <cfRule type="timePeriod" dxfId="1066" priority="786" timePeriod="today">
      <formula>FLOOR(R363,1)=TODAY()</formula>
    </cfRule>
  </conditionalFormatting>
  <conditionalFormatting sqref="R362">
    <cfRule type="timePeriod" dxfId="1065" priority="783" timePeriod="yesterday">
      <formula>FLOOR(R362,1)=TODAY()-1</formula>
    </cfRule>
    <cfRule type="timePeriod" dxfId="1064" priority="784" timePeriod="today">
      <formula>FLOOR(R362,1)=TODAY()</formula>
    </cfRule>
  </conditionalFormatting>
  <conditionalFormatting sqref="R361">
    <cfRule type="timePeriod" dxfId="1063" priority="781" timePeriod="yesterday">
      <formula>FLOOR(R361,1)=TODAY()-1</formula>
    </cfRule>
    <cfRule type="timePeriod" dxfId="1062" priority="782" timePeriod="today">
      <formula>FLOOR(R361,1)=TODAY()</formula>
    </cfRule>
  </conditionalFormatting>
  <conditionalFormatting sqref="R360">
    <cfRule type="timePeriod" dxfId="1061" priority="779" timePeriod="yesterday">
      <formula>FLOOR(R360,1)=TODAY()-1</formula>
    </cfRule>
    <cfRule type="timePeriod" dxfId="1060" priority="780" timePeriod="today">
      <formula>FLOOR(R360,1)=TODAY()</formula>
    </cfRule>
  </conditionalFormatting>
  <conditionalFormatting sqref="R359">
    <cfRule type="timePeriod" dxfId="1059" priority="777" timePeriod="yesterday">
      <formula>FLOOR(R359,1)=TODAY()-1</formula>
    </cfRule>
    <cfRule type="timePeriod" dxfId="1058" priority="778" timePeriod="today">
      <formula>FLOOR(R359,1)=TODAY()</formula>
    </cfRule>
  </conditionalFormatting>
  <conditionalFormatting sqref="R358">
    <cfRule type="timePeriod" dxfId="1057" priority="775" timePeriod="yesterday">
      <formula>FLOOR(R358,1)=TODAY()-1</formula>
    </cfRule>
    <cfRule type="timePeriod" dxfId="1056" priority="776" timePeriod="today">
      <formula>FLOOR(R358,1)=TODAY()</formula>
    </cfRule>
  </conditionalFormatting>
  <conditionalFormatting sqref="R357">
    <cfRule type="timePeriod" dxfId="1055" priority="773" timePeriod="yesterday">
      <formula>FLOOR(R357,1)=TODAY()-1</formula>
    </cfRule>
    <cfRule type="timePeriod" dxfId="1054" priority="774" timePeriod="today">
      <formula>FLOOR(R357,1)=TODAY()</formula>
    </cfRule>
  </conditionalFormatting>
  <conditionalFormatting sqref="R356">
    <cfRule type="timePeriod" dxfId="1053" priority="771" timePeriod="yesterday">
      <formula>FLOOR(R356,1)=TODAY()-1</formula>
    </cfRule>
    <cfRule type="timePeriod" dxfId="1052" priority="772" timePeriod="today">
      <formula>FLOOR(R356,1)=TODAY()</formula>
    </cfRule>
  </conditionalFormatting>
  <conditionalFormatting sqref="R355">
    <cfRule type="timePeriod" dxfId="1051" priority="769" timePeriod="yesterday">
      <formula>FLOOR(R355,1)=TODAY()-1</formula>
    </cfRule>
    <cfRule type="timePeriod" dxfId="1050" priority="770" timePeriod="today">
      <formula>FLOOR(R355,1)=TODAY()</formula>
    </cfRule>
  </conditionalFormatting>
  <conditionalFormatting sqref="R354">
    <cfRule type="timePeriod" dxfId="1049" priority="767" timePeriod="yesterday">
      <formula>FLOOR(R354,1)=TODAY()-1</formula>
    </cfRule>
    <cfRule type="timePeriod" dxfId="1048" priority="768" timePeriod="today">
      <formula>FLOOR(R354,1)=TODAY()</formula>
    </cfRule>
  </conditionalFormatting>
  <conditionalFormatting sqref="R353">
    <cfRule type="timePeriod" dxfId="1047" priority="765" timePeriod="yesterday">
      <formula>FLOOR(R353,1)=TODAY()-1</formula>
    </cfRule>
    <cfRule type="timePeriod" dxfId="1046" priority="766" timePeriod="today">
      <formula>FLOOR(R353,1)=TODAY()</formula>
    </cfRule>
  </conditionalFormatting>
  <conditionalFormatting sqref="R352">
    <cfRule type="timePeriod" dxfId="1045" priority="763" timePeriod="yesterday">
      <formula>FLOOR(R352,1)=TODAY()-1</formula>
    </cfRule>
    <cfRule type="timePeriod" dxfId="1044" priority="764" timePeriod="today">
      <formula>FLOOR(R352,1)=TODAY()</formula>
    </cfRule>
  </conditionalFormatting>
  <conditionalFormatting sqref="R351">
    <cfRule type="timePeriod" dxfId="1043" priority="759" timePeriod="yesterday">
      <formula>FLOOR(R351,1)=TODAY()-1</formula>
    </cfRule>
    <cfRule type="timePeriod" dxfId="1042" priority="760" timePeriod="today">
      <formula>FLOOR(R351,1)=TODAY()</formula>
    </cfRule>
  </conditionalFormatting>
  <conditionalFormatting sqref="R350">
    <cfRule type="timePeriod" dxfId="1041" priority="755" timePeriod="yesterday">
      <formula>FLOOR(R350,1)=TODAY()-1</formula>
    </cfRule>
    <cfRule type="timePeriod" dxfId="1040" priority="756" timePeriod="today">
      <formula>FLOOR(R350,1)=TODAY()</formula>
    </cfRule>
  </conditionalFormatting>
  <conditionalFormatting sqref="R349">
    <cfRule type="timePeriod" dxfId="1039" priority="753" timePeriod="yesterday">
      <formula>FLOOR(R349,1)=TODAY()-1</formula>
    </cfRule>
    <cfRule type="timePeriod" dxfId="1038" priority="754" timePeriod="today">
      <formula>FLOOR(R349,1)=TODAY()</formula>
    </cfRule>
  </conditionalFormatting>
  <conditionalFormatting sqref="R348">
    <cfRule type="timePeriod" dxfId="1037" priority="751" timePeriod="yesterday">
      <formula>FLOOR(R348,1)=TODAY()-1</formula>
    </cfRule>
    <cfRule type="timePeriod" dxfId="1036" priority="752" timePeriod="today">
      <formula>FLOOR(R348,1)=TODAY()</formula>
    </cfRule>
  </conditionalFormatting>
  <conditionalFormatting sqref="R347">
    <cfRule type="timePeriod" dxfId="1035" priority="749" timePeriod="yesterday">
      <formula>FLOOR(R347,1)=TODAY()-1</formula>
    </cfRule>
    <cfRule type="timePeriod" dxfId="1034" priority="750" timePeriod="today">
      <formula>FLOOR(R347,1)=TODAY()</formula>
    </cfRule>
  </conditionalFormatting>
  <conditionalFormatting sqref="R346">
    <cfRule type="timePeriod" dxfId="1033" priority="747" timePeriod="yesterday">
      <formula>FLOOR(R346,1)=TODAY()-1</formula>
    </cfRule>
    <cfRule type="timePeriod" dxfId="1032" priority="748" timePeriod="today">
      <formula>FLOOR(R346,1)=TODAY()</formula>
    </cfRule>
  </conditionalFormatting>
  <conditionalFormatting sqref="R345">
    <cfRule type="timePeriod" dxfId="1031" priority="745" timePeriod="yesterday">
      <formula>FLOOR(R345,1)=TODAY()-1</formula>
    </cfRule>
    <cfRule type="timePeriod" dxfId="1030" priority="746" timePeriod="today">
      <formula>FLOOR(R345,1)=TODAY()</formula>
    </cfRule>
  </conditionalFormatting>
  <conditionalFormatting sqref="R344">
    <cfRule type="timePeriod" dxfId="1029" priority="743" timePeriod="yesterday">
      <formula>FLOOR(R344,1)=TODAY()-1</formula>
    </cfRule>
    <cfRule type="timePeriod" dxfId="1028" priority="744" timePeriod="today">
      <formula>FLOOR(R344,1)=TODAY()</formula>
    </cfRule>
  </conditionalFormatting>
  <conditionalFormatting sqref="R343">
    <cfRule type="timePeriod" dxfId="1027" priority="741" timePeriod="yesterday">
      <formula>FLOOR(R343,1)=TODAY()-1</formula>
    </cfRule>
    <cfRule type="timePeriod" dxfId="1026" priority="742" timePeriod="today">
      <formula>FLOOR(R343,1)=TODAY()</formula>
    </cfRule>
  </conditionalFormatting>
  <conditionalFormatting sqref="R342">
    <cfRule type="timePeriod" dxfId="1025" priority="739" timePeriod="yesterday">
      <formula>FLOOR(R342,1)=TODAY()-1</formula>
    </cfRule>
    <cfRule type="timePeriod" dxfId="1024" priority="740" timePeriod="today">
      <formula>FLOOR(R342,1)=TODAY()</formula>
    </cfRule>
  </conditionalFormatting>
  <conditionalFormatting sqref="R340">
    <cfRule type="timePeriod" dxfId="1023" priority="737" timePeriod="yesterday">
      <formula>FLOOR(R340,1)=TODAY()-1</formula>
    </cfRule>
    <cfRule type="timePeriod" dxfId="1022" priority="738" timePeriod="today">
      <formula>FLOOR(R340,1)=TODAY()</formula>
    </cfRule>
  </conditionalFormatting>
  <conditionalFormatting sqref="R339">
    <cfRule type="timePeriod" dxfId="1021" priority="735" timePeriod="yesterday">
      <formula>FLOOR(R339,1)=TODAY()-1</formula>
    </cfRule>
    <cfRule type="timePeriod" dxfId="1020" priority="736" timePeriod="today">
      <formula>FLOOR(R339,1)=TODAY()</formula>
    </cfRule>
  </conditionalFormatting>
  <conditionalFormatting sqref="R338">
    <cfRule type="timePeriod" dxfId="1019" priority="733" timePeriod="yesterday">
      <formula>FLOOR(R338,1)=TODAY()-1</formula>
    </cfRule>
    <cfRule type="timePeriod" dxfId="1018" priority="734" timePeriod="today">
      <formula>FLOOR(R338,1)=TODAY()</formula>
    </cfRule>
  </conditionalFormatting>
  <conditionalFormatting sqref="R337">
    <cfRule type="timePeriod" dxfId="1017" priority="729" timePeriod="yesterday">
      <formula>FLOOR(R337,1)=TODAY()-1</formula>
    </cfRule>
    <cfRule type="timePeriod" dxfId="1016" priority="730" timePeriod="today">
      <formula>FLOOR(R337,1)=TODAY()</formula>
    </cfRule>
  </conditionalFormatting>
  <conditionalFormatting sqref="R336">
    <cfRule type="timePeriod" dxfId="1015" priority="727" timePeriod="yesterday">
      <formula>FLOOR(R336,1)=TODAY()-1</formula>
    </cfRule>
    <cfRule type="timePeriod" dxfId="1014" priority="728" timePeriod="today">
      <formula>FLOOR(R336,1)=TODAY()</formula>
    </cfRule>
  </conditionalFormatting>
  <conditionalFormatting sqref="R335">
    <cfRule type="timePeriod" dxfId="1013" priority="723" timePeriod="yesterday">
      <formula>FLOOR(R335,1)=TODAY()-1</formula>
    </cfRule>
    <cfRule type="timePeriod" dxfId="1012" priority="724" timePeriod="today">
      <formula>FLOOR(R335,1)=TODAY()</formula>
    </cfRule>
  </conditionalFormatting>
  <conditionalFormatting sqref="R334">
    <cfRule type="timePeriod" dxfId="1011" priority="721" timePeriod="yesterday">
      <formula>FLOOR(R334,1)=TODAY()-1</formula>
    </cfRule>
    <cfRule type="timePeriod" dxfId="1010" priority="722" timePeriod="today">
      <formula>FLOOR(R334,1)=TODAY()</formula>
    </cfRule>
  </conditionalFormatting>
  <conditionalFormatting sqref="R333">
    <cfRule type="timePeriod" dxfId="1009" priority="719" timePeriod="yesterday">
      <formula>FLOOR(R333,1)=TODAY()-1</formula>
    </cfRule>
    <cfRule type="timePeriod" dxfId="1008" priority="720" timePeriod="today">
      <formula>FLOOR(R333,1)=TODAY()</formula>
    </cfRule>
  </conditionalFormatting>
  <conditionalFormatting sqref="R332">
    <cfRule type="timePeriod" dxfId="1007" priority="717" timePeriod="yesterday">
      <formula>FLOOR(R332,1)=TODAY()-1</formula>
    </cfRule>
    <cfRule type="timePeriod" dxfId="1006" priority="718" timePeriod="today">
      <formula>FLOOR(R332,1)=TODAY()</formula>
    </cfRule>
  </conditionalFormatting>
  <conditionalFormatting sqref="R331">
    <cfRule type="timePeriod" dxfId="1005" priority="715" timePeriod="yesterday">
      <formula>FLOOR(R331,1)=TODAY()-1</formula>
    </cfRule>
    <cfRule type="timePeriod" dxfId="1004" priority="716" timePeriod="today">
      <formula>FLOOR(R331,1)=TODAY()</formula>
    </cfRule>
  </conditionalFormatting>
  <conditionalFormatting sqref="R330">
    <cfRule type="timePeriod" dxfId="1003" priority="713" timePeriod="yesterday">
      <formula>FLOOR(R330,1)=TODAY()-1</formula>
    </cfRule>
    <cfRule type="timePeriod" dxfId="1002" priority="714" timePeriod="today">
      <formula>FLOOR(R330,1)=TODAY()</formula>
    </cfRule>
  </conditionalFormatting>
  <conditionalFormatting sqref="R329">
    <cfRule type="timePeriod" dxfId="1001" priority="711" timePeriod="yesterday">
      <formula>FLOOR(R329,1)=TODAY()-1</formula>
    </cfRule>
    <cfRule type="timePeriod" dxfId="1000" priority="712" timePeriod="today">
      <formula>FLOOR(R329,1)=TODAY()</formula>
    </cfRule>
  </conditionalFormatting>
  <conditionalFormatting sqref="R328">
    <cfRule type="timePeriod" dxfId="999" priority="709" timePeriod="yesterday">
      <formula>FLOOR(R328,1)=TODAY()-1</formula>
    </cfRule>
    <cfRule type="timePeriod" dxfId="998" priority="710" timePeriod="today">
      <formula>FLOOR(R328,1)=TODAY()</formula>
    </cfRule>
  </conditionalFormatting>
  <conditionalFormatting sqref="R327">
    <cfRule type="timePeriod" dxfId="997" priority="707" timePeriod="yesterday">
      <formula>FLOOR(R327,1)=TODAY()-1</formula>
    </cfRule>
    <cfRule type="timePeriod" dxfId="996" priority="708" timePeriod="today">
      <formula>FLOOR(R327,1)=TODAY()</formula>
    </cfRule>
  </conditionalFormatting>
  <conditionalFormatting sqref="R326">
    <cfRule type="timePeriod" dxfId="995" priority="705" timePeriod="yesterday">
      <formula>FLOOR(R326,1)=TODAY()-1</formula>
    </cfRule>
    <cfRule type="timePeriod" dxfId="994" priority="706" timePeriod="today">
      <formula>FLOOR(R326,1)=TODAY()</formula>
    </cfRule>
  </conditionalFormatting>
  <conditionalFormatting sqref="R325">
    <cfRule type="timePeriod" dxfId="993" priority="701" timePeriod="yesterday">
      <formula>FLOOR(R325,1)=TODAY()-1</formula>
    </cfRule>
    <cfRule type="timePeriod" dxfId="992" priority="702" timePeriod="today">
      <formula>FLOOR(R325,1)=TODAY()</formula>
    </cfRule>
  </conditionalFormatting>
  <conditionalFormatting sqref="R324">
    <cfRule type="timePeriod" dxfId="991" priority="699" timePeriod="yesterday">
      <formula>FLOOR(R324,1)=TODAY()-1</formula>
    </cfRule>
    <cfRule type="timePeriod" dxfId="990" priority="700" timePeriod="today">
      <formula>FLOOR(R324,1)=TODAY()</formula>
    </cfRule>
  </conditionalFormatting>
  <conditionalFormatting sqref="R323">
    <cfRule type="timePeriod" dxfId="989" priority="697" timePeriod="yesterday">
      <formula>FLOOR(R323,1)=TODAY()-1</formula>
    </cfRule>
    <cfRule type="timePeriod" dxfId="988" priority="698" timePeriod="today">
      <formula>FLOOR(R323,1)=TODAY()</formula>
    </cfRule>
  </conditionalFormatting>
  <conditionalFormatting sqref="R322">
    <cfRule type="timePeriod" dxfId="987" priority="695" timePeriod="yesterday">
      <formula>FLOOR(R322,1)=TODAY()-1</formula>
    </cfRule>
    <cfRule type="timePeriod" dxfId="986" priority="696" timePeriod="today">
      <formula>FLOOR(R322,1)=TODAY()</formula>
    </cfRule>
  </conditionalFormatting>
  <conditionalFormatting sqref="R321">
    <cfRule type="timePeriod" dxfId="985" priority="693" timePeriod="yesterday">
      <formula>FLOOR(R321,1)=TODAY()-1</formula>
    </cfRule>
    <cfRule type="timePeriod" dxfId="984" priority="694" timePeriod="today">
      <formula>FLOOR(R321,1)=TODAY()</formula>
    </cfRule>
  </conditionalFormatting>
  <conditionalFormatting sqref="R320">
    <cfRule type="timePeriod" dxfId="983" priority="691" timePeriod="yesterday">
      <formula>FLOOR(R320,1)=TODAY()-1</formula>
    </cfRule>
    <cfRule type="timePeriod" dxfId="982" priority="692" timePeriod="today">
      <formula>FLOOR(R320,1)=TODAY()</formula>
    </cfRule>
  </conditionalFormatting>
  <conditionalFormatting sqref="R319">
    <cfRule type="timePeriod" dxfId="981" priority="689" timePeriod="yesterday">
      <formula>FLOOR(R319,1)=TODAY()-1</formula>
    </cfRule>
    <cfRule type="timePeriod" dxfId="980" priority="690" timePeriod="today">
      <formula>FLOOR(R319,1)=TODAY()</formula>
    </cfRule>
  </conditionalFormatting>
  <conditionalFormatting sqref="R318">
    <cfRule type="timePeriod" dxfId="979" priority="687" timePeriod="yesterday">
      <formula>FLOOR(R318,1)=TODAY()-1</formula>
    </cfRule>
    <cfRule type="timePeriod" dxfId="978" priority="688" timePeriod="today">
      <formula>FLOOR(R318,1)=TODAY()</formula>
    </cfRule>
  </conditionalFormatting>
  <conditionalFormatting sqref="R317">
    <cfRule type="timePeriod" dxfId="977" priority="685" timePeriod="yesterday">
      <formula>FLOOR(R317,1)=TODAY()-1</formula>
    </cfRule>
    <cfRule type="timePeriod" dxfId="976" priority="686" timePeriod="today">
      <formula>FLOOR(R317,1)=TODAY()</formula>
    </cfRule>
  </conditionalFormatting>
  <conditionalFormatting sqref="R316">
    <cfRule type="timePeriod" dxfId="975" priority="683" timePeriod="yesterday">
      <formula>FLOOR(R316,1)=TODAY()-1</formula>
    </cfRule>
    <cfRule type="timePeriod" dxfId="974" priority="684" timePeriod="today">
      <formula>FLOOR(R316,1)=TODAY()</formula>
    </cfRule>
  </conditionalFormatting>
  <conditionalFormatting sqref="R315">
    <cfRule type="timePeriod" dxfId="973" priority="681" timePeriod="yesterday">
      <formula>FLOOR(R315,1)=TODAY()-1</formula>
    </cfRule>
    <cfRule type="timePeriod" dxfId="972" priority="682" timePeriod="today">
      <formula>FLOOR(R315,1)=TODAY()</formula>
    </cfRule>
  </conditionalFormatting>
  <conditionalFormatting sqref="R314">
    <cfRule type="timePeriod" dxfId="971" priority="679" timePeriod="yesterday">
      <formula>FLOOR(R314,1)=TODAY()-1</formula>
    </cfRule>
    <cfRule type="timePeriod" dxfId="970" priority="680" timePeriod="today">
      <formula>FLOOR(R314,1)=TODAY()</formula>
    </cfRule>
  </conditionalFormatting>
  <conditionalFormatting sqref="R313">
    <cfRule type="timePeriod" dxfId="969" priority="677" timePeriod="yesterday">
      <formula>FLOOR(R313,1)=TODAY()-1</formula>
    </cfRule>
    <cfRule type="timePeriod" dxfId="968" priority="678" timePeriod="today">
      <formula>FLOOR(R313,1)=TODAY()</formula>
    </cfRule>
  </conditionalFormatting>
  <conditionalFormatting sqref="R312">
    <cfRule type="timePeriod" dxfId="967" priority="675" timePeriod="yesterday">
      <formula>FLOOR(R312,1)=TODAY()-1</formula>
    </cfRule>
    <cfRule type="timePeriod" dxfId="966" priority="676" timePeriod="today">
      <formula>FLOOR(R312,1)=TODAY()</formula>
    </cfRule>
  </conditionalFormatting>
  <conditionalFormatting sqref="R311">
    <cfRule type="timePeriod" dxfId="965" priority="673" timePeriod="yesterday">
      <formula>FLOOR(R311,1)=TODAY()-1</formula>
    </cfRule>
    <cfRule type="timePeriod" dxfId="964" priority="674" timePeriod="today">
      <formula>FLOOR(R311,1)=TODAY()</formula>
    </cfRule>
  </conditionalFormatting>
  <conditionalFormatting sqref="R310">
    <cfRule type="timePeriod" dxfId="963" priority="671" timePeriod="yesterday">
      <formula>FLOOR(R310,1)=TODAY()-1</formula>
    </cfRule>
    <cfRule type="timePeriod" dxfId="962" priority="672" timePeriod="today">
      <formula>FLOOR(R310,1)=TODAY()</formula>
    </cfRule>
  </conditionalFormatting>
  <conditionalFormatting sqref="R309">
    <cfRule type="timePeriod" dxfId="961" priority="669" timePeriod="yesterday">
      <formula>FLOOR(R309,1)=TODAY()-1</formula>
    </cfRule>
    <cfRule type="timePeriod" dxfId="960" priority="670" timePeriod="today">
      <formula>FLOOR(R309,1)=TODAY()</formula>
    </cfRule>
  </conditionalFormatting>
  <conditionalFormatting sqref="R308">
    <cfRule type="timePeriod" dxfId="959" priority="667" timePeriod="yesterday">
      <formula>FLOOR(R308,1)=TODAY()-1</formula>
    </cfRule>
    <cfRule type="timePeriod" dxfId="958" priority="668" timePeriod="today">
      <formula>FLOOR(R308,1)=TODAY()</formula>
    </cfRule>
  </conditionalFormatting>
  <conditionalFormatting sqref="R307">
    <cfRule type="timePeriod" dxfId="957" priority="665" timePeriod="yesterday">
      <formula>FLOOR(R307,1)=TODAY()-1</formula>
    </cfRule>
    <cfRule type="timePeriod" dxfId="956" priority="666" timePeriod="today">
      <formula>FLOOR(R307,1)=TODAY()</formula>
    </cfRule>
  </conditionalFormatting>
  <conditionalFormatting sqref="R306">
    <cfRule type="timePeriod" dxfId="955" priority="663" timePeriod="yesterday">
      <formula>FLOOR(R306,1)=TODAY()-1</formula>
    </cfRule>
    <cfRule type="timePeriod" dxfId="954" priority="664" timePeriod="today">
      <formula>FLOOR(R306,1)=TODAY()</formula>
    </cfRule>
  </conditionalFormatting>
  <conditionalFormatting sqref="R305">
    <cfRule type="timePeriod" dxfId="953" priority="661" timePeriod="yesterday">
      <formula>FLOOR(R305,1)=TODAY()-1</formula>
    </cfRule>
    <cfRule type="timePeriod" dxfId="952" priority="662" timePeriod="today">
      <formula>FLOOR(R305,1)=TODAY()</formula>
    </cfRule>
  </conditionalFormatting>
  <conditionalFormatting sqref="R304">
    <cfRule type="timePeriod" dxfId="951" priority="659" timePeriod="yesterday">
      <formula>FLOOR(R304,1)=TODAY()-1</formula>
    </cfRule>
    <cfRule type="timePeriod" dxfId="950" priority="660" timePeriod="today">
      <formula>FLOOR(R304,1)=TODAY()</formula>
    </cfRule>
  </conditionalFormatting>
  <conditionalFormatting sqref="R303">
    <cfRule type="timePeriod" dxfId="949" priority="657" timePeriod="yesterday">
      <formula>FLOOR(R303,1)=TODAY()-1</formula>
    </cfRule>
    <cfRule type="timePeriod" dxfId="948" priority="658" timePeriod="today">
      <formula>FLOOR(R303,1)=TODAY()</formula>
    </cfRule>
  </conditionalFormatting>
  <conditionalFormatting sqref="R302">
    <cfRule type="timePeriod" dxfId="947" priority="655" timePeriod="yesterday">
      <formula>FLOOR(R302,1)=TODAY()-1</formula>
    </cfRule>
    <cfRule type="timePeriod" dxfId="946" priority="656" timePeriod="today">
      <formula>FLOOR(R302,1)=TODAY()</formula>
    </cfRule>
  </conditionalFormatting>
  <conditionalFormatting sqref="R301">
    <cfRule type="timePeriod" dxfId="945" priority="653" timePeriod="yesterday">
      <formula>FLOOR(R301,1)=TODAY()-1</formula>
    </cfRule>
    <cfRule type="timePeriod" dxfId="944" priority="654" timePeriod="today">
      <formula>FLOOR(R301,1)=TODAY()</formula>
    </cfRule>
  </conditionalFormatting>
  <conditionalFormatting sqref="R300">
    <cfRule type="timePeriod" dxfId="943" priority="651" timePeriod="yesterday">
      <formula>FLOOR(R300,1)=TODAY()-1</formula>
    </cfRule>
    <cfRule type="timePeriod" dxfId="942" priority="652" timePeriod="today">
      <formula>FLOOR(R300,1)=TODAY()</formula>
    </cfRule>
  </conditionalFormatting>
  <conditionalFormatting sqref="R299">
    <cfRule type="timePeriod" dxfId="941" priority="649" timePeriod="yesterday">
      <formula>FLOOR(R299,1)=TODAY()-1</formula>
    </cfRule>
    <cfRule type="timePeriod" dxfId="940" priority="650" timePeriod="today">
      <formula>FLOOR(R299,1)=TODAY()</formula>
    </cfRule>
  </conditionalFormatting>
  <conditionalFormatting sqref="R298">
    <cfRule type="timePeriod" dxfId="939" priority="645" timePeriod="yesterday">
      <formula>FLOOR(R298,1)=TODAY()-1</formula>
    </cfRule>
    <cfRule type="timePeriod" dxfId="938" priority="646" timePeriod="today">
      <formula>FLOOR(R298,1)=TODAY()</formula>
    </cfRule>
  </conditionalFormatting>
  <conditionalFormatting sqref="R297">
    <cfRule type="timePeriod" dxfId="937" priority="643" timePeriod="yesterday">
      <formula>FLOOR(R297,1)=TODAY()-1</formula>
    </cfRule>
    <cfRule type="timePeriod" dxfId="936" priority="644" timePeriod="today">
      <formula>FLOOR(R297,1)=TODAY()</formula>
    </cfRule>
  </conditionalFormatting>
  <conditionalFormatting sqref="R296">
    <cfRule type="timePeriod" dxfId="935" priority="641" timePeriod="yesterday">
      <formula>FLOOR(R296,1)=TODAY()-1</formula>
    </cfRule>
    <cfRule type="timePeriod" dxfId="934" priority="642" timePeriod="today">
      <formula>FLOOR(R296,1)=TODAY()</formula>
    </cfRule>
  </conditionalFormatting>
  <conditionalFormatting sqref="R295">
    <cfRule type="timePeriod" dxfId="933" priority="639" timePeriod="yesterday">
      <formula>FLOOR(R295,1)=TODAY()-1</formula>
    </cfRule>
    <cfRule type="timePeriod" dxfId="932" priority="640" timePeriod="today">
      <formula>FLOOR(R295,1)=TODAY()</formula>
    </cfRule>
  </conditionalFormatting>
  <conditionalFormatting sqref="R294">
    <cfRule type="timePeriod" dxfId="931" priority="635" timePeriod="yesterday">
      <formula>FLOOR(R294,1)=TODAY()-1</formula>
    </cfRule>
    <cfRule type="timePeriod" dxfId="930" priority="636" timePeriod="today">
      <formula>FLOOR(R294,1)=TODAY()</formula>
    </cfRule>
  </conditionalFormatting>
  <conditionalFormatting sqref="R293">
    <cfRule type="timePeriod" dxfId="929" priority="633" timePeriod="yesterday">
      <formula>FLOOR(R293,1)=TODAY()-1</formula>
    </cfRule>
    <cfRule type="timePeriod" dxfId="928" priority="634" timePeriod="today">
      <formula>FLOOR(R293,1)=TODAY()</formula>
    </cfRule>
  </conditionalFormatting>
  <conditionalFormatting sqref="R292">
    <cfRule type="timePeriod" dxfId="927" priority="631" timePeriod="yesterday">
      <formula>FLOOR(R292,1)=TODAY()-1</formula>
    </cfRule>
    <cfRule type="timePeriod" dxfId="926" priority="632" timePeriod="today">
      <formula>FLOOR(R292,1)=TODAY()</formula>
    </cfRule>
  </conditionalFormatting>
  <conditionalFormatting sqref="R291">
    <cfRule type="timePeriod" dxfId="925" priority="629" timePeriod="yesterday">
      <formula>FLOOR(R291,1)=TODAY()-1</formula>
    </cfRule>
    <cfRule type="timePeriod" dxfId="924" priority="630" timePeriod="today">
      <formula>FLOOR(R291,1)=TODAY()</formula>
    </cfRule>
  </conditionalFormatting>
  <conditionalFormatting sqref="R290">
    <cfRule type="timePeriod" dxfId="923" priority="627" timePeriod="yesterday">
      <formula>FLOOR(R290,1)=TODAY()-1</formula>
    </cfRule>
    <cfRule type="timePeriod" dxfId="922" priority="628" timePeriod="today">
      <formula>FLOOR(R290,1)=TODAY()</formula>
    </cfRule>
  </conditionalFormatting>
  <conditionalFormatting sqref="R289">
    <cfRule type="timePeriod" dxfId="921" priority="625" timePeriod="yesterday">
      <formula>FLOOR(R289,1)=TODAY()-1</formula>
    </cfRule>
    <cfRule type="timePeriod" dxfId="920" priority="626" timePeriod="today">
      <formula>FLOOR(R289,1)=TODAY()</formula>
    </cfRule>
  </conditionalFormatting>
  <conditionalFormatting sqref="R282">
    <cfRule type="timePeriod" dxfId="919" priority="615" timePeriod="yesterday">
      <formula>FLOOR(R282,1)=TODAY()-1</formula>
    </cfRule>
    <cfRule type="timePeriod" dxfId="918" priority="616" timePeriod="today">
      <formula>FLOOR(R282,1)=TODAY()</formula>
    </cfRule>
  </conditionalFormatting>
  <conditionalFormatting sqref="R281">
    <cfRule type="timePeriod" dxfId="917" priority="613" timePeriod="yesterday">
      <formula>FLOOR(R281,1)=TODAY()-1</formula>
    </cfRule>
    <cfRule type="timePeriod" dxfId="916" priority="614" timePeriod="today">
      <formula>FLOOR(R281,1)=TODAY()</formula>
    </cfRule>
  </conditionalFormatting>
  <conditionalFormatting sqref="R280">
    <cfRule type="timePeriod" dxfId="915" priority="605" timePeriod="yesterday">
      <formula>FLOOR(R280,1)=TODAY()-1</formula>
    </cfRule>
    <cfRule type="timePeriod" dxfId="914" priority="606" timePeriod="today">
      <formula>FLOOR(R280,1)=TODAY()</formula>
    </cfRule>
  </conditionalFormatting>
  <conditionalFormatting sqref="R279">
    <cfRule type="timePeriod" dxfId="913" priority="603" timePeriod="yesterday">
      <formula>FLOOR(R279,1)=TODAY()-1</formula>
    </cfRule>
    <cfRule type="timePeriod" dxfId="912" priority="604" timePeriod="today">
      <formula>FLOOR(R279,1)=TODAY()</formula>
    </cfRule>
  </conditionalFormatting>
  <conditionalFormatting sqref="R278">
    <cfRule type="timePeriod" dxfId="911" priority="601" timePeriod="yesterday">
      <formula>FLOOR(R278,1)=TODAY()-1</formula>
    </cfRule>
    <cfRule type="timePeriod" dxfId="910" priority="602" timePeriod="today">
      <formula>FLOOR(R278,1)=TODAY()</formula>
    </cfRule>
  </conditionalFormatting>
  <conditionalFormatting sqref="R277">
    <cfRule type="timePeriod" dxfId="909" priority="599" timePeriod="yesterday">
      <formula>FLOOR(R277,1)=TODAY()-1</formula>
    </cfRule>
    <cfRule type="timePeriod" dxfId="908" priority="600" timePeriod="today">
      <formula>FLOOR(R277,1)=TODAY()</formula>
    </cfRule>
  </conditionalFormatting>
  <conditionalFormatting sqref="R276">
    <cfRule type="timePeriod" dxfId="907" priority="597" timePeriod="yesterday">
      <formula>FLOOR(R276,1)=TODAY()-1</formula>
    </cfRule>
    <cfRule type="timePeriod" dxfId="906" priority="598" timePeriod="today">
      <formula>FLOOR(R276,1)=TODAY()</formula>
    </cfRule>
  </conditionalFormatting>
  <conditionalFormatting sqref="R275">
    <cfRule type="timePeriod" dxfId="905" priority="595" timePeriod="yesterday">
      <formula>FLOOR(R275,1)=TODAY()-1</formula>
    </cfRule>
    <cfRule type="timePeriod" dxfId="904" priority="596" timePeriod="today">
      <formula>FLOOR(R275,1)=TODAY()</formula>
    </cfRule>
  </conditionalFormatting>
  <conditionalFormatting sqref="R274">
    <cfRule type="timePeriod" dxfId="903" priority="593" timePeriod="yesterday">
      <formula>FLOOR(R274,1)=TODAY()-1</formula>
    </cfRule>
    <cfRule type="timePeriod" dxfId="902" priority="594" timePeriod="today">
      <formula>FLOOR(R274,1)=TODAY()</formula>
    </cfRule>
  </conditionalFormatting>
  <conditionalFormatting sqref="R273">
    <cfRule type="timePeriod" dxfId="901" priority="591" timePeriod="yesterday">
      <formula>FLOOR(R273,1)=TODAY()-1</formula>
    </cfRule>
    <cfRule type="timePeriod" dxfId="900" priority="592" timePeriod="today">
      <formula>FLOOR(R273,1)=TODAY()</formula>
    </cfRule>
  </conditionalFormatting>
  <conditionalFormatting sqref="R272">
    <cfRule type="timePeriod" dxfId="899" priority="589" timePeriod="yesterday">
      <formula>FLOOR(R272,1)=TODAY()-1</formula>
    </cfRule>
    <cfRule type="timePeriod" dxfId="898" priority="590" timePeriod="today">
      <formula>FLOOR(R272,1)=TODAY()</formula>
    </cfRule>
  </conditionalFormatting>
  <conditionalFormatting sqref="R271">
    <cfRule type="timePeriod" dxfId="897" priority="587" timePeriod="yesterday">
      <formula>FLOOR(R271,1)=TODAY()-1</formula>
    </cfRule>
    <cfRule type="timePeriod" dxfId="896" priority="588" timePeriod="today">
      <formula>FLOOR(R271,1)=TODAY()</formula>
    </cfRule>
  </conditionalFormatting>
  <conditionalFormatting sqref="R270">
    <cfRule type="timePeriod" dxfId="895" priority="585" timePeriod="yesterday">
      <formula>FLOOR(R270,1)=TODAY()-1</formula>
    </cfRule>
    <cfRule type="timePeriod" dxfId="894" priority="586" timePeriod="today">
      <formula>FLOOR(R270,1)=TODAY()</formula>
    </cfRule>
  </conditionalFormatting>
  <conditionalFormatting sqref="R269">
    <cfRule type="timePeriod" dxfId="893" priority="583" timePeriod="yesterday">
      <formula>FLOOR(R269,1)=TODAY()-1</formula>
    </cfRule>
    <cfRule type="timePeriod" dxfId="892" priority="584" timePeriod="today">
      <formula>FLOOR(R269,1)=TODAY()</formula>
    </cfRule>
  </conditionalFormatting>
  <conditionalFormatting sqref="R268">
    <cfRule type="timePeriod" dxfId="891" priority="581" timePeriod="yesterday">
      <formula>FLOOR(R268,1)=TODAY()-1</formula>
    </cfRule>
    <cfRule type="timePeriod" dxfId="890" priority="582" timePeriod="today">
      <formula>FLOOR(R268,1)=TODAY()</formula>
    </cfRule>
  </conditionalFormatting>
  <conditionalFormatting sqref="R267">
    <cfRule type="timePeriod" dxfId="889" priority="579" timePeriod="yesterday">
      <formula>FLOOR(R267,1)=TODAY()-1</formula>
    </cfRule>
    <cfRule type="timePeriod" dxfId="888" priority="580" timePeriod="today">
      <formula>FLOOR(R267,1)=TODAY()</formula>
    </cfRule>
  </conditionalFormatting>
  <conditionalFormatting sqref="R266">
    <cfRule type="timePeriod" dxfId="887" priority="575" timePeriod="yesterday">
      <formula>FLOOR(R266,1)=TODAY()-1</formula>
    </cfRule>
    <cfRule type="timePeriod" dxfId="886" priority="576" timePeriod="today">
      <formula>FLOOR(R266,1)=TODAY()</formula>
    </cfRule>
  </conditionalFormatting>
  <conditionalFormatting sqref="R265">
    <cfRule type="timePeriod" dxfId="885" priority="573" timePeriod="yesterday">
      <formula>FLOOR(R265,1)=TODAY()-1</formula>
    </cfRule>
    <cfRule type="timePeriod" dxfId="884" priority="574" timePeriod="today">
      <formula>FLOOR(R265,1)=TODAY()</formula>
    </cfRule>
  </conditionalFormatting>
  <conditionalFormatting sqref="R264">
    <cfRule type="timePeriod" dxfId="883" priority="571" timePeriod="yesterday">
      <formula>FLOOR(R264,1)=TODAY()-1</formula>
    </cfRule>
    <cfRule type="timePeriod" dxfId="882" priority="572" timePeriod="today">
      <formula>FLOOR(R264,1)=TODAY()</formula>
    </cfRule>
  </conditionalFormatting>
  <conditionalFormatting sqref="R263">
    <cfRule type="timePeriod" dxfId="881" priority="569" timePeriod="yesterday">
      <formula>FLOOR(R263,1)=TODAY()-1</formula>
    </cfRule>
    <cfRule type="timePeriod" dxfId="880" priority="570" timePeriod="today">
      <formula>FLOOR(R263,1)=TODAY()</formula>
    </cfRule>
  </conditionalFormatting>
  <conditionalFormatting sqref="R262">
    <cfRule type="timePeriod" dxfId="879" priority="567" timePeriod="yesterday">
      <formula>FLOOR(R262,1)=TODAY()-1</formula>
    </cfRule>
    <cfRule type="timePeriod" dxfId="878" priority="568" timePeriod="today">
      <formula>FLOOR(R262,1)=TODAY()</formula>
    </cfRule>
  </conditionalFormatting>
  <conditionalFormatting sqref="R261">
    <cfRule type="timePeriod" dxfId="877" priority="565" timePeriod="yesterday">
      <formula>FLOOR(R261,1)=TODAY()-1</formula>
    </cfRule>
    <cfRule type="timePeriod" dxfId="876" priority="566" timePeriod="today">
      <formula>FLOOR(R261,1)=TODAY()</formula>
    </cfRule>
  </conditionalFormatting>
  <conditionalFormatting sqref="R260">
    <cfRule type="timePeriod" dxfId="875" priority="563" timePeriod="yesterday">
      <formula>FLOOR(R260,1)=TODAY()-1</formula>
    </cfRule>
    <cfRule type="timePeriod" dxfId="874" priority="564" timePeriod="today">
      <formula>FLOOR(R260,1)=TODAY()</formula>
    </cfRule>
  </conditionalFormatting>
  <conditionalFormatting sqref="R259">
    <cfRule type="timePeriod" dxfId="873" priority="561" timePeriod="yesterday">
      <formula>FLOOR(R259,1)=TODAY()-1</formula>
    </cfRule>
    <cfRule type="timePeriod" dxfId="872" priority="562" timePeriod="today">
      <formula>FLOOR(R259,1)=TODAY()</formula>
    </cfRule>
  </conditionalFormatting>
  <conditionalFormatting sqref="R258">
    <cfRule type="timePeriod" dxfId="871" priority="559" timePeriod="yesterday">
      <formula>FLOOR(R258,1)=TODAY()-1</formula>
    </cfRule>
    <cfRule type="timePeriod" dxfId="870" priority="560" timePeriod="today">
      <formula>FLOOR(R258,1)=TODAY()</formula>
    </cfRule>
  </conditionalFormatting>
  <conditionalFormatting sqref="R257">
    <cfRule type="timePeriod" dxfId="869" priority="555" timePeriod="yesterday">
      <formula>FLOOR(R257,1)=TODAY()-1</formula>
    </cfRule>
    <cfRule type="timePeriod" dxfId="868" priority="556" timePeriod="today">
      <formula>FLOOR(R257,1)=TODAY()</formula>
    </cfRule>
  </conditionalFormatting>
  <conditionalFormatting sqref="R256">
    <cfRule type="timePeriod" dxfId="867" priority="553" timePeriod="yesterday">
      <formula>FLOOR(R256,1)=TODAY()-1</formula>
    </cfRule>
    <cfRule type="timePeriod" dxfId="866" priority="554" timePeriod="today">
      <formula>FLOOR(R256,1)=TODAY()</formula>
    </cfRule>
  </conditionalFormatting>
  <conditionalFormatting sqref="R255">
    <cfRule type="timePeriod" dxfId="865" priority="551" timePeriod="yesterday">
      <formula>FLOOR(R255,1)=TODAY()-1</formula>
    </cfRule>
    <cfRule type="timePeriod" dxfId="864" priority="552" timePeriod="today">
      <formula>FLOOR(R255,1)=TODAY()</formula>
    </cfRule>
  </conditionalFormatting>
  <conditionalFormatting sqref="R254">
    <cfRule type="timePeriod" dxfId="863" priority="549" timePeriod="yesterday">
      <formula>FLOOR(R254,1)=TODAY()-1</formula>
    </cfRule>
    <cfRule type="timePeriod" dxfId="862" priority="550" timePeriod="today">
      <formula>FLOOR(R254,1)=TODAY()</formula>
    </cfRule>
  </conditionalFormatting>
  <conditionalFormatting sqref="R253">
    <cfRule type="timePeriod" dxfId="861" priority="547" timePeriod="yesterday">
      <formula>FLOOR(R253,1)=TODAY()-1</formula>
    </cfRule>
    <cfRule type="timePeriod" dxfId="860" priority="548" timePeriod="today">
      <formula>FLOOR(R253,1)=TODAY()</formula>
    </cfRule>
  </conditionalFormatting>
  <conditionalFormatting sqref="R252">
    <cfRule type="timePeriod" dxfId="859" priority="545" timePeriod="yesterday">
      <formula>FLOOR(R252,1)=TODAY()-1</formula>
    </cfRule>
    <cfRule type="timePeriod" dxfId="858" priority="546" timePeriod="today">
      <formula>FLOOR(R252,1)=TODAY()</formula>
    </cfRule>
  </conditionalFormatting>
  <conditionalFormatting sqref="R251">
    <cfRule type="timePeriod" dxfId="857" priority="543" timePeriod="yesterday">
      <formula>FLOOR(R251,1)=TODAY()-1</formula>
    </cfRule>
    <cfRule type="timePeriod" dxfId="856" priority="544" timePeriod="today">
      <formula>FLOOR(R251,1)=TODAY()</formula>
    </cfRule>
  </conditionalFormatting>
  <conditionalFormatting sqref="R250">
    <cfRule type="timePeriod" dxfId="855" priority="541" timePeriod="yesterday">
      <formula>FLOOR(R250,1)=TODAY()-1</formula>
    </cfRule>
    <cfRule type="timePeriod" dxfId="854" priority="542" timePeriod="today">
      <formula>FLOOR(R250,1)=TODAY()</formula>
    </cfRule>
  </conditionalFormatting>
  <conditionalFormatting sqref="R249">
    <cfRule type="timePeriod" dxfId="853" priority="539" timePeriod="yesterday">
      <formula>FLOOR(R249,1)=TODAY()-1</formula>
    </cfRule>
    <cfRule type="timePeriod" dxfId="852" priority="540" timePeriod="today">
      <formula>FLOOR(R249,1)=TODAY()</formula>
    </cfRule>
  </conditionalFormatting>
  <conditionalFormatting sqref="R248">
    <cfRule type="timePeriod" dxfId="851" priority="537" timePeriod="yesterday">
      <formula>FLOOR(R248,1)=TODAY()-1</formula>
    </cfRule>
    <cfRule type="timePeriod" dxfId="850" priority="538" timePeriod="today">
      <formula>FLOOR(R248,1)=TODAY()</formula>
    </cfRule>
  </conditionalFormatting>
  <conditionalFormatting sqref="R247">
    <cfRule type="timePeriod" dxfId="849" priority="535" timePeriod="yesterday">
      <formula>FLOOR(R247,1)=TODAY()-1</formula>
    </cfRule>
    <cfRule type="timePeriod" dxfId="848" priority="536" timePeriod="today">
      <formula>FLOOR(R247,1)=TODAY()</formula>
    </cfRule>
  </conditionalFormatting>
  <conditionalFormatting sqref="R246">
    <cfRule type="timePeriod" dxfId="847" priority="533" timePeriod="yesterday">
      <formula>FLOOR(R246,1)=TODAY()-1</formula>
    </cfRule>
    <cfRule type="timePeriod" dxfId="846" priority="534" timePeriod="today">
      <formula>FLOOR(R246,1)=TODAY()</formula>
    </cfRule>
  </conditionalFormatting>
  <conditionalFormatting sqref="R245">
    <cfRule type="timePeriod" dxfId="845" priority="529" timePeriod="yesterday">
      <formula>FLOOR(R245,1)=TODAY()-1</formula>
    </cfRule>
    <cfRule type="timePeriod" dxfId="844" priority="530" timePeriod="today">
      <formula>FLOOR(R245,1)=TODAY()</formula>
    </cfRule>
  </conditionalFormatting>
  <conditionalFormatting sqref="R244">
    <cfRule type="timePeriod" dxfId="843" priority="527" timePeriod="yesterday">
      <formula>FLOOR(R244,1)=TODAY()-1</formula>
    </cfRule>
    <cfRule type="timePeriod" dxfId="842" priority="528" timePeriod="today">
      <formula>FLOOR(R244,1)=TODAY()</formula>
    </cfRule>
  </conditionalFormatting>
  <conditionalFormatting sqref="R243">
    <cfRule type="timePeriod" dxfId="841" priority="525" timePeriod="yesterday">
      <formula>FLOOR(R243,1)=TODAY()-1</formula>
    </cfRule>
    <cfRule type="timePeriod" dxfId="840" priority="526" timePeriod="today">
      <formula>FLOOR(R243,1)=TODAY()</formula>
    </cfRule>
  </conditionalFormatting>
  <conditionalFormatting sqref="R242">
    <cfRule type="timePeriod" dxfId="839" priority="523" timePeriod="yesterday">
      <formula>FLOOR(R242,1)=TODAY()-1</formula>
    </cfRule>
    <cfRule type="timePeriod" dxfId="838" priority="524" timePeriod="today">
      <formula>FLOOR(R242,1)=TODAY()</formula>
    </cfRule>
  </conditionalFormatting>
  <conditionalFormatting sqref="R241">
    <cfRule type="timePeriod" dxfId="837" priority="521" timePeriod="yesterday">
      <formula>FLOOR(R241,1)=TODAY()-1</formula>
    </cfRule>
    <cfRule type="timePeriod" dxfId="836" priority="522" timePeriod="today">
      <formula>FLOOR(R241,1)=TODAY()</formula>
    </cfRule>
  </conditionalFormatting>
  <conditionalFormatting sqref="R240">
    <cfRule type="timePeriod" dxfId="835" priority="519" timePeriod="yesterday">
      <formula>FLOOR(R240,1)=TODAY()-1</formula>
    </cfRule>
    <cfRule type="timePeriod" dxfId="834" priority="520" timePeriod="today">
      <formula>FLOOR(R240,1)=TODAY()</formula>
    </cfRule>
  </conditionalFormatting>
  <conditionalFormatting sqref="R239">
    <cfRule type="timePeriod" dxfId="833" priority="517" timePeriod="yesterday">
      <formula>FLOOR(R239,1)=TODAY()-1</formula>
    </cfRule>
    <cfRule type="timePeriod" dxfId="832" priority="518" timePeriod="today">
      <formula>FLOOR(R239,1)=TODAY()</formula>
    </cfRule>
  </conditionalFormatting>
  <conditionalFormatting sqref="R238">
    <cfRule type="timePeriod" dxfId="831" priority="515" timePeriod="yesterday">
      <formula>FLOOR(R238,1)=TODAY()-1</formula>
    </cfRule>
    <cfRule type="timePeriod" dxfId="830" priority="516" timePeriod="today">
      <formula>FLOOR(R238,1)=TODAY()</formula>
    </cfRule>
  </conditionalFormatting>
  <conditionalFormatting sqref="R237">
    <cfRule type="timePeriod" dxfId="829" priority="513" timePeriod="yesterday">
      <formula>FLOOR(R237,1)=TODAY()-1</formula>
    </cfRule>
    <cfRule type="timePeriod" dxfId="828" priority="514" timePeriod="today">
      <formula>FLOOR(R237,1)=TODAY()</formula>
    </cfRule>
  </conditionalFormatting>
  <conditionalFormatting sqref="R236">
    <cfRule type="timePeriod" dxfId="827" priority="511" timePeriod="yesterday">
      <formula>FLOOR(R236,1)=TODAY()-1</formula>
    </cfRule>
    <cfRule type="timePeriod" dxfId="826" priority="512" timePeriod="today">
      <formula>FLOOR(R236,1)=TODAY()</formula>
    </cfRule>
  </conditionalFormatting>
  <conditionalFormatting sqref="R235">
    <cfRule type="timePeriod" dxfId="825" priority="509" timePeriod="yesterday">
      <formula>FLOOR(R235,1)=TODAY()-1</formula>
    </cfRule>
    <cfRule type="timePeriod" dxfId="824" priority="510" timePeriod="today">
      <formula>FLOOR(R235,1)=TODAY()</formula>
    </cfRule>
  </conditionalFormatting>
  <conditionalFormatting sqref="R234">
    <cfRule type="timePeriod" dxfId="823" priority="507" timePeriod="yesterday">
      <formula>FLOOR(R234,1)=TODAY()-1</formula>
    </cfRule>
    <cfRule type="timePeriod" dxfId="822" priority="508" timePeriod="today">
      <formula>FLOOR(R234,1)=TODAY()</formula>
    </cfRule>
  </conditionalFormatting>
  <conditionalFormatting sqref="R233">
    <cfRule type="timePeriod" dxfId="821" priority="505" timePeriod="yesterday">
      <formula>FLOOR(R233,1)=TODAY()-1</formula>
    </cfRule>
    <cfRule type="timePeriod" dxfId="820" priority="506" timePeriod="today">
      <formula>FLOOR(R233,1)=TODAY()</formula>
    </cfRule>
  </conditionalFormatting>
  <conditionalFormatting sqref="R232">
    <cfRule type="timePeriod" dxfId="819" priority="503" timePeriod="yesterday">
      <formula>FLOOR(R232,1)=TODAY()-1</formula>
    </cfRule>
    <cfRule type="timePeriod" dxfId="818" priority="504" timePeriod="today">
      <formula>FLOOR(R232,1)=TODAY()</formula>
    </cfRule>
  </conditionalFormatting>
  <conditionalFormatting sqref="R231">
    <cfRule type="timePeriod" dxfId="817" priority="501" timePeriod="yesterday">
      <formula>FLOOR(R231,1)=TODAY()-1</formula>
    </cfRule>
    <cfRule type="timePeriod" dxfId="816" priority="502" timePeriod="today">
      <formula>FLOOR(R231,1)=TODAY()</formula>
    </cfRule>
  </conditionalFormatting>
  <conditionalFormatting sqref="R230">
    <cfRule type="timePeriod" dxfId="815" priority="499" timePeriod="yesterday">
      <formula>FLOOR(R230,1)=TODAY()-1</formula>
    </cfRule>
    <cfRule type="timePeriod" dxfId="814" priority="500" timePeriod="today">
      <formula>FLOOR(R230,1)=TODAY()</formula>
    </cfRule>
  </conditionalFormatting>
  <conditionalFormatting sqref="R229">
    <cfRule type="timePeriod" dxfId="813" priority="497" timePeriod="yesterday">
      <formula>FLOOR(R229,1)=TODAY()-1</formula>
    </cfRule>
    <cfRule type="timePeriod" dxfId="812" priority="498" timePeriod="today">
      <formula>FLOOR(R229,1)=TODAY()</formula>
    </cfRule>
  </conditionalFormatting>
  <conditionalFormatting sqref="R228">
    <cfRule type="timePeriod" dxfId="811" priority="495" timePeriod="yesterday">
      <formula>FLOOR(R228,1)=TODAY()-1</formula>
    </cfRule>
    <cfRule type="timePeriod" dxfId="810" priority="496" timePeriod="today">
      <formula>FLOOR(R228,1)=TODAY()</formula>
    </cfRule>
  </conditionalFormatting>
  <conditionalFormatting sqref="R227">
    <cfRule type="timePeriod" dxfId="809" priority="489" timePeriod="yesterday">
      <formula>FLOOR(R227,1)=TODAY()-1</formula>
    </cfRule>
    <cfRule type="timePeriod" dxfId="808" priority="490" timePeriod="today">
      <formula>FLOOR(R227,1)=TODAY()</formula>
    </cfRule>
  </conditionalFormatting>
  <conditionalFormatting sqref="R226">
    <cfRule type="timePeriod" dxfId="807" priority="487" timePeriod="yesterday">
      <formula>FLOOR(R226,1)=TODAY()-1</formula>
    </cfRule>
    <cfRule type="timePeriod" dxfId="806" priority="488" timePeriod="today">
      <formula>FLOOR(R226,1)=TODAY()</formula>
    </cfRule>
  </conditionalFormatting>
  <conditionalFormatting sqref="R225">
    <cfRule type="timePeriod" dxfId="805" priority="485" timePeriod="yesterday">
      <formula>FLOOR(R225,1)=TODAY()-1</formula>
    </cfRule>
    <cfRule type="timePeriod" dxfId="804" priority="486" timePeriod="today">
      <formula>FLOOR(R225,1)=TODAY()</formula>
    </cfRule>
  </conditionalFormatting>
  <conditionalFormatting sqref="R224">
    <cfRule type="timePeriod" dxfId="803" priority="483" timePeriod="yesterday">
      <formula>FLOOR(R224,1)=TODAY()-1</formula>
    </cfRule>
    <cfRule type="timePeriod" dxfId="802" priority="484" timePeriod="today">
      <formula>FLOOR(R224,1)=TODAY()</formula>
    </cfRule>
  </conditionalFormatting>
  <conditionalFormatting sqref="R223">
    <cfRule type="timePeriod" dxfId="801" priority="481" timePeriod="yesterday">
      <formula>FLOOR(R223,1)=TODAY()-1</formula>
    </cfRule>
    <cfRule type="timePeriod" dxfId="800" priority="482" timePeriod="today">
      <formula>FLOOR(R223,1)=TODAY()</formula>
    </cfRule>
  </conditionalFormatting>
  <conditionalFormatting sqref="R222">
    <cfRule type="timePeriod" dxfId="799" priority="479" timePeriod="yesterday">
      <formula>FLOOR(R222,1)=TODAY()-1</formula>
    </cfRule>
    <cfRule type="timePeriod" dxfId="798" priority="480" timePeriod="today">
      <formula>FLOOR(R222,1)=TODAY()</formula>
    </cfRule>
  </conditionalFormatting>
  <conditionalFormatting sqref="R221">
    <cfRule type="timePeriod" dxfId="797" priority="477" timePeriod="yesterday">
      <formula>FLOOR(R221,1)=TODAY()-1</formula>
    </cfRule>
    <cfRule type="timePeriod" dxfId="796" priority="478" timePeriod="today">
      <formula>FLOOR(R221,1)=TODAY()</formula>
    </cfRule>
  </conditionalFormatting>
  <conditionalFormatting sqref="R220">
    <cfRule type="timePeriod" dxfId="795" priority="475" timePeriod="yesterday">
      <formula>FLOOR(R220,1)=TODAY()-1</formula>
    </cfRule>
    <cfRule type="timePeriod" dxfId="794" priority="476" timePeriod="today">
      <formula>FLOOR(R220,1)=TODAY()</formula>
    </cfRule>
  </conditionalFormatting>
  <conditionalFormatting sqref="R219">
    <cfRule type="timePeriod" dxfId="793" priority="473" timePeriod="yesterday">
      <formula>FLOOR(R219,1)=TODAY()-1</formula>
    </cfRule>
    <cfRule type="timePeriod" dxfId="792" priority="474" timePeriod="today">
      <formula>FLOOR(R219,1)=TODAY()</formula>
    </cfRule>
  </conditionalFormatting>
  <conditionalFormatting sqref="R218">
    <cfRule type="timePeriod" dxfId="791" priority="471" timePeriod="yesterday">
      <formula>FLOOR(R218,1)=TODAY()-1</formula>
    </cfRule>
    <cfRule type="timePeriod" dxfId="790" priority="472" timePeriod="today">
      <formula>FLOOR(R218,1)=TODAY()</formula>
    </cfRule>
  </conditionalFormatting>
  <conditionalFormatting sqref="R217">
    <cfRule type="timePeriod" dxfId="789" priority="469" timePeriod="yesterday">
      <formula>FLOOR(R217,1)=TODAY()-1</formula>
    </cfRule>
    <cfRule type="timePeriod" dxfId="788" priority="470" timePeriod="today">
      <formula>FLOOR(R217,1)=TODAY()</formula>
    </cfRule>
  </conditionalFormatting>
  <conditionalFormatting sqref="R216">
    <cfRule type="timePeriod" dxfId="787" priority="465" timePeriod="yesterday">
      <formula>FLOOR(R216,1)=TODAY()-1</formula>
    </cfRule>
    <cfRule type="timePeriod" dxfId="786" priority="466" timePeriod="today">
      <formula>FLOOR(R216,1)=TODAY()</formula>
    </cfRule>
  </conditionalFormatting>
  <conditionalFormatting sqref="R215">
    <cfRule type="timePeriod" dxfId="785" priority="463" timePeriod="yesterday">
      <formula>FLOOR(R215,1)=TODAY()-1</formula>
    </cfRule>
    <cfRule type="timePeriod" dxfId="784" priority="464" timePeriod="today">
      <formula>FLOOR(R215,1)=TODAY()</formula>
    </cfRule>
  </conditionalFormatting>
  <conditionalFormatting sqref="R214">
    <cfRule type="timePeriod" dxfId="783" priority="461" timePeriod="yesterday">
      <formula>FLOOR(R214,1)=TODAY()-1</formula>
    </cfRule>
    <cfRule type="timePeriod" dxfId="782" priority="462" timePeriod="today">
      <formula>FLOOR(R214,1)=TODAY()</formula>
    </cfRule>
  </conditionalFormatting>
  <conditionalFormatting sqref="R213">
    <cfRule type="timePeriod" dxfId="781" priority="459" timePeriod="yesterday">
      <formula>FLOOR(R213,1)=TODAY()-1</formula>
    </cfRule>
    <cfRule type="timePeriod" dxfId="780" priority="460" timePeriod="today">
      <formula>FLOOR(R213,1)=TODAY()</formula>
    </cfRule>
  </conditionalFormatting>
  <conditionalFormatting sqref="R212">
    <cfRule type="timePeriod" dxfId="779" priority="457" timePeriod="yesterday">
      <formula>FLOOR(R212,1)=TODAY()-1</formula>
    </cfRule>
    <cfRule type="timePeriod" dxfId="778" priority="458" timePeriod="today">
      <formula>FLOOR(R212,1)=TODAY()</formula>
    </cfRule>
  </conditionalFormatting>
  <conditionalFormatting sqref="R211">
    <cfRule type="timePeriod" dxfId="777" priority="455" timePeriod="yesterday">
      <formula>FLOOR(R211,1)=TODAY()-1</formula>
    </cfRule>
    <cfRule type="timePeriod" dxfId="776" priority="456" timePeriod="today">
      <formula>FLOOR(R211,1)=TODAY()</formula>
    </cfRule>
  </conditionalFormatting>
  <conditionalFormatting sqref="R210">
    <cfRule type="timePeriod" dxfId="775" priority="453" timePeriod="yesterday">
      <formula>FLOOR(R210,1)=TODAY()-1</formula>
    </cfRule>
    <cfRule type="timePeriod" dxfId="774" priority="454" timePeriod="today">
      <formula>FLOOR(R210,1)=TODAY()</formula>
    </cfRule>
  </conditionalFormatting>
  <conditionalFormatting sqref="R209">
    <cfRule type="timePeriod" dxfId="773" priority="451" timePeriod="yesterday">
      <formula>FLOOR(R209,1)=TODAY()-1</formula>
    </cfRule>
    <cfRule type="timePeriod" dxfId="772" priority="452" timePeriod="today">
      <formula>FLOOR(R209,1)=TODAY()</formula>
    </cfRule>
  </conditionalFormatting>
  <conditionalFormatting sqref="R208">
    <cfRule type="timePeriod" dxfId="771" priority="449" timePeriod="yesterday">
      <formula>FLOOR(R208,1)=TODAY()-1</formula>
    </cfRule>
    <cfRule type="timePeriod" dxfId="770" priority="450" timePeriod="today">
      <formula>FLOOR(R208,1)=TODAY()</formula>
    </cfRule>
  </conditionalFormatting>
  <conditionalFormatting sqref="R207">
    <cfRule type="timePeriod" dxfId="769" priority="447" timePeriod="yesterday">
      <formula>FLOOR(R207,1)=TODAY()-1</formula>
    </cfRule>
    <cfRule type="timePeriod" dxfId="768" priority="448" timePeriod="today">
      <formula>FLOOR(R207,1)=TODAY()</formula>
    </cfRule>
  </conditionalFormatting>
  <conditionalFormatting sqref="R206">
    <cfRule type="timePeriod" dxfId="767" priority="445" timePeriod="yesterday">
      <formula>FLOOR(R206,1)=TODAY()-1</formula>
    </cfRule>
    <cfRule type="timePeriod" dxfId="766" priority="446" timePeriod="today">
      <formula>FLOOR(R206,1)=TODAY()</formula>
    </cfRule>
  </conditionalFormatting>
  <conditionalFormatting sqref="R205">
    <cfRule type="timePeriod" dxfId="765" priority="443" timePeriod="yesterday">
      <formula>FLOOR(R205,1)=TODAY()-1</formula>
    </cfRule>
    <cfRule type="timePeriod" dxfId="764" priority="444" timePeriod="today">
      <formula>FLOOR(R205,1)=TODAY()</formula>
    </cfRule>
  </conditionalFormatting>
  <conditionalFormatting sqref="R204">
    <cfRule type="timePeriod" dxfId="763" priority="441" timePeriod="yesterday">
      <formula>FLOOR(R204,1)=TODAY()-1</formula>
    </cfRule>
    <cfRule type="timePeriod" dxfId="762" priority="442" timePeriod="today">
      <formula>FLOOR(R204,1)=TODAY()</formula>
    </cfRule>
  </conditionalFormatting>
  <conditionalFormatting sqref="R203">
    <cfRule type="timePeriod" dxfId="761" priority="439" timePeriod="yesterday">
      <formula>FLOOR(R203,1)=TODAY()-1</formula>
    </cfRule>
    <cfRule type="timePeriod" dxfId="760" priority="440" timePeriod="today">
      <formula>FLOOR(R203,1)=TODAY()</formula>
    </cfRule>
  </conditionalFormatting>
  <conditionalFormatting sqref="R202">
    <cfRule type="timePeriod" dxfId="759" priority="437" timePeriod="yesterday">
      <formula>FLOOR(R202,1)=TODAY()-1</formula>
    </cfRule>
    <cfRule type="timePeriod" dxfId="758" priority="438" timePeriod="today">
      <formula>FLOOR(R202,1)=TODAY()</formula>
    </cfRule>
  </conditionalFormatting>
  <conditionalFormatting sqref="R201">
    <cfRule type="timePeriod" dxfId="757" priority="435" timePeriod="yesterday">
      <formula>FLOOR(R201,1)=TODAY()-1</formula>
    </cfRule>
    <cfRule type="timePeriod" dxfId="756" priority="436" timePeriod="today">
      <formula>FLOOR(R201,1)=TODAY()</formula>
    </cfRule>
  </conditionalFormatting>
  <conditionalFormatting sqref="R200">
    <cfRule type="timePeriod" dxfId="755" priority="433" timePeriod="yesterday">
      <formula>FLOOR(R200,1)=TODAY()-1</formula>
    </cfRule>
    <cfRule type="timePeriod" dxfId="754" priority="434" timePeriod="today">
      <formula>FLOOR(R200,1)=TODAY()</formula>
    </cfRule>
  </conditionalFormatting>
  <conditionalFormatting sqref="R199">
    <cfRule type="timePeriod" dxfId="753" priority="431" timePeriod="yesterday">
      <formula>FLOOR(R199,1)=TODAY()-1</formula>
    </cfRule>
    <cfRule type="timePeriod" dxfId="752" priority="432" timePeriod="today">
      <formula>FLOOR(R199,1)=TODAY()</formula>
    </cfRule>
  </conditionalFormatting>
  <conditionalFormatting sqref="R198">
    <cfRule type="timePeriod" dxfId="751" priority="429" timePeriod="yesterday">
      <formula>FLOOR(R198,1)=TODAY()-1</formula>
    </cfRule>
    <cfRule type="timePeriod" dxfId="750" priority="430" timePeriod="today">
      <formula>FLOOR(R198,1)=TODAY()</formula>
    </cfRule>
  </conditionalFormatting>
  <conditionalFormatting sqref="R197">
    <cfRule type="timePeriod" dxfId="749" priority="427" timePeriod="yesterday">
      <formula>FLOOR(R197,1)=TODAY()-1</formula>
    </cfRule>
    <cfRule type="timePeriod" dxfId="748" priority="428" timePeriod="today">
      <formula>FLOOR(R197,1)=TODAY()</formula>
    </cfRule>
  </conditionalFormatting>
  <conditionalFormatting sqref="R196">
    <cfRule type="timePeriod" dxfId="747" priority="425" timePeriod="yesterday">
      <formula>FLOOR(R196,1)=TODAY()-1</formula>
    </cfRule>
    <cfRule type="timePeriod" dxfId="746" priority="426" timePeriod="today">
      <formula>FLOOR(R196,1)=TODAY()</formula>
    </cfRule>
  </conditionalFormatting>
  <conditionalFormatting sqref="R195">
    <cfRule type="timePeriod" dxfId="745" priority="423" timePeriod="yesterday">
      <formula>FLOOR(R195,1)=TODAY()-1</formula>
    </cfRule>
    <cfRule type="timePeriod" dxfId="744" priority="424" timePeriod="today">
      <formula>FLOOR(R195,1)=TODAY()</formula>
    </cfRule>
  </conditionalFormatting>
  <conditionalFormatting sqref="R194">
    <cfRule type="timePeriod" dxfId="743" priority="421" timePeriod="yesterday">
      <formula>FLOOR(R194,1)=TODAY()-1</formula>
    </cfRule>
    <cfRule type="timePeriod" dxfId="742" priority="422" timePeriod="today">
      <formula>FLOOR(R194,1)=TODAY()</formula>
    </cfRule>
  </conditionalFormatting>
  <conditionalFormatting sqref="R193">
    <cfRule type="timePeriod" dxfId="741" priority="419" timePeriod="yesterday">
      <formula>FLOOR(R193,1)=TODAY()-1</formula>
    </cfRule>
    <cfRule type="timePeriod" dxfId="740" priority="420" timePeriod="today">
      <formula>FLOOR(R193,1)=TODAY()</formula>
    </cfRule>
  </conditionalFormatting>
  <conditionalFormatting sqref="R192">
    <cfRule type="timePeriod" dxfId="739" priority="417" timePeriod="yesterday">
      <formula>FLOOR(R192,1)=TODAY()-1</formula>
    </cfRule>
    <cfRule type="timePeriod" dxfId="738" priority="418" timePeriod="today">
      <formula>FLOOR(R192,1)=TODAY()</formula>
    </cfRule>
  </conditionalFormatting>
  <conditionalFormatting sqref="R191">
    <cfRule type="timePeriod" dxfId="737" priority="415" timePeriod="yesterday">
      <formula>FLOOR(R191,1)=TODAY()-1</formula>
    </cfRule>
    <cfRule type="timePeriod" dxfId="736" priority="416" timePeriod="today">
      <formula>FLOOR(R191,1)=TODAY()</formula>
    </cfRule>
  </conditionalFormatting>
  <conditionalFormatting sqref="R190">
    <cfRule type="timePeriod" dxfId="735" priority="413" timePeriod="yesterday">
      <formula>FLOOR(R190,1)=TODAY()-1</formula>
    </cfRule>
    <cfRule type="timePeriod" dxfId="734" priority="414" timePeriod="today">
      <formula>FLOOR(R190,1)=TODAY()</formula>
    </cfRule>
  </conditionalFormatting>
  <conditionalFormatting sqref="R189">
    <cfRule type="timePeriod" dxfId="733" priority="411" timePeriod="yesterday">
      <formula>FLOOR(R189,1)=TODAY()-1</formula>
    </cfRule>
    <cfRule type="timePeriod" dxfId="732" priority="412" timePeriod="today">
      <formula>FLOOR(R189,1)=TODAY()</formula>
    </cfRule>
  </conditionalFormatting>
  <conditionalFormatting sqref="R188">
    <cfRule type="timePeriod" dxfId="731" priority="409" timePeriod="yesterday">
      <formula>FLOOR(R188,1)=TODAY()-1</formula>
    </cfRule>
    <cfRule type="timePeriod" dxfId="730" priority="410" timePeriod="today">
      <formula>FLOOR(R188,1)=TODAY()</formula>
    </cfRule>
  </conditionalFormatting>
  <conditionalFormatting sqref="R187">
    <cfRule type="timePeriod" dxfId="729" priority="403" timePeriod="yesterday">
      <formula>FLOOR(R187,1)=TODAY()-1</formula>
    </cfRule>
    <cfRule type="timePeriod" dxfId="728" priority="404" timePeriod="today">
      <formula>FLOOR(R187,1)=TODAY()</formula>
    </cfRule>
  </conditionalFormatting>
  <conditionalFormatting sqref="R186">
    <cfRule type="timePeriod" dxfId="727" priority="401" timePeriod="yesterday">
      <formula>FLOOR(R186,1)=TODAY()-1</formula>
    </cfRule>
    <cfRule type="timePeriod" dxfId="726" priority="402" timePeriod="today">
      <formula>FLOOR(R186,1)=TODAY()</formula>
    </cfRule>
  </conditionalFormatting>
  <conditionalFormatting sqref="R185">
    <cfRule type="timePeriod" dxfId="725" priority="399" timePeriod="yesterday">
      <formula>FLOOR(R185,1)=TODAY()-1</formula>
    </cfRule>
    <cfRule type="timePeriod" dxfId="724" priority="400" timePeriod="today">
      <formula>FLOOR(R185,1)=TODAY()</formula>
    </cfRule>
  </conditionalFormatting>
  <conditionalFormatting sqref="R184">
    <cfRule type="timePeriod" dxfId="723" priority="397" timePeriod="yesterday">
      <formula>FLOOR(R184,1)=TODAY()-1</formula>
    </cfRule>
    <cfRule type="timePeriod" dxfId="722" priority="398" timePeriod="today">
      <formula>FLOOR(R184,1)=TODAY()</formula>
    </cfRule>
  </conditionalFormatting>
  <conditionalFormatting sqref="R183">
    <cfRule type="timePeriod" dxfId="721" priority="395" timePeriod="yesterday">
      <formula>FLOOR(R183,1)=TODAY()-1</formula>
    </cfRule>
    <cfRule type="timePeriod" dxfId="720" priority="396" timePeriod="today">
      <formula>FLOOR(R183,1)=TODAY()</formula>
    </cfRule>
  </conditionalFormatting>
  <conditionalFormatting sqref="R182">
    <cfRule type="timePeriod" dxfId="719" priority="393" timePeriod="yesterday">
      <formula>FLOOR(R182,1)=TODAY()-1</formula>
    </cfRule>
    <cfRule type="timePeriod" dxfId="718" priority="394" timePeriod="today">
      <formula>FLOOR(R182,1)=TODAY()</formula>
    </cfRule>
  </conditionalFormatting>
  <conditionalFormatting sqref="R181">
    <cfRule type="timePeriod" dxfId="717" priority="391" timePeriod="yesterday">
      <formula>FLOOR(R181,1)=TODAY()-1</formula>
    </cfRule>
    <cfRule type="timePeriod" dxfId="716" priority="392" timePeriod="today">
      <formula>FLOOR(R181,1)=TODAY()</formula>
    </cfRule>
  </conditionalFormatting>
  <conditionalFormatting sqref="R180">
    <cfRule type="timePeriod" dxfId="715" priority="389" timePeriod="yesterday">
      <formula>FLOOR(R180,1)=TODAY()-1</formula>
    </cfRule>
    <cfRule type="timePeriod" dxfId="714" priority="390" timePeriod="today">
      <formula>FLOOR(R180,1)=TODAY()</formula>
    </cfRule>
  </conditionalFormatting>
  <conditionalFormatting sqref="R179">
    <cfRule type="timePeriod" dxfId="713" priority="387" timePeriod="yesterday">
      <formula>FLOOR(R179,1)=TODAY()-1</formula>
    </cfRule>
    <cfRule type="timePeriod" dxfId="712" priority="388" timePeriod="today">
      <formula>FLOOR(R179,1)=TODAY()</formula>
    </cfRule>
  </conditionalFormatting>
  <conditionalFormatting sqref="R178">
    <cfRule type="timePeriod" dxfId="711" priority="385" timePeriod="yesterday">
      <formula>FLOOR(R178,1)=TODAY()-1</formula>
    </cfRule>
    <cfRule type="timePeriod" dxfId="710" priority="386" timePeriod="today">
      <formula>FLOOR(R178,1)=TODAY()</formula>
    </cfRule>
  </conditionalFormatting>
  <conditionalFormatting sqref="R177">
    <cfRule type="timePeriod" dxfId="709" priority="383" timePeriod="yesterday">
      <formula>FLOOR(R177,1)=TODAY()-1</formula>
    </cfRule>
    <cfRule type="timePeriod" dxfId="708" priority="384" timePeriod="today">
      <formula>FLOOR(R177,1)=TODAY()</formula>
    </cfRule>
  </conditionalFormatting>
  <conditionalFormatting sqref="R176">
    <cfRule type="timePeriod" dxfId="707" priority="381" timePeriod="yesterday">
      <formula>FLOOR(R176,1)=TODAY()-1</formula>
    </cfRule>
    <cfRule type="timePeriod" dxfId="706" priority="382" timePeriod="today">
      <formula>FLOOR(R176,1)=TODAY()</formula>
    </cfRule>
  </conditionalFormatting>
  <conditionalFormatting sqref="R175">
    <cfRule type="timePeriod" dxfId="705" priority="379" timePeriod="yesterday">
      <formula>FLOOR(R175,1)=TODAY()-1</formula>
    </cfRule>
    <cfRule type="timePeriod" dxfId="704" priority="380" timePeriod="today">
      <formula>FLOOR(R175,1)=TODAY()</formula>
    </cfRule>
  </conditionalFormatting>
  <conditionalFormatting sqref="R174">
    <cfRule type="timePeriod" dxfId="703" priority="377" timePeriod="yesterday">
      <formula>FLOOR(R174,1)=TODAY()-1</formula>
    </cfRule>
    <cfRule type="timePeriod" dxfId="702" priority="378" timePeriod="today">
      <formula>FLOOR(R174,1)=TODAY()</formula>
    </cfRule>
  </conditionalFormatting>
  <conditionalFormatting sqref="R173">
    <cfRule type="timePeriod" dxfId="701" priority="375" timePeriod="yesterday">
      <formula>FLOOR(R173,1)=TODAY()-1</formula>
    </cfRule>
    <cfRule type="timePeriod" dxfId="700" priority="376" timePeriod="today">
      <formula>FLOOR(R173,1)=TODAY()</formula>
    </cfRule>
  </conditionalFormatting>
  <conditionalFormatting sqref="R172">
    <cfRule type="timePeriod" dxfId="699" priority="373" timePeriod="yesterday">
      <formula>FLOOR(R172,1)=TODAY()-1</formula>
    </cfRule>
    <cfRule type="timePeriod" dxfId="698" priority="374" timePeriod="today">
      <formula>FLOOR(R172,1)=TODAY()</formula>
    </cfRule>
  </conditionalFormatting>
  <conditionalFormatting sqref="R171">
    <cfRule type="timePeriod" dxfId="697" priority="371" timePeriod="yesterday">
      <formula>FLOOR(R171,1)=TODAY()-1</formula>
    </cfRule>
    <cfRule type="timePeriod" dxfId="696" priority="372" timePeriod="today">
      <formula>FLOOR(R171,1)=TODAY()</formula>
    </cfRule>
  </conditionalFormatting>
  <conditionalFormatting sqref="R170">
    <cfRule type="timePeriod" dxfId="695" priority="369" timePeriod="yesterday">
      <formula>FLOOR(R170,1)=TODAY()-1</formula>
    </cfRule>
    <cfRule type="timePeriod" dxfId="694" priority="370" timePeriod="today">
      <formula>FLOOR(R170,1)=TODAY()</formula>
    </cfRule>
  </conditionalFormatting>
  <conditionalFormatting sqref="R169">
    <cfRule type="timePeriod" dxfId="693" priority="365" timePeriod="yesterday">
      <formula>FLOOR(R169,1)=TODAY()-1</formula>
    </cfRule>
    <cfRule type="timePeriod" dxfId="692" priority="366" timePeriod="today">
      <formula>FLOOR(R169,1)=TODAY()</formula>
    </cfRule>
  </conditionalFormatting>
  <conditionalFormatting sqref="R168">
    <cfRule type="timePeriod" dxfId="691" priority="363" timePeriod="yesterday">
      <formula>FLOOR(R168,1)=TODAY()-1</formula>
    </cfRule>
    <cfRule type="timePeriod" dxfId="690" priority="364" timePeriod="today">
      <formula>FLOOR(R168,1)=TODAY()</formula>
    </cfRule>
  </conditionalFormatting>
  <conditionalFormatting sqref="R167">
    <cfRule type="timePeriod" dxfId="689" priority="361" timePeriod="yesterday">
      <formula>FLOOR(R167,1)=TODAY()-1</formula>
    </cfRule>
    <cfRule type="timePeriod" dxfId="688" priority="362" timePeriod="today">
      <formula>FLOOR(R167,1)=TODAY()</formula>
    </cfRule>
  </conditionalFormatting>
  <conditionalFormatting sqref="R166">
    <cfRule type="timePeriod" dxfId="687" priority="359" timePeriod="yesterday">
      <formula>FLOOR(R166,1)=TODAY()-1</formula>
    </cfRule>
    <cfRule type="timePeriod" dxfId="686" priority="360" timePeriod="today">
      <formula>FLOOR(R166,1)=TODAY()</formula>
    </cfRule>
  </conditionalFormatting>
  <conditionalFormatting sqref="R165">
    <cfRule type="timePeriod" dxfId="685" priority="357" timePeriod="yesterday">
      <formula>FLOOR(R165,1)=TODAY()-1</formula>
    </cfRule>
    <cfRule type="timePeriod" dxfId="684" priority="358" timePeriod="today">
      <formula>FLOOR(R165,1)=TODAY()</formula>
    </cfRule>
  </conditionalFormatting>
  <conditionalFormatting sqref="R164">
    <cfRule type="timePeriod" dxfId="683" priority="355" timePeriod="yesterday">
      <formula>FLOOR(R164,1)=TODAY()-1</formula>
    </cfRule>
    <cfRule type="timePeriod" dxfId="682" priority="356" timePeriod="today">
      <formula>FLOOR(R164,1)=TODAY()</formula>
    </cfRule>
  </conditionalFormatting>
  <conditionalFormatting sqref="R163">
    <cfRule type="timePeriod" dxfId="681" priority="353" timePeriod="yesterday">
      <formula>FLOOR(R163,1)=TODAY()-1</formula>
    </cfRule>
    <cfRule type="timePeriod" dxfId="680" priority="354" timePeriod="today">
      <formula>FLOOR(R163,1)=TODAY()</formula>
    </cfRule>
  </conditionalFormatting>
  <conditionalFormatting sqref="R162">
    <cfRule type="timePeriod" dxfId="679" priority="351" timePeriod="yesterday">
      <formula>FLOOR(R162,1)=TODAY()-1</formula>
    </cfRule>
    <cfRule type="timePeriod" dxfId="678" priority="352" timePeriod="today">
      <formula>FLOOR(R162,1)=TODAY()</formula>
    </cfRule>
  </conditionalFormatting>
  <conditionalFormatting sqref="R161">
    <cfRule type="timePeriod" dxfId="677" priority="349" timePeriod="yesterday">
      <formula>FLOOR(R161,1)=TODAY()-1</formula>
    </cfRule>
    <cfRule type="timePeriod" dxfId="676" priority="350" timePeriod="today">
      <formula>FLOOR(R161,1)=TODAY()</formula>
    </cfRule>
  </conditionalFormatting>
  <conditionalFormatting sqref="R160">
    <cfRule type="timePeriod" dxfId="675" priority="347" timePeriod="yesterday">
      <formula>FLOOR(R160,1)=TODAY()-1</formula>
    </cfRule>
    <cfRule type="timePeriod" dxfId="674" priority="348" timePeriod="today">
      <formula>FLOOR(R160,1)=TODAY()</formula>
    </cfRule>
  </conditionalFormatting>
  <conditionalFormatting sqref="R159">
    <cfRule type="timePeriod" dxfId="673" priority="345" timePeriod="yesterday">
      <formula>FLOOR(R159,1)=TODAY()-1</formula>
    </cfRule>
    <cfRule type="timePeriod" dxfId="672" priority="346" timePeriod="today">
      <formula>FLOOR(R159,1)=TODAY()</formula>
    </cfRule>
  </conditionalFormatting>
  <conditionalFormatting sqref="R158">
    <cfRule type="timePeriod" dxfId="671" priority="343" timePeriod="yesterday">
      <formula>FLOOR(R158,1)=TODAY()-1</formula>
    </cfRule>
    <cfRule type="timePeriod" dxfId="670" priority="344" timePeriod="today">
      <formula>FLOOR(R158,1)=TODAY()</formula>
    </cfRule>
  </conditionalFormatting>
  <conditionalFormatting sqref="R157">
    <cfRule type="timePeriod" dxfId="669" priority="341" timePeriod="yesterday">
      <formula>FLOOR(R157,1)=TODAY()-1</formula>
    </cfRule>
    <cfRule type="timePeriod" dxfId="668" priority="342" timePeriod="today">
      <formula>FLOOR(R157,1)=TODAY()</formula>
    </cfRule>
  </conditionalFormatting>
  <conditionalFormatting sqref="R156">
    <cfRule type="timePeriod" dxfId="667" priority="339" timePeriod="yesterday">
      <formula>FLOOR(R156,1)=TODAY()-1</formula>
    </cfRule>
    <cfRule type="timePeriod" dxfId="666" priority="340" timePeriod="today">
      <formula>FLOOR(R156,1)=TODAY()</formula>
    </cfRule>
  </conditionalFormatting>
  <conditionalFormatting sqref="R155">
    <cfRule type="timePeriod" dxfId="665" priority="337" timePeriod="yesterday">
      <formula>FLOOR(R155,1)=TODAY()-1</formula>
    </cfRule>
    <cfRule type="timePeriod" dxfId="664" priority="338" timePeriod="today">
      <formula>FLOOR(R155,1)=TODAY()</formula>
    </cfRule>
  </conditionalFormatting>
  <conditionalFormatting sqref="R154">
    <cfRule type="timePeriod" dxfId="663" priority="335" timePeriod="yesterday">
      <formula>FLOOR(R154,1)=TODAY()-1</formula>
    </cfRule>
    <cfRule type="timePeriod" dxfId="662" priority="336" timePeriod="today">
      <formula>FLOOR(R154,1)=TODAY()</formula>
    </cfRule>
  </conditionalFormatting>
  <conditionalFormatting sqref="R153">
    <cfRule type="timePeriod" dxfId="661" priority="333" timePeriod="yesterday">
      <formula>FLOOR(R153,1)=TODAY()-1</formula>
    </cfRule>
    <cfRule type="timePeriod" dxfId="660" priority="334" timePeriod="today">
      <formula>FLOOR(R153,1)=TODAY()</formula>
    </cfRule>
  </conditionalFormatting>
  <conditionalFormatting sqref="R152">
    <cfRule type="timePeriod" dxfId="659" priority="331" timePeriod="yesterday">
      <formula>FLOOR(R152,1)=TODAY()-1</formula>
    </cfRule>
    <cfRule type="timePeriod" dxfId="658" priority="332" timePeriod="today">
      <formula>FLOOR(R152,1)=TODAY()</formula>
    </cfRule>
  </conditionalFormatting>
  <conditionalFormatting sqref="R151">
    <cfRule type="timePeriod" dxfId="657" priority="329" timePeriod="yesterday">
      <formula>FLOOR(R151,1)=TODAY()-1</formula>
    </cfRule>
    <cfRule type="timePeriod" dxfId="656" priority="330" timePeriod="today">
      <formula>FLOOR(R151,1)=TODAY()</formula>
    </cfRule>
  </conditionalFormatting>
  <conditionalFormatting sqref="R150">
    <cfRule type="timePeriod" dxfId="655" priority="327" timePeriod="yesterday">
      <formula>FLOOR(R150,1)=TODAY()-1</formula>
    </cfRule>
    <cfRule type="timePeriod" dxfId="654" priority="328" timePeriod="today">
      <formula>FLOOR(R150,1)=TODAY()</formula>
    </cfRule>
  </conditionalFormatting>
  <conditionalFormatting sqref="R149">
    <cfRule type="timePeriod" dxfId="653" priority="325" timePeriod="yesterday">
      <formula>FLOOR(R149,1)=TODAY()-1</formula>
    </cfRule>
    <cfRule type="timePeriod" dxfId="652" priority="326" timePeriod="today">
      <formula>FLOOR(R149,1)=TODAY()</formula>
    </cfRule>
  </conditionalFormatting>
  <conditionalFormatting sqref="R148">
    <cfRule type="timePeriod" dxfId="651" priority="323" timePeriod="yesterday">
      <formula>FLOOR(R148,1)=TODAY()-1</formula>
    </cfRule>
    <cfRule type="timePeriod" dxfId="650" priority="324" timePeriod="today">
      <formula>FLOOR(R148,1)=TODAY()</formula>
    </cfRule>
  </conditionalFormatting>
  <conditionalFormatting sqref="R147">
    <cfRule type="timePeriod" dxfId="649" priority="321" timePeriod="yesterday">
      <formula>FLOOR(R147,1)=TODAY()-1</formula>
    </cfRule>
    <cfRule type="timePeriod" dxfId="648" priority="322" timePeriod="today">
      <formula>FLOOR(R147,1)=TODAY()</formula>
    </cfRule>
  </conditionalFormatting>
  <conditionalFormatting sqref="R146">
    <cfRule type="timePeriod" dxfId="647" priority="319" timePeriod="yesterday">
      <formula>FLOOR(R146,1)=TODAY()-1</formula>
    </cfRule>
    <cfRule type="timePeriod" dxfId="646" priority="320" timePeriod="today">
      <formula>FLOOR(R146,1)=TODAY()</formula>
    </cfRule>
  </conditionalFormatting>
  <conditionalFormatting sqref="R145">
    <cfRule type="timePeriod" dxfId="645" priority="317" timePeriod="yesterday">
      <formula>FLOOR(R145,1)=TODAY()-1</formula>
    </cfRule>
    <cfRule type="timePeriod" dxfId="644" priority="318" timePeriod="today">
      <formula>FLOOR(R145,1)=TODAY()</formula>
    </cfRule>
  </conditionalFormatting>
  <conditionalFormatting sqref="R144">
    <cfRule type="timePeriod" dxfId="643" priority="313" timePeriod="yesterday">
      <formula>FLOOR(R144,1)=TODAY()-1</formula>
    </cfRule>
    <cfRule type="timePeriod" dxfId="642" priority="314" timePeriod="today">
      <formula>FLOOR(R144,1)=TODAY()</formula>
    </cfRule>
  </conditionalFormatting>
  <conditionalFormatting sqref="R143">
    <cfRule type="timePeriod" dxfId="641" priority="311" timePeriod="yesterday">
      <formula>FLOOR(R143,1)=TODAY()-1</formula>
    </cfRule>
    <cfRule type="timePeriod" dxfId="640" priority="312" timePeriod="today">
      <formula>FLOOR(R143,1)=TODAY()</formula>
    </cfRule>
  </conditionalFormatting>
  <conditionalFormatting sqref="R142">
    <cfRule type="timePeriod" dxfId="639" priority="309" timePeriod="yesterday">
      <formula>FLOOR(R142,1)=TODAY()-1</formula>
    </cfRule>
    <cfRule type="timePeriod" dxfId="638" priority="310" timePeriod="today">
      <formula>FLOOR(R142,1)=TODAY()</formula>
    </cfRule>
  </conditionalFormatting>
  <conditionalFormatting sqref="R141">
    <cfRule type="timePeriod" dxfId="637" priority="307" timePeriod="yesterday">
      <formula>FLOOR(R141,1)=TODAY()-1</formula>
    </cfRule>
    <cfRule type="timePeriod" dxfId="636" priority="308" timePeriod="today">
      <formula>FLOOR(R141,1)=TODAY()</formula>
    </cfRule>
  </conditionalFormatting>
  <conditionalFormatting sqref="R140">
    <cfRule type="timePeriod" dxfId="635" priority="305" timePeriod="yesterday">
      <formula>FLOOR(R140,1)=TODAY()-1</formula>
    </cfRule>
    <cfRule type="timePeriod" dxfId="634" priority="306" timePeriod="today">
      <formula>FLOOR(R140,1)=TODAY()</formula>
    </cfRule>
  </conditionalFormatting>
  <conditionalFormatting sqref="R139">
    <cfRule type="timePeriod" dxfId="633" priority="303" timePeriod="yesterday">
      <formula>FLOOR(R139,1)=TODAY()-1</formula>
    </cfRule>
    <cfRule type="timePeriod" dxfId="632" priority="304" timePeriod="today">
      <formula>FLOOR(R139,1)=TODAY()</formula>
    </cfRule>
  </conditionalFormatting>
  <conditionalFormatting sqref="R138">
    <cfRule type="timePeriod" dxfId="631" priority="301" timePeriod="yesterday">
      <formula>FLOOR(R138,1)=TODAY()-1</formula>
    </cfRule>
    <cfRule type="timePeriod" dxfId="630" priority="302" timePeriod="today">
      <formula>FLOOR(R138,1)=TODAY()</formula>
    </cfRule>
  </conditionalFormatting>
  <conditionalFormatting sqref="R137">
    <cfRule type="timePeriod" dxfId="629" priority="299" timePeriod="yesterday">
      <formula>FLOOR(R137,1)=TODAY()-1</formula>
    </cfRule>
    <cfRule type="timePeriod" dxfId="628" priority="300" timePeriod="today">
      <formula>FLOOR(R137,1)=TODAY()</formula>
    </cfRule>
  </conditionalFormatting>
  <conditionalFormatting sqref="R136">
    <cfRule type="timePeriod" dxfId="627" priority="297" timePeriod="yesterday">
      <formula>FLOOR(R136,1)=TODAY()-1</formula>
    </cfRule>
    <cfRule type="timePeriod" dxfId="626" priority="298" timePeriod="today">
      <formula>FLOOR(R136,1)=TODAY()</formula>
    </cfRule>
  </conditionalFormatting>
  <conditionalFormatting sqref="R135">
    <cfRule type="timePeriod" dxfId="625" priority="291" timePeriod="yesterday">
      <formula>FLOOR(R135,1)=TODAY()-1</formula>
    </cfRule>
    <cfRule type="timePeriod" dxfId="624" priority="292" timePeriod="today">
      <formula>FLOOR(R135,1)=TODAY()</formula>
    </cfRule>
  </conditionalFormatting>
  <conditionalFormatting sqref="R134">
    <cfRule type="timePeriod" dxfId="623" priority="289" timePeriod="yesterday">
      <formula>FLOOR(R134,1)=TODAY()-1</formula>
    </cfRule>
    <cfRule type="timePeriod" dxfId="622" priority="290" timePeriod="today">
      <formula>FLOOR(R134,1)=TODAY()</formula>
    </cfRule>
  </conditionalFormatting>
  <conditionalFormatting sqref="R133">
    <cfRule type="timePeriod" dxfId="621" priority="287" timePeriod="yesterday">
      <formula>FLOOR(R133,1)=TODAY()-1</formula>
    </cfRule>
    <cfRule type="timePeriod" dxfId="620" priority="288" timePeriod="today">
      <formula>FLOOR(R133,1)=TODAY()</formula>
    </cfRule>
  </conditionalFormatting>
  <conditionalFormatting sqref="R132">
    <cfRule type="timePeriod" dxfId="619" priority="285" timePeriod="yesterday">
      <formula>FLOOR(R132,1)=TODAY()-1</formula>
    </cfRule>
    <cfRule type="timePeriod" dxfId="618" priority="286" timePeriod="today">
      <formula>FLOOR(R132,1)=TODAY()</formula>
    </cfRule>
  </conditionalFormatting>
  <conditionalFormatting sqref="R131">
    <cfRule type="timePeriod" dxfId="617" priority="283" timePeriod="yesterday">
      <formula>FLOOR(R131,1)=TODAY()-1</formula>
    </cfRule>
    <cfRule type="timePeriod" dxfId="616" priority="284" timePeriod="today">
      <formula>FLOOR(R131,1)=TODAY()</formula>
    </cfRule>
  </conditionalFormatting>
  <conditionalFormatting sqref="R130">
    <cfRule type="timePeriod" dxfId="615" priority="281" timePeriod="yesterday">
      <formula>FLOOR(R130,1)=TODAY()-1</formula>
    </cfRule>
    <cfRule type="timePeriod" dxfId="614" priority="282" timePeriod="today">
      <formula>FLOOR(R130,1)=TODAY()</formula>
    </cfRule>
  </conditionalFormatting>
  <conditionalFormatting sqref="R129">
    <cfRule type="timePeriod" dxfId="613" priority="279" timePeriod="yesterday">
      <formula>FLOOR(R129,1)=TODAY()-1</formula>
    </cfRule>
    <cfRule type="timePeriod" dxfId="612" priority="280" timePeriod="today">
      <formula>FLOOR(R129,1)=TODAY()</formula>
    </cfRule>
  </conditionalFormatting>
  <conditionalFormatting sqref="R128">
    <cfRule type="timePeriod" dxfId="611" priority="277" timePeriod="yesterday">
      <formula>FLOOR(R128,1)=TODAY()-1</formula>
    </cfRule>
    <cfRule type="timePeriod" dxfId="610" priority="278" timePeriod="today">
      <formula>FLOOR(R128,1)=TODAY()</formula>
    </cfRule>
  </conditionalFormatting>
  <conditionalFormatting sqref="R127">
    <cfRule type="timePeriod" dxfId="609" priority="273" timePeriod="yesterday">
      <formula>FLOOR(R127,1)=TODAY()-1</formula>
    </cfRule>
    <cfRule type="timePeriod" dxfId="608" priority="274" timePeriod="today">
      <formula>FLOOR(R127,1)=TODAY()</formula>
    </cfRule>
  </conditionalFormatting>
  <conditionalFormatting sqref="R126">
    <cfRule type="timePeriod" dxfId="607" priority="271" timePeriod="yesterday">
      <formula>FLOOR(R126,1)=TODAY()-1</formula>
    </cfRule>
    <cfRule type="timePeriod" dxfId="606" priority="272" timePeriod="today">
      <formula>FLOOR(R126,1)=TODAY()</formula>
    </cfRule>
  </conditionalFormatting>
  <conditionalFormatting sqref="R125">
    <cfRule type="timePeriod" dxfId="605" priority="269" timePeriod="yesterday">
      <formula>FLOOR(R125,1)=TODAY()-1</formula>
    </cfRule>
    <cfRule type="timePeriod" dxfId="604" priority="270" timePeriod="today">
      <formula>FLOOR(R125,1)=TODAY()</formula>
    </cfRule>
  </conditionalFormatting>
  <conditionalFormatting sqref="R124">
    <cfRule type="timePeriod" dxfId="603" priority="267" timePeriod="yesterday">
      <formula>FLOOR(R124,1)=TODAY()-1</formula>
    </cfRule>
    <cfRule type="timePeriod" dxfId="602" priority="268" timePeriod="today">
      <formula>FLOOR(R124,1)=TODAY()</formula>
    </cfRule>
  </conditionalFormatting>
  <conditionalFormatting sqref="R123">
    <cfRule type="timePeriod" dxfId="601" priority="265" timePeriod="yesterday">
      <formula>FLOOR(R123,1)=TODAY()-1</formula>
    </cfRule>
    <cfRule type="timePeriod" dxfId="600" priority="266" timePeriod="today">
      <formula>FLOOR(R123,1)=TODAY()</formula>
    </cfRule>
  </conditionalFormatting>
  <conditionalFormatting sqref="R122">
    <cfRule type="timePeriod" dxfId="599" priority="263" timePeriod="yesterday">
      <formula>FLOOR(R122,1)=TODAY()-1</formula>
    </cfRule>
    <cfRule type="timePeriod" dxfId="598" priority="264" timePeriod="today">
      <formula>FLOOR(R122,1)=TODAY()</formula>
    </cfRule>
  </conditionalFormatting>
  <conditionalFormatting sqref="R121">
    <cfRule type="timePeriod" dxfId="597" priority="259" timePeriod="yesterday">
      <formula>FLOOR(R121,1)=TODAY()-1</formula>
    </cfRule>
    <cfRule type="timePeriod" dxfId="596" priority="260" timePeriod="today">
      <formula>FLOOR(R121,1)=TODAY()</formula>
    </cfRule>
  </conditionalFormatting>
  <conditionalFormatting sqref="R120">
    <cfRule type="timePeriod" dxfId="595" priority="255" timePeriod="yesterday">
      <formula>FLOOR(R120,1)=TODAY()-1</formula>
    </cfRule>
    <cfRule type="timePeriod" dxfId="594" priority="256" timePeriod="today">
      <formula>FLOOR(R120,1)=TODAY()</formula>
    </cfRule>
  </conditionalFormatting>
  <conditionalFormatting sqref="R119">
    <cfRule type="timePeriod" dxfId="593" priority="253" timePeriod="yesterday">
      <formula>FLOOR(R119,1)=TODAY()-1</formula>
    </cfRule>
    <cfRule type="timePeriod" dxfId="592" priority="254" timePeriod="today">
      <formula>FLOOR(R119,1)=TODAY()</formula>
    </cfRule>
  </conditionalFormatting>
  <conditionalFormatting sqref="R118">
    <cfRule type="timePeriod" dxfId="591" priority="251" timePeriod="yesterday">
      <formula>FLOOR(R118,1)=TODAY()-1</formula>
    </cfRule>
    <cfRule type="timePeriod" dxfId="590" priority="252" timePeriod="today">
      <formula>FLOOR(R118,1)=TODAY()</formula>
    </cfRule>
  </conditionalFormatting>
  <conditionalFormatting sqref="R117">
    <cfRule type="timePeriod" dxfId="589" priority="249" timePeriod="yesterday">
      <formula>FLOOR(R117,1)=TODAY()-1</formula>
    </cfRule>
    <cfRule type="timePeriod" dxfId="588" priority="250" timePeriod="today">
      <formula>FLOOR(R117,1)=TODAY()</formula>
    </cfRule>
  </conditionalFormatting>
  <conditionalFormatting sqref="R116">
    <cfRule type="timePeriod" dxfId="587" priority="247" timePeriod="yesterday">
      <formula>FLOOR(R116,1)=TODAY()-1</formula>
    </cfRule>
    <cfRule type="timePeriod" dxfId="586" priority="248" timePeriod="today">
      <formula>FLOOR(R116,1)=TODAY()</formula>
    </cfRule>
  </conditionalFormatting>
  <conditionalFormatting sqref="R115">
    <cfRule type="timePeriod" dxfId="585" priority="245" timePeriod="yesterday">
      <formula>FLOOR(R115,1)=TODAY()-1</formula>
    </cfRule>
    <cfRule type="timePeriod" dxfId="584" priority="246" timePeriod="today">
      <formula>FLOOR(R115,1)=TODAY()</formula>
    </cfRule>
  </conditionalFormatting>
  <conditionalFormatting sqref="R114">
    <cfRule type="timePeriod" dxfId="583" priority="241" timePeriod="yesterday">
      <formula>FLOOR(R114,1)=TODAY()-1</formula>
    </cfRule>
    <cfRule type="timePeriod" dxfId="582" priority="242" timePeriod="today">
      <formula>FLOOR(R114,1)=TODAY()</formula>
    </cfRule>
  </conditionalFormatting>
  <conditionalFormatting sqref="R113">
    <cfRule type="timePeriod" dxfId="581" priority="239" timePeriod="yesterday">
      <formula>FLOOR(R113,1)=TODAY()-1</formula>
    </cfRule>
    <cfRule type="timePeriod" dxfId="580" priority="240" timePeriod="today">
      <formula>FLOOR(R113,1)=TODAY()</formula>
    </cfRule>
  </conditionalFormatting>
  <conditionalFormatting sqref="R112">
    <cfRule type="timePeriod" dxfId="579" priority="237" timePeriod="yesterday">
      <formula>FLOOR(R112,1)=TODAY()-1</formula>
    </cfRule>
    <cfRule type="timePeriod" dxfId="578" priority="238" timePeriod="today">
      <formula>FLOOR(R112,1)=TODAY()</formula>
    </cfRule>
  </conditionalFormatting>
  <conditionalFormatting sqref="R111">
    <cfRule type="timePeriod" dxfId="577" priority="235" timePeriod="yesterday">
      <formula>FLOOR(R111,1)=TODAY()-1</formula>
    </cfRule>
    <cfRule type="timePeriod" dxfId="576" priority="236" timePeriod="today">
      <formula>FLOOR(R111,1)=TODAY()</formula>
    </cfRule>
  </conditionalFormatting>
  <conditionalFormatting sqref="R110">
    <cfRule type="timePeriod" dxfId="575" priority="233" timePeriod="yesterday">
      <formula>FLOOR(R110,1)=TODAY()-1</formula>
    </cfRule>
    <cfRule type="timePeriod" dxfId="574" priority="234" timePeriod="today">
      <formula>FLOOR(R110,1)=TODAY()</formula>
    </cfRule>
  </conditionalFormatting>
  <conditionalFormatting sqref="R109">
    <cfRule type="timePeriod" dxfId="573" priority="231" timePeriod="yesterday">
      <formula>FLOOR(R109,1)=TODAY()-1</formula>
    </cfRule>
    <cfRule type="timePeriod" dxfId="572" priority="232" timePeriod="today">
      <formula>FLOOR(R109,1)=TODAY()</formula>
    </cfRule>
  </conditionalFormatting>
  <conditionalFormatting sqref="R108">
    <cfRule type="timePeriod" dxfId="571" priority="229" timePeriod="yesterday">
      <formula>FLOOR(R108,1)=TODAY()-1</formula>
    </cfRule>
    <cfRule type="timePeriod" dxfId="570" priority="230" timePeriod="today">
      <formula>FLOOR(R108,1)=TODAY()</formula>
    </cfRule>
  </conditionalFormatting>
  <conditionalFormatting sqref="R107">
    <cfRule type="timePeriod" dxfId="569" priority="227" timePeriod="yesterday">
      <formula>FLOOR(R107,1)=TODAY()-1</formula>
    </cfRule>
    <cfRule type="timePeriod" dxfId="568" priority="228" timePeriod="today">
      <formula>FLOOR(R107,1)=TODAY()</formula>
    </cfRule>
  </conditionalFormatting>
  <conditionalFormatting sqref="R106">
    <cfRule type="timePeriod" dxfId="567" priority="225" timePeriod="yesterday">
      <formula>FLOOR(R106,1)=TODAY()-1</formula>
    </cfRule>
    <cfRule type="timePeriod" dxfId="566" priority="226" timePeriod="today">
      <formula>FLOOR(R106,1)=TODAY()</formula>
    </cfRule>
  </conditionalFormatting>
  <conditionalFormatting sqref="R105">
    <cfRule type="timePeriod" dxfId="565" priority="221" timePeriod="yesterday">
      <formula>FLOOR(R105,1)=TODAY()-1</formula>
    </cfRule>
    <cfRule type="timePeriod" dxfId="564" priority="222" timePeriod="today">
      <formula>FLOOR(R105,1)=TODAY()</formula>
    </cfRule>
  </conditionalFormatting>
  <conditionalFormatting sqref="R104">
    <cfRule type="timePeriod" dxfId="563" priority="217" timePeriod="yesterday">
      <formula>FLOOR(R104,1)=TODAY()-1</formula>
    </cfRule>
    <cfRule type="timePeriod" dxfId="562" priority="218" timePeriod="today">
      <formula>FLOOR(R104,1)=TODAY()</formula>
    </cfRule>
  </conditionalFormatting>
  <conditionalFormatting sqref="R103">
    <cfRule type="timePeriod" dxfId="561" priority="215" timePeriod="yesterday">
      <formula>FLOOR(R103,1)=TODAY()-1</formula>
    </cfRule>
    <cfRule type="timePeriod" dxfId="560" priority="216" timePeriod="today">
      <formula>FLOOR(R103,1)=TODAY()</formula>
    </cfRule>
  </conditionalFormatting>
  <conditionalFormatting sqref="R102">
    <cfRule type="timePeriod" dxfId="559" priority="213" timePeriod="yesterday">
      <formula>FLOOR(R102,1)=TODAY()-1</formula>
    </cfRule>
    <cfRule type="timePeriod" dxfId="558" priority="214" timePeriod="today">
      <formula>FLOOR(R102,1)=TODAY()</formula>
    </cfRule>
  </conditionalFormatting>
  <conditionalFormatting sqref="R101">
    <cfRule type="timePeriod" dxfId="557" priority="211" timePeriod="yesterday">
      <formula>FLOOR(R101,1)=TODAY()-1</formula>
    </cfRule>
    <cfRule type="timePeriod" dxfId="556" priority="212" timePeriod="today">
      <formula>FLOOR(R101,1)=TODAY()</formula>
    </cfRule>
  </conditionalFormatting>
  <conditionalFormatting sqref="R100">
    <cfRule type="timePeriod" dxfId="555" priority="209" timePeriod="yesterday">
      <formula>FLOOR(R100,1)=TODAY()-1</formula>
    </cfRule>
    <cfRule type="timePeriod" dxfId="554" priority="210" timePeriod="today">
      <formula>FLOOR(R100,1)=TODAY()</formula>
    </cfRule>
  </conditionalFormatting>
  <conditionalFormatting sqref="R99">
    <cfRule type="timePeriod" dxfId="553" priority="207" timePeriod="yesterday">
      <formula>FLOOR(R99,1)=TODAY()-1</formula>
    </cfRule>
    <cfRule type="timePeriod" dxfId="552" priority="208" timePeriod="today">
      <formula>FLOOR(R99,1)=TODAY()</formula>
    </cfRule>
  </conditionalFormatting>
  <conditionalFormatting sqref="R98">
    <cfRule type="timePeriod" dxfId="551" priority="205" timePeriod="yesterday">
      <formula>FLOOR(R98,1)=TODAY()-1</formula>
    </cfRule>
    <cfRule type="timePeriod" dxfId="550" priority="206" timePeriod="today">
      <formula>FLOOR(R98,1)=TODAY()</formula>
    </cfRule>
  </conditionalFormatting>
  <conditionalFormatting sqref="R97">
    <cfRule type="timePeriod" dxfId="549" priority="199" timePeriod="yesterday">
      <formula>FLOOR(R97,1)=TODAY()-1</formula>
    </cfRule>
    <cfRule type="timePeriod" dxfId="548" priority="200" timePeriod="today">
      <formula>FLOOR(R97,1)=TODAY()</formula>
    </cfRule>
  </conditionalFormatting>
  <conditionalFormatting sqref="R96">
    <cfRule type="timePeriod" dxfId="547" priority="197" timePeriod="yesterday">
      <formula>FLOOR(R96,1)=TODAY()-1</formula>
    </cfRule>
    <cfRule type="timePeriod" dxfId="546" priority="198" timePeriod="today">
      <formula>FLOOR(R96,1)=TODAY()</formula>
    </cfRule>
  </conditionalFormatting>
  <conditionalFormatting sqref="R95">
    <cfRule type="timePeriod" dxfId="545" priority="195" timePeriod="yesterday">
      <formula>FLOOR(R95,1)=TODAY()-1</formula>
    </cfRule>
    <cfRule type="timePeriod" dxfId="544" priority="196" timePeriod="today">
      <formula>FLOOR(R95,1)=TODAY()</formula>
    </cfRule>
  </conditionalFormatting>
  <conditionalFormatting sqref="R94">
    <cfRule type="timePeriod" dxfId="543" priority="193" timePeriod="yesterday">
      <formula>FLOOR(R94,1)=TODAY()-1</formula>
    </cfRule>
    <cfRule type="timePeriod" dxfId="542" priority="194" timePeriod="today">
      <formula>FLOOR(R94,1)=TODAY()</formula>
    </cfRule>
  </conditionalFormatting>
  <conditionalFormatting sqref="R93">
    <cfRule type="timePeriod" dxfId="541" priority="191" timePeriod="yesterday">
      <formula>FLOOR(R93,1)=TODAY()-1</formula>
    </cfRule>
    <cfRule type="timePeriod" dxfId="540" priority="192" timePeriod="today">
      <formula>FLOOR(R93,1)=TODAY()</formula>
    </cfRule>
  </conditionalFormatting>
  <conditionalFormatting sqref="R92">
    <cfRule type="timePeriod" dxfId="539" priority="189" timePeriod="yesterday">
      <formula>FLOOR(R92,1)=TODAY()-1</formula>
    </cfRule>
    <cfRule type="timePeriod" dxfId="538" priority="190" timePeriod="today">
      <formula>FLOOR(R92,1)=TODAY()</formula>
    </cfRule>
  </conditionalFormatting>
  <conditionalFormatting sqref="R91">
    <cfRule type="timePeriod" dxfId="537" priority="187" timePeriod="yesterday">
      <formula>FLOOR(R91,1)=TODAY()-1</formula>
    </cfRule>
    <cfRule type="timePeriod" dxfId="536" priority="188" timePeriod="today">
      <formula>FLOOR(R91,1)=TODAY()</formula>
    </cfRule>
  </conditionalFormatting>
  <conditionalFormatting sqref="R90">
    <cfRule type="timePeriod" dxfId="535" priority="185" timePeriod="yesterday">
      <formula>FLOOR(R90,1)=TODAY()-1</formula>
    </cfRule>
    <cfRule type="timePeriod" dxfId="534" priority="186" timePeriod="today">
      <formula>FLOOR(R90,1)=TODAY()</formula>
    </cfRule>
  </conditionalFormatting>
  <conditionalFormatting sqref="R89">
    <cfRule type="timePeriod" dxfId="533" priority="183" timePeriod="yesterday">
      <formula>FLOOR(R89,1)=TODAY()-1</formula>
    </cfRule>
    <cfRule type="timePeriod" dxfId="532" priority="184" timePeriod="today">
      <formula>FLOOR(R89,1)=TODAY()</formula>
    </cfRule>
  </conditionalFormatting>
  <conditionalFormatting sqref="R88">
    <cfRule type="timePeriod" dxfId="531" priority="181" timePeriod="yesterday">
      <formula>FLOOR(R88,1)=TODAY()-1</formula>
    </cfRule>
    <cfRule type="timePeriod" dxfId="530" priority="182" timePeriod="today">
      <formula>FLOOR(R88,1)=TODAY()</formula>
    </cfRule>
  </conditionalFormatting>
  <conditionalFormatting sqref="R87">
    <cfRule type="timePeriod" dxfId="529" priority="179" timePeriod="yesterday">
      <formula>FLOOR(R87,1)=TODAY()-1</formula>
    </cfRule>
    <cfRule type="timePeriod" dxfId="528" priority="180" timePeriod="today">
      <formula>FLOOR(R87,1)=TODAY()</formula>
    </cfRule>
  </conditionalFormatting>
  <conditionalFormatting sqref="R86">
    <cfRule type="timePeriod" dxfId="527" priority="177" timePeriod="yesterday">
      <formula>FLOOR(R86,1)=TODAY()-1</formula>
    </cfRule>
    <cfRule type="timePeriod" dxfId="526" priority="178" timePeriod="today">
      <formula>FLOOR(R86,1)=TODAY()</formula>
    </cfRule>
  </conditionalFormatting>
  <conditionalFormatting sqref="R85">
    <cfRule type="timePeriod" dxfId="525" priority="175" timePeriod="yesterday">
      <formula>FLOOR(R85,1)=TODAY()-1</formula>
    </cfRule>
    <cfRule type="timePeriod" dxfId="524" priority="176" timePeriod="today">
      <formula>FLOOR(R85,1)=TODAY()</formula>
    </cfRule>
  </conditionalFormatting>
  <conditionalFormatting sqref="R84">
    <cfRule type="timePeriod" dxfId="523" priority="171" timePeriod="yesterday">
      <formula>FLOOR(R84,1)=TODAY()-1</formula>
    </cfRule>
    <cfRule type="timePeriod" dxfId="522" priority="172" timePeriod="today">
      <formula>FLOOR(R84,1)=TODAY()</formula>
    </cfRule>
  </conditionalFormatting>
  <conditionalFormatting sqref="R83">
    <cfRule type="timePeriod" dxfId="521" priority="169" timePeriod="yesterday">
      <formula>FLOOR(R83,1)=TODAY()-1</formula>
    </cfRule>
    <cfRule type="timePeriod" dxfId="520" priority="170" timePeriod="today">
      <formula>FLOOR(R83,1)=TODAY()</formula>
    </cfRule>
  </conditionalFormatting>
  <conditionalFormatting sqref="R82">
    <cfRule type="timePeriod" dxfId="519" priority="167" timePeriod="yesterday">
      <formula>FLOOR(R82,1)=TODAY()-1</formula>
    </cfRule>
    <cfRule type="timePeriod" dxfId="518" priority="168" timePeriod="today">
      <formula>FLOOR(R82,1)=TODAY()</formula>
    </cfRule>
  </conditionalFormatting>
  <conditionalFormatting sqref="R81">
    <cfRule type="timePeriod" dxfId="517" priority="165" timePeriod="yesterday">
      <formula>FLOOR(R81,1)=TODAY()-1</formula>
    </cfRule>
    <cfRule type="timePeriod" dxfId="516" priority="166" timePeriod="today">
      <formula>FLOOR(R81,1)=TODAY()</formula>
    </cfRule>
  </conditionalFormatting>
  <conditionalFormatting sqref="R80">
    <cfRule type="timePeriod" dxfId="515" priority="163" timePeriod="yesterday">
      <formula>FLOOR(R80,1)=TODAY()-1</formula>
    </cfRule>
    <cfRule type="timePeriod" dxfId="514" priority="164" timePeriod="today">
      <formula>FLOOR(R80,1)=TODAY()</formula>
    </cfRule>
  </conditionalFormatting>
  <conditionalFormatting sqref="R79">
    <cfRule type="timePeriod" dxfId="513" priority="159" timePeriod="yesterday">
      <formula>FLOOR(R79,1)=TODAY()-1</formula>
    </cfRule>
    <cfRule type="timePeriod" dxfId="512" priority="160" timePeriod="today">
      <formula>FLOOR(R79,1)=TODAY()</formula>
    </cfRule>
  </conditionalFormatting>
  <conditionalFormatting sqref="R78">
    <cfRule type="timePeriod" dxfId="511" priority="157" timePeriod="yesterday">
      <formula>FLOOR(R78,1)=TODAY()-1</formula>
    </cfRule>
    <cfRule type="timePeriod" dxfId="510" priority="158" timePeriod="today">
      <formula>FLOOR(R78,1)=TODAY()</formula>
    </cfRule>
  </conditionalFormatting>
  <conditionalFormatting sqref="R77">
    <cfRule type="timePeriod" dxfId="509" priority="155" timePeriod="yesterday">
      <formula>FLOOR(R77,1)=TODAY()-1</formula>
    </cfRule>
    <cfRule type="timePeriod" dxfId="508" priority="156" timePeriod="today">
      <formula>FLOOR(R77,1)=TODAY()</formula>
    </cfRule>
  </conditionalFormatting>
  <conditionalFormatting sqref="R76">
    <cfRule type="timePeriod" dxfId="507" priority="153" timePeriod="yesterday">
      <formula>FLOOR(R76,1)=TODAY()-1</formula>
    </cfRule>
    <cfRule type="timePeriod" dxfId="506" priority="154" timePeriod="today">
      <formula>FLOOR(R76,1)=TODAY()</formula>
    </cfRule>
  </conditionalFormatting>
  <conditionalFormatting sqref="R75">
    <cfRule type="timePeriod" dxfId="505" priority="151" timePeriod="yesterday">
      <formula>FLOOR(R75,1)=TODAY()-1</formula>
    </cfRule>
    <cfRule type="timePeriod" dxfId="504" priority="152" timePeriod="today">
      <formula>FLOOR(R75,1)=TODAY()</formula>
    </cfRule>
  </conditionalFormatting>
  <conditionalFormatting sqref="R74">
    <cfRule type="timePeriod" dxfId="503" priority="149" timePeriod="yesterday">
      <formula>FLOOR(R74,1)=TODAY()-1</formula>
    </cfRule>
    <cfRule type="timePeriod" dxfId="502" priority="150" timePeriod="today">
      <formula>FLOOR(R74,1)=TODAY()</formula>
    </cfRule>
  </conditionalFormatting>
  <conditionalFormatting sqref="R73">
    <cfRule type="timePeriod" dxfId="501" priority="147" timePeriod="yesterday">
      <formula>FLOOR(R73,1)=TODAY()-1</formula>
    </cfRule>
    <cfRule type="timePeriod" dxfId="500" priority="148" timePeriod="today">
      <formula>FLOOR(R73,1)=TODAY()</formula>
    </cfRule>
  </conditionalFormatting>
  <conditionalFormatting sqref="R72">
    <cfRule type="timePeriod" dxfId="499" priority="145" timePeriod="yesterday">
      <formula>FLOOR(R72,1)=TODAY()-1</formula>
    </cfRule>
    <cfRule type="timePeriod" dxfId="498" priority="146" timePeriod="today">
      <formula>FLOOR(R72,1)=TODAY()</formula>
    </cfRule>
  </conditionalFormatting>
  <conditionalFormatting sqref="R71">
    <cfRule type="timePeriod" dxfId="497" priority="143" timePeriod="yesterday">
      <formula>FLOOR(R71,1)=TODAY()-1</formula>
    </cfRule>
    <cfRule type="timePeriod" dxfId="496" priority="144" timePeriod="today">
      <formula>FLOOR(R71,1)=TODAY()</formula>
    </cfRule>
  </conditionalFormatting>
  <conditionalFormatting sqref="R70">
    <cfRule type="timePeriod" dxfId="495" priority="141" timePeriod="yesterday">
      <formula>FLOOR(R70,1)=TODAY()-1</formula>
    </cfRule>
    <cfRule type="timePeriod" dxfId="494" priority="142" timePeriod="today">
      <formula>FLOOR(R70,1)=TODAY()</formula>
    </cfRule>
  </conditionalFormatting>
  <conditionalFormatting sqref="R69">
    <cfRule type="timePeriod" dxfId="493" priority="139" timePeriod="yesterday">
      <formula>FLOOR(R69,1)=TODAY()-1</formula>
    </cfRule>
    <cfRule type="timePeriod" dxfId="492" priority="140" timePeriod="today">
      <formula>FLOOR(R69,1)=TODAY()</formula>
    </cfRule>
  </conditionalFormatting>
  <conditionalFormatting sqref="R68">
    <cfRule type="timePeriod" dxfId="491" priority="135" timePeriod="yesterday">
      <formula>FLOOR(R68,1)=TODAY()-1</formula>
    </cfRule>
    <cfRule type="timePeriod" dxfId="490" priority="136" timePeriod="today">
      <formula>FLOOR(R68,1)=TODAY()</formula>
    </cfRule>
  </conditionalFormatting>
  <conditionalFormatting sqref="R67">
    <cfRule type="timePeriod" dxfId="489" priority="133" timePeriod="yesterday">
      <formula>FLOOR(R67,1)=TODAY()-1</formula>
    </cfRule>
    <cfRule type="timePeriod" dxfId="488" priority="134" timePeriod="today">
      <formula>FLOOR(R67,1)=TODAY()</formula>
    </cfRule>
  </conditionalFormatting>
  <conditionalFormatting sqref="R66">
    <cfRule type="timePeriod" dxfId="487" priority="131" timePeriod="yesterday">
      <formula>FLOOR(R66,1)=TODAY()-1</formula>
    </cfRule>
    <cfRule type="timePeriod" dxfId="486" priority="132" timePeriod="today">
      <formula>FLOOR(R66,1)=TODAY()</formula>
    </cfRule>
  </conditionalFormatting>
  <conditionalFormatting sqref="R65">
    <cfRule type="timePeriod" dxfId="485" priority="127" timePeriod="yesterday">
      <formula>FLOOR(R65,1)=TODAY()-1</formula>
    </cfRule>
    <cfRule type="timePeriod" dxfId="484" priority="128" timePeriod="today">
      <formula>FLOOR(R65,1)=TODAY()</formula>
    </cfRule>
  </conditionalFormatting>
  <conditionalFormatting sqref="R64">
    <cfRule type="timePeriod" dxfId="483" priority="125" timePeriod="yesterday">
      <formula>FLOOR(R64,1)=TODAY()-1</formula>
    </cfRule>
    <cfRule type="timePeriod" dxfId="482" priority="126" timePeriod="today">
      <formula>FLOOR(R64,1)=TODAY()</formula>
    </cfRule>
  </conditionalFormatting>
  <conditionalFormatting sqref="R63">
    <cfRule type="timePeriod" dxfId="481" priority="123" timePeriod="yesterday">
      <formula>FLOOR(R63,1)=TODAY()-1</formula>
    </cfRule>
    <cfRule type="timePeriod" dxfId="480" priority="124" timePeriod="today">
      <formula>FLOOR(R63,1)=TODAY()</formula>
    </cfRule>
  </conditionalFormatting>
  <conditionalFormatting sqref="R62">
    <cfRule type="timePeriod" dxfId="479" priority="121" timePeriod="yesterday">
      <formula>FLOOR(R62,1)=TODAY()-1</formula>
    </cfRule>
    <cfRule type="timePeriod" dxfId="478" priority="122" timePeriod="today">
      <formula>FLOOR(R62,1)=TODAY()</formula>
    </cfRule>
  </conditionalFormatting>
  <conditionalFormatting sqref="R61">
    <cfRule type="timePeriod" dxfId="477" priority="119" timePeriod="yesterday">
      <formula>FLOOR(R61,1)=TODAY()-1</formula>
    </cfRule>
    <cfRule type="timePeriod" dxfId="476" priority="120" timePeriod="today">
      <formula>FLOOR(R61,1)=TODAY()</formula>
    </cfRule>
  </conditionalFormatting>
  <conditionalFormatting sqref="R60">
    <cfRule type="timePeriod" dxfId="475" priority="117" timePeriod="yesterday">
      <formula>FLOOR(R60,1)=TODAY()-1</formula>
    </cfRule>
    <cfRule type="timePeriod" dxfId="474" priority="118" timePeriod="today">
      <formula>FLOOR(R60,1)=TODAY()</formula>
    </cfRule>
  </conditionalFormatting>
  <conditionalFormatting sqref="R59">
    <cfRule type="timePeriod" dxfId="473" priority="115" timePeriod="yesterday">
      <formula>FLOOR(R59,1)=TODAY()-1</formula>
    </cfRule>
    <cfRule type="timePeriod" dxfId="472" priority="116" timePeriod="today">
      <formula>FLOOR(R59,1)=TODAY()</formula>
    </cfRule>
  </conditionalFormatting>
  <conditionalFormatting sqref="R58">
    <cfRule type="timePeriod" dxfId="471" priority="113" timePeriod="yesterday">
      <formula>FLOOR(R58,1)=TODAY()-1</formula>
    </cfRule>
    <cfRule type="timePeriod" dxfId="470" priority="114" timePeriod="today">
      <formula>FLOOR(R58,1)=TODAY()</formula>
    </cfRule>
  </conditionalFormatting>
  <conditionalFormatting sqref="R57">
    <cfRule type="timePeriod" dxfId="469" priority="111" timePeriod="yesterday">
      <formula>FLOOR(R57,1)=TODAY()-1</formula>
    </cfRule>
    <cfRule type="timePeriod" dxfId="468" priority="112" timePeriod="today">
      <formula>FLOOR(R57,1)=TODAY()</formula>
    </cfRule>
  </conditionalFormatting>
  <conditionalFormatting sqref="R56">
    <cfRule type="timePeriod" dxfId="467" priority="109" timePeriod="yesterday">
      <formula>FLOOR(R56,1)=TODAY()-1</formula>
    </cfRule>
    <cfRule type="timePeriod" dxfId="466" priority="110" timePeriod="today">
      <formula>FLOOR(R56,1)=TODAY()</formula>
    </cfRule>
  </conditionalFormatting>
  <conditionalFormatting sqref="R55">
    <cfRule type="timePeriod" dxfId="465" priority="107" timePeriod="yesterday">
      <formula>FLOOR(R55,1)=TODAY()-1</formula>
    </cfRule>
    <cfRule type="timePeriod" dxfId="464" priority="108" timePeriod="today">
      <formula>FLOOR(R55,1)=TODAY()</formula>
    </cfRule>
  </conditionalFormatting>
  <conditionalFormatting sqref="R54">
    <cfRule type="timePeriod" dxfId="463" priority="105" timePeriod="yesterday">
      <formula>FLOOR(R54,1)=TODAY()-1</formula>
    </cfRule>
    <cfRule type="timePeriod" dxfId="462" priority="106" timePeriod="today">
      <formula>FLOOR(R54,1)=TODAY()</formula>
    </cfRule>
  </conditionalFormatting>
  <conditionalFormatting sqref="R53">
    <cfRule type="timePeriod" dxfId="461" priority="101" timePeriod="yesterday">
      <formula>FLOOR(R53,1)=TODAY()-1</formula>
    </cfRule>
    <cfRule type="timePeriod" dxfId="460" priority="102" timePeriod="today">
      <formula>FLOOR(R53,1)=TODAY()</formula>
    </cfRule>
  </conditionalFormatting>
  <conditionalFormatting sqref="R52">
    <cfRule type="timePeriod" dxfId="459" priority="99" timePeriod="yesterday">
      <formula>FLOOR(R52,1)=TODAY()-1</formula>
    </cfRule>
    <cfRule type="timePeriod" dxfId="458" priority="100" timePeriod="today">
      <formula>FLOOR(R52,1)=TODAY()</formula>
    </cfRule>
  </conditionalFormatting>
  <conditionalFormatting sqref="R51">
    <cfRule type="timePeriod" dxfId="457" priority="97" timePeriod="yesterday">
      <formula>FLOOR(R51,1)=TODAY()-1</formula>
    </cfRule>
    <cfRule type="timePeriod" dxfId="456" priority="98" timePeriod="today">
      <formula>FLOOR(R51,1)=TODAY()</formula>
    </cfRule>
  </conditionalFormatting>
  <conditionalFormatting sqref="R50">
    <cfRule type="timePeriod" dxfId="455" priority="93" timePeriod="yesterday">
      <formula>FLOOR(R50,1)=TODAY()-1</formula>
    </cfRule>
    <cfRule type="timePeriod" dxfId="454" priority="94" timePeriod="today">
      <formula>FLOOR(R50,1)=TODAY()</formula>
    </cfRule>
  </conditionalFormatting>
  <conditionalFormatting sqref="R49">
    <cfRule type="timePeriod" dxfId="453" priority="91" timePeriod="yesterday">
      <formula>FLOOR(R49,1)=TODAY()-1</formula>
    </cfRule>
    <cfRule type="timePeriod" dxfId="452" priority="92" timePeriod="today">
      <formula>FLOOR(R49,1)=TODAY()</formula>
    </cfRule>
  </conditionalFormatting>
  <conditionalFormatting sqref="R48">
    <cfRule type="timePeriod" dxfId="451" priority="89" timePeriod="yesterday">
      <formula>FLOOR(R48,1)=TODAY()-1</formula>
    </cfRule>
    <cfRule type="timePeriod" dxfId="450" priority="90" timePeriod="today">
      <formula>FLOOR(R48,1)=TODAY()</formula>
    </cfRule>
  </conditionalFormatting>
  <conditionalFormatting sqref="R47">
    <cfRule type="timePeriod" dxfId="449" priority="87" timePeriod="yesterday">
      <formula>FLOOR(R47,1)=TODAY()-1</formula>
    </cfRule>
    <cfRule type="timePeriod" dxfId="448" priority="88" timePeriod="today">
      <formula>FLOOR(R47,1)=TODAY()</formula>
    </cfRule>
  </conditionalFormatting>
  <conditionalFormatting sqref="R46">
    <cfRule type="timePeriod" dxfId="447" priority="85" timePeriod="yesterday">
      <formula>FLOOR(R46,1)=TODAY()-1</formula>
    </cfRule>
    <cfRule type="timePeriod" dxfId="446" priority="86" timePeriod="today">
      <formula>FLOOR(R46,1)=TODAY()</formula>
    </cfRule>
  </conditionalFormatting>
  <conditionalFormatting sqref="R45">
    <cfRule type="timePeriod" dxfId="445" priority="83" timePeriod="yesterday">
      <formula>FLOOR(R45,1)=TODAY()-1</formula>
    </cfRule>
    <cfRule type="timePeriod" dxfId="444" priority="84" timePeriod="today">
      <formula>FLOOR(R45,1)=TODAY()</formula>
    </cfRule>
  </conditionalFormatting>
  <conditionalFormatting sqref="R44">
    <cfRule type="timePeriod" dxfId="443" priority="81" timePeriod="yesterday">
      <formula>FLOOR(R44,1)=TODAY()-1</formula>
    </cfRule>
    <cfRule type="timePeriod" dxfId="442" priority="82" timePeriod="today">
      <formula>FLOOR(R44,1)=TODAY()</formula>
    </cfRule>
  </conditionalFormatting>
  <conditionalFormatting sqref="R43">
    <cfRule type="timePeriod" dxfId="441" priority="79" timePeriod="yesterday">
      <formula>FLOOR(R43,1)=TODAY()-1</formula>
    </cfRule>
    <cfRule type="timePeriod" dxfId="440" priority="80" timePeriod="today">
      <formula>FLOOR(R43,1)=TODAY()</formula>
    </cfRule>
  </conditionalFormatting>
  <conditionalFormatting sqref="R42">
    <cfRule type="timePeriod" dxfId="439" priority="77" timePeriod="yesterday">
      <formula>FLOOR(R42,1)=TODAY()-1</formula>
    </cfRule>
    <cfRule type="timePeriod" dxfId="438" priority="78" timePeriod="today">
      <formula>FLOOR(R42,1)=TODAY()</formula>
    </cfRule>
  </conditionalFormatting>
  <conditionalFormatting sqref="R41">
    <cfRule type="timePeriod" dxfId="437" priority="75" timePeriod="yesterday">
      <formula>FLOOR(R41,1)=TODAY()-1</formula>
    </cfRule>
    <cfRule type="timePeriod" dxfId="436" priority="76" timePeriod="today">
      <formula>FLOOR(R41,1)=TODAY()</formula>
    </cfRule>
  </conditionalFormatting>
  <conditionalFormatting sqref="R40">
    <cfRule type="timePeriod" dxfId="435" priority="73" timePeriod="yesterday">
      <formula>FLOOR(R40,1)=TODAY()-1</formula>
    </cfRule>
    <cfRule type="timePeriod" dxfId="434" priority="74" timePeriod="today">
      <formula>FLOOR(R40,1)=TODAY()</formula>
    </cfRule>
  </conditionalFormatting>
  <conditionalFormatting sqref="R39">
    <cfRule type="timePeriod" dxfId="433" priority="71" timePeriod="yesterday">
      <formula>FLOOR(R39,1)=TODAY()-1</formula>
    </cfRule>
    <cfRule type="timePeriod" dxfId="432" priority="72" timePeriod="today">
      <formula>FLOOR(R39,1)=TODAY()</formula>
    </cfRule>
  </conditionalFormatting>
  <conditionalFormatting sqref="R38">
    <cfRule type="timePeriod" dxfId="431" priority="69" timePeriod="yesterday">
      <formula>FLOOR(R38,1)=TODAY()-1</formula>
    </cfRule>
    <cfRule type="timePeriod" dxfId="430" priority="70" timePeriod="today">
      <formula>FLOOR(R38,1)=TODAY()</formula>
    </cfRule>
  </conditionalFormatting>
  <conditionalFormatting sqref="R37">
    <cfRule type="timePeriod" dxfId="429" priority="67" timePeriod="yesterday">
      <formula>FLOOR(R37,1)=TODAY()-1</formula>
    </cfRule>
    <cfRule type="timePeriod" dxfId="428" priority="68" timePeriod="today">
      <formula>FLOOR(R37,1)=TODAY()</formula>
    </cfRule>
  </conditionalFormatting>
  <conditionalFormatting sqref="R36">
    <cfRule type="timePeriod" dxfId="427" priority="65" timePeriod="yesterday">
      <formula>FLOOR(R36,1)=TODAY()-1</formula>
    </cfRule>
    <cfRule type="timePeriod" dxfId="426" priority="66" timePeriod="today">
      <formula>FLOOR(R36,1)=TODAY()</formula>
    </cfRule>
  </conditionalFormatting>
  <conditionalFormatting sqref="R35">
    <cfRule type="timePeriod" dxfId="425" priority="63" timePeriod="yesterday">
      <formula>FLOOR(R35,1)=TODAY()-1</formula>
    </cfRule>
    <cfRule type="timePeriod" dxfId="424" priority="64" timePeriod="today">
      <formula>FLOOR(R35,1)=TODAY()</formula>
    </cfRule>
  </conditionalFormatting>
  <conditionalFormatting sqref="R34">
    <cfRule type="timePeriod" dxfId="423" priority="61" timePeriod="yesterday">
      <formula>FLOOR(R34,1)=TODAY()-1</formula>
    </cfRule>
    <cfRule type="timePeriod" dxfId="422" priority="62" timePeriod="today">
      <formula>FLOOR(R34,1)=TODAY()</formula>
    </cfRule>
  </conditionalFormatting>
  <conditionalFormatting sqref="R33">
    <cfRule type="timePeriod" dxfId="421" priority="59" timePeriod="yesterday">
      <formula>FLOOR(R33,1)=TODAY()-1</formula>
    </cfRule>
    <cfRule type="timePeriod" dxfId="420" priority="60" timePeriod="today">
      <formula>FLOOR(R33,1)=TODAY()</formula>
    </cfRule>
  </conditionalFormatting>
  <conditionalFormatting sqref="R32">
    <cfRule type="timePeriod" dxfId="419" priority="57" timePeriod="yesterday">
      <formula>FLOOR(R32,1)=TODAY()-1</formula>
    </cfRule>
    <cfRule type="timePeriod" dxfId="418" priority="58" timePeriod="today">
      <formula>FLOOR(R32,1)=TODAY()</formula>
    </cfRule>
  </conditionalFormatting>
  <conditionalFormatting sqref="R31">
    <cfRule type="timePeriod" dxfId="417" priority="55" timePeriod="yesterday">
      <formula>FLOOR(R31,1)=TODAY()-1</formula>
    </cfRule>
    <cfRule type="timePeriod" dxfId="416" priority="56" timePeriod="today">
      <formula>FLOOR(R31,1)=TODAY()</formula>
    </cfRule>
  </conditionalFormatting>
  <conditionalFormatting sqref="R30">
    <cfRule type="timePeriod" dxfId="415" priority="53" timePeriod="yesterday">
      <formula>FLOOR(R30,1)=TODAY()-1</formula>
    </cfRule>
    <cfRule type="timePeriod" dxfId="414" priority="54" timePeriod="today">
      <formula>FLOOR(R30,1)=TODAY()</formula>
    </cfRule>
  </conditionalFormatting>
  <conditionalFormatting sqref="R29">
    <cfRule type="timePeriod" dxfId="413" priority="51" timePeriod="yesterday">
      <formula>FLOOR(R29,1)=TODAY()-1</formula>
    </cfRule>
    <cfRule type="timePeriod" dxfId="412" priority="52" timePeriod="today">
      <formula>FLOOR(R29,1)=TODAY()</formula>
    </cfRule>
  </conditionalFormatting>
  <conditionalFormatting sqref="R28">
    <cfRule type="timePeriod" dxfId="411" priority="47" timePeriod="yesterday">
      <formula>FLOOR(R28,1)=TODAY()-1</formula>
    </cfRule>
    <cfRule type="timePeriod" dxfId="410" priority="48" timePeriod="today">
      <formula>FLOOR(R28,1)=TODAY()</formula>
    </cfRule>
  </conditionalFormatting>
  <conditionalFormatting sqref="R27">
    <cfRule type="timePeriod" dxfId="409" priority="45" timePeriod="yesterday">
      <formula>FLOOR(R27,1)=TODAY()-1</formula>
    </cfRule>
    <cfRule type="timePeriod" dxfId="408" priority="46" timePeriod="today">
      <formula>FLOOR(R27,1)=TODAY()</formula>
    </cfRule>
  </conditionalFormatting>
  <conditionalFormatting sqref="R26">
    <cfRule type="timePeriod" dxfId="407" priority="43" timePeriod="yesterday">
      <formula>FLOOR(R26,1)=TODAY()-1</formula>
    </cfRule>
    <cfRule type="timePeriod" dxfId="406" priority="44" timePeriod="today">
      <formula>FLOOR(R26,1)=TODAY()</formula>
    </cfRule>
  </conditionalFormatting>
  <conditionalFormatting sqref="R25">
    <cfRule type="timePeriod" dxfId="405" priority="41" timePeriod="yesterday">
      <formula>FLOOR(R25,1)=TODAY()-1</formula>
    </cfRule>
    <cfRule type="timePeriod" dxfId="404" priority="42" timePeriod="today">
      <formula>FLOOR(R25,1)=TODAY()</formula>
    </cfRule>
  </conditionalFormatting>
  <conditionalFormatting sqref="R24">
    <cfRule type="timePeriod" dxfId="403" priority="39" timePeriod="yesterday">
      <formula>FLOOR(R24,1)=TODAY()-1</formula>
    </cfRule>
    <cfRule type="timePeriod" dxfId="402" priority="40" timePeriod="today">
      <formula>FLOOR(R24,1)=TODAY()</formula>
    </cfRule>
  </conditionalFormatting>
  <conditionalFormatting sqref="R23">
    <cfRule type="timePeriod" dxfId="401" priority="37" timePeriod="yesterday">
      <formula>FLOOR(R23,1)=TODAY()-1</formula>
    </cfRule>
    <cfRule type="timePeriod" dxfId="400" priority="38" timePeriod="today">
      <formula>FLOOR(R23,1)=TODAY()</formula>
    </cfRule>
  </conditionalFormatting>
  <conditionalFormatting sqref="R22">
    <cfRule type="timePeriod" dxfId="399" priority="35" timePeriod="yesterday">
      <formula>FLOOR(R22,1)=TODAY()-1</formula>
    </cfRule>
    <cfRule type="timePeriod" dxfId="398" priority="36" timePeriod="today">
      <formula>FLOOR(R22,1)=TODAY()</formula>
    </cfRule>
  </conditionalFormatting>
  <conditionalFormatting sqref="R21">
    <cfRule type="timePeriod" dxfId="397" priority="33" timePeriod="yesterday">
      <formula>FLOOR(R21,1)=TODAY()-1</formula>
    </cfRule>
    <cfRule type="timePeriod" dxfId="396" priority="34" timePeriod="today">
      <formula>FLOOR(R21,1)=TODAY()</formula>
    </cfRule>
  </conditionalFormatting>
  <conditionalFormatting sqref="R20">
    <cfRule type="timePeriod" dxfId="395" priority="31" timePeriod="yesterday">
      <formula>FLOOR(R20,1)=TODAY()-1</formula>
    </cfRule>
    <cfRule type="timePeriod" dxfId="394" priority="32" timePeriod="today">
      <formula>FLOOR(R20,1)=TODAY()</formula>
    </cfRule>
  </conditionalFormatting>
  <conditionalFormatting sqref="R19">
    <cfRule type="timePeriod" dxfId="393" priority="29" timePeriod="yesterday">
      <formula>FLOOR(R19,1)=TODAY()-1</formula>
    </cfRule>
    <cfRule type="timePeriod" dxfId="392" priority="30" timePeriod="today">
      <formula>FLOOR(R19,1)=TODAY()</formula>
    </cfRule>
  </conditionalFormatting>
  <conditionalFormatting sqref="R18">
    <cfRule type="timePeriod" dxfId="391" priority="27" timePeriod="yesterday">
      <formula>FLOOR(R18,1)=TODAY()-1</formula>
    </cfRule>
    <cfRule type="timePeriod" dxfId="390" priority="28" timePeriod="today">
      <formula>FLOOR(R18,1)=TODAY()</formula>
    </cfRule>
  </conditionalFormatting>
  <conditionalFormatting sqref="R17">
    <cfRule type="timePeriod" dxfId="389" priority="25" timePeriod="yesterday">
      <formula>FLOOR(R17,1)=TODAY()-1</formula>
    </cfRule>
    <cfRule type="timePeriod" dxfId="388" priority="26" timePeriod="today">
      <formula>FLOOR(R17,1)=TODAY()</formula>
    </cfRule>
  </conditionalFormatting>
  <conditionalFormatting sqref="R16">
    <cfRule type="timePeriod" dxfId="387" priority="21" timePeriod="yesterday">
      <formula>FLOOR(R16,1)=TODAY()-1</formula>
    </cfRule>
    <cfRule type="timePeriod" dxfId="386" priority="22" timePeriod="today">
      <formula>FLOOR(R16,1)=TODAY()</formula>
    </cfRule>
  </conditionalFormatting>
  <conditionalFormatting sqref="R15">
    <cfRule type="timePeriod" dxfId="385" priority="19" timePeriod="yesterday">
      <formula>FLOOR(R15,1)=TODAY()-1</formula>
    </cfRule>
    <cfRule type="timePeriod" dxfId="384" priority="20" timePeriod="today">
      <formula>FLOOR(R15,1)=TODAY()</formula>
    </cfRule>
  </conditionalFormatting>
  <conditionalFormatting sqref="R14">
    <cfRule type="timePeriod" dxfId="383" priority="17" timePeriod="yesterday">
      <formula>FLOOR(R14,1)=TODAY()-1</formula>
    </cfRule>
    <cfRule type="timePeriod" dxfId="382" priority="18" timePeriod="today">
      <formula>FLOOR(R14,1)=TODAY()</formula>
    </cfRule>
  </conditionalFormatting>
  <conditionalFormatting sqref="R13">
    <cfRule type="timePeriod" dxfId="381" priority="15" timePeriod="yesterday">
      <formula>FLOOR(R13,1)=TODAY()-1</formula>
    </cfRule>
    <cfRule type="timePeriod" dxfId="380" priority="16" timePeriod="today">
      <formula>FLOOR(R13,1)=TODAY()</formula>
    </cfRule>
  </conditionalFormatting>
  <conditionalFormatting sqref="R12">
    <cfRule type="timePeriod" dxfId="379" priority="13" timePeriod="yesterday">
      <formula>FLOOR(R12,1)=TODAY()-1</formula>
    </cfRule>
    <cfRule type="timePeriod" dxfId="378" priority="14" timePeriod="today">
      <formula>FLOOR(R12,1)=TODAY()</formula>
    </cfRule>
  </conditionalFormatting>
  <conditionalFormatting sqref="R11">
    <cfRule type="timePeriod" dxfId="377" priority="11" timePeriod="yesterday">
      <formula>FLOOR(R11,1)=TODAY()-1</formula>
    </cfRule>
    <cfRule type="timePeriod" dxfId="376" priority="12" timePeriod="today">
      <formula>FLOOR(R11,1)=TODAY()</formula>
    </cfRule>
  </conditionalFormatting>
  <conditionalFormatting sqref="R10">
    <cfRule type="timePeriod" dxfId="375" priority="9" timePeriod="yesterday">
      <formula>FLOOR(R10,1)=TODAY()-1</formula>
    </cfRule>
    <cfRule type="timePeriod" dxfId="374" priority="10" timePeriod="today">
      <formula>FLOOR(R10,1)=TODAY()</formula>
    </cfRule>
  </conditionalFormatting>
  <conditionalFormatting sqref="R9">
    <cfRule type="timePeriod" dxfId="373" priority="7" timePeriod="yesterday">
      <formula>FLOOR(R9,1)=TODAY()-1</formula>
    </cfRule>
    <cfRule type="timePeriod" dxfId="372" priority="8" timePeriod="today">
      <formula>FLOOR(R9,1)=TODAY()</formula>
    </cfRule>
  </conditionalFormatting>
  <conditionalFormatting sqref="R8">
    <cfRule type="timePeriod" dxfId="371" priority="5" timePeriod="yesterday">
      <formula>FLOOR(R8,1)=TODAY()-1</formula>
    </cfRule>
    <cfRule type="timePeriod" dxfId="370" priority="6" timePeriod="today">
      <formula>FLOOR(R8,1)=TODAY()</formula>
    </cfRule>
  </conditionalFormatting>
  <conditionalFormatting sqref="R7">
    <cfRule type="timePeriod" dxfId="369" priority="3" timePeriod="yesterday">
      <formula>FLOOR(R7,1)=TODAY()-1</formula>
    </cfRule>
    <cfRule type="timePeriod" dxfId="368" priority="4" timePeriod="today">
      <formula>FLOOR(R7,1)=TODAY()</formula>
    </cfRule>
  </conditionalFormatting>
  <conditionalFormatting sqref="R6">
    <cfRule type="timePeriod" dxfId="367" priority="1" timePeriod="yesterday">
      <formula>FLOOR(R6,1)=TODAY()-1</formula>
    </cfRule>
    <cfRule type="timePeriod" dxfId="366" priority="2" timePeriod="today">
      <formula>FLOOR(R6,1)=TODAY()</formula>
    </cfRule>
  </conditionalFormatting>
  <dataValidations count="3">
    <dataValidation type="list" allowBlank="1" showInputMessage="1" showErrorMessage="1" sqref="A16 M2 M4 M6:M518" xr:uid="{50250CF4-CE3E-4D3B-BAFB-CC36802E0899}">
      <formula1>$A$2:$A$13</formula1>
    </dataValidation>
    <dataValidation type="list" allowBlank="1" showInputMessage="1" showErrorMessage="1" sqref="N4 N517:N518 N513 N511 N507:N508 N505 N503 N501 N494 N488:N490 N485:N486 N483 N481 N478 N472:N474 N468 N463:N464 N459 N455 N453 N450 N445:N447 N442:N443 N439 N437 N434:N435 N432 N429 N427 N425 N423 N421 N417 N412:N414 N410 N406 N402:N403 N397 N395 N393 N389:N390 N385 N382:N383 N380 N378 N374 N369:N371 N363:N364 N361 N358 N356 N350:N351 N347:N348 N344 N339:N341 N335:N336 N332 N330 N327 N325 N321 N318:N319 N312 N308 N303:N304 N301 N298 N295 N291:N292 N289 N287 N282 N279 N276 N274 N271 N268 N264 N260:N262 N258 N254:N256 N251:N252 N247:N248 N243 N241 N239 N237 N234 N232 N228 N225 N220:N222 N217:N218 N215 N212 N206 N202 N197:N199 N193 N188:N191 N185:N186 N181 N177:N178 N174 N172 N169 N164 N162 N159:N160 N156 N153 N151 N149 N142:N143 N138:N140 N136 N134 N129:N130 N125:N126 N121:N122 N119 N117 N112:N114 N109 N106:N107 N103:N104 N100 N98 N96 N94 N89 N85 N78 N76 N69:N70 N66:N67 N63 N59:N60 N55 N52:N53 N49 N47 N45 N41 N38 N35:N36 N32 N27 N24 N21 N17 N13:N15 N11 N6" xr:uid="{D2460DF5-6E79-492B-A915-FBD3C4979A09}">
      <formula1>"crédito,débito,pix,dinheiro"</formula1>
    </dataValidation>
    <dataValidation type="list" allowBlank="1" showInputMessage="1" showErrorMessage="1" sqref="L2 L5:L518" xr:uid="{45CD5F33-55E8-4E4C-AB6C-4CFC66EFA245}">
      <formula1>"atacado,avulso"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7EB6C-B953-4C01-B63A-5F03F5D97472}">
          <x14:formula1>
            <xm:f>estoque!$A$2:$A$11</xm:f>
          </x14:formula1>
          <xm:sqref>N2 N495:N500 N491:N493 N487 N484 N482 N479:N480 N475:N477 N469:N471 N465:N467 N460:N462 N456:N458 N454 N451:N452 N448:N449 N444 N440:N441 N438 N436 N433 N430:N431 N428 N426 N424 N422 N418:N420 N415:N416 N411 N407:N409 N404:N405 N398:N401 N396 N394 N391:N392 N386:N388 N384 N381 N379 N375:N377 N372:N373 N365:N368 N362 N359:N360 N357 N352:N355 N349 N345:N346 N342:N343 N337:N338 N333:N334 N331 N328:N329 N326 N322:N324 N320 N313:N317 N309:N311 N305:N307 N302 N299:N300 N296:N297 N293:N294 N290 N288 N283:N286 N280:N281 N277:N278 N275 N272:N273 N269:N270 N265:N267 N263 N259 N257 N253 N249:N250 N244:N246 N242 N240 N238 N235:N236 N233 N229:N231 N226:N227 N223:N224 N219 N216 N213:N214 N207:N211 N203:N205 N200:N201 N194:N196 N192 N187 N182:N184 N179:N180 N175:N176 N173 N170:N171 N165:N168 N163 N161 N157:N158 N154:N155 N152 N150 N144:N148 N141 N137 N135 N131:N133 N127:N128 N123:N124 N120 N118 N110:N111 N108 N105 N101:N102 N99 N97 N95 N115:N116 N90:N93 N86:N88 N79:N84 N77 N71:N75 N68 N64:N65 N61:N62 N56:N58 N54 N50:N51 N48 N46 N42:N44 N39:N40 N37 N33:N34 N28:N31 N25:N26 N22:N23 N18:N20 N16 N12 N7:N10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A9BDA-16E5-4718-810C-96646FEAD86D}">
  <sheetPr codeName="Planilha6"/>
  <dimension ref="A1:AM1120"/>
  <sheetViews>
    <sheetView showGridLines="0" zoomScale="85" zoomScaleNormal="85" workbookViewId="0">
      <selection activeCell="M14" sqref="M14"/>
    </sheetView>
  </sheetViews>
  <sheetFormatPr defaultRowHeight="13.8" x14ac:dyDescent="0.25"/>
  <cols>
    <col min="1" max="1" width="17.3984375" style="11" customWidth="1"/>
    <col min="2" max="2" width="16.09765625" style="11" bestFit="1" customWidth="1"/>
    <col min="3" max="3" width="16.19921875" style="11" bestFit="1" customWidth="1"/>
    <col min="4" max="4" width="13.59765625" style="154" bestFit="1" customWidth="1"/>
    <col min="5" max="5" width="17.5" bestFit="1" customWidth="1"/>
    <col min="6" max="6" width="13.796875" customWidth="1"/>
    <col min="7" max="7" width="8.3984375" customWidth="1"/>
    <col min="8" max="8" width="13.19921875" style="166" customWidth="1"/>
    <col min="9" max="9" width="7" bestFit="1" customWidth="1"/>
    <col min="10" max="10" width="6.09765625" bestFit="1" customWidth="1"/>
    <col min="11" max="11" width="12.69921875" style="40" bestFit="1" customWidth="1"/>
    <col min="12" max="12" width="11.5" style="41" customWidth="1"/>
    <col min="13" max="13" width="13.19921875" style="169" customWidth="1"/>
    <col min="14" max="14" width="12.69921875" style="151" customWidth="1"/>
    <col min="15" max="15" width="15.8984375" bestFit="1" customWidth="1"/>
    <col min="16" max="16" width="12.19921875" customWidth="1"/>
    <col min="17" max="17" width="10.09765625" bestFit="1" customWidth="1"/>
    <col min="18" max="18" width="12.3984375" style="166" customWidth="1"/>
    <col min="19" max="19" width="7" bestFit="1" customWidth="1"/>
    <col min="21" max="21" width="15.3984375" style="176" bestFit="1" customWidth="1"/>
    <col min="22" max="22" width="13.09765625" style="177" bestFit="1" customWidth="1"/>
    <col min="23" max="23" width="13.59765625" style="177" bestFit="1" customWidth="1"/>
    <col min="24" max="24" width="13.296875" style="200" bestFit="1" customWidth="1"/>
    <col min="25" max="25" width="15.3984375" customWidth="1"/>
    <col min="26" max="26" width="9" customWidth="1"/>
    <col min="27" max="27" width="13.796875" customWidth="1"/>
    <col min="28" max="28" width="7" bestFit="1" customWidth="1"/>
    <col min="29" max="29" width="7" customWidth="1"/>
    <col min="30" max="30" width="9.3984375" customWidth="1"/>
    <col min="31" max="31" width="13.19921875" bestFit="1" customWidth="1"/>
    <col min="32" max="32" width="13.19921875" customWidth="1"/>
    <col min="33" max="33" width="13.296875" bestFit="1" customWidth="1"/>
    <col min="34" max="34" width="11.8984375" customWidth="1"/>
    <col min="35" max="35" width="14.8984375" bestFit="1" customWidth="1"/>
    <col min="36" max="36" width="11.69921875" bestFit="1" customWidth="1"/>
    <col min="37" max="37" width="12.69921875" bestFit="1" customWidth="1"/>
    <col min="38" max="38" width="14.59765625" bestFit="1" customWidth="1"/>
    <col min="39" max="39" width="11.09765625" bestFit="1" customWidth="1"/>
    <col min="40" max="41" width="9.3984375" bestFit="1" customWidth="1"/>
    <col min="42" max="44" width="11.19921875" bestFit="1" customWidth="1"/>
    <col min="45" max="61" width="8.5" bestFit="1" customWidth="1"/>
    <col min="62" max="71" width="7.5" bestFit="1" customWidth="1"/>
    <col min="72" max="72" width="10.5" bestFit="1" customWidth="1"/>
    <col min="73" max="73" width="9.3984375" bestFit="1" customWidth="1"/>
  </cols>
  <sheetData>
    <row r="1" spans="1:39" x14ac:dyDescent="0.25">
      <c r="A1" t="s">
        <v>121</v>
      </c>
      <c r="B1" s="11" t="s">
        <v>104</v>
      </c>
      <c r="C1" t="s">
        <v>225</v>
      </c>
      <c r="D1" s="154" t="s">
        <v>104</v>
      </c>
      <c r="E1" t="s">
        <v>122</v>
      </c>
      <c r="F1" t="s">
        <v>84</v>
      </c>
      <c r="G1" t="s">
        <v>113</v>
      </c>
      <c r="H1" s="166" t="s">
        <v>2</v>
      </c>
      <c r="I1" t="s">
        <v>5</v>
      </c>
      <c r="J1" t="s">
        <v>6</v>
      </c>
      <c r="K1"/>
      <c r="L1" t="s">
        <v>117</v>
      </c>
      <c r="M1" s="166" t="s">
        <v>104</v>
      </c>
      <c r="N1" s="11" t="s">
        <v>283</v>
      </c>
      <c r="O1" t="s">
        <v>117</v>
      </c>
      <c r="P1" t="s">
        <v>84</v>
      </c>
      <c r="Q1" t="s">
        <v>113</v>
      </c>
      <c r="R1" s="166" t="s">
        <v>2</v>
      </c>
      <c r="S1" t="s">
        <v>5</v>
      </c>
      <c r="T1" t="s">
        <v>6</v>
      </c>
      <c r="U1" s="173"/>
      <c r="V1" s="165">
        <f>X3/2+X4+749.32+400-1900</f>
        <v>-10800.68</v>
      </c>
      <c r="W1" s="165" t="s">
        <v>118</v>
      </c>
      <c r="X1" s="165" t="s">
        <v>104</v>
      </c>
      <c r="Y1" t="s">
        <v>0</v>
      </c>
      <c r="Z1" t="s">
        <v>113</v>
      </c>
      <c r="AA1" t="s">
        <v>2</v>
      </c>
      <c r="AB1" t="s">
        <v>5</v>
      </c>
      <c r="AC1" t="s">
        <v>6</v>
      </c>
      <c r="AF1" s="7"/>
      <c r="AK1" s="11"/>
      <c r="AL1" s="11"/>
      <c r="AM1" s="11"/>
    </row>
    <row r="2" spans="1:39" x14ac:dyDescent="0.25">
      <c r="A2" t="s">
        <v>82</v>
      </c>
      <c r="B2" s="165">
        <f ca="1">B3+B4</f>
        <v>-109.5954900000288</v>
      </c>
      <c r="C2" t="s">
        <v>271</v>
      </c>
      <c r="D2" s="154">
        <f ca="1">controle[[#This Row],[valores]]+B5</f>
        <v>-109.5954900000288</v>
      </c>
      <c r="F2" t="s">
        <v>305</v>
      </c>
      <c r="G2" t="s">
        <v>115</v>
      </c>
      <c r="H2" s="165">
        <v>148.2371000000021</v>
      </c>
      <c r="I2" s="114">
        <v>46230</v>
      </c>
      <c r="J2" t="str">
        <f ca="1">IF(TEXT(contabilRegistro[[#This Row],[data]],"mmm")=TEXT(TODAY(),"mmm"),TEXT(contabilRegistro[[#This Row],[data]],"mmm"),"ERRO")</f>
        <v>jul</v>
      </c>
      <c r="K2"/>
      <c r="L2" s="236">
        <v>46204</v>
      </c>
      <c r="M2" s="165">
        <f ca="1">SUMIF(estoque[mês],TEXT(operacionalDaDos[[#This Row],[operacional]],"mmm"),estoque[lucro])+SUM(M4:M9)-12140.894964</f>
        <v>-20071.598499</v>
      </c>
      <c r="N2" s="178">
        <f ca="1">SUMIF(estoque[data],operacionalDaDos[[#This Row],[operacional]],estoque[lucro])+SUM(N4:N9)</f>
        <v>-405.0992</v>
      </c>
      <c r="O2" t="s">
        <v>383</v>
      </c>
      <c r="P2" t="s">
        <v>128</v>
      </c>
      <c r="Q2" t="s">
        <v>114</v>
      </c>
      <c r="R2" s="154">
        <v>-1140</v>
      </c>
      <c r="S2" s="114">
        <v>46227</v>
      </c>
      <c r="T2" t="str">
        <f>TEXT(operacionalRegistro[[#This Row],[data]],"mmm")</f>
        <v>jul</v>
      </c>
      <c r="U2" s="173"/>
      <c r="V2" s="165"/>
      <c r="W2" s="165" t="s">
        <v>292</v>
      </c>
      <c r="X2" s="165">
        <f>-SUMIFS(estoque[valor total],estoque[fornecedor],fornecedorDados[[#This Row],[fornecedo]])+SUMIF(fornecedor[fornecedor],fornecedorDados[[#This Row],[fornecedo]],fornecedor[valor])</f>
        <v>0</v>
      </c>
      <c r="Y2" s="29" t="s">
        <v>31</v>
      </c>
      <c r="Z2" t="s">
        <v>115</v>
      </c>
      <c r="AA2" s="154">
        <v>3720.89</v>
      </c>
      <c r="AB2" s="114">
        <v>46207</v>
      </c>
      <c r="AC2" t="str">
        <f ca="1">IF(TEXT(fornecedorRegistro[[#This Row],[data]],"mmm")=TEXT(TODAY(),"mmm"),TEXT(fornecedorRegistro[[#This Row],[data]],"mmm"),"ERRO")</f>
        <v>jul</v>
      </c>
      <c r="AF2" s="7"/>
      <c r="AK2" s="7"/>
      <c r="AL2" s="7"/>
      <c r="AM2" s="11"/>
    </row>
    <row r="3" spans="1:39" x14ac:dyDescent="0.25">
      <c r="A3" t="s">
        <v>115</v>
      </c>
      <c r="B3" s="165">
        <f ca="1">SUM(modoCtl[digital])</f>
        <v>-1051.7354900000319</v>
      </c>
      <c r="C3" t="s">
        <v>272</v>
      </c>
      <c r="D3" s="154">
        <f>-SUM(controleAprazo[saldo])</f>
        <v>1099.5</v>
      </c>
      <c r="E3" t="s">
        <v>122</v>
      </c>
      <c r="F3" t="s">
        <v>84</v>
      </c>
      <c r="G3" t="s">
        <v>113</v>
      </c>
      <c r="H3" s="166" t="s">
        <v>2</v>
      </c>
      <c r="I3" t="s">
        <v>5</v>
      </c>
      <c r="J3" t="s">
        <v>6</v>
      </c>
      <c r="K3"/>
      <c r="L3" s="1" t="s">
        <v>128</v>
      </c>
      <c r="M3" s="165">
        <f>-SUMIFS(operacional[valor],operacional[origem],operacionalDaDos[[#This Row],[operacional]])</f>
        <v>-10005.230000000001</v>
      </c>
      <c r="N3" s="154">
        <f>SUMIFS(operacional[valor],operacional[origem],operacionalDaDos[[#This Row],[operacional]],operacional[data],L2)</f>
        <v>-97.25</v>
      </c>
      <c r="O3" t="s">
        <v>117</v>
      </c>
      <c r="P3" t="s">
        <v>84</v>
      </c>
      <c r="Q3" t="s">
        <v>113</v>
      </c>
      <c r="R3" s="166" t="s">
        <v>2</v>
      </c>
      <c r="S3" s="114" t="s">
        <v>5</v>
      </c>
      <c r="T3" t="s">
        <v>6</v>
      </c>
      <c r="U3" s="173"/>
      <c r="V3" s="165"/>
      <c r="W3" s="165" t="s">
        <v>30</v>
      </c>
      <c r="X3" s="165">
        <f>-SUMIFS(estoque[valor total],estoque[fornecedor],fornecedorDados[[#This Row],[fornecedo]])+SUMIF(fornecedor[fornecedor],fornecedorDados[[#This Row],[fornecedo]],fornecedor[valor])</f>
        <v>0</v>
      </c>
      <c r="Y3" t="s">
        <v>0</v>
      </c>
      <c r="Z3" t="s">
        <v>113</v>
      </c>
      <c r="AA3" t="s">
        <v>2</v>
      </c>
      <c r="AB3" t="s">
        <v>5</v>
      </c>
      <c r="AC3" t="s">
        <v>6</v>
      </c>
      <c r="AF3" s="7"/>
      <c r="AM3" s="11"/>
    </row>
    <row r="4" spans="1:39" ht="15.6" x14ac:dyDescent="0.4">
      <c r="A4" t="s">
        <v>114</v>
      </c>
      <c r="B4" s="165">
        <f ca="1">SUM(modoCtl[espécie])</f>
        <v>942.14000000000306</v>
      </c>
      <c r="C4" t="s">
        <v>273</v>
      </c>
      <c r="D4" s="154">
        <f>-SUMIF(_xlfn.ANCHORARRAY(D32),"&lt;0",_xlfn.ANCHORARRAY(D32))</f>
        <v>1901.7900000000002</v>
      </c>
      <c r="F4" t="s">
        <v>305</v>
      </c>
      <c r="G4" t="s">
        <v>115</v>
      </c>
      <c r="H4" s="165">
        <v>148.2371000000021</v>
      </c>
      <c r="I4" s="114">
        <v>46230</v>
      </c>
      <c r="J4" t="s">
        <v>149</v>
      </c>
      <c r="K4"/>
      <c r="L4" s="1" t="s">
        <v>127</v>
      </c>
      <c r="M4" s="165">
        <f>SUMIFS(operacional[valor],operacional[origem],operacionalDaDos[[#This Row],[operacional]],operacional[mês],TEXT(L2,"mmm"))+SUMIFS(operacional[valor],operacional[origem],"deposito",operacional[mês],TEXT(L2,"mmm"))</f>
        <v>322.81</v>
      </c>
      <c r="N4" s="154">
        <f>SUMIFS(operacional[valor],operacional[origem],operacionalDaDos[[#This Row],[operacional]],operacional[data],L2)+SUMIFS(operacional[valor],operacional[origem],"deposito",operacional[data],L2)</f>
        <v>0</v>
      </c>
      <c r="O4" t="s">
        <v>302</v>
      </c>
      <c r="P4" t="s">
        <v>234</v>
      </c>
      <c r="Q4" t="s">
        <v>114</v>
      </c>
      <c r="R4" s="165">
        <v>-18</v>
      </c>
      <c r="S4" s="114">
        <v>46232</v>
      </c>
      <c r="T4" s="1" t="s">
        <v>149</v>
      </c>
      <c r="U4" s="173"/>
      <c r="V4" s="165"/>
      <c r="W4" s="165" t="s">
        <v>31</v>
      </c>
      <c r="X4" s="258">
        <f>-SUMIFS(estoque[valor total],estoque[fornecedor],fornecedorDados[[#This Row],[fornecedo]])+SUMIF(fornecedor[fornecedor],fornecedorDados[[#This Row],[fornecedo]],fornecedor[valor])</f>
        <v>-10050</v>
      </c>
      <c r="Y4" t="s">
        <v>31</v>
      </c>
      <c r="Z4" t="s">
        <v>115</v>
      </c>
      <c r="AA4" s="7">
        <v>3720.89</v>
      </c>
      <c r="AB4" s="114">
        <v>46207</v>
      </c>
      <c r="AC4" t="s">
        <v>149</v>
      </c>
      <c r="AF4" s="7"/>
    </row>
    <row r="5" spans="1:39" x14ac:dyDescent="0.25">
      <c r="A5" t="s">
        <v>116</v>
      </c>
      <c r="B5" s="165">
        <f>SUM(bloqueado[valores])+SUM(feriado[valores])-SUMIF(contabil[origem],"desbloqueado",contabil[valor])</f>
        <v>0</v>
      </c>
      <c r="C5" t="s">
        <v>274</v>
      </c>
      <c r="D5" s="154">
        <f>SUM(controleEstoque[valor estoque])</f>
        <v>4976.6294575765587</v>
      </c>
      <c r="F5" t="s">
        <v>305</v>
      </c>
      <c r="G5" t="s">
        <v>115</v>
      </c>
      <c r="H5" s="165">
        <v>428.07404999999926</v>
      </c>
      <c r="I5" s="114">
        <v>46230</v>
      </c>
      <c r="J5" t="s">
        <v>149</v>
      </c>
      <c r="K5"/>
      <c r="L5" s="1" t="s">
        <v>234</v>
      </c>
      <c r="M5" s="165">
        <f>SUMIFS(operacional[valor],operacional[origem],operacionalDaDos[[#This Row],[operacional]],operacional[mês],TEXT(L2,"mmm"))</f>
        <v>-1093.7249999999999</v>
      </c>
      <c r="N5" s="154">
        <f>SUMIFS(operacional[valor],operacional[origem],operacionalDaDos[[#This Row],[operacional]],operacional[data],L2)</f>
        <v>-31.42</v>
      </c>
      <c r="O5" t="s">
        <v>369</v>
      </c>
      <c r="P5" t="s">
        <v>234</v>
      </c>
      <c r="Q5" t="s">
        <v>114</v>
      </c>
      <c r="R5" s="165">
        <v>-2</v>
      </c>
      <c r="S5" s="114">
        <v>46231</v>
      </c>
      <c r="T5" s="1" t="s">
        <v>149</v>
      </c>
      <c r="U5" s="173"/>
      <c r="V5" s="165">
        <v>5044.4801051343502</v>
      </c>
      <c r="W5" s="165" t="s">
        <v>214</v>
      </c>
      <c r="X5" s="165">
        <f>-SUMIFS(estoque[valor total],estoque[fornecedor],fornecedorDados[[#This Row],[fornecedo]])+SUMIF(fornecedor[fornecedor],fornecedorDados[[#This Row],[fornecedo]],fornecedor[valor])</f>
        <v>0</v>
      </c>
      <c r="Y5" t="s">
        <v>31</v>
      </c>
      <c r="Z5" t="s">
        <v>115</v>
      </c>
      <c r="AA5" s="7">
        <v>1067</v>
      </c>
      <c r="AB5" s="114">
        <v>46205</v>
      </c>
      <c r="AC5" t="s">
        <v>149</v>
      </c>
      <c r="AF5" s="7"/>
    </row>
    <row r="6" spans="1:39" ht="14.4" thickBot="1" x14ac:dyDescent="0.3">
      <c r="A6" t="s">
        <v>232</v>
      </c>
      <c r="B6" s="198">
        <f ca="1">(SUM(estoque[lucro])*40%)-B7+SUMIF(operacional[origem],"Salário",operacional[valor])+SUMIF(operacional[origem],"deposito",operacional[valor])+SUMIF(operacional[origem],"juros",operacional[valor])+(B16+C16)</f>
        <v>-16856.772745079354</v>
      </c>
      <c r="C6" s="240" t="s">
        <v>398</v>
      </c>
      <c r="D6" s="245">
        <f ca="1">SUM(modoCtl[[espécie]:[digital]])+(SUM(controleEstoque[valor estoque])+SUM(fornecedorDados[valores]))+ABS(SUM(controleAprazo[saldo]))+ABS(SUMIF(_xlfn.ANCHORARRAY(D32),"&lt;0",_xlfn.ANCHORARRAY(D32)))</f>
        <v>-2181.6760324234883</v>
      </c>
      <c r="F6" t="s">
        <v>305</v>
      </c>
      <c r="G6" t="s">
        <v>115</v>
      </c>
      <c r="H6" s="165">
        <v>582.95030000000042</v>
      </c>
      <c r="I6" s="114">
        <v>46223</v>
      </c>
      <c r="J6" t="s">
        <v>149</v>
      </c>
      <c r="K6"/>
      <c r="L6" s="1" t="s">
        <v>129</v>
      </c>
      <c r="M6" s="165">
        <f>SUMIFS(operacional[valor],operacional[origem],operacionalDaDos[[#This Row],[operacional]],operacional[mês],TEXT(L2,"mmm"))</f>
        <v>-5606.4999999999991</v>
      </c>
      <c r="N6" s="154">
        <f>SUMIFS(operacional[valor],operacional[origem],operacionalDaDos[[#This Row],[operacional]],operacional[data],L2)</f>
        <v>0</v>
      </c>
      <c r="O6" t="s">
        <v>302</v>
      </c>
      <c r="P6" t="s">
        <v>234</v>
      </c>
      <c r="Q6" t="s">
        <v>115</v>
      </c>
      <c r="R6" s="165">
        <v>-83</v>
      </c>
      <c r="S6" s="114">
        <v>46230</v>
      </c>
      <c r="T6" s="1" t="s">
        <v>149</v>
      </c>
      <c r="U6" s="173"/>
      <c r="V6" s="165"/>
      <c r="W6" s="165"/>
      <c r="X6" s="165">
        <f>-SUMIFS(estoque[valor total],estoque[fornecedor],fornecedorDados[[#This Row],[fornecedo]])+SUMIF(fornecedor[fornecedor],fornecedorDados[[#This Row],[fornecedo]],fornecedor[valor])</f>
        <v>0</v>
      </c>
      <c r="Y6" t="s">
        <v>31</v>
      </c>
      <c r="Z6" t="s">
        <v>114</v>
      </c>
      <c r="AA6" s="7">
        <v>200</v>
      </c>
      <c r="AB6" s="114">
        <v>46204</v>
      </c>
      <c r="AC6" t="s">
        <v>149</v>
      </c>
      <c r="AF6" s="7"/>
    </row>
    <row r="7" spans="1:39" ht="15" thickTop="1" thickBot="1" x14ac:dyDescent="0.3">
      <c r="A7" t="s">
        <v>119</v>
      </c>
      <c r="B7" s="165">
        <f>SUMIFS(fechamento[total],fechamento[origem],"taxa")-SUMIF(contabil[origem],"tributo",contabil[valor])-SUMIF(contabil[origem],"taxa",contabil[valor])</f>
        <v>944.93000400000005</v>
      </c>
      <c r="C7" t="s">
        <v>0</v>
      </c>
      <c r="D7" s="154">
        <f>SUMIF(fornecedorDados[valores],"&lt;0",fornecedorDados[valores])</f>
        <v>-10050</v>
      </c>
      <c r="F7" t="s">
        <v>305</v>
      </c>
      <c r="G7" t="s">
        <v>115</v>
      </c>
      <c r="H7" s="165">
        <v>598.63320999999996</v>
      </c>
      <c r="I7" s="114">
        <v>46216</v>
      </c>
      <c r="J7" t="s">
        <v>149</v>
      </c>
      <c r="K7"/>
      <c r="L7" s="1" t="s">
        <v>87</v>
      </c>
      <c r="M7" s="165">
        <f>-SUMIFS(fechamento[total],fechamento[origem],"taxa",fechamento[mês],TEXT(L2,"mmm"))+SUMIFS(contabil[valor],contabil[origem],"Tributo",contabil[mês],TEXT(L2,"mmm"))+SUMIFS(contabil[valor],contabil[origem],"Taxa",contabil[mês],TEXT(L2,"mmm"))</f>
        <v>-124.57853499999999</v>
      </c>
      <c r="N7" s="154">
        <f>-SUMIFS(fechamento[total],fechamento[origem],"taxa",fechamento[data],L2)+SUMIFS(contabil[valor],contabil[origem],"Tributo",contabil[data],L2)+SUMIFS(contabil[valor],contabil[origem],"Taxa",contabil[data],L2)</f>
        <v>-4.3496999999999995</v>
      </c>
      <c r="O7" t="s">
        <v>369</v>
      </c>
      <c r="P7" t="s">
        <v>234</v>
      </c>
      <c r="Q7" t="s">
        <v>114</v>
      </c>
      <c r="R7" s="165">
        <v>-8</v>
      </c>
      <c r="S7" s="114">
        <v>46230</v>
      </c>
      <c r="T7" s="1" t="s">
        <v>149</v>
      </c>
      <c r="U7" s="174" t="s">
        <v>89</v>
      </c>
      <c r="V7" s="175" t="s">
        <v>3</v>
      </c>
      <c r="W7" s="175" t="s">
        <v>280</v>
      </c>
      <c r="X7" s="199" t="s">
        <v>281</v>
      </c>
      <c r="Y7" t="s">
        <v>31</v>
      </c>
      <c r="Z7" t="s">
        <v>115</v>
      </c>
      <c r="AA7" s="7">
        <v>1297.1099999999999</v>
      </c>
      <c r="AB7" s="114">
        <v>46203</v>
      </c>
      <c r="AC7" t="s">
        <v>148</v>
      </c>
      <c r="AE7" s="166"/>
      <c r="AF7" s="7"/>
    </row>
    <row r="8" spans="1:39" ht="14.4" thickTop="1" x14ac:dyDescent="0.25">
      <c r="A8" t="s">
        <v>126</v>
      </c>
      <c r="B8" s="165">
        <f ca="1">IF(B6&lt;0,ABS(B6*2),0)+IF(B10&lt;0,ABS(B10*2),0)+B9-((SUM(estoque[lucro])*15%)+6289.78)-SUMIFS(contabil[valor],contabil[modo],"",contabil[origem],"Reajuste")</f>
        <v>-717.26163739468939</v>
      </c>
      <c r="C8" t="s">
        <v>276</v>
      </c>
      <c r="D8" s="154">
        <f>-SUMIF(_xlfn.ANCHORARRAY(D32),"&gt;0",_xlfn.ANCHORARRAY(D32))</f>
        <v>-11907.02000000001</v>
      </c>
      <c r="F8" t="s">
        <v>154</v>
      </c>
      <c r="G8" t="s">
        <v>115</v>
      </c>
      <c r="H8" s="165">
        <f>-724.381505000045+470.77</f>
        <v>-253.61150500004499</v>
      </c>
      <c r="I8" s="114">
        <v>46214</v>
      </c>
      <c r="J8" t="s">
        <v>149</v>
      </c>
      <c r="K8"/>
      <c r="L8" s="147">
        <v>0.15</v>
      </c>
      <c r="M8" s="165">
        <f>-SUMIF(estoque[mês],TEXT(L2,"mmm"),estoque[lucro])*operacionalDaDos[[#This Row],[operacional]]</f>
        <v>-527.75999999999976</v>
      </c>
      <c r="N8" s="154">
        <f>-SUMIF(estoque[data],L2,estoque[lucro])*operacionalDaDos[[#This Row],[operacional]]</f>
        <v>-23.059500000000003</v>
      </c>
      <c r="O8" t="s">
        <v>332</v>
      </c>
      <c r="P8" t="s">
        <v>128</v>
      </c>
      <c r="Q8" t="s">
        <v>115</v>
      </c>
      <c r="R8" s="165">
        <v>35</v>
      </c>
      <c r="S8" s="114">
        <v>46228</v>
      </c>
      <c r="T8" s="1" t="s">
        <v>149</v>
      </c>
      <c r="U8" s="176" t="str" cm="1">
        <f t="array" ref="U8:X34">_xlfn.HSTACK(_xlfn.UNIQUE(_xlfn._xlws.FILTER(operacional[operacional],operacional[origem]=operacionalRegistro[origem],"Não há registro")),SUMIFS(operacional[valor],operacional[origem],operacionalRegistro[origem],operacional[operacional],_xlfn.UNIQUE(_xlfn._xlws.FILTER(operacional[operacional],operacional[origem]=operacionalRegistro[origem]))),SUMIFS(operacional[valor],operacional[origem],operacionalRegistro[origem],operacional[operacional],_xlfn.UNIQUE(_xlfn._xlws.FILTER(operacional[operacional],operacional[origem]=operacionalRegistro[origem])),operacional[data],_xlfn.MAXIFS(operacional[data],operacional[origem],operacionalRegistro[origem],operacional[operacional],_xlfn.UNIQUE(_xlfn._xlws.FILTER(operacional[operacional],operacional[origem]=operacionalRegistro[origem])))),_xlfn.MAXIFS(operacional[data],operacional[origem],operacionalRegistro[origem],operacional[operacional],_xlfn.UNIQUE(_xlfn._xlws.FILTER(operacional[operacional],operacional[origem]=operacionalRegistro[origem]))))</f>
        <v>mãe</v>
      </c>
      <c r="V8" s="177">
        <v>-148.19999999999999</v>
      </c>
      <c r="W8" s="177">
        <v>35</v>
      </c>
      <c r="X8" s="200">
        <v>46228</v>
      </c>
      <c r="Y8" t="s">
        <v>31</v>
      </c>
      <c r="Z8" t="s">
        <v>114</v>
      </c>
      <c r="AA8" s="7">
        <v>1930</v>
      </c>
      <c r="AB8" s="114">
        <v>46199</v>
      </c>
      <c r="AC8" t="s">
        <v>148</v>
      </c>
      <c r="AF8" s="7"/>
    </row>
    <row r="9" spans="1:39" ht="14.4" thickBot="1" x14ac:dyDescent="0.3">
      <c r="A9" t="s">
        <v>120</v>
      </c>
      <c r="B9" s="165">
        <f ca="1">(SUM(controleEstoque[valor estoque])+SUM(fornecedorDados[valores])-SUM(controleAprazo[saldo]))-SUMIF(operacional[origem],"emprestimo",operacional[valor])+B2+B5-ABS(B6)-ABS(B10)</f>
        <v>-47045.188745799707</v>
      </c>
      <c r="C9" t="s">
        <v>277</v>
      </c>
      <c r="D9" s="154">
        <f ca="1">+D2+D3+D4+D5+D7+D8</f>
        <v>-14088.696032423479</v>
      </c>
      <c r="F9" t="s">
        <v>154</v>
      </c>
      <c r="G9" t="s">
        <v>114</v>
      </c>
      <c r="H9" s="165">
        <v>-377.03</v>
      </c>
      <c r="I9" s="114">
        <v>46214</v>
      </c>
      <c r="J9" t="s">
        <v>149</v>
      </c>
      <c r="K9"/>
      <c r="L9" s="1" t="s">
        <v>282</v>
      </c>
      <c r="M9" s="165">
        <f ca="1">-SUMIFS(conta[valor],conta[situação],"pago",conta[data de pagamento],"&gt;="&amp;DATE(YEAR(L2),MONTH(L2),1),conta[data de pagamento],"&lt;="&amp;EOMONTH(DATE(YEAR(L2),MONTH(L2),1),0))</f>
        <v>-4419.3500000000004</v>
      </c>
      <c r="N9" s="154">
        <f ca="1">-SUMIFS(conta[valor],conta[situação],"pago",conta[data de pagamento],L2)</f>
        <v>-500</v>
      </c>
      <c r="O9" t="s">
        <v>379</v>
      </c>
      <c r="P9" t="s">
        <v>234</v>
      </c>
      <c r="Q9" t="s">
        <v>115</v>
      </c>
      <c r="R9" s="165">
        <v>-14.19</v>
      </c>
      <c r="S9" s="114">
        <v>46228</v>
      </c>
      <c r="T9" s="1" t="s">
        <v>149</v>
      </c>
      <c r="U9" s="176" t="str">
        <v>neuda</v>
      </c>
      <c r="V9" s="177">
        <v>241.5</v>
      </c>
      <c r="W9" s="177">
        <v>241.5</v>
      </c>
      <c r="X9" s="200">
        <v>46227</v>
      </c>
      <c r="Y9" t="s">
        <v>31</v>
      </c>
      <c r="Z9" t="s">
        <v>115</v>
      </c>
      <c r="AA9" s="7">
        <v>4530</v>
      </c>
      <c r="AB9" s="114">
        <v>46191</v>
      </c>
      <c r="AC9" t="s">
        <v>148</v>
      </c>
      <c r="AF9" s="7"/>
    </row>
    <row r="10" spans="1:39" ht="15" thickTop="1" thickBot="1" x14ac:dyDescent="0.3">
      <c r="A10" s="24" t="s">
        <v>233</v>
      </c>
      <c r="B10" s="165">
        <f ca="1">(SUM(estoque[lucro])*45%)+SUM(B17:C17)+SUMIF(operacional[origem],"operador",operacional[valor])</f>
        <v>-16099.719968296879</v>
      </c>
      <c r="C10" t="s">
        <v>278</v>
      </c>
      <c r="D10" s="154">
        <f ca="1">D2+D5+(D3/2)</f>
        <v>5416.7839675765299</v>
      </c>
      <c r="F10" t="s">
        <v>305</v>
      </c>
      <c r="G10" t="s">
        <v>115</v>
      </c>
      <c r="H10" s="165">
        <v>1059.540399999998</v>
      </c>
      <c r="I10" s="114">
        <v>46209</v>
      </c>
      <c r="J10" t="s">
        <v>149</v>
      </c>
      <c r="K10" s="183">
        <f>SUM(_xlfn.ANCHORARRAY(M11))</f>
        <v>241.5</v>
      </c>
      <c r="L10" s="185">
        <f>COUNTA(_xlfn.ANCHORARRAY(L11))</f>
        <v>4</v>
      </c>
      <c r="M10" s="167">
        <f>K10/L10</f>
        <v>60.375</v>
      </c>
      <c r="N10" s="184">
        <f ca="1">K10/(TODAY()-DATE(YEAR(TODAY()),1,1))</f>
        <v>1.1499999999999999</v>
      </c>
      <c r="O10" t="s">
        <v>302</v>
      </c>
      <c r="P10" t="s">
        <v>234</v>
      </c>
      <c r="Q10" t="s">
        <v>114</v>
      </c>
      <c r="R10" s="165">
        <v>-20</v>
      </c>
      <c r="S10" s="114">
        <v>46228</v>
      </c>
      <c r="T10" s="1" t="s">
        <v>149</v>
      </c>
      <c r="U10" s="176" t="str">
        <v>microondas</v>
      </c>
      <c r="V10" s="177">
        <v>100</v>
      </c>
      <c r="W10" s="177">
        <v>100</v>
      </c>
      <c r="X10" s="200">
        <v>46225</v>
      </c>
      <c r="Y10" t="s">
        <v>292</v>
      </c>
      <c r="Z10" t="s">
        <v>115</v>
      </c>
      <c r="AA10" s="7">
        <v>1170</v>
      </c>
      <c r="AB10" s="114">
        <v>46191</v>
      </c>
      <c r="AC10" t="s">
        <v>148</v>
      </c>
      <c r="AF10" s="7"/>
    </row>
    <row r="11" spans="1:39" ht="14.4" thickTop="1" x14ac:dyDescent="0.25">
      <c r="A11" t="s">
        <v>121</v>
      </c>
      <c r="B11" s="11" t="s">
        <v>114</v>
      </c>
      <c r="C11" t="s">
        <v>115</v>
      </c>
      <c r="D11" s="154" t="s">
        <v>225</v>
      </c>
      <c r="F11" t="s">
        <v>305</v>
      </c>
      <c r="G11" t="s">
        <v>115</v>
      </c>
      <c r="H11" s="165">
        <v>461.12970000000132</v>
      </c>
      <c r="I11" s="114">
        <v>46202</v>
      </c>
      <c r="J11" t="s">
        <v>148</v>
      </c>
      <c r="K11" s="38" t="str" cm="1">
        <f t="array" ref="K11:K14">_xlfn._xlws.FILTER(operacional[operacional],(operacional[operacional]=operacionalRegistro[operacional])*(operacional[origem]=operacionalRegistro[origem]))</f>
        <v>neuda</v>
      </c>
      <c r="L11" s="39" t="str" cm="1">
        <f t="array" ref="L11:L14">_xlfn._xlws.FILTER(operacional[modo],(operacional[operacional]=operacionalRegistro[operacional])*(operacional[origem]=operacionalRegistro[origem]))</f>
        <v>espécie</v>
      </c>
      <c r="M11" s="168" cm="1">
        <f t="array" ref="M11:M14">_xlfn._xlws.FILTER(operacional[valor],(operacional[operacional]=operacionalRegistro[operacional])*(operacional[origem]=operacionalRegistro[origem]))</f>
        <v>-1140</v>
      </c>
      <c r="N11" s="151" cm="1">
        <f t="array" ref="N11:N14">_xlfn._xlws.FILTER(operacional[data],(operacional[operacional]=operacionalRegistro[operacional])*(operacional[origem]=operacionalRegistro[origem]))</f>
        <v>46227</v>
      </c>
      <c r="O11" t="s">
        <v>383</v>
      </c>
      <c r="P11" t="s">
        <v>128</v>
      </c>
      <c r="Q11" t="s">
        <v>114</v>
      </c>
      <c r="R11" s="165">
        <v>-1140</v>
      </c>
      <c r="S11" s="114">
        <v>46227</v>
      </c>
      <c r="T11" s="1" t="s">
        <v>149</v>
      </c>
      <c r="U11" s="176" t="str">
        <v>ketherimipad</v>
      </c>
      <c r="V11" s="177">
        <v>990</v>
      </c>
      <c r="W11" s="177">
        <v>50</v>
      </c>
      <c r="X11" s="200">
        <v>46224</v>
      </c>
      <c r="Y11" t="s">
        <v>31</v>
      </c>
      <c r="Z11" t="s">
        <v>115</v>
      </c>
      <c r="AA11" s="7">
        <v>14.23</v>
      </c>
      <c r="AB11" s="114">
        <v>46187</v>
      </c>
      <c r="AC11" t="s">
        <v>148</v>
      </c>
      <c r="AD11" s="1"/>
      <c r="AF11" s="7"/>
    </row>
    <row r="12" spans="1:39" x14ac:dyDescent="0.25">
      <c r="A12" t="s">
        <v>124</v>
      </c>
      <c r="B12" s="165">
        <f>SUMIFS(fechamento[dinheiro],fechamento[origem],"liquido")</f>
        <v>25724.100000000002</v>
      </c>
      <c r="C12" s="165">
        <f>SUMIF(fechamento[origem],"liquido",fechamento[crédito])+SUMIF(fechamento[origem],"liquido",fechamento[débito])+SUMIF(fechamento[origem],"liquido",fechamento[pix])-$B$5</f>
        <v>103835.469996</v>
      </c>
      <c r="D12" s="154">
        <f ca="1">SUM(modoCtl[[espécie]:[digital]])+(SUM(controleEstoque[valor estoque])-SUM(fornecedorDados[valores]))+ABS(SUM(controleAprazo[saldo]))+ABS(SUMIF(_xlfn.ANCHORARRAY(D32),"&lt;0",_xlfn.ANCHORARRAY(D32)))</f>
        <v>17918.323967576511</v>
      </c>
      <c r="F12" t="s">
        <v>305</v>
      </c>
      <c r="G12" t="s">
        <v>115</v>
      </c>
      <c r="H12" s="165">
        <v>435.2168500000007</v>
      </c>
      <c r="I12" s="114">
        <v>46195</v>
      </c>
      <c r="J12" t="s">
        <v>148</v>
      </c>
      <c r="K12" s="40" t="str">
        <v>neuda</v>
      </c>
      <c r="L12" s="41" t="str">
        <v>digital</v>
      </c>
      <c r="M12" s="169">
        <v>1381.5</v>
      </c>
      <c r="N12" s="151">
        <v>46227</v>
      </c>
      <c r="O12" t="s">
        <v>383</v>
      </c>
      <c r="P12" t="s">
        <v>128</v>
      </c>
      <c r="Q12" t="s">
        <v>115</v>
      </c>
      <c r="R12" s="165">
        <v>1381.5</v>
      </c>
      <c r="S12" s="114">
        <v>46227</v>
      </c>
      <c r="T12" s="1" t="s">
        <v>149</v>
      </c>
      <c r="U12" s="176" t="str">
        <v>jaciara</v>
      </c>
      <c r="V12" s="177">
        <v>283.8599999999999</v>
      </c>
      <c r="W12" s="177">
        <v>283.86</v>
      </c>
      <c r="X12" s="200">
        <v>46223</v>
      </c>
      <c r="Y12" t="s">
        <v>31</v>
      </c>
      <c r="Z12" t="s">
        <v>115</v>
      </c>
      <c r="AA12" s="7">
        <v>147.13999999999999</v>
      </c>
      <c r="AB12" s="114">
        <v>46187</v>
      </c>
      <c r="AC12" t="s">
        <v>148</v>
      </c>
      <c r="AD12" s="8"/>
      <c r="AF12" s="7"/>
      <c r="AG12" t="s">
        <v>286</v>
      </c>
    </row>
    <row r="13" spans="1:39" x14ac:dyDescent="0.25">
      <c r="A13" t="s">
        <v>122</v>
      </c>
      <c r="B13" s="165">
        <f>SUMIF(contabil[modo],modoCtl[[#Headers],[espécie]],contabil[valor])</f>
        <v>3202.689846678441</v>
      </c>
      <c r="C13" s="165">
        <f>SUMIF(contabil[modo],modoCtl[[#Headers],[digital]],contabil[valor])-SUMIF(contabil[origem],"desbloqueado",contabil[valor])</f>
        <v>4879.5645139999506</v>
      </c>
      <c r="F13" t="s">
        <v>154</v>
      </c>
      <c r="G13" t="s">
        <v>115</v>
      </c>
      <c r="H13" s="165">
        <f>832.578944999997+303.03</f>
        <v>1135.608944999997</v>
      </c>
      <c r="I13" s="114">
        <v>46188</v>
      </c>
      <c r="J13" t="s">
        <v>148</v>
      </c>
      <c r="K13" s="40" t="str">
        <v>neuda</v>
      </c>
      <c r="L13" s="41" t="str">
        <v>digital</v>
      </c>
      <c r="M13" s="169">
        <v>1642.92</v>
      </c>
      <c r="N13" s="151">
        <v>46113</v>
      </c>
      <c r="O13" t="s">
        <v>205</v>
      </c>
      <c r="P13" t="s">
        <v>129</v>
      </c>
      <c r="Q13" t="s">
        <v>115</v>
      </c>
      <c r="R13" s="165">
        <v>-205.49</v>
      </c>
      <c r="S13" s="114">
        <v>46227</v>
      </c>
      <c r="T13" s="1" t="s">
        <v>149</v>
      </c>
      <c r="U13" s="176" t="str">
        <v>infinitepay</v>
      </c>
      <c r="V13" s="177">
        <v>-1.4551915228366852E-11</v>
      </c>
      <c r="W13" s="177">
        <v>-889.05</v>
      </c>
      <c r="X13" s="200">
        <v>46216</v>
      </c>
      <c r="Y13" t="s">
        <v>31</v>
      </c>
      <c r="Z13" t="s">
        <v>115</v>
      </c>
      <c r="AA13" s="7">
        <v>469</v>
      </c>
      <c r="AB13" s="114">
        <v>46186</v>
      </c>
      <c r="AC13" t="s">
        <v>148</v>
      </c>
      <c r="AD13" s="9"/>
      <c r="AE13" s="11"/>
      <c r="AF13" s="7"/>
    </row>
    <row r="14" spans="1:39" x14ac:dyDescent="0.25">
      <c r="A14" t="s">
        <v>117</v>
      </c>
      <c r="B14" s="165">
        <f>SUMIF(operacional[modo],modoCtl[[#Headers],[espécie]],operacional[valor])</f>
        <v>-12429.64984667844</v>
      </c>
      <c r="C14" s="165">
        <f>SUMIF(operacional[modo],modoCtl[[#Headers],[digital]],operacional[valor])</f>
        <v>3559.7500000000023</v>
      </c>
      <c r="F14" t="s">
        <v>154</v>
      </c>
      <c r="G14" t="s">
        <v>114</v>
      </c>
      <c r="H14" s="165">
        <v>-604.89999999999986</v>
      </c>
      <c r="I14" s="114">
        <v>46188</v>
      </c>
      <c r="J14" t="s">
        <v>148</v>
      </c>
      <c r="K14" s="40" t="str">
        <v>neuda</v>
      </c>
      <c r="L14" s="41" t="str">
        <v>espécie</v>
      </c>
      <c r="M14" s="169">
        <v>-1642.92</v>
      </c>
      <c r="N14" s="151">
        <v>46113</v>
      </c>
      <c r="O14" t="s">
        <v>205</v>
      </c>
      <c r="P14" t="s">
        <v>129</v>
      </c>
      <c r="Q14" t="s">
        <v>115</v>
      </c>
      <c r="R14" s="165">
        <v>-907.02</v>
      </c>
      <c r="S14" s="114">
        <v>46227</v>
      </c>
      <c r="T14" s="1" t="s">
        <v>149</v>
      </c>
      <c r="U14" s="176" t="str">
        <v>troca</v>
      </c>
      <c r="V14" s="177">
        <v>0</v>
      </c>
      <c r="W14" s="177">
        <v>0</v>
      </c>
      <c r="X14" s="200">
        <v>46214</v>
      </c>
      <c r="Y14" t="s">
        <v>292</v>
      </c>
      <c r="Z14" t="s">
        <v>114</v>
      </c>
      <c r="AA14" s="7">
        <v>1700</v>
      </c>
      <c r="AB14" s="114">
        <v>46185</v>
      </c>
      <c r="AC14" t="s">
        <v>148</v>
      </c>
      <c r="AD14" s="1"/>
      <c r="AF14" s="7"/>
    </row>
    <row r="15" spans="1:39" x14ac:dyDescent="0.25">
      <c r="A15" t="s">
        <v>123</v>
      </c>
      <c r="B15" s="165">
        <f>-SUMIF(fornecedor[modo],modoCtl[[#Headers],[espécie]],fornecedor[valor])</f>
        <v>-13530</v>
      </c>
      <c r="C15" s="165">
        <f>-SUMIF(fornecedor[modo],modoCtl[[#Headers],[digital]],fornecedor[valor])</f>
        <v>-86017.219999999987</v>
      </c>
      <c r="F15" t="s">
        <v>305</v>
      </c>
      <c r="G15" t="s">
        <v>115</v>
      </c>
      <c r="H15" s="165">
        <v>535.39429999999993</v>
      </c>
      <c r="I15" s="114">
        <v>46188</v>
      </c>
      <c r="J15" t="s">
        <v>148</v>
      </c>
      <c r="O15" t="s">
        <v>205</v>
      </c>
      <c r="P15" t="s">
        <v>129</v>
      </c>
      <c r="Q15" t="s">
        <v>115</v>
      </c>
      <c r="R15" s="165">
        <v>-268.99</v>
      </c>
      <c r="S15" s="114">
        <v>46227</v>
      </c>
      <c r="T15" s="1" t="s">
        <v>149</v>
      </c>
      <c r="U15" s="176" t="str">
        <v>jaciara Reserva</v>
      </c>
      <c r="V15" s="177">
        <v>400</v>
      </c>
      <c r="W15" s="177">
        <v>200</v>
      </c>
      <c r="X15" s="200">
        <v>46209</v>
      </c>
      <c r="Y15" t="s">
        <v>292</v>
      </c>
      <c r="Z15" t="s">
        <v>115</v>
      </c>
      <c r="AA15" s="7">
        <v>1000</v>
      </c>
      <c r="AB15" s="114">
        <v>46185</v>
      </c>
      <c r="AC15" t="s">
        <v>148</v>
      </c>
      <c r="AF15" s="11"/>
    </row>
    <row r="16" spans="1:39" x14ac:dyDescent="0.25">
      <c r="A16" t="s">
        <v>241</v>
      </c>
      <c r="B16" s="165">
        <f ca="1">-SUMIFS(conta[valor],conta[origem],"trabalho",conta[situação],"pago",conta[modo],modoCtl[[#Headers],[espécie]])</f>
        <v>-725</v>
      </c>
      <c r="C16" s="165">
        <f ca="1">-SUMIFS(conta[valor],conta[origem],"trabalho",conta[situação],"pago",conta[modo],modoCtl[[#Headers],[digital]])</f>
        <v>-16792</v>
      </c>
      <c r="F16" t="s">
        <v>305</v>
      </c>
      <c r="G16" t="s">
        <v>115</v>
      </c>
      <c r="H16" s="165">
        <v>208.02759999999944</v>
      </c>
      <c r="I16" s="114">
        <v>46181</v>
      </c>
      <c r="J16" t="s">
        <v>148</v>
      </c>
      <c r="O16" t="s">
        <v>205</v>
      </c>
      <c r="P16" t="s">
        <v>129</v>
      </c>
      <c r="Q16" t="s">
        <v>115</v>
      </c>
      <c r="R16" s="165">
        <v>-18</v>
      </c>
      <c r="S16" s="114">
        <v>46227</v>
      </c>
      <c r="T16" s="1" t="s">
        <v>149</v>
      </c>
      <c r="U16" s="176" t="str">
        <v>infinitepayPix</v>
      </c>
      <c r="V16" s="177">
        <v>3720.8900000000003</v>
      </c>
      <c r="W16" s="177">
        <v>3720.89</v>
      </c>
      <c r="X16" s="200">
        <v>46207</v>
      </c>
      <c r="Y16" t="s">
        <v>31</v>
      </c>
      <c r="Z16" t="s">
        <v>115</v>
      </c>
      <c r="AA16" s="7">
        <v>561.63</v>
      </c>
      <c r="AB16" s="114">
        <v>46185</v>
      </c>
      <c r="AC16" t="s">
        <v>148</v>
      </c>
      <c r="AF16" s="11"/>
    </row>
    <row r="17" spans="1:32" x14ac:dyDescent="0.25">
      <c r="A17" t="s">
        <v>242</v>
      </c>
      <c r="B17" s="165">
        <f ca="1">-SUMIFS(conta[valor],conta[origem],"pessoal",conta[situação],"pago",conta[modo],modoCtl[[#Headers],[espécie]])</f>
        <v>-1300</v>
      </c>
      <c r="C17" s="165">
        <f ca="1">-SUMIFS(conta[valor],conta[origem],"pessoal",conta[situação],"pago",conta[modo],modoCtl[[#Headers],[digital]])</f>
        <v>-10517.3</v>
      </c>
      <c r="E17" t="s">
        <v>427</v>
      </c>
      <c r="F17" t="s">
        <v>305</v>
      </c>
      <c r="G17" t="s">
        <v>115</v>
      </c>
      <c r="H17" s="165">
        <v>303.24085500000001</v>
      </c>
      <c r="I17" s="114">
        <v>46181</v>
      </c>
      <c r="J17" t="s">
        <v>148</v>
      </c>
      <c r="O17" t="s">
        <v>205</v>
      </c>
      <c r="P17" t="s">
        <v>129</v>
      </c>
      <c r="Q17" t="s">
        <v>115</v>
      </c>
      <c r="R17" s="165">
        <v>-280.02</v>
      </c>
      <c r="S17" s="114">
        <v>46227</v>
      </c>
      <c r="T17" s="1" t="s">
        <v>149</v>
      </c>
      <c r="U17" s="176" t="str">
        <v>jaciara Bemol</v>
      </c>
      <c r="V17" s="177">
        <v>6170.77</v>
      </c>
      <c r="W17" s="177">
        <v>470.77</v>
      </c>
      <c r="X17" s="200">
        <v>46199</v>
      </c>
      <c r="Y17" t="s">
        <v>31</v>
      </c>
      <c r="Z17" t="s">
        <v>115</v>
      </c>
      <c r="AA17" s="7">
        <v>385</v>
      </c>
      <c r="AB17" s="114">
        <v>46183</v>
      </c>
      <c r="AC17" t="s">
        <v>148</v>
      </c>
      <c r="AF17" s="11"/>
    </row>
    <row r="18" spans="1:32" x14ac:dyDescent="0.25">
      <c r="A18" t="s">
        <v>258</v>
      </c>
      <c r="B18" s="11" t="s">
        <v>284</v>
      </c>
      <c r="C18" t="s">
        <v>1</v>
      </c>
      <c r="D18" s="154" t="s">
        <v>82</v>
      </c>
      <c r="F18" t="s">
        <v>305</v>
      </c>
      <c r="G18" t="s">
        <v>115</v>
      </c>
      <c r="H18" s="165">
        <v>803.71400000000176</v>
      </c>
      <c r="I18" s="114">
        <v>46174</v>
      </c>
      <c r="J18" t="s">
        <v>148</v>
      </c>
      <c r="O18" t="s">
        <v>369</v>
      </c>
      <c r="P18" t="s">
        <v>234</v>
      </c>
      <c r="Q18" t="s">
        <v>114</v>
      </c>
      <c r="R18" s="165">
        <v>-6</v>
      </c>
      <c r="S18" s="114">
        <v>46227</v>
      </c>
      <c r="T18" s="1" t="s">
        <v>149</v>
      </c>
      <c r="U18" s="176" t="str">
        <v>luanny</v>
      </c>
      <c r="V18" s="177">
        <v>-114.96000000000001</v>
      </c>
      <c r="W18" s="177">
        <v>-5</v>
      </c>
      <c r="X18" s="200">
        <v>46197</v>
      </c>
      <c r="Y18" t="s">
        <v>31</v>
      </c>
      <c r="Z18" t="s">
        <v>115</v>
      </c>
      <c r="AA18" s="7">
        <v>406</v>
      </c>
      <c r="AB18" s="114">
        <v>46182</v>
      </c>
      <c r="AC18" t="s">
        <v>148</v>
      </c>
      <c r="AF18" s="11"/>
    </row>
    <row r="19" spans="1:32" ht="15.6" x14ac:dyDescent="0.25">
      <c r="A19" s="135" t="s">
        <v>259</v>
      </c>
      <c r="B19" s="152"/>
      <c r="C19" s="82"/>
      <c r="D19" s="170">
        <f>200*(contadorDemoeda[[#This Row],[quantidade]]+contadorDemoeda[[#This Row],[gardado]])</f>
        <v>0</v>
      </c>
      <c r="F19" t="s">
        <v>154</v>
      </c>
      <c r="G19" t="s">
        <v>114</v>
      </c>
      <c r="H19" s="165">
        <v>2.4499999999999886</v>
      </c>
      <c r="I19" s="114">
        <v>46173</v>
      </c>
      <c r="J19" t="s">
        <v>147</v>
      </c>
      <c r="O19" t="s">
        <v>302</v>
      </c>
      <c r="P19" t="s">
        <v>234</v>
      </c>
      <c r="Q19" t="s">
        <v>114</v>
      </c>
      <c r="R19" s="165">
        <v>-12.5</v>
      </c>
      <c r="S19" s="114">
        <v>46227</v>
      </c>
      <c r="T19" s="1" t="s">
        <v>149</v>
      </c>
      <c r="U19" s="176" t="str">
        <v>ketherim</v>
      </c>
      <c r="V19" s="177">
        <v>0</v>
      </c>
      <c r="W19" s="177">
        <v>4</v>
      </c>
      <c r="X19" s="200">
        <v>46185</v>
      </c>
      <c r="Y19" t="s">
        <v>31</v>
      </c>
      <c r="Z19" t="s">
        <v>115</v>
      </c>
      <c r="AA19" s="7">
        <v>612</v>
      </c>
      <c r="AB19" s="114">
        <v>46181</v>
      </c>
      <c r="AC19" t="s">
        <v>148</v>
      </c>
      <c r="AF19" s="11"/>
    </row>
    <row r="20" spans="1:32" ht="15.6" x14ac:dyDescent="0.25">
      <c r="A20" s="135" t="s">
        <v>260</v>
      </c>
      <c r="B20" s="152"/>
      <c r="C20" s="82">
        <v>2</v>
      </c>
      <c r="D20" s="170">
        <f>100*(contadorDemoeda[[#This Row],[quantidade]]+contadorDemoeda[[#This Row],[gardado]])</f>
        <v>200</v>
      </c>
      <c r="F20" t="s">
        <v>154</v>
      </c>
      <c r="G20" t="s">
        <v>114</v>
      </c>
      <c r="H20" s="165">
        <v>-296.75</v>
      </c>
      <c r="I20" s="114">
        <v>46171</v>
      </c>
      <c r="J20" t="s">
        <v>147</v>
      </c>
      <c r="O20" t="s">
        <v>332</v>
      </c>
      <c r="P20" t="s">
        <v>128</v>
      </c>
      <c r="Q20" t="s">
        <v>115</v>
      </c>
      <c r="R20" s="165">
        <v>-13</v>
      </c>
      <c r="S20" s="114">
        <v>46227</v>
      </c>
      <c r="T20" s="1" t="s">
        <v>149</v>
      </c>
      <c r="U20" s="176" t="str">
        <v>reserva</v>
      </c>
      <c r="V20" s="177">
        <v>0</v>
      </c>
      <c r="W20" s="177">
        <v>-2100</v>
      </c>
      <c r="X20" s="200">
        <v>46157</v>
      </c>
      <c r="Y20" t="s">
        <v>31</v>
      </c>
      <c r="Z20" t="s">
        <v>115</v>
      </c>
      <c r="AA20" s="7">
        <v>589</v>
      </c>
      <c r="AB20" s="114">
        <v>46179</v>
      </c>
      <c r="AC20" t="s">
        <v>148</v>
      </c>
      <c r="AF20" s="11"/>
    </row>
    <row r="21" spans="1:32" ht="15.6" x14ac:dyDescent="0.25">
      <c r="A21" s="135" t="s">
        <v>279</v>
      </c>
      <c r="B21" s="152"/>
      <c r="C21" s="82">
        <v>6</v>
      </c>
      <c r="D21" s="170">
        <f>50*(contadorDemoeda[[#This Row],[quantidade]]+contadorDemoeda[[#This Row],[gardado]])</f>
        <v>300</v>
      </c>
      <c r="F21" t="s">
        <v>305</v>
      </c>
      <c r="G21" t="s">
        <v>115</v>
      </c>
      <c r="H21" s="165">
        <v>528.60224999999991</v>
      </c>
      <c r="I21" s="114">
        <v>46167</v>
      </c>
      <c r="J21" t="s">
        <v>147</v>
      </c>
      <c r="O21" t="s">
        <v>205</v>
      </c>
      <c r="P21" t="s">
        <v>129</v>
      </c>
      <c r="Q21" t="s">
        <v>115</v>
      </c>
      <c r="R21" s="165">
        <v>-38</v>
      </c>
      <c r="S21" s="114">
        <v>46226</v>
      </c>
      <c r="T21" s="1" t="s">
        <v>149</v>
      </c>
      <c r="U21" s="176" t="str">
        <v>derick</v>
      </c>
      <c r="V21" s="177">
        <v>-244</v>
      </c>
      <c r="W21" s="177">
        <v>10</v>
      </c>
      <c r="X21" s="200">
        <v>46154</v>
      </c>
      <c r="Y21" t="s">
        <v>31</v>
      </c>
      <c r="Z21" t="s">
        <v>115</v>
      </c>
      <c r="AA21" s="7">
        <v>836</v>
      </c>
      <c r="AB21" s="114">
        <v>46178</v>
      </c>
      <c r="AC21" t="s">
        <v>148</v>
      </c>
      <c r="AF21" s="7"/>
    </row>
    <row r="22" spans="1:32" ht="15.6" x14ac:dyDescent="0.25">
      <c r="A22" s="135" t="s">
        <v>261</v>
      </c>
      <c r="B22" s="152"/>
      <c r="C22" s="82">
        <v>17</v>
      </c>
      <c r="D22" s="170">
        <f>20*(contadorDemoeda[[#This Row],[quantidade]]+contadorDemoeda[[#This Row],[gardado]])</f>
        <v>340</v>
      </c>
      <c r="F22" t="s">
        <v>305</v>
      </c>
      <c r="G22" t="s">
        <v>115</v>
      </c>
      <c r="H22" s="165">
        <v>831.35959999999977</v>
      </c>
      <c r="I22" s="114">
        <v>46160</v>
      </c>
      <c r="J22" t="s">
        <v>147</v>
      </c>
      <c r="O22" t="s">
        <v>205</v>
      </c>
      <c r="P22" t="s">
        <v>129</v>
      </c>
      <c r="Q22" t="s">
        <v>115</v>
      </c>
      <c r="R22" s="165">
        <v>-156.03</v>
      </c>
      <c r="S22" s="114">
        <v>46226</v>
      </c>
      <c r="T22" s="1" t="s">
        <v>149</v>
      </c>
      <c r="U22" s="176" t="str">
        <v>luchoa</v>
      </c>
      <c r="V22" s="177">
        <v>-1043.6300000000001</v>
      </c>
      <c r="W22" s="177">
        <v>93</v>
      </c>
      <c r="X22" s="200">
        <v>46119</v>
      </c>
      <c r="Y22" t="s">
        <v>31</v>
      </c>
      <c r="Z22" t="s">
        <v>115</v>
      </c>
      <c r="AA22" s="7">
        <v>650</v>
      </c>
      <c r="AB22" s="114">
        <v>46177</v>
      </c>
      <c r="AC22" t="s">
        <v>148</v>
      </c>
      <c r="AF22" s="7"/>
    </row>
    <row r="23" spans="1:32" ht="15.6" x14ac:dyDescent="0.25">
      <c r="A23" s="135" t="s">
        <v>262</v>
      </c>
      <c r="B23" s="152"/>
      <c r="C23" s="82">
        <v>15</v>
      </c>
      <c r="D23" s="170">
        <f>10*(contadorDemoeda[[#This Row],[quantidade]]+contadorDemoeda[[#This Row],[gardado]])</f>
        <v>150</v>
      </c>
      <c r="F23" t="s">
        <v>154</v>
      </c>
      <c r="G23" t="s">
        <v>114</v>
      </c>
      <c r="H23" s="165">
        <v>2100</v>
      </c>
      <c r="I23" s="114">
        <v>46157</v>
      </c>
      <c r="J23" t="s">
        <v>147</v>
      </c>
      <c r="O23" t="s">
        <v>369</v>
      </c>
      <c r="P23" t="s">
        <v>234</v>
      </c>
      <c r="Q23" t="s">
        <v>114</v>
      </c>
      <c r="R23" s="165">
        <v>-3</v>
      </c>
      <c r="S23" s="114">
        <v>46226</v>
      </c>
      <c r="T23" s="1" t="s">
        <v>149</v>
      </c>
      <c r="U23" s="176" t="str">
        <v>Daniel</v>
      </c>
      <c r="V23" s="177">
        <v>0</v>
      </c>
      <c r="W23" s="177">
        <v>0</v>
      </c>
      <c r="X23" s="200">
        <v>46119</v>
      </c>
      <c r="Y23" t="s">
        <v>31</v>
      </c>
      <c r="Z23" t="s">
        <v>114</v>
      </c>
      <c r="AA23" s="7">
        <v>700</v>
      </c>
      <c r="AB23" s="114">
        <v>46169</v>
      </c>
      <c r="AC23" t="s">
        <v>147</v>
      </c>
      <c r="AF23" s="7"/>
    </row>
    <row r="24" spans="1:32" ht="15.6" x14ac:dyDescent="0.25">
      <c r="A24" s="135" t="s">
        <v>263</v>
      </c>
      <c r="B24" s="152"/>
      <c r="C24" s="82">
        <v>16</v>
      </c>
      <c r="D24" s="170">
        <f>5*(contadorDemoeda[[#This Row],[quantidade]]+contadorDemoeda[[#This Row],[gardado]])</f>
        <v>80</v>
      </c>
      <c r="F24" t="s">
        <v>154</v>
      </c>
      <c r="H24" s="165">
        <v>2100</v>
      </c>
      <c r="I24" s="114">
        <v>46157</v>
      </c>
      <c r="J24" t="s">
        <v>147</v>
      </c>
      <c r="O24" t="s">
        <v>302</v>
      </c>
      <c r="P24" t="s">
        <v>234</v>
      </c>
      <c r="Q24" t="s">
        <v>114</v>
      </c>
      <c r="R24" s="165">
        <v>-36</v>
      </c>
      <c r="S24" s="114">
        <v>46226</v>
      </c>
      <c r="T24" s="1" t="s">
        <v>149</v>
      </c>
      <c r="U24" s="176" t="str">
        <v>deposito</v>
      </c>
      <c r="V24" s="177">
        <v>0</v>
      </c>
      <c r="W24" s="177">
        <v>0</v>
      </c>
      <c r="X24" s="200">
        <v>46118</v>
      </c>
      <c r="Y24" t="s">
        <v>31</v>
      </c>
      <c r="Z24" t="s">
        <v>115</v>
      </c>
      <c r="AA24" s="7">
        <v>43</v>
      </c>
      <c r="AB24" s="114">
        <v>46166</v>
      </c>
      <c r="AC24" t="s">
        <v>147</v>
      </c>
      <c r="AF24" s="7"/>
    </row>
    <row r="25" spans="1:32" ht="15.6" x14ac:dyDescent="0.25">
      <c r="A25" s="135" t="s">
        <v>264</v>
      </c>
      <c r="B25" s="152"/>
      <c r="C25" s="82">
        <v>56</v>
      </c>
      <c r="D25" s="170">
        <f>2*(contadorDemoeda[[#This Row],[quantidade]]+contadorDemoeda[[#This Row],[gardado]])</f>
        <v>112</v>
      </c>
      <c r="F25" t="s">
        <v>154</v>
      </c>
      <c r="H25" s="165">
        <v>1367</v>
      </c>
      <c r="I25" s="114">
        <v>46157</v>
      </c>
      <c r="J25" t="s">
        <v>147</v>
      </c>
      <c r="O25" t="s">
        <v>302</v>
      </c>
      <c r="P25" t="s">
        <v>234</v>
      </c>
      <c r="Q25" t="s">
        <v>114</v>
      </c>
      <c r="R25" s="165">
        <v>-10</v>
      </c>
      <c r="S25" s="114">
        <v>46226</v>
      </c>
      <c r="T25" s="1" t="s">
        <v>149</v>
      </c>
      <c r="U25" s="176" t="str">
        <v xml:space="preserve">Jeane </v>
      </c>
      <c r="V25" s="176">
        <v>0</v>
      </c>
      <c r="W25" s="177">
        <v>0</v>
      </c>
      <c r="X25" s="200">
        <v>46110</v>
      </c>
      <c r="Y25" t="s">
        <v>31</v>
      </c>
      <c r="Z25" t="s">
        <v>115</v>
      </c>
      <c r="AA25" s="7">
        <v>364</v>
      </c>
      <c r="AB25" s="114">
        <v>46166</v>
      </c>
      <c r="AC25" t="s">
        <v>147</v>
      </c>
      <c r="AF25" s="7"/>
    </row>
    <row r="26" spans="1:32" ht="15.6" x14ac:dyDescent="0.25">
      <c r="A26" s="135" t="s">
        <v>265</v>
      </c>
      <c r="B26" s="152"/>
      <c r="C26" s="82">
        <v>23</v>
      </c>
      <c r="D26" s="170">
        <f>1*(contadorDemoeda[[#This Row],[quantidade]]+contadorDemoeda[[#This Row],[gardado]])</f>
        <v>23</v>
      </c>
      <c r="F26" t="s">
        <v>154</v>
      </c>
      <c r="G26" t="s">
        <v>115</v>
      </c>
      <c r="H26" s="165">
        <f>704.134003999994+136.91+490.77</f>
        <v>1331.8140039999939</v>
      </c>
      <c r="I26" s="114">
        <v>46157</v>
      </c>
      <c r="J26" t="s">
        <v>147</v>
      </c>
      <c r="O26" t="s">
        <v>205</v>
      </c>
      <c r="P26" t="s">
        <v>129</v>
      </c>
      <c r="Q26" t="s">
        <v>115</v>
      </c>
      <c r="R26" s="165">
        <v>-112</v>
      </c>
      <c r="S26" s="114">
        <v>46225</v>
      </c>
      <c r="T26" s="1" t="s">
        <v>149</v>
      </c>
      <c r="U26" s="176" t="str">
        <v>Arlisson</v>
      </c>
      <c r="V26" s="176">
        <v>0</v>
      </c>
      <c r="W26" s="177">
        <v>-185</v>
      </c>
      <c r="X26" s="200">
        <v>46107</v>
      </c>
      <c r="Y26" t="s">
        <v>31</v>
      </c>
      <c r="Z26" t="s">
        <v>115</v>
      </c>
      <c r="AA26" s="7">
        <v>352</v>
      </c>
      <c r="AB26" s="114">
        <v>46166</v>
      </c>
      <c r="AC26" t="s">
        <v>147</v>
      </c>
      <c r="AF26" s="7"/>
    </row>
    <row r="27" spans="1:32" ht="15.6" x14ac:dyDescent="0.25">
      <c r="A27" s="135" t="s">
        <v>266</v>
      </c>
      <c r="B27" s="152"/>
      <c r="C27" s="82">
        <v>22</v>
      </c>
      <c r="D27" s="170">
        <f>0.5*(contadorDemoeda[[#This Row],[quantidade]]+contadorDemoeda[[#This Row],[gardado]])</f>
        <v>11</v>
      </c>
      <c r="F27" t="s">
        <v>154</v>
      </c>
      <c r="G27" t="s">
        <v>114</v>
      </c>
      <c r="H27" s="165">
        <v>-359.33</v>
      </c>
      <c r="I27" s="114">
        <v>46157</v>
      </c>
      <c r="J27" t="s">
        <v>147</v>
      </c>
      <c r="O27" t="s">
        <v>205</v>
      </c>
      <c r="P27" t="s">
        <v>129</v>
      </c>
      <c r="Q27" t="s">
        <v>115</v>
      </c>
      <c r="R27" s="165">
        <v>-20</v>
      </c>
      <c r="S27" s="114">
        <v>46225</v>
      </c>
      <c r="T27" s="1" t="s">
        <v>149</v>
      </c>
      <c r="U27" s="176" t="str">
        <v>andrey</v>
      </c>
      <c r="V27" s="177">
        <v>-23</v>
      </c>
      <c r="W27" s="177">
        <v>-10</v>
      </c>
      <c r="X27" s="200">
        <v>46095</v>
      </c>
      <c r="Y27" t="s">
        <v>31</v>
      </c>
      <c r="Z27" t="s">
        <v>115</v>
      </c>
      <c r="AA27" s="7">
        <v>665</v>
      </c>
      <c r="AB27" s="114">
        <v>46165</v>
      </c>
      <c r="AC27" t="s">
        <v>147</v>
      </c>
      <c r="AF27" s="11"/>
    </row>
    <row r="28" spans="1:32" ht="15.6" x14ac:dyDescent="0.25">
      <c r="A28" s="135" t="s">
        <v>267</v>
      </c>
      <c r="B28" s="152"/>
      <c r="C28" s="82">
        <f>30+30</f>
        <v>60</v>
      </c>
      <c r="D28" s="170">
        <f>0.25*(contadorDemoeda[[#This Row],[quantidade]]+contadorDemoeda[[#This Row],[gardado]])</f>
        <v>15</v>
      </c>
      <c r="F28" t="s">
        <v>305</v>
      </c>
      <c r="G28" t="s">
        <v>115</v>
      </c>
      <c r="H28" s="165">
        <v>220.11239999999998</v>
      </c>
      <c r="I28" s="114">
        <v>46153</v>
      </c>
      <c r="J28" t="s">
        <v>147</v>
      </c>
      <c r="O28" t="s">
        <v>205</v>
      </c>
      <c r="P28" t="s">
        <v>129</v>
      </c>
      <c r="Q28" t="s">
        <v>115</v>
      </c>
      <c r="R28" s="165">
        <v>-70</v>
      </c>
      <c r="S28" s="114">
        <v>46225</v>
      </c>
      <c r="T28" s="1" t="s">
        <v>149</v>
      </c>
      <c r="U28" s="176" t="str">
        <v>Nataly</v>
      </c>
      <c r="V28" s="177">
        <v>0</v>
      </c>
      <c r="W28" s="177">
        <v>0</v>
      </c>
      <c r="X28" s="200">
        <v>46080</v>
      </c>
      <c r="Y28" t="s">
        <v>31</v>
      </c>
      <c r="Z28" t="s">
        <v>115</v>
      </c>
      <c r="AA28" s="7">
        <v>561</v>
      </c>
      <c r="AB28" s="114">
        <v>46163</v>
      </c>
      <c r="AC28" t="s">
        <v>147</v>
      </c>
      <c r="AF28" s="11"/>
    </row>
    <row r="29" spans="1:32" ht="15.6" x14ac:dyDescent="0.25">
      <c r="A29" s="135" t="s">
        <v>268</v>
      </c>
      <c r="B29" s="152"/>
      <c r="C29" s="82">
        <v>100</v>
      </c>
      <c r="D29" s="170">
        <f>0.1*(contadorDemoeda[[#This Row],[quantidade]]+contadorDemoeda[[#This Row],[gardado]])</f>
        <v>10</v>
      </c>
      <c r="F29" t="s">
        <v>305</v>
      </c>
      <c r="G29" t="s">
        <v>115</v>
      </c>
      <c r="H29" s="165">
        <v>235.53719999999885</v>
      </c>
      <c r="I29" s="114">
        <v>46146</v>
      </c>
      <c r="J29" t="s">
        <v>147</v>
      </c>
      <c r="O29" t="s">
        <v>205</v>
      </c>
      <c r="P29" t="s">
        <v>129</v>
      </c>
      <c r="Q29" t="s">
        <v>115</v>
      </c>
      <c r="R29" s="165">
        <v>-299.02999999999997</v>
      </c>
      <c r="S29" s="114">
        <v>46225</v>
      </c>
      <c r="T29" s="1" t="s">
        <v>149</v>
      </c>
      <c r="U29" s="176" t="str">
        <v xml:space="preserve">Denison </v>
      </c>
      <c r="V29" s="177">
        <v>0</v>
      </c>
      <c r="W29" s="177">
        <v>0</v>
      </c>
      <c r="X29" s="200">
        <v>46057</v>
      </c>
      <c r="Y29" t="s">
        <v>31</v>
      </c>
      <c r="Z29" t="s">
        <v>115</v>
      </c>
      <c r="AA29" s="7">
        <v>1043</v>
      </c>
      <c r="AB29" s="114">
        <v>46162</v>
      </c>
      <c r="AC29" t="s">
        <v>147</v>
      </c>
      <c r="AF29" s="11"/>
    </row>
    <row r="30" spans="1:32" ht="15.6" x14ac:dyDescent="0.25">
      <c r="A30" s="135" t="s">
        <v>269</v>
      </c>
      <c r="B30" s="152"/>
      <c r="C30" s="82">
        <f>50*4</f>
        <v>200</v>
      </c>
      <c r="D30" s="170">
        <f>0.05*(contadorDemoeda[[#This Row],[quantidade]]+contadorDemoeda[[#This Row],[gardado]])</f>
        <v>10</v>
      </c>
      <c r="F30" t="s">
        <v>305</v>
      </c>
      <c r="G30" t="s">
        <v>115</v>
      </c>
      <c r="H30" s="165">
        <v>567.43969999999899</v>
      </c>
      <c r="I30" s="114">
        <v>46139</v>
      </c>
      <c r="J30" t="s">
        <v>146</v>
      </c>
      <c r="O30" t="s">
        <v>302</v>
      </c>
      <c r="P30" t="s">
        <v>234</v>
      </c>
      <c r="Q30" t="s">
        <v>114</v>
      </c>
      <c r="R30" s="165">
        <v>-14</v>
      </c>
      <c r="S30" s="114">
        <v>46225</v>
      </c>
      <c r="T30" s="1" t="s">
        <v>149</v>
      </c>
      <c r="U30" s="176" t="str">
        <v>Adaolson</v>
      </c>
      <c r="V30" s="177">
        <v>0</v>
      </c>
      <c r="W30" s="177">
        <v>0</v>
      </c>
      <c r="X30" s="200">
        <v>46057</v>
      </c>
      <c r="Y30" t="s">
        <v>31</v>
      </c>
      <c r="Z30" t="s">
        <v>115</v>
      </c>
      <c r="AA30" s="7">
        <v>1331</v>
      </c>
      <c r="AB30" s="114">
        <v>46160</v>
      </c>
      <c r="AC30" t="s">
        <v>147</v>
      </c>
      <c r="AF30" s="11"/>
    </row>
    <row r="31" spans="1:32" x14ac:dyDescent="0.25">
      <c r="F31" t="s">
        <v>305</v>
      </c>
      <c r="G31" t="s">
        <v>115</v>
      </c>
      <c r="H31" s="165">
        <v>439.46465000000171</v>
      </c>
      <c r="I31" s="114">
        <v>46132</v>
      </c>
      <c r="J31" t="s">
        <v>146</v>
      </c>
      <c r="O31" t="s">
        <v>426</v>
      </c>
      <c r="P31" t="s">
        <v>128</v>
      </c>
      <c r="Q31" t="s">
        <v>114</v>
      </c>
      <c r="R31" s="165">
        <v>100</v>
      </c>
      <c r="S31" s="114">
        <v>46225</v>
      </c>
      <c r="T31" s="1" t="s">
        <v>149</v>
      </c>
      <c r="U31" s="176" t="str">
        <v>adonay</v>
      </c>
      <c r="V31" s="177">
        <v>-8.8817841970012523E-16</v>
      </c>
      <c r="W31" s="177">
        <v>-8.4</v>
      </c>
      <c r="X31" s="200">
        <v>46056</v>
      </c>
      <c r="Y31" t="s">
        <v>31</v>
      </c>
      <c r="Z31" t="s">
        <v>115</v>
      </c>
      <c r="AA31" s="7">
        <v>741</v>
      </c>
      <c r="AB31" s="114">
        <v>46156</v>
      </c>
      <c r="AC31" t="s">
        <v>147</v>
      </c>
      <c r="AF31" s="7"/>
    </row>
    <row r="32" spans="1:32" x14ac:dyDescent="0.25">
      <c r="A32" s="11" t="str" cm="1">
        <f t="array" ref="A32:C58">_xlfn.HSTACK(_xlfn.UNIQUE(_xlfn._xlws.FILTER(operacional[operacional],(operacional[origem]="emprestimo"))),SUMIFS(operacional[valor],operacional[origem],"emprestimo",operacional[valor],"&gt;0",operacional[operacional],_xlfn.UNIQUE(_xlfn._xlws.FILTER(operacional[operacional],(operacional[origem]="emprestimo")))),SUMIFS(operacional[valor],operacional[origem],"emprestimo",operacional[valor],"&lt;0",operacional[operacional],_xlfn.UNIQUE(_xlfn._xlws.FILTER(operacional[operacional],(operacional[origem]="emprestimo")))))</f>
        <v>mãe</v>
      </c>
      <c r="B32" s="198">
        <v>514</v>
      </c>
      <c r="C32" s="198">
        <v>-662.2</v>
      </c>
      <c r="D32" s="198" cm="1">
        <f t="array" ref="D32:D58">_xlfn.HSTACK(SUMIFS(operacional[valor],operacional[origem],"emprestimo",operacional[valor],"&gt;0",operacional[operacional],_xlfn.UNIQUE(_xlfn._xlws.FILTER(operacional[operacional],(operacional[origem]="emprestimo"))))+SUMIFS(operacional[valor],operacional[origem],"emprestimo",operacional[valor],"&lt;0",operacional[operacional],_xlfn.UNIQUE(_xlfn._xlws.FILTER(operacional[operacional],(operacional[origem]="emprestimo")))))</f>
        <v>-148.20000000000005</v>
      </c>
      <c r="F32" t="s">
        <v>154</v>
      </c>
      <c r="G32" t="s">
        <v>115</v>
      </c>
      <c r="H32" s="165">
        <v>230.73478999999486</v>
      </c>
      <c r="I32" s="114">
        <v>46130</v>
      </c>
      <c r="J32" t="s">
        <v>146</v>
      </c>
      <c r="O32" t="s">
        <v>205</v>
      </c>
      <c r="P32" t="s">
        <v>129</v>
      </c>
      <c r="Q32" t="s">
        <v>115</v>
      </c>
      <c r="R32" s="165">
        <v>-132</v>
      </c>
      <c r="S32" s="114">
        <v>46224</v>
      </c>
      <c r="T32" s="1" t="s">
        <v>149</v>
      </c>
      <c r="U32" s="176" t="str">
        <v>vizinho</v>
      </c>
      <c r="V32" s="177">
        <v>0</v>
      </c>
      <c r="W32" s="177">
        <v>25</v>
      </c>
      <c r="X32" s="200">
        <v>46054</v>
      </c>
      <c r="Y32" t="s">
        <v>31</v>
      </c>
      <c r="Z32" t="s">
        <v>114</v>
      </c>
      <c r="AA32" s="7">
        <v>600</v>
      </c>
      <c r="AB32" s="114">
        <v>46156</v>
      </c>
      <c r="AC32" t="s">
        <v>147</v>
      </c>
      <c r="AF32" s="11"/>
    </row>
    <row r="33" spans="1:38" x14ac:dyDescent="0.25">
      <c r="A33" s="11" t="str">
        <v>neuda</v>
      </c>
      <c r="B33" s="198">
        <v>3024.42</v>
      </c>
      <c r="C33" s="198">
        <v>-2782.92</v>
      </c>
      <c r="D33" s="198">
        <v>241.5</v>
      </c>
      <c r="F33" t="s">
        <v>154</v>
      </c>
      <c r="G33" t="s">
        <v>114</v>
      </c>
      <c r="H33" s="165">
        <v>88.950000000000045</v>
      </c>
      <c r="I33" s="114">
        <v>46130</v>
      </c>
      <c r="J33" t="s">
        <v>146</v>
      </c>
      <c r="O33" t="s">
        <v>205</v>
      </c>
      <c r="P33" t="s">
        <v>129</v>
      </c>
      <c r="Q33" t="s">
        <v>115</v>
      </c>
      <c r="R33" s="165">
        <v>-23</v>
      </c>
      <c r="S33" s="114">
        <v>46224</v>
      </c>
      <c r="T33" s="1" t="s">
        <v>149</v>
      </c>
      <c r="U33" s="176" t="str">
        <v>raiza</v>
      </c>
      <c r="V33" s="177">
        <v>-68</v>
      </c>
      <c r="W33" s="177">
        <v>-18</v>
      </c>
      <c r="X33" s="200">
        <v>46051</v>
      </c>
      <c r="Y33" t="s">
        <v>31</v>
      </c>
      <c r="Z33" t="s">
        <v>115</v>
      </c>
      <c r="AA33" s="7">
        <v>106.74</v>
      </c>
      <c r="AB33" s="114">
        <v>46154</v>
      </c>
      <c r="AC33" t="s">
        <v>147</v>
      </c>
      <c r="AF33" s="11"/>
      <c r="AG33" s="11"/>
    </row>
    <row r="34" spans="1:38" x14ac:dyDescent="0.25">
      <c r="A34" s="11" t="str">
        <v>microondas</v>
      </c>
      <c r="B34" s="198">
        <v>100</v>
      </c>
      <c r="C34" s="198">
        <v>0</v>
      </c>
      <c r="D34" s="198">
        <v>100</v>
      </c>
      <c r="F34" t="s">
        <v>305</v>
      </c>
      <c r="G34" t="s">
        <v>115</v>
      </c>
      <c r="H34" s="165">
        <v>492.95830000000024</v>
      </c>
      <c r="I34" s="114">
        <v>46125</v>
      </c>
      <c r="J34" t="s">
        <v>146</v>
      </c>
      <c r="O34" t="s">
        <v>205</v>
      </c>
      <c r="P34" t="s">
        <v>129</v>
      </c>
      <c r="Q34" t="s">
        <v>115</v>
      </c>
      <c r="R34" s="165">
        <v>-43</v>
      </c>
      <c r="S34" s="114">
        <v>46224</v>
      </c>
      <c r="T34" s="1" t="s">
        <v>149</v>
      </c>
      <c r="U34" s="176" t="str">
        <v>Moedas</v>
      </c>
      <c r="V34" s="177">
        <v>-260</v>
      </c>
      <c r="W34" s="177">
        <v>-260</v>
      </c>
      <c r="X34" s="200">
        <v>46023</v>
      </c>
      <c r="Y34" t="s">
        <v>31</v>
      </c>
      <c r="Z34" t="s">
        <v>115</v>
      </c>
      <c r="AA34" s="7">
        <v>316</v>
      </c>
      <c r="AB34" s="114">
        <v>46153</v>
      </c>
      <c r="AC34" t="s">
        <v>147</v>
      </c>
      <c r="AG34" s="111"/>
      <c r="AH34" s="111"/>
      <c r="AI34" s="7"/>
      <c r="AJ34" s="7"/>
      <c r="AK34" s="11"/>
      <c r="AL34" s="11"/>
    </row>
    <row r="35" spans="1:38" x14ac:dyDescent="0.25">
      <c r="A35" s="11" t="str">
        <v>ketherimipad</v>
      </c>
      <c r="B35" s="198">
        <v>990</v>
      </c>
      <c r="C35" s="198">
        <v>0</v>
      </c>
      <c r="D35" s="198">
        <v>990</v>
      </c>
      <c r="F35" t="s">
        <v>154</v>
      </c>
      <c r="G35" t="s">
        <v>115</v>
      </c>
      <c r="H35" s="165">
        <v>594.68820000002063</v>
      </c>
      <c r="I35" s="114">
        <v>46119</v>
      </c>
      <c r="J35" t="s">
        <v>146</v>
      </c>
      <c r="O35" t="s">
        <v>205</v>
      </c>
      <c r="P35" t="s">
        <v>129</v>
      </c>
      <c r="Q35" t="s">
        <v>115</v>
      </c>
      <c r="R35" s="165">
        <v>-255.72</v>
      </c>
      <c r="S35" s="114">
        <v>46224</v>
      </c>
      <c r="T35" s="1" t="s">
        <v>149</v>
      </c>
      <c r="Y35" t="s">
        <v>31</v>
      </c>
      <c r="Z35" t="s">
        <v>115</v>
      </c>
      <c r="AA35" s="7">
        <v>707.26</v>
      </c>
      <c r="AB35" s="114">
        <v>46150</v>
      </c>
      <c r="AC35" t="s">
        <v>147</v>
      </c>
      <c r="AG35" s="111"/>
      <c r="AH35" s="111"/>
      <c r="AI35" s="7"/>
      <c r="AJ35" s="7"/>
      <c r="AK35" s="11"/>
      <c r="AL35" s="11"/>
    </row>
    <row r="36" spans="1:38" x14ac:dyDescent="0.25">
      <c r="A36" s="11" t="str">
        <v>jaciara</v>
      </c>
      <c r="B36" s="198">
        <v>5057.54</v>
      </c>
      <c r="C36" s="198">
        <v>-4773.68</v>
      </c>
      <c r="D36" s="198">
        <v>283.85999999999967</v>
      </c>
      <c r="F36" t="s">
        <v>154</v>
      </c>
      <c r="G36" t="s">
        <v>114</v>
      </c>
      <c r="H36" s="165">
        <v>-257.5</v>
      </c>
      <c r="I36" s="114">
        <v>46118</v>
      </c>
      <c r="J36" t="s">
        <v>146</v>
      </c>
      <c r="O36" t="s">
        <v>332</v>
      </c>
      <c r="P36" t="s">
        <v>128</v>
      </c>
      <c r="Q36" t="s">
        <v>114</v>
      </c>
      <c r="R36" s="165">
        <v>-35</v>
      </c>
      <c r="S36" s="114">
        <v>46224</v>
      </c>
      <c r="T36" s="1" t="s">
        <v>149</v>
      </c>
      <c r="Y36" t="s">
        <v>31</v>
      </c>
      <c r="Z36" t="s">
        <v>115</v>
      </c>
      <c r="AA36" s="7">
        <v>1138</v>
      </c>
      <c r="AB36" s="114">
        <v>46150</v>
      </c>
      <c r="AC36" t="s">
        <v>147</v>
      </c>
      <c r="AH36" s="8">
        <v>130.97999999999999</v>
      </c>
      <c r="AI36" s="7"/>
      <c r="AJ36" s="7"/>
      <c r="AK36" s="11"/>
      <c r="AL36" s="11"/>
    </row>
    <row r="37" spans="1:38" x14ac:dyDescent="0.25">
      <c r="A37" s="11" t="str">
        <v>infinitepay</v>
      </c>
      <c r="B37" s="198">
        <v>28079.000000000018</v>
      </c>
      <c r="C37" s="198">
        <v>-28079.000000000007</v>
      </c>
      <c r="D37" s="198">
        <v>1.0913936421275139E-11</v>
      </c>
      <c r="F37" t="s">
        <v>305</v>
      </c>
      <c r="G37" t="s">
        <v>115</v>
      </c>
      <c r="H37" s="165">
        <v>225.40719999999965</v>
      </c>
      <c r="I37" s="114">
        <v>46118</v>
      </c>
      <c r="J37" t="s">
        <v>146</v>
      </c>
      <c r="O37" t="s">
        <v>369</v>
      </c>
      <c r="P37" t="s">
        <v>234</v>
      </c>
      <c r="Q37" t="s">
        <v>114</v>
      </c>
      <c r="R37" s="165">
        <v>-7</v>
      </c>
      <c r="S37" s="114">
        <v>46224</v>
      </c>
      <c r="T37" s="1" t="s">
        <v>149</v>
      </c>
      <c r="Y37" t="s">
        <v>31</v>
      </c>
      <c r="Z37" t="s">
        <v>115</v>
      </c>
      <c r="AA37" s="7">
        <v>1115</v>
      </c>
      <c r="AB37" s="114">
        <v>46149</v>
      </c>
      <c r="AC37" t="s">
        <v>147</v>
      </c>
      <c r="AF37">
        <f>1000+300+200</f>
        <v>1500</v>
      </c>
      <c r="AG37" s="111"/>
      <c r="AH37" s="8">
        <v>39.29</v>
      </c>
      <c r="AI37" s="7"/>
      <c r="AJ37" s="7"/>
      <c r="AK37" s="7"/>
      <c r="AL37" s="11"/>
    </row>
    <row r="38" spans="1:38" x14ac:dyDescent="0.25">
      <c r="A38" s="11" t="str">
        <v>troca</v>
      </c>
      <c r="B38" s="198">
        <v>961</v>
      </c>
      <c r="C38" s="198">
        <v>-961</v>
      </c>
      <c r="D38" s="198">
        <v>0</v>
      </c>
      <c r="E38" s="244"/>
      <c r="F38" t="s">
        <v>305</v>
      </c>
      <c r="G38" t="s">
        <v>115</v>
      </c>
      <c r="H38" s="165">
        <v>502.76790000000074</v>
      </c>
      <c r="I38" s="114">
        <v>46115</v>
      </c>
      <c r="J38" t="s">
        <v>146</v>
      </c>
      <c r="O38" t="s">
        <v>425</v>
      </c>
      <c r="P38" t="s">
        <v>234</v>
      </c>
      <c r="Q38" t="s">
        <v>114</v>
      </c>
      <c r="R38" s="165">
        <v>-30</v>
      </c>
      <c r="S38" s="114">
        <v>46224</v>
      </c>
      <c r="T38" s="1" t="s">
        <v>149</v>
      </c>
      <c r="Y38" t="s">
        <v>31</v>
      </c>
      <c r="Z38" t="s">
        <v>115</v>
      </c>
      <c r="AA38" s="7">
        <v>690</v>
      </c>
      <c r="AB38" s="114">
        <v>46147</v>
      </c>
      <c r="AC38" t="s">
        <v>147</v>
      </c>
      <c r="AF38" s="7">
        <v>7750</v>
      </c>
      <c r="AG38" s="111"/>
      <c r="AH38" s="8">
        <v>26.2</v>
      </c>
      <c r="AI38" s="7"/>
      <c r="AJ38" s="7"/>
      <c r="AK38" s="11"/>
      <c r="AL38" s="11"/>
    </row>
    <row r="39" spans="1:38" x14ac:dyDescent="0.25">
      <c r="A39" s="11" t="str">
        <v>jaciara Reserva</v>
      </c>
      <c r="B39" s="198">
        <v>400</v>
      </c>
      <c r="C39" s="198">
        <v>0</v>
      </c>
      <c r="D39" s="198">
        <v>400</v>
      </c>
      <c r="F39" t="s">
        <v>305</v>
      </c>
      <c r="G39" t="s">
        <v>115</v>
      </c>
      <c r="H39" s="165">
        <v>371.11260000000038</v>
      </c>
      <c r="I39" s="114">
        <v>46111</v>
      </c>
      <c r="J39" t="s">
        <v>145</v>
      </c>
      <c r="O39" t="s">
        <v>423</v>
      </c>
      <c r="P39" t="s">
        <v>128</v>
      </c>
      <c r="Q39" t="s">
        <v>115</v>
      </c>
      <c r="R39" s="165">
        <v>50</v>
      </c>
      <c r="S39" s="114">
        <v>46224</v>
      </c>
      <c r="T39" s="1" t="s">
        <v>149</v>
      </c>
      <c r="Y39" t="s">
        <v>31</v>
      </c>
      <c r="Z39" t="s">
        <v>115</v>
      </c>
      <c r="AA39" s="7">
        <v>613</v>
      </c>
      <c r="AB39" s="114">
        <v>46146</v>
      </c>
      <c r="AC39" t="s">
        <v>147</v>
      </c>
      <c r="AG39" s="111"/>
      <c r="AH39" s="111"/>
      <c r="AI39" s="7"/>
      <c r="AJ39" s="7"/>
      <c r="AK39" s="11"/>
      <c r="AL39" s="11"/>
    </row>
    <row r="40" spans="1:38" x14ac:dyDescent="0.25">
      <c r="A40" s="11" t="str">
        <v>infinitepayPix</v>
      </c>
      <c r="B40" s="198">
        <v>9544.82</v>
      </c>
      <c r="C40" s="198">
        <v>-5823.9300000000012</v>
      </c>
      <c r="D40" s="198">
        <v>3720.8899999999985</v>
      </c>
      <c r="F40" t="s">
        <v>154</v>
      </c>
      <c r="G40" t="s">
        <v>115</v>
      </c>
      <c r="H40" s="165">
        <v>167.39677500000539</v>
      </c>
      <c r="I40" s="114">
        <v>46108</v>
      </c>
      <c r="J40" t="s">
        <v>145</v>
      </c>
      <c r="O40" t="s">
        <v>205</v>
      </c>
      <c r="P40" t="s">
        <v>129</v>
      </c>
      <c r="Q40" t="s">
        <v>115</v>
      </c>
      <c r="R40" s="165">
        <v>-23</v>
      </c>
      <c r="S40" s="114">
        <v>46223</v>
      </c>
      <c r="T40" s="1" t="s">
        <v>149</v>
      </c>
      <c r="Y40" t="s">
        <v>31</v>
      </c>
      <c r="Z40" t="s">
        <v>115</v>
      </c>
      <c r="AA40" s="7">
        <v>764</v>
      </c>
      <c r="AB40" s="114">
        <v>46145</v>
      </c>
      <c r="AC40" t="s">
        <v>147</v>
      </c>
      <c r="AG40" s="111"/>
      <c r="AH40" s="111"/>
      <c r="AI40" s="7"/>
      <c r="AJ40" s="7"/>
      <c r="AK40" s="11"/>
      <c r="AL40" s="11"/>
    </row>
    <row r="41" spans="1:38" x14ac:dyDescent="0.25">
      <c r="A41" s="11" t="str">
        <v>jaciara Bemol</v>
      </c>
      <c r="B41" s="198">
        <v>6170.77</v>
      </c>
      <c r="C41" s="198">
        <v>0</v>
      </c>
      <c r="D41" s="198">
        <v>6170.77</v>
      </c>
      <c r="F41" t="s">
        <v>154</v>
      </c>
      <c r="G41" t="s">
        <v>114</v>
      </c>
      <c r="H41" s="165">
        <v>-98.5</v>
      </c>
      <c r="I41" s="114">
        <v>46108</v>
      </c>
      <c r="J41" t="s">
        <v>145</v>
      </c>
      <c r="O41" t="s">
        <v>205</v>
      </c>
      <c r="P41" t="s">
        <v>129</v>
      </c>
      <c r="Q41" t="s">
        <v>115</v>
      </c>
      <c r="R41" s="165">
        <v>-41</v>
      </c>
      <c r="S41" s="114">
        <v>46223</v>
      </c>
      <c r="T41" s="1" t="s">
        <v>149</v>
      </c>
      <c r="Y41" t="s">
        <v>31</v>
      </c>
      <c r="Z41" t="s">
        <v>115</v>
      </c>
      <c r="AA41" s="7">
        <v>832</v>
      </c>
      <c r="AB41" s="114">
        <v>46141</v>
      </c>
      <c r="AC41" t="s">
        <v>146</v>
      </c>
      <c r="AG41" s="111"/>
      <c r="AH41" s="111"/>
      <c r="AI41" s="7"/>
      <c r="AJ41" s="7"/>
      <c r="AK41" s="11"/>
      <c r="AL41" s="11"/>
    </row>
    <row r="42" spans="1:38" x14ac:dyDescent="0.25">
      <c r="A42" s="11" t="str">
        <v>luanny</v>
      </c>
      <c r="B42" s="198">
        <v>76</v>
      </c>
      <c r="C42" s="198">
        <v>-190.96</v>
      </c>
      <c r="D42" s="198">
        <v>-114.96000000000001</v>
      </c>
      <c r="E42" t="s">
        <v>353</v>
      </c>
      <c r="F42" t="s">
        <v>154</v>
      </c>
      <c r="H42" s="165">
        <v>1800</v>
      </c>
      <c r="I42" s="114">
        <v>46107</v>
      </c>
      <c r="J42" t="s">
        <v>145</v>
      </c>
      <c r="O42" t="s">
        <v>205</v>
      </c>
      <c r="P42" t="s">
        <v>129</v>
      </c>
      <c r="Q42" t="s">
        <v>115</v>
      </c>
      <c r="R42" s="165">
        <v>-216</v>
      </c>
      <c r="S42" s="114">
        <v>46223</v>
      </c>
      <c r="T42" s="1" t="s">
        <v>149</v>
      </c>
      <c r="Y42" t="s">
        <v>31</v>
      </c>
      <c r="Z42" t="s">
        <v>115</v>
      </c>
      <c r="AA42" s="7">
        <v>938</v>
      </c>
      <c r="AB42" s="114">
        <v>46140</v>
      </c>
      <c r="AC42" t="s">
        <v>146</v>
      </c>
      <c r="AG42" s="111"/>
      <c r="AH42" s="111"/>
      <c r="AI42" s="7"/>
      <c r="AJ42" s="7"/>
      <c r="AK42" s="11"/>
      <c r="AL42" s="11"/>
    </row>
    <row r="43" spans="1:38" x14ac:dyDescent="0.25">
      <c r="A43" s="11" t="str">
        <v>ketherim</v>
      </c>
      <c r="B43" s="198">
        <v>464</v>
      </c>
      <c r="C43" s="198">
        <v>-464</v>
      </c>
      <c r="D43" s="198">
        <v>0</v>
      </c>
      <c r="E43" t="s">
        <v>378</v>
      </c>
      <c r="F43" t="s">
        <v>154</v>
      </c>
      <c r="G43" t="s">
        <v>114</v>
      </c>
      <c r="H43" s="165">
        <v>1800</v>
      </c>
      <c r="I43" s="114">
        <v>46107</v>
      </c>
      <c r="J43" t="s">
        <v>145</v>
      </c>
      <c r="O43" t="s">
        <v>205</v>
      </c>
      <c r="P43" t="s">
        <v>129</v>
      </c>
      <c r="Q43" t="s">
        <v>115</v>
      </c>
      <c r="R43" s="165">
        <v>-581.79999999999995</v>
      </c>
      <c r="S43" s="114">
        <v>46223</v>
      </c>
      <c r="T43" s="1" t="s">
        <v>149</v>
      </c>
      <c r="Y43" t="s">
        <v>31</v>
      </c>
      <c r="Z43" t="s">
        <v>115</v>
      </c>
      <c r="AA43" s="7">
        <v>907</v>
      </c>
      <c r="AB43" s="114">
        <v>46139</v>
      </c>
      <c r="AC43" t="s">
        <v>146</v>
      </c>
      <c r="AG43" s="111"/>
      <c r="AH43" s="111"/>
      <c r="AI43" s="7"/>
      <c r="AJ43" s="7"/>
      <c r="AK43" s="7"/>
      <c r="AL43" s="11"/>
    </row>
    <row r="44" spans="1:38" x14ac:dyDescent="0.25">
      <c r="A44" s="11" t="str">
        <v>reserva</v>
      </c>
      <c r="B44" s="198">
        <v>4100</v>
      </c>
      <c r="C44" s="198">
        <v>-4100</v>
      </c>
      <c r="D44" s="198">
        <v>0</v>
      </c>
      <c r="E44" t="s">
        <v>353</v>
      </c>
      <c r="F44" t="s">
        <v>154</v>
      </c>
      <c r="H44" s="165">
        <v>842</v>
      </c>
      <c r="I44" s="114">
        <v>46105</v>
      </c>
      <c r="J44" t="s">
        <v>145</v>
      </c>
      <c r="O44" t="s">
        <v>369</v>
      </c>
      <c r="P44" t="s">
        <v>234</v>
      </c>
      <c r="Q44" t="s">
        <v>114</v>
      </c>
      <c r="R44" s="165">
        <v>-1</v>
      </c>
      <c r="S44" s="114">
        <v>46223</v>
      </c>
      <c r="T44" s="1" t="s">
        <v>149</v>
      </c>
      <c r="Y44" t="s">
        <v>31</v>
      </c>
      <c r="Z44" t="s">
        <v>115</v>
      </c>
      <c r="AA44" s="7">
        <v>600</v>
      </c>
      <c r="AB44" s="114">
        <v>46135</v>
      </c>
      <c r="AC44" t="s">
        <v>146</v>
      </c>
      <c r="AG44" s="111"/>
      <c r="AH44" s="111"/>
      <c r="AI44" s="7"/>
      <c r="AJ44" s="7"/>
      <c r="AK44" s="11"/>
      <c r="AL44" s="11"/>
    </row>
    <row r="45" spans="1:38" x14ac:dyDescent="0.25">
      <c r="A45" s="11" t="str">
        <v>derick</v>
      </c>
      <c r="B45" s="198">
        <v>694</v>
      </c>
      <c r="C45" s="198">
        <v>-938</v>
      </c>
      <c r="D45" s="198">
        <v>-244</v>
      </c>
      <c r="E45" t="s">
        <v>352</v>
      </c>
      <c r="F45" t="s">
        <v>154</v>
      </c>
      <c r="G45" t="s">
        <v>115</v>
      </c>
      <c r="H45" s="165">
        <v>842</v>
      </c>
      <c r="I45" s="114">
        <v>46105</v>
      </c>
      <c r="J45" t="s">
        <v>145</v>
      </c>
      <c r="O45" t="s">
        <v>302</v>
      </c>
      <c r="P45" t="s">
        <v>234</v>
      </c>
      <c r="Q45" t="s">
        <v>114</v>
      </c>
      <c r="R45" s="165">
        <v>-10</v>
      </c>
      <c r="S45" s="114">
        <v>46223</v>
      </c>
      <c r="T45" s="1" t="s">
        <v>149</v>
      </c>
      <c r="Y45" t="s">
        <v>31</v>
      </c>
      <c r="Z45" t="s">
        <v>115</v>
      </c>
      <c r="AA45" s="7">
        <v>958</v>
      </c>
      <c r="AB45" s="114">
        <v>46134</v>
      </c>
      <c r="AC45" t="s">
        <v>146</v>
      </c>
      <c r="AG45" s="111"/>
      <c r="AH45" s="111"/>
      <c r="AI45" s="7"/>
      <c r="AJ45" s="7"/>
      <c r="AK45" s="11"/>
      <c r="AL45" s="11"/>
    </row>
    <row r="46" spans="1:38" x14ac:dyDescent="0.25">
      <c r="A46" s="11" t="str">
        <v>luchoa</v>
      </c>
      <c r="B46" s="198">
        <v>2198</v>
      </c>
      <c r="C46" s="198">
        <v>-3241.63</v>
      </c>
      <c r="D46" s="198">
        <v>-1043.6300000000001</v>
      </c>
      <c r="E46" t="s">
        <v>286</v>
      </c>
      <c r="F46" t="s">
        <v>305</v>
      </c>
      <c r="G46" t="s">
        <v>115</v>
      </c>
      <c r="H46" s="165">
        <v>657.73050999999941</v>
      </c>
      <c r="I46" s="114">
        <v>46104</v>
      </c>
      <c r="J46" t="s">
        <v>145</v>
      </c>
      <c r="O46" t="s">
        <v>423</v>
      </c>
      <c r="P46" t="s">
        <v>128</v>
      </c>
      <c r="Q46" t="s">
        <v>114</v>
      </c>
      <c r="R46" s="165">
        <v>250</v>
      </c>
      <c r="S46" s="114">
        <v>46223</v>
      </c>
      <c r="T46" s="1" t="s">
        <v>149</v>
      </c>
      <c r="Y46" t="s">
        <v>31</v>
      </c>
      <c r="Z46" t="s">
        <v>114</v>
      </c>
      <c r="AA46" s="7">
        <v>900</v>
      </c>
      <c r="AB46" s="114">
        <v>46133</v>
      </c>
      <c r="AC46" t="s">
        <v>146</v>
      </c>
      <c r="AG46" s="111"/>
      <c r="AH46" s="111"/>
      <c r="AI46" s="7"/>
      <c r="AJ46" s="7"/>
      <c r="AK46" s="11"/>
      <c r="AL46" s="11"/>
    </row>
    <row r="47" spans="1:38" x14ac:dyDescent="0.25">
      <c r="A47" s="11" t="str">
        <v>Daniel</v>
      </c>
      <c r="B47" s="198">
        <v>65</v>
      </c>
      <c r="C47" s="198">
        <v>-65</v>
      </c>
      <c r="D47" s="198">
        <v>0</v>
      </c>
      <c r="F47" t="s">
        <v>305</v>
      </c>
      <c r="G47" t="s">
        <v>115</v>
      </c>
      <c r="H47" s="165">
        <v>565.18521999999939</v>
      </c>
      <c r="I47" s="114">
        <v>46097</v>
      </c>
      <c r="J47" t="s">
        <v>145</v>
      </c>
      <c r="O47" t="s">
        <v>298</v>
      </c>
      <c r="P47" t="s">
        <v>128</v>
      </c>
      <c r="Q47" t="s">
        <v>115</v>
      </c>
      <c r="R47" s="165">
        <v>183.86</v>
      </c>
      <c r="S47" s="114">
        <v>46223</v>
      </c>
      <c r="T47" s="1" t="s">
        <v>149</v>
      </c>
      <c r="Y47" t="s">
        <v>31</v>
      </c>
      <c r="Z47" t="s">
        <v>115</v>
      </c>
      <c r="AA47" s="7">
        <v>600</v>
      </c>
      <c r="AB47" s="114">
        <v>46133</v>
      </c>
      <c r="AC47" t="s">
        <v>146</v>
      </c>
      <c r="AG47" s="111"/>
      <c r="AH47" s="111"/>
      <c r="AI47" s="7"/>
      <c r="AJ47" s="7"/>
      <c r="AK47" s="11"/>
      <c r="AL47" s="11"/>
    </row>
    <row r="48" spans="1:38" x14ac:dyDescent="0.25">
      <c r="A48" s="11" t="str">
        <v>deposito</v>
      </c>
      <c r="B48" s="198">
        <v>2079</v>
      </c>
      <c r="C48" s="198">
        <v>-2079</v>
      </c>
      <c r="D48" s="198">
        <v>0</v>
      </c>
      <c r="F48" t="s">
        <v>154</v>
      </c>
      <c r="G48" t="s">
        <v>114</v>
      </c>
      <c r="H48" s="165">
        <v>-28.25</v>
      </c>
      <c r="I48" s="114">
        <v>46094</v>
      </c>
      <c r="J48" t="s">
        <v>145</v>
      </c>
      <c r="O48" t="s">
        <v>298</v>
      </c>
      <c r="P48" t="s">
        <v>128</v>
      </c>
      <c r="Q48" t="s">
        <v>115</v>
      </c>
      <c r="R48" s="165">
        <v>100</v>
      </c>
      <c r="S48" s="114">
        <v>46223</v>
      </c>
      <c r="T48" s="1" t="s">
        <v>149</v>
      </c>
      <c r="Y48" t="s">
        <v>31</v>
      </c>
      <c r="Z48" t="s">
        <v>115</v>
      </c>
      <c r="AA48" s="7">
        <v>1000</v>
      </c>
      <c r="AB48" s="114">
        <v>46132</v>
      </c>
      <c r="AC48" t="s">
        <v>146</v>
      </c>
      <c r="AG48" s="111"/>
      <c r="AH48" s="111"/>
      <c r="AI48" s="7"/>
      <c r="AJ48" s="7"/>
      <c r="AK48" s="11"/>
      <c r="AL48" s="11"/>
    </row>
    <row r="49" spans="1:38" x14ac:dyDescent="0.25">
      <c r="A49" s="11" t="str">
        <v xml:space="preserve">Jeane </v>
      </c>
      <c r="B49" s="198">
        <v>50</v>
      </c>
      <c r="C49" s="198">
        <v>-50</v>
      </c>
      <c r="D49" s="198">
        <v>0</v>
      </c>
      <c r="F49" t="s">
        <v>305</v>
      </c>
      <c r="G49" t="s">
        <v>115</v>
      </c>
      <c r="H49" s="165">
        <v>440.82999999999993</v>
      </c>
      <c r="I49" s="114">
        <v>46091</v>
      </c>
      <c r="J49" t="s">
        <v>145</v>
      </c>
      <c r="O49" t="s">
        <v>205</v>
      </c>
      <c r="P49" t="s">
        <v>129</v>
      </c>
      <c r="Q49" t="s">
        <v>115</v>
      </c>
      <c r="R49" s="165">
        <v>-20</v>
      </c>
      <c r="S49" s="114">
        <v>46222</v>
      </c>
      <c r="T49" s="1" t="s">
        <v>149</v>
      </c>
      <c r="Y49" s="240" t="s">
        <v>31</v>
      </c>
      <c r="Z49" s="240" t="s">
        <v>114</v>
      </c>
      <c r="AA49" s="241">
        <v>400</v>
      </c>
      <c r="AB49" s="242">
        <v>46126</v>
      </c>
      <c r="AC49" s="240" t="s">
        <v>146</v>
      </c>
      <c r="AG49" s="111"/>
      <c r="AH49" s="111"/>
      <c r="AI49" s="7"/>
      <c r="AJ49" s="7"/>
      <c r="AK49" s="7"/>
      <c r="AL49" s="11"/>
    </row>
    <row r="50" spans="1:38" x14ac:dyDescent="0.25">
      <c r="A50" s="11" t="str">
        <v>Arlisson</v>
      </c>
      <c r="B50" s="198">
        <v>425</v>
      </c>
      <c r="C50" s="198">
        <v>-425</v>
      </c>
      <c r="D50" s="198">
        <v>0</v>
      </c>
      <c r="F50" t="s">
        <v>305</v>
      </c>
      <c r="G50" t="s">
        <v>115</v>
      </c>
      <c r="H50" s="165">
        <v>814.60620000000017</v>
      </c>
      <c r="I50" s="114">
        <v>46083</v>
      </c>
      <c r="J50" t="s">
        <v>145</v>
      </c>
      <c r="O50" t="s">
        <v>205</v>
      </c>
      <c r="P50" t="s">
        <v>129</v>
      </c>
      <c r="Q50" t="s">
        <v>115</v>
      </c>
      <c r="R50" s="165">
        <v>-20</v>
      </c>
      <c r="S50" s="114">
        <v>46222</v>
      </c>
      <c r="T50" s="1" t="s">
        <v>149</v>
      </c>
      <c r="Y50" t="s">
        <v>31</v>
      </c>
      <c r="Z50" t="s">
        <v>115</v>
      </c>
      <c r="AA50" s="7">
        <v>155</v>
      </c>
      <c r="AB50" s="114">
        <v>46126</v>
      </c>
      <c r="AC50" t="s">
        <v>146</v>
      </c>
      <c r="AG50" s="111"/>
      <c r="AH50" s="111"/>
      <c r="AI50" s="7"/>
      <c r="AJ50" s="7"/>
      <c r="AK50" s="11"/>
      <c r="AL50" s="11"/>
    </row>
    <row r="51" spans="1:38" x14ac:dyDescent="0.25">
      <c r="A51" s="11" t="str">
        <v>andrey</v>
      </c>
      <c r="B51" s="198">
        <v>80</v>
      </c>
      <c r="C51" s="198">
        <v>-103</v>
      </c>
      <c r="D51" s="198">
        <v>-23</v>
      </c>
      <c r="E51" t="s">
        <v>353</v>
      </c>
      <c r="F51" t="s">
        <v>154</v>
      </c>
      <c r="H51" s="165">
        <v>3217.87</v>
      </c>
      <c r="I51" s="114">
        <v>46029</v>
      </c>
      <c r="J51" t="s">
        <v>141</v>
      </c>
      <c r="O51" t="s">
        <v>302</v>
      </c>
      <c r="P51" t="s">
        <v>234</v>
      </c>
      <c r="Q51" t="s">
        <v>114</v>
      </c>
      <c r="R51" s="165">
        <v>-20</v>
      </c>
      <c r="S51" s="114">
        <v>46222</v>
      </c>
      <c r="T51" s="1" t="s">
        <v>149</v>
      </c>
      <c r="Y51" t="s">
        <v>31</v>
      </c>
      <c r="Z51" t="s">
        <v>115</v>
      </c>
      <c r="AA51" s="7">
        <v>200</v>
      </c>
      <c r="AB51" s="114">
        <v>46125</v>
      </c>
      <c r="AC51" t="s">
        <v>146</v>
      </c>
      <c r="AG51" s="111"/>
      <c r="AH51" s="111"/>
      <c r="AI51" s="7"/>
      <c r="AJ51" s="7"/>
      <c r="AK51" s="11"/>
      <c r="AL51" s="11"/>
    </row>
    <row r="52" spans="1:38" x14ac:dyDescent="0.25">
      <c r="A52" s="11" t="str">
        <v>Nataly</v>
      </c>
      <c r="B52" s="198">
        <v>30</v>
      </c>
      <c r="C52" s="198">
        <v>-30</v>
      </c>
      <c r="D52" s="198">
        <v>0</v>
      </c>
      <c r="E52" t="s">
        <v>352</v>
      </c>
      <c r="F52" t="s">
        <v>154</v>
      </c>
      <c r="G52" t="s">
        <v>115</v>
      </c>
      <c r="H52" s="165">
        <v>3217.87</v>
      </c>
      <c r="I52" s="114">
        <v>46029</v>
      </c>
      <c r="J52" t="s">
        <v>141</v>
      </c>
      <c r="O52" t="s">
        <v>205</v>
      </c>
      <c r="P52" t="s">
        <v>129</v>
      </c>
      <c r="Q52" t="s">
        <v>115</v>
      </c>
      <c r="R52" s="165">
        <v>-35</v>
      </c>
      <c r="S52" s="114">
        <v>46221</v>
      </c>
      <c r="T52" s="1" t="s">
        <v>149</v>
      </c>
      <c r="Y52" t="s">
        <v>31</v>
      </c>
      <c r="Z52" t="s">
        <v>115</v>
      </c>
      <c r="AA52" s="7">
        <v>1172</v>
      </c>
      <c r="AB52" s="114">
        <v>46125</v>
      </c>
      <c r="AC52" t="s">
        <v>146</v>
      </c>
      <c r="AG52" s="111"/>
      <c r="AH52" s="111"/>
      <c r="AI52" s="7"/>
      <c r="AJ52" s="7"/>
      <c r="AK52" s="11"/>
      <c r="AL52" s="11"/>
    </row>
    <row r="53" spans="1:38" x14ac:dyDescent="0.25">
      <c r="A53" s="11" t="str">
        <v xml:space="preserve">Denison </v>
      </c>
      <c r="B53" s="198">
        <v>500</v>
      </c>
      <c r="C53" s="198">
        <v>-500</v>
      </c>
      <c r="D53" s="198">
        <v>0</v>
      </c>
      <c r="F53" t="s">
        <v>154</v>
      </c>
      <c r="G53" t="s">
        <v>114</v>
      </c>
      <c r="H53" s="165">
        <v>-2.25</v>
      </c>
      <c r="I53" s="114">
        <v>46052</v>
      </c>
      <c r="J53" t="s">
        <v>141</v>
      </c>
      <c r="O53" t="s">
        <v>205</v>
      </c>
      <c r="P53" t="s">
        <v>129</v>
      </c>
      <c r="Q53" t="s">
        <v>115</v>
      </c>
      <c r="R53" s="165">
        <v>-20</v>
      </c>
      <c r="S53" s="114">
        <v>46221</v>
      </c>
      <c r="T53" s="1" t="s">
        <v>149</v>
      </c>
      <c r="Y53" t="s">
        <v>31</v>
      </c>
      <c r="Z53" t="s">
        <v>115</v>
      </c>
      <c r="AA53" s="7">
        <v>312</v>
      </c>
      <c r="AB53" s="114">
        <v>46122</v>
      </c>
      <c r="AC53" t="s">
        <v>146</v>
      </c>
      <c r="AG53" s="111"/>
      <c r="AH53" s="111"/>
      <c r="AI53" s="7"/>
      <c r="AJ53" s="7"/>
      <c r="AK53" s="11"/>
      <c r="AL53" s="11"/>
    </row>
    <row r="54" spans="1:38" x14ac:dyDescent="0.25">
      <c r="A54" s="11" t="str">
        <v>Adaolson</v>
      </c>
      <c r="B54" s="198">
        <v>350</v>
      </c>
      <c r="C54" s="198">
        <v>-350</v>
      </c>
      <c r="D54" s="198">
        <v>0</v>
      </c>
      <c r="F54" t="s">
        <v>154</v>
      </c>
      <c r="G54" t="s">
        <v>114</v>
      </c>
      <c r="H54" s="165">
        <v>-4.8499999999999091</v>
      </c>
      <c r="I54" s="114">
        <v>46051</v>
      </c>
      <c r="J54" t="s">
        <v>141</v>
      </c>
      <c r="O54" t="s">
        <v>205</v>
      </c>
      <c r="P54" t="s">
        <v>129</v>
      </c>
      <c r="Q54" t="s">
        <v>115</v>
      </c>
      <c r="R54" s="165">
        <v>-114</v>
      </c>
      <c r="S54" s="114">
        <v>46221</v>
      </c>
      <c r="T54" s="1" t="s">
        <v>149</v>
      </c>
      <c r="Y54" t="s">
        <v>31</v>
      </c>
      <c r="Z54" t="s">
        <v>115</v>
      </c>
      <c r="AA54" s="7">
        <v>395</v>
      </c>
      <c r="AB54" s="114">
        <v>46122</v>
      </c>
      <c r="AC54" t="s">
        <v>146</v>
      </c>
      <c r="AG54" s="111"/>
      <c r="AH54" s="111"/>
      <c r="AI54" s="7"/>
      <c r="AJ54" s="7"/>
      <c r="AK54" s="11"/>
      <c r="AL54" s="11"/>
    </row>
    <row r="55" spans="1:38" x14ac:dyDescent="0.25">
      <c r="A55" s="11" t="str">
        <v>adonay</v>
      </c>
      <c r="B55" s="198">
        <v>26.25</v>
      </c>
      <c r="C55" s="198">
        <v>-26.25</v>
      </c>
      <c r="D55" s="198">
        <v>0</v>
      </c>
      <c r="F55" t="s">
        <v>305</v>
      </c>
      <c r="G55" t="s">
        <v>115</v>
      </c>
      <c r="H55" s="165">
        <v>568.65740000000005</v>
      </c>
      <c r="I55" s="114">
        <v>46048</v>
      </c>
      <c r="J55" t="s">
        <v>141</v>
      </c>
      <c r="O55" t="s">
        <v>302</v>
      </c>
      <c r="P55" t="s">
        <v>234</v>
      </c>
      <c r="Q55" t="s">
        <v>114</v>
      </c>
      <c r="R55" s="165">
        <v>-48</v>
      </c>
      <c r="S55" s="114">
        <v>46221</v>
      </c>
      <c r="T55" s="1" t="s">
        <v>149</v>
      </c>
      <c r="Y55" t="s">
        <v>31</v>
      </c>
      <c r="Z55" t="s">
        <v>115</v>
      </c>
      <c r="AA55" s="7">
        <v>826</v>
      </c>
      <c r="AB55" s="114">
        <v>46121</v>
      </c>
      <c r="AC55" t="s">
        <v>146</v>
      </c>
      <c r="AG55" s="111"/>
      <c r="AH55" s="111"/>
      <c r="AI55" s="7"/>
      <c r="AJ55" s="7"/>
      <c r="AK55" s="7"/>
      <c r="AL55" s="11"/>
    </row>
    <row r="56" spans="1:38" x14ac:dyDescent="0.25">
      <c r="A56" s="11" t="str">
        <v>vizinho</v>
      </c>
      <c r="B56" s="11">
        <v>25</v>
      </c>
      <c r="C56" s="7">
        <v>-25</v>
      </c>
      <c r="D56" s="154">
        <v>0</v>
      </c>
      <c r="F56" t="s">
        <v>154</v>
      </c>
      <c r="G56" t="s">
        <v>115</v>
      </c>
      <c r="H56" s="165">
        <v>170.61427999999978</v>
      </c>
      <c r="I56" s="114">
        <v>46043</v>
      </c>
      <c r="J56" t="s">
        <v>141</v>
      </c>
      <c r="O56" t="s">
        <v>302</v>
      </c>
      <c r="P56" t="s">
        <v>234</v>
      </c>
      <c r="Q56" t="s">
        <v>114</v>
      </c>
      <c r="R56" s="165">
        <v>-20</v>
      </c>
      <c r="S56" s="114">
        <v>46221</v>
      </c>
      <c r="T56" s="1" t="s">
        <v>149</v>
      </c>
      <c r="Y56" t="s">
        <v>31</v>
      </c>
      <c r="Z56" t="s">
        <v>115</v>
      </c>
      <c r="AA56" s="7">
        <v>1215</v>
      </c>
      <c r="AB56" s="114">
        <v>46120</v>
      </c>
      <c r="AC56" t="s">
        <v>146</v>
      </c>
      <c r="AG56" s="111"/>
      <c r="AH56" s="111"/>
      <c r="AI56" s="7"/>
      <c r="AJ56" s="7"/>
      <c r="AK56" s="11"/>
      <c r="AL56" s="11"/>
    </row>
    <row r="57" spans="1:38" x14ac:dyDescent="0.25">
      <c r="A57" s="11" t="str">
        <v>raiza</v>
      </c>
      <c r="B57" s="11">
        <v>0</v>
      </c>
      <c r="C57" s="7">
        <v>-68</v>
      </c>
      <c r="D57" s="154">
        <v>-68</v>
      </c>
      <c r="F57" t="s">
        <v>154</v>
      </c>
      <c r="G57" t="s">
        <v>114</v>
      </c>
      <c r="H57" s="165">
        <v>-51.149999999999977</v>
      </c>
      <c r="I57" s="114">
        <v>46043</v>
      </c>
      <c r="J57" t="s">
        <v>141</v>
      </c>
      <c r="O57" t="s">
        <v>302</v>
      </c>
      <c r="P57" t="s">
        <v>234</v>
      </c>
      <c r="Q57" t="s">
        <v>114</v>
      </c>
      <c r="R57" s="165">
        <v>-20</v>
      </c>
      <c r="S57" s="114">
        <v>46221</v>
      </c>
      <c r="T57" s="1" t="s">
        <v>149</v>
      </c>
      <c r="Y57" t="s">
        <v>31</v>
      </c>
      <c r="Z57" t="s">
        <v>114</v>
      </c>
      <c r="AA57" s="7">
        <v>1030</v>
      </c>
      <c r="AB57" s="114">
        <v>46120</v>
      </c>
      <c r="AC57" t="s">
        <v>146</v>
      </c>
      <c r="AG57" s="111"/>
      <c r="AH57" s="111"/>
      <c r="AI57" s="7"/>
      <c r="AJ57" s="7"/>
      <c r="AK57" s="11"/>
      <c r="AL57" s="11"/>
    </row>
    <row r="58" spans="1:38" x14ac:dyDescent="0.25">
      <c r="A58" s="11" t="str">
        <v>Moedas</v>
      </c>
      <c r="B58" s="11">
        <v>0</v>
      </c>
      <c r="C58" s="7">
        <v>-260</v>
      </c>
      <c r="D58" s="154">
        <v>-260</v>
      </c>
      <c r="F58" t="s">
        <v>154</v>
      </c>
      <c r="G58" t="s">
        <v>115</v>
      </c>
      <c r="H58" s="165">
        <v>360.31334999999854</v>
      </c>
      <c r="I58" s="114">
        <v>46041</v>
      </c>
      <c r="J58" t="s">
        <v>141</v>
      </c>
      <c r="O58" t="s">
        <v>205</v>
      </c>
      <c r="P58" t="s">
        <v>129</v>
      </c>
      <c r="Q58" t="s">
        <v>115</v>
      </c>
      <c r="R58" s="165">
        <v>-39</v>
      </c>
      <c r="S58" s="114">
        <v>46220</v>
      </c>
      <c r="T58" s="1" t="s">
        <v>149</v>
      </c>
      <c r="Y58" t="s">
        <v>31</v>
      </c>
      <c r="Z58" t="s">
        <v>115</v>
      </c>
      <c r="AA58" s="7">
        <v>6903</v>
      </c>
      <c r="AB58" s="114">
        <v>46118</v>
      </c>
      <c r="AC58" t="s">
        <v>146</v>
      </c>
      <c r="AG58" s="111"/>
      <c r="AH58" s="111"/>
      <c r="AI58" s="7"/>
      <c r="AJ58" s="7"/>
      <c r="AK58" s="11"/>
      <c r="AL58" s="11"/>
    </row>
    <row r="59" spans="1:38" x14ac:dyDescent="0.25">
      <c r="C59" s="7"/>
      <c r="F59" t="s">
        <v>154</v>
      </c>
      <c r="G59" t="s">
        <v>114</v>
      </c>
      <c r="H59" s="165">
        <v>-27.850000000000023</v>
      </c>
      <c r="I59" s="114">
        <v>46041</v>
      </c>
      <c r="J59" t="s">
        <v>141</v>
      </c>
      <c r="O59" t="s">
        <v>205</v>
      </c>
      <c r="P59" t="s">
        <v>129</v>
      </c>
      <c r="Q59" t="s">
        <v>115</v>
      </c>
      <c r="R59" s="165">
        <v>-23</v>
      </c>
      <c r="S59" s="114">
        <v>46220</v>
      </c>
      <c r="T59" s="1" t="s">
        <v>149</v>
      </c>
      <c r="Y59" t="s">
        <v>31</v>
      </c>
      <c r="Z59" t="s">
        <v>115</v>
      </c>
      <c r="AA59" s="7">
        <v>1200</v>
      </c>
      <c r="AB59" s="114">
        <v>46108</v>
      </c>
      <c r="AC59" t="s">
        <v>145</v>
      </c>
      <c r="AG59" s="111"/>
      <c r="AH59" s="111"/>
      <c r="AI59" s="11"/>
      <c r="AJ59" s="11"/>
      <c r="AK59" s="11"/>
      <c r="AL59" s="11"/>
    </row>
    <row r="60" spans="1:38" x14ac:dyDescent="0.25">
      <c r="C60" s="7"/>
      <c r="F60" t="s">
        <v>305</v>
      </c>
      <c r="G60" t="s">
        <v>115</v>
      </c>
      <c r="H60" s="165">
        <v>1040.8678</v>
      </c>
      <c r="I60" s="114">
        <v>46041</v>
      </c>
      <c r="J60" t="s">
        <v>141</v>
      </c>
      <c r="O60" t="s">
        <v>205</v>
      </c>
      <c r="P60" t="s">
        <v>129</v>
      </c>
      <c r="Q60" t="s">
        <v>115</v>
      </c>
      <c r="R60" s="165">
        <v>-46</v>
      </c>
      <c r="S60" s="114">
        <v>46220</v>
      </c>
      <c r="T60" s="1" t="s">
        <v>149</v>
      </c>
      <c r="Y60" t="s">
        <v>31</v>
      </c>
      <c r="Z60" t="s">
        <v>115</v>
      </c>
      <c r="AA60" s="7">
        <v>1800</v>
      </c>
      <c r="AB60" s="114">
        <v>46106</v>
      </c>
      <c r="AC60" t="s">
        <v>145</v>
      </c>
      <c r="AG60" s="111"/>
      <c r="AH60" s="111"/>
      <c r="AI60" s="11"/>
      <c r="AJ60" s="11"/>
      <c r="AK60" s="11"/>
    </row>
    <row r="61" spans="1:38" x14ac:dyDescent="0.25">
      <c r="C61" s="7"/>
      <c r="F61" t="s">
        <v>154</v>
      </c>
      <c r="G61" t="s">
        <v>114</v>
      </c>
      <c r="H61" s="165">
        <v>-211.07999999999998</v>
      </c>
      <c r="I61" s="114">
        <v>46040</v>
      </c>
      <c r="J61" t="s">
        <v>141</v>
      </c>
      <c r="O61" t="s">
        <v>205</v>
      </c>
      <c r="P61" t="s">
        <v>129</v>
      </c>
      <c r="Q61" t="s">
        <v>115</v>
      </c>
      <c r="R61" s="165">
        <v>-203</v>
      </c>
      <c r="S61" s="114">
        <v>46220</v>
      </c>
      <c r="T61" s="1" t="s">
        <v>149</v>
      </c>
      <c r="Y61" t="s">
        <v>31</v>
      </c>
      <c r="Z61" t="s">
        <v>115</v>
      </c>
      <c r="AA61" s="7">
        <v>917</v>
      </c>
      <c r="AB61" s="114">
        <v>46106</v>
      </c>
      <c r="AC61" t="s">
        <v>145</v>
      </c>
      <c r="AG61" s="111"/>
      <c r="AH61" s="111"/>
      <c r="AI61" s="11"/>
      <c r="AJ61" s="11"/>
      <c r="AK61" s="7"/>
    </row>
    <row r="62" spans="1:38" x14ac:dyDescent="0.25">
      <c r="C62" s="7"/>
      <c r="F62" t="s">
        <v>154</v>
      </c>
      <c r="G62" t="s">
        <v>115</v>
      </c>
      <c r="H62" s="165">
        <f>133.5+27.25-296.93</f>
        <v>-136.18</v>
      </c>
      <c r="I62" s="114">
        <v>46040</v>
      </c>
      <c r="J62" t="s">
        <v>141</v>
      </c>
      <c r="O62" t="s">
        <v>302</v>
      </c>
      <c r="P62" t="s">
        <v>234</v>
      </c>
      <c r="Q62" t="s">
        <v>114</v>
      </c>
      <c r="R62" s="165">
        <v>-28</v>
      </c>
      <c r="S62" s="114">
        <v>46220</v>
      </c>
      <c r="T62" s="1" t="s">
        <v>149</v>
      </c>
      <c r="Y62" t="s">
        <v>31</v>
      </c>
      <c r="Z62" t="s">
        <v>115</v>
      </c>
      <c r="AA62" s="7">
        <v>2220</v>
      </c>
      <c r="AB62" s="114">
        <v>46106</v>
      </c>
      <c r="AC62" t="s">
        <v>145</v>
      </c>
      <c r="AG62" s="111"/>
      <c r="AH62" s="111"/>
      <c r="AI62" s="11"/>
      <c r="AJ62" s="11"/>
      <c r="AK62" s="11"/>
    </row>
    <row r="63" spans="1:38" x14ac:dyDescent="0.25">
      <c r="F63" t="s">
        <v>305</v>
      </c>
      <c r="G63" t="s">
        <v>115</v>
      </c>
      <c r="H63" s="165">
        <v>1038.6281999999997</v>
      </c>
      <c r="I63" s="114">
        <v>46034</v>
      </c>
      <c r="J63" t="s">
        <v>141</v>
      </c>
      <c r="O63" t="s">
        <v>302</v>
      </c>
      <c r="P63" t="s">
        <v>234</v>
      </c>
      <c r="Q63" t="s">
        <v>114</v>
      </c>
      <c r="R63" s="165">
        <v>-15.35</v>
      </c>
      <c r="S63" s="114">
        <v>46220</v>
      </c>
      <c r="T63" s="1" t="s">
        <v>149</v>
      </c>
      <c r="Y63" t="s">
        <v>31</v>
      </c>
      <c r="Z63" t="s">
        <v>115</v>
      </c>
      <c r="AA63" s="7">
        <v>118</v>
      </c>
      <c r="AB63" s="114">
        <v>46100</v>
      </c>
      <c r="AC63" t="s">
        <v>145</v>
      </c>
      <c r="AG63" s="1"/>
      <c r="AH63" s="1"/>
      <c r="AJ63" s="11"/>
      <c r="AK63" s="11"/>
    </row>
    <row r="64" spans="1:38" x14ac:dyDescent="0.25">
      <c r="F64" t="s">
        <v>154</v>
      </c>
      <c r="G64" t="s">
        <v>114</v>
      </c>
      <c r="H64" s="165">
        <v>-270</v>
      </c>
      <c r="I64" s="114">
        <v>46033</v>
      </c>
      <c r="J64" t="s">
        <v>141</v>
      </c>
      <c r="O64" t="s">
        <v>205</v>
      </c>
      <c r="P64" t="s">
        <v>129</v>
      </c>
      <c r="Q64" t="s">
        <v>115</v>
      </c>
      <c r="R64" s="165">
        <v>-66</v>
      </c>
      <c r="S64" s="114">
        <v>46219</v>
      </c>
      <c r="T64" s="1" t="s">
        <v>149</v>
      </c>
      <c r="Y64" t="s">
        <v>31</v>
      </c>
      <c r="Z64" t="s">
        <v>115</v>
      </c>
      <c r="AA64" s="7">
        <v>319</v>
      </c>
      <c r="AB64" s="114">
        <v>46100</v>
      </c>
      <c r="AC64" t="s">
        <v>145</v>
      </c>
    </row>
    <row r="65" spans="2:29" x14ac:dyDescent="0.25">
      <c r="F65" t="s">
        <v>154</v>
      </c>
      <c r="G65" t="s">
        <v>115</v>
      </c>
      <c r="H65" s="165">
        <v>270</v>
      </c>
      <c r="I65" s="114">
        <v>46033</v>
      </c>
      <c r="J65" t="s">
        <v>141</v>
      </c>
      <c r="O65" t="s">
        <v>205</v>
      </c>
      <c r="P65" t="s">
        <v>129</v>
      </c>
      <c r="Q65" t="s">
        <v>115</v>
      </c>
      <c r="R65" s="165">
        <v>-19</v>
      </c>
      <c r="S65" s="114">
        <v>46219</v>
      </c>
      <c r="T65" s="1" t="s">
        <v>149</v>
      </c>
      <c r="Y65" t="s">
        <v>31</v>
      </c>
      <c r="Z65" t="s">
        <v>115</v>
      </c>
      <c r="AA65" s="7">
        <v>505</v>
      </c>
      <c r="AB65" s="114">
        <v>46099</v>
      </c>
      <c r="AC65" t="s">
        <v>145</v>
      </c>
    </row>
    <row r="66" spans="2:29" x14ac:dyDescent="0.25">
      <c r="F66" t="s">
        <v>154</v>
      </c>
      <c r="G66" t="s">
        <v>114</v>
      </c>
      <c r="H66" s="165">
        <v>88.480000000000018</v>
      </c>
      <c r="I66" s="114">
        <v>46031</v>
      </c>
      <c r="J66" t="s">
        <v>141</v>
      </c>
      <c r="O66" t="s">
        <v>205</v>
      </c>
      <c r="P66" t="s">
        <v>129</v>
      </c>
      <c r="Q66" t="s">
        <v>115</v>
      </c>
      <c r="R66" s="165">
        <v>-28</v>
      </c>
      <c r="S66" s="114">
        <v>46219</v>
      </c>
      <c r="T66" s="1" t="s">
        <v>149</v>
      </c>
      <c r="Y66" t="s">
        <v>31</v>
      </c>
      <c r="Z66" t="s">
        <v>114</v>
      </c>
      <c r="AA66" s="7">
        <v>400</v>
      </c>
      <c r="AB66" s="114">
        <v>46098</v>
      </c>
      <c r="AC66" t="s">
        <v>145</v>
      </c>
    </row>
    <row r="67" spans="2:29" x14ac:dyDescent="0.25">
      <c r="F67" t="s">
        <v>154</v>
      </c>
      <c r="G67" t="s">
        <v>115</v>
      </c>
      <c r="H67" s="165">
        <v>-93.44719999999802</v>
      </c>
      <c r="I67" s="114">
        <v>46031</v>
      </c>
      <c r="J67" t="s">
        <v>141</v>
      </c>
      <c r="O67" t="s">
        <v>205</v>
      </c>
      <c r="P67" t="s">
        <v>129</v>
      </c>
      <c r="Q67" t="s">
        <v>115</v>
      </c>
      <c r="R67" s="165">
        <v>-147.79</v>
      </c>
      <c r="S67" s="114">
        <v>46219</v>
      </c>
      <c r="T67" s="1" t="s">
        <v>149</v>
      </c>
      <c r="Y67" t="s">
        <v>31</v>
      </c>
      <c r="Z67" t="s">
        <v>115</v>
      </c>
      <c r="AA67" s="7">
        <v>1022</v>
      </c>
      <c r="AB67" s="114">
        <v>46097</v>
      </c>
      <c r="AC67" t="s">
        <v>145</v>
      </c>
    </row>
    <row r="68" spans="2:29" x14ac:dyDescent="0.25">
      <c r="F68" t="s">
        <v>154</v>
      </c>
      <c r="G68" t="s">
        <v>114</v>
      </c>
      <c r="H68" s="165">
        <v>200</v>
      </c>
      <c r="I68" s="114">
        <v>46031</v>
      </c>
      <c r="J68" t="s">
        <v>141</v>
      </c>
      <c r="O68" t="s">
        <v>205</v>
      </c>
      <c r="P68" t="s">
        <v>129</v>
      </c>
      <c r="Q68" t="s">
        <v>115</v>
      </c>
      <c r="R68" s="165">
        <v>-42</v>
      </c>
      <c r="S68" s="114">
        <v>46218</v>
      </c>
      <c r="T68" s="1" t="s">
        <v>149</v>
      </c>
      <c r="Y68" t="s">
        <v>31</v>
      </c>
      <c r="Z68" t="s">
        <v>115</v>
      </c>
      <c r="AA68" s="7">
        <v>230</v>
      </c>
      <c r="AB68" s="114">
        <v>46094</v>
      </c>
      <c r="AC68" t="s">
        <v>145</v>
      </c>
    </row>
    <row r="69" spans="2:29" x14ac:dyDescent="0.25">
      <c r="F69" t="s">
        <v>154</v>
      </c>
      <c r="G69" t="s">
        <v>115</v>
      </c>
      <c r="H69" s="165">
        <v>-200</v>
      </c>
      <c r="I69" s="114">
        <v>46031</v>
      </c>
      <c r="J69" t="s">
        <v>141</v>
      </c>
      <c r="O69" t="s">
        <v>205</v>
      </c>
      <c r="P69" t="s">
        <v>129</v>
      </c>
      <c r="Q69" t="s">
        <v>115</v>
      </c>
      <c r="R69" s="165">
        <v>-59</v>
      </c>
      <c r="S69" s="114">
        <v>46218</v>
      </c>
      <c r="T69" s="1" t="s">
        <v>149</v>
      </c>
      <c r="Y69" t="s">
        <v>31</v>
      </c>
      <c r="Z69" t="s">
        <v>115</v>
      </c>
      <c r="AA69" s="7">
        <v>1847</v>
      </c>
      <c r="AB69" s="114">
        <v>46094</v>
      </c>
      <c r="AC69" t="s">
        <v>145</v>
      </c>
    </row>
    <row r="70" spans="2:29" x14ac:dyDescent="0.25">
      <c r="B70" s="11">
        <v>40</v>
      </c>
      <c r="F70" t="s">
        <v>154</v>
      </c>
      <c r="G70" t="s">
        <v>114</v>
      </c>
      <c r="H70" s="165">
        <v>37.449999999999989</v>
      </c>
      <c r="I70" s="114">
        <v>46030</v>
      </c>
      <c r="J70" t="s">
        <v>141</v>
      </c>
      <c r="O70" t="s">
        <v>205</v>
      </c>
      <c r="P70" t="s">
        <v>129</v>
      </c>
      <c r="Q70" t="s">
        <v>115</v>
      </c>
      <c r="R70" s="165">
        <v>-137</v>
      </c>
      <c r="S70" s="114">
        <v>46218</v>
      </c>
      <c r="T70" s="1" t="s">
        <v>149</v>
      </c>
      <c r="Y70" t="s">
        <v>31</v>
      </c>
      <c r="Z70" t="s">
        <v>115</v>
      </c>
      <c r="AA70" s="7">
        <v>1289</v>
      </c>
      <c r="AB70" s="114">
        <v>46088</v>
      </c>
      <c r="AC70" t="s">
        <v>145</v>
      </c>
    </row>
    <row r="71" spans="2:29" x14ac:dyDescent="0.25">
      <c r="B71" s="11">
        <v>-40</v>
      </c>
      <c r="F71" t="s">
        <v>154</v>
      </c>
      <c r="G71" t="s">
        <v>115</v>
      </c>
      <c r="H71" s="165">
        <v>100</v>
      </c>
      <c r="I71" s="114">
        <v>46030</v>
      </c>
      <c r="J71" t="s">
        <v>141</v>
      </c>
      <c r="O71" t="s">
        <v>205</v>
      </c>
      <c r="P71" t="s">
        <v>129</v>
      </c>
      <c r="Q71" t="s">
        <v>115</v>
      </c>
      <c r="R71" s="165">
        <v>-243.2</v>
      </c>
      <c r="S71" s="114">
        <v>46218</v>
      </c>
      <c r="T71" s="1" t="s">
        <v>149</v>
      </c>
      <c r="Y71" t="s">
        <v>31</v>
      </c>
      <c r="Z71" t="s">
        <v>114</v>
      </c>
      <c r="AA71" s="7">
        <v>1800</v>
      </c>
      <c r="AB71" s="114">
        <v>46088</v>
      </c>
      <c r="AC71" t="s">
        <v>145</v>
      </c>
    </row>
    <row r="72" spans="2:29" x14ac:dyDescent="0.25">
      <c r="B72" s="11">
        <v>-20</v>
      </c>
      <c r="F72" t="s">
        <v>154</v>
      </c>
      <c r="G72" t="s">
        <v>114</v>
      </c>
      <c r="H72" s="165">
        <v>-100</v>
      </c>
      <c r="I72" s="114">
        <v>46030</v>
      </c>
      <c r="J72" t="s">
        <v>141</v>
      </c>
      <c r="O72" t="s">
        <v>205</v>
      </c>
      <c r="P72" t="s">
        <v>129</v>
      </c>
      <c r="Q72" t="s">
        <v>115</v>
      </c>
      <c r="R72" s="165">
        <v>-163</v>
      </c>
      <c r="S72" s="114">
        <v>46217</v>
      </c>
      <c r="T72" s="1" t="s">
        <v>149</v>
      </c>
      <c r="Y72" t="s">
        <v>31</v>
      </c>
      <c r="Z72" t="s">
        <v>115</v>
      </c>
      <c r="AA72" s="7">
        <v>1475</v>
      </c>
      <c r="AB72" s="114">
        <v>46085</v>
      </c>
      <c r="AC72" t="s">
        <v>145</v>
      </c>
    </row>
    <row r="73" spans="2:29" x14ac:dyDescent="0.25">
      <c r="B73" s="11">
        <v>20</v>
      </c>
      <c r="F73" t="s">
        <v>154</v>
      </c>
      <c r="G73" t="s">
        <v>114</v>
      </c>
      <c r="H73" s="165">
        <v>-161.46000000000004</v>
      </c>
      <c r="I73" s="114">
        <v>46029</v>
      </c>
      <c r="J73" t="s">
        <v>141</v>
      </c>
      <c r="O73" t="s">
        <v>205</v>
      </c>
      <c r="P73" t="s">
        <v>129</v>
      </c>
      <c r="Q73" t="s">
        <v>115</v>
      </c>
      <c r="R73" s="165">
        <v>-23</v>
      </c>
      <c r="S73" s="114">
        <v>46217</v>
      </c>
      <c r="T73" s="1" t="s">
        <v>149</v>
      </c>
      <c r="Y73" t="s">
        <v>31</v>
      </c>
      <c r="Z73" t="s">
        <v>115</v>
      </c>
      <c r="AA73" s="7">
        <v>3000</v>
      </c>
      <c r="AB73" s="114">
        <v>46081</v>
      </c>
      <c r="AC73" t="s">
        <v>141</v>
      </c>
    </row>
    <row r="74" spans="2:29" x14ac:dyDescent="0.25">
      <c r="F74" t="s">
        <v>154</v>
      </c>
      <c r="G74" t="s">
        <v>115</v>
      </c>
      <c r="H74" s="165">
        <v>-3001.3203500000204</v>
      </c>
      <c r="I74" s="114">
        <v>46029</v>
      </c>
      <c r="J74" t="s">
        <v>141</v>
      </c>
      <c r="O74" t="s">
        <v>205</v>
      </c>
      <c r="P74" t="s">
        <v>129</v>
      </c>
      <c r="Q74" t="s">
        <v>115</v>
      </c>
      <c r="R74" s="165">
        <v>-49</v>
      </c>
      <c r="S74" s="114">
        <v>46217</v>
      </c>
      <c r="T74" s="1" t="s">
        <v>149</v>
      </c>
      <c r="Y74" t="s">
        <v>31</v>
      </c>
      <c r="Z74" t="s">
        <v>115</v>
      </c>
      <c r="AA74" s="7">
        <v>2084.52</v>
      </c>
      <c r="AB74" s="114">
        <v>46072</v>
      </c>
      <c r="AC74" t="s">
        <v>144</v>
      </c>
    </row>
    <row r="75" spans="2:29" x14ac:dyDescent="0.25">
      <c r="F75" t="s">
        <v>305</v>
      </c>
      <c r="G75" t="s">
        <v>115</v>
      </c>
      <c r="H75" s="165">
        <v>708.13919999999996</v>
      </c>
      <c r="I75" s="114">
        <v>46027</v>
      </c>
      <c r="J75" t="s">
        <v>141</v>
      </c>
      <c r="O75" t="s">
        <v>205</v>
      </c>
      <c r="P75" t="s">
        <v>129</v>
      </c>
      <c r="Q75" t="s">
        <v>115</v>
      </c>
      <c r="R75" s="165">
        <v>-114.41</v>
      </c>
      <c r="S75" s="114">
        <v>46217</v>
      </c>
      <c r="T75" s="1" t="s">
        <v>149</v>
      </c>
      <c r="Y75" t="s">
        <v>31</v>
      </c>
      <c r="Z75" t="s">
        <v>115</v>
      </c>
      <c r="AA75" s="7">
        <v>598.63</v>
      </c>
      <c r="AB75" s="114">
        <v>46072</v>
      </c>
      <c r="AC75" t="s">
        <v>144</v>
      </c>
    </row>
    <row r="76" spans="2:29" x14ac:dyDescent="0.25">
      <c r="F76" t="s">
        <v>154</v>
      </c>
      <c r="G76" t="s">
        <v>115</v>
      </c>
      <c r="H76" s="165">
        <v>30</v>
      </c>
      <c r="I76" s="114">
        <v>46026</v>
      </c>
      <c r="J76" t="s">
        <v>141</v>
      </c>
      <c r="O76" t="s">
        <v>302</v>
      </c>
      <c r="P76" t="s">
        <v>234</v>
      </c>
      <c r="Q76" t="s">
        <v>114</v>
      </c>
      <c r="R76" s="165">
        <v>-6</v>
      </c>
      <c r="S76" s="114">
        <v>46217</v>
      </c>
      <c r="T76" s="1" t="s">
        <v>149</v>
      </c>
      <c r="Y76" t="s">
        <v>30</v>
      </c>
      <c r="Z76" t="s">
        <v>115</v>
      </c>
      <c r="AA76" s="7">
        <v>1983</v>
      </c>
      <c r="AB76" s="114">
        <v>46071</v>
      </c>
      <c r="AC76" t="s">
        <v>144</v>
      </c>
    </row>
    <row r="77" spans="2:29" x14ac:dyDescent="0.25">
      <c r="F77" t="s">
        <v>154</v>
      </c>
      <c r="G77" t="s">
        <v>114</v>
      </c>
      <c r="H77" s="165">
        <v>-30</v>
      </c>
      <c r="I77" s="114">
        <v>46026</v>
      </c>
      <c r="J77" t="s">
        <v>141</v>
      </c>
      <c r="O77" t="s">
        <v>302</v>
      </c>
      <c r="P77" t="s">
        <v>234</v>
      </c>
      <c r="Q77" t="s">
        <v>114</v>
      </c>
      <c r="R77" s="165">
        <v>-7.5</v>
      </c>
      <c r="S77" s="114">
        <v>46217</v>
      </c>
      <c r="T77" s="1" t="s">
        <v>149</v>
      </c>
      <c r="Y77" t="s">
        <v>30</v>
      </c>
      <c r="Z77" t="s">
        <v>115</v>
      </c>
      <c r="AA77" s="7">
        <v>917</v>
      </c>
      <c r="AB77" s="114">
        <v>46065</v>
      </c>
      <c r="AC77" t="s">
        <v>144</v>
      </c>
    </row>
    <row r="78" spans="2:29" x14ac:dyDescent="0.25">
      <c r="F78" t="s">
        <v>154</v>
      </c>
      <c r="G78" t="s">
        <v>114</v>
      </c>
      <c r="H78" s="165">
        <v>-10</v>
      </c>
      <c r="I78" s="114">
        <v>46025</v>
      </c>
      <c r="J78" t="s">
        <v>141</v>
      </c>
      <c r="O78" t="s">
        <v>205</v>
      </c>
      <c r="P78" t="s">
        <v>129</v>
      </c>
      <c r="Q78" t="s">
        <v>115</v>
      </c>
      <c r="R78" s="165">
        <v>-305</v>
      </c>
      <c r="S78" s="114">
        <v>46216</v>
      </c>
      <c r="T78" s="1" t="s">
        <v>149</v>
      </c>
      <c r="Y78" t="s">
        <v>31</v>
      </c>
      <c r="Z78" t="s">
        <v>114</v>
      </c>
      <c r="AA78" s="7">
        <v>1480</v>
      </c>
      <c r="AB78" s="114">
        <v>46063</v>
      </c>
      <c r="AC78" t="s">
        <v>144</v>
      </c>
    </row>
    <row r="79" spans="2:29" x14ac:dyDescent="0.25">
      <c r="F79" t="s">
        <v>154</v>
      </c>
      <c r="G79" t="s">
        <v>115</v>
      </c>
      <c r="H79" s="165">
        <v>10</v>
      </c>
      <c r="I79" s="114">
        <v>46025</v>
      </c>
      <c r="J79" t="s">
        <v>141</v>
      </c>
      <c r="O79" t="s">
        <v>205</v>
      </c>
      <c r="P79" t="s">
        <v>128</v>
      </c>
      <c r="Q79" t="s">
        <v>115</v>
      </c>
      <c r="R79" s="165">
        <f>-288-2.68</f>
        <v>-290.68</v>
      </c>
      <c r="S79" s="114">
        <v>46216</v>
      </c>
      <c r="T79" s="1" t="s">
        <v>149</v>
      </c>
      <c r="Y79" t="s">
        <v>30</v>
      </c>
      <c r="Z79" t="s">
        <v>114</v>
      </c>
      <c r="AA79" s="7">
        <v>600</v>
      </c>
      <c r="AB79" s="114">
        <v>46060</v>
      </c>
      <c r="AC79" t="s">
        <v>144</v>
      </c>
    </row>
    <row r="80" spans="2:29" x14ac:dyDescent="0.25">
      <c r="F80" t="s">
        <v>154</v>
      </c>
      <c r="G80" t="s">
        <v>114</v>
      </c>
      <c r="H80" s="165">
        <f>2239.78984667844</f>
        <v>2239.78984667844</v>
      </c>
      <c r="I80" s="114">
        <v>46023</v>
      </c>
      <c r="J80" t="s">
        <v>141</v>
      </c>
      <c r="O80" t="s">
        <v>205</v>
      </c>
      <c r="P80" t="s">
        <v>128</v>
      </c>
      <c r="Q80" t="s">
        <v>115</v>
      </c>
      <c r="R80" s="165">
        <v>-598.37</v>
      </c>
      <c r="S80" s="114">
        <v>46216</v>
      </c>
      <c r="T80" s="1" t="s">
        <v>149</v>
      </c>
      <c r="Y80" t="s">
        <v>31</v>
      </c>
      <c r="Z80" t="s">
        <v>115</v>
      </c>
      <c r="AA80" s="7">
        <v>204</v>
      </c>
      <c r="AB80" s="114">
        <v>46059</v>
      </c>
      <c r="AC80" t="s">
        <v>144</v>
      </c>
    </row>
    <row r="81" spans="2:35" x14ac:dyDescent="0.25">
      <c r="F81" t="s">
        <v>154</v>
      </c>
      <c r="G81" t="s">
        <v>114</v>
      </c>
      <c r="H81" s="165">
        <v>-259.95000000000005</v>
      </c>
      <c r="I81" s="114">
        <v>46080</v>
      </c>
      <c r="J81" t="s">
        <v>144</v>
      </c>
      <c r="O81" t="s">
        <v>302</v>
      </c>
      <c r="P81" t="s">
        <v>234</v>
      </c>
      <c r="Q81" t="s">
        <v>114</v>
      </c>
      <c r="R81" s="165">
        <v>-10</v>
      </c>
      <c r="S81" s="114">
        <v>46216</v>
      </c>
      <c r="T81" s="1" t="s">
        <v>149</v>
      </c>
      <c r="Y81" t="s">
        <v>31</v>
      </c>
      <c r="Z81" t="s">
        <v>115</v>
      </c>
      <c r="AA81" s="7">
        <v>633</v>
      </c>
      <c r="AB81" s="114">
        <v>46059</v>
      </c>
      <c r="AC81" t="s">
        <v>144</v>
      </c>
    </row>
    <row r="82" spans="2:35" x14ac:dyDescent="0.25">
      <c r="B82" s="11">
        <v>161</v>
      </c>
      <c r="F82" t="s">
        <v>154</v>
      </c>
      <c r="G82" t="s">
        <v>115</v>
      </c>
      <c r="H82" s="165">
        <v>84.006269999989172</v>
      </c>
      <c r="I82" s="114">
        <v>46080</v>
      </c>
      <c r="J82" t="s">
        <v>144</v>
      </c>
      <c r="O82" t="s">
        <v>205</v>
      </c>
      <c r="P82" t="s">
        <v>128</v>
      </c>
      <c r="Q82" t="s">
        <v>115</v>
      </c>
      <c r="R82" s="165">
        <v>-64</v>
      </c>
      <c r="S82" s="114">
        <v>46215</v>
      </c>
      <c r="T82" s="1" t="s">
        <v>149</v>
      </c>
      <c r="Y82" t="s">
        <v>31</v>
      </c>
      <c r="Z82" t="s">
        <v>115</v>
      </c>
      <c r="AA82" s="7">
        <v>373</v>
      </c>
      <c r="AB82" s="114">
        <v>46057</v>
      </c>
      <c r="AC82" t="s">
        <v>144</v>
      </c>
    </row>
    <row r="83" spans="2:35" x14ac:dyDescent="0.25">
      <c r="B83" s="11">
        <v>36739305</v>
      </c>
      <c r="F83" t="s">
        <v>154</v>
      </c>
      <c r="G83" t="s">
        <v>114</v>
      </c>
      <c r="H83" s="165">
        <v>3</v>
      </c>
      <c r="I83" s="114">
        <v>46078</v>
      </c>
      <c r="J83" t="s">
        <v>144</v>
      </c>
      <c r="O83" t="s">
        <v>205</v>
      </c>
      <c r="P83" t="s">
        <v>128</v>
      </c>
      <c r="Q83" t="s">
        <v>115</v>
      </c>
      <c r="R83" s="165">
        <v>-115.01</v>
      </c>
      <c r="S83" s="114">
        <v>46215</v>
      </c>
      <c r="T83" s="1" t="s">
        <v>149</v>
      </c>
      <c r="Y83" t="s">
        <v>31</v>
      </c>
      <c r="Z83" t="s">
        <v>115</v>
      </c>
      <c r="AA83" s="7">
        <v>1107.43</v>
      </c>
      <c r="AB83" s="114">
        <v>46055</v>
      </c>
      <c r="AC83" t="s">
        <v>144</v>
      </c>
    </row>
    <row r="84" spans="2:35" x14ac:dyDescent="0.25">
      <c r="F84" t="s">
        <v>154</v>
      </c>
      <c r="G84" t="s">
        <v>114</v>
      </c>
      <c r="H84" s="165">
        <v>16.6400000000001</v>
      </c>
      <c r="I84" s="114">
        <v>46077</v>
      </c>
      <c r="J84" t="s">
        <v>144</v>
      </c>
      <c r="O84" t="s">
        <v>205</v>
      </c>
      <c r="P84" t="s">
        <v>128</v>
      </c>
      <c r="Q84" t="s">
        <v>115</v>
      </c>
      <c r="R84" s="165">
        <v>-129.33000000000001</v>
      </c>
      <c r="S84" s="114">
        <v>46214</v>
      </c>
      <c r="T84" s="1" t="s">
        <v>149</v>
      </c>
      <c r="Y84" t="s">
        <v>31</v>
      </c>
      <c r="Z84" t="s">
        <v>115</v>
      </c>
      <c r="AA84" s="7">
        <v>1209.42</v>
      </c>
      <c r="AB84" s="114">
        <v>46055</v>
      </c>
      <c r="AC84" t="s">
        <v>144</v>
      </c>
    </row>
    <row r="85" spans="2:35" x14ac:dyDescent="0.25">
      <c r="F85" t="s">
        <v>305</v>
      </c>
      <c r="G85" t="s">
        <v>115</v>
      </c>
      <c r="H85" s="165">
        <v>603.13385000000017</v>
      </c>
      <c r="I85" s="114">
        <v>46076</v>
      </c>
      <c r="J85" t="s">
        <v>144</v>
      </c>
      <c r="O85" t="s">
        <v>205</v>
      </c>
      <c r="P85" t="s">
        <v>128</v>
      </c>
      <c r="Q85" t="s">
        <v>115</v>
      </c>
      <c r="R85" s="165">
        <v>-23</v>
      </c>
      <c r="S85" s="114">
        <v>46214</v>
      </c>
      <c r="T85" s="1" t="s">
        <v>149</v>
      </c>
      <c r="Y85" t="s">
        <v>292</v>
      </c>
      <c r="Z85" t="s">
        <v>115</v>
      </c>
      <c r="AA85" s="7">
        <v>30.32</v>
      </c>
      <c r="AB85" s="114">
        <v>46046</v>
      </c>
      <c r="AC85" t="s">
        <v>141</v>
      </c>
      <c r="AG85" s="11"/>
      <c r="AH85" s="11"/>
    </row>
    <row r="86" spans="2:35" x14ac:dyDescent="0.25">
      <c r="F86" t="s">
        <v>154</v>
      </c>
      <c r="G86" t="s">
        <v>114</v>
      </c>
      <c r="H86" s="165">
        <v>-140.76999999999998</v>
      </c>
      <c r="I86" s="114">
        <v>46074</v>
      </c>
      <c r="J86" t="s">
        <v>144</v>
      </c>
      <c r="O86" t="s">
        <v>205</v>
      </c>
      <c r="P86" t="s">
        <v>128</v>
      </c>
      <c r="Q86" t="s">
        <v>115</v>
      </c>
      <c r="R86" s="165">
        <v>-66</v>
      </c>
      <c r="S86" s="114">
        <v>46214</v>
      </c>
      <c r="T86" s="1" t="s">
        <v>149</v>
      </c>
      <c r="Y86" t="s">
        <v>292</v>
      </c>
      <c r="Z86" t="s">
        <v>115</v>
      </c>
      <c r="AA86" s="7">
        <v>145.25</v>
      </c>
      <c r="AB86" s="114">
        <v>46045</v>
      </c>
      <c r="AC86" t="s">
        <v>141</v>
      </c>
    </row>
    <row r="87" spans="2:35" x14ac:dyDescent="0.25">
      <c r="F87" t="s">
        <v>305</v>
      </c>
      <c r="G87" t="s">
        <v>115</v>
      </c>
      <c r="H87" s="165">
        <v>1058.4023500000003</v>
      </c>
      <c r="I87" s="114">
        <v>46071</v>
      </c>
      <c r="J87" t="s">
        <v>144</v>
      </c>
      <c r="O87" t="s">
        <v>205</v>
      </c>
      <c r="P87" t="s">
        <v>128</v>
      </c>
      <c r="Q87" t="s">
        <v>115</v>
      </c>
      <c r="R87" s="165">
        <v>-210</v>
      </c>
      <c r="S87" s="114">
        <v>46214</v>
      </c>
      <c r="T87" s="1" t="s">
        <v>149</v>
      </c>
      <c r="Y87" t="s">
        <v>292</v>
      </c>
      <c r="Z87" t="s">
        <v>115</v>
      </c>
      <c r="AA87" s="7">
        <v>2224.4299999999998</v>
      </c>
      <c r="AB87" s="114">
        <v>46045</v>
      </c>
      <c r="AC87" t="s">
        <v>141</v>
      </c>
      <c r="AI87" s="11"/>
    </row>
    <row r="88" spans="2:35" x14ac:dyDescent="0.25">
      <c r="F88" t="s">
        <v>154</v>
      </c>
      <c r="G88" t="s">
        <v>114</v>
      </c>
      <c r="H88" s="165">
        <v>-64.299999999999955</v>
      </c>
      <c r="I88" s="114">
        <v>46070</v>
      </c>
      <c r="J88" t="s">
        <v>144</v>
      </c>
      <c r="O88" t="s">
        <v>424</v>
      </c>
      <c r="P88" t="s">
        <v>234</v>
      </c>
      <c r="Q88" t="s">
        <v>114</v>
      </c>
      <c r="R88" s="165">
        <v>-180</v>
      </c>
      <c r="S88" s="114">
        <v>46214</v>
      </c>
      <c r="T88" s="1" t="s">
        <v>149</v>
      </c>
      <c r="Y88" t="s">
        <v>30</v>
      </c>
      <c r="Z88" t="s">
        <v>115</v>
      </c>
      <c r="AA88" s="7">
        <v>254.01</v>
      </c>
      <c r="AB88" s="114">
        <v>46041</v>
      </c>
      <c r="AC88" t="s">
        <v>141</v>
      </c>
    </row>
    <row r="89" spans="2:35" x14ac:dyDescent="0.25">
      <c r="F89" t="s">
        <v>154</v>
      </c>
      <c r="G89" t="s">
        <v>114</v>
      </c>
      <c r="H89" s="165">
        <v>-36.399999999999977</v>
      </c>
      <c r="I89" s="114">
        <v>46064</v>
      </c>
      <c r="J89" t="s">
        <v>144</v>
      </c>
      <c r="O89" t="s">
        <v>391</v>
      </c>
      <c r="P89" t="s">
        <v>128</v>
      </c>
      <c r="Q89" t="s">
        <v>114</v>
      </c>
      <c r="R89" s="165">
        <v>-35</v>
      </c>
      <c r="S89" s="114">
        <v>46214</v>
      </c>
      <c r="T89" s="1" t="s">
        <v>148</v>
      </c>
      <c r="Y89" t="s">
        <v>30</v>
      </c>
      <c r="Z89" t="s">
        <v>115</v>
      </c>
      <c r="AA89" s="7">
        <v>565.03</v>
      </c>
      <c r="AB89" s="114">
        <v>46038</v>
      </c>
      <c r="AC89" t="s">
        <v>141</v>
      </c>
    </row>
    <row r="90" spans="2:35" x14ac:dyDescent="0.25">
      <c r="F90" t="s">
        <v>305</v>
      </c>
      <c r="G90" t="s">
        <v>115</v>
      </c>
      <c r="H90" s="165">
        <v>627.61130000000003</v>
      </c>
      <c r="I90" s="114">
        <v>46062</v>
      </c>
      <c r="J90" t="s">
        <v>144</v>
      </c>
      <c r="O90" t="s">
        <v>391</v>
      </c>
      <c r="P90" t="s">
        <v>128</v>
      </c>
      <c r="Q90" t="s">
        <v>115</v>
      </c>
      <c r="R90" s="165">
        <v>35</v>
      </c>
      <c r="S90" s="114">
        <v>46214</v>
      </c>
      <c r="T90" s="1" t="s">
        <v>148</v>
      </c>
      <c r="Y90" t="s">
        <v>292</v>
      </c>
      <c r="Z90" t="s">
        <v>114</v>
      </c>
      <c r="AA90" s="7">
        <v>900</v>
      </c>
      <c r="AB90" s="114">
        <v>46038</v>
      </c>
      <c r="AC90" t="s">
        <v>141</v>
      </c>
    </row>
    <row r="91" spans="2:35" x14ac:dyDescent="0.25">
      <c r="F91" t="s">
        <v>154</v>
      </c>
      <c r="G91" t="s">
        <v>115</v>
      </c>
      <c r="H91" s="165">
        <v>-3.9730449999929078</v>
      </c>
      <c r="I91" s="114">
        <v>46061</v>
      </c>
      <c r="J91" t="s">
        <v>144</v>
      </c>
      <c r="O91" t="s">
        <v>205</v>
      </c>
      <c r="P91" t="s">
        <v>128</v>
      </c>
      <c r="Q91" t="s">
        <v>115</v>
      </c>
      <c r="R91" s="165">
        <v>-324</v>
      </c>
      <c r="S91" s="114">
        <v>46213</v>
      </c>
      <c r="T91" s="1" t="s">
        <v>149</v>
      </c>
      <c r="Y91" t="s">
        <v>30</v>
      </c>
      <c r="Z91" t="s">
        <v>115</v>
      </c>
      <c r="AA91" s="7">
        <v>1034.33</v>
      </c>
      <c r="AB91" s="114">
        <v>46036</v>
      </c>
      <c r="AC91" t="s">
        <v>141</v>
      </c>
    </row>
    <row r="92" spans="2:35" x14ac:dyDescent="0.25">
      <c r="F92" t="s">
        <v>154</v>
      </c>
      <c r="G92" t="s">
        <v>114</v>
      </c>
      <c r="H92" s="165">
        <v>59.25</v>
      </c>
      <c r="I92" s="114">
        <v>46061</v>
      </c>
      <c r="J92" t="s">
        <v>144</v>
      </c>
      <c r="O92" t="s">
        <v>205</v>
      </c>
      <c r="P92" t="s">
        <v>128</v>
      </c>
      <c r="Q92" t="s">
        <v>115</v>
      </c>
      <c r="R92" s="165">
        <v>-320.39999999999998</v>
      </c>
      <c r="S92" s="114">
        <v>46213</v>
      </c>
      <c r="T92" s="1" t="s">
        <v>149</v>
      </c>
      <c r="Y92" t="s">
        <v>30</v>
      </c>
      <c r="Z92" t="s">
        <v>115</v>
      </c>
      <c r="AA92" s="7">
        <v>416.27</v>
      </c>
      <c r="AB92" s="114">
        <v>46035</v>
      </c>
      <c r="AC92" t="s">
        <v>141</v>
      </c>
    </row>
    <row r="93" spans="2:35" x14ac:dyDescent="0.25">
      <c r="F93" t="s">
        <v>154</v>
      </c>
      <c r="G93" t="s">
        <v>115</v>
      </c>
      <c r="H93" s="165">
        <f>69.97+0.95-47.87</f>
        <v>23.050000000000004</v>
      </c>
      <c r="I93" s="114">
        <v>46059</v>
      </c>
      <c r="J93" t="s">
        <v>144</v>
      </c>
      <c r="O93" t="s">
        <v>302</v>
      </c>
      <c r="P93" t="s">
        <v>234</v>
      </c>
      <c r="Q93" t="s">
        <v>114</v>
      </c>
      <c r="R93" s="165">
        <v>-8</v>
      </c>
      <c r="S93" s="114">
        <v>46213</v>
      </c>
      <c r="T93" s="1" t="s">
        <v>149</v>
      </c>
      <c r="Y93" t="s">
        <v>30</v>
      </c>
      <c r="Z93" t="s">
        <v>115</v>
      </c>
      <c r="AA93" s="7">
        <v>446.86</v>
      </c>
      <c r="AB93" s="114">
        <v>46034</v>
      </c>
      <c r="AC93" t="s">
        <v>141</v>
      </c>
    </row>
    <row r="94" spans="2:35" x14ac:dyDescent="0.25">
      <c r="F94" t="s">
        <v>154</v>
      </c>
      <c r="G94" t="s">
        <v>114</v>
      </c>
      <c r="H94" s="165">
        <v>20.75</v>
      </c>
      <c r="I94" s="114">
        <v>46059</v>
      </c>
      <c r="J94" t="s">
        <v>144</v>
      </c>
      <c r="O94" t="s">
        <v>423</v>
      </c>
      <c r="P94" t="s">
        <v>128</v>
      </c>
      <c r="Q94" t="s">
        <v>115</v>
      </c>
      <c r="R94" s="165">
        <v>200</v>
      </c>
      <c r="S94" s="114">
        <v>46213</v>
      </c>
      <c r="T94" s="1" t="s">
        <v>149</v>
      </c>
      <c r="Y94" t="s">
        <v>30</v>
      </c>
      <c r="Z94" t="s">
        <v>115</v>
      </c>
      <c r="AA94" s="7">
        <v>620.33000000000004</v>
      </c>
      <c r="AB94" s="114">
        <v>46034</v>
      </c>
      <c r="AC94" t="s">
        <v>141</v>
      </c>
    </row>
    <row r="95" spans="2:35" x14ac:dyDescent="0.25">
      <c r="F95" t="s">
        <v>154</v>
      </c>
      <c r="G95" t="s">
        <v>114</v>
      </c>
      <c r="H95" s="165">
        <v>1</v>
      </c>
      <c r="I95" s="114">
        <v>46057</v>
      </c>
      <c r="J95" t="s">
        <v>144</v>
      </c>
      <c r="O95" t="s">
        <v>205</v>
      </c>
      <c r="P95" t="s">
        <v>128</v>
      </c>
      <c r="Q95" t="s">
        <v>115</v>
      </c>
      <c r="R95" s="165">
        <v>-98</v>
      </c>
      <c r="S95" s="114">
        <v>46212</v>
      </c>
      <c r="T95" s="1" t="s">
        <v>149</v>
      </c>
      <c r="Y95" t="s">
        <v>30</v>
      </c>
      <c r="Z95" t="s">
        <v>115</v>
      </c>
      <c r="AA95" s="7">
        <v>557.16999999999996</v>
      </c>
      <c r="AB95" s="114">
        <v>46030</v>
      </c>
      <c r="AC95" t="s">
        <v>141</v>
      </c>
    </row>
    <row r="96" spans="2:35" x14ac:dyDescent="0.25">
      <c r="F96" t="s">
        <v>154</v>
      </c>
      <c r="G96" t="s">
        <v>114</v>
      </c>
      <c r="H96" s="165">
        <v>14</v>
      </c>
      <c r="I96" s="114">
        <v>46057</v>
      </c>
      <c r="J96" t="s">
        <v>144</v>
      </c>
      <c r="O96" t="s">
        <v>205</v>
      </c>
      <c r="P96" t="s">
        <v>128</v>
      </c>
      <c r="Q96" t="s">
        <v>115</v>
      </c>
      <c r="R96" s="165">
        <v>-43</v>
      </c>
      <c r="S96" s="114">
        <v>46212</v>
      </c>
      <c r="T96" s="1" t="s">
        <v>149</v>
      </c>
      <c r="Y96" t="s">
        <v>30</v>
      </c>
      <c r="Z96" t="s">
        <v>115</v>
      </c>
      <c r="AA96" s="7">
        <v>546</v>
      </c>
      <c r="AB96" s="114">
        <v>46029</v>
      </c>
      <c r="AC96" t="s">
        <v>141</v>
      </c>
    </row>
    <row r="97" spans="5:29" x14ac:dyDescent="0.25">
      <c r="F97" t="s">
        <v>154</v>
      </c>
      <c r="G97" t="s">
        <v>114</v>
      </c>
      <c r="H97" s="165">
        <v>-37.400000000000091</v>
      </c>
      <c r="I97" s="114">
        <v>46056</v>
      </c>
      <c r="J97" t="s">
        <v>144</v>
      </c>
      <c r="O97" t="s">
        <v>205</v>
      </c>
      <c r="P97" t="s">
        <v>128</v>
      </c>
      <c r="Q97" t="s">
        <v>115</v>
      </c>
      <c r="R97" s="165">
        <v>-23</v>
      </c>
      <c r="S97" s="114">
        <v>46212</v>
      </c>
      <c r="T97" s="1" t="s">
        <v>149</v>
      </c>
      <c r="Y97" t="s">
        <v>30</v>
      </c>
      <c r="Z97" t="s">
        <v>115</v>
      </c>
      <c r="AA97" s="7">
        <v>840</v>
      </c>
      <c r="AB97" s="114">
        <v>46029</v>
      </c>
      <c r="AC97" t="s">
        <v>141</v>
      </c>
    </row>
    <row r="98" spans="5:29" x14ac:dyDescent="0.25">
      <c r="F98" t="s">
        <v>154</v>
      </c>
      <c r="G98" t="s">
        <v>114</v>
      </c>
      <c r="H98" s="165">
        <v>-39.349999999999909</v>
      </c>
      <c r="I98" s="114">
        <v>46055</v>
      </c>
      <c r="J98" t="s">
        <v>144</v>
      </c>
      <c r="O98" t="s">
        <v>205</v>
      </c>
      <c r="P98" t="s">
        <v>128</v>
      </c>
      <c r="Q98" t="s">
        <v>115</v>
      </c>
      <c r="R98" s="165">
        <v>-134</v>
      </c>
      <c r="S98" s="114">
        <v>46212</v>
      </c>
      <c r="T98" s="1" t="s">
        <v>149</v>
      </c>
      <c r="Y98" t="s">
        <v>30</v>
      </c>
      <c r="Z98" t="s">
        <v>114</v>
      </c>
      <c r="AA98" s="7">
        <v>890</v>
      </c>
      <c r="AB98" s="114">
        <v>46029</v>
      </c>
      <c r="AC98" t="s">
        <v>141</v>
      </c>
    </row>
    <row r="99" spans="5:29" x14ac:dyDescent="0.25">
      <c r="F99" t="s">
        <v>305</v>
      </c>
      <c r="G99" t="s">
        <v>115</v>
      </c>
      <c r="H99" s="165">
        <v>406.57154500000024</v>
      </c>
      <c r="I99" s="114">
        <v>46055</v>
      </c>
      <c r="J99" t="s">
        <v>144</v>
      </c>
      <c r="O99" t="s">
        <v>205</v>
      </c>
      <c r="P99" t="s">
        <v>128</v>
      </c>
      <c r="Q99" t="s">
        <v>115</v>
      </c>
      <c r="R99" s="165">
        <v>-209.51</v>
      </c>
      <c r="S99" s="114">
        <v>46212</v>
      </c>
      <c r="T99" s="1" t="s">
        <v>149</v>
      </c>
      <c r="Y99" t="s">
        <v>292</v>
      </c>
      <c r="Z99" t="s">
        <v>115</v>
      </c>
      <c r="AA99" s="7">
        <v>4665</v>
      </c>
      <c r="AB99" s="114">
        <v>46027</v>
      </c>
      <c r="AC99" t="s">
        <v>141</v>
      </c>
    </row>
    <row r="100" spans="5:29" x14ac:dyDescent="0.25">
      <c r="E100" t="s">
        <v>286</v>
      </c>
      <c r="H100" s="165"/>
      <c r="I100" s="114"/>
      <c r="O100" t="s">
        <v>205</v>
      </c>
      <c r="P100" t="s">
        <v>128</v>
      </c>
      <c r="Q100" t="s">
        <v>115</v>
      </c>
      <c r="R100" s="165">
        <v>-122</v>
      </c>
      <c r="S100" s="114">
        <v>46212</v>
      </c>
      <c r="T100" s="1" t="s">
        <v>149</v>
      </c>
      <c r="Y100" t="s">
        <v>30</v>
      </c>
      <c r="Z100" t="s">
        <v>115</v>
      </c>
      <c r="AA100" s="7">
        <v>1270</v>
      </c>
      <c r="AB100" s="114">
        <v>46027</v>
      </c>
      <c r="AC100" t="s">
        <v>141</v>
      </c>
    </row>
    <row r="101" spans="5:29" x14ac:dyDescent="0.25">
      <c r="H101" s="165"/>
      <c r="I101" s="114"/>
      <c r="O101" t="s">
        <v>205</v>
      </c>
      <c r="P101" t="s">
        <v>128</v>
      </c>
      <c r="Q101" t="s">
        <v>115</v>
      </c>
      <c r="R101" s="165">
        <v>-240</v>
      </c>
      <c r="S101" s="114">
        <v>46211</v>
      </c>
      <c r="T101" s="1" t="s">
        <v>149</v>
      </c>
      <c r="Y101" t="s">
        <v>30</v>
      </c>
      <c r="Z101" t="s">
        <v>115</v>
      </c>
      <c r="AA101" s="7">
        <v>2332.2199999999998</v>
      </c>
      <c r="AB101" s="114">
        <v>46023</v>
      </c>
      <c r="AC101" t="s">
        <v>144</v>
      </c>
    </row>
    <row r="102" spans="5:29" x14ac:dyDescent="0.25">
      <c r="H102" s="165"/>
      <c r="I102" s="114"/>
      <c r="O102" t="s">
        <v>205</v>
      </c>
      <c r="P102" t="s">
        <v>128</v>
      </c>
      <c r="Q102" t="s">
        <v>115</v>
      </c>
      <c r="R102" s="165">
        <v>-309.08999999999997</v>
      </c>
      <c r="S102" s="114">
        <v>46211</v>
      </c>
      <c r="T102" s="1" t="s">
        <v>149</v>
      </c>
    </row>
    <row r="103" spans="5:29" x14ac:dyDescent="0.25">
      <c r="H103" s="165"/>
      <c r="I103" s="114"/>
      <c r="O103" t="s">
        <v>205</v>
      </c>
      <c r="P103" t="s">
        <v>128</v>
      </c>
      <c r="Q103" t="s">
        <v>115</v>
      </c>
      <c r="R103" s="165">
        <v>-49.5</v>
      </c>
      <c r="S103" s="114">
        <v>46211</v>
      </c>
      <c r="T103" s="1" t="s">
        <v>149</v>
      </c>
    </row>
    <row r="104" spans="5:29" x14ac:dyDescent="0.25">
      <c r="H104" s="165"/>
      <c r="I104" s="114"/>
      <c r="O104" t="s">
        <v>335</v>
      </c>
      <c r="P104" t="s">
        <v>127</v>
      </c>
      <c r="Q104" t="s">
        <v>114</v>
      </c>
      <c r="R104" s="165">
        <v>-10</v>
      </c>
      <c r="S104" s="114">
        <v>46211</v>
      </c>
      <c r="T104" s="1" t="s">
        <v>149</v>
      </c>
    </row>
    <row r="105" spans="5:29" x14ac:dyDescent="0.25">
      <c r="H105" s="165"/>
      <c r="I105" s="114"/>
      <c r="O105" t="s">
        <v>302</v>
      </c>
      <c r="P105" t="s">
        <v>234</v>
      </c>
      <c r="Q105" t="s">
        <v>114</v>
      </c>
      <c r="R105" s="165">
        <v>-20</v>
      </c>
      <c r="S105" s="114">
        <v>46211</v>
      </c>
      <c r="T105" s="1" t="s">
        <v>149</v>
      </c>
    </row>
    <row r="106" spans="5:29" x14ac:dyDescent="0.25">
      <c r="H106" s="165"/>
      <c r="I106" s="114"/>
      <c r="O106" t="s">
        <v>302</v>
      </c>
      <c r="P106" t="s">
        <v>234</v>
      </c>
      <c r="Q106" t="s">
        <v>114</v>
      </c>
      <c r="R106" s="165">
        <v>-8</v>
      </c>
      <c r="S106" s="114">
        <v>46211</v>
      </c>
      <c r="T106" s="1" t="s">
        <v>149</v>
      </c>
    </row>
    <row r="107" spans="5:29" x14ac:dyDescent="0.25">
      <c r="H107" s="165"/>
      <c r="I107" s="114"/>
      <c r="O107" t="s">
        <v>205</v>
      </c>
      <c r="P107" t="s">
        <v>128</v>
      </c>
      <c r="Q107" t="s">
        <v>115</v>
      </c>
      <c r="R107" s="165">
        <v>-379.82</v>
      </c>
      <c r="S107" s="114">
        <v>46210</v>
      </c>
      <c r="T107" s="1" t="s">
        <v>149</v>
      </c>
    </row>
    <row r="108" spans="5:29" x14ac:dyDescent="0.25">
      <c r="H108" s="165"/>
      <c r="I108" s="114"/>
      <c r="O108" t="s">
        <v>302</v>
      </c>
      <c r="P108" t="s">
        <v>234</v>
      </c>
      <c r="Q108" t="s">
        <v>114</v>
      </c>
      <c r="R108" s="165">
        <v>-13</v>
      </c>
      <c r="S108" s="114">
        <v>46210</v>
      </c>
      <c r="T108" s="1" t="s">
        <v>149</v>
      </c>
    </row>
    <row r="109" spans="5:29" x14ac:dyDescent="0.25">
      <c r="H109" s="165"/>
      <c r="I109" s="114"/>
      <c r="O109" t="s">
        <v>379</v>
      </c>
      <c r="P109" t="s">
        <v>234</v>
      </c>
      <c r="Q109" t="s">
        <v>115</v>
      </c>
      <c r="R109" s="165">
        <v>-8.91</v>
      </c>
      <c r="S109" s="114">
        <v>46210</v>
      </c>
      <c r="T109" s="1" t="s">
        <v>149</v>
      </c>
    </row>
    <row r="110" spans="5:29" x14ac:dyDescent="0.25">
      <c r="H110" s="165"/>
      <c r="I110" s="114"/>
      <c r="O110" t="s">
        <v>205</v>
      </c>
      <c r="P110" t="s">
        <v>128</v>
      </c>
      <c r="Q110" t="s">
        <v>115</v>
      </c>
      <c r="R110" s="165">
        <v>-1246.8900000000001</v>
      </c>
      <c r="S110" s="114">
        <v>46209</v>
      </c>
      <c r="T110" s="1" t="s">
        <v>149</v>
      </c>
    </row>
    <row r="111" spans="5:29" x14ac:dyDescent="0.25">
      <c r="H111" s="165"/>
      <c r="I111" s="114"/>
      <c r="O111" t="s">
        <v>205</v>
      </c>
      <c r="P111" t="s">
        <v>128</v>
      </c>
      <c r="Q111" t="s">
        <v>115</v>
      </c>
      <c r="R111" s="165">
        <v>-1168</v>
      </c>
      <c r="S111" s="114">
        <v>46209</v>
      </c>
      <c r="T111" s="1" t="s">
        <v>149</v>
      </c>
    </row>
    <row r="112" spans="5:29" x14ac:dyDescent="0.25">
      <c r="H112" s="165"/>
      <c r="I112" s="114"/>
      <c r="O112" t="s">
        <v>302</v>
      </c>
      <c r="P112" t="s">
        <v>234</v>
      </c>
      <c r="Q112" t="s">
        <v>115</v>
      </c>
      <c r="R112" s="165">
        <v>-7</v>
      </c>
      <c r="S112" s="114">
        <v>46209</v>
      </c>
      <c r="T112" s="1" t="s">
        <v>149</v>
      </c>
    </row>
    <row r="113" spans="8:20" x14ac:dyDescent="0.25">
      <c r="H113" s="165"/>
      <c r="I113" s="114"/>
      <c r="O113" t="s">
        <v>379</v>
      </c>
      <c r="P113" t="s">
        <v>234</v>
      </c>
      <c r="Q113" t="s">
        <v>115</v>
      </c>
      <c r="R113" s="165">
        <v>-14.91</v>
      </c>
      <c r="S113" s="114">
        <v>46209</v>
      </c>
      <c r="T113" s="1" t="s">
        <v>149</v>
      </c>
    </row>
    <row r="114" spans="8:20" x14ac:dyDescent="0.25">
      <c r="H114" s="165"/>
      <c r="I114" s="114"/>
      <c r="O114" t="s">
        <v>422</v>
      </c>
      <c r="P114" t="s">
        <v>127</v>
      </c>
      <c r="Q114" t="s">
        <v>115</v>
      </c>
      <c r="R114" s="165">
        <v>-164.69</v>
      </c>
      <c r="S114" s="114">
        <v>46209</v>
      </c>
      <c r="T114" s="1" t="s">
        <v>149</v>
      </c>
    </row>
    <row r="115" spans="8:20" x14ac:dyDescent="0.25">
      <c r="H115" s="165"/>
      <c r="I115" s="114"/>
      <c r="O115" t="s">
        <v>415</v>
      </c>
      <c r="P115" t="s">
        <v>128</v>
      </c>
      <c r="Q115" t="s">
        <v>115</v>
      </c>
      <c r="R115" s="165">
        <v>200</v>
      </c>
      <c r="S115" s="114">
        <v>46209</v>
      </c>
      <c r="T115" s="1" t="s">
        <v>149</v>
      </c>
    </row>
    <row r="116" spans="8:20" x14ac:dyDescent="0.25">
      <c r="H116" s="165"/>
      <c r="I116" s="114"/>
      <c r="O116" t="s">
        <v>298</v>
      </c>
      <c r="P116" t="s">
        <v>303</v>
      </c>
      <c r="Q116" t="s">
        <v>115</v>
      </c>
      <c r="R116" s="165">
        <v>500</v>
      </c>
      <c r="S116" s="114">
        <v>46209</v>
      </c>
      <c r="T116" s="1" t="s">
        <v>149</v>
      </c>
    </row>
    <row r="117" spans="8:20" x14ac:dyDescent="0.25">
      <c r="H117" s="165"/>
      <c r="I117" s="114"/>
      <c r="O117" t="s">
        <v>298</v>
      </c>
      <c r="P117" t="s">
        <v>128</v>
      </c>
      <c r="Q117" t="s">
        <v>115</v>
      </c>
      <c r="R117" s="165">
        <v>546.89</v>
      </c>
      <c r="S117" s="114">
        <v>46209</v>
      </c>
      <c r="T117" s="1" t="s">
        <v>149</v>
      </c>
    </row>
    <row r="118" spans="8:20" x14ac:dyDescent="0.25">
      <c r="H118" s="165"/>
      <c r="I118" s="114"/>
      <c r="O118" t="s">
        <v>369</v>
      </c>
      <c r="P118" t="s">
        <v>234</v>
      </c>
      <c r="Q118" t="s">
        <v>115</v>
      </c>
      <c r="R118" s="165">
        <v>-5</v>
      </c>
      <c r="S118" s="114">
        <v>46208</v>
      </c>
      <c r="T118" s="1" t="s">
        <v>149</v>
      </c>
    </row>
    <row r="119" spans="8:20" x14ac:dyDescent="0.25">
      <c r="H119" s="165"/>
      <c r="I119" s="114"/>
      <c r="O119" t="s">
        <v>298</v>
      </c>
      <c r="P119" t="s">
        <v>128</v>
      </c>
      <c r="Q119" t="s">
        <v>115</v>
      </c>
      <c r="R119" s="165">
        <v>-99.484999999999999</v>
      </c>
      <c r="S119" s="114">
        <v>46208</v>
      </c>
      <c r="T119" s="1" t="s">
        <v>149</v>
      </c>
    </row>
    <row r="120" spans="8:20" x14ac:dyDescent="0.25">
      <c r="H120" s="165"/>
      <c r="I120" s="114"/>
      <c r="O120" t="s">
        <v>420</v>
      </c>
      <c r="P120" t="s">
        <v>234</v>
      </c>
      <c r="Q120" t="s">
        <v>115</v>
      </c>
      <c r="R120" s="165">
        <v>-99.484999999999999</v>
      </c>
      <c r="S120" s="114">
        <v>46208</v>
      </c>
      <c r="T120" s="1" t="s">
        <v>149</v>
      </c>
    </row>
    <row r="121" spans="8:20" x14ac:dyDescent="0.25">
      <c r="H121" s="165"/>
      <c r="I121" s="114"/>
      <c r="O121" t="s">
        <v>369</v>
      </c>
      <c r="P121" t="s">
        <v>234</v>
      </c>
      <c r="Q121" t="s">
        <v>115</v>
      </c>
      <c r="R121" s="165">
        <v>-5</v>
      </c>
      <c r="S121" s="114">
        <v>46207</v>
      </c>
      <c r="T121" s="1" t="s">
        <v>149</v>
      </c>
    </row>
    <row r="122" spans="8:20" x14ac:dyDescent="0.25">
      <c r="H122" s="165"/>
      <c r="I122" s="114"/>
      <c r="O122" t="s">
        <v>302</v>
      </c>
      <c r="P122" t="s">
        <v>234</v>
      </c>
      <c r="Q122" t="s">
        <v>115</v>
      </c>
      <c r="R122" s="165">
        <v>-40</v>
      </c>
      <c r="S122" s="114">
        <v>46207</v>
      </c>
      <c r="T122" s="1" t="s">
        <v>149</v>
      </c>
    </row>
    <row r="123" spans="8:20" x14ac:dyDescent="0.25">
      <c r="H123" s="165"/>
      <c r="I123" s="114"/>
      <c r="O123" t="s">
        <v>369</v>
      </c>
      <c r="P123" t="s">
        <v>234</v>
      </c>
      <c r="Q123" t="s">
        <v>115</v>
      </c>
      <c r="R123" s="165">
        <v>-3</v>
      </c>
      <c r="S123" s="114">
        <v>46207</v>
      </c>
      <c r="T123" s="1" t="s">
        <v>149</v>
      </c>
    </row>
    <row r="124" spans="8:20" x14ac:dyDescent="0.25">
      <c r="H124" s="165"/>
      <c r="I124" s="114"/>
      <c r="O124" t="s">
        <v>302</v>
      </c>
      <c r="P124" t="s">
        <v>234</v>
      </c>
      <c r="Q124" t="s">
        <v>115</v>
      </c>
      <c r="R124" s="165">
        <v>-10</v>
      </c>
      <c r="S124" s="114">
        <v>46207</v>
      </c>
      <c r="T124" s="1" t="s">
        <v>149</v>
      </c>
    </row>
    <row r="125" spans="8:20" x14ac:dyDescent="0.25">
      <c r="H125" s="165"/>
      <c r="I125" s="114"/>
      <c r="O125" t="s">
        <v>379</v>
      </c>
      <c r="P125" t="s">
        <v>234</v>
      </c>
      <c r="Q125" t="s">
        <v>115</v>
      </c>
      <c r="R125" s="165">
        <v>-16.98</v>
      </c>
      <c r="S125" s="114">
        <v>46207</v>
      </c>
      <c r="T125" s="1" t="s">
        <v>149</v>
      </c>
    </row>
    <row r="126" spans="8:20" x14ac:dyDescent="0.25">
      <c r="H126" s="165"/>
      <c r="I126" s="114"/>
      <c r="O126" t="s">
        <v>302</v>
      </c>
      <c r="P126" t="s">
        <v>234</v>
      </c>
      <c r="Q126" t="s">
        <v>115</v>
      </c>
      <c r="R126" s="165">
        <v>-24</v>
      </c>
      <c r="S126" s="114">
        <v>46207</v>
      </c>
      <c r="T126" s="1" t="s">
        <v>149</v>
      </c>
    </row>
    <row r="127" spans="8:20" x14ac:dyDescent="0.25">
      <c r="H127" s="165"/>
      <c r="I127" s="114"/>
      <c r="O127" t="s">
        <v>385</v>
      </c>
      <c r="P127" t="s">
        <v>234</v>
      </c>
      <c r="Q127" t="s">
        <v>115</v>
      </c>
      <c r="R127" s="165">
        <v>-25</v>
      </c>
      <c r="S127" s="114">
        <v>46207</v>
      </c>
      <c r="T127" s="1" t="s">
        <v>149</v>
      </c>
    </row>
    <row r="128" spans="8:20" x14ac:dyDescent="0.25">
      <c r="H128" s="165"/>
      <c r="I128" s="114"/>
      <c r="O128" t="s">
        <v>373</v>
      </c>
      <c r="P128" t="s">
        <v>128</v>
      </c>
      <c r="Q128" t="s">
        <v>115</v>
      </c>
      <c r="R128" s="165">
        <v>3720.89</v>
      </c>
      <c r="S128" s="114">
        <v>46207</v>
      </c>
      <c r="T128" s="1" t="s">
        <v>149</v>
      </c>
    </row>
    <row r="129" spans="8:20" x14ac:dyDescent="0.25">
      <c r="H129" s="165"/>
      <c r="I129" s="114"/>
      <c r="O129" t="s">
        <v>205</v>
      </c>
      <c r="P129" t="s">
        <v>128</v>
      </c>
      <c r="Q129" t="s">
        <v>115</v>
      </c>
      <c r="R129" s="165">
        <v>-25.75</v>
      </c>
      <c r="S129" s="114">
        <v>46206</v>
      </c>
      <c r="T129" s="1" t="s">
        <v>149</v>
      </c>
    </row>
    <row r="130" spans="8:20" x14ac:dyDescent="0.25">
      <c r="H130" s="165"/>
      <c r="I130" s="114"/>
      <c r="O130" t="s">
        <v>205</v>
      </c>
      <c r="P130" t="s">
        <v>128</v>
      </c>
      <c r="Q130" t="s">
        <v>115</v>
      </c>
      <c r="R130" s="165">
        <v>-72.5</v>
      </c>
      <c r="S130" s="114">
        <v>46206</v>
      </c>
      <c r="T130" s="1" t="s">
        <v>149</v>
      </c>
    </row>
    <row r="131" spans="8:20" x14ac:dyDescent="0.25">
      <c r="H131" s="165"/>
      <c r="I131" s="114"/>
      <c r="O131" t="s">
        <v>103</v>
      </c>
      <c r="P131" t="s">
        <v>127</v>
      </c>
      <c r="Q131" t="s">
        <v>114</v>
      </c>
      <c r="R131" s="165">
        <v>-2.5</v>
      </c>
      <c r="S131" s="114">
        <v>46206</v>
      </c>
      <c r="T131" s="1" t="s">
        <v>149</v>
      </c>
    </row>
    <row r="132" spans="8:20" x14ac:dyDescent="0.25">
      <c r="H132" s="165"/>
      <c r="I132" s="114"/>
      <c r="O132" t="s">
        <v>369</v>
      </c>
      <c r="P132" t="s">
        <v>234</v>
      </c>
      <c r="Q132" t="s">
        <v>114</v>
      </c>
      <c r="R132" s="165">
        <v>-2</v>
      </c>
      <c r="S132" s="114">
        <v>46206</v>
      </c>
      <c r="T132" s="1" t="s">
        <v>149</v>
      </c>
    </row>
    <row r="133" spans="8:20" x14ac:dyDescent="0.25">
      <c r="H133" s="165"/>
      <c r="I133" s="114"/>
      <c r="O133" t="s">
        <v>419</v>
      </c>
      <c r="P133" t="s">
        <v>234</v>
      </c>
      <c r="Q133" t="s">
        <v>115</v>
      </c>
      <c r="R133" s="165">
        <v>-2.5</v>
      </c>
      <c r="S133" s="114">
        <v>46206</v>
      </c>
      <c r="T133" s="1" t="s">
        <v>149</v>
      </c>
    </row>
    <row r="134" spans="8:20" x14ac:dyDescent="0.25">
      <c r="H134" s="165"/>
      <c r="I134" s="114"/>
      <c r="O134" t="s">
        <v>383</v>
      </c>
      <c r="P134" t="s">
        <v>234</v>
      </c>
      <c r="Q134" t="s">
        <v>115</v>
      </c>
      <c r="R134" s="165">
        <v>-13.98</v>
      </c>
      <c r="S134" s="114">
        <v>46206</v>
      </c>
      <c r="T134" s="1" t="s">
        <v>149</v>
      </c>
    </row>
    <row r="135" spans="8:20" x14ac:dyDescent="0.25">
      <c r="H135" s="165"/>
      <c r="I135" s="114"/>
      <c r="O135" t="s">
        <v>395</v>
      </c>
      <c r="P135" t="s">
        <v>234</v>
      </c>
      <c r="Q135" t="s">
        <v>115</v>
      </c>
      <c r="R135" s="165">
        <v>-72</v>
      </c>
      <c r="S135" s="114">
        <v>46206</v>
      </c>
      <c r="T135" s="1" t="s">
        <v>149</v>
      </c>
    </row>
    <row r="136" spans="8:20" x14ac:dyDescent="0.25">
      <c r="H136" s="165"/>
      <c r="I136" s="114"/>
      <c r="O136" t="s">
        <v>395</v>
      </c>
      <c r="P136" t="s">
        <v>234</v>
      </c>
      <c r="Q136" t="s">
        <v>115</v>
      </c>
      <c r="R136" s="165">
        <v>-8</v>
      </c>
      <c r="S136" s="114">
        <v>46206</v>
      </c>
      <c r="T136" s="1" t="s">
        <v>149</v>
      </c>
    </row>
    <row r="137" spans="8:20" x14ac:dyDescent="0.25">
      <c r="H137" s="165"/>
      <c r="I137" s="114"/>
      <c r="O137" t="s">
        <v>395</v>
      </c>
      <c r="P137" t="s">
        <v>234</v>
      </c>
      <c r="Q137" t="s">
        <v>115</v>
      </c>
      <c r="R137" s="165">
        <v>-13</v>
      </c>
      <c r="S137" s="114">
        <v>46205</v>
      </c>
      <c r="T137" s="1" t="s">
        <v>149</v>
      </c>
    </row>
    <row r="138" spans="8:20" x14ac:dyDescent="0.25">
      <c r="H138" s="165"/>
      <c r="I138" s="114"/>
      <c r="O138" t="s">
        <v>395</v>
      </c>
      <c r="P138" t="s">
        <v>234</v>
      </c>
      <c r="Q138" t="s">
        <v>114</v>
      </c>
      <c r="R138" s="165">
        <v>-13</v>
      </c>
      <c r="S138" s="114">
        <v>46205</v>
      </c>
      <c r="T138" s="1" t="s">
        <v>149</v>
      </c>
    </row>
    <row r="139" spans="8:20" x14ac:dyDescent="0.25">
      <c r="H139" s="165"/>
      <c r="I139" s="114"/>
      <c r="O139" t="s">
        <v>332</v>
      </c>
      <c r="P139" t="s">
        <v>128</v>
      </c>
      <c r="Q139" t="s">
        <v>115</v>
      </c>
      <c r="R139" s="165">
        <v>-13</v>
      </c>
      <c r="S139" s="114">
        <v>46205</v>
      </c>
      <c r="T139" s="1" t="s">
        <v>149</v>
      </c>
    </row>
    <row r="140" spans="8:20" x14ac:dyDescent="0.25">
      <c r="H140" s="165"/>
      <c r="I140" s="114"/>
      <c r="O140" t="s">
        <v>298</v>
      </c>
      <c r="P140" t="s">
        <v>128</v>
      </c>
      <c r="Q140" t="s">
        <v>115</v>
      </c>
      <c r="R140" s="165">
        <v>-5</v>
      </c>
      <c r="S140" s="114">
        <v>46205</v>
      </c>
      <c r="T140" s="1" t="s">
        <v>149</v>
      </c>
    </row>
    <row r="141" spans="8:20" x14ac:dyDescent="0.25">
      <c r="H141" s="165"/>
      <c r="I141" s="114"/>
      <c r="O141" t="s">
        <v>332</v>
      </c>
      <c r="P141" t="s">
        <v>128</v>
      </c>
      <c r="Q141" t="s">
        <v>115</v>
      </c>
      <c r="R141" s="165">
        <v>87</v>
      </c>
      <c r="S141" s="114">
        <v>46205</v>
      </c>
      <c r="T141" s="1" t="s">
        <v>149</v>
      </c>
    </row>
    <row r="142" spans="8:20" x14ac:dyDescent="0.25">
      <c r="H142" s="165"/>
      <c r="I142" s="114"/>
      <c r="O142" t="s">
        <v>205</v>
      </c>
      <c r="P142" t="s">
        <v>128</v>
      </c>
      <c r="Q142" t="s">
        <v>115</v>
      </c>
      <c r="R142" s="165">
        <v>-57.75</v>
      </c>
      <c r="S142" s="114">
        <v>46204</v>
      </c>
      <c r="T142" s="1" t="s">
        <v>149</v>
      </c>
    </row>
    <row r="143" spans="8:20" x14ac:dyDescent="0.25">
      <c r="H143" s="165"/>
      <c r="I143" s="114"/>
      <c r="O143" t="s">
        <v>205</v>
      </c>
      <c r="P143" t="s">
        <v>128</v>
      </c>
      <c r="Q143" t="s">
        <v>115</v>
      </c>
      <c r="R143" s="165">
        <v>-34.5</v>
      </c>
      <c r="S143" s="114">
        <v>46204</v>
      </c>
      <c r="T143" s="1" t="s">
        <v>149</v>
      </c>
    </row>
    <row r="144" spans="8:20" x14ac:dyDescent="0.25">
      <c r="H144" s="165"/>
      <c r="I144" s="114"/>
      <c r="O144" t="s">
        <v>302</v>
      </c>
      <c r="P144" t="s">
        <v>234</v>
      </c>
      <c r="Q144" t="s">
        <v>115</v>
      </c>
      <c r="R144" s="165">
        <v>-3.5</v>
      </c>
      <c r="S144" s="114">
        <v>46204</v>
      </c>
      <c r="T144" s="1" t="s">
        <v>149</v>
      </c>
    </row>
    <row r="145" spans="8:20" x14ac:dyDescent="0.25">
      <c r="H145" s="165"/>
      <c r="I145" s="114"/>
      <c r="O145" t="s">
        <v>379</v>
      </c>
      <c r="P145" t="s">
        <v>234</v>
      </c>
      <c r="Q145" t="s">
        <v>115</v>
      </c>
      <c r="R145" s="165">
        <v>-9.92</v>
      </c>
      <c r="S145" s="114">
        <v>46204</v>
      </c>
      <c r="T145" s="1" t="s">
        <v>149</v>
      </c>
    </row>
    <row r="146" spans="8:20" x14ac:dyDescent="0.25">
      <c r="H146" s="165"/>
      <c r="I146" s="114"/>
      <c r="O146" t="s">
        <v>302</v>
      </c>
      <c r="P146" t="s">
        <v>234</v>
      </c>
      <c r="Q146" t="s">
        <v>115</v>
      </c>
      <c r="R146" s="165">
        <v>-13</v>
      </c>
      <c r="S146" s="114">
        <v>46204</v>
      </c>
      <c r="T146" s="1" t="s">
        <v>149</v>
      </c>
    </row>
    <row r="147" spans="8:20" x14ac:dyDescent="0.25">
      <c r="H147" s="165"/>
      <c r="I147" s="114"/>
      <c r="O147" t="s">
        <v>370</v>
      </c>
      <c r="P147" t="s">
        <v>234</v>
      </c>
      <c r="Q147" t="s">
        <v>115</v>
      </c>
      <c r="R147" s="165">
        <v>-5</v>
      </c>
      <c r="S147" s="114">
        <v>46204</v>
      </c>
      <c r="T147" s="1" t="s">
        <v>149</v>
      </c>
    </row>
    <row r="148" spans="8:20" x14ac:dyDescent="0.25">
      <c r="H148" s="165"/>
      <c r="I148" s="114"/>
      <c r="O148" t="s">
        <v>298</v>
      </c>
      <c r="P148" t="s">
        <v>128</v>
      </c>
      <c r="Q148" t="s">
        <v>115</v>
      </c>
      <c r="R148" s="165">
        <v>-5</v>
      </c>
      <c r="S148" s="114">
        <v>46204</v>
      </c>
      <c r="T148" s="1" t="s">
        <v>149</v>
      </c>
    </row>
    <row r="149" spans="8:20" x14ac:dyDescent="0.25">
      <c r="H149" s="165"/>
      <c r="I149" s="114"/>
      <c r="O149" t="s">
        <v>205</v>
      </c>
      <c r="P149" t="s">
        <v>128</v>
      </c>
      <c r="Q149" t="s">
        <v>115</v>
      </c>
      <c r="R149" s="165">
        <v>-10.25</v>
      </c>
      <c r="S149" s="114">
        <v>46203</v>
      </c>
      <c r="T149" s="1" t="s">
        <v>148</v>
      </c>
    </row>
    <row r="150" spans="8:20" x14ac:dyDescent="0.25">
      <c r="H150" s="165"/>
      <c r="I150" s="114"/>
      <c r="O150" t="s">
        <v>205</v>
      </c>
      <c r="P150" t="s">
        <v>128</v>
      </c>
      <c r="Q150" t="s">
        <v>115</v>
      </c>
      <c r="R150" s="165">
        <v>-29.25</v>
      </c>
      <c r="S150" s="114">
        <v>46203</v>
      </c>
      <c r="T150" s="1" t="s">
        <v>148</v>
      </c>
    </row>
    <row r="151" spans="8:20" x14ac:dyDescent="0.25">
      <c r="H151" s="165"/>
      <c r="I151" s="114"/>
      <c r="O151" t="s">
        <v>298</v>
      </c>
      <c r="P151" t="s">
        <v>128</v>
      </c>
      <c r="Q151" t="s">
        <v>115</v>
      </c>
      <c r="R151" s="165">
        <v>-5</v>
      </c>
      <c r="S151" s="114">
        <v>46203</v>
      </c>
      <c r="T151" s="1" t="s">
        <v>148</v>
      </c>
    </row>
    <row r="152" spans="8:20" x14ac:dyDescent="0.25">
      <c r="H152" s="165"/>
      <c r="I152" s="114"/>
      <c r="O152" t="s">
        <v>298</v>
      </c>
      <c r="P152" t="s">
        <v>128</v>
      </c>
      <c r="Q152" t="s">
        <v>115</v>
      </c>
      <c r="R152" s="165">
        <v>-5</v>
      </c>
      <c r="S152" s="114">
        <v>46203</v>
      </c>
      <c r="T152" s="1" t="s">
        <v>148</v>
      </c>
    </row>
    <row r="153" spans="8:20" x14ac:dyDescent="0.25">
      <c r="H153" s="165"/>
      <c r="I153" s="114"/>
      <c r="O153" t="s">
        <v>205</v>
      </c>
      <c r="P153" t="s">
        <v>128</v>
      </c>
      <c r="Q153" t="s">
        <v>115</v>
      </c>
      <c r="R153" s="165">
        <v>-48</v>
      </c>
      <c r="S153" s="114">
        <v>46202</v>
      </c>
      <c r="T153" s="1" t="s">
        <v>148</v>
      </c>
    </row>
    <row r="154" spans="8:20" x14ac:dyDescent="0.25">
      <c r="H154" s="165"/>
      <c r="I154" s="114"/>
      <c r="O154" t="s">
        <v>205</v>
      </c>
      <c r="P154" t="s">
        <v>128</v>
      </c>
      <c r="Q154" t="s">
        <v>115</v>
      </c>
      <c r="R154" s="165">
        <v>-69.75</v>
      </c>
      <c r="S154" s="114">
        <v>46202</v>
      </c>
      <c r="T154" s="1" t="s">
        <v>148</v>
      </c>
    </row>
    <row r="155" spans="8:20" x14ac:dyDescent="0.25">
      <c r="H155" s="165"/>
      <c r="I155" s="114"/>
      <c r="O155" t="s">
        <v>332</v>
      </c>
      <c r="P155" t="s">
        <v>128</v>
      </c>
      <c r="Q155" t="s">
        <v>114</v>
      </c>
      <c r="R155" s="165">
        <v>-12</v>
      </c>
      <c r="S155" s="114">
        <v>46202</v>
      </c>
      <c r="T155" s="1" t="s">
        <v>148</v>
      </c>
    </row>
    <row r="156" spans="8:20" x14ac:dyDescent="0.25">
      <c r="H156" s="165"/>
      <c r="I156" s="114"/>
      <c r="O156" t="s">
        <v>298</v>
      </c>
      <c r="P156" t="s">
        <v>128</v>
      </c>
      <c r="Q156" t="s">
        <v>115</v>
      </c>
      <c r="R156" s="165">
        <v>-5</v>
      </c>
      <c r="S156" s="114">
        <v>46202</v>
      </c>
      <c r="T156" s="1" t="s">
        <v>148</v>
      </c>
    </row>
    <row r="157" spans="8:20" x14ac:dyDescent="0.25">
      <c r="H157" s="165"/>
      <c r="I157" s="114"/>
      <c r="O157" t="s">
        <v>302</v>
      </c>
      <c r="P157" t="s">
        <v>234</v>
      </c>
      <c r="Q157" t="s">
        <v>115</v>
      </c>
      <c r="R157" s="165">
        <v>-3</v>
      </c>
      <c r="S157" s="114">
        <v>46202</v>
      </c>
      <c r="T157" s="1" t="s">
        <v>148</v>
      </c>
    </row>
    <row r="158" spans="8:20" x14ac:dyDescent="0.25">
      <c r="H158" s="165"/>
      <c r="I158" s="114"/>
      <c r="O158" t="s">
        <v>302</v>
      </c>
      <c r="P158" t="s">
        <v>234</v>
      </c>
      <c r="Q158" t="s">
        <v>115</v>
      </c>
      <c r="R158" s="165">
        <v>-10</v>
      </c>
      <c r="S158" s="114">
        <v>46200</v>
      </c>
      <c r="T158" s="1" t="s">
        <v>148</v>
      </c>
    </row>
    <row r="159" spans="8:20" x14ac:dyDescent="0.25">
      <c r="H159" s="165"/>
      <c r="I159" s="114"/>
      <c r="O159" t="s">
        <v>302</v>
      </c>
      <c r="P159" t="s">
        <v>234</v>
      </c>
      <c r="Q159" t="s">
        <v>115</v>
      </c>
      <c r="R159" s="165">
        <v>-3.99</v>
      </c>
      <c r="S159" s="114">
        <v>46200</v>
      </c>
      <c r="T159" s="1" t="s">
        <v>148</v>
      </c>
    </row>
    <row r="160" spans="8:20" x14ac:dyDescent="0.25">
      <c r="H160" s="165"/>
      <c r="I160" s="114"/>
      <c r="O160" t="s">
        <v>298</v>
      </c>
      <c r="P160" t="s">
        <v>128</v>
      </c>
      <c r="Q160" t="s">
        <v>115</v>
      </c>
      <c r="R160" s="165">
        <v>-10.97</v>
      </c>
      <c r="S160" s="114">
        <v>46200</v>
      </c>
      <c r="T160" s="1" t="s">
        <v>148</v>
      </c>
    </row>
    <row r="161" spans="8:20" x14ac:dyDescent="0.25">
      <c r="H161" s="165"/>
      <c r="I161" s="114"/>
      <c r="O161" t="s">
        <v>298</v>
      </c>
      <c r="P161" t="s">
        <v>128</v>
      </c>
      <c r="Q161" t="s">
        <v>115</v>
      </c>
      <c r="R161" s="165">
        <v>-26.96</v>
      </c>
      <c r="S161" s="114">
        <v>46200</v>
      </c>
      <c r="T161" s="1" t="s">
        <v>148</v>
      </c>
    </row>
    <row r="162" spans="8:20" x14ac:dyDescent="0.25">
      <c r="H162" s="165"/>
      <c r="I162" s="114"/>
      <c r="O162" t="s">
        <v>298</v>
      </c>
      <c r="P162" t="s">
        <v>128</v>
      </c>
      <c r="Q162" t="s">
        <v>115</v>
      </c>
      <c r="R162" s="165">
        <v>-235.9</v>
      </c>
      <c r="S162" s="114">
        <v>46200</v>
      </c>
      <c r="T162" s="1" t="s">
        <v>148</v>
      </c>
    </row>
    <row r="163" spans="8:20" x14ac:dyDescent="0.25">
      <c r="H163" s="165"/>
      <c r="I163" s="114"/>
      <c r="O163" t="s">
        <v>298</v>
      </c>
      <c r="P163" t="s">
        <v>128</v>
      </c>
      <c r="Q163" t="s">
        <v>115</v>
      </c>
      <c r="R163" s="165">
        <v>-18.96</v>
      </c>
      <c r="S163" s="114">
        <v>46200</v>
      </c>
      <c r="T163" s="1" t="s">
        <v>148</v>
      </c>
    </row>
    <row r="164" spans="8:20" x14ac:dyDescent="0.25">
      <c r="H164" s="165"/>
      <c r="I164" s="114"/>
      <c r="O164" t="s">
        <v>205</v>
      </c>
      <c r="P164" t="s">
        <v>128</v>
      </c>
      <c r="Q164" t="s">
        <v>115</v>
      </c>
      <c r="R164" s="165">
        <v>-470.77</v>
      </c>
      <c r="S164" s="114">
        <v>46199</v>
      </c>
      <c r="T164" s="1" t="s">
        <v>148</v>
      </c>
    </row>
    <row r="165" spans="8:20" x14ac:dyDescent="0.25">
      <c r="H165" s="165"/>
      <c r="I165" s="114"/>
      <c r="O165" t="s">
        <v>379</v>
      </c>
      <c r="P165" t="s">
        <v>234</v>
      </c>
      <c r="Q165" t="s">
        <v>115</v>
      </c>
      <c r="R165" s="165">
        <v>-9.9</v>
      </c>
      <c r="S165" s="114">
        <v>46199</v>
      </c>
      <c r="T165" s="1" t="s">
        <v>148</v>
      </c>
    </row>
    <row r="166" spans="8:20" x14ac:dyDescent="0.25">
      <c r="H166" s="165"/>
      <c r="I166" s="114"/>
      <c r="O166" t="s">
        <v>379</v>
      </c>
      <c r="P166" t="s">
        <v>234</v>
      </c>
      <c r="Q166" t="s">
        <v>115</v>
      </c>
      <c r="R166" s="165">
        <v>-12.91</v>
      </c>
      <c r="S166" s="114">
        <v>46199</v>
      </c>
      <c r="T166" s="1" t="s">
        <v>148</v>
      </c>
    </row>
    <row r="167" spans="8:20" x14ac:dyDescent="0.25">
      <c r="H167" s="165"/>
      <c r="I167" s="114"/>
      <c r="O167" t="s">
        <v>332</v>
      </c>
      <c r="P167" t="s">
        <v>128</v>
      </c>
      <c r="Q167" t="s">
        <v>114</v>
      </c>
      <c r="R167" s="165">
        <v>-12</v>
      </c>
      <c r="S167" s="114">
        <v>46199</v>
      </c>
      <c r="T167" s="1" t="s">
        <v>148</v>
      </c>
    </row>
    <row r="168" spans="8:20" x14ac:dyDescent="0.25">
      <c r="H168" s="165"/>
      <c r="I168" s="114"/>
      <c r="O168" t="s">
        <v>205</v>
      </c>
      <c r="P168" t="s">
        <v>128</v>
      </c>
      <c r="Q168" t="s">
        <v>115</v>
      </c>
      <c r="R168" s="165">
        <v>-10.75</v>
      </c>
      <c r="S168" s="114">
        <v>46199</v>
      </c>
      <c r="T168" s="1" t="s">
        <v>148</v>
      </c>
    </row>
    <row r="169" spans="8:20" x14ac:dyDescent="0.25">
      <c r="H169" s="165"/>
      <c r="I169" s="114"/>
      <c r="O169" t="s">
        <v>205</v>
      </c>
      <c r="P169" t="s">
        <v>128</v>
      </c>
      <c r="Q169" t="s">
        <v>115</v>
      </c>
      <c r="R169" s="165">
        <v>-57.75</v>
      </c>
      <c r="S169" s="114">
        <v>46199</v>
      </c>
      <c r="T169" s="1" t="s">
        <v>148</v>
      </c>
    </row>
    <row r="170" spans="8:20" x14ac:dyDescent="0.25">
      <c r="H170" s="165"/>
      <c r="I170" s="114"/>
      <c r="O170" t="s">
        <v>298</v>
      </c>
      <c r="P170" t="s">
        <v>128</v>
      </c>
      <c r="Q170" t="s">
        <v>115</v>
      </c>
      <c r="R170" s="165">
        <v>-15</v>
      </c>
      <c r="S170" s="114">
        <v>46199</v>
      </c>
      <c r="T170" s="1" t="s">
        <v>148</v>
      </c>
    </row>
    <row r="171" spans="8:20" x14ac:dyDescent="0.25">
      <c r="H171" s="165"/>
      <c r="I171" s="114"/>
      <c r="O171" t="s">
        <v>418</v>
      </c>
      <c r="P171" t="s">
        <v>128</v>
      </c>
      <c r="Q171" t="s">
        <v>115</v>
      </c>
      <c r="R171" s="165">
        <v>470.77</v>
      </c>
      <c r="S171" s="114">
        <v>46199</v>
      </c>
      <c r="T171" s="1" t="s">
        <v>148</v>
      </c>
    </row>
    <row r="172" spans="8:20" x14ac:dyDescent="0.25">
      <c r="H172" s="165"/>
      <c r="I172" s="114"/>
      <c r="O172" t="s">
        <v>302</v>
      </c>
      <c r="P172" t="s">
        <v>234</v>
      </c>
      <c r="Q172" t="s">
        <v>114</v>
      </c>
      <c r="R172" s="165">
        <v>-13</v>
      </c>
      <c r="S172" s="114">
        <v>46198</v>
      </c>
      <c r="T172" s="1" t="s">
        <v>148</v>
      </c>
    </row>
    <row r="173" spans="8:20" x14ac:dyDescent="0.25">
      <c r="H173" s="165"/>
      <c r="I173" s="114"/>
      <c r="O173" t="s">
        <v>369</v>
      </c>
      <c r="P173" t="s">
        <v>234</v>
      </c>
      <c r="Q173" t="s">
        <v>114</v>
      </c>
      <c r="R173" s="165">
        <v>-3</v>
      </c>
      <c r="S173" s="114">
        <v>46198</v>
      </c>
      <c r="T173" s="1" t="s">
        <v>148</v>
      </c>
    </row>
    <row r="174" spans="8:20" x14ac:dyDescent="0.25">
      <c r="H174" s="165"/>
      <c r="I174" s="114"/>
      <c r="O174" t="s">
        <v>205</v>
      </c>
      <c r="P174" t="s">
        <v>128</v>
      </c>
      <c r="Q174" t="s">
        <v>115</v>
      </c>
      <c r="R174" s="165">
        <v>-1.75</v>
      </c>
      <c r="S174" s="114">
        <v>46198</v>
      </c>
      <c r="T174" s="1" t="s">
        <v>148</v>
      </c>
    </row>
    <row r="175" spans="8:20" x14ac:dyDescent="0.25">
      <c r="H175" s="165"/>
      <c r="I175" s="114"/>
      <c r="O175" t="s">
        <v>205</v>
      </c>
      <c r="P175" t="s">
        <v>128</v>
      </c>
      <c r="Q175" t="s">
        <v>115</v>
      </c>
      <c r="R175" s="165">
        <v>-27.75</v>
      </c>
      <c r="S175" s="114">
        <v>46198</v>
      </c>
      <c r="T175" s="1" t="s">
        <v>148</v>
      </c>
    </row>
    <row r="176" spans="8:20" x14ac:dyDescent="0.25">
      <c r="H176" s="165"/>
      <c r="I176" s="114"/>
      <c r="O176" t="s">
        <v>205</v>
      </c>
      <c r="P176" t="s">
        <v>128</v>
      </c>
      <c r="Q176" t="s">
        <v>115</v>
      </c>
      <c r="R176" s="165">
        <v>-15.75</v>
      </c>
      <c r="S176" s="114">
        <v>46197</v>
      </c>
      <c r="T176" s="1" t="s">
        <v>148</v>
      </c>
    </row>
    <row r="177" spans="8:20" x14ac:dyDescent="0.25">
      <c r="H177" s="165"/>
      <c r="I177" s="114"/>
      <c r="O177" t="s">
        <v>205</v>
      </c>
      <c r="P177" t="s">
        <v>128</v>
      </c>
      <c r="Q177" t="s">
        <v>115</v>
      </c>
      <c r="R177" s="165">
        <v>-31.75</v>
      </c>
      <c r="S177" s="114">
        <v>46197</v>
      </c>
      <c r="T177" s="1" t="s">
        <v>148</v>
      </c>
    </row>
    <row r="178" spans="8:20" x14ac:dyDescent="0.25">
      <c r="H178" s="165"/>
      <c r="I178" s="114"/>
      <c r="O178" t="s">
        <v>379</v>
      </c>
      <c r="P178" t="s">
        <v>234</v>
      </c>
      <c r="Q178" t="s">
        <v>115</v>
      </c>
      <c r="R178" s="165">
        <v>-10</v>
      </c>
      <c r="S178" s="114">
        <v>46197</v>
      </c>
      <c r="T178" s="1" t="s">
        <v>148</v>
      </c>
    </row>
    <row r="179" spans="8:20" x14ac:dyDescent="0.25">
      <c r="H179" s="165"/>
      <c r="I179" s="114"/>
      <c r="O179" t="s">
        <v>300</v>
      </c>
      <c r="P179" t="s">
        <v>128</v>
      </c>
      <c r="Q179" t="s">
        <v>115</v>
      </c>
      <c r="R179" s="165">
        <v>-5</v>
      </c>
      <c r="S179" s="114">
        <v>46197</v>
      </c>
      <c r="T179" s="1" t="s">
        <v>148</v>
      </c>
    </row>
    <row r="180" spans="8:20" x14ac:dyDescent="0.25">
      <c r="H180" s="165"/>
      <c r="I180" s="114"/>
      <c r="O180" t="s">
        <v>302</v>
      </c>
      <c r="P180" t="s">
        <v>234</v>
      </c>
      <c r="Q180" t="s">
        <v>115</v>
      </c>
      <c r="R180" s="165">
        <v>-23.49</v>
      </c>
      <c r="S180" s="114">
        <v>46197</v>
      </c>
      <c r="T180" s="1" t="s">
        <v>148</v>
      </c>
    </row>
    <row r="181" spans="8:20" x14ac:dyDescent="0.25">
      <c r="H181" s="165"/>
      <c r="I181" s="114"/>
      <c r="O181" t="s">
        <v>302</v>
      </c>
      <c r="P181" t="s">
        <v>234</v>
      </c>
      <c r="Q181" t="s">
        <v>115</v>
      </c>
      <c r="R181" s="165">
        <v>-5.5</v>
      </c>
      <c r="S181" s="114">
        <v>46197</v>
      </c>
      <c r="T181" s="1" t="s">
        <v>148</v>
      </c>
    </row>
    <row r="182" spans="8:20" x14ac:dyDescent="0.25">
      <c r="H182" s="165"/>
      <c r="I182" s="114"/>
      <c r="O182" t="s">
        <v>302</v>
      </c>
      <c r="P182" t="s">
        <v>234</v>
      </c>
      <c r="Q182" t="s">
        <v>115</v>
      </c>
      <c r="R182" s="165">
        <v>-5</v>
      </c>
      <c r="S182" s="114">
        <v>46197</v>
      </c>
      <c r="T182" s="1" t="s">
        <v>148</v>
      </c>
    </row>
    <row r="183" spans="8:20" x14ac:dyDescent="0.25">
      <c r="H183" s="165"/>
      <c r="I183" s="114"/>
      <c r="O183" t="s">
        <v>205</v>
      </c>
      <c r="P183" t="s">
        <v>128</v>
      </c>
      <c r="Q183" t="s">
        <v>115</v>
      </c>
      <c r="R183" s="165">
        <v>-25.5</v>
      </c>
      <c r="S183" s="114">
        <v>46196</v>
      </c>
      <c r="T183" s="1" t="s">
        <v>148</v>
      </c>
    </row>
    <row r="184" spans="8:20" x14ac:dyDescent="0.25">
      <c r="H184" s="165"/>
      <c r="I184" s="114"/>
      <c r="O184" t="s">
        <v>205</v>
      </c>
      <c r="P184" t="s">
        <v>128</v>
      </c>
      <c r="Q184" t="s">
        <v>115</v>
      </c>
      <c r="R184" s="165">
        <v>-19.5</v>
      </c>
      <c r="S184" s="114">
        <v>46196</v>
      </c>
      <c r="T184" s="1" t="s">
        <v>148</v>
      </c>
    </row>
    <row r="185" spans="8:20" x14ac:dyDescent="0.25">
      <c r="H185" s="165"/>
      <c r="I185" s="114"/>
      <c r="O185" t="s">
        <v>302</v>
      </c>
      <c r="P185" t="s">
        <v>234</v>
      </c>
      <c r="Q185" t="s">
        <v>115</v>
      </c>
      <c r="R185" s="165">
        <v>-10</v>
      </c>
      <c r="S185" s="114">
        <v>46196</v>
      </c>
      <c r="T185" s="1" t="s">
        <v>148</v>
      </c>
    </row>
    <row r="186" spans="8:20" x14ac:dyDescent="0.25">
      <c r="H186" s="165"/>
      <c r="I186" s="114"/>
      <c r="O186" t="s">
        <v>205</v>
      </c>
      <c r="P186" t="s">
        <v>128</v>
      </c>
      <c r="Q186" t="s">
        <v>115</v>
      </c>
      <c r="R186" s="165">
        <v>-31</v>
      </c>
      <c r="S186" s="114">
        <v>46195</v>
      </c>
      <c r="T186" s="1" t="s">
        <v>148</v>
      </c>
    </row>
    <row r="187" spans="8:20" x14ac:dyDescent="0.25">
      <c r="H187" s="165"/>
      <c r="I187" s="114"/>
      <c r="O187" t="s">
        <v>205</v>
      </c>
      <c r="P187" t="s">
        <v>128</v>
      </c>
      <c r="Q187" t="s">
        <v>115</v>
      </c>
      <c r="R187" s="165">
        <v>-79.87</v>
      </c>
      <c r="S187" s="114">
        <v>46195</v>
      </c>
      <c r="T187" s="1" t="s">
        <v>148</v>
      </c>
    </row>
    <row r="188" spans="8:20" x14ac:dyDescent="0.25">
      <c r="H188" s="165"/>
      <c r="I188" s="114"/>
      <c r="O188" t="s">
        <v>302</v>
      </c>
      <c r="P188" t="s">
        <v>234</v>
      </c>
      <c r="Q188" t="s">
        <v>115</v>
      </c>
      <c r="R188" s="165">
        <v>-10</v>
      </c>
      <c r="S188" s="114">
        <v>46195</v>
      </c>
      <c r="T188" s="1" t="s">
        <v>148</v>
      </c>
    </row>
    <row r="189" spans="8:20" x14ac:dyDescent="0.25">
      <c r="H189" s="165"/>
      <c r="I189" s="114"/>
      <c r="O189" t="s">
        <v>302</v>
      </c>
      <c r="P189" t="s">
        <v>234</v>
      </c>
      <c r="Q189" t="s">
        <v>115</v>
      </c>
      <c r="R189" s="165">
        <v>-2.5</v>
      </c>
      <c r="S189" s="114">
        <v>46195</v>
      </c>
      <c r="T189" s="1" t="s">
        <v>148</v>
      </c>
    </row>
    <row r="190" spans="8:20" x14ac:dyDescent="0.25">
      <c r="H190" s="165"/>
      <c r="I190" s="114"/>
      <c r="O190" t="s">
        <v>382</v>
      </c>
      <c r="P190" t="s">
        <v>234</v>
      </c>
      <c r="Q190" t="s">
        <v>115</v>
      </c>
      <c r="R190" s="165">
        <v>-74</v>
      </c>
      <c r="S190" s="114">
        <v>46195</v>
      </c>
      <c r="T190" s="1" t="s">
        <v>148</v>
      </c>
    </row>
    <row r="191" spans="8:20" x14ac:dyDescent="0.25">
      <c r="H191" s="165"/>
      <c r="I191" s="114"/>
      <c r="O191" t="s">
        <v>302</v>
      </c>
      <c r="P191" t="s">
        <v>234</v>
      </c>
      <c r="Q191" t="s">
        <v>115</v>
      </c>
      <c r="R191" s="165">
        <v>-7</v>
      </c>
      <c r="S191" s="114">
        <v>46194</v>
      </c>
      <c r="T191" s="1" t="s">
        <v>148</v>
      </c>
    </row>
    <row r="192" spans="8:20" x14ac:dyDescent="0.25">
      <c r="H192" s="165"/>
      <c r="I192" s="114"/>
      <c r="O192" t="s">
        <v>302</v>
      </c>
      <c r="P192" t="s">
        <v>234</v>
      </c>
      <c r="Q192" t="s">
        <v>115</v>
      </c>
      <c r="R192" s="165">
        <v>-25</v>
      </c>
      <c r="S192" s="114">
        <v>46193</v>
      </c>
      <c r="T192" s="1" t="s">
        <v>148</v>
      </c>
    </row>
    <row r="193" spans="8:20" x14ac:dyDescent="0.25">
      <c r="H193" s="165"/>
      <c r="I193" s="114"/>
      <c r="O193" t="s">
        <v>302</v>
      </c>
      <c r="P193" t="s">
        <v>234</v>
      </c>
      <c r="Q193" t="s">
        <v>115</v>
      </c>
      <c r="R193" s="165">
        <v>-5</v>
      </c>
      <c r="S193" s="114">
        <v>46193</v>
      </c>
      <c r="T193" s="1" t="s">
        <v>148</v>
      </c>
    </row>
    <row r="194" spans="8:20" x14ac:dyDescent="0.25">
      <c r="H194" s="165"/>
      <c r="I194" s="114"/>
      <c r="O194" t="s">
        <v>205</v>
      </c>
      <c r="P194" t="s">
        <v>128</v>
      </c>
      <c r="Q194" t="s">
        <v>115</v>
      </c>
      <c r="R194" s="165">
        <v>-19.5</v>
      </c>
      <c r="S194" s="114">
        <v>46192</v>
      </c>
      <c r="T194" s="1" t="s">
        <v>148</v>
      </c>
    </row>
    <row r="195" spans="8:20" x14ac:dyDescent="0.25">
      <c r="H195" s="165"/>
      <c r="I195" s="114"/>
      <c r="O195" t="s">
        <v>205</v>
      </c>
      <c r="P195" t="s">
        <v>128</v>
      </c>
      <c r="Q195" t="s">
        <v>115</v>
      </c>
      <c r="R195" s="165">
        <v>-5</v>
      </c>
      <c r="S195" s="114">
        <v>46192</v>
      </c>
      <c r="T195" s="1" t="s">
        <v>148</v>
      </c>
    </row>
    <row r="196" spans="8:20" x14ac:dyDescent="0.25">
      <c r="H196" s="165"/>
      <c r="I196" s="114"/>
      <c r="O196" t="s">
        <v>379</v>
      </c>
      <c r="P196" t="s">
        <v>234</v>
      </c>
      <c r="Q196" t="s">
        <v>115</v>
      </c>
      <c r="R196" s="165">
        <v>-7.93</v>
      </c>
      <c r="S196" s="114">
        <v>46192</v>
      </c>
      <c r="T196" s="1" t="s">
        <v>148</v>
      </c>
    </row>
    <row r="197" spans="8:20" x14ac:dyDescent="0.25">
      <c r="H197" s="165"/>
      <c r="I197" s="114"/>
      <c r="O197" t="s">
        <v>399</v>
      </c>
      <c r="P197" t="s">
        <v>234</v>
      </c>
      <c r="Q197" t="s">
        <v>115</v>
      </c>
      <c r="R197" s="165">
        <v>-10.7</v>
      </c>
      <c r="S197" s="114">
        <v>46192</v>
      </c>
      <c r="T197" s="1" t="s">
        <v>148</v>
      </c>
    </row>
    <row r="198" spans="8:20" x14ac:dyDescent="0.25">
      <c r="H198" s="165"/>
      <c r="I198" s="114"/>
      <c r="O198" t="s">
        <v>302</v>
      </c>
      <c r="P198" t="s">
        <v>234</v>
      </c>
      <c r="Q198" t="s">
        <v>115</v>
      </c>
      <c r="R198" s="165">
        <v>-4</v>
      </c>
      <c r="S198" s="114">
        <v>46192</v>
      </c>
      <c r="T198" s="1" t="s">
        <v>148</v>
      </c>
    </row>
    <row r="199" spans="8:20" x14ac:dyDescent="0.25">
      <c r="H199" s="165"/>
      <c r="I199" s="114"/>
      <c r="O199" t="s">
        <v>302</v>
      </c>
      <c r="P199" t="s">
        <v>234</v>
      </c>
      <c r="Q199" t="s">
        <v>115</v>
      </c>
      <c r="R199" s="165">
        <v>-34</v>
      </c>
      <c r="S199" s="114">
        <v>46192</v>
      </c>
      <c r="T199" s="1" t="s">
        <v>148</v>
      </c>
    </row>
    <row r="200" spans="8:20" x14ac:dyDescent="0.25">
      <c r="H200" s="165"/>
      <c r="I200" s="114"/>
      <c r="O200" t="s">
        <v>205</v>
      </c>
      <c r="P200" t="s">
        <v>128</v>
      </c>
      <c r="Q200" t="s">
        <v>115</v>
      </c>
      <c r="R200" s="165">
        <v>-11</v>
      </c>
      <c r="S200" s="114">
        <v>46191</v>
      </c>
      <c r="T200" s="1" t="s">
        <v>148</v>
      </c>
    </row>
    <row r="201" spans="8:20" x14ac:dyDescent="0.25">
      <c r="H201" s="165"/>
      <c r="I201" s="114"/>
      <c r="O201" t="s">
        <v>205</v>
      </c>
      <c r="P201" t="s">
        <v>128</v>
      </c>
      <c r="Q201" t="s">
        <v>115</v>
      </c>
      <c r="R201" s="165">
        <v>-27</v>
      </c>
      <c r="S201" s="114">
        <v>46191</v>
      </c>
      <c r="T201" s="1" t="s">
        <v>148</v>
      </c>
    </row>
    <row r="202" spans="8:20" x14ac:dyDescent="0.25">
      <c r="H202" s="165"/>
      <c r="I202" s="114"/>
      <c r="O202" t="s">
        <v>373</v>
      </c>
      <c r="P202" t="s">
        <v>129</v>
      </c>
      <c r="Q202" t="s">
        <v>115</v>
      </c>
      <c r="R202" s="165">
        <v>-29.05</v>
      </c>
      <c r="S202" s="114">
        <v>46191</v>
      </c>
      <c r="T202" s="1" t="s">
        <v>148</v>
      </c>
    </row>
    <row r="203" spans="8:20" x14ac:dyDescent="0.25">
      <c r="H203" s="165"/>
      <c r="I203" s="114"/>
      <c r="O203" t="s">
        <v>373</v>
      </c>
      <c r="P203" t="s">
        <v>128</v>
      </c>
      <c r="Q203" t="s">
        <v>115</v>
      </c>
      <c r="R203" s="165">
        <v>-1000</v>
      </c>
      <c r="S203" s="114">
        <v>46191</v>
      </c>
      <c r="T203" s="1" t="s">
        <v>148</v>
      </c>
    </row>
    <row r="204" spans="8:20" x14ac:dyDescent="0.25">
      <c r="H204" s="165"/>
      <c r="I204" s="114"/>
      <c r="O204" t="s">
        <v>302</v>
      </c>
      <c r="P204" t="s">
        <v>234</v>
      </c>
      <c r="Q204" t="s">
        <v>115</v>
      </c>
      <c r="R204" s="165">
        <v>-19</v>
      </c>
      <c r="S204" s="114">
        <v>46191</v>
      </c>
      <c r="T204" s="1" t="s">
        <v>148</v>
      </c>
    </row>
    <row r="205" spans="8:20" x14ac:dyDescent="0.25">
      <c r="H205" s="165"/>
      <c r="I205" s="114"/>
      <c r="O205" t="s">
        <v>413</v>
      </c>
      <c r="P205" t="s">
        <v>234</v>
      </c>
      <c r="Q205" t="s">
        <v>115</v>
      </c>
      <c r="R205" s="165">
        <v>-102.5</v>
      </c>
      <c r="S205" s="114">
        <v>46191</v>
      </c>
      <c r="T205" s="1" t="s">
        <v>148</v>
      </c>
    </row>
    <row r="206" spans="8:20" x14ac:dyDescent="0.25">
      <c r="H206" s="165"/>
      <c r="I206" s="114"/>
      <c r="O206" t="s">
        <v>302</v>
      </c>
      <c r="P206" t="s">
        <v>234</v>
      </c>
      <c r="Q206" t="s">
        <v>115</v>
      </c>
      <c r="R206" s="165">
        <v>-7.5</v>
      </c>
      <c r="S206" s="114">
        <v>46191</v>
      </c>
      <c r="T206" s="1" t="s">
        <v>148</v>
      </c>
    </row>
    <row r="207" spans="8:20" x14ac:dyDescent="0.25">
      <c r="H207" s="165"/>
      <c r="I207" s="114"/>
      <c r="O207" t="s">
        <v>417</v>
      </c>
      <c r="P207" t="s">
        <v>128</v>
      </c>
      <c r="Q207" t="s">
        <v>115</v>
      </c>
      <c r="R207" s="165">
        <v>5700</v>
      </c>
      <c r="S207" s="114">
        <v>46191</v>
      </c>
      <c r="T207" s="1" t="s">
        <v>148</v>
      </c>
    </row>
    <row r="208" spans="8:20" x14ac:dyDescent="0.25">
      <c r="H208" s="165"/>
      <c r="I208" s="114"/>
      <c r="O208" t="s">
        <v>416</v>
      </c>
      <c r="P208" t="s">
        <v>128</v>
      </c>
      <c r="Q208" t="s">
        <v>115</v>
      </c>
      <c r="R208" s="165">
        <v>130</v>
      </c>
      <c r="S208" s="114">
        <v>46191</v>
      </c>
      <c r="T208" s="1" t="s">
        <v>148</v>
      </c>
    </row>
    <row r="209" spans="8:20" x14ac:dyDescent="0.25">
      <c r="H209" s="165"/>
      <c r="I209" s="114"/>
      <c r="O209" t="s">
        <v>205</v>
      </c>
      <c r="P209" t="s">
        <v>128</v>
      </c>
      <c r="Q209" t="s">
        <v>115</v>
      </c>
      <c r="R209" s="165">
        <v>-25.25</v>
      </c>
      <c r="S209" s="114">
        <v>46190</v>
      </c>
      <c r="T209" s="1" t="s">
        <v>148</v>
      </c>
    </row>
    <row r="210" spans="8:20" x14ac:dyDescent="0.25">
      <c r="H210" s="165"/>
      <c r="I210" s="114"/>
      <c r="O210" t="s">
        <v>302</v>
      </c>
      <c r="P210" t="s">
        <v>234</v>
      </c>
      <c r="Q210" t="s">
        <v>115</v>
      </c>
      <c r="R210" s="165">
        <v>-5.5</v>
      </c>
      <c r="S210" s="114">
        <v>46190</v>
      </c>
      <c r="T210" s="1" t="s">
        <v>148</v>
      </c>
    </row>
    <row r="211" spans="8:20" x14ac:dyDescent="0.25">
      <c r="H211" s="165"/>
      <c r="I211" s="114"/>
      <c r="O211" t="s">
        <v>302</v>
      </c>
      <c r="P211" t="s">
        <v>234</v>
      </c>
      <c r="Q211" t="s">
        <v>115</v>
      </c>
      <c r="R211" s="165">
        <v>-3.5</v>
      </c>
      <c r="S211" s="114">
        <v>46190</v>
      </c>
      <c r="T211" s="1" t="s">
        <v>148</v>
      </c>
    </row>
    <row r="212" spans="8:20" x14ac:dyDescent="0.25">
      <c r="H212" s="165"/>
      <c r="I212" s="114"/>
      <c r="O212" t="s">
        <v>205</v>
      </c>
      <c r="P212" t="s">
        <v>128</v>
      </c>
      <c r="Q212" t="s">
        <v>115</v>
      </c>
      <c r="R212" s="165">
        <v>-9.5</v>
      </c>
      <c r="S212" s="114">
        <v>46189</v>
      </c>
      <c r="T212" s="1" t="s">
        <v>148</v>
      </c>
    </row>
    <row r="213" spans="8:20" x14ac:dyDescent="0.25">
      <c r="H213" s="165"/>
      <c r="I213" s="114"/>
      <c r="O213" t="s">
        <v>205</v>
      </c>
      <c r="P213" t="s">
        <v>128</v>
      </c>
      <c r="Q213" t="s">
        <v>115</v>
      </c>
      <c r="R213" s="165">
        <v>-29</v>
      </c>
      <c r="S213" s="114">
        <v>46189</v>
      </c>
      <c r="T213" s="1" t="s">
        <v>148</v>
      </c>
    </row>
    <row r="214" spans="8:20" x14ac:dyDescent="0.25">
      <c r="H214" s="165"/>
      <c r="I214" s="114"/>
      <c r="O214" t="s">
        <v>302</v>
      </c>
      <c r="P214" t="s">
        <v>234</v>
      </c>
      <c r="Q214" t="s">
        <v>115</v>
      </c>
      <c r="R214" s="165">
        <v>-13</v>
      </c>
      <c r="S214" s="114">
        <v>46189</v>
      </c>
      <c r="T214" s="1" t="s">
        <v>148</v>
      </c>
    </row>
    <row r="215" spans="8:20" x14ac:dyDescent="0.25">
      <c r="H215" s="165"/>
      <c r="I215" s="114"/>
      <c r="O215" t="s">
        <v>399</v>
      </c>
      <c r="P215" t="s">
        <v>234</v>
      </c>
      <c r="Q215" t="s">
        <v>115</v>
      </c>
      <c r="R215" s="165">
        <v>-111.29</v>
      </c>
      <c r="S215" s="114">
        <v>46188</v>
      </c>
      <c r="T215" s="1" t="s">
        <v>148</v>
      </c>
    </row>
    <row r="216" spans="8:20" x14ac:dyDescent="0.25">
      <c r="H216" s="165"/>
      <c r="I216" s="114"/>
      <c r="O216" t="s">
        <v>205</v>
      </c>
      <c r="P216" t="s">
        <v>128</v>
      </c>
      <c r="Q216" t="s">
        <v>115</v>
      </c>
      <c r="R216" s="165">
        <v>-57.75</v>
      </c>
      <c r="S216" s="114">
        <v>46188</v>
      </c>
      <c r="T216" s="1" t="s">
        <v>148</v>
      </c>
    </row>
    <row r="217" spans="8:20" x14ac:dyDescent="0.25">
      <c r="H217" s="165"/>
      <c r="I217" s="114"/>
      <c r="O217" t="s">
        <v>205</v>
      </c>
      <c r="P217" t="s">
        <v>128</v>
      </c>
      <c r="Q217" t="s">
        <v>115</v>
      </c>
      <c r="R217" s="165">
        <v>-79</v>
      </c>
      <c r="S217" s="114">
        <v>46188</v>
      </c>
      <c r="T217" s="1" t="s">
        <v>148</v>
      </c>
    </row>
    <row r="218" spans="8:20" x14ac:dyDescent="0.25">
      <c r="H218" s="165"/>
      <c r="I218" s="114"/>
      <c r="O218" t="s">
        <v>298</v>
      </c>
      <c r="P218" t="s">
        <v>128</v>
      </c>
      <c r="Q218" t="s">
        <v>115</v>
      </c>
      <c r="R218" s="165">
        <v>-19.04</v>
      </c>
      <c r="S218" s="114">
        <v>46186</v>
      </c>
      <c r="T218" s="1" t="s">
        <v>148</v>
      </c>
    </row>
    <row r="219" spans="8:20" x14ac:dyDescent="0.25">
      <c r="H219" s="165"/>
      <c r="I219" s="114"/>
      <c r="O219" t="s">
        <v>333</v>
      </c>
      <c r="P219" t="s">
        <v>234</v>
      </c>
      <c r="Q219" t="s">
        <v>115</v>
      </c>
      <c r="R219" s="165">
        <v>-19.04</v>
      </c>
      <c r="S219" s="114">
        <v>46186</v>
      </c>
      <c r="T219" s="1" t="s">
        <v>148</v>
      </c>
    </row>
    <row r="220" spans="8:20" x14ac:dyDescent="0.25">
      <c r="H220" s="165"/>
      <c r="I220" s="114"/>
      <c r="O220" t="s">
        <v>302</v>
      </c>
      <c r="P220" t="s">
        <v>234</v>
      </c>
      <c r="Q220" t="s">
        <v>115</v>
      </c>
      <c r="R220" s="165">
        <v>-95.575000000000003</v>
      </c>
      <c r="S220" s="114">
        <v>46186</v>
      </c>
      <c r="T220" s="1" t="s">
        <v>148</v>
      </c>
    </row>
    <row r="221" spans="8:20" x14ac:dyDescent="0.25">
      <c r="H221" s="165"/>
      <c r="I221" s="114"/>
      <c r="O221" t="s">
        <v>298</v>
      </c>
      <c r="P221" t="s">
        <v>128</v>
      </c>
      <c r="Q221" t="s">
        <v>115</v>
      </c>
      <c r="R221" s="165">
        <v>-95.575000000000003</v>
      </c>
      <c r="S221" s="114">
        <v>46186</v>
      </c>
      <c r="T221" s="1" t="s">
        <v>148</v>
      </c>
    </row>
    <row r="222" spans="8:20" x14ac:dyDescent="0.25">
      <c r="H222" s="165"/>
      <c r="I222" s="114"/>
      <c r="O222" t="s">
        <v>373</v>
      </c>
      <c r="P222" t="s">
        <v>128</v>
      </c>
      <c r="Q222" t="s">
        <v>115</v>
      </c>
      <c r="R222" s="165">
        <v>1000</v>
      </c>
      <c r="S222" s="114">
        <v>46185</v>
      </c>
      <c r="T222" s="1" t="s">
        <v>148</v>
      </c>
    </row>
    <row r="223" spans="8:20" x14ac:dyDescent="0.25">
      <c r="H223" s="165"/>
      <c r="I223" s="114"/>
      <c r="O223" t="s">
        <v>343</v>
      </c>
      <c r="P223" t="s">
        <v>128</v>
      </c>
      <c r="Q223" t="s">
        <v>115</v>
      </c>
      <c r="R223" s="165">
        <v>4</v>
      </c>
      <c r="S223" s="114">
        <v>46185</v>
      </c>
      <c r="T223" s="1" t="s">
        <v>148</v>
      </c>
    </row>
    <row r="224" spans="8:20" x14ac:dyDescent="0.25">
      <c r="H224" s="165"/>
      <c r="I224" s="114"/>
      <c r="O224" t="s">
        <v>302</v>
      </c>
      <c r="P224" t="s">
        <v>234</v>
      </c>
      <c r="Q224" t="s">
        <v>115</v>
      </c>
      <c r="R224" s="165">
        <v>-5</v>
      </c>
      <c r="S224" s="114">
        <v>46185</v>
      </c>
      <c r="T224" s="1" t="s">
        <v>148</v>
      </c>
    </row>
    <row r="225" spans="8:20" x14ac:dyDescent="0.25">
      <c r="H225" s="165"/>
      <c r="I225" s="114"/>
      <c r="O225" t="s">
        <v>302</v>
      </c>
      <c r="P225" t="s">
        <v>234</v>
      </c>
      <c r="Q225" t="s">
        <v>115</v>
      </c>
      <c r="R225" s="165">
        <v>-7.5</v>
      </c>
      <c r="S225" s="114">
        <v>46185</v>
      </c>
      <c r="T225" s="1" t="s">
        <v>148</v>
      </c>
    </row>
    <row r="226" spans="8:20" x14ac:dyDescent="0.25">
      <c r="H226" s="165"/>
      <c r="I226" s="114"/>
      <c r="O226" t="s">
        <v>302</v>
      </c>
      <c r="P226" t="s">
        <v>234</v>
      </c>
      <c r="Q226" t="s">
        <v>115</v>
      </c>
      <c r="R226" s="165">
        <v>-100</v>
      </c>
      <c r="S226" s="114">
        <v>46185</v>
      </c>
      <c r="T226" s="1" t="s">
        <v>148</v>
      </c>
    </row>
    <row r="227" spans="8:20" x14ac:dyDescent="0.25">
      <c r="H227" s="165"/>
      <c r="I227" s="114"/>
      <c r="O227" t="s">
        <v>205</v>
      </c>
      <c r="P227" t="s">
        <v>128</v>
      </c>
      <c r="Q227" t="s">
        <v>115</v>
      </c>
      <c r="R227" s="165">
        <v>-5</v>
      </c>
      <c r="S227" s="114">
        <v>46185</v>
      </c>
      <c r="T227" s="1" t="s">
        <v>148</v>
      </c>
    </row>
    <row r="228" spans="8:20" x14ac:dyDescent="0.25">
      <c r="H228" s="165"/>
      <c r="I228" s="114"/>
      <c r="O228" t="s">
        <v>205</v>
      </c>
      <c r="P228" t="s">
        <v>128</v>
      </c>
      <c r="Q228" t="s">
        <v>115</v>
      </c>
      <c r="R228" s="165">
        <v>-23.5</v>
      </c>
      <c r="S228" s="114">
        <v>46185</v>
      </c>
      <c r="T228" s="1" t="s">
        <v>148</v>
      </c>
    </row>
    <row r="229" spans="8:20" x14ac:dyDescent="0.25">
      <c r="H229" s="165"/>
      <c r="I229" s="114"/>
      <c r="O229" t="s">
        <v>205</v>
      </c>
      <c r="P229" t="s">
        <v>128</v>
      </c>
      <c r="Q229" t="s">
        <v>115</v>
      </c>
      <c r="R229" s="165">
        <v>-33</v>
      </c>
      <c r="S229" s="114">
        <v>46184</v>
      </c>
      <c r="T229" s="1" t="s">
        <v>148</v>
      </c>
    </row>
    <row r="230" spans="8:20" x14ac:dyDescent="0.25">
      <c r="H230" s="165"/>
      <c r="I230" s="114"/>
      <c r="O230" t="s">
        <v>205</v>
      </c>
      <c r="P230" t="s">
        <v>128</v>
      </c>
      <c r="Q230" t="s">
        <v>115</v>
      </c>
      <c r="R230" s="165">
        <v>-58</v>
      </c>
      <c r="S230" s="114">
        <v>46183</v>
      </c>
      <c r="T230" s="1" t="s">
        <v>148</v>
      </c>
    </row>
    <row r="231" spans="8:20" x14ac:dyDescent="0.25">
      <c r="H231" s="165"/>
      <c r="I231" s="114"/>
      <c r="O231" t="s">
        <v>205</v>
      </c>
      <c r="P231" t="s">
        <v>128</v>
      </c>
      <c r="Q231" t="s">
        <v>115</v>
      </c>
      <c r="R231" s="165">
        <v>-42.5</v>
      </c>
      <c r="S231" s="114">
        <v>46183</v>
      </c>
      <c r="T231" s="1" t="s">
        <v>148</v>
      </c>
    </row>
    <row r="232" spans="8:20" x14ac:dyDescent="0.25">
      <c r="H232" s="165"/>
      <c r="I232" s="114"/>
      <c r="O232" t="s">
        <v>302</v>
      </c>
      <c r="P232" t="s">
        <v>234</v>
      </c>
      <c r="Q232" t="s">
        <v>115</v>
      </c>
      <c r="R232" s="165">
        <v>-16</v>
      </c>
      <c r="S232" s="114">
        <v>46183</v>
      </c>
      <c r="T232" s="1" t="s">
        <v>148</v>
      </c>
    </row>
    <row r="233" spans="8:20" x14ac:dyDescent="0.25">
      <c r="H233" s="165"/>
      <c r="I233" s="114"/>
      <c r="O233" t="s">
        <v>343</v>
      </c>
      <c r="P233" t="s">
        <v>128</v>
      </c>
      <c r="Q233" t="s">
        <v>115</v>
      </c>
      <c r="R233" s="165">
        <v>11</v>
      </c>
      <c r="S233" s="114">
        <v>46183</v>
      </c>
      <c r="T233" s="1" t="s">
        <v>148</v>
      </c>
    </row>
    <row r="234" spans="8:20" x14ac:dyDescent="0.25">
      <c r="H234" s="165"/>
      <c r="I234" s="114"/>
      <c r="O234" t="s">
        <v>343</v>
      </c>
      <c r="P234" t="s">
        <v>128</v>
      </c>
      <c r="Q234" t="s">
        <v>115</v>
      </c>
      <c r="R234" s="165">
        <v>8</v>
      </c>
      <c r="S234" s="114">
        <v>46183</v>
      </c>
      <c r="T234" s="1" t="s">
        <v>148</v>
      </c>
    </row>
    <row r="235" spans="8:20" x14ac:dyDescent="0.25">
      <c r="H235" s="165"/>
      <c r="I235" s="114"/>
      <c r="O235" t="s">
        <v>205</v>
      </c>
      <c r="P235" t="s">
        <v>128</v>
      </c>
      <c r="Q235" t="s">
        <v>115</v>
      </c>
      <c r="R235" s="165">
        <v>-12.5</v>
      </c>
      <c r="S235" s="114">
        <v>46182</v>
      </c>
      <c r="T235" s="1" t="s">
        <v>148</v>
      </c>
    </row>
    <row r="236" spans="8:20" x14ac:dyDescent="0.25">
      <c r="H236" s="165"/>
      <c r="I236" s="114"/>
      <c r="O236" t="s">
        <v>343</v>
      </c>
      <c r="P236" t="s">
        <v>128</v>
      </c>
      <c r="Q236" t="s">
        <v>114</v>
      </c>
      <c r="R236" s="165">
        <v>7</v>
      </c>
      <c r="S236" s="114">
        <v>46182</v>
      </c>
      <c r="T236" s="1" t="s">
        <v>148</v>
      </c>
    </row>
    <row r="237" spans="8:20" x14ac:dyDescent="0.25">
      <c r="H237" s="165"/>
      <c r="I237" s="114"/>
      <c r="O237" t="s">
        <v>343</v>
      </c>
      <c r="P237" t="s">
        <v>128</v>
      </c>
      <c r="Q237" t="s">
        <v>115</v>
      </c>
      <c r="R237" s="165">
        <v>-30</v>
      </c>
      <c r="S237" s="114">
        <v>46182</v>
      </c>
      <c r="T237" s="1" t="s">
        <v>148</v>
      </c>
    </row>
    <row r="238" spans="8:20" x14ac:dyDescent="0.25">
      <c r="H238" s="165"/>
      <c r="I238" s="114"/>
      <c r="O238" t="s">
        <v>205</v>
      </c>
      <c r="P238" t="s">
        <v>128</v>
      </c>
      <c r="Q238" t="s">
        <v>115</v>
      </c>
      <c r="R238" s="165">
        <v>-20.5</v>
      </c>
      <c r="S238" s="114">
        <v>46181</v>
      </c>
      <c r="T238" s="1" t="s">
        <v>148</v>
      </c>
    </row>
    <row r="239" spans="8:20" x14ac:dyDescent="0.25">
      <c r="H239" s="165"/>
      <c r="I239" s="114"/>
      <c r="O239" t="s">
        <v>205</v>
      </c>
      <c r="P239" t="s">
        <v>128</v>
      </c>
      <c r="Q239" t="s">
        <v>115</v>
      </c>
      <c r="R239" s="165">
        <v>-108.5</v>
      </c>
      <c r="S239" s="114">
        <v>46181</v>
      </c>
      <c r="T239" s="1" t="s">
        <v>148</v>
      </c>
    </row>
    <row r="240" spans="8:20" x14ac:dyDescent="0.25">
      <c r="H240" s="165"/>
      <c r="I240" s="114"/>
      <c r="O240" t="s">
        <v>302</v>
      </c>
      <c r="P240" t="s">
        <v>234</v>
      </c>
      <c r="Q240" t="s">
        <v>114</v>
      </c>
      <c r="R240" s="165">
        <v>-16</v>
      </c>
      <c r="S240" s="114">
        <v>46180</v>
      </c>
      <c r="T240" s="1" t="s">
        <v>148</v>
      </c>
    </row>
    <row r="241" spans="8:20" x14ac:dyDescent="0.25">
      <c r="H241" s="165"/>
      <c r="I241" s="114"/>
      <c r="O241" t="s">
        <v>302</v>
      </c>
      <c r="P241" t="s">
        <v>234</v>
      </c>
      <c r="Q241" t="s">
        <v>115</v>
      </c>
      <c r="R241" s="165">
        <v>-46</v>
      </c>
      <c r="S241" s="114">
        <v>46180</v>
      </c>
      <c r="T241" s="1" t="s">
        <v>148</v>
      </c>
    </row>
    <row r="242" spans="8:20" x14ac:dyDescent="0.25">
      <c r="H242" s="165"/>
      <c r="I242" s="114"/>
      <c r="O242" t="s">
        <v>205</v>
      </c>
      <c r="P242" t="s">
        <v>128</v>
      </c>
      <c r="Q242" t="s">
        <v>115</v>
      </c>
      <c r="R242" s="165">
        <v>-25.71</v>
      </c>
      <c r="S242" s="114">
        <v>46179</v>
      </c>
      <c r="T242" s="1" t="s">
        <v>148</v>
      </c>
    </row>
    <row r="243" spans="8:20" x14ac:dyDescent="0.25">
      <c r="H243" s="165"/>
      <c r="I243" s="114"/>
      <c r="O243" t="s">
        <v>416</v>
      </c>
      <c r="P243" t="s">
        <v>128</v>
      </c>
      <c r="Q243" t="s">
        <v>114</v>
      </c>
      <c r="R243" s="165">
        <v>360</v>
      </c>
      <c r="S243" s="114">
        <v>46179</v>
      </c>
      <c r="T243" s="1" t="s">
        <v>148</v>
      </c>
    </row>
    <row r="244" spans="8:20" x14ac:dyDescent="0.25">
      <c r="H244" s="165"/>
      <c r="I244" s="114"/>
      <c r="O244" t="s">
        <v>205</v>
      </c>
      <c r="P244" t="s">
        <v>128</v>
      </c>
      <c r="Q244" t="s">
        <v>115</v>
      </c>
      <c r="R244" s="165">
        <v>-47.5</v>
      </c>
      <c r="S244" s="114">
        <v>46178</v>
      </c>
      <c r="T244" s="1" t="s">
        <v>148</v>
      </c>
    </row>
    <row r="245" spans="8:20" x14ac:dyDescent="0.25">
      <c r="H245" s="165"/>
      <c r="I245" s="114"/>
      <c r="O245" t="s">
        <v>205</v>
      </c>
      <c r="P245" t="s">
        <v>128</v>
      </c>
      <c r="Q245" t="s">
        <v>115</v>
      </c>
      <c r="R245" s="165">
        <v>-54.5</v>
      </c>
      <c r="S245" s="114">
        <v>46178</v>
      </c>
      <c r="T245" s="1" t="s">
        <v>148</v>
      </c>
    </row>
    <row r="246" spans="8:20" x14ac:dyDescent="0.25">
      <c r="H246" s="165"/>
      <c r="I246" s="114"/>
      <c r="O246" t="s">
        <v>302</v>
      </c>
      <c r="P246" t="s">
        <v>234</v>
      </c>
      <c r="Q246" t="s">
        <v>115</v>
      </c>
      <c r="R246" s="165">
        <v>-64</v>
      </c>
      <c r="S246" s="114">
        <v>46178</v>
      </c>
      <c r="T246" s="1" t="s">
        <v>148</v>
      </c>
    </row>
    <row r="247" spans="8:20" x14ac:dyDescent="0.25">
      <c r="H247" s="165"/>
      <c r="I247" s="114"/>
      <c r="O247" t="s">
        <v>302</v>
      </c>
      <c r="P247" t="s">
        <v>234</v>
      </c>
      <c r="Q247" t="s">
        <v>115</v>
      </c>
      <c r="R247" s="165">
        <v>-14</v>
      </c>
      <c r="S247" s="114">
        <v>46178</v>
      </c>
      <c r="T247" s="1" t="s">
        <v>148</v>
      </c>
    </row>
    <row r="248" spans="8:20" x14ac:dyDescent="0.25">
      <c r="H248" s="165"/>
      <c r="I248" s="114"/>
      <c r="O248" t="s">
        <v>302</v>
      </c>
      <c r="P248" t="s">
        <v>234</v>
      </c>
      <c r="Q248" t="s">
        <v>115</v>
      </c>
      <c r="R248" s="165">
        <v>-7.5</v>
      </c>
      <c r="S248" s="114">
        <v>46177</v>
      </c>
      <c r="T248" s="1" t="s">
        <v>148</v>
      </c>
    </row>
    <row r="249" spans="8:20" x14ac:dyDescent="0.25">
      <c r="H249" s="165"/>
      <c r="I249" s="114"/>
      <c r="O249" t="s">
        <v>415</v>
      </c>
      <c r="P249" t="s">
        <v>128</v>
      </c>
      <c r="Q249" t="s">
        <v>115</v>
      </c>
      <c r="R249" s="165">
        <v>200</v>
      </c>
      <c r="S249" s="114">
        <v>46177</v>
      </c>
      <c r="T249" s="1" t="s">
        <v>148</v>
      </c>
    </row>
    <row r="250" spans="8:20" x14ac:dyDescent="0.25">
      <c r="H250" s="165"/>
      <c r="I250" s="114"/>
      <c r="O250" t="s">
        <v>298</v>
      </c>
      <c r="P250" t="s">
        <v>128</v>
      </c>
      <c r="Q250" t="s">
        <v>115</v>
      </c>
      <c r="R250" s="165">
        <v>166.6</v>
      </c>
      <c r="S250" s="114">
        <v>46177</v>
      </c>
      <c r="T250" s="1" t="s">
        <v>148</v>
      </c>
    </row>
    <row r="251" spans="8:20" x14ac:dyDescent="0.25">
      <c r="H251" s="165"/>
      <c r="I251" s="114"/>
      <c r="O251" t="s">
        <v>205</v>
      </c>
      <c r="P251" t="s">
        <v>128</v>
      </c>
      <c r="Q251" t="s">
        <v>115</v>
      </c>
      <c r="R251" s="165">
        <v>-10</v>
      </c>
      <c r="S251" s="114">
        <v>46176</v>
      </c>
      <c r="T251" s="1" t="s">
        <v>148</v>
      </c>
    </row>
    <row r="252" spans="8:20" x14ac:dyDescent="0.25">
      <c r="H252" s="165"/>
      <c r="I252" s="114"/>
      <c r="O252" t="s">
        <v>205</v>
      </c>
      <c r="P252" t="s">
        <v>128</v>
      </c>
      <c r="Q252" t="s">
        <v>115</v>
      </c>
      <c r="R252" s="165">
        <v>-76</v>
      </c>
      <c r="S252" s="114">
        <v>46176</v>
      </c>
      <c r="T252" s="1" t="s">
        <v>148</v>
      </c>
    </row>
    <row r="253" spans="8:20" x14ac:dyDescent="0.25">
      <c r="H253" s="165"/>
      <c r="I253" s="114"/>
      <c r="O253" t="s">
        <v>302</v>
      </c>
      <c r="P253" t="s">
        <v>234</v>
      </c>
      <c r="Q253" t="s">
        <v>115</v>
      </c>
      <c r="R253" s="165">
        <v>-3.5</v>
      </c>
      <c r="S253" s="114">
        <v>46176</v>
      </c>
      <c r="T253" s="1" t="s">
        <v>148</v>
      </c>
    </row>
    <row r="254" spans="8:20" x14ac:dyDescent="0.25">
      <c r="H254" s="165"/>
      <c r="I254" s="114"/>
      <c r="O254" t="s">
        <v>205</v>
      </c>
      <c r="P254" t="s">
        <v>128</v>
      </c>
      <c r="Q254" t="s">
        <v>115</v>
      </c>
      <c r="R254" s="165">
        <v>-1.25</v>
      </c>
      <c r="S254" s="114">
        <v>46175</v>
      </c>
      <c r="T254" s="1" t="s">
        <v>148</v>
      </c>
    </row>
    <row r="255" spans="8:20" x14ac:dyDescent="0.25">
      <c r="H255" s="165"/>
      <c r="I255" s="114"/>
      <c r="O255" t="s">
        <v>205</v>
      </c>
      <c r="P255" t="s">
        <v>128</v>
      </c>
      <c r="Q255" t="s">
        <v>115</v>
      </c>
      <c r="R255" s="165">
        <v>-76.5</v>
      </c>
      <c r="S255" s="114">
        <v>46175</v>
      </c>
      <c r="T255" s="1" t="s">
        <v>148</v>
      </c>
    </row>
    <row r="256" spans="8:20" x14ac:dyDescent="0.25">
      <c r="H256" s="165"/>
      <c r="I256" s="114"/>
      <c r="O256" t="s">
        <v>205</v>
      </c>
      <c r="P256" t="s">
        <v>128</v>
      </c>
      <c r="Q256" t="s">
        <v>115</v>
      </c>
      <c r="R256" s="165">
        <v>-19.25</v>
      </c>
      <c r="S256" s="114">
        <v>46175</v>
      </c>
      <c r="T256" s="1" t="s">
        <v>148</v>
      </c>
    </row>
    <row r="257" spans="8:20" x14ac:dyDescent="0.25">
      <c r="H257" s="165"/>
      <c r="I257" s="114"/>
      <c r="O257" t="s">
        <v>205</v>
      </c>
      <c r="P257" t="s">
        <v>128</v>
      </c>
      <c r="Q257" t="s">
        <v>115</v>
      </c>
      <c r="R257" s="165">
        <v>-87.5</v>
      </c>
      <c r="S257" s="114">
        <v>46175</v>
      </c>
      <c r="T257" s="1" t="s">
        <v>148</v>
      </c>
    </row>
    <row r="258" spans="8:20" x14ac:dyDescent="0.25">
      <c r="H258" s="165"/>
      <c r="I258" s="114"/>
      <c r="O258" t="s">
        <v>302</v>
      </c>
      <c r="P258" t="s">
        <v>234</v>
      </c>
      <c r="Q258" t="s">
        <v>115</v>
      </c>
      <c r="R258" s="165">
        <v>-10</v>
      </c>
      <c r="S258" s="114">
        <v>46175</v>
      </c>
      <c r="T258" s="1" t="s">
        <v>148</v>
      </c>
    </row>
    <row r="259" spans="8:20" x14ac:dyDescent="0.25">
      <c r="H259" s="165"/>
      <c r="I259" s="114"/>
      <c r="O259" t="s">
        <v>391</v>
      </c>
      <c r="P259" t="s">
        <v>128</v>
      </c>
      <c r="Q259" t="s">
        <v>114</v>
      </c>
      <c r="R259" s="165">
        <v>700</v>
      </c>
      <c r="S259" s="114">
        <v>46175</v>
      </c>
      <c r="T259" s="1" t="s">
        <v>148</v>
      </c>
    </row>
    <row r="260" spans="8:20" x14ac:dyDescent="0.25">
      <c r="H260" s="165"/>
      <c r="I260" s="114"/>
      <c r="O260" t="s">
        <v>391</v>
      </c>
      <c r="P260" t="s">
        <v>128</v>
      </c>
      <c r="Q260" t="s">
        <v>115</v>
      </c>
      <c r="R260" s="165">
        <v>-700</v>
      </c>
      <c r="S260" s="114">
        <v>46175</v>
      </c>
      <c r="T260" s="1" t="s">
        <v>148</v>
      </c>
    </row>
    <row r="261" spans="8:20" x14ac:dyDescent="0.25">
      <c r="H261" s="165"/>
      <c r="I261" s="114"/>
      <c r="O261" t="s">
        <v>335</v>
      </c>
      <c r="P261" t="s">
        <v>127</v>
      </c>
      <c r="Q261" t="s">
        <v>114</v>
      </c>
      <c r="R261" s="165">
        <v>-10</v>
      </c>
      <c r="S261" s="114">
        <v>46175</v>
      </c>
      <c r="T261" s="1" t="s">
        <v>148</v>
      </c>
    </row>
    <row r="262" spans="8:20" x14ac:dyDescent="0.25">
      <c r="H262" s="165"/>
      <c r="I262" s="114"/>
      <c r="O262" t="s">
        <v>335</v>
      </c>
      <c r="P262" t="s">
        <v>127</v>
      </c>
      <c r="Q262" t="s">
        <v>114</v>
      </c>
      <c r="R262" s="165">
        <v>-10</v>
      </c>
      <c r="S262" s="114">
        <v>46175</v>
      </c>
      <c r="T262" s="1" t="s">
        <v>148</v>
      </c>
    </row>
    <row r="263" spans="8:20" x14ac:dyDescent="0.25">
      <c r="H263" s="165"/>
      <c r="I263" s="114"/>
      <c r="O263" t="s">
        <v>335</v>
      </c>
      <c r="P263" t="s">
        <v>127</v>
      </c>
      <c r="Q263" t="s">
        <v>114</v>
      </c>
      <c r="R263" s="165">
        <v>-10</v>
      </c>
      <c r="S263" s="114">
        <v>46175</v>
      </c>
      <c r="T263" s="1" t="s">
        <v>148</v>
      </c>
    </row>
    <row r="264" spans="8:20" x14ac:dyDescent="0.25">
      <c r="H264" s="165"/>
      <c r="I264" s="114"/>
      <c r="O264" t="s">
        <v>335</v>
      </c>
      <c r="P264" t="s">
        <v>127</v>
      </c>
      <c r="Q264" t="s">
        <v>114</v>
      </c>
      <c r="R264" s="165">
        <v>-10</v>
      </c>
      <c r="S264" s="114">
        <v>46175</v>
      </c>
      <c r="T264" s="1" t="s">
        <v>148</v>
      </c>
    </row>
    <row r="265" spans="8:20" x14ac:dyDescent="0.25">
      <c r="H265" s="165"/>
      <c r="I265" s="114"/>
      <c r="O265" t="s">
        <v>335</v>
      </c>
      <c r="P265" t="s">
        <v>127</v>
      </c>
      <c r="Q265" t="s">
        <v>114</v>
      </c>
      <c r="R265" s="165">
        <v>-10</v>
      </c>
      <c r="S265" s="114">
        <v>46175</v>
      </c>
      <c r="T265" s="1" t="s">
        <v>148</v>
      </c>
    </row>
    <row r="266" spans="8:20" x14ac:dyDescent="0.25">
      <c r="H266" s="165"/>
      <c r="I266" s="114"/>
      <c r="O266" t="s">
        <v>205</v>
      </c>
      <c r="P266" t="s">
        <v>128</v>
      </c>
      <c r="Q266" t="s">
        <v>115</v>
      </c>
      <c r="R266" s="165">
        <v>-161.25</v>
      </c>
      <c r="S266" s="114">
        <v>46174</v>
      </c>
      <c r="T266" s="1" t="s">
        <v>148</v>
      </c>
    </row>
    <row r="267" spans="8:20" x14ac:dyDescent="0.25">
      <c r="H267" s="165"/>
      <c r="I267" s="114"/>
      <c r="O267" t="s">
        <v>205</v>
      </c>
      <c r="P267" t="s">
        <v>128</v>
      </c>
      <c r="Q267" t="s">
        <v>115</v>
      </c>
      <c r="R267" s="165">
        <v>-43.25</v>
      </c>
      <c r="S267" s="114">
        <v>46174</v>
      </c>
      <c r="T267" s="1" t="s">
        <v>148</v>
      </c>
    </row>
    <row r="268" spans="8:20" x14ac:dyDescent="0.25">
      <c r="H268" s="165"/>
      <c r="I268" s="114"/>
      <c r="O268" t="s">
        <v>302</v>
      </c>
      <c r="P268" t="s">
        <v>234</v>
      </c>
      <c r="Q268" t="s">
        <v>114</v>
      </c>
      <c r="R268" s="165">
        <v>-100</v>
      </c>
      <c r="S268" s="114">
        <v>46173</v>
      </c>
      <c r="T268" s="1" t="s">
        <v>147</v>
      </c>
    </row>
    <row r="269" spans="8:20" x14ac:dyDescent="0.25">
      <c r="H269" s="165"/>
      <c r="I269" s="114"/>
      <c r="O269" t="s">
        <v>298</v>
      </c>
      <c r="P269" t="s">
        <v>128</v>
      </c>
      <c r="Q269" t="s">
        <v>115</v>
      </c>
      <c r="R269" s="165">
        <v>-28.6</v>
      </c>
      <c r="S269" s="114">
        <v>46173</v>
      </c>
      <c r="T269" s="1" t="s">
        <v>147</v>
      </c>
    </row>
    <row r="270" spans="8:20" x14ac:dyDescent="0.25">
      <c r="H270" s="165"/>
      <c r="O270" t="s">
        <v>302</v>
      </c>
      <c r="P270" t="s">
        <v>234</v>
      </c>
      <c r="Q270" t="s">
        <v>115</v>
      </c>
      <c r="R270" s="165">
        <v>-16.5</v>
      </c>
      <c r="S270" s="114">
        <v>46173</v>
      </c>
      <c r="T270" s="1" t="s">
        <v>147</v>
      </c>
    </row>
    <row r="271" spans="8:20" x14ac:dyDescent="0.25">
      <c r="O271" t="s">
        <v>302</v>
      </c>
      <c r="P271" t="s">
        <v>234</v>
      </c>
      <c r="Q271" t="s">
        <v>115</v>
      </c>
      <c r="R271" s="165">
        <v>-16.5</v>
      </c>
      <c r="S271" s="114">
        <v>46173</v>
      </c>
      <c r="T271" s="1" t="s">
        <v>147</v>
      </c>
    </row>
    <row r="272" spans="8:20" x14ac:dyDescent="0.25">
      <c r="O272" t="s">
        <v>302</v>
      </c>
      <c r="P272" t="s">
        <v>234</v>
      </c>
      <c r="Q272" t="s">
        <v>115</v>
      </c>
      <c r="R272" s="165">
        <v>-2.75</v>
      </c>
      <c r="S272" s="114">
        <v>46171</v>
      </c>
      <c r="T272" s="1" t="s">
        <v>147</v>
      </c>
    </row>
    <row r="273" spans="6:20" x14ac:dyDescent="0.25">
      <c r="O273" t="s">
        <v>302</v>
      </c>
      <c r="P273" t="s">
        <v>234</v>
      </c>
      <c r="Q273" t="s">
        <v>115</v>
      </c>
      <c r="R273" s="165">
        <v>-13</v>
      </c>
      <c r="S273" s="114">
        <v>46171</v>
      </c>
      <c r="T273" s="1" t="s">
        <v>147</v>
      </c>
    </row>
    <row r="274" spans="6:20" x14ac:dyDescent="0.25">
      <c r="O274" t="s">
        <v>302</v>
      </c>
      <c r="P274" t="s">
        <v>234</v>
      </c>
      <c r="Q274" t="s">
        <v>114</v>
      </c>
      <c r="R274" s="165">
        <v>-50</v>
      </c>
      <c r="S274" s="114">
        <v>46171</v>
      </c>
      <c r="T274" s="1" t="s">
        <v>147</v>
      </c>
    </row>
    <row r="275" spans="6:20" x14ac:dyDescent="0.25">
      <c r="O275" t="s">
        <v>302</v>
      </c>
      <c r="P275" t="s">
        <v>234</v>
      </c>
      <c r="Q275" t="s">
        <v>114</v>
      </c>
      <c r="R275" s="165">
        <v>-7.5</v>
      </c>
      <c r="S275" s="114">
        <v>46171</v>
      </c>
      <c r="T275" s="1" t="s">
        <v>147</v>
      </c>
    </row>
    <row r="276" spans="6:20" x14ac:dyDescent="0.25">
      <c r="O276" t="s">
        <v>298</v>
      </c>
      <c r="P276" t="s">
        <v>128</v>
      </c>
      <c r="Q276" t="s">
        <v>114</v>
      </c>
      <c r="R276" s="165">
        <v>-20</v>
      </c>
      <c r="S276" s="114">
        <v>46171</v>
      </c>
      <c r="T276" s="1" t="s">
        <v>147</v>
      </c>
    </row>
    <row r="277" spans="6:20" x14ac:dyDescent="0.25">
      <c r="O277" t="s">
        <v>205</v>
      </c>
      <c r="P277" t="s">
        <v>128</v>
      </c>
      <c r="Q277" t="s">
        <v>115</v>
      </c>
      <c r="R277" s="165">
        <v>-5</v>
      </c>
      <c r="S277" s="114">
        <v>46171</v>
      </c>
      <c r="T277" s="1" t="s">
        <v>147</v>
      </c>
    </row>
    <row r="278" spans="6:20" x14ac:dyDescent="0.25">
      <c r="F278" s="11"/>
      <c r="G278">
        <f>2317.69*15%</f>
        <v>347.65350000000001</v>
      </c>
      <c r="O278" t="s">
        <v>205</v>
      </c>
      <c r="P278" t="s">
        <v>128</v>
      </c>
      <c r="Q278" t="s">
        <v>115</v>
      </c>
      <c r="R278" s="165">
        <v>-54.25</v>
      </c>
      <c r="S278" s="114">
        <v>46171</v>
      </c>
      <c r="T278" s="1" t="s">
        <v>147</v>
      </c>
    </row>
    <row r="279" spans="6:20" x14ac:dyDescent="0.25">
      <c r="O279" t="s">
        <v>205</v>
      </c>
      <c r="P279" t="s">
        <v>128</v>
      </c>
      <c r="Q279" t="s">
        <v>115</v>
      </c>
      <c r="R279" s="165">
        <v>-32.5</v>
      </c>
      <c r="S279" s="114">
        <v>46170</v>
      </c>
      <c r="T279" s="1" t="s">
        <v>147</v>
      </c>
    </row>
    <row r="280" spans="6:20" x14ac:dyDescent="0.25">
      <c r="O280" t="s">
        <v>205</v>
      </c>
      <c r="P280" t="s">
        <v>128</v>
      </c>
      <c r="Q280" t="s">
        <v>115</v>
      </c>
      <c r="R280" s="165">
        <v>-20.5</v>
      </c>
      <c r="S280" s="114">
        <v>46170</v>
      </c>
      <c r="T280" s="1" t="s">
        <v>147</v>
      </c>
    </row>
    <row r="281" spans="6:20" x14ac:dyDescent="0.25">
      <c r="O281" t="s">
        <v>205</v>
      </c>
      <c r="P281" t="s">
        <v>128</v>
      </c>
      <c r="Q281" t="s">
        <v>115</v>
      </c>
      <c r="R281" s="165">
        <v>-70.5</v>
      </c>
      <c r="S281" s="114">
        <v>46169</v>
      </c>
      <c r="T281" s="1" t="s">
        <v>147</v>
      </c>
    </row>
    <row r="282" spans="6:20" x14ac:dyDescent="0.25">
      <c r="O282" t="s">
        <v>205</v>
      </c>
      <c r="P282" t="s">
        <v>128</v>
      </c>
      <c r="Q282" t="s">
        <v>115</v>
      </c>
      <c r="R282" s="165">
        <v>-11</v>
      </c>
      <c r="S282" s="114">
        <v>46169</v>
      </c>
      <c r="T282" s="1" t="s">
        <v>147</v>
      </c>
    </row>
    <row r="283" spans="6:20" x14ac:dyDescent="0.25">
      <c r="O283" t="s">
        <v>302</v>
      </c>
      <c r="P283" t="s">
        <v>234</v>
      </c>
      <c r="Q283" t="s">
        <v>114</v>
      </c>
      <c r="R283" s="165">
        <v>-7</v>
      </c>
      <c r="S283" s="114">
        <v>46169</v>
      </c>
      <c r="T283" s="1" t="s">
        <v>147</v>
      </c>
    </row>
    <row r="284" spans="6:20" x14ac:dyDescent="0.25">
      <c r="O284" t="s">
        <v>205</v>
      </c>
      <c r="P284" t="s">
        <v>128</v>
      </c>
      <c r="Q284" t="s">
        <v>115</v>
      </c>
      <c r="R284" s="165">
        <v>-11</v>
      </c>
      <c r="S284" s="114">
        <v>46168</v>
      </c>
      <c r="T284" s="1" t="s">
        <v>147</v>
      </c>
    </row>
    <row r="285" spans="6:20" x14ac:dyDescent="0.25">
      <c r="O285" t="s">
        <v>205</v>
      </c>
      <c r="P285" t="s">
        <v>128</v>
      </c>
      <c r="Q285" t="s">
        <v>115</v>
      </c>
      <c r="R285" s="165">
        <v>-47.62</v>
      </c>
      <c r="S285" s="114">
        <v>46168</v>
      </c>
      <c r="T285" s="1" t="s">
        <v>147</v>
      </c>
    </row>
    <row r="286" spans="6:20" x14ac:dyDescent="0.25">
      <c r="O286" t="s">
        <v>383</v>
      </c>
      <c r="P286" t="s">
        <v>127</v>
      </c>
      <c r="Q286" t="s">
        <v>114</v>
      </c>
      <c r="R286" s="165">
        <v>-150</v>
      </c>
      <c r="S286" s="114">
        <v>46168</v>
      </c>
      <c r="T286" s="1" t="s">
        <v>147</v>
      </c>
    </row>
    <row r="287" spans="6:20" x14ac:dyDescent="0.25">
      <c r="O287" t="s">
        <v>205</v>
      </c>
      <c r="P287" t="s">
        <v>128</v>
      </c>
      <c r="Q287" t="s">
        <v>115</v>
      </c>
      <c r="R287" s="165">
        <v>-5</v>
      </c>
      <c r="S287" s="114">
        <v>46167</v>
      </c>
      <c r="T287" s="1" t="s">
        <v>147</v>
      </c>
    </row>
    <row r="288" spans="6:20" x14ac:dyDescent="0.25">
      <c r="O288" t="s">
        <v>369</v>
      </c>
      <c r="P288" t="s">
        <v>234</v>
      </c>
      <c r="Q288" t="s">
        <v>115</v>
      </c>
      <c r="R288" s="165">
        <v>-5</v>
      </c>
      <c r="S288" s="114">
        <v>46167</v>
      </c>
      <c r="T288" s="1" t="s">
        <v>147</v>
      </c>
    </row>
    <row r="289" spans="8:20" x14ac:dyDescent="0.25">
      <c r="O289" t="s">
        <v>302</v>
      </c>
      <c r="P289" t="s">
        <v>234</v>
      </c>
      <c r="Q289" t="s">
        <v>115</v>
      </c>
      <c r="R289" s="165">
        <v>-7</v>
      </c>
      <c r="S289" s="114">
        <v>46167</v>
      </c>
      <c r="T289" s="1" t="s">
        <v>147</v>
      </c>
    </row>
    <row r="290" spans="8:20" x14ac:dyDescent="0.25">
      <c r="O290" t="s">
        <v>205</v>
      </c>
      <c r="P290" t="s">
        <v>128</v>
      </c>
      <c r="Q290" t="s">
        <v>115</v>
      </c>
      <c r="R290" s="165">
        <v>-129.87</v>
      </c>
      <c r="S290" s="114">
        <v>46166</v>
      </c>
      <c r="T290" s="1" t="s">
        <v>147</v>
      </c>
    </row>
    <row r="291" spans="8:20" x14ac:dyDescent="0.25">
      <c r="O291" t="s">
        <v>298</v>
      </c>
      <c r="P291" t="s">
        <v>128</v>
      </c>
      <c r="Q291" t="s">
        <v>114</v>
      </c>
      <c r="R291" s="165">
        <v>-37</v>
      </c>
      <c r="S291" s="114">
        <v>46166</v>
      </c>
      <c r="T291" s="1" t="s">
        <v>147</v>
      </c>
    </row>
    <row r="292" spans="8:20" x14ac:dyDescent="0.25">
      <c r="O292" t="s">
        <v>302</v>
      </c>
      <c r="P292" t="s">
        <v>234</v>
      </c>
      <c r="Q292" t="s">
        <v>114</v>
      </c>
      <c r="R292" s="165">
        <v>-18.5</v>
      </c>
      <c r="S292" s="114">
        <v>46166</v>
      </c>
      <c r="T292" s="1" t="s">
        <v>147</v>
      </c>
    </row>
    <row r="293" spans="8:20" x14ac:dyDescent="0.25">
      <c r="O293" t="s">
        <v>379</v>
      </c>
      <c r="P293" t="s">
        <v>234</v>
      </c>
      <c r="Q293" t="s">
        <v>115</v>
      </c>
      <c r="R293" s="165">
        <v>-28.03</v>
      </c>
      <c r="S293" s="114">
        <v>46166</v>
      </c>
      <c r="T293" s="1" t="s">
        <v>147</v>
      </c>
    </row>
    <row r="294" spans="8:20" x14ac:dyDescent="0.25">
      <c r="O294" t="s">
        <v>379</v>
      </c>
      <c r="P294" t="s">
        <v>234</v>
      </c>
      <c r="Q294" t="s">
        <v>115</v>
      </c>
      <c r="R294" s="165">
        <v>-28.94</v>
      </c>
      <c r="S294" s="114">
        <v>46165</v>
      </c>
      <c r="T294" s="1" t="s">
        <v>147</v>
      </c>
    </row>
    <row r="295" spans="8:20" x14ac:dyDescent="0.25">
      <c r="O295" t="s">
        <v>379</v>
      </c>
      <c r="P295" t="s">
        <v>234</v>
      </c>
      <c r="Q295" t="s">
        <v>115</v>
      </c>
      <c r="R295" s="165">
        <v>-39.96</v>
      </c>
      <c r="S295" s="114">
        <v>46165</v>
      </c>
      <c r="T295" s="1" t="s">
        <v>147</v>
      </c>
    </row>
    <row r="296" spans="8:20" x14ac:dyDescent="0.25">
      <c r="H296" s="166">
        <f>19*2-50</f>
        <v>-12</v>
      </c>
      <c r="O296" t="s">
        <v>414</v>
      </c>
      <c r="P296" t="s">
        <v>234</v>
      </c>
      <c r="Q296" t="s">
        <v>115</v>
      </c>
      <c r="R296" s="165">
        <v>-18</v>
      </c>
      <c r="S296" s="114">
        <v>46165</v>
      </c>
      <c r="T296" s="1" t="s">
        <v>147</v>
      </c>
    </row>
    <row r="297" spans="8:20" x14ac:dyDescent="0.25">
      <c r="O297" t="s">
        <v>298</v>
      </c>
      <c r="P297" t="s">
        <v>128</v>
      </c>
      <c r="Q297" t="s">
        <v>114</v>
      </c>
      <c r="R297" s="165">
        <v>-20</v>
      </c>
      <c r="S297" s="114">
        <v>46165</v>
      </c>
      <c r="T297" s="1" t="s">
        <v>147</v>
      </c>
    </row>
    <row r="298" spans="8:20" x14ac:dyDescent="0.25">
      <c r="O298" t="s">
        <v>302</v>
      </c>
      <c r="P298" t="s">
        <v>234</v>
      </c>
      <c r="Q298" t="s">
        <v>115</v>
      </c>
      <c r="R298" s="165">
        <v>-23</v>
      </c>
      <c r="S298" s="114">
        <v>46165</v>
      </c>
      <c r="T298" s="1" t="s">
        <v>147</v>
      </c>
    </row>
    <row r="299" spans="8:20" x14ac:dyDescent="0.25">
      <c r="O299" t="s">
        <v>205</v>
      </c>
      <c r="P299" t="s">
        <v>128</v>
      </c>
      <c r="Q299" t="s">
        <v>115</v>
      </c>
      <c r="R299" s="165">
        <v>-36</v>
      </c>
      <c r="S299" s="114">
        <v>46164</v>
      </c>
      <c r="T299" s="1" t="s">
        <v>147</v>
      </c>
    </row>
    <row r="300" spans="8:20" x14ac:dyDescent="0.25">
      <c r="O300" t="s">
        <v>205</v>
      </c>
      <c r="P300" t="s">
        <v>128</v>
      </c>
      <c r="Q300" t="s">
        <v>115</v>
      </c>
      <c r="R300" s="165">
        <v>-51.25</v>
      </c>
      <c r="S300" s="114">
        <v>46164</v>
      </c>
      <c r="T300" s="1" t="s">
        <v>147</v>
      </c>
    </row>
    <row r="301" spans="8:20" x14ac:dyDescent="0.25">
      <c r="O301" t="s">
        <v>298</v>
      </c>
      <c r="P301" t="s">
        <v>128</v>
      </c>
      <c r="Q301" t="s">
        <v>115</v>
      </c>
      <c r="R301" s="165">
        <v>-15</v>
      </c>
      <c r="S301" s="114">
        <v>46164</v>
      </c>
      <c r="T301" s="1" t="s">
        <v>147</v>
      </c>
    </row>
    <row r="302" spans="8:20" x14ac:dyDescent="0.25">
      <c r="O302" t="s">
        <v>332</v>
      </c>
      <c r="P302" t="s">
        <v>234</v>
      </c>
      <c r="Q302" t="s">
        <v>114</v>
      </c>
      <c r="R302" s="165">
        <v>-10</v>
      </c>
      <c r="S302" s="114">
        <v>46164</v>
      </c>
      <c r="T302" s="1" t="s">
        <v>147</v>
      </c>
    </row>
    <row r="303" spans="8:20" x14ac:dyDescent="0.25">
      <c r="O303" t="s">
        <v>332</v>
      </c>
      <c r="P303" t="s">
        <v>234</v>
      </c>
      <c r="Q303" t="s">
        <v>115</v>
      </c>
      <c r="R303" s="165">
        <v>10</v>
      </c>
      <c r="S303" s="114">
        <v>46164</v>
      </c>
      <c r="T303" s="1" t="s">
        <v>147</v>
      </c>
    </row>
    <row r="304" spans="8:20" x14ac:dyDescent="0.25">
      <c r="O304" t="s">
        <v>370</v>
      </c>
      <c r="P304" t="s">
        <v>234</v>
      </c>
      <c r="Q304" t="s">
        <v>115</v>
      </c>
      <c r="R304" s="165">
        <v>-5</v>
      </c>
      <c r="S304" s="114">
        <v>46164</v>
      </c>
      <c r="T304" s="1" t="s">
        <v>147</v>
      </c>
    </row>
    <row r="305" spans="15:20" x14ac:dyDescent="0.25">
      <c r="O305" t="s">
        <v>302</v>
      </c>
      <c r="P305" t="s">
        <v>234</v>
      </c>
      <c r="Q305" t="s">
        <v>115</v>
      </c>
      <c r="R305" s="165">
        <v>-3.5</v>
      </c>
      <c r="S305" s="114">
        <v>46164</v>
      </c>
      <c r="T305" s="1" t="s">
        <v>147</v>
      </c>
    </row>
    <row r="306" spans="15:20" x14ac:dyDescent="0.25">
      <c r="O306" t="s">
        <v>302</v>
      </c>
      <c r="P306" t="s">
        <v>234</v>
      </c>
      <c r="Q306" t="s">
        <v>115</v>
      </c>
      <c r="R306" s="165">
        <v>-7.5</v>
      </c>
      <c r="S306" s="114">
        <v>46164</v>
      </c>
      <c r="T306" s="1" t="s">
        <v>147</v>
      </c>
    </row>
    <row r="307" spans="15:20" x14ac:dyDescent="0.25">
      <c r="O307" t="s">
        <v>205</v>
      </c>
      <c r="P307" t="s">
        <v>128</v>
      </c>
      <c r="Q307" t="s">
        <v>115</v>
      </c>
      <c r="R307" s="165">
        <v>-22.75</v>
      </c>
      <c r="S307" s="114">
        <v>46163</v>
      </c>
      <c r="T307" s="1" t="s">
        <v>147</v>
      </c>
    </row>
    <row r="308" spans="15:20" x14ac:dyDescent="0.25">
      <c r="O308" t="s">
        <v>205</v>
      </c>
      <c r="P308" t="s">
        <v>128</v>
      </c>
      <c r="Q308" t="s">
        <v>115</v>
      </c>
      <c r="R308" s="165">
        <v>-50.12</v>
      </c>
      <c r="S308" s="114">
        <v>46163</v>
      </c>
      <c r="T308" s="1" t="s">
        <v>147</v>
      </c>
    </row>
    <row r="309" spans="15:20" x14ac:dyDescent="0.25">
      <c r="O309" t="s">
        <v>343</v>
      </c>
      <c r="P309" t="s">
        <v>128</v>
      </c>
      <c r="Q309" t="s">
        <v>115</v>
      </c>
      <c r="R309" s="165">
        <v>31</v>
      </c>
      <c r="S309" s="114">
        <v>46163</v>
      </c>
      <c r="T309" s="1" t="s">
        <v>147</v>
      </c>
    </row>
    <row r="310" spans="15:20" x14ac:dyDescent="0.25">
      <c r="O310" t="s">
        <v>205</v>
      </c>
      <c r="P310" t="s">
        <v>128</v>
      </c>
      <c r="Q310" t="s">
        <v>115</v>
      </c>
      <c r="R310" s="165">
        <v>-36.119999999999997</v>
      </c>
      <c r="S310" s="114">
        <v>46162</v>
      </c>
      <c r="T310" s="1" t="s">
        <v>147</v>
      </c>
    </row>
    <row r="311" spans="15:20" x14ac:dyDescent="0.25">
      <c r="O311" t="s">
        <v>205</v>
      </c>
      <c r="P311" t="s">
        <v>128</v>
      </c>
      <c r="Q311" t="s">
        <v>115</v>
      </c>
      <c r="R311" s="165">
        <v>-5.5</v>
      </c>
      <c r="S311" s="114">
        <v>46162</v>
      </c>
      <c r="T311" s="1" t="s">
        <v>147</v>
      </c>
    </row>
    <row r="312" spans="15:20" x14ac:dyDescent="0.25">
      <c r="O312" t="s">
        <v>205</v>
      </c>
      <c r="P312" t="s">
        <v>128</v>
      </c>
      <c r="Q312" t="s">
        <v>115</v>
      </c>
      <c r="R312" s="165">
        <v>-16.5</v>
      </c>
      <c r="S312" s="114">
        <v>46162</v>
      </c>
      <c r="T312" s="1" t="s">
        <v>147</v>
      </c>
    </row>
    <row r="313" spans="15:20" x14ac:dyDescent="0.25">
      <c r="O313" t="s">
        <v>205</v>
      </c>
      <c r="P313" t="s">
        <v>128</v>
      </c>
      <c r="Q313" t="s">
        <v>115</v>
      </c>
      <c r="R313" s="165">
        <v>-51.75</v>
      </c>
      <c r="S313" s="114">
        <v>46161</v>
      </c>
      <c r="T313" s="1" t="s">
        <v>147</v>
      </c>
    </row>
    <row r="314" spans="15:20" x14ac:dyDescent="0.25">
      <c r="O314" t="s">
        <v>379</v>
      </c>
      <c r="P314" t="s">
        <v>234</v>
      </c>
      <c r="Q314" t="s">
        <v>115</v>
      </c>
      <c r="R314" s="165">
        <v>-14.94</v>
      </c>
      <c r="S314" s="114">
        <v>46161</v>
      </c>
      <c r="T314" s="1" t="s">
        <v>147</v>
      </c>
    </row>
    <row r="315" spans="15:20" x14ac:dyDescent="0.25">
      <c r="O315" t="s">
        <v>379</v>
      </c>
      <c r="P315" t="s">
        <v>234</v>
      </c>
      <c r="Q315" t="s">
        <v>115</v>
      </c>
      <c r="R315" s="165">
        <v>-18.940000000000001</v>
      </c>
      <c r="S315" s="114">
        <v>46161</v>
      </c>
      <c r="T315" s="1" t="s">
        <v>147</v>
      </c>
    </row>
    <row r="316" spans="15:20" x14ac:dyDescent="0.25">
      <c r="O316" t="s">
        <v>205</v>
      </c>
      <c r="P316" t="s">
        <v>128</v>
      </c>
      <c r="Q316" t="s">
        <v>115</v>
      </c>
      <c r="R316" s="165">
        <v>-114</v>
      </c>
      <c r="S316" s="114">
        <v>46160</v>
      </c>
      <c r="T316" s="1" t="s">
        <v>147</v>
      </c>
    </row>
    <row r="317" spans="15:20" x14ac:dyDescent="0.25">
      <c r="O317" t="s">
        <v>205</v>
      </c>
      <c r="P317" t="s">
        <v>128</v>
      </c>
      <c r="Q317" t="s">
        <v>115</v>
      </c>
      <c r="R317" s="165">
        <v>-98.25</v>
      </c>
      <c r="S317" s="114">
        <v>46160</v>
      </c>
      <c r="T317" s="1" t="s">
        <v>147</v>
      </c>
    </row>
    <row r="318" spans="15:20" x14ac:dyDescent="0.25">
      <c r="O318" t="s">
        <v>370</v>
      </c>
      <c r="P318" t="s">
        <v>234</v>
      </c>
      <c r="Q318" t="s">
        <v>115</v>
      </c>
      <c r="R318" s="165">
        <v>-5</v>
      </c>
      <c r="S318" s="114">
        <v>46160</v>
      </c>
      <c r="T318" s="1" t="s">
        <v>147</v>
      </c>
    </row>
    <row r="319" spans="15:20" x14ac:dyDescent="0.25">
      <c r="O319" t="s">
        <v>302</v>
      </c>
      <c r="P319" t="s">
        <v>234</v>
      </c>
      <c r="Q319" t="s">
        <v>115</v>
      </c>
      <c r="R319" s="165">
        <v>-7.8</v>
      </c>
      <c r="S319" s="114">
        <v>46160</v>
      </c>
      <c r="T319" s="1" t="s">
        <v>147</v>
      </c>
    </row>
    <row r="320" spans="15:20" x14ac:dyDescent="0.25">
      <c r="O320" t="s">
        <v>298</v>
      </c>
      <c r="P320" t="s">
        <v>128</v>
      </c>
      <c r="Q320" t="s">
        <v>115</v>
      </c>
      <c r="R320" s="165">
        <v>-23</v>
      </c>
      <c r="S320" s="114">
        <v>46160</v>
      </c>
      <c r="T320" s="1" t="s">
        <v>147</v>
      </c>
    </row>
    <row r="321" spans="15:20" x14ac:dyDescent="0.25">
      <c r="O321" t="s">
        <v>343</v>
      </c>
      <c r="P321" t="s">
        <v>128</v>
      </c>
      <c r="Q321" t="s">
        <v>114</v>
      </c>
      <c r="R321" s="165">
        <v>13</v>
      </c>
      <c r="S321" s="114">
        <v>46159</v>
      </c>
      <c r="T321" s="1" t="s">
        <v>147</v>
      </c>
    </row>
    <row r="322" spans="15:20" x14ac:dyDescent="0.25">
      <c r="O322" t="s">
        <v>332</v>
      </c>
      <c r="P322" t="s">
        <v>234</v>
      </c>
      <c r="Q322" t="s">
        <v>115</v>
      </c>
      <c r="R322" s="165">
        <v>30</v>
      </c>
      <c r="S322" s="114">
        <v>46159</v>
      </c>
      <c r="T322" s="1" t="s">
        <v>147</v>
      </c>
    </row>
    <row r="323" spans="15:20" x14ac:dyDescent="0.25">
      <c r="O323" t="s">
        <v>302</v>
      </c>
      <c r="P323" t="s">
        <v>234</v>
      </c>
      <c r="Q323" t="s">
        <v>114</v>
      </c>
      <c r="R323" s="165">
        <v>-3</v>
      </c>
      <c r="S323" s="114">
        <v>46159</v>
      </c>
      <c r="T323" s="1" t="s">
        <v>147</v>
      </c>
    </row>
    <row r="324" spans="15:20" x14ac:dyDescent="0.25">
      <c r="O324" t="s">
        <v>302</v>
      </c>
      <c r="P324" t="s">
        <v>234</v>
      </c>
      <c r="Q324" t="s">
        <v>115</v>
      </c>
      <c r="R324" s="165">
        <v>-7</v>
      </c>
      <c r="S324" s="114">
        <v>46159</v>
      </c>
      <c r="T324" s="1" t="s">
        <v>147</v>
      </c>
    </row>
    <row r="325" spans="15:20" x14ac:dyDescent="0.25">
      <c r="O325" t="s">
        <v>302</v>
      </c>
      <c r="P325" t="s">
        <v>234</v>
      </c>
      <c r="Q325" t="s">
        <v>115</v>
      </c>
      <c r="R325" s="165">
        <v>-20</v>
      </c>
      <c r="S325" s="114">
        <v>46159</v>
      </c>
      <c r="T325" s="1" t="s">
        <v>147</v>
      </c>
    </row>
    <row r="326" spans="15:20" x14ac:dyDescent="0.25">
      <c r="O326" t="s">
        <v>302</v>
      </c>
      <c r="P326" t="s">
        <v>234</v>
      </c>
      <c r="Q326" t="s">
        <v>115</v>
      </c>
      <c r="R326" s="165">
        <v>-10.5</v>
      </c>
      <c r="S326" s="114">
        <v>46159</v>
      </c>
      <c r="T326" s="1" t="s">
        <v>147</v>
      </c>
    </row>
    <row r="327" spans="15:20" x14ac:dyDescent="0.25">
      <c r="O327" t="s">
        <v>391</v>
      </c>
      <c r="P327" t="s">
        <v>128</v>
      </c>
      <c r="Q327" t="s">
        <v>114</v>
      </c>
      <c r="R327" s="165">
        <v>100</v>
      </c>
      <c r="S327" s="114">
        <v>46158</v>
      </c>
      <c r="T327" s="1" t="s">
        <v>147</v>
      </c>
    </row>
    <row r="328" spans="15:20" x14ac:dyDescent="0.25">
      <c r="O328" t="s">
        <v>391</v>
      </c>
      <c r="P328" t="s">
        <v>128</v>
      </c>
      <c r="Q328" t="s">
        <v>115</v>
      </c>
      <c r="R328" s="165">
        <v>-100</v>
      </c>
      <c r="S328" s="114">
        <v>46158</v>
      </c>
      <c r="T328" s="1" t="s">
        <v>147</v>
      </c>
    </row>
    <row r="329" spans="15:20" x14ac:dyDescent="0.25">
      <c r="O329" t="s">
        <v>302</v>
      </c>
      <c r="P329" t="s">
        <v>234</v>
      </c>
      <c r="Q329" t="s">
        <v>115</v>
      </c>
      <c r="R329" s="165">
        <v>-5.5</v>
      </c>
      <c r="S329" s="114">
        <v>46158</v>
      </c>
      <c r="T329" s="1" t="s">
        <v>147</v>
      </c>
    </row>
    <row r="330" spans="15:20" x14ac:dyDescent="0.25">
      <c r="O330" t="s">
        <v>385</v>
      </c>
      <c r="P330" t="s">
        <v>234</v>
      </c>
      <c r="Q330" t="s">
        <v>115</v>
      </c>
      <c r="R330" s="165">
        <v>-30</v>
      </c>
      <c r="S330" s="114">
        <v>46158</v>
      </c>
      <c r="T330" s="1" t="s">
        <v>147</v>
      </c>
    </row>
    <row r="331" spans="15:20" x14ac:dyDescent="0.25">
      <c r="O331" t="s">
        <v>307</v>
      </c>
      <c r="P331" t="s">
        <v>128</v>
      </c>
      <c r="Q331" t="s">
        <v>114</v>
      </c>
      <c r="R331" s="165">
        <v>-2100</v>
      </c>
      <c r="S331" s="114">
        <v>46157</v>
      </c>
      <c r="T331" s="1" t="s">
        <v>147</v>
      </c>
    </row>
    <row r="332" spans="15:20" x14ac:dyDescent="0.25">
      <c r="O332" t="s">
        <v>205</v>
      </c>
      <c r="P332" t="s">
        <v>128</v>
      </c>
      <c r="Q332" t="s">
        <v>115</v>
      </c>
      <c r="R332" s="165">
        <v>-16.75</v>
      </c>
      <c r="S332" s="114">
        <v>46157</v>
      </c>
      <c r="T332" s="1" t="s">
        <v>147</v>
      </c>
    </row>
    <row r="333" spans="15:20" x14ac:dyDescent="0.25">
      <c r="O333" t="s">
        <v>205</v>
      </c>
      <c r="P333" t="s">
        <v>128</v>
      </c>
      <c r="Q333" t="s">
        <v>115</v>
      </c>
      <c r="R333" s="165">
        <v>-59.75</v>
      </c>
      <c r="S333" s="114">
        <v>46157</v>
      </c>
      <c r="T333" s="1" t="s">
        <v>147</v>
      </c>
    </row>
    <row r="334" spans="15:20" x14ac:dyDescent="0.25">
      <c r="O334" t="s">
        <v>343</v>
      </c>
      <c r="P334" t="s">
        <v>128</v>
      </c>
      <c r="Q334" t="s">
        <v>115</v>
      </c>
      <c r="R334" s="165">
        <v>-44</v>
      </c>
      <c r="S334" s="114">
        <v>46156</v>
      </c>
      <c r="T334" s="1" t="s">
        <v>147</v>
      </c>
    </row>
    <row r="335" spans="15:20" x14ac:dyDescent="0.25">
      <c r="O335" t="s">
        <v>205</v>
      </c>
      <c r="P335" t="s">
        <v>128</v>
      </c>
      <c r="Q335" t="s">
        <v>115</v>
      </c>
      <c r="R335" s="165">
        <v>-11</v>
      </c>
      <c r="S335" s="114">
        <v>46156</v>
      </c>
      <c r="T335" s="1" t="s">
        <v>147</v>
      </c>
    </row>
    <row r="336" spans="15:20" x14ac:dyDescent="0.25">
      <c r="O336" t="s">
        <v>205</v>
      </c>
      <c r="P336" t="s">
        <v>128</v>
      </c>
      <c r="Q336" t="s">
        <v>115</v>
      </c>
      <c r="R336" s="165">
        <v>-21.75</v>
      </c>
      <c r="S336" s="114">
        <v>46156</v>
      </c>
      <c r="T336" s="1" t="s">
        <v>147</v>
      </c>
    </row>
    <row r="337" spans="15:20" x14ac:dyDescent="0.25">
      <c r="O337" t="s">
        <v>413</v>
      </c>
      <c r="P337" t="s">
        <v>234</v>
      </c>
      <c r="Q337" t="s">
        <v>115</v>
      </c>
      <c r="R337" s="165">
        <v>-102.5</v>
      </c>
      <c r="S337" s="114">
        <v>46156</v>
      </c>
      <c r="T337" s="1" t="s">
        <v>147</v>
      </c>
    </row>
    <row r="338" spans="15:20" x14ac:dyDescent="0.25">
      <c r="O338" t="s">
        <v>298</v>
      </c>
      <c r="P338" t="s">
        <v>128</v>
      </c>
      <c r="Q338" t="s">
        <v>115</v>
      </c>
      <c r="R338" s="165">
        <v>-23</v>
      </c>
      <c r="S338" s="114">
        <v>46156</v>
      </c>
      <c r="T338" s="1" t="s">
        <v>147</v>
      </c>
    </row>
    <row r="339" spans="15:20" x14ac:dyDescent="0.25">
      <c r="O339" t="s">
        <v>335</v>
      </c>
      <c r="P339" t="s">
        <v>127</v>
      </c>
      <c r="Q339" t="s">
        <v>114</v>
      </c>
      <c r="R339" s="165">
        <v>-50</v>
      </c>
      <c r="S339" s="114">
        <v>46156</v>
      </c>
      <c r="T339" s="1" t="s">
        <v>147</v>
      </c>
    </row>
    <row r="340" spans="15:20" x14ac:dyDescent="0.25">
      <c r="O340" t="s">
        <v>302</v>
      </c>
      <c r="P340" t="s">
        <v>234</v>
      </c>
      <c r="Q340" t="s">
        <v>115</v>
      </c>
      <c r="R340" s="165">
        <v>-15</v>
      </c>
      <c r="S340" s="114">
        <v>46156</v>
      </c>
      <c r="T340" s="1" t="s">
        <v>147</v>
      </c>
    </row>
    <row r="341" spans="15:20" x14ac:dyDescent="0.25">
      <c r="O341" t="s">
        <v>205</v>
      </c>
      <c r="P341" t="s">
        <v>128</v>
      </c>
      <c r="Q341" t="s">
        <v>115</v>
      </c>
      <c r="R341" s="165">
        <v>-34</v>
      </c>
      <c r="S341" s="114">
        <v>46155</v>
      </c>
      <c r="T341" s="1" t="s">
        <v>147</v>
      </c>
    </row>
    <row r="342" spans="15:20" x14ac:dyDescent="0.25">
      <c r="O342" t="s">
        <v>205</v>
      </c>
      <c r="P342" t="s">
        <v>128</v>
      </c>
      <c r="Q342" t="s">
        <v>115</v>
      </c>
      <c r="R342" s="165">
        <v>-39.25</v>
      </c>
      <c r="S342" s="114">
        <v>46155</v>
      </c>
      <c r="T342" s="1" t="s">
        <v>147</v>
      </c>
    </row>
    <row r="343" spans="15:20" x14ac:dyDescent="0.25">
      <c r="O343" t="s">
        <v>205</v>
      </c>
      <c r="P343" t="s">
        <v>128</v>
      </c>
      <c r="Q343" t="s">
        <v>115</v>
      </c>
      <c r="R343" s="165">
        <v>-27.37</v>
      </c>
      <c r="S343" s="114">
        <v>46154</v>
      </c>
      <c r="T343" s="1" t="s">
        <v>147</v>
      </c>
    </row>
    <row r="344" spans="15:20" x14ac:dyDescent="0.25">
      <c r="O344" t="s">
        <v>205</v>
      </c>
      <c r="P344" t="s">
        <v>128</v>
      </c>
      <c r="Q344" t="s">
        <v>115</v>
      </c>
      <c r="R344" s="165">
        <v>-59.5</v>
      </c>
      <c r="S344" s="114">
        <v>46154</v>
      </c>
      <c r="T344" s="1" t="s">
        <v>147</v>
      </c>
    </row>
    <row r="345" spans="15:20" x14ac:dyDescent="0.25">
      <c r="O345" t="s">
        <v>369</v>
      </c>
      <c r="P345" t="s">
        <v>128</v>
      </c>
      <c r="Q345" t="s">
        <v>115</v>
      </c>
      <c r="R345" s="165">
        <v>10</v>
      </c>
      <c r="S345" s="114">
        <v>46154</v>
      </c>
      <c r="T345" s="1" t="s">
        <v>147</v>
      </c>
    </row>
    <row r="346" spans="15:20" x14ac:dyDescent="0.25">
      <c r="O346" t="s">
        <v>379</v>
      </c>
      <c r="P346" t="s">
        <v>234</v>
      </c>
      <c r="Q346" t="s">
        <v>115</v>
      </c>
      <c r="R346" s="165">
        <v>-11.71</v>
      </c>
      <c r="S346" s="114">
        <v>46154</v>
      </c>
      <c r="T346" s="1" t="s">
        <v>147</v>
      </c>
    </row>
    <row r="347" spans="15:20" x14ac:dyDescent="0.25">
      <c r="O347" t="s">
        <v>302</v>
      </c>
      <c r="P347" t="s">
        <v>234</v>
      </c>
      <c r="Q347" t="s">
        <v>115</v>
      </c>
      <c r="R347" s="165">
        <v>-14</v>
      </c>
      <c r="S347" s="114">
        <v>46154</v>
      </c>
      <c r="T347" s="1" t="s">
        <v>147</v>
      </c>
    </row>
    <row r="348" spans="15:20" x14ac:dyDescent="0.25">
      <c r="O348" t="s">
        <v>205</v>
      </c>
      <c r="P348" t="s">
        <v>128</v>
      </c>
      <c r="Q348" t="s">
        <v>115</v>
      </c>
      <c r="R348" s="165">
        <v>-11.5</v>
      </c>
      <c r="S348" s="114">
        <v>46153</v>
      </c>
      <c r="T348" s="1" t="s">
        <v>147</v>
      </c>
    </row>
    <row r="349" spans="15:20" x14ac:dyDescent="0.25">
      <c r="O349" t="s">
        <v>205</v>
      </c>
      <c r="P349" t="s">
        <v>128</v>
      </c>
      <c r="Q349" t="s">
        <v>115</v>
      </c>
      <c r="R349" s="165">
        <v>-44.5</v>
      </c>
      <c r="S349" s="114">
        <v>46153</v>
      </c>
      <c r="T349" s="1" t="s">
        <v>147</v>
      </c>
    </row>
    <row r="350" spans="15:20" x14ac:dyDescent="0.25">
      <c r="O350" t="s">
        <v>302</v>
      </c>
      <c r="P350" t="s">
        <v>234</v>
      </c>
      <c r="Q350" t="s">
        <v>115</v>
      </c>
      <c r="R350" s="165">
        <v>-5</v>
      </c>
      <c r="S350" s="114">
        <v>46153</v>
      </c>
      <c r="T350" s="1" t="s">
        <v>147</v>
      </c>
    </row>
    <row r="351" spans="15:20" x14ac:dyDescent="0.25">
      <c r="O351" t="s">
        <v>302</v>
      </c>
      <c r="P351" t="s">
        <v>234</v>
      </c>
      <c r="Q351" t="s">
        <v>115</v>
      </c>
      <c r="R351" s="165">
        <v>-4</v>
      </c>
      <c r="S351" s="114">
        <v>46153</v>
      </c>
      <c r="T351" s="1" t="s">
        <v>147</v>
      </c>
    </row>
    <row r="352" spans="15:20" x14ac:dyDescent="0.25">
      <c r="O352" t="s">
        <v>302</v>
      </c>
      <c r="P352" t="s">
        <v>234</v>
      </c>
      <c r="Q352" t="s">
        <v>115</v>
      </c>
      <c r="R352" s="165">
        <v>-14</v>
      </c>
      <c r="S352" s="114">
        <v>46153</v>
      </c>
      <c r="T352" s="1" t="s">
        <v>147</v>
      </c>
    </row>
    <row r="353" spans="15:20" x14ac:dyDescent="0.25">
      <c r="O353" t="s">
        <v>302</v>
      </c>
      <c r="P353" t="s">
        <v>234</v>
      </c>
      <c r="Q353" t="s">
        <v>115</v>
      </c>
      <c r="R353" s="165">
        <v>-35</v>
      </c>
      <c r="S353" s="114">
        <v>46152</v>
      </c>
      <c r="T353" s="1" t="s">
        <v>147</v>
      </c>
    </row>
    <row r="354" spans="15:20" x14ac:dyDescent="0.25">
      <c r="O354" t="s">
        <v>382</v>
      </c>
      <c r="P354" t="s">
        <v>234</v>
      </c>
      <c r="Q354" t="s">
        <v>115</v>
      </c>
      <c r="R354" s="165">
        <v>-8</v>
      </c>
      <c r="S354" s="114">
        <v>46151</v>
      </c>
      <c r="T354" s="1" t="s">
        <v>147</v>
      </c>
    </row>
    <row r="355" spans="15:20" x14ac:dyDescent="0.25">
      <c r="O355" t="s">
        <v>302</v>
      </c>
      <c r="P355" t="s">
        <v>234</v>
      </c>
      <c r="Q355" t="s">
        <v>115</v>
      </c>
      <c r="R355" s="165">
        <v>-3</v>
      </c>
      <c r="S355" s="114">
        <v>46151</v>
      </c>
      <c r="T355" s="1" t="s">
        <v>147</v>
      </c>
    </row>
    <row r="356" spans="15:20" x14ac:dyDescent="0.25">
      <c r="O356" t="s">
        <v>205</v>
      </c>
      <c r="P356" t="s">
        <v>128</v>
      </c>
      <c r="Q356" t="s">
        <v>115</v>
      </c>
      <c r="R356" s="165">
        <v>-16.25</v>
      </c>
      <c r="S356" s="114">
        <v>46150</v>
      </c>
      <c r="T356" s="1" t="s">
        <v>147</v>
      </c>
    </row>
    <row r="357" spans="15:20" x14ac:dyDescent="0.25">
      <c r="O357" t="s">
        <v>205</v>
      </c>
      <c r="P357" t="s">
        <v>128</v>
      </c>
      <c r="Q357" t="s">
        <v>115</v>
      </c>
      <c r="R357" s="165">
        <v>-26</v>
      </c>
      <c r="S357" s="114">
        <v>46150</v>
      </c>
      <c r="T357" s="1" t="s">
        <v>147</v>
      </c>
    </row>
    <row r="358" spans="15:20" x14ac:dyDescent="0.25">
      <c r="O358" t="s">
        <v>307</v>
      </c>
      <c r="P358" t="s">
        <v>128</v>
      </c>
      <c r="Q358" t="s">
        <v>115</v>
      </c>
      <c r="R358" s="165">
        <v>-1367</v>
      </c>
      <c r="S358" s="114">
        <v>46150</v>
      </c>
      <c r="T358" s="1" t="s">
        <v>147</v>
      </c>
    </row>
    <row r="359" spans="15:20" x14ac:dyDescent="0.25">
      <c r="O359" t="s">
        <v>307</v>
      </c>
      <c r="P359" t="s">
        <v>128</v>
      </c>
      <c r="Q359" t="s">
        <v>114</v>
      </c>
      <c r="R359" s="165">
        <f>-540-103+10</f>
        <v>-633</v>
      </c>
      <c r="S359" s="114">
        <v>46150</v>
      </c>
      <c r="T359" s="1" t="s">
        <v>147</v>
      </c>
    </row>
    <row r="360" spans="15:20" x14ac:dyDescent="0.25">
      <c r="O360" t="s">
        <v>205</v>
      </c>
      <c r="P360" t="s">
        <v>128</v>
      </c>
      <c r="Q360" t="s">
        <v>115</v>
      </c>
      <c r="R360" s="165">
        <v>-15.5</v>
      </c>
      <c r="S360" s="114">
        <v>46149</v>
      </c>
      <c r="T360" s="1" t="s">
        <v>147</v>
      </c>
    </row>
    <row r="361" spans="15:20" x14ac:dyDescent="0.25">
      <c r="O361" t="s">
        <v>205</v>
      </c>
      <c r="P361" t="s">
        <v>128</v>
      </c>
      <c r="Q361" t="s">
        <v>115</v>
      </c>
      <c r="R361" s="165">
        <v>-71.25</v>
      </c>
      <c r="S361" s="114">
        <v>46149</v>
      </c>
      <c r="T361" s="1" t="s">
        <v>147</v>
      </c>
    </row>
    <row r="362" spans="15:20" x14ac:dyDescent="0.25">
      <c r="O362" t="s">
        <v>298</v>
      </c>
      <c r="P362" t="s">
        <v>303</v>
      </c>
      <c r="Q362" t="s">
        <v>115</v>
      </c>
      <c r="R362" s="165">
        <v>89.440000000000055</v>
      </c>
      <c r="S362" s="114">
        <v>46149</v>
      </c>
      <c r="T362" s="1" t="s">
        <v>147</v>
      </c>
    </row>
    <row r="363" spans="15:20" x14ac:dyDescent="0.25">
      <c r="O363" t="s">
        <v>298</v>
      </c>
      <c r="P363" t="s">
        <v>128</v>
      </c>
      <c r="Q363" t="s">
        <v>115</v>
      </c>
      <c r="R363" s="165">
        <v>1048.56</v>
      </c>
      <c r="S363" s="114">
        <v>46149</v>
      </c>
      <c r="T363" s="1" t="s">
        <v>147</v>
      </c>
    </row>
    <row r="364" spans="15:20" x14ac:dyDescent="0.25">
      <c r="O364" t="s">
        <v>369</v>
      </c>
      <c r="P364" t="s">
        <v>234</v>
      </c>
      <c r="Q364" t="s">
        <v>114</v>
      </c>
      <c r="R364" s="165">
        <v>-20</v>
      </c>
      <c r="S364" s="114">
        <v>46149</v>
      </c>
      <c r="T364" s="1" t="s">
        <v>147</v>
      </c>
    </row>
    <row r="365" spans="15:20" x14ac:dyDescent="0.25">
      <c r="O365" t="s">
        <v>369</v>
      </c>
      <c r="P365" t="s">
        <v>234</v>
      </c>
      <c r="Q365" t="s">
        <v>115</v>
      </c>
      <c r="R365" s="165">
        <v>20</v>
      </c>
      <c r="S365" s="114">
        <v>46149</v>
      </c>
      <c r="T365" s="1" t="s">
        <v>147</v>
      </c>
    </row>
    <row r="366" spans="15:20" x14ac:dyDescent="0.25">
      <c r="O366" t="s">
        <v>302</v>
      </c>
      <c r="P366" t="s">
        <v>234</v>
      </c>
      <c r="Q366" t="s">
        <v>115</v>
      </c>
      <c r="R366" s="165">
        <v>-2</v>
      </c>
      <c r="S366" s="114">
        <v>46149</v>
      </c>
      <c r="T366" s="1" t="s">
        <v>147</v>
      </c>
    </row>
    <row r="367" spans="15:20" x14ac:dyDescent="0.25">
      <c r="O367" t="s">
        <v>298</v>
      </c>
      <c r="P367" t="s">
        <v>128</v>
      </c>
      <c r="Q367" t="s">
        <v>115</v>
      </c>
      <c r="R367" s="165">
        <v>-6</v>
      </c>
      <c r="S367" s="114">
        <v>46149</v>
      </c>
      <c r="T367" s="1" t="s">
        <v>147</v>
      </c>
    </row>
    <row r="368" spans="15:20" x14ac:dyDescent="0.25">
      <c r="O368" t="s">
        <v>205</v>
      </c>
      <c r="P368" t="s">
        <v>128</v>
      </c>
      <c r="Q368" t="s">
        <v>115</v>
      </c>
      <c r="R368" s="165">
        <v>-49.87</v>
      </c>
      <c r="S368" s="114">
        <v>46148</v>
      </c>
      <c r="T368" s="1" t="s">
        <v>147</v>
      </c>
    </row>
    <row r="369" spans="15:20" x14ac:dyDescent="0.25">
      <c r="O369" t="s">
        <v>298</v>
      </c>
      <c r="P369" t="s">
        <v>128</v>
      </c>
      <c r="Q369" t="s">
        <v>115</v>
      </c>
      <c r="R369" s="165">
        <v>-35</v>
      </c>
      <c r="S369" s="114">
        <v>46148</v>
      </c>
      <c r="T369" s="1" t="s">
        <v>147</v>
      </c>
    </row>
    <row r="370" spans="15:20" x14ac:dyDescent="0.25">
      <c r="O370" t="s">
        <v>302</v>
      </c>
      <c r="P370" t="s">
        <v>234</v>
      </c>
      <c r="Q370" t="s">
        <v>115</v>
      </c>
      <c r="R370" s="165">
        <v>-35</v>
      </c>
      <c r="S370" s="114">
        <v>46148</v>
      </c>
      <c r="T370" s="1" t="s">
        <v>147</v>
      </c>
    </row>
    <row r="371" spans="15:20" x14ac:dyDescent="0.25">
      <c r="O371" t="s">
        <v>391</v>
      </c>
      <c r="P371" t="s">
        <v>128</v>
      </c>
      <c r="Q371" t="s">
        <v>114</v>
      </c>
      <c r="R371" s="165">
        <v>-30</v>
      </c>
      <c r="S371" s="114">
        <v>46148</v>
      </c>
      <c r="T371" s="1" t="s">
        <v>147</v>
      </c>
    </row>
    <row r="372" spans="15:20" x14ac:dyDescent="0.25">
      <c r="O372" t="s">
        <v>391</v>
      </c>
      <c r="P372" t="s">
        <v>128</v>
      </c>
      <c r="Q372" t="s">
        <v>115</v>
      </c>
      <c r="R372" s="165">
        <v>30</v>
      </c>
      <c r="S372" s="114">
        <v>46148</v>
      </c>
      <c r="T372" s="1" t="s">
        <v>147</v>
      </c>
    </row>
    <row r="373" spans="15:20" x14ac:dyDescent="0.25">
      <c r="O373" t="s">
        <v>391</v>
      </c>
      <c r="P373" t="s">
        <v>128</v>
      </c>
      <c r="Q373" t="s">
        <v>115</v>
      </c>
      <c r="R373" s="165">
        <v>20</v>
      </c>
      <c r="S373" s="114">
        <v>46148</v>
      </c>
      <c r="T373" s="1" t="s">
        <v>147</v>
      </c>
    </row>
    <row r="374" spans="15:20" x14ac:dyDescent="0.25">
      <c r="O374" t="s">
        <v>391</v>
      </c>
      <c r="P374" t="s">
        <v>128</v>
      </c>
      <c r="Q374" t="s">
        <v>114</v>
      </c>
      <c r="R374" s="165">
        <v>-20</v>
      </c>
      <c r="S374" s="114">
        <v>46148</v>
      </c>
      <c r="T374" s="1" t="s">
        <v>147</v>
      </c>
    </row>
    <row r="375" spans="15:20" x14ac:dyDescent="0.25">
      <c r="O375" t="s">
        <v>391</v>
      </c>
      <c r="P375" t="s">
        <v>128</v>
      </c>
      <c r="Q375" t="s">
        <v>114</v>
      </c>
      <c r="R375" s="165">
        <v>-70</v>
      </c>
      <c r="S375" s="114">
        <v>46148</v>
      </c>
      <c r="T375" s="1" t="s">
        <v>147</v>
      </c>
    </row>
    <row r="376" spans="15:20" x14ac:dyDescent="0.25">
      <c r="O376" t="s">
        <v>391</v>
      </c>
      <c r="P376" t="s">
        <v>128</v>
      </c>
      <c r="Q376" t="s">
        <v>115</v>
      </c>
      <c r="R376" s="165">
        <v>70</v>
      </c>
      <c r="S376" s="114">
        <v>46148</v>
      </c>
      <c r="T376" s="1" t="s">
        <v>147</v>
      </c>
    </row>
    <row r="377" spans="15:20" x14ac:dyDescent="0.25">
      <c r="O377" t="s">
        <v>205</v>
      </c>
      <c r="P377" t="s">
        <v>128</v>
      </c>
      <c r="Q377" t="s">
        <v>115</v>
      </c>
      <c r="R377" s="165">
        <v>-19.25</v>
      </c>
      <c r="S377" s="114">
        <v>46147</v>
      </c>
      <c r="T377" s="1" t="s">
        <v>147</v>
      </c>
    </row>
    <row r="378" spans="15:20" x14ac:dyDescent="0.25">
      <c r="O378" t="s">
        <v>205</v>
      </c>
      <c r="P378" t="s">
        <v>128</v>
      </c>
      <c r="Q378" t="s">
        <v>115</v>
      </c>
      <c r="R378" s="165">
        <v>-116.48</v>
      </c>
      <c r="S378" s="114">
        <v>46147</v>
      </c>
      <c r="T378" s="1" t="s">
        <v>147</v>
      </c>
    </row>
    <row r="379" spans="15:20" x14ac:dyDescent="0.25">
      <c r="O379" t="s">
        <v>402</v>
      </c>
      <c r="P379" t="s">
        <v>234</v>
      </c>
      <c r="Q379" t="s">
        <v>115</v>
      </c>
      <c r="R379" s="165">
        <v>500</v>
      </c>
      <c r="S379" s="114">
        <v>46147</v>
      </c>
      <c r="T379" s="1" t="s">
        <v>147</v>
      </c>
    </row>
    <row r="380" spans="15:20" x14ac:dyDescent="0.25">
      <c r="O380" t="s">
        <v>402</v>
      </c>
      <c r="P380" t="s">
        <v>234</v>
      </c>
      <c r="Q380" t="s">
        <v>114</v>
      </c>
      <c r="R380" s="165">
        <v>-500</v>
      </c>
      <c r="S380" s="114">
        <v>46147</v>
      </c>
      <c r="T380" s="1" t="s">
        <v>147</v>
      </c>
    </row>
    <row r="381" spans="15:20" x14ac:dyDescent="0.25">
      <c r="O381" t="s">
        <v>369</v>
      </c>
      <c r="P381" t="s">
        <v>128</v>
      </c>
      <c r="Q381" t="s">
        <v>114</v>
      </c>
      <c r="R381" s="165">
        <v>-40</v>
      </c>
      <c r="S381" s="114">
        <v>46147</v>
      </c>
      <c r="T381" s="1" t="s">
        <v>147</v>
      </c>
    </row>
    <row r="382" spans="15:20" x14ac:dyDescent="0.25">
      <c r="O382" t="s">
        <v>369</v>
      </c>
      <c r="P382" t="s">
        <v>128</v>
      </c>
      <c r="Q382" t="s">
        <v>115</v>
      </c>
      <c r="R382" s="165">
        <v>40</v>
      </c>
      <c r="S382" s="114">
        <v>46147</v>
      </c>
      <c r="T382" s="1" t="s">
        <v>147</v>
      </c>
    </row>
    <row r="383" spans="15:20" x14ac:dyDescent="0.25">
      <c r="O383" t="s">
        <v>401</v>
      </c>
      <c r="P383" t="s">
        <v>234</v>
      </c>
      <c r="Q383" t="s">
        <v>115</v>
      </c>
      <c r="R383" s="165">
        <v>-5</v>
      </c>
      <c r="S383" s="114">
        <v>46147</v>
      </c>
      <c r="T383" s="1" t="s">
        <v>147</v>
      </c>
    </row>
    <row r="384" spans="15:20" x14ac:dyDescent="0.25">
      <c r="O384" t="s">
        <v>302</v>
      </c>
      <c r="P384" t="s">
        <v>234</v>
      </c>
      <c r="Q384" t="s">
        <v>115</v>
      </c>
      <c r="R384" s="165">
        <v>-14</v>
      </c>
      <c r="S384" s="114">
        <v>46147</v>
      </c>
      <c r="T384" s="1" t="s">
        <v>147</v>
      </c>
    </row>
    <row r="385" spans="15:20" x14ac:dyDescent="0.25">
      <c r="O385" t="s">
        <v>302</v>
      </c>
      <c r="P385" t="s">
        <v>234</v>
      </c>
      <c r="Q385" t="s">
        <v>115</v>
      </c>
      <c r="R385" s="165">
        <v>-7.5</v>
      </c>
      <c r="S385" s="114">
        <v>46147</v>
      </c>
      <c r="T385" s="1" t="s">
        <v>147</v>
      </c>
    </row>
    <row r="386" spans="15:20" x14ac:dyDescent="0.25">
      <c r="O386" t="s">
        <v>390</v>
      </c>
      <c r="P386" t="s">
        <v>234</v>
      </c>
      <c r="Q386" t="s">
        <v>114</v>
      </c>
      <c r="R386" s="165">
        <v>-50</v>
      </c>
      <c r="S386" s="114">
        <v>46147</v>
      </c>
      <c r="T386" s="1" t="s">
        <v>147</v>
      </c>
    </row>
    <row r="387" spans="15:20" x14ac:dyDescent="0.25">
      <c r="O387" t="s">
        <v>400</v>
      </c>
      <c r="P387" t="s">
        <v>234</v>
      </c>
      <c r="Q387" t="s">
        <v>115</v>
      </c>
      <c r="R387" s="165">
        <v>-16</v>
      </c>
      <c r="S387" s="114">
        <v>46147</v>
      </c>
      <c r="T387" s="1" t="s">
        <v>147</v>
      </c>
    </row>
    <row r="388" spans="15:20" x14ac:dyDescent="0.25">
      <c r="O388" t="s">
        <v>335</v>
      </c>
      <c r="P388" t="s">
        <v>127</v>
      </c>
      <c r="Q388" t="s">
        <v>114</v>
      </c>
      <c r="R388" s="165">
        <v>-10</v>
      </c>
      <c r="S388" s="114">
        <v>46146</v>
      </c>
      <c r="T388" s="1" t="s">
        <v>147</v>
      </c>
    </row>
    <row r="389" spans="15:20" x14ac:dyDescent="0.25">
      <c r="O389" t="s">
        <v>335</v>
      </c>
      <c r="P389" t="s">
        <v>127</v>
      </c>
      <c r="Q389" t="s">
        <v>114</v>
      </c>
      <c r="R389" s="165">
        <v>-10</v>
      </c>
      <c r="S389" s="114">
        <v>46146</v>
      </c>
      <c r="T389" s="1" t="s">
        <v>147</v>
      </c>
    </row>
    <row r="390" spans="15:20" x14ac:dyDescent="0.25">
      <c r="O390" t="s">
        <v>335</v>
      </c>
      <c r="P390" t="s">
        <v>127</v>
      </c>
      <c r="Q390" t="s">
        <v>114</v>
      </c>
      <c r="R390" s="165">
        <v>-10</v>
      </c>
      <c r="S390" s="114">
        <v>46146</v>
      </c>
      <c r="T390" s="1" t="s">
        <v>147</v>
      </c>
    </row>
    <row r="391" spans="15:20" x14ac:dyDescent="0.25">
      <c r="O391" t="s">
        <v>335</v>
      </c>
      <c r="P391" t="s">
        <v>127</v>
      </c>
      <c r="Q391" t="s">
        <v>114</v>
      </c>
      <c r="R391" s="165">
        <v>-10</v>
      </c>
      <c r="S391" s="114">
        <v>46146</v>
      </c>
      <c r="T391" s="1" t="s">
        <v>147</v>
      </c>
    </row>
    <row r="392" spans="15:20" x14ac:dyDescent="0.25">
      <c r="O392" t="s">
        <v>335</v>
      </c>
      <c r="P392" t="s">
        <v>127</v>
      </c>
      <c r="Q392" t="s">
        <v>114</v>
      </c>
      <c r="R392" s="165">
        <v>-10</v>
      </c>
      <c r="S392" s="114">
        <v>46146</v>
      </c>
      <c r="T392" s="1" t="s">
        <v>147</v>
      </c>
    </row>
    <row r="393" spans="15:20" x14ac:dyDescent="0.25">
      <c r="O393" t="s">
        <v>399</v>
      </c>
      <c r="P393" t="s">
        <v>234</v>
      </c>
      <c r="Q393" t="s">
        <v>115</v>
      </c>
      <c r="R393" s="165">
        <v>-56.98</v>
      </c>
      <c r="S393" s="114">
        <v>46146</v>
      </c>
      <c r="T393" s="1" t="s">
        <v>147</v>
      </c>
    </row>
    <row r="394" spans="15:20" x14ac:dyDescent="0.25">
      <c r="O394" t="s">
        <v>330</v>
      </c>
      <c r="P394" t="s">
        <v>234</v>
      </c>
      <c r="Q394" t="s">
        <v>115</v>
      </c>
      <c r="R394" s="165">
        <v>-132.4</v>
      </c>
      <c r="S394" s="114">
        <v>46146</v>
      </c>
      <c r="T394" s="1" t="s">
        <v>147</v>
      </c>
    </row>
    <row r="395" spans="15:20" x14ac:dyDescent="0.25">
      <c r="O395" t="s">
        <v>302</v>
      </c>
      <c r="P395" t="s">
        <v>234</v>
      </c>
      <c r="Q395" t="s">
        <v>115</v>
      </c>
      <c r="R395" s="165">
        <v>-20</v>
      </c>
      <c r="S395" s="114">
        <v>46146</v>
      </c>
      <c r="T395" s="1" t="s">
        <v>147</v>
      </c>
    </row>
    <row r="396" spans="15:20" x14ac:dyDescent="0.25">
      <c r="O396" t="s">
        <v>298</v>
      </c>
      <c r="P396" t="s">
        <v>234</v>
      </c>
      <c r="Q396" t="s">
        <v>114</v>
      </c>
      <c r="R396" s="165">
        <v>-2</v>
      </c>
      <c r="S396" s="114">
        <v>46145</v>
      </c>
      <c r="T396" s="1" t="s">
        <v>147</v>
      </c>
    </row>
    <row r="397" spans="15:20" x14ac:dyDescent="0.25">
      <c r="O397" t="s">
        <v>325</v>
      </c>
      <c r="P397" t="s">
        <v>234</v>
      </c>
      <c r="Q397" t="s">
        <v>115</v>
      </c>
      <c r="R397" s="165">
        <v>-34.22</v>
      </c>
      <c r="S397" s="114">
        <v>46145</v>
      </c>
      <c r="T397" s="1" t="s">
        <v>147</v>
      </c>
    </row>
    <row r="398" spans="15:20" x14ac:dyDescent="0.25">
      <c r="O398" t="s">
        <v>332</v>
      </c>
      <c r="P398" t="s">
        <v>128</v>
      </c>
      <c r="Q398" t="s">
        <v>115</v>
      </c>
      <c r="R398" s="165">
        <v>12</v>
      </c>
      <c r="S398" s="114">
        <v>46145</v>
      </c>
      <c r="T398" s="1" t="s">
        <v>147</v>
      </c>
    </row>
    <row r="399" spans="15:20" x14ac:dyDescent="0.25">
      <c r="O399" t="s">
        <v>332</v>
      </c>
      <c r="P399" t="s">
        <v>128</v>
      </c>
      <c r="Q399" t="s">
        <v>115</v>
      </c>
      <c r="R399" s="165">
        <v>20</v>
      </c>
      <c r="S399" s="114">
        <v>46145</v>
      </c>
      <c r="T399" s="1" t="s">
        <v>147</v>
      </c>
    </row>
    <row r="400" spans="15:20" x14ac:dyDescent="0.25">
      <c r="O400" t="s">
        <v>332</v>
      </c>
      <c r="P400" t="s">
        <v>128</v>
      </c>
      <c r="Q400" t="s">
        <v>114</v>
      </c>
      <c r="R400" s="165">
        <v>-20</v>
      </c>
      <c r="S400" s="114">
        <v>46145</v>
      </c>
      <c r="T400" s="1" t="s">
        <v>147</v>
      </c>
    </row>
    <row r="401" spans="15:20" x14ac:dyDescent="0.25">
      <c r="O401" t="s">
        <v>325</v>
      </c>
      <c r="P401" t="s">
        <v>234</v>
      </c>
      <c r="Q401" t="s">
        <v>115</v>
      </c>
      <c r="R401" s="165">
        <v>-20</v>
      </c>
      <c r="S401" s="114">
        <v>46144</v>
      </c>
      <c r="T401" s="1" t="s">
        <v>147</v>
      </c>
    </row>
    <row r="402" spans="15:20" x14ac:dyDescent="0.25">
      <c r="O402" t="s">
        <v>332</v>
      </c>
      <c r="P402" t="s">
        <v>128</v>
      </c>
      <c r="Q402" t="s">
        <v>114</v>
      </c>
      <c r="R402" s="165">
        <v>-20</v>
      </c>
      <c r="S402" s="114">
        <v>46144</v>
      </c>
      <c r="T402" s="1" t="s">
        <v>147</v>
      </c>
    </row>
    <row r="403" spans="15:20" x14ac:dyDescent="0.25">
      <c r="O403" t="s">
        <v>298</v>
      </c>
      <c r="P403" t="s">
        <v>128</v>
      </c>
      <c r="Q403" t="s">
        <v>115</v>
      </c>
      <c r="R403" s="165">
        <v>-20</v>
      </c>
      <c r="S403" s="114">
        <v>46144</v>
      </c>
      <c r="T403" s="1" t="s">
        <v>147</v>
      </c>
    </row>
    <row r="404" spans="15:20" x14ac:dyDescent="0.25">
      <c r="O404" t="s">
        <v>370</v>
      </c>
      <c r="P404" t="s">
        <v>234</v>
      </c>
      <c r="Q404" t="s">
        <v>114</v>
      </c>
      <c r="R404" s="165">
        <v>-5</v>
      </c>
      <c r="S404" s="114">
        <v>46144</v>
      </c>
      <c r="T404" s="1" t="s">
        <v>147</v>
      </c>
    </row>
    <row r="405" spans="15:20" x14ac:dyDescent="0.25">
      <c r="O405" t="s">
        <v>302</v>
      </c>
      <c r="P405" t="s">
        <v>234</v>
      </c>
      <c r="Q405" t="s">
        <v>115</v>
      </c>
      <c r="R405" s="165">
        <v>-50</v>
      </c>
      <c r="S405" s="114">
        <v>46143</v>
      </c>
      <c r="T405" s="1" t="s">
        <v>147</v>
      </c>
    </row>
    <row r="406" spans="15:20" x14ac:dyDescent="0.25">
      <c r="O406" t="s">
        <v>302</v>
      </c>
      <c r="P406" t="s">
        <v>234</v>
      </c>
      <c r="Q406" t="s">
        <v>114</v>
      </c>
      <c r="R406" s="165">
        <v>-7</v>
      </c>
      <c r="S406" s="114">
        <v>46143</v>
      </c>
      <c r="T406" s="1" t="s">
        <v>147</v>
      </c>
    </row>
    <row r="407" spans="15:20" x14ac:dyDescent="0.25">
      <c r="O407" t="s">
        <v>302</v>
      </c>
      <c r="P407" t="s">
        <v>234</v>
      </c>
      <c r="Q407" t="s">
        <v>114</v>
      </c>
      <c r="R407" s="165">
        <v>-17.5</v>
      </c>
      <c r="S407" s="114">
        <v>46143</v>
      </c>
      <c r="T407" s="1" t="s">
        <v>147</v>
      </c>
    </row>
    <row r="408" spans="15:20" x14ac:dyDescent="0.25">
      <c r="O408" t="s">
        <v>302</v>
      </c>
      <c r="P408" t="s">
        <v>234</v>
      </c>
      <c r="Q408" t="s">
        <v>115</v>
      </c>
      <c r="R408" s="165">
        <v>-8</v>
      </c>
      <c r="S408" s="114">
        <v>46142</v>
      </c>
      <c r="T408" s="1" t="s">
        <v>146</v>
      </c>
    </row>
    <row r="409" spans="15:20" x14ac:dyDescent="0.25">
      <c r="O409" t="s">
        <v>369</v>
      </c>
      <c r="P409" t="s">
        <v>234</v>
      </c>
      <c r="Q409" t="s">
        <v>114</v>
      </c>
      <c r="R409" s="165">
        <v>-6</v>
      </c>
      <c r="S409" s="114">
        <v>46142</v>
      </c>
      <c r="T409" s="1" t="s">
        <v>146</v>
      </c>
    </row>
    <row r="410" spans="15:20" x14ac:dyDescent="0.25">
      <c r="O410" t="s">
        <v>205</v>
      </c>
      <c r="P410" t="s">
        <v>128</v>
      </c>
      <c r="Q410" t="s">
        <v>115</v>
      </c>
      <c r="R410" s="165">
        <v>-17.5</v>
      </c>
      <c r="S410" s="114">
        <v>46142</v>
      </c>
      <c r="T410" s="1" t="s">
        <v>146</v>
      </c>
    </row>
    <row r="411" spans="15:20" x14ac:dyDescent="0.25">
      <c r="O411" t="s">
        <v>205</v>
      </c>
      <c r="P411" t="s">
        <v>128</v>
      </c>
      <c r="Q411" t="s">
        <v>115</v>
      </c>
      <c r="R411" s="165">
        <v>-60.62</v>
      </c>
      <c r="S411" s="114">
        <v>46142</v>
      </c>
      <c r="T411" s="1" t="s">
        <v>146</v>
      </c>
    </row>
    <row r="412" spans="15:20" x14ac:dyDescent="0.25">
      <c r="O412" t="s">
        <v>205</v>
      </c>
      <c r="P412" t="s">
        <v>128</v>
      </c>
      <c r="Q412" t="s">
        <v>115</v>
      </c>
      <c r="R412" s="165">
        <v>-10.75</v>
      </c>
      <c r="S412" s="114">
        <v>46141</v>
      </c>
      <c r="T412" s="1" t="s">
        <v>146</v>
      </c>
    </row>
    <row r="413" spans="15:20" x14ac:dyDescent="0.25">
      <c r="O413" t="s">
        <v>205</v>
      </c>
      <c r="P413" t="s">
        <v>128</v>
      </c>
      <c r="Q413" t="s">
        <v>115</v>
      </c>
      <c r="R413" s="165">
        <v>-92</v>
      </c>
      <c r="S413" s="114">
        <v>46141</v>
      </c>
      <c r="T413" s="1" t="s">
        <v>146</v>
      </c>
    </row>
    <row r="414" spans="15:20" x14ac:dyDescent="0.25">
      <c r="O414" t="s">
        <v>394</v>
      </c>
      <c r="P414" t="s">
        <v>128</v>
      </c>
      <c r="Q414" t="s">
        <v>115</v>
      </c>
      <c r="R414" s="165">
        <v>-5</v>
      </c>
      <c r="S414" s="114">
        <v>46141</v>
      </c>
      <c r="T414" s="1" t="s">
        <v>146</v>
      </c>
    </row>
    <row r="415" spans="15:20" x14ac:dyDescent="0.25">
      <c r="O415" t="s">
        <v>302</v>
      </c>
      <c r="P415" t="s">
        <v>234</v>
      </c>
      <c r="Q415" t="s">
        <v>115</v>
      </c>
      <c r="R415" s="165">
        <v>-14</v>
      </c>
      <c r="S415" s="114">
        <v>46141</v>
      </c>
      <c r="T415" s="1" t="s">
        <v>146</v>
      </c>
    </row>
    <row r="416" spans="15:20" x14ac:dyDescent="0.25">
      <c r="O416" t="s">
        <v>397</v>
      </c>
      <c r="P416" t="s">
        <v>128</v>
      </c>
      <c r="Q416" t="s">
        <v>114</v>
      </c>
      <c r="R416" s="165">
        <v>-50</v>
      </c>
      <c r="S416" s="114">
        <v>46141</v>
      </c>
      <c r="T416" s="1" t="s">
        <v>146</v>
      </c>
    </row>
    <row r="417" spans="15:20" x14ac:dyDescent="0.25">
      <c r="O417" t="s">
        <v>332</v>
      </c>
      <c r="P417" t="s">
        <v>128</v>
      </c>
      <c r="Q417" t="s">
        <v>114</v>
      </c>
      <c r="R417" s="165">
        <v>-10</v>
      </c>
      <c r="S417" s="114">
        <v>46141</v>
      </c>
      <c r="T417" s="1" t="s">
        <v>146</v>
      </c>
    </row>
    <row r="418" spans="15:20" x14ac:dyDescent="0.25">
      <c r="O418" t="s">
        <v>332</v>
      </c>
      <c r="P418" t="s">
        <v>128</v>
      </c>
      <c r="Q418" t="s">
        <v>115</v>
      </c>
      <c r="R418" s="165">
        <v>10</v>
      </c>
      <c r="S418" s="114">
        <v>46141</v>
      </c>
      <c r="T418" s="1" t="s">
        <v>146</v>
      </c>
    </row>
    <row r="419" spans="15:20" x14ac:dyDescent="0.25">
      <c r="O419" t="s">
        <v>205</v>
      </c>
      <c r="P419" t="s">
        <v>128</v>
      </c>
      <c r="Q419" t="s">
        <v>115</v>
      </c>
      <c r="R419" s="165">
        <v>-10.25</v>
      </c>
      <c r="S419" s="114">
        <v>46140</v>
      </c>
      <c r="T419" s="1" t="s">
        <v>146</v>
      </c>
    </row>
    <row r="420" spans="15:20" x14ac:dyDescent="0.25">
      <c r="O420" t="s">
        <v>205</v>
      </c>
      <c r="P420" t="s">
        <v>128</v>
      </c>
      <c r="Q420" t="s">
        <v>115</v>
      </c>
      <c r="R420" s="165">
        <v>-26.25</v>
      </c>
      <c r="S420" s="114">
        <v>46140</v>
      </c>
      <c r="T420" s="1" t="s">
        <v>146</v>
      </c>
    </row>
    <row r="421" spans="15:20" x14ac:dyDescent="0.25">
      <c r="O421" t="s">
        <v>396</v>
      </c>
      <c r="P421" t="s">
        <v>234</v>
      </c>
      <c r="Q421" t="s">
        <v>115</v>
      </c>
      <c r="R421" s="165">
        <v>-4</v>
      </c>
      <c r="S421" s="114">
        <v>46140</v>
      </c>
      <c r="T421" s="1" t="s">
        <v>146</v>
      </c>
    </row>
    <row r="422" spans="15:20" x14ac:dyDescent="0.25">
      <c r="O422" t="s">
        <v>298</v>
      </c>
      <c r="P422" t="s">
        <v>128</v>
      </c>
      <c r="Q422" t="s">
        <v>115</v>
      </c>
      <c r="R422" s="165">
        <v>-42</v>
      </c>
      <c r="S422" s="114">
        <v>46140</v>
      </c>
      <c r="T422" s="1" t="s">
        <v>146</v>
      </c>
    </row>
    <row r="423" spans="15:20" x14ac:dyDescent="0.25">
      <c r="O423" t="s">
        <v>382</v>
      </c>
      <c r="P423" t="s">
        <v>234</v>
      </c>
      <c r="Q423" t="s">
        <v>115</v>
      </c>
      <c r="R423" s="165">
        <v>-7.99</v>
      </c>
      <c r="S423" s="114">
        <v>46140</v>
      </c>
      <c r="T423" s="1" t="s">
        <v>146</v>
      </c>
    </row>
    <row r="424" spans="15:20" x14ac:dyDescent="0.25">
      <c r="O424" t="s">
        <v>205</v>
      </c>
      <c r="P424" t="s">
        <v>128</v>
      </c>
      <c r="Q424" t="s">
        <v>115</v>
      </c>
      <c r="R424" s="165">
        <v>-121</v>
      </c>
      <c r="S424" s="114">
        <v>46139</v>
      </c>
      <c r="T424" s="1" t="s">
        <v>146</v>
      </c>
    </row>
    <row r="425" spans="15:20" x14ac:dyDescent="0.25">
      <c r="O425" t="s">
        <v>205</v>
      </c>
      <c r="P425" t="s">
        <v>128</v>
      </c>
      <c r="Q425" t="s">
        <v>115</v>
      </c>
      <c r="R425" s="165">
        <v>-23.25</v>
      </c>
      <c r="S425" s="114">
        <v>46139</v>
      </c>
      <c r="T425" s="1" t="s">
        <v>146</v>
      </c>
    </row>
    <row r="426" spans="15:20" x14ac:dyDescent="0.25">
      <c r="O426" t="s">
        <v>343</v>
      </c>
      <c r="P426" t="s">
        <v>128</v>
      </c>
      <c r="Q426" t="s">
        <v>114</v>
      </c>
      <c r="R426" s="165">
        <v>-10</v>
      </c>
      <c r="S426" s="114">
        <v>46139</v>
      </c>
      <c r="T426" s="1" t="s">
        <v>146</v>
      </c>
    </row>
    <row r="427" spans="15:20" x14ac:dyDescent="0.25">
      <c r="O427" t="s">
        <v>343</v>
      </c>
      <c r="P427" t="s">
        <v>128</v>
      </c>
      <c r="Q427" t="s">
        <v>115</v>
      </c>
      <c r="R427" s="165">
        <v>10</v>
      </c>
      <c r="S427" s="114">
        <v>46139</v>
      </c>
      <c r="T427" s="1" t="s">
        <v>146</v>
      </c>
    </row>
    <row r="428" spans="15:20" x14ac:dyDescent="0.25">
      <c r="O428" t="s">
        <v>302</v>
      </c>
      <c r="P428" t="s">
        <v>234</v>
      </c>
      <c r="Q428" t="s">
        <v>115</v>
      </c>
      <c r="R428" s="165">
        <v>-6</v>
      </c>
      <c r="S428" s="114">
        <v>46139</v>
      </c>
      <c r="T428" s="1" t="s">
        <v>146</v>
      </c>
    </row>
    <row r="429" spans="15:20" x14ac:dyDescent="0.25">
      <c r="O429" t="s">
        <v>302</v>
      </c>
      <c r="P429" t="s">
        <v>234</v>
      </c>
      <c r="Q429" t="s">
        <v>115</v>
      </c>
      <c r="R429" s="165">
        <v>-6</v>
      </c>
      <c r="S429" s="114">
        <v>46139</v>
      </c>
      <c r="T429" s="1" t="s">
        <v>146</v>
      </c>
    </row>
    <row r="430" spans="15:20" x14ac:dyDescent="0.25">
      <c r="O430" t="s">
        <v>369</v>
      </c>
      <c r="P430" t="s">
        <v>234</v>
      </c>
      <c r="Q430" t="s">
        <v>114</v>
      </c>
      <c r="R430" s="165">
        <v>-12</v>
      </c>
      <c r="S430" s="114">
        <v>46138</v>
      </c>
      <c r="T430" s="1" t="s">
        <v>146</v>
      </c>
    </row>
    <row r="431" spans="15:20" x14ac:dyDescent="0.25">
      <c r="O431" t="s">
        <v>302</v>
      </c>
      <c r="P431" t="s">
        <v>234</v>
      </c>
      <c r="Q431" t="s">
        <v>115</v>
      </c>
      <c r="R431" s="165">
        <v>-7.5</v>
      </c>
      <c r="S431" s="114">
        <v>46138</v>
      </c>
      <c r="T431" s="1" t="s">
        <v>146</v>
      </c>
    </row>
    <row r="432" spans="15:20" x14ac:dyDescent="0.25">
      <c r="O432" t="s">
        <v>334</v>
      </c>
      <c r="P432" t="s">
        <v>234</v>
      </c>
      <c r="Q432" t="s">
        <v>115</v>
      </c>
      <c r="R432" s="165">
        <v>-95.7</v>
      </c>
      <c r="S432" s="114">
        <v>46138</v>
      </c>
      <c r="T432" s="1" t="s">
        <v>146</v>
      </c>
    </row>
    <row r="433" spans="15:20" x14ac:dyDescent="0.25">
      <c r="O433" t="s">
        <v>300</v>
      </c>
      <c r="P433" t="s">
        <v>128</v>
      </c>
      <c r="Q433" t="s">
        <v>114</v>
      </c>
      <c r="R433" s="165">
        <v>-50</v>
      </c>
      <c r="S433" s="114">
        <v>46138</v>
      </c>
      <c r="T433" s="1" t="s">
        <v>146</v>
      </c>
    </row>
    <row r="434" spans="15:20" x14ac:dyDescent="0.25">
      <c r="O434" t="s">
        <v>395</v>
      </c>
      <c r="P434" t="s">
        <v>234</v>
      </c>
      <c r="Q434" t="s">
        <v>114</v>
      </c>
      <c r="R434" s="165">
        <v>-2</v>
      </c>
      <c r="S434" s="114">
        <v>46137</v>
      </c>
      <c r="T434" s="1" t="s">
        <v>146</v>
      </c>
    </row>
    <row r="435" spans="15:20" x14ac:dyDescent="0.25">
      <c r="O435" t="s">
        <v>395</v>
      </c>
      <c r="P435" t="s">
        <v>234</v>
      </c>
      <c r="Q435" t="s">
        <v>114</v>
      </c>
      <c r="R435" s="165">
        <v>-30</v>
      </c>
      <c r="S435" s="114">
        <v>46136</v>
      </c>
      <c r="T435" s="1" t="s">
        <v>146</v>
      </c>
    </row>
    <row r="436" spans="15:20" x14ac:dyDescent="0.25">
      <c r="O436" t="s">
        <v>298</v>
      </c>
      <c r="P436" t="s">
        <v>128</v>
      </c>
      <c r="Q436" t="s">
        <v>115</v>
      </c>
      <c r="R436" s="165">
        <v>-35</v>
      </c>
      <c r="S436" s="114">
        <v>46136</v>
      </c>
      <c r="T436" s="1" t="s">
        <v>146</v>
      </c>
    </row>
    <row r="437" spans="15:20" x14ac:dyDescent="0.25">
      <c r="O437" t="s">
        <v>332</v>
      </c>
      <c r="P437" t="s">
        <v>128</v>
      </c>
      <c r="Q437" t="s">
        <v>114</v>
      </c>
      <c r="R437" s="165">
        <v>-30</v>
      </c>
      <c r="S437" s="114">
        <v>46136</v>
      </c>
      <c r="T437" s="1" t="s">
        <v>146</v>
      </c>
    </row>
    <row r="438" spans="15:20" x14ac:dyDescent="0.25">
      <c r="O438" t="s">
        <v>332</v>
      </c>
      <c r="P438" t="s">
        <v>128</v>
      </c>
      <c r="Q438" t="s">
        <v>115</v>
      </c>
      <c r="R438" s="165">
        <v>30</v>
      </c>
      <c r="S438" s="114">
        <v>46136</v>
      </c>
      <c r="T438" s="1" t="s">
        <v>146</v>
      </c>
    </row>
    <row r="439" spans="15:20" x14ac:dyDescent="0.25">
      <c r="O439" t="s">
        <v>394</v>
      </c>
      <c r="P439" t="s">
        <v>128</v>
      </c>
      <c r="Q439" t="s">
        <v>114</v>
      </c>
      <c r="R439" s="165">
        <v>-270</v>
      </c>
      <c r="S439" s="114">
        <v>46136</v>
      </c>
      <c r="T439" s="1" t="s">
        <v>146</v>
      </c>
    </row>
    <row r="440" spans="15:20" x14ac:dyDescent="0.25">
      <c r="O440" t="s">
        <v>302</v>
      </c>
      <c r="P440" t="s">
        <v>234</v>
      </c>
      <c r="Q440" t="s">
        <v>115</v>
      </c>
      <c r="R440" s="165">
        <v>-10</v>
      </c>
      <c r="S440" s="114">
        <v>46136</v>
      </c>
      <c r="T440" s="1" t="s">
        <v>146</v>
      </c>
    </row>
    <row r="441" spans="15:20" x14ac:dyDescent="0.25">
      <c r="O441" t="s">
        <v>205</v>
      </c>
      <c r="P441" t="s">
        <v>128</v>
      </c>
      <c r="Q441" t="s">
        <v>115</v>
      </c>
      <c r="R441" s="165">
        <v>-12</v>
      </c>
      <c r="S441" s="114">
        <v>46136</v>
      </c>
      <c r="T441" s="1" t="s">
        <v>146</v>
      </c>
    </row>
    <row r="442" spans="15:20" x14ac:dyDescent="0.25">
      <c r="O442" t="s">
        <v>205</v>
      </c>
      <c r="P442" t="s">
        <v>128</v>
      </c>
      <c r="Q442" t="s">
        <v>115</v>
      </c>
      <c r="R442" s="165">
        <v>-33</v>
      </c>
      <c r="S442" s="114">
        <v>46136</v>
      </c>
      <c r="T442" s="1" t="s">
        <v>146</v>
      </c>
    </row>
    <row r="443" spans="15:20" x14ac:dyDescent="0.25">
      <c r="O443" t="s">
        <v>205</v>
      </c>
      <c r="P443" t="s">
        <v>128</v>
      </c>
      <c r="Q443" t="s">
        <v>115</v>
      </c>
      <c r="R443" s="165">
        <v>-76.5</v>
      </c>
      <c r="S443" s="114">
        <v>46135</v>
      </c>
      <c r="T443" s="1" t="s">
        <v>146</v>
      </c>
    </row>
    <row r="444" spans="15:20" x14ac:dyDescent="0.25">
      <c r="O444" t="s">
        <v>205</v>
      </c>
      <c r="P444" t="s">
        <v>128</v>
      </c>
      <c r="Q444" t="s">
        <v>115</v>
      </c>
      <c r="R444" s="165">
        <v>-28</v>
      </c>
      <c r="S444" s="114">
        <v>46135</v>
      </c>
      <c r="T444" s="1" t="s">
        <v>146</v>
      </c>
    </row>
    <row r="445" spans="15:20" x14ac:dyDescent="0.25">
      <c r="O445" t="s">
        <v>370</v>
      </c>
      <c r="P445" t="s">
        <v>234</v>
      </c>
      <c r="Q445" t="s">
        <v>114</v>
      </c>
      <c r="R445" s="165">
        <v>-5</v>
      </c>
      <c r="S445" s="114">
        <v>46135</v>
      </c>
      <c r="T445" s="1" t="s">
        <v>146</v>
      </c>
    </row>
    <row r="446" spans="15:20" x14ac:dyDescent="0.25">
      <c r="O446" t="s">
        <v>340</v>
      </c>
      <c r="P446" t="s">
        <v>234</v>
      </c>
      <c r="Q446" t="s">
        <v>115</v>
      </c>
      <c r="R446" s="165">
        <v>-60</v>
      </c>
      <c r="S446" s="114">
        <v>46135</v>
      </c>
      <c r="T446" s="1" t="s">
        <v>146</v>
      </c>
    </row>
    <row r="447" spans="15:20" x14ac:dyDescent="0.25">
      <c r="O447" t="s">
        <v>205</v>
      </c>
      <c r="P447" t="s">
        <v>128</v>
      </c>
      <c r="Q447" t="s">
        <v>115</v>
      </c>
      <c r="R447" s="165">
        <v>-59</v>
      </c>
      <c r="S447" s="114">
        <v>46134</v>
      </c>
      <c r="T447" s="1" t="s">
        <v>146</v>
      </c>
    </row>
    <row r="448" spans="15:20" x14ac:dyDescent="0.25">
      <c r="O448" t="s">
        <v>205</v>
      </c>
      <c r="P448" t="s">
        <v>128</v>
      </c>
      <c r="Q448" t="s">
        <v>115</v>
      </c>
      <c r="R448" s="165">
        <v>-135.5</v>
      </c>
      <c r="S448" s="114">
        <v>46134</v>
      </c>
      <c r="T448" s="1" t="s">
        <v>146</v>
      </c>
    </row>
    <row r="449" spans="15:20" x14ac:dyDescent="0.25">
      <c r="O449" t="s">
        <v>343</v>
      </c>
      <c r="P449" t="s">
        <v>128</v>
      </c>
      <c r="Q449" t="s">
        <v>115</v>
      </c>
      <c r="R449" s="165">
        <v>15</v>
      </c>
      <c r="S449" s="114">
        <v>46134</v>
      </c>
      <c r="T449" s="1" t="s">
        <v>146</v>
      </c>
    </row>
    <row r="450" spans="15:20" x14ac:dyDescent="0.25">
      <c r="O450" t="s">
        <v>343</v>
      </c>
      <c r="P450" t="s">
        <v>128</v>
      </c>
      <c r="Q450" t="s">
        <v>114</v>
      </c>
      <c r="R450" s="165">
        <v>-15</v>
      </c>
      <c r="S450" s="114">
        <v>46134</v>
      </c>
      <c r="T450" s="1" t="s">
        <v>146</v>
      </c>
    </row>
    <row r="451" spans="15:20" x14ac:dyDescent="0.25">
      <c r="O451" t="s">
        <v>332</v>
      </c>
      <c r="P451" t="s">
        <v>128</v>
      </c>
      <c r="Q451" t="s">
        <v>114</v>
      </c>
      <c r="R451" s="165">
        <v>-14</v>
      </c>
      <c r="S451" s="114">
        <v>46134</v>
      </c>
      <c r="T451" s="1" t="s">
        <v>146</v>
      </c>
    </row>
    <row r="452" spans="15:20" x14ac:dyDescent="0.25">
      <c r="O452" t="s">
        <v>302</v>
      </c>
      <c r="P452" t="s">
        <v>234</v>
      </c>
      <c r="Q452" t="s">
        <v>115</v>
      </c>
      <c r="R452" s="165">
        <v>-11.95</v>
      </c>
      <c r="S452" s="114">
        <v>46134</v>
      </c>
      <c r="T452" s="1" t="s">
        <v>146</v>
      </c>
    </row>
    <row r="453" spans="15:20" x14ac:dyDescent="0.25">
      <c r="O453" t="s">
        <v>302</v>
      </c>
      <c r="P453" t="s">
        <v>234</v>
      </c>
      <c r="Q453" t="s">
        <v>115</v>
      </c>
      <c r="R453" s="165">
        <v>-13.21</v>
      </c>
      <c r="S453" s="114">
        <v>46133</v>
      </c>
      <c r="T453" s="1" t="s">
        <v>146</v>
      </c>
    </row>
    <row r="454" spans="15:20" x14ac:dyDescent="0.25">
      <c r="O454" t="s">
        <v>302</v>
      </c>
      <c r="P454" t="s">
        <v>234</v>
      </c>
      <c r="Q454" t="s">
        <v>115</v>
      </c>
      <c r="R454" s="165">
        <v>-6</v>
      </c>
      <c r="S454" s="114">
        <v>46133</v>
      </c>
      <c r="T454" s="1" t="s">
        <v>146</v>
      </c>
    </row>
    <row r="455" spans="15:20" x14ac:dyDescent="0.25">
      <c r="O455" t="s">
        <v>302</v>
      </c>
      <c r="P455" t="s">
        <v>234</v>
      </c>
      <c r="Q455" t="s">
        <v>115</v>
      </c>
      <c r="R455" s="165">
        <v>-4</v>
      </c>
      <c r="S455" s="114">
        <v>46133</v>
      </c>
      <c r="T455" s="1" t="s">
        <v>146</v>
      </c>
    </row>
    <row r="456" spans="15:20" x14ac:dyDescent="0.25">
      <c r="O456" t="s">
        <v>205</v>
      </c>
      <c r="P456" t="s">
        <v>128</v>
      </c>
      <c r="Q456" t="s">
        <v>115</v>
      </c>
      <c r="R456" s="165">
        <v>-26.75</v>
      </c>
      <c r="S456" s="114">
        <v>46132</v>
      </c>
      <c r="T456" s="1" t="s">
        <v>146</v>
      </c>
    </row>
    <row r="457" spans="15:20" x14ac:dyDescent="0.25">
      <c r="O457" t="s">
        <v>205</v>
      </c>
      <c r="P457" t="s">
        <v>128</v>
      </c>
      <c r="Q457" t="s">
        <v>115</v>
      </c>
      <c r="R457" s="165">
        <v>-26.75</v>
      </c>
      <c r="S457" s="114">
        <v>46132</v>
      </c>
      <c r="T457" s="1" t="s">
        <v>146</v>
      </c>
    </row>
    <row r="458" spans="15:20" x14ac:dyDescent="0.25">
      <c r="O458" t="s">
        <v>205</v>
      </c>
      <c r="P458" t="s">
        <v>128</v>
      </c>
      <c r="Q458" t="s">
        <v>115</v>
      </c>
      <c r="R458" s="165">
        <v>-85.12</v>
      </c>
      <c r="S458" s="114">
        <v>46132</v>
      </c>
      <c r="T458" s="1" t="s">
        <v>146</v>
      </c>
    </row>
    <row r="459" spans="15:20" x14ac:dyDescent="0.25">
      <c r="O459" t="s">
        <v>302</v>
      </c>
      <c r="P459" t="s">
        <v>234</v>
      </c>
      <c r="Q459" t="s">
        <v>114</v>
      </c>
      <c r="R459" s="165">
        <v>-2</v>
      </c>
      <c r="S459" s="114">
        <v>46132</v>
      </c>
      <c r="T459" s="1" t="s">
        <v>146</v>
      </c>
    </row>
    <row r="460" spans="15:20" x14ac:dyDescent="0.25">
      <c r="O460" t="s">
        <v>302</v>
      </c>
      <c r="P460" t="s">
        <v>234</v>
      </c>
      <c r="Q460" t="s">
        <v>115</v>
      </c>
      <c r="R460" s="165">
        <v>-14</v>
      </c>
      <c r="S460" s="114">
        <v>46132</v>
      </c>
      <c r="T460" s="1" t="s">
        <v>146</v>
      </c>
    </row>
    <row r="461" spans="15:20" x14ac:dyDescent="0.25">
      <c r="O461" t="s">
        <v>302</v>
      </c>
      <c r="P461" t="s">
        <v>234</v>
      </c>
      <c r="Q461" t="s">
        <v>115</v>
      </c>
      <c r="R461" s="165">
        <v>-7.5</v>
      </c>
      <c r="S461" s="114">
        <v>46132</v>
      </c>
      <c r="T461" s="1" t="s">
        <v>146</v>
      </c>
    </row>
    <row r="462" spans="15:20" x14ac:dyDescent="0.25">
      <c r="O462" t="s">
        <v>298</v>
      </c>
      <c r="P462" t="s">
        <v>128</v>
      </c>
      <c r="Q462" t="s">
        <v>115</v>
      </c>
      <c r="R462" s="165">
        <v>-118.56</v>
      </c>
      <c r="S462" s="114">
        <v>46132</v>
      </c>
      <c r="T462" s="1" t="s">
        <v>146</v>
      </c>
    </row>
    <row r="463" spans="15:20" x14ac:dyDescent="0.25">
      <c r="O463" t="s">
        <v>376</v>
      </c>
      <c r="P463" t="s">
        <v>234</v>
      </c>
      <c r="Q463" t="s">
        <v>115</v>
      </c>
      <c r="R463" s="165">
        <v>-40</v>
      </c>
      <c r="S463" s="114">
        <v>46131</v>
      </c>
      <c r="T463" s="1" t="s">
        <v>146</v>
      </c>
    </row>
    <row r="464" spans="15:20" x14ac:dyDescent="0.25">
      <c r="O464" t="s">
        <v>379</v>
      </c>
      <c r="P464" t="s">
        <v>234</v>
      </c>
      <c r="Q464" t="s">
        <v>115</v>
      </c>
      <c r="R464" s="165">
        <v>-34.94</v>
      </c>
      <c r="S464" s="114">
        <v>46131</v>
      </c>
      <c r="T464" s="1" t="s">
        <v>146</v>
      </c>
    </row>
    <row r="465" spans="15:20" x14ac:dyDescent="0.25">
      <c r="O465" t="s">
        <v>393</v>
      </c>
      <c r="P465" t="s">
        <v>234</v>
      </c>
      <c r="Q465" t="s">
        <v>115</v>
      </c>
      <c r="R465" s="165">
        <v>-75</v>
      </c>
      <c r="S465" s="114">
        <v>46131</v>
      </c>
      <c r="T465" s="1" t="s">
        <v>146</v>
      </c>
    </row>
    <row r="466" spans="15:20" x14ac:dyDescent="0.25">
      <c r="O466" t="s">
        <v>302</v>
      </c>
      <c r="P466" t="s">
        <v>234</v>
      </c>
      <c r="Q466" t="s">
        <v>115</v>
      </c>
      <c r="R466" s="165">
        <v>-14</v>
      </c>
      <c r="S466" s="114">
        <v>46130</v>
      </c>
      <c r="T466" s="1" t="s">
        <v>146</v>
      </c>
    </row>
    <row r="467" spans="15:20" x14ac:dyDescent="0.25">
      <c r="O467" t="s">
        <v>370</v>
      </c>
      <c r="P467" t="s">
        <v>234</v>
      </c>
      <c r="Q467" t="s">
        <v>114</v>
      </c>
      <c r="R467" s="165">
        <v>-5</v>
      </c>
      <c r="S467" s="114">
        <v>46130</v>
      </c>
      <c r="T467" s="1" t="s">
        <v>146</v>
      </c>
    </row>
    <row r="468" spans="15:20" x14ac:dyDescent="0.25">
      <c r="O468" t="s">
        <v>205</v>
      </c>
      <c r="P468" t="s">
        <v>128</v>
      </c>
      <c r="Q468" t="s">
        <v>115</v>
      </c>
      <c r="R468" s="165">
        <v>-36.619999999999997</v>
      </c>
      <c r="S468" s="114">
        <v>46129</v>
      </c>
      <c r="T468" s="1" t="s">
        <v>146</v>
      </c>
    </row>
    <row r="469" spans="15:20" x14ac:dyDescent="0.25">
      <c r="O469" t="s">
        <v>205</v>
      </c>
      <c r="P469" t="s">
        <v>128</v>
      </c>
      <c r="Q469" t="s">
        <v>115</v>
      </c>
      <c r="R469" s="165">
        <v>-74.12</v>
      </c>
      <c r="S469" s="114">
        <v>46129</v>
      </c>
      <c r="T469" s="1" t="s">
        <v>146</v>
      </c>
    </row>
    <row r="470" spans="15:20" x14ac:dyDescent="0.25">
      <c r="O470" t="s">
        <v>369</v>
      </c>
      <c r="P470" t="s">
        <v>234</v>
      </c>
      <c r="Q470" t="s">
        <v>114</v>
      </c>
      <c r="R470" s="165">
        <v>-10</v>
      </c>
      <c r="S470" s="114">
        <v>46129</v>
      </c>
      <c r="T470" s="1" t="s">
        <v>146</v>
      </c>
    </row>
    <row r="471" spans="15:20" x14ac:dyDescent="0.25">
      <c r="O471" t="s">
        <v>298</v>
      </c>
      <c r="P471" t="s">
        <v>128</v>
      </c>
      <c r="Q471" t="s">
        <v>114</v>
      </c>
      <c r="R471" s="165">
        <v>-67</v>
      </c>
      <c r="S471" s="114">
        <v>46128</v>
      </c>
      <c r="T471" s="1" t="s">
        <v>146</v>
      </c>
    </row>
    <row r="472" spans="15:20" x14ac:dyDescent="0.25">
      <c r="O472" t="s">
        <v>205</v>
      </c>
      <c r="P472" t="s">
        <v>128</v>
      </c>
      <c r="Q472" t="s">
        <v>115</v>
      </c>
      <c r="R472" s="165">
        <v>-11</v>
      </c>
      <c r="S472" s="114">
        <v>46128</v>
      </c>
      <c r="T472" s="1" t="s">
        <v>146</v>
      </c>
    </row>
    <row r="473" spans="15:20" x14ac:dyDescent="0.25">
      <c r="O473" t="s">
        <v>205</v>
      </c>
      <c r="P473" t="s">
        <v>128</v>
      </c>
      <c r="Q473" t="s">
        <v>115</v>
      </c>
      <c r="R473" s="165">
        <v>-76.3</v>
      </c>
      <c r="S473" s="114">
        <v>46128</v>
      </c>
      <c r="T473" s="1" t="s">
        <v>146</v>
      </c>
    </row>
    <row r="474" spans="15:20" x14ac:dyDescent="0.25">
      <c r="O474" t="s">
        <v>302</v>
      </c>
      <c r="P474" t="s">
        <v>234</v>
      </c>
      <c r="Q474" t="s">
        <v>115</v>
      </c>
      <c r="R474" s="165">
        <v>-14</v>
      </c>
      <c r="S474" s="114">
        <v>46128</v>
      </c>
      <c r="T474" s="1" t="s">
        <v>146</v>
      </c>
    </row>
    <row r="475" spans="15:20" x14ac:dyDescent="0.25">
      <c r="O475" t="s">
        <v>205</v>
      </c>
      <c r="P475" t="s">
        <v>128</v>
      </c>
      <c r="Q475" t="s">
        <v>115</v>
      </c>
      <c r="R475" s="165">
        <v>-11</v>
      </c>
      <c r="S475" s="114">
        <v>46127</v>
      </c>
      <c r="T475" s="1" t="s">
        <v>146</v>
      </c>
    </row>
    <row r="476" spans="15:20" x14ac:dyDescent="0.25">
      <c r="O476" t="s">
        <v>205</v>
      </c>
      <c r="P476" t="s">
        <v>128</v>
      </c>
      <c r="Q476" t="s">
        <v>115</v>
      </c>
      <c r="R476" s="165">
        <v>-60.87</v>
      </c>
      <c r="S476" s="114">
        <v>46127</v>
      </c>
      <c r="T476" s="1" t="s">
        <v>146</v>
      </c>
    </row>
    <row r="477" spans="15:20" x14ac:dyDescent="0.25">
      <c r="O477" t="s">
        <v>302</v>
      </c>
      <c r="P477" t="s">
        <v>234</v>
      </c>
      <c r="Q477" t="s">
        <v>115</v>
      </c>
      <c r="R477" s="165">
        <v>-14</v>
      </c>
      <c r="S477" s="114">
        <v>46127</v>
      </c>
      <c r="T477" s="1" t="s">
        <v>146</v>
      </c>
    </row>
    <row r="478" spans="15:20" x14ac:dyDescent="0.25">
      <c r="O478" t="s">
        <v>205</v>
      </c>
      <c r="P478" t="s">
        <v>128</v>
      </c>
      <c r="Q478" t="s">
        <v>115</v>
      </c>
      <c r="R478" s="165">
        <v>-76.25</v>
      </c>
      <c r="S478" s="114">
        <v>46126</v>
      </c>
      <c r="T478" s="1" t="s">
        <v>146</v>
      </c>
    </row>
    <row r="479" spans="15:20" x14ac:dyDescent="0.25">
      <c r="O479" t="s">
        <v>205</v>
      </c>
      <c r="P479" t="s">
        <v>128</v>
      </c>
      <c r="Q479" t="s">
        <v>115</v>
      </c>
      <c r="R479" s="165">
        <v>-21.12</v>
      </c>
      <c r="S479" s="114">
        <v>46126</v>
      </c>
      <c r="T479" s="1" t="s">
        <v>146</v>
      </c>
    </row>
    <row r="480" spans="15:20" x14ac:dyDescent="0.25">
      <c r="O480" t="s">
        <v>302</v>
      </c>
      <c r="P480" t="s">
        <v>234</v>
      </c>
      <c r="Q480" t="s">
        <v>115</v>
      </c>
      <c r="R480" s="165">
        <v>-37.9</v>
      </c>
      <c r="S480" s="114">
        <v>46126</v>
      </c>
      <c r="T480" s="1" t="s">
        <v>146</v>
      </c>
    </row>
    <row r="481" spans="15:20" x14ac:dyDescent="0.25">
      <c r="O481" t="s">
        <v>370</v>
      </c>
      <c r="P481" t="s">
        <v>234</v>
      </c>
      <c r="Q481" t="s">
        <v>115</v>
      </c>
      <c r="R481" s="165">
        <v>-5</v>
      </c>
      <c r="S481" s="114">
        <v>46126</v>
      </c>
      <c r="T481" s="1" t="s">
        <v>146</v>
      </c>
    </row>
    <row r="482" spans="15:20" x14ac:dyDescent="0.25">
      <c r="O482" t="s">
        <v>392</v>
      </c>
      <c r="P482" t="s">
        <v>234</v>
      </c>
      <c r="Q482" t="s">
        <v>115</v>
      </c>
      <c r="R482" s="165">
        <v>-75</v>
      </c>
      <c r="S482" s="114">
        <v>46126</v>
      </c>
      <c r="T482" s="1" t="s">
        <v>146</v>
      </c>
    </row>
    <row r="483" spans="15:20" x14ac:dyDescent="0.25">
      <c r="O483" t="s">
        <v>392</v>
      </c>
      <c r="P483" t="s">
        <v>128</v>
      </c>
      <c r="Q483" t="s">
        <v>115</v>
      </c>
      <c r="R483" s="165">
        <v>-75</v>
      </c>
      <c r="S483" s="114">
        <v>46126</v>
      </c>
      <c r="T483" s="1" t="s">
        <v>146</v>
      </c>
    </row>
    <row r="484" spans="15:20" x14ac:dyDescent="0.25">
      <c r="O484" t="s">
        <v>392</v>
      </c>
      <c r="P484" t="s">
        <v>128</v>
      </c>
      <c r="Q484" t="s">
        <v>115</v>
      </c>
      <c r="R484" s="165">
        <v>-270</v>
      </c>
      <c r="S484" s="114">
        <v>46126</v>
      </c>
      <c r="T484" s="1" t="s">
        <v>146</v>
      </c>
    </row>
    <row r="485" spans="15:20" x14ac:dyDescent="0.25">
      <c r="O485" t="s">
        <v>392</v>
      </c>
      <c r="P485" t="s">
        <v>234</v>
      </c>
      <c r="Q485" t="s">
        <v>115</v>
      </c>
      <c r="R485" s="165">
        <v>-270</v>
      </c>
      <c r="S485" s="114">
        <v>46126</v>
      </c>
      <c r="T485" s="1" t="s">
        <v>146</v>
      </c>
    </row>
    <row r="486" spans="15:20" x14ac:dyDescent="0.25">
      <c r="O486" t="s">
        <v>205</v>
      </c>
      <c r="P486" t="s">
        <v>128</v>
      </c>
      <c r="Q486" t="s">
        <v>115</v>
      </c>
      <c r="R486" s="165">
        <v>-44.25</v>
      </c>
      <c r="S486" s="114">
        <v>46125</v>
      </c>
      <c r="T486" s="1" t="s">
        <v>146</v>
      </c>
    </row>
    <row r="487" spans="15:20" x14ac:dyDescent="0.25">
      <c r="O487" t="s">
        <v>205</v>
      </c>
      <c r="P487" t="s">
        <v>128</v>
      </c>
      <c r="Q487" t="s">
        <v>115</v>
      </c>
      <c r="R487" s="165">
        <v>-81.5</v>
      </c>
      <c r="S487" s="114">
        <v>46125</v>
      </c>
      <c r="T487" s="1" t="s">
        <v>146</v>
      </c>
    </row>
    <row r="488" spans="15:20" x14ac:dyDescent="0.25">
      <c r="O488" t="s">
        <v>302</v>
      </c>
      <c r="P488" t="s">
        <v>234</v>
      </c>
      <c r="Q488" t="s">
        <v>115</v>
      </c>
      <c r="R488" s="165">
        <v>-5</v>
      </c>
      <c r="S488" s="114">
        <v>46125</v>
      </c>
      <c r="T488" s="1" t="s">
        <v>146</v>
      </c>
    </row>
    <row r="489" spans="15:20" x14ac:dyDescent="0.25">
      <c r="O489" t="s">
        <v>335</v>
      </c>
      <c r="P489" t="s">
        <v>127</v>
      </c>
      <c r="Q489" t="s">
        <v>114</v>
      </c>
      <c r="R489" s="165">
        <v>-10</v>
      </c>
      <c r="S489" s="114">
        <v>46125</v>
      </c>
      <c r="T489" s="1" t="s">
        <v>146</v>
      </c>
    </row>
    <row r="490" spans="15:20" x14ac:dyDescent="0.25">
      <c r="O490" t="s">
        <v>335</v>
      </c>
      <c r="P490" t="s">
        <v>127</v>
      </c>
      <c r="Q490" t="s">
        <v>114</v>
      </c>
      <c r="R490" s="165">
        <v>-10</v>
      </c>
      <c r="S490" s="114">
        <v>46125</v>
      </c>
      <c r="T490" s="1" t="s">
        <v>146</v>
      </c>
    </row>
    <row r="491" spans="15:20" x14ac:dyDescent="0.25">
      <c r="O491" t="s">
        <v>335</v>
      </c>
      <c r="P491" t="s">
        <v>127</v>
      </c>
      <c r="Q491" t="s">
        <v>114</v>
      </c>
      <c r="R491" s="165">
        <v>-10</v>
      </c>
      <c r="S491" s="114">
        <v>46125</v>
      </c>
      <c r="T491" s="1" t="s">
        <v>146</v>
      </c>
    </row>
    <row r="492" spans="15:20" x14ac:dyDescent="0.25">
      <c r="O492" t="s">
        <v>335</v>
      </c>
      <c r="P492" t="s">
        <v>127</v>
      </c>
      <c r="Q492" t="s">
        <v>114</v>
      </c>
      <c r="R492" s="165">
        <v>-10</v>
      </c>
      <c r="S492" s="114">
        <v>46125</v>
      </c>
      <c r="T492" s="1" t="s">
        <v>146</v>
      </c>
    </row>
    <row r="493" spans="15:20" x14ac:dyDescent="0.25">
      <c r="O493" t="s">
        <v>335</v>
      </c>
      <c r="P493" t="s">
        <v>127</v>
      </c>
      <c r="Q493" t="s">
        <v>114</v>
      </c>
      <c r="R493" s="165">
        <v>-10</v>
      </c>
      <c r="S493" s="114">
        <v>46125</v>
      </c>
      <c r="T493" s="1" t="s">
        <v>146</v>
      </c>
    </row>
    <row r="494" spans="15:20" x14ac:dyDescent="0.25">
      <c r="O494" t="s">
        <v>391</v>
      </c>
      <c r="P494" t="s">
        <v>128</v>
      </c>
      <c r="Q494" t="s">
        <v>115</v>
      </c>
      <c r="R494" s="165">
        <v>-6</v>
      </c>
      <c r="S494" s="114">
        <v>46124</v>
      </c>
      <c r="T494" s="1" t="s">
        <v>146</v>
      </c>
    </row>
    <row r="495" spans="15:20" x14ac:dyDescent="0.25">
      <c r="O495" t="s">
        <v>391</v>
      </c>
      <c r="P495" t="s">
        <v>128</v>
      </c>
      <c r="Q495" t="s">
        <v>114</v>
      </c>
      <c r="R495" s="165">
        <v>6</v>
      </c>
      <c r="S495" s="114">
        <v>46124</v>
      </c>
      <c r="T495" s="1" t="s">
        <v>146</v>
      </c>
    </row>
    <row r="496" spans="15:20" x14ac:dyDescent="0.25">
      <c r="O496" t="s">
        <v>390</v>
      </c>
      <c r="P496" t="s">
        <v>234</v>
      </c>
      <c r="Q496" t="s">
        <v>114</v>
      </c>
      <c r="R496" s="165">
        <v>-30</v>
      </c>
      <c r="S496" s="114">
        <v>46123</v>
      </c>
      <c r="T496" s="1" t="s">
        <v>146</v>
      </c>
    </row>
    <row r="497" spans="15:20" x14ac:dyDescent="0.25">
      <c r="O497" t="s">
        <v>369</v>
      </c>
      <c r="P497" t="s">
        <v>234</v>
      </c>
      <c r="Q497" t="s">
        <v>114</v>
      </c>
      <c r="R497" s="165">
        <v>-7</v>
      </c>
      <c r="S497" s="114">
        <v>46123</v>
      </c>
      <c r="T497" s="1" t="s">
        <v>146</v>
      </c>
    </row>
    <row r="498" spans="15:20" x14ac:dyDescent="0.25">
      <c r="O498" t="s">
        <v>370</v>
      </c>
      <c r="P498" t="s">
        <v>234</v>
      </c>
      <c r="Q498" t="s">
        <v>115</v>
      </c>
      <c r="R498" s="165">
        <v>-5</v>
      </c>
      <c r="S498" s="114">
        <v>46123</v>
      </c>
      <c r="T498" s="1" t="s">
        <v>146</v>
      </c>
    </row>
    <row r="499" spans="15:20" x14ac:dyDescent="0.25">
      <c r="O499" t="s">
        <v>296</v>
      </c>
      <c r="P499" t="s">
        <v>234</v>
      </c>
      <c r="Q499" t="s">
        <v>115</v>
      </c>
      <c r="R499" s="165">
        <v>-10.5</v>
      </c>
      <c r="S499" s="114">
        <v>46123</v>
      </c>
      <c r="T499" s="1" t="s">
        <v>146</v>
      </c>
    </row>
    <row r="500" spans="15:20" x14ac:dyDescent="0.25">
      <c r="O500" t="s">
        <v>302</v>
      </c>
      <c r="P500" t="s">
        <v>234</v>
      </c>
      <c r="Q500" t="s">
        <v>115</v>
      </c>
      <c r="R500" s="165">
        <v>-22</v>
      </c>
      <c r="S500" s="114">
        <v>46123</v>
      </c>
      <c r="T500" s="1" t="s">
        <v>146</v>
      </c>
    </row>
    <row r="501" spans="15:20" x14ac:dyDescent="0.25">
      <c r="O501" t="s">
        <v>302</v>
      </c>
      <c r="P501" t="s">
        <v>234</v>
      </c>
      <c r="Q501" t="s">
        <v>115</v>
      </c>
      <c r="R501" s="165">
        <v>-42.64</v>
      </c>
      <c r="S501" s="114">
        <v>46123</v>
      </c>
      <c r="T501" s="1" t="s">
        <v>146</v>
      </c>
    </row>
    <row r="502" spans="15:20" x14ac:dyDescent="0.25">
      <c r="O502" t="s">
        <v>205</v>
      </c>
      <c r="P502" t="s">
        <v>128</v>
      </c>
      <c r="Q502" t="s">
        <v>115</v>
      </c>
      <c r="R502" s="165">
        <v>-10</v>
      </c>
      <c r="S502" s="114">
        <v>46122</v>
      </c>
      <c r="T502" s="1" t="s">
        <v>146</v>
      </c>
    </row>
    <row r="503" spans="15:20" x14ac:dyDescent="0.25">
      <c r="O503" t="s">
        <v>369</v>
      </c>
      <c r="P503" t="s">
        <v>234</v>
      </c>
      <c r="Q503" t="s">
        <v>114</v>
      </c>
      <c r="R503" s="165">
        <v>-10</v>
      </c>
      <c r="S503" s="114">
        <v>46122</v>
      </c>
      <c r="T503" s="1" t="s">
        <v>146</v>
      </c>
    </row>
    <row r="504" spans="15:20" x14ac:dyDescent="0.25">
      <c r="O504" t="s">
        <v>302</v>
      </c>
      <c r="P504" t="s">
        <v>234</v>
      </c>
      <c r="Q504" t="s">
        <v>115</v>
      </c>
      <c r="R504" s="165">
        <v>-55</v>
      </c>
      <c r="S504" s="114">
        <v>46122</v>
      </c>
      <c r="T504" s="1" t="s">
        <v>146</v>
      </c>
    </row>
    <row r="505" spans="15:20" x14ac:dyDescent="0.25">
      <c r="O505" t="s">
        <v>205</v>
      </c>
      <c r="P505" t="s">
        <v>128</v>
      </c>
      <c r="Q505" t="s">
        <v>115</v>
      </c>
      <c r="R505" s="165">
        <v>-66.84</v>
      </c>
      <c r="S505" s="114">
        <v>46122</v>
      </c>
      <c r="T505" s="1" t="s">
        <v>146</v>
      </c>
    </row>
    <row r="506" spans="15:20" x14ac:dyDescent="0.25">
      <c r="O506" t="s">
        <v>302</v>
      </c>
      <c r="P506" t="s">
        <v>234</v>
      </c>
      <c r="Q506" t="s">
        <v>114</v>
      </c>
      <c r="R506" s="165">
        <v>-7</v>
      </c>
      <c r="S506" s="114">
        <v>46121</v>
      </c>
      <c r="T506" s="1" t="s">
        <v>146</v>
      </c>
    </row>
    <row r="507" spans="15:20" x14ac:dyDescent="0.25">
      <c r="O507" t="s">
        <v>302</v>
      </c>
      <c r="P507" t="s">
        <v>234</v>
      </c>
      <c r="Q507" t="s">
        <v>115</v>
      </c>
      <c r="R507" s="165">
        <v>-7.5</v>
      </c>
      <c r="S507" s="114">
        <v>46121</v>
      </c>
      <c r="T507" s="1" t="s">
        <v>146</v>
      </c>
    </row>
    <row r="508" spans="15:20" x14ac:dyDescent="0.25">
      <c r="O508" t="s">
        <v>205</v>
      </c>
      <c r="P508" t="s">
        <v>128</v>
      </c>
      <c r="Q508" t="s">
        <v>115</v>
      </c>
      <c r="R508" s="165">
        <v>-25.75</v>
      </c>
      <c r="S508" s="114">
        <v>46121</v>
      </c>
      <c r="T508" s="1" t="s">
        <v>146</v>
      </c>
    </row>
    <row r="509" spans="15:20" x14ac:dyDescent="0.25">
      <c r="O509" t="s">
        <v>205</v>
      </c>
      <c r="P509" t="s">
        <v>128</v>
      </c>
      <c r="Q509" t="s">
        <v>115</v>
      </c>
      <c r="R509" s="165">
        <v>-64.62</v>
      </c>
      <c r="S509" s="114">
        <v>46121</v>
      </c>
      <c r="T509" s="1" t="s">
        <v>146</v>
      </c>
    </row>
    <row r="510" spans="15:20" x14ac:dyDescent="0.25">
      <c r="O510" t="s">
        <v>324</v>
      </c>
      <c r="P510" t="s">
        <v>303</v>
      </c>
      <c r="Q510" t="s">
        <v>115</v>
      </c>
      <c r="R510" s="165">
        <v>200</v>
      </c>
      <c r="S510" s="114">
        <v>46120</v>
      </c>
      <c r="T510" s="1" t="s">
        <v>146</v>
      </c>
    </row>
    <row r="511" spans="15:20" x14ac:dyDescent="0.25">
      <c r="O511" t="s">
        <v>369</v>
      </c>
      <c r="P511" t="s">
        <v>234</v>
      </c>
      <c r="Q511" t="s">
        <v>115</v>
      </c>
      <c r="R511" s="165">
        <v>42</v>
      </c>
      <c r="S511" s="114">
        <v>46120</v>
      </c>
      <c r="T511" s="1" t="s">
        <v>146</v>
      </c>
    </row>
    <row r="512" spans="15:20" x14ac:dyDescent="0.25">
      <c r="O512" t="s">
        <v>324</v>
      </c>
      <c r="P512" t="s">
        <v>303</v>
      </c>
      <c r="Q512" t="s">
        <v>115</v>
      </c>
      <c r="R512" s="165">
        <v>30</v>
      </c>
      <c r="S512" s="114">
        <v>46120</v>
      </c>
      <c r="T512" s="1" t="s">
        <v>146</v>
      </c>
    </row>
    <row r="513" spans="15:20" x14ac:dyDescent="0.25">
      <c r="O513" t="s">
        <v>205</v>
      </c>
      <c r="P513" t="s">
        <v>128</v>
      </c>
      <c r="Q513" t="s">
        <v>115</v>
      </c>
      <c r="R513" s="165">
        <v>-5</v>
      </c>
      <c r="S513" s="114">
        <v>46120</v>
      </c>
      <c r="T513" s="1" t="s">
        <v>146</v>
      </c>
    </row>
    <row r="514" spans="15:20" x14ac:dyDescent="0.25">
      <c r="O514" t="s">
        <v>369</v>
      </c>
      <c r="P514" t="s">
        <v>234</v>
      </c>
      <c r="Q514" t="s">
        <v>114</v>
      </c>
      <c r="R514" s="165">
        <v>-42</v>
      </c>
      <c r="S514" s="114">
        <v>46120</v>
      </c>
      <c r="T514" s="1" t="s">
        <v>146</v>
      </c>
    </row>
    <row r="515" spans="15:20" x14ac:dyDescent="0.25">
      <c r="O515" t="s">
        <v>205</v>
      </c>
      <c r="P515" t="s">
        <v>128</v>
      </c>
      <c r="Q515" t="s">
        <v>115</v>
      </c>
      <c r="R515" s="165">
        <v>-97.37</v>
      </c>
      <c r="S515" s="114">
        <v>46120</v>
      </c>
      <c r="T515" s="1" t="s">
        <v>146</v>
      </c>
    </row>
    <row r="516" spans="15:20" x14ac:dyDescent="0.25">
      <c r="O516" t="s">
        <v>324</v>
      </c>
      <c r="P516" t="s">
        <v>128</v>
      </c>
      <c r="Q516" t="s">
        <v>115</v>
      </c>
      <c r="R516" s="165">
        <v>93</v>
      </c>
      <c r="S516" s="114">
        <v>46119</v>
      </c>
      <c r="T516" s="1" t="s">
        <v>146</v>
      </c>
    </row>
    <row r="517" spans="15:20" x14ac:dyDescent="0.25">
      <c r="O517" t="s">
        <v>389</v>
      </c>
      <c r="P517" t="s">
        <v>128</v>
      </c>
      <c r="Q517" t="s">
        <v>114</v>
      </c>
      <c r="R517" s="165">
        <v>50</v>
      </c>
      <c r="S517" s="114">
        <v>46119</v>
      </c>
      <c r="T517" s="1" t="s">
        <v>146</v>
      </c>
    </row>
    <row r="518" spans="15:20" x14ac:dyDescent="0.25">
      <c r="O518" t="s">
        <v>298</v>
      </c>
      <c r="P518" t="s">
        <v>128</v>
      </c>
      <c r="Q518" t="s">
        <v>115</v>
      </c>
      <c r="R518" s="165">
        <v>-5</v>
      </c>
      <c r="S518" s="114">
        <v>46119</v>
      </c>
      <c r="T518" s="1" t="s">
        <v>146</v>
      </c>
    </row>
    <row r="519" spans="15:20" x14ac:dyDescent="0.25">
      <c r="O519" t="s">
        <v>205</v>
      </c>
      <c r="P519" t="s">
        <v>128</v>
      </c>
      <c r="Q519" t="s">
        <v>115</v>
      </c>
      <c r="R519" s="165">
        <v>-8.5</v>
      </c>
      <c r="S519" s="114">
        <v>46119</v>
      </c>
      <c r="T519" s="1" t="s">
        <v>146</v>
      </c>
    </row>
    <row r="520" spans="15:20" x14ac:dyDescent="0.25">
      <c r="O520" t="s">
        <v>298</v>
      </c>
      <c r="P520" t="s">
        <v>128</v>
      </c>
      <c r="Q520" t="s">
        <v>115</v>
      </c>
      <c r="R520" s="165">
        <v>-10</v>
      </c>
      <c r="S520" s="114">
        <v>46119</v>
      </c>
      <c r="T520" s="1" t="s">
        <v>146</v>
      </c>
    </row>
    <row r="521" spans="15:20" x14ac:dyDescent="0.25">
      <c r="O521" t="s">
        <v>205</v>
      </c>
      <c r="P521" t="s">
        <v>128</v>
      </c>
      <c r="Q521" t="s">
        <v>115</v>
      </c>
      <c r="R521" s="165">
        <v>-22.5</v>
      </c>
      <c r="S521" s="114">
        <v>46119</v>
      </c>
      <c r="T521" s="1" t="s">
        <v>146</v>
      </c>
    </row>
    <row r="522" spans="15:20" x14ac:dyDescent="0.25">
      <c r="O522" t="s">
        <v>389</v>
      </c>
      <c r="P522" t="s">
        <v>128</v>
      </c>
      <c r="Q522" t="s">
        <v>115</v>
      </c>
      <c r="R522" s="165">
        <v>-50</v>
      </c>
      <c r="S522" s="114">
        <v>46119</v>
      </c>
      <c r="T522" s="1" t="s">
        <v>146</v>
      </c>
    </row>
    <row r="523" spans="15:20" x14ac:dyDescent="0.25">
      <c r="O523" t="s">
        <v>205</v>
      </c>
      <c r="P523" t="s">
        <v>128</v>
      </c>
      <c r="Q523" t="s">
        <v>115</v>
      </c>
      <c r="R523" s="165">
        <v>11673.47</v>
      </c>
      <c r="S523" s="114">
        <v>46118</v>
      </c>
      <c r="T523" s="1" t="s">
        <v>146</v>
      </c>
    </row>
    <row r="524" spans="15:20" x14ac:dyDescent="0.25">
      <c r="O524" t="s">
        <v>303</v>
      </c>
      <c r="P524" t="s">
        <v>128</v>
      </c>
      <c r="Q524" t="s">
        <v>115</v>
      </c>
      <c r="R524" s="165">
        <v>1400</v>
      </c>
      <c r="S524" s="114">
        <v>46118</v>
      </c>
      <c r="T524" s="1" t="s">
        <v>146</v>
      </c>
    </row>
    <row r="525" spans="15:20" x14ac:dyDescent="0.25">
      <c r="O525" t="s">
        <v>303</v>
      </c>
      <c r="P525" t="s">
        <v>128</v>
      </c>
      <c r="Q525" t="s">
        <v>114</v>
      </c>
      <c r="R525" s="165">
        <v>679</v>
      </c>
      <c r="S525" s="114">
        <v>46118</v>
      </c>
      <c r="T525" s="1" t="s">
        <v>146</v>
      </c>
    </row>
    <row r="526" spans="15:20" x14ac:dyDescent="0.25">
      <c r="O526" t="s">
        <v>298</v>
      </c>
      <c r="P526" t="s">
        <v>128</v>
      </c>
      <c r="Q526" t="s">
        <v>115</v>
      </c>
      <c r="R526" s="165">
        <v>-5</v>
      </c>
      <c r="S526" s="114">
        <v>46118</v>
      </c>
      <c r="T526" s="1" t="s">
        <v>146</v>
      </c>
    </row>
    <row r="527" spans="15:20" x14ac:dyDescent="0.25">
      <c r="O527" t="s">
        <v>379</v>
      </c>
      <c r="P527" t="s">
        <v>234</v>
      </c>
      <c r="Q527" t="s">
        <v>115</v>
      </c>
      <c r="R527" s="165">
        <v>-7.51</v>
      </c>
      <c r="S527" s="114">
        <v>46118</v>
      </c>
      <c r="T527" s="1" t="s">
        <v>146</v>
      </c>
    </row>
    <row r="528" spans="15:20" x14ac:dyDescent="0.25">
      <c r="O528" t="s">
        <v>370</v>
      </c>
      <c r="P528" t="s">
        <v>234</v>
      </c>
      <c r="Q528" t="s">
        <v>115</v>
      </c>
      <c r="R528" s="165">
        <v>-10</v>
      </c>
      <c r="S528" s="114">
        <v>46118</v>
      </c>
      <c r="T528" s="1" t="s">
        <v>146</v>
      </c>
    </row>
    <row r="529" spans="15:20" x14ac:dyDescent="0.25">
      <c r="O529" t="s">
        <v>302</v>
      </c>
      <c r="P529" t="s">
        <v>234</v>
      </c>
      <c r="Q529" t="s">
        <v>115</v>
      </c>
      <c r="R529" s="165">
        <v>-14</v>
      </c>
      <c r="S529" s="114">
        <v>46118</v>
      </c>
      <c r="T529" s="1" t="s">
        <v>146</v>
      </c>
    </row>
    <row r="530" spans="15:20" x14ac:dyDescent="0.25">
      <c r="O530" t="s">
        <v>302</v>
      </c>
      <c r="P530" t="s">
        <v>234</v>
      </c>
      <c r="Q530" t="s">
        <v>114</v>
      </c>
      <c r="R530" s="165">
        <v>-20</v>
      </c>
      <c r="S530" s="114">
        <v>46118</v>
      </c>
      <c r="T530" s="1" t="s">
        <v>146</v>
      </c>
    </row>
    <row r="531" spans="15:20" x14ac:dyDescent="0.25">
      <c r="O531" t="s">
        <v>205</v>
      </c>
      <c r="P531" t="s">
        <v>128</v>
      </c>
      <c r="Q531" t="s">
        <v>115</v>
      </c>
      <c r="R531" s="165">
        <v>-20.25</v>
      </c>
      <c r="S531" s="114">
        <v>46118</v>
      </c>
      <c r="T531" s="1" t="s">
        <v>146</v>
      </c>
    </row>
    <row r="532" spans="15:20" x14ac:dyDescent="0.25">
      <c r="O532" t="s">
        <v>205</v>
      </c>
      <c r="P532" t="s">
        <v>128</v>
      </c>
      <c r="Q532" t="s">
        <v>115</v>
      </c>
      <c r="R532" s="165">
        <v>-37.25</v>
      </c>
      <c r="S532" s="114">
        <v>46118</v>
      </c>
      <c r="T532" s="1" t="s">
        <v>146</v>
      </c>
    </row>
    <row r="533" spans="15:20" x14ac:dyDescent="0.25">
      <c r="O533" t="s">
        <v>205</v>
      </c>
      <c r="P533" t="s">
        <v>128</v>
      </c>
      <c r="Q533" t="s">
        <v>115</v>
      </c>
      <c r="R533" s="165">
        <v>-37.25</v>
      </c>
      <c r="S533" s="114">
        <v>46118</v>
      </c>
      <c r="T533" s="1" t="s">
        <v>146</v>
      </c>
    </row>
    <row r="534" spans="15:20" x14ac:dyDescent="0.25">
      <c r="O534" t="s">
        <v>205</v>
      </c>
      <c r="P534" t="s">
        <v>128</v>
      </c>
      <c r="Q534" t="s">
        <v>115</v>
      </c>
      <c r="R534" s="165">
        <v>-46</v>
      </c>
      <c r="S534" s="114">
        <v>46118</v>
      </c>
      <c r="T534" s="1" t="s">
        <v>146</v>
      </c>
    </row>
    <row r="535" spans="15:20" x14ac:dyDescent="0.25">
      <c r="O535" t="s">
        <v>205</v>
      </c>
      <c r="P535" t="s">
        <v>128</v>
      </c>
      <c r="Q535" t="s">
        <v>115</v>
      </c>
      <c r="R535" s="165">
        <v>-73.47</v>
      </c>
      <c r="S535" s="114">
        <v>46118</v>
      </c>
      <c r="T535" s="1" t="s">
        <v>146</v>
      </c>
    </row>
    <row r="536" spans="15:20" x14ac:dyDescent="0.25">
      <c r="O536" t="s">
        <v>298</v>
      </c>
      <c r="P536" t="s">
        <v>128</v>
      </c>
      <c r="Q536" t="s">
        <v>115</v>
      </c>
      <c r="R536" s="165">
        <v>-75</v>
      </c>
      <c r="S536" s="114">
        <v>46118</v>
      </c>
      <c r="T536" s="1" t="s">
        <v>146</v>
      </c>
    </row>
    <row r="537" spans="15:20" x14ac:dyDescent="0.25">
      <c r="O537" t="s">
        <v>205</v>
      </c>
      <c r="P537" t="s">
        <v>128</v>
      </c>
      <c r="Q537" t="s">
        <v>115</v>
      </c>
      <c r="R537" s="165">
        <v>-97.49</v>
      </c>
      <c r="S537" s="114">
        <v>46118</v>
      </c>
      <c r="T537" s="1" t="s">
        <v>146</v>
      </c>
    </row>
    <row r="538" spans="15:20" x14ac:dyDescent="0.25">
      <c r="O538" t="s">
        <v>372</v>
      </c>
      <c r="P538" t="s">
        <v>234</v>
      </c>
      <c r="Q538" t="s">
        <v>115</v>
      </c>
      <c r="R538" s="165">
        <v>-102.5</v>
      </c>
      <c r="S538" s="114">
        <v>46118</v>
      </c>
      <c r="T538" s="1" t="s">
        <v>146</v>
      </c>
    </row>
    <row r="539" spans="15:20" x14ac:dyDescent="0.25">
      <c r="O539" t="s">
        <v>205</v>
      </c>
      <c r="P539" t="s">
        <v>128</v>
      </c>
      <c r="Q539" t="s">
        <v>115</v>
      </c>
      <c r="R539" s="165">
        <v>-131</v>
      </c>
      <c r="S539" s="114">
        <v>46118</v>
      </c>
      <c r="T539" s="1" t="s">
        <v>146</v>
      </c>
    </row>
    <row r="540" spans="15:20" x14ac:dyDescent="0.25">
      <c r="O540" t="s">
        <v>205</v>
      </c>
      <c r="P540" t="s">
        <v>128</v>
      </c>
      <c r="Q540" t="s">
        <v>115</v>
      </c>
      <c r="R540" s="165">
        <v>-216</v>
      </c>
      <c r="S540" s="114">
        <v>46118</v>
      </c>
      <c r="T540" s="1" t="s">
        <v>146</v>
      </c>
    </row>
    <row r="541" spans="15:20" x14ac:dyDescent="0.25">
      <c r="O541" t="s">
        <v>205</v>
      </c>
      <c r="P541" t="s">
        <v>128</v>
      </c>
      <c r="Q541" t="s">
        <v>115</v>
      </c>
      <c r="R541" s="165">
        <v>-412.66</v>
      </c>
      <c r="S541" s="114">
        <v>46118</v>
      </c>
      <c r="T541" s="1" t="s">
        <v>146</v>
      </c>
    </row>
    <row r="542" spans="15:20" x14ac:dyDescent="0.25">
      <c r="O542" t="s">
        <v>205</v>
      </c>
      <c r="P542" t="s">
        <v>128</v>
      </c>
      <c r="Q542" t="s">
        <v>115</v>
      </c>
      <c r="R542" s="165">
        <v>-464.300000000019</v>
      </c>
      <c r="S542" s="114">
        <v>46118</v>
      </c>
      <c r="T542" s="1" t="s">
        <v>146</v>
      </c>
    </row>
    <row r="543" spans="15:20" x14ac:dyDescent="0.25">
      <c r="O543" t="s">
        <v>302</v>
      </c>
      <c r="P543" t="s">
        <v>234</v>
      </c>
      <c r="Q543" t="s">
        <v>115</v>
      </c>
      <c r="R543" s="165">
        <v>-495.79</v>
      </c>
      <c r="S543" s="114">
        <v>46118</v>
      </c>
      <c r="T543" s="1" t="s">
        <v>146</v>
      </c>
    </row>
    <row r="544" spans="15:20" x14ac:dyDescent="0.25">
      <c r="O544" t="s">
        <v>303</v>
      </c>
      <c r="P544" t="s">
        <v>128</v>
      </c>
      <c r="Q544" t="s">
        <v>115</v>
      </c>
      <c r="R544" s="165">
        <v>-679</v>
      </c>
      <c r="S544" s="114">
        <v>46118</v>
      </c>
      <c r="T544" s="1" t="s">
        <v>146</v>
      </c>
    </row>
    <row r="545" spans="15:20" x14ac:dyDescent="0.25">
      <c r="O545" t="s">
        <v>303</v>
      </c>
      <c r="P545" t="s">
        <v>128</v>
      </c>
      <c r="Q545" t="s">
        <v>114</v>
      </c>
      <c r="R545" s="165">
        <v>-1400</v>
      </c>
      <c r="S545" s="114">
        <v>46118</v>
      </c>
      <c r="T545" s="1" t="s">
        <v>146</v>
      </c>
    </row>
    <row r="546" spans="15:20" x14ac:dyDescent="0.25">
      <c r="O546" t="s">
        <v>205</v>
      </c>
      <c r="P546" t="s">
        <v>128</v>
      </c>
      <c r="Q546" t="s">
        <v>115</v>
      </c>
      <c r="R546" s="165">
        <v>-1400</v>
      </c>
      <c r="S546" s="114">
        <v>46118</v>
      </c>
      <c r="T546" s="1" t="s">
        <v>146</v>
      </c>
    </row>
    <row r="547" spans="15:20" x14ac:dyDescent="0.25">
      <c r="O547" t="s">
        <v>324</v>
      </c>
      <c r="P547" t="s">
        <v>128</v>
      </c>
      <c r="Q547" t="s">
        <v>115</v>
      </c>
      <c r="R547" s="165">
        <v>375</v>
      </c>
      <c r="S547" s="114">
        <v>46117</v>
      </c>
      <c r="T547" s="1" t="s">
        <v>146</v>
      </c>
    </row>
    <row r="548" spans="15:20" x14ac:dyDescent="0.25">
      <c r="O548" t="s">
        <v>298</v>
      </c>
      <c r="P548" t="s">
        <v>128</v>
      </c>
      <c r="Q548" t="s">
        <v>115</v>
      </c>
      <c r="R548" s="165">
        <v>36</v>
      </c>
      <c r="S548" s="114">
        <v>46117</v>
      </c>
      <c r="T548" s="1" t="s">
        <v>146</v>
      </c>
    </row>
    <row r="549" spans="15:20" x14ac:dyDescent="0.25">
      <c r="O549" t="s">
        <v>298</v>
      </c>
      <c r="P549" t="s">
        <v>128</v>
      </c>
      <c r="Q549" t="s">
        <v>115</v>
      </c>
      <c r="R549" s="165">
        <v>-10</v>
      </c>
      <c r="S549" s="114">
        <v>46117</v>
      </c>
      <c r="T549" s="1" t="s">
        <v>146</v>
      </c>
    </row>
    <row r="550" spans="15:20" x14ac:dyDescent="0.25">
      <c r="O550" t="s">
        <v>298</v>
      </c>
      <c r="P550" t="s">
        <v>128</v>
      </c>
      <c r="Q550" t="s">
        <v>114</v>
      </c>
      <c r="R550" s="165">
        <v>-36</v>
      </c>
      <c r="S550" s="114">
        <v>46117</v>
      </c>
      <c r="T550" s="1" t="s">
        <v>146</v>
      </c>
    </row>
    <row r="551" spans="15:20" x14ac:dyDescent="0.25">
      <c r="O551" t="s">
        <v>205</v>
      </c>
      <c r="P551" t="s">
        <v>128</v>
      </c>
      <c r="Q551" t="s">
        <v>115</v>
      </c>
      <c r="R551" s="165">
        <v>-270</v>
      </c>
      <c r="S551" s="114">
        <v>46117</v>
      </c>
      <c r="T551" s="1" t="s">
        <v>146</v>
      </c>
    </row>
    <row r="552" spans="15:20" x14ac:dyDescent="0.25">
      <c r="O552" t="s">
        <v>205</v>
      </c>
      <c r="P552" t="s">
        <v>128</v>
      </c>
      <c r="Q552" t="s">
        <v>115</v>
      </c>
      <c r="R552" s="165">
        <v>-375</v>
      </c>
      <c r="S552" s="114">
        <v>46117</v>
      </c>
      <c r="T552" s="1" t="s">
        <v>146</v>
      </c>
    </row>
    <row r="553" spans="15:20" x14ac:dyDescent="0.25">
      <c r="O553" t="s">
        <v>324</v>
      </c>
      <c r="P553" t="s">
        <v>128</v>
      </c>
      <c r="Q553" t="s">
        <v>115</v>
      </c>
      <c r="R553" s="165">
        <v>250</v>
      </c>
      <c r="S553" s="114">
        <v>46116</v>
      </c>
      <c r="T553" s="1" t="s">
        <v>146</v>
      </c>
    </row>
    <row r="554" spans="15:20" x14ac:dyDescent="0.25">
      <c r="O554" t="s">
        <v>324</v>
      </c>
      <c r="P554" t="s">
        <v>128</v>
      </c>
      <c r="Q554" t="s">
        <v>115</v>
      </c>
      <c r="R554" s="165">
        <v>140</v>
      </c>
      <c r="S554" s="114">
        <v>46116</v>
      </c>
      <c r="T554" s="1" t="s">
        <v>146</v>
      </c>
    </row>
    <row r="555" spans="15:20" x14ac:dyDescent="0.25">
      <c r="O555" t="s">
        <v>324</v>
      </c>
      <c r="P555" t="s">
        <v>128</v>
      </c>
      <c r="Q555" t="s">
        <v>115</v>
      </c>
      <c r="R555" s="165">
        <v>140</v>
      </c>
      <c r="S555" s="114">
        <v>46116</v>
      </c>
      <c r="T555" s="1" t="s">
        <v>146</v>
      </c>
    </row>
    <row r="556" spans="15:20" x14ac:dyDescent="0.25">
      <c r="O556" t="s">
        <v>302</v>
      </c>
      <c r="P556" t="s">
        <v>234</v>
      </c>
      <c r="Q556" t="s">
        <v>114</v>
      </c>
      <c r="R556" s="165">
        <v>-4</v>
      </c>
      <c r="S556" s="114">
        <v>46116</v>
      </c>
      <c r="T556" s="1" t="s">
        <v>146</v>
      </c>
    </row>
    <row r="557" spans="15:20" x14ac:dyDescent="0.25">
      <c r="O557" t="s">
        <v>302</v>
      </c>
      <c r="P557" t="s">
        <v>234</v>
      </c>
      <c r="Q557" t="s">
        <v>114</v>
      </c>
      <c r="R557" s="165">
        <v>-6</v>
      </c>
      <c r="S557" s="114">
        <v>46116</v>
      </c>
      <c r="T557" s="1" t="s">
        <v>146</v>
      </c>
    </row>
    <row r="558" spans="15:20" x14ac:dyDescent="0.25">
      <c r="O558" t="s">
        <v>302</v>
      </c>
      <c r="P558" t="s">
        <v>234</v>
      </c>
      <c r="Q558" t="s">
        <v>114</v>
      </c>
      <c r="R558" s="165">
        <v>-6</v>
      </c>
      <c r="S558" s="114">
        <v>46116</v>
      </c>
      <c r="T558" s="1" t="s">
        <v>146</v>
      </c>
    </row>
    <row r="559" spans="15:20" x14ac:dyDescent="0.25">
      <c r="O559" t="s">
        <v>385</v>
      </c>
      <c r="P559" t="s">
        <v>234</v>
      </c>
      <c r="Q559" t="s">
        <v>115</v>
      </c>
      <c r="R559" s="165">
        <v>-10</v>
      </c>
      <c r="S559" s="114">
        <v>46116</v>
      </c>
      <c r="T559" s="1" t="s">
        <v>146</v>
      </c>
    </row>
    <row r="560" spans="15:20" x14ac:dyDescent="0.25">
      <c r="O560" t="s">
        <v>385</v>
      </c>
      <c r="P560" t="s">
        <v>234</v>
      </c>
      <c r="Q560" t="s">
        <v>114</v>
      </c>
      <c r="R560" s="165">
        <v>-20</v>
      </c>
      <c r="S560" s="114">
        <v>46116</v>
      </c>
      <c r="T560" s="1" t="s">
        <v>146</v>
      </c>
    </row>
    <row r="561" spans="15:20" x14ac:dyDescent="0.25">
      <c r="O561" t="s">
        <v>205</v>
      </c>
      <c r="P561" t="s">
        <v>128</v>
      </c>
      <c r="Q561" t="s">
        <v>115</v>
      </c>
      <c r="R561" s="165">
        <v>-306</v>
      </c>
      <c r="S561" s="114">
        <v>46116</v>
      </c>
      <c r="T561" s="1" t="s">
        <v>146</v>
      </c>
    </row>
    <row r="562" spans="15:20" x14ac:dyDescent="0.25">
      <c r="O562" t="s">
        <v>296</v>
      </c>
      <c r="P562" t="s">
        <v>234</v>
      </c>
      <c r="Q562" t="s">
        <v>114</v>
      </c>
      <c r="R562" s="165">
        <v>-4.5</v>
      </c>
      <c r="S562" s="114">
        <v>46115</v>
      </c>
      <c r="T562" s="1" t="s">
        <v>146</v>
      </c>
    </row>
    <row r="563" spans="15:20" x14ac:dyDescent="0.25">
      <c r="O563" t="s">
        <v>205</v>
      </c>
      <c r="P563" t="s">
        <v>128</v>
      </c>
      <c r="Q563" t="s">
        <v>115</v>
      </c>
      <c r="R563" s="165">
        <v>-37.22</v>
      </c>
      <c r="S563" s="114">
        <v>46115</v>
      </c>
      <c r="T563" s="1" t="s">
        <v>146</v>
      </c>
    </row>
    <row r="564" spans="15:20" x14ac:dyDescent="0.25">
      <c r="O564" t="s">
        <v>302</v>
      </c>
      <c r="P564" t="s">
        <v>234</v>
      </c>
      <c r="Q564" t="s">
        <v>114</v>
      </c>
      <c r="R564" s="165">
        <v>-53.5</v>
      </c>
      <c r="S564" s="114">
        <v>46115</v>
      </c>
      <c r="T564" s="1" t="s">
        <v>146</v>
      </c>
    </row>
    <row r="565" spans="15:20" x14ac:dyDescent="0.25">
      <c r="O565" t="s">
        <v>302</v>
      </c>
      <c r="P565" t="s">
        <v>234</v>
      </c>
      <c r="Q565" t="s">
        <v>114</v>
      </c>
      <c r="R565" s="165">
        <v>-65</v>
      </c>
      <c r="S565" s="114">
        <v>46115</v>
      </c>
      <c r="T565" s="1" t="s">
        <v>146</v>
      </c>
    </row>
    <row r="566" spans="15:20" x14ac:dyDescent="0.25">
      <c r="O566" t="s">
        <v>205</v>
      </c>
      <c r="P566" t="s">
        <v>128</v>
      </c>
      <c r="Q566" t="s">
        <v>115</v>
      </c>
      <c r="R566" s="165">
        <v>-128.25</v>
      </c>
      <c r="S566" s="114">
        <v>46115</v>
      </c>
      <c r="T566" s="1" t="s">
        <v>146</v>
      </c>
    </row>
    <row r="567" spans="15:20" x14ac:dyDescent="0.25">
      <c r="O567" t="s">
        <v>373</v>
      </c>
      <c r="P567" t="s">
        <v>128</v>
      </c>
      <c r="Q567" t="s">
        <v>115</v>
      </c>
      <c r="R567" s="165">
        <v>-158.87</v>
      </c>
      <c r="S567" s="114">
        <v>46115</v>
      </c>
      <c r="T567" s="1" t="s">
        <v>146</v>
      </c>
    </row>
    <row r="568" spans="15:20" x14ac:dyDescent="0.25">
      <c r="O568" t="s">
        <v>205</v>
      </c>
      <c r="P568" t="s">
        <v>128</v>
      </c>
      <c r="Q568" t="s">
        <v>115</v>
      </c>
      <c r="R568" s="165">
        <v>-206.71</v>
      </c>
      <c r="S568" s="114">
        <v>46115</v>
      </c>
      <c r="T568" s="1" t="s">
        <v>146</v>
      </c>
    </row>
    <row r="569" spans="15:20" x14ac:dyDescent="0.25">
      <c r="O569" t="s">
        <v>373</v>
      </c>
      <c r="P569" t="s">
        <v>129</v>
      </c>
      <c r="Q569" t="s">
        <v>115</v>
      </c>
      <c r="R569" s="165">
        <v>-538.59</v>
      </c>
      <c r="S569" s="114">
        <v>46115</v>
      </c>
      <c r="T569" s="1" t="s">
        <v>146</v>
      </c>
    </row>
    <row r="570" spans="15:20" x14ac:dyDescent="0.25">
      <c r="O570" t="s">
        <v>298</v>
      </c>
      <c r="P570" t="s">
        <v>128</v>
      </c>
      <c r="Q570" t="s">
        <v>115</v>
      </c>
      <c r="R570" s="165">
        <v>313.5</v>
      </c>
      <c r="S570" s="114">
        <v>46114</v>
      </c>
      <c r="T570" s="1" t="s">
        <v>146</v>
      </c>
    </row>
    <row r="571" spans="15:20" x14ac:dyDescent="0.25">
      <c r="O571" t="s">
        <v>298</v>
      </c>
      <c r="P571" t="s">
        <v>303</v>
      </c>
      <c r="Q571" t="s">
        <v>115</v>
      </c>
      <c r="R571" s="165">
        <v>250</v>
      </c>
      <c r="S571" s="114">
        <v>46114</v>
      </c>
      <c r="T571" s="1" t="s">
        <v>146</v>
      </c>
    </row>
    <row r="572" spans="15:20" x14ac:dyDescent="0.25">
      <c r="O572" t="s">
        <v>307</v>
      </c>
      <c r="P572" t="s">
        <v>128</v>
      </c>
      <c r="Q572" t="s">
        <v>115</v>
      </c>
      <c r="R572" s="165">
        <v>200</v>
      </c>
      <c r="S572" s="114">
        <v>46114</v>
      </c>
      <c r="T572" s="1" t="s">
        <v>146</v>
      </c>
    </row>
    <row r="573" spans="15:20" x14ac:dyDescent="0.25">
      <c r="O573" t="s">
        <v>298</v>
      </c>
      <c r="P573" t="s">
        <v>128</v>
      </c>
      <c r="Q573" t="s">
        <v>115</v>
      </c>
      <c r="R573" s="165">
        <v>-6.5</v>
      </c>
      <c r="S573" s="114">
        <v>46114</v>
      </c>
      <c r="T573" s="1" t="s">
        <v>146</v>
      </c>
    </row>
    <row r="574" spans="15:20" x14ac:dyDescent="0.25">
      <c r="O574" t="s">
        <v>302</v>
      </c>
      <c r="P574" t="s">
        <v>234</v>
      </c>
      <c r="Q574" t="s">
        <v>115</v>
      </c>
      <c r="R574" s="165">
        <v>-11</v>
      </c>
      <c r="S574" s="114">
        <v>46114</v>
      </c>
      <c r="T574" s="1" t="s">
        <v>146</v>
      </c>
    </row>
    <row r="575" spans="15:20" x14ac:dyDescent="0.25">
      <c r="O575" t="s">
        <v>205</v>
      </c>
      <c r="P575" t="s">
        <v>128</v>
      </c>
      <c r="Q575" t="s">
        <v>115</v>
      </c>
      <c r="R575" s="165">
        <v>-11.5</v>
      </c>
      <c r="S575" s="114">
        <v>46114</v>
      </c>
      <c r="T575" s="1" t="s">
        <v>146</v>
      </c>
    </row>
    <row r="576" spans="15:20" x14ac:dyDescent="0.25">
      <c r="O576" t="s">
        <v>383</v>
      </c>
      <c r="P576" t="s">
        <v>128</v>
      </c>
      <c r="Q576" t="s">
        <v>115</v>
      </c>
      <c r="R576" s="165">
        <v>1642.92</v>
      </c>
      <c r="S576" s="114">
        <v>46113</v>
      </c>
      <c r="T576" s="1" t="s">
        <v>146</v>
      </c>
    </row>
    <row r="577" spans="15:20" x14ac:dyDescent="0.25">
      <c r="O577" t="s">
        <v>324</v>
      </c>
      <c r="P577" t="s">
        <v>303</v>
      </c>
      <c r="Q577" t="s">
        <v>115</v>
      </c>
      <c r="R577" s="165">
        <v>11.5</v>
      </c>
      <c r="S577" s="114">
        <v>46113</v>
      </c>
      <c r="T577" s="1" t="s">
        <v>146</v>
      </c>
    </row>
    <row r="578" spans="15:20" x14ac:dyDescent="0.25">
      <c r="O578" t="s">
        <v>302</v>
      </c>
      <c r="P578" t="s">
        <v>234</v>
      </c>
      <c r="Q578" t="s">
        <v>114</v>
      </c>
      <c r="R578" s="165">
        <v>-7.5</v>
      </c>
      <c r="S578" s="114">
        <v>46113</v>
      </c>
      <c r="T578" s="1" t="s">
        <v>146</v>
      </c>
    </row>
    <row r="579" spans="15:20" x14ac:dyDescent="0.25">
      <c r="O579" t="s">
        <v>302</v>
      </c>
      <c r="P579" t="s">
        <v>234</v>
      </c>
      <c r="Q579" t="s">
        <v>115</v>
      </c>
      <c r="R579" s="165">
        <v>-14</v>
      </c>
      <c r="S579" s="114">
        <v>46113</v>
      </c>
      <c r="T579" s="1" t="s">
        <v>146</v>
      </c>
    </row>
    <row r="580" spans="15:20" x14ac:dyDescent="0.25">
      <c r="O580" t="s">
        <v>383</v>
      </c>
      <c r="P580" t="s">
        <v>129</v>
      </c>
      <c r="Q580" t="s">
        <v>114</v>
      </c>
      <c r="R580" s="165">
        <v>-57.079999999999899</v>
      </c>
      <c r="S580" s="114">
        <v>46113</v>
      </c>
      <c r="T580" s="1" t="s">
        <v>146</v>
      </c>
    </row>
    <row r="581" spans="15:20" x14ac:dyDescent="0.25">
      <c r="O581" t="s">
        <v>205</v>
      </c>
      <c r="P581" t="s">
        <v>128</v>
      </c>
      <c r="Q581" t="s">
        <v>115</v>
      </c>
      <c r="R581" s="165">
        <v>-96.75</v>
      </c>
      <c r="S581" s="114">
        <v>46113</v>
      </c>
      <c r="T581" s="1" t="s">
        <v>146</v>
      </c>
    </row>
    <row r="582" spans="15:20" x14ac:dyDescent="0.25">
      <c r="O582" t="s">
        <v>373</v>
      </c>
      <c r="P582" t="s">
        <v>128</v>
      </c>
      <c r="Q582" t="s">
        <v>115</v>
      </c>
      <c r="R582" s="165">
        <v>-622.29999999999995</v>
      </c>
      <c r="S582" s="114">
        <v>46113</v>
      </c>
      <c r="T582" s="1" t="s">
        <v>146</v>
      </c>
    </row>
    <row r="583" spans="15:20" x14ac:dyDescent="0.25">
      <c r="O583" t="s">
        <v>383</v>
      </c>
      <c r="P583" t="s">
        <v>128</v>
      </c>
      <c r="Q583" t="s">
        <v>114</v>
      </c>
      <c r="R583" s="165">
        <v>-1642.92</v>
      </c>
      <c r="S583" s="114">
        <v>46113</v>
      </c>
      <c r="T583" s="1" t="s">
        <v>146</v>
      </c>
    </row>
    <row r="584" spans="15:20" x14ac:dyDescent="0.25">
      <c r="O584" t="s">
        <v>373</v>
      </c>
      <c r="P584" t="s">
        <v>128</v>
      </c>
      <c r="Q584" t="s">
        <v>115</v>
      </c>
      <c r="R584" s="165">
        <f>-1642.92</f>
        <v>-1642.92</v>
      </c>
      <c r="S584" s="114">
        <v>46113</v>
      </c>
      <c r="T584" s="1" t="s">
        <v>146</v>
      </c>
    </row>
    <row r="585" spans="15:20" x14ac:dyDescent="0.25">
      <c r="O585" t="s">
        <v>343</v>
      </c>
      <c r="P585" t="s">
        <v>128</v>
      </c>
      <c r="Q585" t="s">
        <v>115</v>
      </c>
      <c r="R585" s="165">
        <v>165</v>
      </c>
      <c r="S585" s="114">
        <v>46112</v>
      </c>
      <c r="T585" s="1" t="s">
        <v>145</v>
      </c>
    </row>
    <row r="586" spans="15:20" x14ac:dyDescent="0.25">
      <c r="O586" t="s">
        <v>332</v>
      </c>
      <c r="P586" t="s">
        <v>128</v>
      </c>
      <c r="Q586" t="s">
        <v>115</v>
      </c>
      <c r="R586" s="165">
        <v>14.5</v>
      </c>
      <c r="S586" s="114">
        <v>46112</v>
      </c>
      <c r="T586" s="1" t="s">
        <v>145</v>
      </c>
    </row>
    <row r="587" spans="15:20" x14ac:dyDescent="0.25">
      <c r="O587" t="s">
        <v>369</v>
      </c>
      <c r="P587" t="s">
        <v>234</v>
      </c>
      <c r="Q587" t="s">
        <v>114</v>
      </c>
      <c r="R587" s="165">
        <v>-5</v>
      </c>
      <c r="S587" s="114">
        <v>46112</v>
      </c>
      <c r="T587" s="1" t="s">
        <v>145</v>
      </c>
    </row>
    <row r="588" spans="15:20" x14ac:dyDescent="0.25">
      <c r="O588" t="s">
        <v>302</v>
      </c>
      <c r="P588" t="s">
        <v>234</v>
      </c>
      <c r="Q588" t="s">
        <v>114</v>
      </c>
      <c r="R588" s="165">
        <v>-10</v>
      </c>
      <c r="S588" s="114">
        <v>46112</v>
      </c>
      <c r="T588" s="1" t="s">
        <v>145</v>
      </c>
    </row>
    <row r="589" spans="15:20" x14ac:dyDescent="0.25">
      <c r="O589" t="s">
        <v>302</v>
      </c>
      <c r="P589" t="s">
        <v>234</v>
      </c>
      <c r="Q589" t="s">
        <v>114</v>
      </c>
      <c r="R589" s="165">
        <v>-10</v>
      </c>
      <c r="S589" s="114">
        <v>46112</v>
      </c>
      <c r="T589" s="1" t="s">
        <v>145</v>
      </c>
    </row>
    <row r="590" spans="15:20" x14ac:dyDescent="0.25">
      <c r="O590" t="s">
        <v>205</v>
      </c>
      <c r="P590" t="s">
        <v>128</v>
      </c>
      <c r="Q590" t="s">
        <v>115</v>
      </c>
      <c r="R590" s="165">
        <v>-11.25</v>
      </c>
      <c r="S590" s="114">
        <v>46112</v>
      </c>
      <c r="T590" s="1" t="s">
        <v>145</v>
      </c>
    </row>
    <row r="591" spans="15:20" x14ac:dyDescent="0.25">
      <c r="O591" t="s">
        <v>332</v>
      </c>
      <c r="P591" t="s">
        <v>128</v>
      </c>
      <c r="Q591" t="s">
        <v>114</v>
      </c>
      <c r="R591" s="165">
        <v>-14.5</v>
      </c>
      <c r="S591" s="114">
        <v>46112</v>
      </c>
      <c r="T591" s="1" t="s">
        <v>145</v>
      </c>
    </row>
    <row r="592" spans="15:20" x14ac:dyDescent="0.25">
      <c r="O592" t="s">
        <v>298</v>
      </c>
      <c r="P592" t="s">
        <v>128</v>
      </c>
      <c r="Q592" t="s">
        <v>115</v>
      </c>
      <c r="R592" s="165">
        <v>-20</v>
      </c>
      <c r="S592" s="114">
        <v>46112</v>
      </c>
      <c r="T592" s="1" t="s">
        <v>145</v>
      </c>
    </row>
    <row r="593" spans="15:20" x14ac:dyDescent="0.25">
      <c r="O593" t="s">
        <v>205</v>
      </c>
      <c r="P593" t="s">
        <v>128</v>
      </c>
      <c r="Q593" t="s">
        <v>115</v>
      </c>
      <c r="R593" s="165">
        <v>-84.5</v>
      </c>
      <c r="S593" s="114">
        <v>46112</v>
      </c>
      <c r="T593" s="1" t="s">
        <v>145</v>
      </c>
    </row>
    <row r="594" spans="15:20" x14ac:dyDescent="0.25">
      <c r="O594" t="s">
        <v>343</v>
      </c>
      <c r="P594" t="s">
        <v>128</v>
      </c>
      <c r="Q594" t="s">
        <v>114</v>
      </c>
      <c r="R594" s="165">
        <v>-165</v>
      </c>
      <c r="S594" s="114">
        <v>46112</v>
      </c>
      <c r="T594" s="1" t="s">
        <v>145</v>
      </c>
    </row>
    <row r="595" spans="15:20" x14ac:dyDescent="0.25">
      <c r="O595" t="s">
        <v>373</v>
      </c>
      <c r="P595" t="s">
        <v>128</v>
      </c>
      <c r="Q595" t="s">
        <v>115</v>
      </c>
      <c r="R595" s="165">
        <v>-371.05</v>
      </c>
      <c r="S595" s="114">
        <v>46112</v>
      </c>
      <c r="T595" s="1" t="s">
        <v>145</v>
      </c>
    </row>
    <row r="596" spans="15:20" x14ac:dyDescent="0.25">
      <c r="O596" t="s">
        <v>205</v>
      </c>
      <c r="P596" t="s">
        <v>128</v>
      </c>
      <c r="Q596" t="s">
        <v>115</v>
      </c>
      <c r="R596" s="165">
        <v>-24</v>
      </c>
      <c r="S596" s="114">
        <v>46111</v>
      </c>
      <c r="T596" s="1" t="s">
        <v>145</v>
      </c>
    </row>
    <row r="597" spans="15:20" x14ac:dyDescent="0.25">
      <c r="O597" t="s">
        <v>205</v>
      </c>
      <c r="P597" t="s">
        <v>128</v>
      </c>
      <c r="Q597" t="s">
        <v>115</v>
      </c>
      <c r="R597" s="165">
        <v>-38.5</v>
      </c>
      <c r="S597" s="114">
        <v>46111</v>
      </c>
      <c r="T597" s="1" t="s">
        <v>145</v>
      </c>
    </row>
    <row r="598" spans="15:20" x14ac:dyDescent="0.25">
      <c r="O598" t="s">
        <v>382</v>
      </c>
      <c r="P598" t="s">
        <v>234</v>
      </c>
      <c r="Q598" t="s">
        <v>115</v>
      </c>
      <c r="R598" s="165">
        <v>-40</v>
      </c>
      <c r="S598" s="114">
        <v>46111</v>
      </c>
      <c r="T598" s="1" t="s">
        <v>145</v>
      </c>
    </row>
    <row r="599" spans="15:20" x14ac:dyDescent="0.25">
      <c r="O599" t="s">
        <v>205</v>
      </c>
      <c r="P599" t="s">
        <v>128</v>
      </c>
      <c r="Q599" t="s">
        <v>115</v>
      </c>
      <c r="R599" s="165">
        <v>-70.5</v>
      </c>
      <c r="S599" s="114">
        <v>46111</v>
      </c>
      <c r="T599" s="1" t="s">
        <v>145</v>
      </c>
    </row>
    <row r="600" spans="15:20" x14ac:dyDescent="0.25">
      <c r="O600" t="s">
        <v>373</v>
      </c>
      <c r="P600" t="s">
        <v>128</v>
      </c>
      <c r="Q600" t="s">
        <v>115</v>
      </c>
      <c r="R600" s="165">
        <v>-1466.81</v>
      </c>
      <c r="S600" s="114">
        <v>46111</v>
      </c>
      <c r="T600" s="1" t="s">
        <v>145</v>
      </c>
    </row>
    <row r="601" spans="15:20" x14ac:dyDescent="0.25">
      <c r="O601" t="s">
        <v>380</v>
      </c>
      <c r="P601" t="s">
        <v>128</v>
      </c>
      <c r="Q601" t="s">
        <v>115</v>
      </c>
      <c r="R601" s="165">
        <v>50</v>
      </c>
      <c r="S601" s="114">
        <v>46110</v>
      </c>
      <c r="T601" s="1" t="s">
        <v>145</v>
      </c>
    </row>
    <row r="602" spans="15:20" x14ac:dyDescent="0.25">
      <c r="O602" t="s">
        <v>381</v>
      </c>
      <c r="P602" t="s">
        <v>128</v>
      </c>
      <c r="Q602" t="s">
        <v>114</v>
      </c>
      <c r="R602" s="165">
        <v>-4</v>
      </c>
      <c r="S602" s="114">
        <v>46110</v>
      </c>
      <c r="T602" s="1" t="s">
        <v>145</v>
      </c>
    </row>
    <row r="603" spans="15:20" x14ac:dyDescent="0.25">
      <c r="O603" t="s">
        <v>302</v>
      </c>
      <c r="P603" t="s">
        <v>234</v>
      </c>
      <c r="Q603" t="s">
        <v>114</v>
      </c>
      <c r="R603" s="165">
        <v>-14.5</v>
      </c>
      <c r="S603" s="114">
        <v>46110</v>
      </c>
      <c r="T603" s="1" t="s">
        <v>145</v>
      </c>
    </row>
    <row r="604" spans="15:20" x14ac:dyDescent="0.25">
      <c r="O604" t="s">
        <v>379</v>
      </c>
      <c r="P604" t="s">
        <v>234</v>
      </c>
      <c r="Q604" t="s">
        <v>115</v>
      </c>
      <c r="R604" s="165">
        <v>-17.22</v>
      </c>
      <c r="S604" s="114">
        <v>46110</v>
      </c>
      <c r="T604" s="1" t="s">
        <v>145</v>
      </c>
    </row>
    <row r="605" spans="15:20" x14ac:dyDescent="0.25">
      <c r="O605" t="s">
        <v>379</v>
      </c>
      <c r="P605" t="s">
        <v>234</v>
      </c>
      <c r="Q605" t="s">
        <v>115</v>
      </c>
      <c r="R605" s="165">
        <v>-25.6</v>
      </c>
      <c r="S605" s="114">
        <v>46110</v>
      </c>
      <c r="T605" s="1" t="s">
        <v>145</v>
      </c>
    </row>
    <row r="606" spans="15:20" x14ac:dyDescent="0.25">
      <c r="O606" t="s">
        <v>380</v>
      </c>
      <c r="P606" t="s">
        <v>128</v>
      </c>
      <c r="Q606" t="s">
        <v>114</v>
      </c>
      <c r="R606" s="165">
        <v>-50</v>
      </c>
      <c r="S606" s="114">
        <v>46110</v>
      </c>
      <c r="T606" s="1" t="s">
        <v>145</v>
      </c>
    </row>
    <row r="607" spans="15:20" x14ac:dyDescent="0.25">
      <c r="O607" t="s">
        <v>302</v>
      </c>
      <c r="P607" t="s">
        <v>234</v>
      </c>
      <c r="Q607" t="s">
        <v>114</v>
      </c>
      <c r="R607" s="165">
        <v>-12</v>
      </c>
      <c r="S607" s="114">
        <v>46109</v>
      </c>
      <c r="T607" s="1" t="s">
        <v>145</v>
      </c>
    </row>
    <row r="608" spans="15:20" x14ac:dyDescent="0.25">
      <c r="O608" t="s">
        <v>379</v>
      </c>
      <c r="P608" t="s">
        <v>234</v>
      </c>
      <c r="Q608" t="s">
        <v>115</v>
      </c>
      <c r="R608" s="165">
        <v>-27.06</v>
      </c>
      <c r="S608" s="114">
        <v>46109</v>
      </c>
      <c r="T608" s="1" t="s">
        <v>145</v>
      </c>
    </row>
    <row r="609" spans="15:20" x14ac:dyDescent="0.25">
      <c r="O609" t="s">
        <v>296</v>
      </c>
      <c r="P609" t="s">
        <v>234</v>
      </c>
      <c r="Q609" t="s">
        <v>114</v>
      </c>
      <c r="R609" s="165">
        <v>-35.5</v>
      </c>
      <c r="S609" s="114">
        <v>46109</v>
      </c>
      <c r="T609" s="1" t="s">
        <v>145</v>
      </c>
    </row>
    <row r="610" spans="15:20" x14ac:dyDescent="0.25">
      <c r="O610" t="s">
        <v>302</v>
      </c>
      <c r="P610" t="s">
        <v>234</v>
      </c>
      <c r="Q610" t="s">
        <v>114</v>
      </c>
      <c r="R610" s="165">
        <v>-70</v>
      </c>
      <c r="S610" s="114">
        <v>46109</v>
      </c>
      <c r="T610" s="1" t="s">
        <v>145</v>
      </c>
    </row>
    <row r="611" spans="15:20" x14ac:dyDescent="0.25">
      <c r="O611" t="s">
        <v>302</v>
      </c>
      <c r="P611" t="s">
        <v>234</v>
      </c>
      <c r="Q611" t="s">
        <v>114</v>
      </c>
      <c r="R611" s="165">
        <v>-85.5</v>
      </c>
      <c r="S611" s="114">
        <v>46109</v>
      </c>
      <c r="T611" s="1" t="s">
        <v>145</v>
      </c>
    </row>
    <row r="612" spans="15:20" x14ac:dyDescent="0.25">
      <c r="O612" t="s">
        <v>324</v>
      </c>
      <c r="P612" t="s">
        <v>128</v>
      </c>
      <c r="Q612" t="s">
        <v>115</v>
      </c>
      <c r="R612" s="165">
        <v>1200</v>
      </c>
      <c r="S612" s="114">
        <v>46108</v>
      </c>
      <c r="T612" s="1" t="s">
        <v>145</v>
      </c>
    </row>
    <row r="613" spans="15:20" x14ac:dyDescent="0.25">
      <c r="O613" t="s">
        <v>302</v>
      </c>
      <c r="P613" t="s">
        <v>234</v>
      </c>
      <c r="Q613" t="s">
        <v>114</v>
      </c>
      <c r="R613" s="165">
        <v>-7</v>
      </c>
      <c r="S613" s="114">
        <v>46108</v>
      </c>
      <c r="T613" s="1" t="s">
        <v>145</v>
      </c>
    </row>
    <row r="614" spans="15:20" x14ac:dyDescent="0.25">
      <c r="O614" t="s">
        <v>373</v>
      </c>
      <c r="P614" t="s">
        <v>128</v>
      </c>
      <c r="Q614" t="s">
        <v>115</v>
      </c>
      <c r="R614" s="165">
        <v>-538.04999999999995</v>
      </c>
      <c r="S614" s="114">
        <v>46108</v>
      </c>
      <c r="T614" s="1" t="s">
        <v>145</v>
      </c>
    </row>
    <row r="615" spans="15:20" x14ac:dyDescent="0.25">
      <c r="O615" t="s">
        <v>205</v>
      </c>
      <c r="P615" t="s">
        <v>128</v>
      </c>
      <c r="Q615" t="s">
        <v>115</v>
      </c>
      <c r="R615" s="165">
        <v>-5.12</v>
      </c>
      <c r="S615" s="114">
        <v>46107</v>
      </c>
      <c r="T615" s="1" t="s">
        <v>145</v>
      </c>
    </row>
    <row r="616" spans="15:20" x14ac:dyDescent="0.25">
      <c r="O616" t="s">
        <v>302</v>
      </c>
      <c r="P616" t="s">
        <v>234</v>
      </c>
      <c r="Q616" t="s">
        <v>115</v>
      </c>
      <c r="R616" s="165">
        <v>-14</v>
      </c>
      <c r="S616" s="114">
        <v>46107</v>
      </c>
      <c r="T616" s="1" t="s">
        <v>145</v>
      </c>
    </row>
    <row r="617" spans="15:20" x14ac:dyDescent="0.25">
      <c r="O617" t="s">
        <v>205</v>
      </c>
      <c r="P617" t="s">
        <v>128</v>
      </c>
      <c r="Q617" t="s">
        <v>115</v>
      </c>
      <c r="R617" s="165">
        <v>-29.5</v>
      </c>
      <c r="S617" s="114">
        <v>46107</v>
      </c>
      <c r="T617" s="1" t="s">
        <v>145</v>
      </c>
    </row>
    <row r="618" spans="15:20" x14ac:dyDescent="0.25">
      <c r="O618" t="s">
        <v>205</v>
      </c>
      <c r="P618" t="s">
        <v>128</v>
      </c>
      <c r="Q618" t="s">
        <v>115</v>
      </c>
      <c r="R618" s="165">
        <v>-63.75</v>
      </c>
      <c r="S618" s="114">
        <v>46107</v>
      </c>
      <c r="T618" s="1" t="s">
        <v>145</v>
      </c>
    </row>
    <row r="619" spans="15:20" x14ac:dyDescent="0.25">
      <c r="O619" t="s">
        <v>349</v>
      </c>
      <c r="P619" t="s">
        <v>128</v>
      </c>
      <c r="Q619" t="s">
        <v>114</v>
      </c>
      <c r="R619" s="165">
        <v>-185</v>
      </c>
      <c r="S619" s="114">
        <v>46107</v>
      </c>
      <c r="T619" s="1" t="s">
        <v>145</v>
      </c>
    </row>
    <row r="620" spans="15:20" x14ac:dyDescent="0.25">
      <c r="O620" t="s">
        <v>373</v>
      </c>
      <c r="P620" t="s">
        <v>128</v>
      </c>
      <c r="Q620" t="s">
        <v>115</v>
      </c>
      <c r="R620" s="165">
        <v>1810</v>
      </c>
      <c r="S620" s="114">
        <v>46106</v>
      </c>
      <c r="T620" s="1" t="s">
        <v>145</v>
      </c>
    </row>
    <row r="621" spans="15:20" x14ac:dyDescent="0.25">
      <c r="O621" t="s">
        <v>205</v>
      </c>
      <c r="P621" t="s">
        <v>128</v>
      </c>
      <c r="Q621" t="s">
        <v>115</v>
      </c>
      <c r="R621" s="165">
        <v>-10</v>
      </c>
      <c r="S621" s="114">
        <v>46106</v>
      </c>
      <c r="T621" s="1" t="s">
        <v>145</v>
      </c>
    </row>
    <row r="622" spans="15:20" x14ac:dyDescent="0.25">
      <c r="O622" t="s">
        <v>373</v>
      </c>
      <c r="P622" t="s">
        <v>128</v>
      </c>
      <c r="Q622" t="s">
        <v>115</v>
      </c>
      <c r="R622" s="165">
        <v>-10</v>
      </c>
      <c r="S622" s="114">
        <v>46106</v>
      </c>
      <c r="T622" s="1" t="s">
        <v>145</v>
      </c>
    </row>
    <row r="623" spans="15:20" x14ac:dyDescent="0.25">
      <c r="O623" t="s">
        <v>302</v>
      </c>
      <c r="P623" t="s">
        <v>234</v>
      </c>
      <c r="Q623" t="s">
        <v>115</v>
      </c>
      <c r="R623" s="165">
        <v>-14</v>
      </c>
      <c r="S623" s="114">
        <v>46106</v>
      </c>
      <c r="T623" s="1" t="s">
        <v>145</v>
      </c>
    </row>
    <row r="624" spans="15:20" x14ac:dyDescent="0.25">
      <c r="O624" t="s">
        <v>205</v>
      </c>
      <c r="P624" t="s">
        <v>128</v>
      </c>
      <c r="Q624" t="s">
        <v>115</v>
      </c>
      <c r="R624" s="165">
        <v>-14.5</v>
      </c>
      <c r="S624" s="114">
        <v>46106</v>
      </c>
      <c r="T624" s="1" t="s">
        <v>145</v>
      </c>
    </row>
    <row r="625" spans="15:20" x14ac:dyDescent="0.25">
      <c r="O625" t="s">
        <v>302</v>
      </c>
      <c r="P625" t="s">
        <v>234</v>
      </c>
      <c r="Q625" t="s">
        <v>115</v>
      </c>
      <c r="R625" s="165">
        <v>-7.5</v>
      </c>
      <c r="S625" s="114">
        <v>46105</v>
      </c>
      <c r="T625" s="1" t="s">
        <v>145</v>
      </c>
    </row>
    <row r="626" spans="15:20" x14ac:dyDescent="0.25">
      <c r="O626" t="s">
        <v>302</v>
      </c>
      <c r="P626" t="s">
        <v>234</v>
      </c>
      <c r="Q626" t="s">
        <v>115</v>
      </c>
      <c r="R626" s="165">
        <v>-14</v>
      </c>
      <c r="S626" s="114">
        <v>46105</v>
      </c>
      <c r="T626" s="1" t="s">
        <v>145</v>
      </c>
    </row>
    <row r="627" spans="15:20" x14ac:dyDescent="0.25">
      <c r="O627" t="s">
        <v>205</v>
      </c>
      <c r="P627" t="s">
        <v>128</v>
      </c>
      <c r="Q627" t="s">
        <v>115</v>
      </c>
      <c r="R627" s="165">
        <v>-121.25</v>
      </c>
      <c r="S627" s="114">
        <v>46105</v>
      </c>
      <c r="T627" s="1" t="s">
        <v>145</v>
      </c>
    </row>
    <row r="628" spans="15:20" x14ac:dyDescent="0.25">
      <c r="O628" t="s">
        <v>332</v>
      </c>
      <c r="P628" t="s">
        <v>128</v>
      </c>
      <c r="Q628" t="s">
        <v>115</v>
      </c>
      <c r="R628" s="165">
        <v>20</v>
      </c>
      <c r="S628" s="114">
        <v>46104</v>
      </c>
      <c r="T628" s="1" t="s">
        <v>145</v>
      </c>
    </row>
    <row r="629" spans="15:20" x14ac:dyDescent="0.25">
      <c r="O629" t="s">
        <v>302</v>
      </c>
      <c r="P629" t="s">
        <v>234</v>
      </c>
      <c r="Q629" t="s">
        <v>115</v>
      </c>
      <c r="R629" s="165">
        <v>-2</v>
      </c>
      <c r="S629" s="114">
        <v>46104</v>
      </c>
      <c r="T629" s="1" t="s">
        <v>145</v>
      </c>
    </row>
    <row r="630" spans="15:20" x14ac:dyDescent="0.25">
      <c r="O630" t="s">
        <v>302</v>
      </c>
      <c r="P630" t="s">
        <v>234</v>
      </c>
      <c r="Q630" t="s">
        <v>114</v>
      </c>
      <c r="R630" s="165">
        <v>-15</v>
      </c>
      <c r="S630" s="114">
        <v>46104</v>
      </c>
      <c r="T630" s="1" t="s">
        <v>145</v>
      </c>
    </row>
    <row r="631" spans="15:20" x14ac:dyDescent="0.25">
      <c r="O631" t="s">
        <v>205</v>
      </c>
      <c r="P631" t="s">
        <v>128</v>
      </c>
      <c r="Q631" t="s">
        <v>115</v>
      </c>
      <c r="R631" s="165">
        <v>-39.25</v>
      </c>
      <c r="S631" s="114">
        <v>46104</v>
      </c>
      <c r="T631" s="1" t="s">
        <v>145</v>
      </c>
    </row>
    <row r="632" spans="15:20" x14ac:dyDescent="0.25">
      <c r="O632" t="s">
        <v>205</v>
      </c>
      <c r="P632" t="s">
        <v>128</v>
      </c>
      <c r="Q632" t="s">
        <v>115</v>
      </c>
      <c r="R632" s="165">
        <v>-128.16999999999999</v>
      </c>
      <c r="S632" s="114">
        <v>46104</v>
      </c>
      <c r="T632" s="1" t="s">
        <v>145</v>
      </c>
    </row>
    <row r="633" spans="15:20" x14ac:dyDescent="0.25">
      <c r="O633" t="s">
        <v>370</v>
      </c>
      <c r="P633" t="s">
        <v>234</v>
      </c>
      <c r="Q633" t="s">
        <v>114</v>
      </c>
      <c r="R633" s="165">
        <v>-5</v>
      </c>
      <c r="S633" s="114">
        <v>46102</v>
      </c>
      <c r="T633" s="1" t="s">
        <v>145</v>
      </c>
    </row>
    <row r="634" spans="15:20" x14ac:dyDescent="0.25">
      <c r="O634" t="s">
        <v>302</v>
      </c>
      <c r="P634" t="s">
        <v>234</v>
      </c>
      <c r="Q634" t="s">
        <v>115</v>
      </c>
      <c r="R634" s="165">
        <v>-14</v>
      </c>
      <c r="S634" s="114">
        <v>46102</v>
      </c>
      <c r="T634" s="1" t="s">
        <v>145</v>
      </c>
    </row>
    <row r="635" spans="15:20" x14ac:dyDescent="0.25">
      <c r="O635" t="s">
        <v>302</v>
      </c>
      <c r="P635" t="s">
        <v>234</v>
      </c>
      <c r="Q635" t="s">
        <v>114</v>
      </c>
      <c r="R635" s="165">
        <v>-24.5</v>
      </c>
      <c r="S635" s="114">
        <v>46102</v>
      </c>
      <c r="T635" s="1" t="s">
        <v>145</v>
      </c>
    </row>
    <row r="636" spans="15:20" x14ac:dyDescent="0.25">
      <c r="O636" t="s">
        <v>349</v>
      </c>
      <c r="P636" t="s">
        <v>128</v>
      </c>
      <c r="Q636" t="s">
        <v>115</v>
      </c>
      <c r="R636" s="165">
        <v>185</v>
      </c>
      <c r="S636" s="114">
        <v>46101</v>
      </c>
      <c r="T636" s="1" t="s">
        <v>145</v>
      </c>
    </row>
    <row r="637" spans="15:20" x14ac:dyDescent="0.25">
      <c r="O637" t="s">
        <v>205</v>
      </c>
      <c r="P637" t="s">
        <v>128</v>
      </c>
      <c r="Q637" t="s">
        <v>115</v>
      </c>
      <c r="R637" s="165">
        <v>-20</v>
      </c>
      <c r="S637" s="114">
        <v>46101</v>
      </c>
      <c r="T637" s="1" t="s">
        <v>145</v>
      </c>
    </row>
    <row r="638" spans="15:20" x14ac:dyDescent="0.25">
      <c r="O638" t="s">
        <v>302</v>
      </c>
      <c r="P638" t="s">
        <v>234</v>
      </c>
      <c r="Q638" t="s">
        <v>114</v>
      </c>
      <c r="R638" s="165">
        <v>-21</v>
      </c>
      <c r="S638" s="114">
        <v>46101</v>
      </c>
      <c r="T638" s="1" t="s">
        <v>145</v>
      </c>
    </row>
    <row r="639" spans="15:20" x14ac:dyDescent="0.25">
      <c r="O639" t="s">
        <v>308</v>
      </c>
      <c r="P639" t="s">
        <v>234</v>
      </c>
      <c r="Q639" t="s">
        <v>115</v>
      </c>
      <c r="R639" s="165">
        <v>-70</v>
      </c>
      <c r="S639" s="114">
        <v>46101</v>
      </c>
      <c r="T639" s="1" t="s">
        <v>145</v>
      </c>
    </row>
    <row r="640" spans="15:20" x14ac:dyDescent="0.25">
      <c r="O640" t="s">
        <v>369</v>
      </c>
      <c r="P640" t="s">
        <v>128</v>
      </c>
      <c r="Q640" t="s">
        <v>114</v>
      </c>
      <c r="R640" s="165">
        <v>-150</v>
      </c>
      <c r="S640" s="114">
        <v>46101</v>
      </c>
      <c r="T640" s="1" t="s">
        <v>145</v>
      </c>
    </row>
    <row r="641" spans="15:20" x14ac:dyDescent="0.25">
      <c r="O641" t="s">
        <v>205</v>
      </c>
      <c r="P641" t="s">
        <v>128</v>
      </c>
      <c r="Q641" t="s">
        <v>115</v>
      </c>
      <c r="R641" s="165">
        <v>-226</v>
      </c>
      <c r="S641" s="114">
        <v>46101</v>
      </c>
      <c r="T641" s="1" t="s">
        <v>145</v>
      </c>
    </row>
    <row r="642" spans="15:20" x14ac:dyDescent="0.25">
      <c r="O642" t="s">
        <v>369</v>
      </c>
      <c r="P642" t="s">
        <v>128</v>
      </c>
      <c r="Q642" t="s">
        <v>114</v>
      </c>
      <c r="R642" s="165">
        <v>-250</v>
      </c>
      <c r="S642" s="114">
        <v>46101</v>
      </c>
      <c r="T642" s="1" t="s">
        <v>145</v>
      </c>
    </row>
    <row r="643" spans="15:20" x14ac:dyDescent="0.25">
      <c r="O643" t="s">
        <v>369</v>
      </c>
      <c r="P643" t="s">
        <v>128</v>
      </c>
      <c r="Q643" t="s">
        <v>114</v>
      </c>
      <c r="R643" s="165">
        <v>400</v>
      </c>
      <c r="S643" s="114">
        <v>46100</v>
      </c>
      <c r="T643" s="1" t="s">
        <v>145</v>
      </c>
    </row>
    <row r="644" spans="15:20" x14ac:dyDescent="0.25">
      <c r="O644" t="s">
        <v>302</v>
      </c>
      <c r="P644" t="s">
        <v>234</v>
      </c>
      <c r="Q644" t="s">
        <v>115</v>
      </c>
      <c r="R644" s="165">
        <v>-5</v>
      </c>
      <c r="S644" s="114">
        <v>46100</v>
      </c>
      <c r="T644" s="1" t="s">
        <v>145</v>
      </c>
    </row>
    <row r="645" spans="15:20" x14ac:dyDescent="0.25">
      <c r="O645" t="s">
        <v>205</v>
      </c>
      <c r="P645" t="s">
        <v>128</v>
      </c>
      <c r="Q645" t="s">
        <v>115</v>
      </c>
      <c r="R645" s="165">
        <v>-14.25</v>
      </c>
      <c r="S645" s="114">
        <v>46100</v>
      </c>
      <c r="T645" s="1" t="s">
        <v>145</v>
      </c>
    </row>
    <row r="646" spans="15:20" x14ac:dyDescent="0.25">
      <c r="O646" t="s">
        <v>205</v>
      </c>
      <c r="P646" t="s">
        <v>128</v>
      </c>
      <c r="Q646" t="s">
        <v>115</v>
      </c>
      <c r="R646" s="165">
        <v>-34.119999999999997</v>
      </c>
      <c r="S646" s="114">
        <v>46100</v>
      </c>
      <c r="T646" s="1" t="s">
        <v>145</v>
      </c>
    </row>
    <row r="647" spans="15:20" x14ac:dyDescent="0.25">
      <c r="O647" t="s">
        <v>298</v>
      </c>
      <c r="P647" t="s">
        <v>128</v>
      </c>
      <c r="Q647" t="s">
        <v>115</v>
      </c>
      <c r="R647" s="165">
        <v>-2</v>
      </c>
      <c r="S647" s="114">
        <v>46099</v>
      </c>
      <c r="T647" s="1" t="s">
        <v>145</v>
      </c>
    </row>
    <row r="648" spans="15:20" x14ac:dyDescent="0.25">
      <c r="O648" t="s">
        <v>205</v>
      </c>
      <c r="P648" t="s">
        <v>128</v>
      </c>
      <c r="Q648" t="s">
        <v>115</v>
      </c>
      <c r="R648" s="165">
        <v>-3.5</v>
      </c>
      <c r="S648" s="114">
        <v>46099</v>
      </c>
      <c r="T648" s="1" t="s">
        <v>145</v>
      </c>
    </row>
    <row r="649" spans="15:20" x14ac:dyDescent="0.25">
      <c r="O649" t="s">
        <v>302</v>
      </c>
      <c r="P649" t="s">
        <v>234</v>
      </c>
      <c r="Q649" t="s">
        <v>115</v>
      </c>
      <c r="R649" s="165">
        <v>-5</v>
      </c>
      <c r="S649" s="114">
        <v>46099</v>
      </c>
      <c r="T649" s="1" t="s">
        <v>145</v>
      </c>
    </row>
    <row r="650" spans="15:20" x14ac:dyDescent="0.25">
      <c r="O650" t="s">
        <v>376</v>
      </c>
      <c r="P650" t="s">
        <v>234</v>
      </c>
      <c r="Q650" t="s">
        <v>115</v>
      </c>
      <c r="R650" s="165">
        <v>-31</v>
      </c>
      <c r="S650" s="114">
        <v>46099</v>
      </c>
      <c r="T650" s="1" t="s">
        <v>145</v>
      </c>
    </row>
    <row r="651" spans="15:20" x14ac:dyDescent="0.25">
      <c r="O651" t="s">
        <v>205</v>
      </c>
      <c r="P651" t="s">
        <v>128</v>
      </c>
      <c r="Q651" t="s">
        <v>115</v>
      </c>
      <c r="R651" s="165">
        <v>-49.6</v>
      </c>
      <c r="S651" s="114">
        <v>46099</v>
      </c>
      <c r="T651" s="1" t="s">
        <v>145</v>
      </c>
    </row>
    <row r="652" spans="15:20" x14ac:dyDescent="0.25">
      <c r="O652" t="s">
        <v>300</v>
      </c>
      <c r="P652" t="s">
        <v>128</v>
      </c>
      <c r="Q652" t="s">
        <v>114</v>
      </c>
      <c r="R652" s="165">
        <v>-10</v>
      </c>
      <c r="S652" s="114">
        <v>46098</v>
      </c>
      <c r="T652" s="1" t="s">
        <v>145</v>
      </c>
    </row>
    <row r="653" spans="15:20" x14ac:dyDescent="0.25">
      <c r="O653" t="s">
        <v>298</v>
      </c>
      <c r="P653" t="s">
        <v>128</v>
      </c>
      <c r="Q653" t="s">
        <v>115</v>
      </c>
      <c r="R653" s="165">
        <v>-15</v>
      </c>
      <c r="S653" s="114">
        <v>46098</v>
      </c>
      <c r="T653" s="1" t="s">
        <v>145</v>
      </c>
    </row>
    <row r="654" spans="15:20" x14ac:dyDescent="0.25">
      <c r="O654" t="s">
        <v>205</v>
      </c>
      <c r="P654" t="s">
        <v>128</v>
      </c>
      <c r="Q654" t="s">
        <v>115</v>
      </c>
      <c r="R654" s="165">
        <v>-18</v>
      </c>
      <c r="S654" s="114">
        <v>46098</v>
      </c>
      <c r="T654" s="1" t="s">
        <v>145</v>
      </c>
    </row>
    <row r="655" spans="15:20" x14ac:dyDescent="0.25">
      <c r="O655" t="s">
        <v>205</v>
      </c>
      <c r="P655" t="s">
        <v>128</v>
      </c>
      <c r="Q655" t="s">
        <v>115</v>
      </c>
      <c r="R655" s="165">
        <v>-26.25</v>
      </c>
      <c r="S655" s="114">
        <v>46098</v>
      </c>
      <c r="T655" s="1" t="s">
        <v>145</v>
      </c>
    </row>
    <row r="656" spans="15:20" x14ac:dyDescent="0.25">
      <c r="O656" t="s">
        <v>300</v>
      </c>
      <c r="P656" t="s">
        <v>128</v>
      </c>
      <c r="Q656" t="s">
        <v>114</v>
      </c>
      <c r="R656" s="165">
        <v>5</v>
      </c>
      <c r="S656" s="114">
        <v>46097</v>
      </c>
      <c r="T656" s="1" t="s">
        <v>145</v>
      </c>
    </row>
    <row r="657" spans="15:20" x14ac:dyDescent="0.25">
      <c r="O657" t="s">
        <v>300</v>
      </c>
      <c r="P657" t="s">
        <v>128</v>
      </c>
      <c r="Q657" t="s">
        <v>115</v>
      </c>
      <c r="R657" s="165">
        <v>-5</v>
      </c>
      <c r="S657" s="114">
        <v>46097</v>
      </c>
      <c r="T657" s="1" t="s">
        <v>145</v>
      </c>
    </row>
    <row r="658" spans="15:20" x14ac:dyDescent="0.25">
      <c r="O658" t="s">
        <v>332</v>
      </c>
      <c r="P658" t="s">
        <v>128</v>
      </c>
      <c r="Q658" t="s">
        <v>115</v>
      </c>
      <c r="R658" s="165">
        <v>-6</v>
      </c>
      <c r="S658" s="114">
        <v>46097</v>
      </c>
      <c r="T658" s="1" t="s">
        <v>145</v>
      </c>
    </row>
    <row r="659" spans="15:20" x14ac:dyDescent="0.25">
      <c r="O659" t="s">
        <v>302</v>
      </c>
      <c r="P659" t="s">
        <v>234</v>
      </c>
      <c r="Q659" t="s">
        <v>114</v>
      </c>
      <c r="R659" s="165">
        <v>-6.5</v>
      </c>
      <c r="S659" s="114">
        <v>46097</v>
      </c>
      <c r="T659" s="1" t="s">
        <v>145</v>
      </c>
    </row>
    <row r="660" spans="15:20" x14ac:dyDescent="0.25">
      <c r="O660" t="s">
        <v>205</v>
      </c>
      <c r="P660" t="s">
        <v>128</v>
      </c>
      <c r="Q660" t="s">
        <v>115</v>
      </c>
      <c r="R660" s="165">
        <v>-30</v>
      </c>
      <c r="S660" s="114">
        <v>46097</v>
      </c>
      <c r="T660" s="1" t="s">
        <v>145</v>
      </c>
    </row>
    <row r="661" spans="15:20" x14ac:dyDescent="0.25">
      <c r="O661" t="s">
        <v>205</v>
      </c>
      <c r="P661" t="s">
        <v>128</v>
      </c>
      <c r="Q661" t="s">
        <v>115</v>
      </c>
      <c r="R661" s="165">
        <v>-32.75</v>
      </c>
      <c r="S661" s="114">
        <v>46097</v>
      </c>
      <c r="T661" s="1" t="s">
        <v>145</v>
      </c>
    </row>
    <row r="662" spans="15:20" x14ac:dyDescent="0.25">
      <c r="O662" t="s">
        <v>205</v>
      </c>
      <c r="P662" t="s">
        <v>128</v>
      </c>
      <c r="Q662" t="s">
        <v>115</v>
      </c>
      <c r="R662" s="165">
        <v>-111.1</v>
      </c>
      <c r="S662" s="114">
        <v>46097</v>
      </c>
      <c r="T662" s="1" t="s">
        <v>145</v>
      </c>
    </row>
    <row r="663" spans="15:20" x14ac:dyDescent="0.25">
      <c r="O663" t="s">
        <v>375</v>
      </c>
      <c r="P663" t="s">
        <v>234</v>
      </c>
      <c r="Q663" t="s">
        <v>115</v>
      </c>
      <c r="R663" s="165">
        <v>-9.5</v>
      </c>
      <c r="S663" s="114">
        <v>46096</v>
      </c>
      <c r="T663" s="1" t="s">
        <v>145</v>
      </c>
    </row>
    <row r="664" spans="15:20" x14ac:dyDescent="0.25">
      <c r="O664" t="s">
        <v>302</v>
      </c>
      <c r="P664" t="s">
        <v>234</v>
      </c>
      <c r="Q664" t="s">
        <v>114</v>
      </c>
      <c r="R664" s="165">
        <v>-15</v>
      </c>
      <c r="S664" s="114">
        <v>46096</v>
      </c>
      <c r="T664" s="1" t="s">
        <v>145</v>
      </c>
    </row>
    <row r="665" spans="15:20" x14ac:dyDescent="0.25">
      <c r="O665" t="s">
        <v>369</v>
      </c>
      <c r="P665" t="s">
        <v>128</v>
      </c>
      <c r="Q665" t="s">
        <v>114</v>
      </c>
      <c r="R665" s="165">
        <v>-250</v>
      </c>
      <c r="S665" s="114">
        <v>46096</v>
      </c>
      <c r="T665" s="1" t="s">
        <v>145</v>
      </c>
    </row>
    <row r="666" spans="15:20" x14ac:dyDescent="0.25">
      <c r="O666" t="s">
        <v>370</v>
      </c>
      <c r="P666" t="s">
        <v>234</v>
      </c>
      <c r="Q666" t="s">
        <v>114</v>
      </c>
      <c r="R666" s="165">
        <v>-5</v>
      </c>
      <c r="S666" s="114">
        <v>46095</v>
      </c>
      <c r="T666" s="1" t="s">
        <v>145</v>
      </c>
    </row>
    <row r="667" spans="15:20" x14ac:dyDescent="0.25">
      <c r="O667" t="s">
        <v>302</v>
      </c>
      <c r="P667" t="s">
        <v>234</v>
      </c>
      <c r="Q667" t="s">
        <v>114</v>
      </c>
      <c r="R667" s="165">
        <v>-6.5</v>
      </c>
      <c r="S667" s="114">
        <v>46095</v>
      </c>
      <c r="T667" s="1" t="s">
        <v>145</v>
      </c>
    </row>
    <row r="668" spans="15:20" x14ac:dyDescent="0.25">
      <c r="O668" t="s">
        <v>374</v>
      </c>
      <c r="P668" t="s">
        <v>127</v>
      </c>
      <c r="Q668" t="s">
        <v>115</v>
      </c>
      <c r="R668" s="165">
        <v>-8</v>
      </c>
      <c r="S668" s="114">
        <v>46095</v>
      </c>
      <c r="T668" s="1" t="s">
        <v>145</v>
      </c>
    </row>
    <row r="669" spans="15:20" x14ac:dyDescent="0.25">
      <c r="O669" t="s">
        <v>325</v>
      </c>
      <c r="P669" t="s">
        <v>128</v>
      </c>
      <c r="Q669" t="s">
        <v>115</v>
      </c>
      <c r="R669" s="165">
        <v>-10</v>
      </c>
      <c r="S669" s="114">
        <v>46095</v>
      </c>
      <c r="T669" s="1" t="s">
        <v>145</v>
      </c>
    </row>
    <row r="670" spans="15:20" x14ac:dyDescent="0.25">
      <c r="O670" t="s">
        <v>302</v>
      </c>
      <c r="P670" t="s">
        <v>127</v>
      </c>
      <c r="Q670" t="s">
        <v>115</v>
      </c>
      <c r="R670" s="165">
        <v>-12</v>
      </c>
      <c r="S670" s="114">
        <v>46095</v>
      </c>
      <c r="T670" s="1" t="s">
        <v>145</v>
      </c>
    </row>
    <row r="671" spans="15:20" x14ac:dyDescent="0.25">
      <c r="O671" t="s">
        <v>302</v>
      </c>
      <c r="P671" t="s">
        <v>234</v>
      </c>
      <c r="Q671" t="s">
        <v>115</v>
      </c>
      <c r="R671" s="165">
        <v>-43.89</v>
      </c>
      <c r="S671" s="114">
        <v>46095</v>
      </c>
      <c r="T671" s="1" t="s">
        <v>145</v>
      </c>
    </row>
    <row r="672" spans="15:20" x14ac:dyDescent="0.25">
      <c r="O672" t="s">
        <v>142</v>
      </c>
      <c r="P672" t="s">
        <v>127</v>
      </c>
      <c r="Q672" t="s">
        <v>114</v>
      </c>
      <c r="R672" s="165">
        <v>-200</v>
      </c>
      <c r="S672" s="114">
        <v>46095</v>
      </c>
      <c r="T672" s="1" t="s">
        <v>145</v>
      </c>
    </row>
    <row r="673" spans="15:20" x14ac:dyDescent="0.25">
      <c r="O673" t="s">
        <v>369</v>
      </c>
      <c r="P673" t="s">
        <v>128</v>
      </c>
      <c r="Q673" t="s">
        <v>115</v>
      </c>
      <c r="R673" s="165">
        <v>47</v>
      </c>
      <c r="S673" s="114">
        <v>46094</v>
      </c>
      <c r="T673" s="1" t="s">
        <v>145</v>
      </c>
    </row>
    <row r="674" spans="15:20" x14ac:dyDescent="0.25">
      <c r="O674" t="s">
        <v>332</v>
      </c>
      <c r="P674" t="s">
        <v>128</v>
      </c>
      <c r="Q674" t="s">
        <v>114</v>
      </c>
      <c r="R674" s="165">
        <v>20</v>
      </c>
      <c r="S674" s="114">
        <v>46094</v>
      </c>
      <c r="T674" s="1" t="s">
        <v>145</v>
      </c>
    </row>
    <row r="675" spans="15:20" x14ac:dyDescent="0.25">
      <c r="O675" t="s">
        <v>369</v>
      </c>
      <c r="P675" t="s">
        <v>234</v>
      </c>
      <c r="Q675" t="s">
        <v>115</v>
      </c>
      <c r="R675" s="165">
        <v>10</v>
      </c>
      <c r="S675" s="114">
        <v>46094</v>
      </c>
      <c r="T675" s="1" t="s">
        <v>145</v>
      </c>
    </row>
    <row r="676" spans="15:20" x14ac:dyDescent="0.25">
      <c r="O676" t="s">
        <v>332</v>
      </c>
      <c r="P676" t="s">
        <v>128</v>
      </c>
      <c r="Q676" t="s">
        <v>115</v>
      </c>
      <c r="R676" s="165">
        <v>-4.7</v>
      </c>
      <c r="S676" s="114">
        <v>46094</v>
      </c>
      <c r="T676" s="1" t="s">
        <v>145</v>
      </c>
    </row>
    <row r="677" spans="15:20" x14ac:dyDescent="0.25">
      <c r="O677" t="s">
        <v>332</v>
      </c>
      <c r="P677" t="s">
        <v>128</v>
      </c>
      <c r="Q677" t="s">
        <v>115</v>
      </c>
      <c r="R677" s="165">
        <v>-5</v>
      </c>
      <c r="S677" s="114">
        <v>46094</v>
      </c>
      <c r="T677" s="1" t="s">
        <v>145</v>
      </c>
    </row>
    <row r="678" spans="15:20" x14ac:dyDescent="0.25">
      <c r="O678" t="s">
        <v>205</v>
      </c>
      <c r="P678" t="s">
        <v>128</v>
      </c>
      <c r="Q678" t="s">
        <v>115</v>
      </c>
      <c r="R678" s="165">
        <v>-9.5</v>
      </c>
      <c r="S678" s="114">
        <v>46094</v>
      </c>
      <c r="T678" s="1" t="s">
        <v>145</v>
      </c>
    </row>
    <row r="679" spans="15:20" x14ac:dyDescent="0.25">
      <c r="O679" t="s">
        <v>369</v>
      </c>
      <c r="P679" t="s">
        <v>234</v>
      </c>
      <c r="Q679" t="s">
        <v>115</v>
      </c>
      <c r="R679" s="165">
        <v>-11</v>
      </c>
      <c r="S679" s="114">
        <v>46094</v>
      </c>
      <c r="T679" s="1" t="s">
        <v>145</v>
      </c>
    </row>
    <row r="680" spans="15:20" x14ac:dyDescent="0.25">
      <c r="O680" t="s">
        <v>369</v>
      </c>
      <c r="P680" t="s">
        <v>234</v>
      </c>
      <c r="Q680" t="s">
        <v>115</v>
      </c>
      <c r="R680" s="165">
        <v>-13</v>
      </c>
      <c r="S680" s="114">
        <v>46094</v>
      </c>
      <c r="T680" s="1" t="s">
        <v>145</v>
      </c>
    </row>
    <row r="681" spans="15:20" x14ac:dyDescent="0.25">
      <c r="O681" t="s">
        <v>369</v>
      </c>
      <c r="P681" t="s">
        <v>128</v>
      </c>
      <c r="Q681" t="s">
        <v>114</v>
      </c>
      <c r="R681" s="165">
        <v>-47</v>
      </c>
      <c r="S681" s="114">
        <v>46094</v>
      </c>
      <c r="T681" s="1" t="s">
        <v>145</v>
      </c>
    </row>
    <row r="682" spans="15:20" x14ac:dyDescent="0.25">
      <c r="O682" t="s">
        <v>298</v>
      </c>
      <c r="P682" t="s">
        <v>234</v>
      </c>
      <c r="Q682" t="s">
        <v>115</v>
      </c>
      <c r="R682" s="165">
        <v>-47.03</v>
      </c>
      <c r="S682" s="114">
        <v>46094</v>
      </c>
      <c r="T682" s="1" t="s">
        <v>145</v>
      </c>
    </row>
    <row r="683" spans="15:20" x14ac:dyDescent="0.25">
      <c r="O683" t="s">
        <v>205</v>
      </c>
      <c r="P683" t="s">
        <v>128</v>
      </c>
      <c r="Q683" t="s">
        <v>115</v>
      </c>
      <c r="R683" s="165">
        <v>-53</v>
      </c>
      <c r="S683" s="114">
        <v>46094</v>
      </c>
      <c r="T683" s="1" t="s">
        <v>145</v>
      </c>
    </row>
    <row r="684" spans="15:20" x14ac:dyDescent="0.25">
      <c r="O684" t="s">
        <v>205</v>
      </c>
      <c r="P684" t="s">
        <v>128</v>
      </c>
      <c r="Q684" t="s">
        <v>115</v>
      </c>
      <c r="R684" s="165">
        <v>-31.5</v>
      </c>
      <c r="S684" s="114">
        <v>46093</v>
      </c>
      <c r="T684" s="1" t="s">
        <v>145</v>
      </c>
    </row>
    <row r="685" spans="15:20" x14ac:dyDescent="0.25">
      <c r="O685" t="s">
        <v>205</v>
      </c>
      <c r="P685" t="s">
        <v>128</v>
      </c>
      <c r="Q685" t="s">
        <v>115</v>
      </c>
      <c r="R685" s="165">
        <v>-50.06</v>
      </c>
      <c r="S685" s="114">
        <v>46093</v>
      </c>
      <c r="T685" s="1" t="s">
        <v>145</v>
      </c>
    </row>
    <row r="686" spans="15:20" x14ac:dyDescent="0.25">
      <c r="O686" t="s">
        <v>369</v>
      </c>
      <c r="P686" t="s">
        <v>128</v>
      </c>
      <c r="Q686" t="s">
        <v>115</v>
      </c>
      <c r="R686" s="165">
        <v>197</v>
      </c>
      <c r="S686" s="114">
        <v>46092</v>
      </c>
      <c r="T686" s="1" t="s">
        <v>145</v>
      </c>
    </row>
    <row r="687" spans="15:20" x14ac:dyDescent="0.25">
      <c r="O687" t="s">
        <v>370</v>
      </c>
      <c r="P687" t="s">
        <v>234</v>
      </c>
      <c r="Q687" t="s">
        <v>115</v>
      </c>
      <c r="R687" s="165">
        <v>-5</v>
      </c>
      <c r="S687" s="114">
        <v>46092</v>
      </c>
      <c r="T687" s="1" t="s">
        <v>145</v>
      </c>
    </row>
    <row r="688" spans="15:20" x14ac:dyDescent="0.25">
      <c r="O688" t="s">
        <v>332</v>
      </c>
      <c r="P688" t="s">
        <v>128</v>
      </c>
      <c r="Q688" t="s">
        <v>115</v>
      </c>
      <c r="R688" s="165">
        <v>-8.5</v>
      </c>
      <c r="S688" s="114">
        <v>46092</v>
      </c>
      <c r="T688" s="1" t="s">
        <v>145</v>
      </c>
    </row>
    <row r="689" spans="15:20" x14ac:dyDescent="0.25">
      <c r="O689" t="s">
        <v>302</v>
      </c>
      <c r="P689" t="s">
        <v>234</v>
      </c>
      <c r="Q689" t="s">
        <v>115</v>
      </c>
      <c r="R689" s="165">
        <v>-10</v>
      </c>
      <c r="S689" s="114">
        <v>46092</v>
      </c>
      <c r="T689" s="1" t="s">
        <v>145</v>
      </c>
    </row>
    <row r="690" spans="15:20" x14ac:dyDescent="0.25">
      <c r="O690" t="s">
        <v>205</v>
      </c>
      <c r="P690" t="s">
        <v>128</v>
      </c>
      <c r="Q690" t="s">
        <v>115</v>
      </c>
      <c r="R690" s="165">
        <v>-43.25</v>
      </c>
      <c r="S690" s="114">
        <v>46092</v>
      </c>
      <c r="T690" s="1" t="s">
        <v>145</v>
      </c>
    </row>
    <row r="691" spans="15:20" x14ac:dyDescent="0.25">
      <c r="O691" t="s">
        <v>205</v>
      </c>
      <c r="P691" t="s">
        <v>128</v>
      </c>
      <c r="Q691" t="s">
        <v>115</v>
      </c>
      <c r="R691" s="165">
        <v>-78.25</v>
      </c>
      <c r="S691" s="114">
        <v>46092</v>
      </c>
      <c r="T691" s="1" t="s">
        <v>145</v>
      </c>
    </row>
    <row r="692" spans="15:20" x14ac:dyDescent="0.25">
      <c r="O692" t="s">
        <v>369</v>
      </c>
      <c r="P692" t="s">
        <v>128</v>
      </c>
      <c r="Q692" t="s">
        <v>114</v>
      </c>
      <c r="R692" s="165">
        <v>-197</v>
      </c>
      <c r="S692" s="114">
        <v>46092</v>
      </c>
      <c r="T692" s="1" t="s">
        <v>145</v>
      </c>
    </row>
    <row r="693" spans="15:20" x14ac:dyDescent="0.25">
      <c r="O693" t="s">
        <v>205</v>
      </c>
      <c r="P693" t="s">
        <v>128</v>
      </c>
      <c r="Q693" t="s">
        <v>115</v>
      </c>
      <c r="R693" s="165">
        <v>-5</v>
      </c>
      <c r="S693" s="114">
        <v>46091</v>
      </c>
      <c r="T693" s="1" t="s">
        <v>145</v>
      </c>
    </row>
    <row r="694" spans="15:20" x14ac:dyDescent="0.25">
      <c r="O694" t="s">
        <v>302</v>
      </c>
      <c r="P694" t="s">
        <v>234</v>
      </c>
      <c r="Q694" t="s">
        <v>115</v>
      </c>
      <c r="R694" s="165">
        <v>-13</v>
      </c>
      <c r="S694" s="114">
        <v>46091</v>
      </c>
      <c r="T694" s="1" t="s">
        <v>145</v>
      </c>
    </row>
    <row r="695" spans="15:20" x14ac:dyDescent="0.25">
      <c r="O695" t="s">
        <v>298</v>
      </c>
      <c r="P695" t="s">
        <v>128</v>
      </c>
      <c r="Q695" t="s">
        <v>115</v>
      </c>
      <c r="R695" s="165">
        <v>-270</v>
      </c>
      <c r="S695" s="114">
        <v>46091</v>
      </c>
      <c r="T695" s="1" t="s">
        <v>145</v>
      </c>
    </row>
    <row r="696" spans="15:20" x14ac:dyDescent="0.25">
      <c r="O696" t="s">
        <v>298</v>
      </c>
      <c r="P696" t="s">
        <v>234</v>
      </c>
      <c r="Q696" t="s">
        <v>115</v>
      </c>
      <c r="R696" s="165">
        <v>-270</v>
      </c>
      <c r="S696" s="114">
        <v>46091</v>
      </c>
      <c r="T696" s="1" t="s">
        <v>145</v>
      </c>
    </row>
    <row r="697" spans="15:20" x14ac:dyDescent="0.25">
      <c r="O697" t="s">
        <v>205</v>
      </c>
      <c r="P697" t="s">
        <v>128</v>
      </c>
      <c r="Q697" t="s">
        <v>115</v>
      </c>
      <c r="R697" s="165">
        <v>-14.5</v>
      </c>
      <c r="S697" s="114">
        <v>46090</v>
      </c>
      <c r="T697" s="1" t="s">
        <v>145</v>
      </c>
    </row>
    <row r="698" spans="15:20" x14ac:dyDescent="0.25">
      <c r="O698" t="s">
        <v>205</v>
      </c>
      <c r="P698" t="s">
        <v>128</v>
      </c>
      <c r="Q698" t="s">
        <v>115</v>
      </c>
      <c r="R698" s="165">
        <v>-49.5</v>
      </c>
      <c r="S698" s="114">
        <v>46090</v>
      </c>
      <c r="T698" s="1" t="s">
        <v>145</v>
      </c>
    </row>
    <row r="699" spans="15:20" x14ac:dyDescent="0.25">
      <c r="O699" t="s">
        <v>372</v>
      </c>
      <c r="P699" t="s">
        <v>234</v>
      </c>
      <c r="Q699" t="s">
        <v>115</v>
      </c>
      <c r="R699" s="165">
        <v>-87.12</v>
      </c>
      <c r="S699" s="114">
        <v>46090</v>
      </c>
      <c r="T699" s="1" t="s">
        <v>145</v>
      </c>
    </row>
    <row r="700" spans="15:20" x14ac:dyDescent="0.25">
      <c r="O700" t="s">
        <v>205</v>
      </c>
      <c r="P700" t="s">
        <v>128</v>
      </c>
      <c r="Q700" t="s">
        <v>115</v>
      </c>
      <c r="R700" s="165">
        <v>-97.5</v>
      </c>
      <c r="S700" s="114">
        <v>46090</v>
      </c>
      <c r="T700" s="1" t="s">
        <v>145</v>
      </c>
    </row>
    <row r="701" spans="15:20" x14ac:dyDescent="0.25">
      <c r="O701" t="s">
        <v>324</v>
      </c>
      <c r="P701" t="s">
        <v>303</v>
      </c>
      <c r="Q701" t="s">
        <v>115</v>
      </c>
      <c r="R701" s="165">
        <v>27</v>
      </c>
      <c r="S701" s="114">
        <v>46089</v>
      </c>
      <c r="T701" s="1" t="s">
        <v>145</v>
      </c>
    </row>
    <row r="702" spans="15:20" x14ac:dyDescent="0.25">
      <c r="O702" t="s">
        <v>324</v>
      </c>
      <c r="P702" t="s">
        <v>303</v>
      </c>
      <c r="Q702" t="s">
        <v>115</v>
      </c>
      <c r="R702" s="165">
        <v>24</v>
      </c>
      <c r="S702" s="114">
        <v>46089</v>
      </c>
      <c r="T702" s="1" t="s">
        <v>145</v>
      </c>
    </row>
    <row r="703" spans="15:20" x14ac:dyDescent="0.25">
      <c r="O703" t="s">
        <v>298</v>
      </c>
      <c r="P703" t="s">
        <v>128</v>
      </c>
      <c r="Q703" t="s">
        <v>115</v>
      </c>
      <c r="R703" s="165">
        <v>839</v>
      </c>
      <c r="S703" s="114">
        <v>46088</v>
      </c>
      <c r="T703" s="1" t="s">
        <v>145</v>
      </c>
    </row>
    <row r="704" spans="15:20" x14ac:dyDescent="0.25">
      <c r="O704" t="s">
        <v>298</v>
      </c>
      <c r="P704" t="s">
        <v>303</v>
      </c>
      <c r="Q704" t="s">
        <v>115</v>
      </c>
      <c r="R704" s="165">
        <v>250</v>
      </c>
      <c r="S704" s="114">
        <v>46088</v>
      </c>
      <c r="T704" s="1" t="s">
        <v>145</v>
      </c>
    </row>
    <row r="705" spans="15:20" x14ac:dyDescent="0.25">
      <c r="O705" t="s">
        <v>307</v>
      </c>
      <c r="P705" t="s">
        <v>128</v>
      </c>
      <c r="Q705" t="s">
        <v>115</v>
      </c>
      <c r="R705" s="165">
        <v>200</v>
      </c>
      <c r="S705" s="114">
        <v>46088</v>
      </c>
      <c r="T705" s="1" t="s">
        <v>145</v>
      </c>
    </row>
    <row r="706" spans="15:20" x14ac:dyDescent="0.25">
      <c r="O706" t="s">
        <v>324</v>
      </c>
      <c r="P706" t="s">
        <v>303</v>
      </c>
      <c r="Q706" t="s">
        <v>114</v>
      </c>
      <c r="R706" s="165">
        <v>10</v>
      </c>
      <c r="S706" s="114">
        <v>46088</v>
      </c>
      <c r="T706" s="1" t="s">
        <v>145</v>
      </c>
    </row>
    <row r="707" spans="15:20" x14ac:dyDescent="0.25">
      <c r="O707" t="s">
        <v>369</v>
      </c>
      <c r="P707" t="s">
        <v>234</v>
      </c>
      <c r="Q707" t="s">
        <v>114</v>
      </c>
      <c r="R707" s="165">
        <v>-5</v>
      </c>
      <c r="S707" s="114">
        <v>46088</v>
      </c>
      <c r="T707" s="1" t="s">
        <v>145</v>
      </c>
    </row>
    <row r="708" spans="15:20" x14ac:dyDescent="0.25">
      <c r="O708" t="s">
        <v>370</v>
      </c>
      <c r="P708" t="s">
        <v>234</v>
      </c>
      <c r="Q708" t="s">
        <v>115</v>
      </c>
      <c r="R708" s="165">
        <v>-10</v>
      </c>
      <c r="S708" s="114">
        <v>46088</v>
      </c>
      <c r="T708" s="1" t="s">
        <v>145</v>
      </c>
    </row>
    <row r="709" spans="15:20" x14ac:dyDescent="0.25">
      <c r="O709" t="s">
        <v>302</v>
      </c>
      <c r="P709" t="s">
        <v>234</v>
      </c>
      <c r="Q709" t="s">
        <v>114</v>
      </c>
      <c r="R709" s="165">
        <v>-35</v>
      </c>
      <c r="S709" s="114">
        <v>46088</v>
      </c>
      <c r="T709" s="1" t="s">
        <v>145</v>
      </c>
    </row>
    <row r="710" spans="15:20" x14ac:dyDescent="0.25">
      <c r="O710" t="s">
        <v>302</v>
      </c>
      <c r="P710" t="s">
        <v>234</v>
      </c>
      <c r="Q710" t="s">
        <v>114</v>
      </c>
      <c r="R710" s="165">
        <v>-40</v>
      </c>
      <c r="S710" s="114">
        <v>46088</v>
      </c>
      <c r="T710" s="1" t="s">
        <v>145</v>
      </c>
    </row>
    <row r="711" spans="15:20" x14ac:dyDescent="0.25">
      <c r="O711" t="s">
        <v>371</v>
      </c>
      <c r="P711" t="s">
        <v>234</v>
      </c>
      <c r="Q711" t="s">
        <v>115</v>
      </c>
      <c r="R711" s="165">
        <v>-143.80000000000001</v>
      </c>
      <c r="S711" s="114">
        <v>46088</v>
      </c>
      <c r="T711" s="1" t="s">
        <v>145</v>
      </c>
    </row>
    <row r="712" spans="15:20" x14ac:dyDescent="0.25">
      <c r="O712" t="s">
        <v>300</v>
      </c>
      <c r="P712" t="s">
        <v>128</v>
      </c>
      <c r="Q712" t="s">
        <v>115</v>
      </c>
      <c r="R712" s="165">
        <v>31</v>
      </c>
      <c r="S712" s="114">
        <v>46087</v>
      </c>
      <c r="T712" s="1" t="s">
        <v>145</v>
      </c>
    </row>
    <row r="713" spans="15:20" x14ac:dyDescent="0.25">
      <c r="O713" t="s">
        <v>332</v>
      </c>
      <c r="P713" t="s">
        <v>128</v>
      </c>
      <c r="Q713" t="s">
        <v>114</v>
      </c>
      <c r="R713" s="165">
        <v>30</v>
      </c>
      <c r="S713" s="114">
        <v>46087</v>
      </c>
      <c r="T713" s="1" t="s">
        <v>145</v>
      </c>
    </row>
    <row r="714" spans="15:20" x14ac:dyDescent="0.25">
      <c r="O714" t="s">
        <v>369</v>
      </c>
      <c r="P714" t="s">
        <v>234</v>
      </c>
      <c r="Q714" t="s">
        <v>114</v>
      </c>
      <c r="R714" s="165">
        <v>-10</v>
      </c>
      <c r="S714" s="114">
        <v>46087</v>
      </c>
      <c r="T714" s="1" t="s">
        <v>145</v>
      </c>
    </row>
    <row r="715" spans="15:20" x14ac:dyDescent="0.25">
      <c r="O715" t="s">
        <v>205</v>
      </c>
      <c r="P715" t="s">
        <v>128</v>
      </c>
      <c r="Q715" t="s">
        <v>115</v>
      </c>
      <c r="R715" s="165">
        <v>-16.5</v>
      </c>
      <c r="S715" s="114">
        <v>46087</v>
      </c>
      <c r="T715" s="1" t="s">
        <v>145</v>
      </c>
    </row>
    <row r="716" spans="15:20" x14ac:dyDescent="0.25">
      <c r="O716" t="s">
        <v>205</v>
      </c>
      <c r="P716" t="s">
        <v>128</v>
      </c>
      <c r="Q716" t="s">
        <v>115</v>
      </c>
      <c r="R716" s="165">
        <v>-42.25</v>
      </c>
      <c r="S716" s="114">
        <v>46087</v>
      </c>
      <c r="T716" s="1" t="s">
        <v>145</v>
      </c>
    </row>
    <row r="717" spans="15:20" x14ac:dyDescent="0.25">
      <c r="O717" t="s">
        <v>332</v>
      </c>
      <c r="P717" t="s">
        <v>128</v>
      </c>
      <c r="Q717" t="s">
        <v>115</v>
      </c>
      <c r="R717" s="165">
        <v>-5</v>
      </c>
      <c r="S717" s="114">
        <v>46086</v>
      </c>
      <c r="T717" s="1" t="s">
        <v>145</v>
      </c>
    </row>
    <row r="718" spans="15:20" x14ac:dyDescent="0.25">
      <c r="O718" t="s">
        <v>332</v>
      </c>
      <c r="P718" t="s">
        <v>128</v>
      </c>
      <c r="Q718" t="s">
        <v>115</v>
      </c>
      <c r="R718" s="165">
        <v>-9</v>
      </c>
      <c r="S718" s="114">
        <v>46086</v>
      </c>
      <c r="T718" s="1" t="s">
        <v>145</v>
      </c>
    </row>
    <row r="719" spans="15:20" x14ac:dyDescent="0.25">
      <c r="O719" t="s">
        <v>370</v>
      </c>
      <c r="P719" t="s">
        <v>234</v>
      </c>
      <c r="Q719" t="s">
        <v>114</v>
      </c>
      <c r="R719" s="165">
        <v>-10</v>
      </c>
      <c r="S719" s="114">
        <v>46086</v>
      </c>
      <c r="T719" s="1" t="s">
        <v>145</v>
      </c>
    </row>
    <row r="720" spans="15:20" x14ac:dyDescent="0.25">
      <c r="O720" t="s">
        <v>335</v>
      </c>
      <c r="P720" t="s">
        <v>127</v>
      </c>
      <c r="Q720" t="s">
        <v>115</v>
      </c>
      <c r="R720" s="165">
        <v>-10</v>
      </c>
      <c r="S720" s="114">
        <v>46086</v>
      </c>
      <c r="T720" s="1" t="s">
        <v>145</v>
      </c>
    </row>
    <row r="721" spans="15:20" x14ac:dyDescent="0.25">
      <c r="O721" t="s">
        <v>335</v>
      </c>
      <c r="P721" t="s">
        <v>127</v>
      </c>
      <c r="Q721" t="s">
        <v>115</v>
      </c>
      <c r="R721" s="165">
        <v>-10</v>
      </c>
      <c r="S721" s="114">
        <v>46086</v>
      </c>
      <c r="T721" s="1" t="s">
        <v>145</v>
      </c>
    </row>
    <row r="722" spans="15:20" x14ac:dyDescent="0.25">
      <c r="O722" t="s">
        <v>335</v>
      </c>
      <c r="P722" t="s">
        <v>127</v>
      </c>
      <c r="Q722" t="s">
        <v>115</v>
      </c>
      <c r="R722" s="165">
        <v>-10</v>
      </c>
      <c r="S722" s="114">
        <v>46086</v>
      </c>
      <c r="T722" s="1" t="s">
        <v>145</v>
      </c>
    </row>
    <row r="723" spans="15:20" x14ac:dyDescent="0.25">
      <c r="O723" t="s">
        <v>335</v>
      </c>
      <c r="P723" t="s">
        <v>127</v>
      </c>
      <c r="Q723" t="s">
        <v>115</v>
      </c>
      <c r="R723" s="165">
        <v>-10</v>
      </c>
      <c r="S723" s="114">
        <v>46086</v>
      </c>
      <c r="T723" s="1" t="s">
        <v>145</v>
      </c>
    </row>
    <row r="724" spans="15:20" x14ac:dyDescent="0.25">
      <c r="O724" t="s">
        <v>335</v>
      </c>
      <c r="P724" t="s">
        <v>127</v>
      </c>
      <c r="Q724" t="s">
        <v>115</v>
      </c>
      <c r="R724" s="165">
        <v>-10</v>
      </c>
      <c r="S724" s="114">
        <v>46086</v>
      </c>
      <c r="T724" s="1" t="s">
        <v>145</v>
      </c>
    </row>
    <row r="725" spans="15:20" x14ac:dyDescent="0.25">
      <c r="O725" t="s">
        <v>302</v>
      </c>
      <c r="P725" t="s">
        <v>234</v>
      </c>
      <c r="Q725" t="s">
        <v>115</v>
      </c>
      <c r="R725" s="165">
        <v>-11</v>
      </c>
      <c r="S725" s="114">
        <v>46086</v>
      </c>
      <c r="T725" s="1" t="s">
        <v>145</v>
      </c>
    </row>
    <row r="726" spans="15:20" x14ac:dyDescent="0.25">
      <c r="O726" t="s">
        <v>372</v>
      </c>
      <c r="P726" t="s">
        <v>234</v>
      </c>
      <c r="Q726" t="s">
        <v>115</v>
      </c>
      <c r="R726" s="165">
        <v>-11.5</v>
      </c>
      <c r="S726" s="114">
        <v>46086</v>
      </c>
      <c r="T726" s="1" t="s">
        <v>145</v>
      </c>
    </row>
    <row r="727" spans="15:20" x14ac:dyDescent="0.25">
      <c r="O727" t="s">
        <v>333</v>
      </c>
      <c r="P727" t="s">
        <v>234</v>
      </c>
      <c r="Q727" t="s">
        <v>115</v>
      </c>
      <c r="R727" s="165">
        <v>-13</v>
      </c>
      <c r="S727" s="114">
        <v>46086</v>
      </c>
      <c r="T727" s="1" t="s">
        <v>145</v>
      </c>
    </row>
    <row r="728" spans="15:20" x14ac:dyDescent="0.25">
      <c r="O728" t="s">
        <v>205</v>
      </c>
      <c r="P728" t="s">
        <v>128</v>
      </c>
      <c r="Q728" t="s">
        <v>115</v>
      </c>
      <c r="R728" s="165">
        <v>-13.5</v>
      </c>
      <c r="S728" s="114">
        <v>46086</v>
      </c>
      <c r="T728" s="1" t="s">
        <v>145</v>
      </c>
    </row>
    <row r="729" spans="15:20" x14ac:dyDescent="0.25">
      <c r="O729" t="s">
        <v>332</v>
      </c>
      <c r="P729" t="s">
        <v>128</v>
      </c>
      <c r="Q729" t="s">
        <v>114</v>
      </c>
      <c r="R729" s="165">
        <v>-20</v>
      </c>
      <c r="S729" s="114">
        <v>46086</v>
      </c>
      <c r="T729" s="1" t="s">
        <v>145</v>
      </c>
    </row>
    <row r="730" spans="15:20" x14ac:dyDescent="0.25">
      <c r="O730" t="s">
        <v>205</v>
      </c>
      <c r="P730" t="s">
        <v>128</v>
      </c>
      <c r="Q730" t="s">
        <v>115</v>
      </c>
      <c r="R730" s="165">
        <v>-26.5</v>
      </c>
      <c r="S730" s="114">
        <v>46086</v>
      </c>
      <c r="T730" s="1" t="s">
        <v>145</v>
      </c>
    </row>
    <row r="731" spans="15:20" x14ac:dyDescent="0.25">
      <c r="O731" t="s">
        <v>332</v>
      </c>
      <c r="P731" t="s">
        <v>128</v>
      </c>
      <c r="Q731" t="s">
        <v>114</v>
      </c>
      <c r="R731" s="165">
        <v>-72</v>
      </c>
      <c r="S731" s="114">
        <v>46086</v>
      </c>
      <c r="T731" s="1" t="s">
        <v>145</v>
      </c>
    </row>
    <row r="732" spans="15:20" x14ac:dyDescent="0.25">
      <c r="O732" t="s">
        <v>332</v>
      </c>
      <c r="P732" t="s">
        <v>128</v>
      </c>
      <c r="Q732" t="s">
        <v>115</v>
      </c>
      <c r="R732" s="165">
        <v>15</v>
      </c>
      <c r="S732" s="114">
        <v>46085</v>
      </c>
      <c r="T732" s="1" t="s">
        <v>145</v>
      </c>
    </row>
    <row r="733" spans="15:20" x14ac:dyDescent="0.25">
      <c r="O733" t="s">
        <v>324</v>
      </c>
      <c r="P733" t="s">
        <v>303</v>
      </c>
      <c r="Q733" t="s">
        <v>115</v>
      </c>
      <c r="R733" s="165">
        <v>12</v>
      </c>
      <c r="S733" s="114">
        <v>46085</v>
      </c>
      <c r="T733" s="1" t="s">
        <v>145</v>
      </c>
    </row>
    <row r="734" spans="15:20" x14ac:dyDescent="0.25">
      <c r="O734" t="s">
        <v>302</v>
      </c>
      <c r="P734" t="s">
        <v>234</v>
      </c>
      <c r="Q734" t="s">
        <v>115</v>
      </c>
      <c r="R734" s="165">
        <v>-10</v>
      </c>
      <c r="S734" s="114">
        <v>46085</v>
      </c>
      <c r="T734" s="1" t="s">
        <v>145</v>
      </c>
    </row>
    <row r="735" spans="15:20" x14ac:dyDescent="0.25">
      <c r="O735" t="s">
        <v>370</v>
      </c>
      <c r="P735" t="s">
        <v>234</v>
      </c>
      <c r="Q735" t="s">
        <v>114</v>
      </c>
      <c r="R735" s="165">
        <v>-10</v>
      </c>
      <c r="S735" s="114">
        <v>46085</v>
      </c>
      <c r="T735" s="1" t="s">
        <v>145</v>
      </c>
    </row>
    <row r="736" spans="15:20" x14ac:dyDescent="0.25">
      <c r="O736" t="s">
        <v>205</v>
      </c>
      <c r="P736" t="s">
        <v>128</v>
      </c>
      <c r="Q736" t="s">
        <v>115</v>
      </c>
      <c r="R736" s="165">
        <v>-28.5</v>
      </c>
      <c r="S736" s="114">
        <v>46085</v>
      </c>
      <c r="T736" s="1" t="s">
        <v>145</v>
      </c>
    </row>
    <row r="737" spans="15:20" x14ac:dyDescent="0.25">
      <c r="O737" t="s">
        <v>205</v>
      </c>
      <c r="P737" t="s">
        <v>128</v>
      </c>
      <c r="Q737" t="s">
        <v>115</v>
      </c>
      <c r="R737" s="165">
        <v>-57.5</v>
      </c>
      <c r="S737" s="114">
        <v>46085</v>
      </c>
      <c r="T737" s="1" t="s">
        <v>145</v>
      </c>
    </row>
    <row r="738" spans="15:20" x14ac:dyDescent="0.25">
      <c r="O738" t="s">
        <v>332</v>
      </c>
      <c r="P738" t="s">
        <v>128</v>
      </c>
      <c r="Q738" t="s">
        <v>115</v>
      </c>
      <c r="R738" s="165">
        <v>13</v>
      </c>
      <c r="S738" s="114">
        <v>46084</v>
      </c>
      <c r="T738" s="1" t="s">
        <v>145</v>
      </c>
    </row>
    <row r="739" spans="15:20" x14ac:dyDescent="0.25">
      <c r="O739" t="s">
        <v>332</v>
      </c>
      <c r="P739" t="s">
        <v>234</v>
      </c>
      <c r="Q739" t="s">
        <v>114</v>
      </c>
      <c r="R739" s="165">
        <v>-5</v>
      </c>
      <c r="S739" s="114">
        <v>46084</v>
      </c>
      <c r="T739" s="1" t="s">
        <v>145</v>
      </c>
    </row>
    <row r="740" spans="15:20" x14ac:dyDescent="0.25">
      <c r="O740" t="s">
        <v>332</v>
      </c>
      <c r="P740" t="s">
        <v>234</v>
      </c>
      <c r="Q740" t="s">
        <v>115</v>
      </c>
      <c r="R740" s="165">
        <v>-12</v>
      </c>
      <c r="S740" s="114">
        <v>46084</v>
      </c>
      <c r="T740" s="1" t="s">
        <v>145</v>
      </c>
    </row>
    <row r="741" spans="15:20" x14ac:dyDescent="0.25">
      <c r="O741" t="s">
        <v>298</v>
      </c>
      <c r="P741" t="s">
        <v>128</v>
      </c>
      <c r="Q741" t="s">
        <v>115</v>
      </c>
      <c r="R741" s="165">
        <v>-13</v>
      </c>
      <c r="S741" s="114">
        <v>46084</v>
      </c>
      <c r="T741" s="1" t="s">
        <v>145</v>
      </c>
    </row>
    <row r="742" spans="15:20" x14ac:dyDescent="0.25">
      <c r="O742" t="s">
        <v>298</v>
      </c>
      <c r="P742" t="s">
        <v>128</v>
      </c>
      <c r="Q742" t="s">
        <v>115</v>
      </c>
      <c r="R742" s="165">
        <v>-20</v>
      </c>
      <c r="S742" s="114">
        <v>46084</v>
      </c>
      <c r="T742" s="1" t="s">
        <v>145</v>
      </c>
    </row>
    <row r="743" spans="15:20" x14ac:dyDescent="0.25">
      <c r="O743" t="s">
        <v>333</v>
      </c>
      <c r="P743" t="s">
        <v>234</v>
      </c>
      <c r="Q743" t="s">
        <v>115</v>
      </c>
      <c r="R743" s="165">
        <v>-23</v>
      </c>
      <c r="S743" s="114">
        <v>46084</v>
      </c>
      <c r="T743" s="1" t="s">
        <v>145</v>
      </c>
    </row>
    <row r="744" spans="15:20" x14ac:dyDescent="0.25">
      <c r="O744" t="s">
        <v>333</v>
      </c>
      <c r="P744" t="s">
        <v>234</v>
      </c>
      <c r="Q744" t="s">
        <v>115</v>
      </c>
      <c r="R744" s="165">
        <v>-40</v>
      </c>
      <c r="S744" s="114">
        <v>46084</v>
      </c>
      <c r="T744" s="1" t="s">
        <v>145</v>
      </c>
    </row>
    <row r="745" spans="15:20" x14ac:dyDescent="0.25">
      <c r="O745" t="s">
        <v>298</v>
      </c>
      <c r="P745" t="s">
        <v>128</v>
      </c>
      <c r="Q745" t="s">
        <v>115</v>
      </c>
      <c r="R745" s="165">
        <v>-160</v>
      </c>
      <c r="S745" s="114">
        <v>46084</v>
      </c>
      <c r="T745" s="1" t="s">
        <v>145</v>
      </c>
    </row>
    <row r="746" spans="15:20" x14ac:dyDescent="0.25">
      <c r="O746" t="s">
        <v>369</v>
      </c>
      <c r="P746" t="s">
        <v>234</v>
      </c>
      <c r="Q746" t="s">
        <v>114</v>
      </c>
      <c r="R746" s="165">
        <v>-5</v>
      </c>
      <c r="S746" s="114">
        <v>46083</v>
      </c>
      <c r="T746" s="1" t="s">
        <v>145</v>
      </c>
    </row>
    <row r="747" spans="15:20" x14ac:dyDescent="0.25">
      <c r="O747" t="s">
        <v>370</v>
      </c>
      <c r="P747" t="s">
        <v>234</v>
      </c>
      <c r="Q747" t="s">
        <v>114</v>
      </c>
      <c r="R747" s="165">
        <v>-10</v>
      </c>
      <c r="S747" s="114">
        <v>46083</v>
      </c>
      <c r="T747" s="1" t="s">
        <v>145</v>
      </c>
    </row>
    <row r="748" spans="15:20" x14ac:dyDescent="0.25">
      <c r="O748" t="s">
        <v>302</v>
      </c>
      <c r="P748" t="s">
        <v>234</v>
      </c>
      <c r="Q748" t="s">
        <v>115</v>
      </c>
      <c r="R748" s="165">
        <v>-11</v>
      </c>
      <c r="S748" s="114">
        <v>46083</v>
      </c>
      <c r="T748" s="1" t="s">
        <v>145</v>
      </c>
    </row>
    <row r="749" spans="15:20" x14ac:dyDescent="0.25">
      <c r="O749" t="s">
        <v>369</v>
      </c>
      <c r="P749" t="s">
        <v>234</v>
      </c>
      <c r="Q749" t="s">
        <v>115</v>
      </c>
      <c r="R749" s="165">
        <v>-11</v>
      </c>
      <c r="S749" s="114">
        <v>46083</v>
      </c>
      <c r="T749" s="1" t="s">
        <v>145</v>
      </c>
    </row>
    <row r="750" spans="15:20" x14ac:dyDescent="0.25">
      <c r="O750" t="s">
        <v>205</v>
      </c>
      <c r="P750" t="s">
        <v>128</v>
      </c>
      <c r="Q750" t="s">
        <v>115</v>
      </c>
      <c r="R750" s="165">
        <v>-56.5</v>
      </c>
      <c r="S750" s="114">
        <v>46083</v>
      </c>
      <c r="T750" s="1" t="s">
        <v>145</v>
      </c>
    </row>
    <row r="751" spans="15:20" x14ac:dyDescent="0.25">
      <c r="O751" t="s">
        <v>205</v>
      </c>
      <c r="P751" t="s">
        <v>128</v>
      </c>
      <c r="Q751" t="s">
        <v>115</v>
      </c>
      <c r="R751" s="165">
        <v>-151</v>
      </c>
      <c r="S751" s="114">
        <v>46083</v>
      </c>
      <c r="T751" s="1" t="s">
        <v>145</v>
      </c>
    </row>
    <row r="752" spans="15:20" x14ac:dyDescent="0.25">
      <c r="O752" t="s">
        <v>324</v>
      </c>
      <c r="P752" t="s">
        <v>303</v>
      </c>
      <c r="Q752" t="s">
        <v>115</v>
      </c>
      <c r="R752" s="165">
        <v>15</v>
      </c>
      <c r="S752" s="114">
        <v>46082</v>
      </c>
      <c r="T752" s="1" t="s">
        <v>145</v>
      </c>
    </row>
    <row r="753" spans="15:20" x14ac:dyDescent="0.25">
      <c r="O753" t="s">
        <v>324</v>
      </c>
      <c r="P753" t="s">
        <v>303</v>
      </c>
      <c r="Q753" t="s">
        <v>115</v>
      </c>
      <c r="R753" s="165">
        <v>13.9</v>
      </c>
      <c r="S753" s="114">
        <v>46082</v>
      </c>
      <c r="T753" s="1" t="s">
        <v>145</v>
      </c>
    </row>
    <row r="754" spans="15:20" x14ac:dyDescent="0.25">
      <c r="O754" t="s">
        <v>302</v>
      </c>
      <c r="P754" t="s">
        <v>234</v>
      </c>
      <c r="Q754" t="s">
        <v>115</v>
      </c>
      <c r="R754" s="165">
        <v>-10</v>
      </c>
      <c r="S754" s="114">
        <v>46082</v>
      </c>
      <c r="T754" s="1" t="s">
        <v>145</v>
      </c>
    </row>
    <row r="755" spans="15:20" x14ac:dyDescent="0.25">
      <c r="O755" t="s">
        <v>302</v>
      </c>
      <c r="P755" t="s">
        <v>234</v>
      </c>
      <c r="Q755" t="s">
        <v>115</v>
      </c>
      <c r="R755" s="165">
        <v>-40</v>
      </c>
      <c r="S755" s="114">
        <v>46082</v>
      </c>
      <c r="T755" s="1" t="s">
        <v>145</v>
      </c>
    </row>
    <row r="756" spans="15:20" x14ac:dyDescent="0.25">
      <c r="O756" t="s">
        <v>373</v>
      </c>
      <c r="P756" t="s">
        <v>128</v>
      </c>
      <c r="Q756" t="s">
        <v>115</v>
      </c>
      <c r="R756" s="165">
        <v>3013.93</v>
      </c>
      <c r="S756" s="114">
        <v>46081</v>
      </c>
      <c r="T756" s="1" t="s">
        <v>144</v>
      </c>
    </row>
    <row r="757" spans="15:20" x14ac:dyDescent="0.25">
      <c r="O757" t="s">
        <v>298</v>
      </c>
      <c r="P757" t="s">
        <v>128</v>
      </c>
      <c r="Q757" t="s">
        <v>114</v>
      </c>
      <c r="R757" s="165">
        <v>15</v>
      </c>
      <c r="S757" s="114">
        <v>46081</v>
      </c>
      <c r="T757" s="1" t="s">
        <v>144</v>
      </c>
    </row>
    <row r="758" spans="15:20" x14ac:dyDescent="0.25">
      <c r="O758" t="s">
        <v>324</v>
      </c>
      <c r="P758" t="s">
        <v>303</v>
      </c>
      <c r="Q758" t="s">
        <v>115</v>
      </c>
      <c r="R758" s="165">
        <v>13.9</v>
      </c>
      <c r="S758" s="114">
        <v>46081</v>
      </c>
      <c r="T758" s="1" t="s">
        <v>144</v>
      </c>
    </row>
    <row r="759" spans="15:20" x14ac:dyDescent="0.25">
      <c r="O759" t="s">
        <v>370</v>
      </c>
      <c r="P759" t="s">
        <v>234</v>
      </c>
      <c r="Q759" t="s">
        <v>115</v>
      </c>
      <c r="R759" s="165">
        <v>-5</v>
      </c>
      <c r="S759" s="114">
        <v>46081</v>
      </c>
      <c r="T759" s="1" t="s">
        <v>144</v>
      </c>
    </row>
    <row r="760" spans="15:20" x14ac:dyDescent="0.25">
      <c r="O760" t="s">
        <v>302</v>
      </c>
      <c r="P760" t="s">
        <v>234</v>
      </c>
      <c r="Q760" t="s">
        <v>115</v>
      </c>
      <c r="R760" s="165">
        <v>-7.5</v>
      </c>
      <c r="S760" s="114">
        <v>46081</v>
      </c>
      <c r="T760" s="1" t="s">
        <v>144</v>
      </c>
    </row>
    <row r="761" spans="15:20" x14ac:dyDescent="0.25">
      <c r="O761" t="s">
        <v>373</v>
      </c>
      <c r="P761" t="s">
        <v>128</v>
      </c>
      <c r="Q761" t="s">
        <v>115</v>
      </c>
      <c r="R761" s="165">
        <v>-13.93</v>
      </c>
      <c r="S761" s="114">
        <v>46081</v>
      </c>
      <c r="T761" s="1" t="s">
        <v>144</v>
      </c>
    </row>
    <row r="762" spans="15:20" x14ac:dyDescent="0.25">
      <c r="O762" t="s">
        <v>298</v>
      </c>
      <c r="P762" t="s">
        <v>128</v>
      </c>
      <c r="Q762" t="s">
        <v>115</v>
      </c>
      <c r="R762" s="165">
        <v>-15</v>
      </c>
      <c r="S762" s="114">
        <v>46081</v>
      </c>
      <c r="T762" s="1" t="s">
        <v>144</v>
      </c>
    </row>
    <row r="763" spans="15:20" x14ac:dyDescent="0.25">
      <c r="O763" t="s">
        <v>302</v>
      </c>
      <c r="P763" t="s">
        <v>234</v>
      </c>
      <c r="Q763" t="s">
        <v>115</v>
      </c>
      <c r="R763" s="165">
        <v>-57.8</v>
      </c>
      <c r="S763" s="114">
        <v>46081</v>
      </c>
      <c r="T763" s="1" t="s">
        <v>144</v>
      </c>
    </row>
    <row r="764" spans="15:20" x14ac:dyDescent="0.25">
      <c r="O764" t="s">
        <v>324</v>
      </c>
      <c r="P764" t="s">
        <v>303</v>
      </c>
      <c r="Q764" t="s">
        <v>115</v>
      </c>
      <c r="R764" s="165">
        <v>42</v>
      </c>
      <c r="S764" s="114">
        <v>46080</v>
      </c>
      <c r="T764" s="1" t="s">
        <v>144</v>
      </c>
    </row>
    <row r="765" spans="15:20" x14ac:dyDescent="0.25">
      <c r="O765" t="s">
        <v>332</v>
      </c>
      <c r="P765" t="s">
        <v>128</v>
      </c>
      <c r="Q765" t="s">
        <v>115</v>
      </c>
      <c r="R765" s="165">
        <v>40</v>
      </c>
      <c r="S765" s="114">
        <v>46080</v>
      </c>
      <c r="T765" s="1" t="s">
        <v>144</v>
      </c>
    </row>
    <row r="766" spans="15:20" x14ac:dyDescent="0.25">
      <c r="O766" t="s">
        <v>365</v>
      </c>
      <c r="P766" t="s">
        <v>128</v>
      </c>
      <c r="Q766" t="s">
        <v>115</v>
      </c>
      <c r="R766" s="165">
        <v>30</v>
      </c>
      <c r="S766" s="114">
        <v>46080</v>
      </c>
      <c r="T766" s="1" t="s">
        <v>144</v>
      </c>
    </row>
    <row r="767" spans="15:20" x14ac:dyDescent="0.25">
      <c r="O767" t="s">
        <v>332</v>
      </c>
      <c r="P767" t="s">
        <v>128</v>
      </c>
      <c r="Q767" t="s">
        <v>115</v>
      </c>
      <c r="R767" s="165">
        <v>-14</v>
      </c>
      <c r="S767" s="114">
        <v>46080</v>
      </c>
      <c r="T767" s="1" t="s">
        <v>144</v>
      </c>
    </row>
    <row r="768" spans="15:20" x14ac:dyDescent="0.25">
      <c r="O768" t="s">
        <v>205</v>
      </c>
      <c r="P768" t="s">
        <v>128</v>
      </c>
      <c r="Q768" t="s">
        <v>115</v>
      </c>
      <c r="R768" s="165">
        <v>-14.5</v>
      </c>
      <c r="S768" s="114">
        <v>46080</v>
      </c>
      <c r="T768" s="1" t="s">
        <v>144</v>
      </c>
    </row>
    <row r="769" spans="15:20" x14ac:dyDescent="0.25">
      <c r="O769" t="s">
        <v>365</v>
      </c>
      <c r="P769" t="s">
        <v>128</v>
      </c>
      <c r="Q769" t="s">
        <v>114</v>
      </c>
      <c r="R769" s="165">
        <v>-30</v>
      </c>
      <c r="S769" s="114">
        <v>46080</v>
      </c>
      <c r="T769" s="1" t="s">
        <v>144</v>
      </c>
    </row>
    <row r="770" spans="15:20" x14ac:dyDescent="0.25">
      <c r="O770" t="s">
        <v>205</v>
      </c>
      <c r="P770" t="s">
        <v>128</v>
      </c>
      <c r="Q770" t="s">
        <v>115</v>
      </c>
      <c r="R770" s="165">
        <v>-52</v>
      </c>
      <c r="S770" s="114">
        <v>46080</v>
      </c>
      <c r="T770" s="1" t="s">
        <v>144</v>
      </c>
    </row>
    <row r="771" spans="15:20" x14ac:dyDescent="0.25">
      <c r="O771" t="s">
        <v>302</v>
      </c>
      <c r="P771" t="s">
        <v>234</v>
      </c>
      <c r="Q771" t="s">
        <v>115</v>
      </c>
      <c r="R771" s="165">
        <v>-58</v>
      </c>
      <c r="S771" s="114">
        <v>46080</v>
      </c>
      <c r="T771" s="1" t="s">
        <v>144</v>
      </c>
    </row>
    <row r="772" spans="15:20" x14ac:dyDescent="0.25">
      <c r="O772" t="s">
        <v>364</v>
      </c>
      <c r="P772" t="s">
        <v>234</v>
      </c>
      <c r="Q772" t="s">
        <v>115</v>
      </c>
      <c r="R772" s="165">
        <v>-211.5</v>
      </c>
      <c r="S772" s="114">
        <v>46080</v>
      </c>
      <c r="T772" s="1" t="s">
        <v>144</v>
      </c>
    </row>
    <row r="773" spans="15:20" x14ac:dyDescent="0.25">
      <c r="O773" t="s">
        <v>298</v>
      </c>
      <c r="P773" t="s">
        <v>128</v>
      </c>
      <c r="Q773" t="s">
        <v>114</v>
      </c>
      <c r="R773" s="165">
        <v>-10</v>
      </c>
      <c r="S773" s="114">
        <v>46079</v>
      </c>
      <c r="T773" s="1" t="s">
        <v>144</v>
      </c>
    </row>
    <row r="774" spans="15:20" x14ac:dyDescent="0.25">
      <c r="O774" t="s">
        <v>298</v>
      </c>
      <c r="P774" t="s">
        <v>128</v>
      </c>
      <c r="Q774" t="s">
        <v>115</v>
      </c>
      <c r="R774" s="165">
        <v>-18</v>
      </c>
      <c r="S774" s="114">
        <v>46079</v>
      </c>
      <c r="T774" s="1" t="s">
        <v>144</v>
      </c>
    </row>
    <row r="775" spans="15:20" x14ac:dyDescent="0.25">
      <c r="O775" t="s">
        <v>300</v>
      </c>
      <c r="P775" t="s">
        <v>128</v>
      </c>
      <c r="Q775" t="s">
        <v>115</v>
      </c>
      <c r="R775" s="165">
        <v>-26.96</v>
      </c>
      <c r="S775" s="114">
        <v>46079</v>
      </c>
      <c r="T775" s="1" t="s">
        <v>144</v>
      </c>
    </row>
    <row r="776" spans="15:20" x14ac:dyDescent="0.25">
      <c r="O776" t="s">
        <v>205</v>
      </c>
      <c r="P776" t="s">
        <v>128</v>
      </c>
      <c r="Q776" t="s">
        <v>115</v>
      </c>
      <c r="R776" s="165">
        <v>-27</v>
      </c>
      <c r="S776" s="114">
        <v>46079</v>
      </c>
      <c r="T776" s="1" t="s">
        <v>144</v>
      </c>
    </row>
    <row r="777" spans="15:20" x14ac:dyDescent="0.25">
      <c r="O777" t="s">
        <v>332</v>
      </c>
      <c r="P777" t="s">
        <v>128</v>
      </c>
      <c r="Q777" t="s">
        <v>114</v>
      </c>
      <c r="R777" s="165">
        <v>-40</v>
      </c>
      <c r="S777" s="114">
        <v>46079</v>
      </c>
      <c r="T777" s="1" t="s">
        <v>144</v>
      </c>
    </row>
    <row r="778" spans="15:20" x14ac:dyDescent="0.25">
      <c r="O778" t="s">
        <v>205</v>
      </c>
      <c r="P778" t="s">
        <v>128</v>
      </c>
      <c r="Q778" t="s">
        <v>115</v>
      </c>
      <c r="R778" s="165">
        <v>-63</v>
      </c>
      <c r="S778" s="114">
        <v>46079</v>
      </c>
      <c r="T778" s="1" t="s">
        <v>144</v>
      </c>
    </row>
    <row r="779" spans="15:20" x14ac:dyDescent="0.25">
      <c r="O779" t="s">
        <v>324</v>
      </c>
      <c r="P779" t="s">
        <v>303</v>
      </c>
      <c r="Q779" t="s">
        <v>115</v>
      </c>
      <c r="R779" s="165">
        <v>10</v>
      </c>
      <c r="S779" s="114">
        <v>46078</v>
      </c>
      <c r="T779" s="1" t="s">
        <v>144</v>
      </c>
    </row>
    <row r="780" spans="15:20" x14ac:dyDescent="0.25">
      <c r="O780" t="s">
        <v>298</v>
      </c>
      <c r="P780" t="s">
        <v>234</v>
      </c>
      <c r="Q780" t="s">
        <v>114</v>
      </c>
      <c r="R780" s="165">
        <v>-5</v>
      </c>
      <c r="S780" s="114">
        <v>46078</v>
      </c>
      <c r="T780" s="1" t="s">
        <v>144</v>
      </c>
    </row>
    <row r="781" spans="15:20" x14ac:dyDescent="0.25">
      <c r="O781" t="s">
        <v>298</v>
      </c>
      <c r="P781" t="s">
        <v>128</v>
      </c>
      <c r="Q781" t="s">
        <v>115</v>
      </c>
      <c r="R781" s="165">
        <v>-6</v>
      </c>
      <c r="S781" s="114">
        <v>46078</v>
      </c>
      <c r="T781" s="1" t="s">
        <v>144</v>
      </c>
    </row>
    <row r="782" spans="15:20" x14ac:dyDescent="0.25">
      <c r="O782" t="s">
        <v>302</v>
      </c>
      <c r="P782" t="s">
        <v>234</v>
      </c>
      <c r="Q782" t="s">
        <v>114</v>
      </c>
      <c r="R782" s="165">
        <v>-10</v>
      </c>
      <c r="S782" s="114">
        <v>46078</v>
      </c>
      <c r="T782" s="1" t="s">
        <v>144</v>
      </c>
    </row>
    <row r="783" spans="15:20" x14ac:dyDescent="0.25">
      <c r="O783" t="s">
        <v>369</v>
      </c>
      <c r="P783" t="s">
        <v>234</v>
      </c>
      <c r="Q783" t="s">
        <v>114</v>
      </c>
      <c r="R783" s="165">
        <v>-20</v>
      </c>
      <c r="S783" s="114">
        <v>46078</v>
      </c>
      <c r="T783" s="1" t="s">
        <v>144</v>
      </c>
    </row>
    <row r="784" spans="15:20" x14ac:dyDescent="0.25">
      <c r="O784" t="s">
        <v>362</v>
      </c>
      <c r="P784" t="s">
        <v>234</v>
      </c>
      <c r="Q784" t="s">
        <v>115</v>
      </c>
      <c r="R784" s="165">
        <v>-23</v>
      </c>
      <c r="S784" s="114">
        <v>46078</v>
      </c>
      <c r="T784" s="1" t="s">
        <v>144</v>
      </c>
    </row>
    <row r="785" spans="15:20" x14ac:dyDescent="0.25">
      <c r="O785" t="s">
        <v>205</v>
      </c>
      <c r="P785" t="s">
        <v>128</v>
      </c>
      <c r="Q785" t="s">
        <v>115</v>
      </c>
      <c r="R785" s="165">
        <v>-35.5</v>
      </c>
      <c r="S785" s="114">
        <v>46078</v>
      </c>
      <c r="T785" s="1" t="s">
        <v>144</v>
      </c>
    </row>
    <row r="786" spans="15:20" x14ac:dyDescent="0.25">
      <c r="O786" t="s">
        <v>205</v>
      </c>
      <c r="P786" t="s">
        <v>128</v>
      </c>
      <c r="Q786" t="s">
        <v>115</v>
      </c>
      <c r="R786" s="165">
        <v>-69.25</v>
      </c>
      <c r="S786" s="114">
        <v>46078</v>
      </c>
      <c r="T786" s="1" t="s">
        <v>144</v>
      </c>
    </row>
    <row r="787" spans="15:20" x14ac:dyDescent="0.25">
      <c r="O787" t="s">
        <v>361</v>
      </c>
      <c r="P787" t="s">
        <v>234</v>
      </c>
      <c r="Q787" t="s">
        <v>114</v>
      </c>
      <c r="R787" s="165">
        <v>-210</v>
      </c>
      <c r="S787" s="114">
        <v>46078</v>
      </c>
      <c r="T787" s="1" t="s">
        <v>144</v>
      </c>
    </row>
    <row r="788" spans="15:20" x14ac:dyDescent="0.25">
      <c r="O788" t="s">
        <v>302</v>
      </c>
      <c r="P788" t="s">
        <v>234</v>
      </c>
      <c r="Q788" t="s">
        <v>114</v>
      </c>
      <c r="R788" s="165">
        <v>-2.4500000000000002</v>
      </c>
      <c r="S788" s="114">
        <v>46077</v>
      </c>
      <c r="T788" s="1" t="s">
        <v>144</v>
      </c>
    </row>
    <row r="789" spans="15:20" x14ac:dyDescent="0.25">
      <c r="O789" t="s">
        <v>302</v>
      </c>
      <c r="P789" t="s">
        <v>234</v>
      </c>
      <c r="Q789" t="s">
        <v>115</v>
      </c>
      <c r="R789" s="165">
        <v>-7.5</v>
      </c>
      <c r="S789" s="114">
        <v>46077</v>
      </c>
      <c r="T789" s="1" t="s">
        <v>144</v>
      </c>
    </row>
    <row r="790" spans="15:20" x14ac:dyDescent="0.25">
      <c r="O790" t="s">
        <v>335</v>
      </c>
      <c r="P790" t="s">
        <v>127</v>
      </c>
      <c r="Q790" t="s">
        <v>114</v>
      </c>
      <c r="R790" s="165">
        <v>-10</v>
      </c>
      <c r="S790" s="114">
        <v>46077</v>
      </c>
      <c r="T790" s="1" t="s">
        <v>144</v>
      </c>
    </row>
    <row r="791" spans="15:20" x14ac:dyDescent="0.25">
      <c r="O791" t="s">
        <v>335</v>
      </c>
      <c r="P791" t="s">
        <v>127</v>
      </c>
      <c r="Q791" t="s">
        <v>114</v>
      </c>
      <c r="R791" s="165">
        <v>-10</v>
      </c>
      <c r="S791" s="114">
        <v>46077</v>
      </c>
      <c r="T791" s="1" t="s">
        <v>144</v>
      </c>
    </row>
    <row r="792" spans="15:20" x14ac:dyDescent="0.25">
      <c r="O792" t="s">
        <v>335</v>
      </c>
      <c r="P792" t="s">
        <v>127</v>
      </c>
      <c r="Q792" t="s">
        <v>114</v>
      </c>
      <c r="R792" s="165">
        <v>-10</v>
      </c>
      <c r="S792" s="114">
        <v>46077</v>
      </c>
      <c r="T792" s="1" t="s">
        <v>144</v>
      </c>
    </row>
    <row r="793" spans="15:20" x14ac:dyDescent="0.25">
      <c r="O793" t="s">
        <v>335</v>
      </c>
      <c r="P793" t="s">
        <v>127</v>
      </c>
      <c r="Q793" t="s">
        <v>114</v>
      </c>
      <c r="R793" s="165">
        <v>-10</v>
      </c>
      <c r="S793" s="114">
        <v>46077</v>
      </c>
      <c r="T793" s="1" t="s">
        <v>144</v>
      </c>
    </row>
    <row r="794" spans="15:20" x14ac:dyDescent="0.25">
      <c r="O794" t="s">
        <v>335</v>
      </c>
      <c r="P794" t="s">
        <v>127</v>
      </c>
      <c r="Q794" t="s">
        <v>114</v>
      </c>
      <c r="R794" s="165">
        <v>-10</v>
      </c>
      <c r="S794" s="114">
        <v>46077</v>
      </c>
      <c r="T794" s="1" t="s">
        <v>144</v>
      </c>
    </row>
    <row r="795" spans="15:20" x14ac:dyDescent="0.25">
      <c r="O795" t="s">
        <v>205</v>
      </c>
      <c r="P795" t="s">
        <v>128</v>
      </c>
      <c r="Q795" t="s">
        <v>115</v>
      </c>
      <c r="R795" s="165">
        <v>-27.5</v>
      </c>
      <c r="S795" s="114">
        <v>46077</v>
      </c>
      <c r="T795" s="1" t="s">
        <v>144</v>
      </c>
    </row>
    <row r="796" spans="15:20" x14ac:dyDescent="0.25">
      <c r="O796" t="s">
        <v>205</v>
      </c>
      <c r="P796" t="s">
        <v>128</v>
      </c>
      <c r="Q796" t="s">
        <v>115</v>
      </c>
      <c r="R796" s="165">
        <v>-45.5</v>
      </c>
      <c r="S796" s="114">
        <v>46077</v>
      </c>
      <c r="T796" s="1" t="s">
        <v>144</v>
      </c>
    </row>
    <row r="797" spans="15:20" x14ac:dyDescent="0.25">
      <c r="O797" t="s">
        <v>298</v>
      </c>
      <c r="P797" t="s">
        <v>128</v>
      </c>
      <c r="Q797" t="s">
        <v>115</v>
      </c>
      <c r="R797" s="165">
        <v>-160</v>
      </c>
      <c r="S797" s="114">
        <v>46077</v>
      </c>
      <c r="T797" s="1" t="s">
        <v>144</v>
      </c>
    </row>
    <row r="798" spans="15:20" x14ac:dyDescent="0.25">
      <c r="O798" t="s">
        <v>205</v>
      </c>
      <c r="P798" t="s">
        <v>128</v>
      </c>
      <c r="Q798" t="s">
        <v>115</v>
      </c>
      <c r="R798" s="165">
        <v>-55.25</v>
      </c>
      <c r="S798" s="114">
        <v>46076</v>
      </c>
      <c r="T798" s="1" t="s">
        <v>144</v>
      </c>
    </row>
    <row r="799" spans="15:20" x14ac:dyDescent="0.25">
      <c r="O799" t="s">
        <v>205</v>
      </c>
      <c r="P799" t="s">
        <v>128</v>
      </c>
      <c r="Q799" t="s">
        <v>115</v>
      </c>
      <c r="R799" s="165">
        <v>-98.62</v>
      </c>
      <c r="S799" s="114">
        <v>46076</v>
      </c>
      <c r="T799" s="1" t="s">
        <v>144</v>
      </c>
    </row>
    <row r="800" spans="15:20" x14ac:dyDescent="0.25">
      <c r="O800" t="s">
        <v>332</v>
      </c>
      <c r="P800" t="s">
        <v>128</v>
      </c>
      <c r="Q800" t="s">
        <v>115</v>
      </c>
      <c r="R800" s="165">
        <v>60</v>
      </c>
      <c r="S800" s="114">
        <v>46075</v>
      </c>
      <c r="T800" s="1" t="s">
        <v>144</v>
      </c>
    </row>
    <row r="801" spans="15:20" x14ac:dyDescent="0.25">
      <c r="O801" t="s">
        <v>302</v>
      </c>
      <c r="P801" t="s">
        <v>234</v>
      </c>
      <c r="Q801" t="s">
        <v>114</v>
      </c>
      <c r="R801" s="165">
        <v>-10</v>
      </c>
      <c r="S801" s="114">
        <v>46075</v>
      </c>
      <c r="T801" s="1" t="s">
        <v>144</v>
      </c>
    </row>
    <row r="802" spans="15:20" x14ac:dyDescent="0.25">
      <c r="O802" t="s">
        <v>302</v>
      </c>
      <c r="P802" t="s">
        <v>234</v>
      </c>
      <c r="Q802" t="s">
        <v>114</v>
      </c>
      <c r="R802" s="165">
        <v>-26.189999999999998</v>
      </c>
      <c r="S802" s="114">
        <v>46075</v>
      </c>
      <c r="T802" s="1" t="s">
        <v>144</v>
      </c>
    </row>
    <row r="803" spans="15:20" x14ac:dyDescent="0.25">
      <c r="O803" t="s">
        <v>332</v>
      </c>
      <c r="P803" t="s">
        <v>128</v>
      </c>
      <c r="Q803" t="s">
        <v>114</v>
      </c>
      <c r="R803" s="165">
        <v>-60</v>
      </c>
      <c r="S803" s="114">
        <v>46075</v>
      </c>
      <c r="T803" s="1" t="s">
        <v>144</v>
      </c>
    </row>
    <row r="804" spans="15:20" x14ac:dyDescent="0.25">
      <c r="O804" t="s">
        <v>324</v>
      </c>
      <c r="P804" t="s">
        <v>303</v>
      </c>
      <c r="Q804" t="s">
        <v>115</v>
      </c>
      <c r="R804" s="165">
        <v>16.8</v>
      </c>
      <c r="S804" s="114">
        <v>46074</v>
      </c>
      <c r="T804" s="1" t="s">
        <v>144</v>
      </c>
    </row>
    <row r="805" spans="15:20" x14ac:dyDescent="0.25">
      <c r="O805" t="s">
        <v>324</v>
      </c>
      <c r="P805" t="s">
        <v>303</v>
      </c>
      <c r="Q805" t="s">
        <v>115</v>
      </c>
      <c r="R805" s="165">
        <v>13</v>
      </c>
      <c r="S805" s="114">
        <v>46074</v>
      </c>
      <c r="T805" s="1" t="s">
        <v>144</v>
      </c>
    </row>
    <row r="806" spans="15:20" x14ac:dyDescent="0.25">
      <c r="O806" t="s">
        <v>298</v>
      </c>
      <c r="P806" t="s">
        <v>128</v>
      </c>
      <c r="Q806" t="s">
        <v>114</v>
      </c>
      <c r="R806" s="165">
        <v>12.69</v>
      </c>
      <c r="S806" s="114">
        <v>46074</v>
      </c>
      <c r="T806" s="1" t="s">
        <v>144</v>
      </c>
    </row>
    <row r="807" spans="15:20" x14ac:dyDescent="0.25">
      <c r="O807" t="s">
        <v>298</v>
      </c>
      <c r="P807" t="s">
        <v>128</v>
      </c>
      <c r="Q807" t="s">
        <v>115</v>
      </c>
      <c r="R807" s="165">
        <v>-12.69</v>
      </c>
      <c r="S807" s="114">
        <v>46074</v>
      </c>
      <c r="T807" s="1" t="s">
        <v>144</v>
      </c>
    </row>
    <row r="808" spans="15:20" x14ac:dyDescent="0.25">
      <c r="O808" t="s">
        <v>302</v>
      </c>
      <c r="P808" t="s">
        <v>234</v>
      </c>
      <c r="Q808" t="s">
        <v>115</v>
      </c>
      <c r="R808" s="165">
        <v>-79</v>
      </c>
      <c r="S808" s="114">
        <v>46074</v>
      </c>
      <c r="T808" s="1" t="s">
        <v>144</v>
      </c>
    </row>
    <row r="809" spans="15:20" x14ac:dyDescent="0.25">
      <c r="O809" t="s">
        <v>205</v>
      </c>
      <c r="P809" t="s">
        <v>128</v>
      </c>
      <c r="Q809" t="s">
        <v>115</v>
      </c>
      <c r="R809" s="165">
        <v>-4.25</v>
      </c>
      <c r="S809" s="114">
        <v>46073</v>
      </c>
      <c r="T809" s="1" t="s">
        <v>144</v>
      </c>
    </row>
    <row r="810" spans="15:20" x14ac:dyDescent="0.25">
      <c r="O810" t="s">
        <v>302</v>
      </c>
      <c r="P810" t="s">
        <v>234</v>
      </c>
      <c r="Q810" t="s">
        <v>115</v>
      </c>
      <c r="R810" s="165">
        <v>-58</v>
      </c>
      <c r="S810" s="114">
        <v>46073</v>
      </c>
      <c r="T810" s="1" t="s">
        <v>144</v>
      </c>
    </row>
    <row r="811" spans="15:20" x14ac:dyDescent="0.25">
      <c r="O811" t="s">
        <v>205</v>
      </c>
      <c r="P811" t="s">
        <v>128</v>
      </c>
      <c r="Q811" t="s">
        <v>115</v>
      </c>
      <c r="R811" s="165">
        <v>-62.5</v>
      </c>
      <c r="S811" s="114">
        <v>46073</v>
      </c>
      <c r="T811" s="1" t="s">
        <v>144</v>
      </c>
    </row>
    <row r="812" spans="15:20" x14ac:dyDescent="0.25">
      <c r="O812" t="s">
        <v>332</v>
      </c>
      <c r="P812" t="s">
        <v>128</v>
      </c>
      <c r="Q812" t="s">
        <v>115</v>
      </c>
      <c r="R812" s="165">
        <v>23</v>
      </c>
      <c r="S812" s="114">
        <v>46072</v>
      </c>
      <c r="T812" s="1" t="s">
        <v>144</v>
      </c>
    </row>
    <row r="813" spans="15:20" x14ac:dyDescent="0.25">
      <c r="O813" t="s">
        <v>302</v>
      </c>
      <c r="P813" t="s">
        <v>234</v>
      </c>
      <c r="Q813" t="s">
        <v>114</v>
      </c>
      <c r="R813" s="165">
        <v>-6.92</v>
      </c>
      <c r="S813" s="114">
        <v>46072</v>
      </c>
      <c r="T813" s="1" t="s">
        <v>144</v>
      </c>
    </row>
    <row r="814" spans="15:20" x14ac:dyDescent="0.25">
      <c r="O814" t="s">
        <v>205</v>
      </c>
      <c r="P814" t="s">
        <v>128</v>
      </c>
      <c r="Q814" t="s">
        <v>115</v>
      </c>
      <c r="R814" s="165">
        <v>-9.75</v>
      </c>
      <c r="S814" s="114">
        <v>46072</v>
      </c>
      <c r="T814" s="1" t="s">
        <v>144</v>
      </c>
    </row>
    <row r="815" spans="15:20" x14ac:dyDescent="0.25">
      <c r="O815" t="s">
        <v>332</v>
      </c>
      <c r="P815" t="s">
        <v>128</v>
      </c>
      <c r="Q815" t="s">
        <v>114</v>
      </c>
      <c r="R815" s="165">
        <v>-19</v>
      </c>
      <c r="S815" s="114">
        <v>46072</v>
      </c>
      <c r="T815" s="1" t="s">
        <v>144</v>
      </c>
    </row>
    <row r="816" spans="15:20" x14ac:dyDescent="0.25">
      <c r="O816" t="s">
        <v>205</v>
      </c>
      <c r="P816" t="s">
        <v>128</v>
      </c>
      <c r="Q816" t="s">
        <v>115</v>
      </c>
      <c r="R816" s="165">
        <v>-39.5</v>
      </c>
      <c r="S816" s="114">
        <v>46072</v>
      </c>
      <c r="T816" s="1" t="s">
        <v>144</v>
      </c>
    </row>
    <row r="817" spans="15:20" x14ac:dyDescent="0.25">
      <c r="O817" t="s">
        <v>354</v>
      </c>
      <c r="P817" t="s">
        <v>234</v>
      </c>
      <c r="Q817" t="s">
        <v>114</v>
      </c>
      <c r="R817" s="165">
        <v>-14.5</v>
      </c>
      <c r="S817" s="114">
        <v>46071</v>
      </c>
      <c r="T817" s="1" t="s">
        <v>144</v>
      </c>
    </row>
    <row r="818" spans="15:20" x14ac:dyDescent="0.25">
      <c r="O818" t="s">
        <v>205</v>
      </c>
      <c r="P818" t="s">
        <v>128</v>
      </c>
      <c r="Q818" t="s">
        <v>115</v>
      </c>
      <c r="R818" s="165">
        <v>-74.75</v>
      </c>
      <c r="S818" s="114">
        <v>46071</v>
      </c>
      <c r="T818" s="1" t="s">
        <v>144</v>
      </c>
    </row>
    <row r="819" spans="15:20" x14ac:dyDescent="0.25">
      <c r="O819" t="s">
        <v>205</v>
      </c>
      <c r="P819" t="s">
        <v>128</v>
      </c>
      <c r="Q819" t="s">
        <v>115</v>
      </c>
      <c r="R819" s="165">
        <v>-194.87</v>
      </c>
      <c r="S819" s="114">
        <v>46071</v>
      </c>
      <c r="T819" s="1" t="s">
        <v>144</v>
      </c>
    </row>
    <row r="820" spans="15:20" x14ac:dyDescent="0.25">
      <c r="O820" t="s">
        <v>302</v>
      </c>
      <c r="P820" t="s">
        <v>234</v>
      </c>
      <c r="Q820" t="s">
        <v>114</v>
      </c>
      <c r="R820" s="165">
        <v>-18</v>
      </c>
      <c r="S820" s="114">
        <v>46070</v>
      </c>
      <c r="T820" s="1" t="s">
        <v>144</v>
      </c>
    </row>
    <row r="821" spans="15:20" x14ac:dyDescent="0.25">
      <c r="O821" t="s">
        <v>298</v>
      </c>
      <c r="P821" t="s">
        <v>128</v>
      </c>
      <c r="Q821" t="s">
        <v>114</v>
      </c>
      <c r="R821" s="165">
        <v>-22</v>
      </c>
      <c r="S821" s="114">
        <v>46069</v>
      </c>
      <c r="T821" s="1" t="s">
        <v>144</v>
      </c>
    </row>
    <row r="822" spans="15:20" x14ac:dyDescent="0.25">
      <c r="O822" t="s">
        <v>324</v>
      </c>
      <c r="P822" t="s">
        <v>303</v>
      </c>
      <c r="Q822" t="s">
        <v>115</v>
      </c>
      <c r="R822" s="165">
        <v>10</v>
      </c>
      <c r="S822" s="114">
        <v>46068</v>
      </c>
      <c r="T822" s="1" t="s">
        <v>144</v>
      </c>
    </row>
    <row r="823" spans="15:20" x14ac:dyDescent="0.25">
      <c r="O823" t="s">
        <v>302</v>
      </c>
      <c r="P823" t="s">
        <v>234</v>
      </c>
      <c r="Q823" t="s">
        <v>114</v>
      </c>
      <c r="R823" s="165">
        <v>-8</v>
      </c>
      <c r="S823" s="114">
        <v>46068</v>
      </c>
      <c r="T823" s="1" t="s">
        <v>144</v>
      </c>
    </row>
    <row r="824" spans="15:20" x14ac:dyDescent="0.25">
      <c r="O824" t="s">
        <v>351</v>
      </c>
      <c r="P824" t="s">
        <v>234</v>
      </c>
      <c r="Q824" t="s">
        <v>115</v>
      </c>
      <c r="R824" s="165">
        <v>-24</v>
      </c>
      <c r="S824" s="114">
        <v>46068</v>
      </c>
      <c r="T824" s="1" t="s">
        <v>144</v>
      </c>
    </row>
    <row r="825" spans="15:20" x14ac:dyDescent="0.25">
      <c r="O825" t="s">
        <v>351</v>
      </c>
      <c r="P825" t="s">
        <v>234</v>
      </c>
      <c r="Q825" t="s">
        <v>115</v>
      </c>
      <c r="R825" s="165">
        <v>-34</v>
      </c>
      <c r="S825" s="114">
        <v>46068</v>
      </c>
      <c r="T825" s="1" t="s">
        <v>144</v>
      </c>
    </row>
    <row r="826" spans="15:20" x14ac:dyDescent="0.25">
      <c r="O826" t="s">
        <v>324</v>
      </c>
      <c r="P826" t="s">
        <v>303</v>
      </c>
      <c r="Q826" t="s">
        <v>115</v>
      </c>
      <c r="R826" s="165">
        <v>16.8</v>
      </c>
      <c r="S826" s="114">
        <v>46067</v>
      </c>
      <c r="T826" s="1" t="s">
        <v>144</v>
      </c>
    </row>
    <row r="827" spans="15:20" x14ac:dyDescent="0.25">
      <c r="O827" t="s">
        <v>324</v>
      </c>
      <c r="P827" t="s">
        <v>303</v>
      </c>
      <c r="Q827" t="s">
        <v>115</v>
      </c>
      <c r="R827" s="165">
        <v>15.8</v>
      </c>
      <c r="S827" s="114">
        <v>46067</v>
      </c>
      <c r="T827" s="1" t="s">
        <v>144</v>
      </c>
    </row>
    <row r="828" spans="15:20" x14ac:dyDescent="0.25">
      <c r="O828" t="s">
        <v>302</v>
      </c>
      <c r="P828" t="s">
        <v>234</v>
      </c>
      <c r="Q828" t="s">
        <v>115</v>
      </c>
      <c r="R828" s="165">
        <v>-4.2</v>
      </c>
      <c r="S828" s="114">
        <v>46067</v>
      </c>
      <c r="T828" s="1" t="s">
        <v>144</v>
      </c>
    </row>
    <row r="829" spans="15:20" x14ac:dyDescent="0.25">
      <c r="O829" t="s">
        <v>308</v>
      </c>
      <c r="P829" t="s">
        <v>234</v>
      </c>
      <c r="Q829" t="s">
        <v>115</v>
      </c>
      <c r="R829" s="165">
        <v>-30</v>
      </c>
      <c r="S829" s="114">
        <v>46067</v>
      </c>
      <c r="T829" s="1" t="s">
        <v>144</v>
      </c>
    </row>
    <row r="830" spans="15:20" x14ac:dyDescent="0.25">
      <c r="O830" t="s">
        <v>302</v>
      </c>
      <c r="P830" t="s">
        <v>234</v>
      </c>
      <c r="Q830" t="s">
        <v>115</v>
      </c>
      <c r="R830" s="165">
        <v>-32</v>
      </c>
      <c r="S830" s="114">
        <v>46067</v>
      </c>
      <c r="T830" s="1" t="s">
        <v>144</v>
      </c>
    </row>
    <row r="831" spans="15:20" x14ac:dyDescent="0.25">
      <c r="O831" t="s">
        <v>205</v>
      </c>
      <c r="P831" t="s">
        <v>128</v>
      </c>
      <c r="Q831" t="s">
        <v>115</v>
      </c>
      <c r="R831" s="165">
        <v>-11.25</v>
      </c>
      <c r="S831" s="114">
        <v>46066</v>
      </c>
      <c r="T831" s="1" t="s">
        <v>144</v>
      </c>
    </row>
    <row r="832" spans="15:20" x14ac:dyDescent="0.25">
      <c r="O832" t="s">
        <v>205</v>
      </c>
      <c r="P832" t="s">
        <v>128</v>
      </c>
      <c r="Q832" t="s">
        <v>115</v>
      </c>
      <c r="R832" s="165">
        <v>-43.12</v>
      </c>
      <c r="S832" s="114">
        <v>46066</v>
      </c>
      <c r="T832" s="1" t="s">
        <v>144</v>
      </c>
    </row>
    <row r="833" spans="15:20" x14ac:dyDescent="0.25">
      <c r="O833" t="s">
        <v>298</v>
      </c>
      <c r="P833" t="s">
        <v>128</v>
      </c>
      <c r="Q833" t="s">
        <v>115</v>
      </c>
      <c r="R833" s="165">
        <v>-160</v>
      </c>
      <c r="S833" s="114">
        <v>46066</v>
      </c>
      <c r="T833" s="1" t="s">
        <v>144</v>
      </c>
    </row>
    <row r="834" spans="15:20" x14ac:dyDescent="0.25">
      <c r="O834" t="s">
        <v>300</v>
      </c>
      <c r="P834" t="s">
        <v>128</v>
      </c>
      <c r="Q834" t="s">
        <v>114</v>
      </c>
      <c r="R834" s="165">
        <v>20</v>
      </c>
      <c r="S834" s="114">
        <v>46065</v>
      </c>
      <c r="T834" s="1" t="s">
        <v>144</v>
      </c>
    </row>
    <row r="835" spans="15:20" x14ac:dyDescent="0.25">
      <c r="O835" t="s">
        <v>332</v>
      </c>
      <c r="P835" t="s">
        <v>128</v>
      </c>
      <c r="Q835" t="s">
        <v>115</v>
      </c>
      <c r="R835" s="165">
        <v>-4</v>
      </c>
      <c r="S835" s="114">
        <v>46065</v>
      </c>
      <c r="T835" s="1" t="s">
        <v>144</v>
      </c>
    </row>
    <row r="836" spans="15:20" x14ac:dyDescent="0.25">
      <c r="O836" t="s">
        <v>205</v>
      </c>
      <c r="P836" t="s">
        <v>128</v>
      </c>
      <c r="Q836" t="s">
        <v>115</v>
      </c>
      <c r="R836" s="165">
        <v>-29.5</v>
      </c>
      <c r="S836" s="114">
        <v>46065</v>
      </c>
      <c r="T836" s="1" t="s">
        <v>144</v>
      </c>
    </row>
    <row r="837" spans="15:20" x14ac:dyDescent="0.25">
      <c r="O837" t="s">
        <v>205</v>
      </c>
      <c r="P837" t="s">
        <v>128</v>
      </c>
      <c r="Q837" t="s">
        <v>115</v>
      </c>
      <c r="R837" s="165">
        <v>-59.25</v>
      </c>
      <c r="S837" s="114">
        <v>46065</v>
      </c>
      <c r="T837" s="1" t="s">
        <v>144</v>
      </c>
    </row>
    <row r="838" spans="15:20" x14ac:dyDescent="0.25">
      <c r="O838" t="s">
        <v>324</v>
      </c>
      <c r="P838" t="s">
        <v>303</v>
      </c>
      <c r="Q838" t="s">
        <v>114</v>
      </c>
      <c r="R838" s="165">
        <v>16.8</v>
      </c>
      <c r="S838" s="114">
        <v>46064</v>
      </c>
      <c r="T838" s="1" t="s">
        <v>144</v>
      </c>
    </row>
    <row r="839" spans="15:20" x14ac:dyDescent="0.25">
      <c r="O839" t="s">
        <v>205</v>
      </c>
      <c r="P839" t="s">
        <v>128</v>
      </c>
      <c r="Q839" t="s">
        <v>115</v>
      </c>
      <c r="R839" s="165">
        <v>-31.5</v>
      </c>
      <c r="S839" s="114">
        <v>46064</v>
      </c>
      <c r="T839" s="1" t="s">
        <v>144</v>
      </c>
    </row>
    <row r="840" spans="15:20" x14ac:dyDescent="0.25">
      <c r="O840" t="s">
        <v>205</v>
      </c>
      <c r="P840" t="s">
        <v>128</v>
      </c>
      <c r="Q840" t="s">
        <v>115</v>
      </c>
      <c r="R840" s="165">
        <v>-65.150000000000006</v>
      </c>
      <c r="S840" s="114">
        <v>46064</v>
      </c>
      <c r="T840" s="1" t="s">
        <v>144</v>
      </c>
    </row>
    <row r="841" spans="15:20" x14ac:dyDescent="0.25">
      <c r="O841" t="s">
        <v>302</v>
      </c>
      <c r="P841" t="s">
        <v>234</v>
      </c>
      <c r="Q841" t="s">
        <v>115</v>
      </c>
      <c r="R841" s="165">
        <v>-185.73</v>
      </c>
      <c r="S841" s="114">
        <v>46064</v>
      </c>
      <c r="T841" s="1" t="s">
        <v>144</v>
      </c>
    </row>
    <row r="842" spans="15:20" x14ac:dyDescent="0.25">
      <c r="O842" t="s">
        <v>205</v>
      </c>
      <c r="P842" t="s">
        <v>128</v>
      </c>
      <c r="Q842" t="s">
        <v>115</v>
      </c>
      <c r="R842" s="165">
        <v>-19.87</v>
      </c>
      <c r="S842" s="114">
        <v>46063</v>
      </c>
      <c r="T842" s="1" t="s">
        <v>144</v>
      </c>
    </row>
    <row r="843" spans="15:20" x14ac:dyDescent="0.25">
      <c r="O843" t="s">
        <v>205</v>
      </c>
      <c r="P843" t="s">
        <v>128</v>
      </c>
      <c r="Q843" t="s">
        <v>115</v>
      </c>
      <c r="R843" s="165">
        <v>-66.87</v>
      </c>
      <c r="S843" s="114">
        <v>46063</v>
      </c>
      <c r="T843" s="1" t="s">
        <v>144</v>
      </c>
    </row>
    <row r="844" spans="15:20" x14ac:dyDescent="0.25">
      <c r="O844" t="s">
        <v>332</v>
      </c>
      <c r="P844" t="s">
        <v>128</v>
      </c>
      <c r="Q844" t="s">
        <v>115</v>
      </c>
      <c r="R844" s="165">
        <v>10</v>
      </c>
      <c r="S844" s="114">
        <v>46062</v>
      </c>
      <c r="T844" s="1" t="s">
        <v>144</v>
      </c>
    </row>
    <row r="845" spans="15:20" x14ac:dyDescent="0.25">
      <c r="O845" t="s">
        <v>300</v>
      </c>
      <c r="P845" t="s">
        <v>128</v>
      </c>
      <c r="Q845" t="s">
        <v>115</v>
      </c>
      <c r="R845" s="165">
        <v>-4</v>
      </c>
      <c r="S845" s="114">
        <v>46062</v>
      </c>
      <c r="T845" s="1" t="s">
        <v>144</v>
      </c>
    </row>
    <row r="846" spans="15:20" x14ac:dyDescent="0.25">
      <c r="O846" t="s">
        <v>332</v>
      </c>
      <c r="P846" t="s">
        <v>128</v>
      </c>
      <c r="Q846" t="s">
        <v>115</v>
      </c>
      <c r="R846" s="165">
        <v>-10</v>
      </c>
      <c r="S846" s="114">
        <v>46062</v>
      </c>
      <c r="T846" s="1" t="s">
        <v>144</v>
      </c>
    </row>
    <row r="847" spans="15:20" x14ac:dyDescent="0.25">
      <c r="O847" t="s">
        <v>302</v>
      </c>
      <c r="P847" t="s">
        <v>234</v>
      </c>
      <c r="Q847" t="s">
        <v>115</v>
      </c>
      <c r="R847" s="165">
        <v>-12.46</v>
      </c>
      <c r="S847" s="114">
        <v>46062</v>
      </c>
      <c r="T847" s="1" t="s">
        <v>144</v>
      </c>
    </row>
    <row r="848" spans="15:20" x14ac:dyDescent="0.25">
      <c r="O848" t="s">
        <v>205</v>
      </c>
      <c r="P848" t="s">
        <v>128</v>
      </c>
      <c r="Q848" t="s">
        <v>115</v>
      </c>
      <c r="R848" s="165">
        <v>-37</v>
      </c>
      <c r="S848" s="114">
        <v>46062</v>
      </c>
      <c r="T848" s="1" t="s">
        <v>144</v>
      </c>
    </row>
    <row r="849" spans="15:20" x14ac:dyDescent="0.25">
      <c r="O849" t="s">
        <v>298</v>
      </c>
      <c r="P849" t="s">
        <v>128</v>
      </c>
      <c r="Q849" t="s">
        <v>115</v>
      </c>
      <c r="R849" s="165">
        <v>-110</v>
      </c>
      <c r="S849" s="114">
        <v>46062</v>
      </c>
      <c r="T849" s="1" t="s">
        <v>144</v>
      </c>
    </row>
    <row r="850" spans="15:20" x14ac:dyDescent="0.25">
      <c r="O850" t="s">
        <v>205</v>
      </c>
      <c r="P850" t="s">
        <v>128</v>
      </c>
      <c r="Q850" t="s">
        <v>115</v>
      </c>
      <c r="R850" s="165">
        <v>-122.75</v>
      </c>
      <c r="S850" s="114">
        <v>46062</v>
      </c>
      <c r="T850" s="1" t="s">
        <v>144</v>
      </c>
    </row>
    <row r="851" spans="15:20" x14ac:dyDescent="0.25">
      <c r="O851" t="s">
        <v>349</v>
      </c>
      <c r="P851" t="s">
        <v>128</v>
      </c>
      <c r="Q851" t="s">
        <v>115</v>
      </c>
      <c r="R851" s="165">
        <v>240</v>
      </c>
      <c r="S851" s="114">
        <v>46061</v>
      </c>
      <c r="T851" s="1" t="s">
        <v>144</v>
      </c>
    </row>
    <row r="852" spans="15:20" x14ac:dyDescent="0.25">
      <c r="O852" t="s">
        <v>298</v>
      </c>
      <c r="P852" t="s">
        <v>128</v>
      </c>
      <c r="Q852" t="s">
        <v>115</v>
      </c>
      <c r="R852" s="165">
        <v>30</v>
      </c>
      <c r="S852" s="114">
        <v>46061</v>
      </c>
      <c r="T852" s="1" t="s">
        <v>144</v>
      </c>
    </row>
    <row r="853" spans="15:20" x14ac:dyDescent="0.25">
      <c r="O853" t="s">
        <v>298</v>
      </c>
      <c r="P853" t="s">
        <v>128</v>
      </c>
      <c r="Q853" t="s">
        <v>115</v>
      </c>
      <c r="R853" s="165">
        <v>5</v>
      </c>
      <c r="S853" s="114">
        <v>46061</v>
      </c>
      <c r="T853" s="1" t="s">
        <v>144</v>
      </c>
    </row>
    <row r="854" spans="15:20" x14ac:dyDescent="0.25">
      <c r="O854" t="s">
        <v>298</v>
      </c>
      <c r="P854" t="s">
        <v>128</v>
      </c>
      <c r="Q854" t="s">
        <v>114</v>
      </c>
      <c r="R854" s="165">
        <v>-5</v>
      </c>
      <c r="S854" s="114">
        <v>46061</v>
      </c>
      <c r="T854" s="1" t="s">
        <v>144</v>
      </c>
    </row>
    <row r="855" spans="15:20" x14ac:dyDescent="0.25">
      <c r="O855" t="s">
        <v>298</v>
      </c>
      <c r="P855" t="s">
        <v>128</v>
      </c>
      <c r="Q855" t="s">
        <v>114</v>
      </c>
      <c r="R855" s="165">
        <v>-30</v>
      </c>
      <c r="S855" s="114">
        <v>46061</v>
      </c>
      <c r="T855" s="1" t="s">
        <v>144</v>
      </c>
    </row>
    <row r="856" spans="15:20" x14ac:dyDescent="0.25">
      <c r="O856" t="s">
        <v>349</v>
      </c>
      <c r="P856" t="s">
        <v>128</v>
      </c>
      <c r="Q856" t="s">
        <v>114</v>
      </c>
      <c r="R856" s="165">
        <v>-240</v>
      </c>
      <c r="S856" s="114">
        <v>46061</v>
      </c>
      <c r="T856" s="1" t="s">
        <v>144</v>
      </c>
    </row>
    <row r="857" spans="15:20" x14ac:dyDescent="0.25">
      <c r="O857" t="s">
        <v>324</v>
      </c>
      <c r="P857" t="s">
        <v>303</v>
      </c>
      <c r="Q857" t="s">
        <v>115</v>
      </c>
      <c r="R857" s="165">
        <v>25.8</v>
      </c>
      <c r="S857" s="114">
        <v>46060</v>
      </c>
      <c r="T857" s="1" t="s">
        <v>144</v>
      </c>
    </row>
    <row r="858" spans="15:20" x14ac:dyDescent="0.25">
      <c r="O858" t="s">
        <v>324</v>
      </c>
      <c r="P858" t="s">
        <v>128</v>
      </c>
      <c r="Q858" t="s">
        <v>115</v>
      </c>
      <c r="R858" s="165">
        <v>-2</v>
      </c>
      <c r="S858" s="114">
        <v>46060</v>
      </c>
      <c r="T858" s="1" t="s">
        <v>144</v>
      </c>
    </row>
    <row r="859" spans="15:20" x14ac:dyDescent="0.25">
      <c r="O859" t="s">
        <v>325</v>
      </c>
      <c r="P859" t="s">
        <v>128</v>
      </c>
      <c r="Q859" t="s">
        <v>115</v>
      </c>
      <c r="R859" s="165">
        <v>-13</v>
      </c>
      <c r="S859" s="114">
        <v>46060</v>
      </c>
      <c r="T859" s="1" t="s">
        <v>144</v>
      </c>
    </row>
    <row r="860" spans="15:20" x14ac:dyDescent="0.25">
      <c r="O860" t="s">
        <v>302</v>
      </c>
      <c r="P860" t="s">
        <v>234</v>
      </c>
      <c r="Q860" t="s">
        <v>114</v>
      </c>
      <c r="R860" s="165">
        <v>-73</v>
      </c>
      <c r="S860" s="114">
        <v>46060</v>
      </c>
      <c r="T860" s="1" t="s">
        <v>144</v>
      </c>
    </row>
    <row r="861" spans="15:20" x14ac:dyDescent="0.25">
      <c r="O861" t="s">
        <v>343</v>
      </c>
      <c r="P861" t="s">
        <v>128</v>
      </c>
      <c r="Q861" t="s">
        <v>115</v>
      </c>
      <c r="R861" s="165">
        <v>200</v>
      </c>
      <c r="S861" s="114">
        <v>46059</v>
      </c>
      <c r="T861" s="1" t="s">
        <v>144</v>
      </c>
    </row>
    <row r="862" spans="15:20" x14ac:dyDescent="0.25">
      <c r="O862" t="s">
        <v>347</v>
      </c>
      <c r="P862" t="s">
        <v>234</v>
      </c>
      <c r="Q862" t="s">
        <v>115</v>
      </c>
      <c r="R862" s="165">
        <v>-5</v>
      </c>
      <c r="S862" s="114">
        <v>46059</v>
      </c>
      <c r="T862" s="1" t="s">
        <v>144</v>
      </c>
    </row>
    <row r="863" spans="15:20" x14ac:dyDescent="0.25">
      <c r="O863" t="s">
        <v>348</v>
      </c>
      <c r="P863" t="s">
        <v>234</v>
      </c>
      <c r="Q863" t="s">
        <v>115</v>
      </c>
      <c r="R863" s="165">
        <v>-10</v>
      </c>
      <c r="S863" s="114">
        <v>46059</v>
      </c>
      <c r="T863" s="1" t="s">
        <v>144</v>
      </c>
    </row>
    <row r="864" spans="15:20" x14ac:dyDescent="0.25">
      <c r="O864" t="s">
        <v>302</v>
      </c>
      <c r="P864" t="s">
        <v>234</v>
      </c>
      <c r="Q864" t="s">
        <v>114</v>
      </c>
      <c r="R864" s="165">
        <v>-14.5</v>
      </c>
      <c r="S864" s="114">
        <v>46059</v>
      </c>
      <c r="T864" s="1" t="s">
        <v>144</v>
      </c>
    </row>
    <row r="865" spans="15:20" x14ac:dyDescent="0.25">
      <c r="O865" t="s">
        <v>205</v>
      </c>
      <c r="P865" t="s">
        <v>128</v>
      </c>
      <c r="Q865" t="s">
        <v>115</v>
      </c>
      <c r="R865" s="165">
        <v>-21.5</v>
      </c>
      <c r="S865" s="114">
        <v>46059</v>
      </c>
      <c r="T865" s="1" t="s">
        <v>144</v>
      </c>
    </row>
    <row r="866" spans="15:20" x14ac:dyDescent="0.25">
      <c r="O866" t="s">
        <v>346</v>
      </c>
      <c r="P866" t="s">
        <v>234</v>
      </c>
      <c r="Q866" t="s">
        <v>115</v>
      </c>
      <c r="R866" s="165">
        <v>-31</v>
      </c>
      <c r="S866" s="114">
        <v>46059</v>
      </c>
      <c r="T866" s="1" t="s">
        <v>144</v>
      </c>
    </row>
    <row r="867" spans="15:20" x14ac:dyDescent="0.25">
      <c r="O867" t="s">
        <v>205</v>
      </c>
      <c r="P867" t="s">
        <v>128</v>
      </c>
      <c r="Q867" t="s">
        <v>115</v>
      </c>
      <c r="R867" s="165">
        <v>-51.5</v>
      </c>
      <c r="S867" s="114">
        <v>46059</v>
      </c>
      <c r="T867" s="1" t="s">
        <v>144</v>
      </c>
    </row>
    <row r="868" spans="15:20" x14ac:dyDescent="0.25">
      <c r="O868" t="s">
        <v>205</v>
      </c>
      <c r="P868" t="s">
        <v>128</v>
      </c>
      <c r="Q868" t="s">
        <v>115</v>
      </c>
      <c r="R868" s="165">
        <v>-5.75</v>
      </c>
      <c r="S868" s="114">
        <v>46058</v>
      </c>
      <c r="T868" s="1" t="s">
        <v>144</v>
      </c>
    </row>
    <row r="869" spans="15:20" x14ac:dyDescent="0.25">
      <c r="O869" t="s">
        <v>205</v>
      </c>
      <c r="P869" t="s">
        <v>128</v>
      </c>
      <c r="Q869" t="s">
        <v>115</v>
      </c>
      <c r="R869" s="165">
        <v>-40.75</v>
      </c>
      <c r="S869" s="114">
        <v>46058</v>
      </c>
      <c r="T869" s="1" t="s">
        <v>141</v>
      </c>
    </row>
    <row r="870" spans="15:20" x14ac:dyDescent="0.25">
      <c r="O870" t="s">
        <v>343</v>
      </c>
      <c r="P870" t="s">
        <v>128</v>
      </c>
      <c r="Q870" t="s">
        <v>114</v>
      </c>
      <c r="R870" s="165">
        <v>-200</v>
      </c>
      <c r="S870" s="114">
        <v>46058</v>
      </c>
      <c r="T870" s="1" t="s">
        <v>144</v>
      </c>
    </row>
    <row r="871" spans="15:20" x14ac:dyDescent="0.25">
      <c r="O871" t="s">
        <v>341</v>
      </c>
      <c r="P871" t="s">
        <v>128</v>
      </c>
      <c r="Q871" t="s">
        <v>114</v>
      </c>
      <c r="R871" s="165">
        <v>500</v>
      </c>
      <c r="S871" s="114">
        <v>46057</v>
      </c>
      <c r="T871" s="1" t="s">
        <v>144</v>
      </c>
    </row>
    <row r="872" spans="15:20" x14ac:dyDescent="0.25">
      <c r="O872" t="s">
        <v>342</v>
      </c>
      <c r="P872" t="s">
        <v>128</v>
      </c>
      <c r="Q872" t="s">
        <v>115</v>
      </c>
      <c r="R872" s="165">
        <v>350</v>
      </c>
      <c r="S872" s="114">
        <v>46057</v>
      </c>
      <c r="T872" s="1" t="s">
        <v>144</v>
      </c>
    </row>
    <row r="873" spans="15:20" x14ac:dyDescent="0.25">
      <c r="O873" t="s">
        <v>302</v>
      </c>
      <c r="P873" t="s">
        <v>234</v>
      </c>
      <c r="Q873" t="s">
        <v>115</v>
      </c>
      <c r="R873" s="165">
        <v>-14.5</v>
      </c>
      <c r="S873" s="114">
        <v>46057</v>
      </c>
      <c r="T873" s="1" t="s">
        <v>144</v>
      </c>
    </row>
    <row r="874" spans="15:20" x14ac:dyDescent="0.25">
      <c r="O874" t="s">
        <v>205</v>
      </c>
      <c r="P874" t="s">
        <v>128</v>
      </c>
      <c r="Q874" t="s">
        <v>115</v>
      </c>
      <c r="R874" s="165">
        <v>-62.25</v>
      </c>
      <c r="S874" s="114">
        <v>46057</v>
      </c>
      <c r="T874" s="1" t="s">
        <v>144</v>
      </c>
    </row>
    <row r="875" spans="15:20" x14ac:dyDescent="0.25">
      <c r="O875" t="s">
        <v>342</v>
      </c>
      <c r="P875" t="s">
        <v>128</v>
      </c>
      <c r="Q875" t="s">
        <v>114</v>
      </c>
      <c r="R875" s="165">
        <v>-350</v>
      </c>
      <c r="S875" s="114">
        <v>46057</v>
      </c>
      <c r="T875" s="1" t="s">
        <v>144</v>
      </c>
    </row>
    <row r="876" spans="15:20" x14ac:dyDescent="0.25">
      <c r="O876" t="s">
        <v>341</v>
      </c>
      <c r="P876" t="s">
        <v>128</v>
      </c>
      <c r="Q876" t="s">
        <v>115</v>
      </c>
      <c r="R876" s="165">
        <v>-500</v>
      </c>
      <c r="S876" s="114">
        <v>46057</v>
      </c>
      <c r="T876" s="1" t="s">
        <v>144</v>
      </c>
    </row>
    <row r="877" spans="15:20" x14ac:dyDescent="0.25">
      <c r="O877" t="s">
        <v>302</v>
      </c>
      <c r="P877" t="s">
        <v>234</v>
      </c>
      <c r="Q877" t="s">
        <v>115</v>
      </c>
      <c r="R877" s="165">
        <v>-4.5</v>
      </c>
      <c r="S877" s="114">
        <v>46056</v>
      </c>
      <c r="T877" s="1" t="s">
        <v>144</v>
      </c>
    </row>
    <row r="878" spans="15:20" x14ac:dyDescent="0.25">
      <c r="O878" t="s">
        <v>304</v>
      </c>
      <c r="P878" t="s">
        <v>128</v>
      </c>
      <c r="Q878" t="s">
        <v>115</v>
      </c>
      <c r="R878" s="165">
        <v>-8.4</v>
      </c>
      <c r="S878" s="114">
        <v>46056</v>
      </c>
      <c r="T878" s="1" t="s">
        <v>144</v>
      </c>
    </row>
    <row r="879" spans="15:20" x14ac:dyDescent="0.25">
      <c r="O879" t="s">
        <v>205</v>
      </c>
      <c r="P879" t="s">
        <v>128</v>
      </c>
      <c r="Q879" t="s">
        <v>115</v>
      </c>
      <c r="R879" s="165">
        <v>-10</v>
      </c>
      <c r="S879" s="114">
        <v>46056</v>
      </c>
      <c r="T879" s="1" t="s">
        <v>144</v>
      </c>
    </row>
    <row r="880" spans="15:20" x14ac:dyDescent="0.25">
      <c r="O880" t="s">
        <v>205</v>
      </c>
      <c r="P880" t="s">
        <v>128</v>
      </c>
      <c r="Q880" t="s">
        <v>115</v>
      </c>
      <c r="R880" s="165">
        <v>-11</v>
      </c>
      <c r="S880" s="114">
        <v>46056</v>
      </c>
      <c r="T880" s="1" t="s">
        <v>144</v>
      </c>
    </row>
    <row r="881" spans="15:20" x14ac:dyDescent="0.25">
      <c r="O881" t="s">
        <v>205</v>
      </c>
      <c r="P881" t="s">
        <v>128</v>
      </c>
      <c r="Q881" t="s">
        <v>115</v>
      </c>
      <c r="R881" s="165">
        <v>-60.75</v>
      </c>
      <c r="S881" s="114">
        <v>46056</v>
      </c>
      <c r="T881" s="1" t="s">
        <v>144</v>
      </c>
    </row>
    <row r="882" spans="15:20" x14ac:dyDescent="0.25">
      <c r="O882" t="s">
        <v>205</v>
      </c>
      <c r="P882" t="s">
        <v>128</v>
      </c>
      <c r="Q882" t="s">
        <v>115</v>
      </c>
      <c r="R882" s="165">
        <v>-116.5</v>
      </c>
      <c r="S882" s="114">
        <v>46056</v>
      </c>
      <c r="T882" s="1" t="s">
        <v>144</v>
      </c>
    </row>
    <row r="883" spans="15:20" x14ac:dyDescent="0.25">
      <c r="O883" t="s">
        <v>298</v>
      </c>
      <c r="P883" t="s">
        <v>128</v>
      </c>
      <c r="Q883" t="s">
        <v>115</v>
      </c>
      <c r="R883" s="165">
        <v>-160</v>
      </c>
      <c r="S883" s="114">
        <v>46056</v>
      </c>
      <c r="T883" s="1" t="s">
        <v>144</v>
      </c>
    </row>
    <row r="884" spans="15:20" x14ac:dyDescent="0.25">
      <c r="O884" t="s">
        <v>298</v>
      </c>
      <c r="P884" t="s">
        <v>128</v>
      </c>
      <c r="Q884" t="s">
        <v>115</v>
      </c>
      <c r="R884" s="165">
        <v>657.43</v>
      </c>
      <c r="S884" s="114">
        <v>46055</v>
      </c>
      <c r="T884" s="1" t="s">
        <v>144</v>
      </c>
    </row>
    <row r="885" spans="15:20" x14ac:dyDescent="0.25">
      <c r="O885" t="s">
        <v>298</v>
      </c>
      <c r="P885" t="s">
        <v>303</v>
      </c>
      <c r="Q885" t="s">
        <v>115</v>
      </c>
      <c r="R885" s="165">
        <v>250</v>
      </c>
      <c r="S885" s="114">
        <v>46055</v>
      </c>
      <c r="T885" s="1" t="s">
        <v>144</v>
      </c>
    </row>
    <row r="886" spans="15:20" x14ac:dyDescent="0.25">
      <c r="O886" t="s">
        <v>307</v>
      </c>
      <c r="P886" t="s">
        <v>128</v>
      </c>
      <c r="Q886" t="s">
        <v>115</v>
      </c>
      <c r="R886" s="165">
        <v>200</v>
      </c>
      <c r="S886" s="114">
        <v>46055</v>
      </c>
      <c r="T886" s="1" t="s">
        <v>144</v>
      </c>
    </row>
    <row r="887" spans="15:20" x14ac:dyDescent="0.25">
      <c r="O887" t="s">
        <v>332</v>
      </c>
      <c r="P887" t="s">
        <v>128</v>
      </c>
      <c r="Q887" t="s">
        <v>115</v>
      </c>
      <c r="R887" s="165">
        <v>20</v>
      </c>
      <c r="S887" s="114">
        <v>46055</v>
      </c>
      <c r="T887" s="1" t="s">
        <v>144</v>
      </c>
    </row>
    <row r="888" spans="15:20" x14ac:dyDescent="0.25">
      <c r="O888" t="s">
        <v>302</v>
      </c>
      <c r="P888" t="s">
        <v>234</v>
      </c>
      <c r="Q888" t="s">
        <v>115</v>
      </c>
      <c r="R888" s="165">
        <v>-7.5</v>
      </c>
      <c r="S888" s="114">
        <v>46055</v>
      </c>
      <c r="T888" s="1" t="s">
        <v>144</v>
      </c>
    </row>
    <row r="889" spans="15:20" x14ac:dyDescent="0.25">
      <c r="O889" t="s">
        <v>302</v>
      </c>
      <c r="P889" t="s">
        <v>234</v>
      </c>
      <c r="Q889" t="s">
        <v>114</v>
      </c>
      <c r="R889" s="165">
        <v>-10</v>
      </c>
      <c r="S889" s="114">
        <v>46055</v>
      </c>
      <c r="T889" s="1" t="s">
        <v>144</v>
      </c>
    </row>
    <row r="890" spans="15:20" x14ac:dyDescent="0.25">
      <c r="O890" t="s">
        <v>332</v>
      </c>
      <c r="P890" t="s">
        <v>128</v>
      </c>
      <c r="Q890" t="s">
        <v>114</v>
      </c>
      <c r="R890" s="165">
        <v>-20</v>
      </c>
      <c r="S890" s="114">
        <v>46055</v>
      </c>
      <c r="T890" s="1" t="s">
        <v>144</v>
      </c>
    </row>
    <row r="891" spans="15:20" x14ac:dyDescent="0.25">
      <c r="O891" t="s">
        <v>205</v>
      </c>
      <c r="P891" t="s">
        <v>128</v>
      </c>
      <c r="Q891" t="s">
        <v>115</v>
      </c>
      <c r="R891" s="165">
        <v>-26.75</v>
      </c>
      <c r="S891" s="114">
        <v>46055</v>
      </c>
      <c r="T891" s="1" t="s">
        <v>144</v>
      </c>
    </row>
    <row r="892" spans="15:20" x14ac:dyDescent="0.25">
      <c r="O892" t="s">
        <v>205</v>
      </c>
      <c r="P892" t="s">
        <v>128</v>
      </c>
      <c r="Q892" t="s">
        <v>115</v>
      </c>
      <c r="R892" s="165">
        <v>-76.78</v>
      </c>
      <c r="S892" s="114">
        <v>46055</v>
      </c>
      <c r="T892" s="1" t="s">
        <v>144</v>
      </c>
    </row>
    <row r="893" spans="15:20" x14ac:dyDescent="0.25">
      <c r="O893" t="s">
        <v>299</v>
      </c>
      <c r="P893" t="s">
        <v>128</v>
      </c>
      <c r="Q893" t="s">
        <v>114</v>
      </c>
      <c r="R893" s="165">
        <v>25</v>
      </c>
      <c r="S893" s="114">
        <v>46054</v>
      </c>
      <c r="T893" s="1" t="s">
        <v>144</v>
      </c>
    </row>
    <row r="894" spans="15:20" x14ac:dyDescent="0.25">
      <c r="O894" t="s">
        <v>298</v>
      </c>
      <c r="P894" t="s">
        <v>128</v>
      </c>
      <c r="Q894" t="s">
        <v>115</v>
      </c>
      <c r="R894" s="165">
        <v>-50</v>
      </c>
      <c r="S894" s="114">
        <v>46054</v>
      </c>
      <c r="T894" s="1" t="s">
        <v>144</v>
      </c>
    </row>
    <row r="895" spans="15:20" x14ac:dyDescent="0.25">
      <c r="O895" t="s">
        <v>324</v>
      </c>
      <c r="P895" t="s">
        <v>303</v>
      </c>
      <c r="Q895" t="s">
        <v>115</v>
      </c>
      <c r="R895" s="165">
        <v>16.8</v>
      </c>
      <c r="S895" s="114">
        <v>46053</v>
      </c>
      <c r="T895" s="1" t="s">
        <v>141</v>
      </c>
    </row>
    <row r="896" spans="15:20" x14ac:dyDescent="0.25">
      <c r="O896" t="s">
        <v>302</v>
      </c>
      <c r="P896" t="s">
        <v>234</v>
      </c>
      <c r="Q896" t="s">
        <v>115</v>
      </c>
      <c r="R896" s="165">
        <v>-3.75</v>
      </c>
      <c r="S896" s="114">
        <v>46053</v>
      </c>
      <c r="T896" s="1" t="s">
        <v>141</v>
      </c>
    </row>
    <row r="897" spans="8:20" x14ac:dyDescent="0.25">
      <c r="O897" t="s">
        <v>340</v>
      </c>
      <c r="P897" t="s">
        <v>234</v>
      </c>
      <c r="Q897" t="s">
        <v>115</v>
      </c>
      <c r="R897" s="165">
        <v>-4.5</v>
      </c>
      <c r="S897" s="114">
        <v>46053</v>
      </c>
      <c r="T897" s="1" t="s">
        <v>141</v>
      </c>
    </row>
    <row r="898" spans="8:20" x14ac:dyDescent="0.25">
      <c r="O898" t="s">
        <v>302</v>
      </c>
      <c r="P898" t="s">
        <v>234</v>
      </c>
      <c r="Q898" t="s">
        <v>115</v>
      </c>
      <c r="R898" s="165">
        <v>-6</v>
      </c>
      <c r="S898" s="114">
        <v>46053</v>
      </c>
      <c r="T898" s="1" t="s">
        <v>141</v>
      </c>
    </row>
    <row r="899" spans="8:20" x14ac:dyDescent="0.25">
      <c r="O899" t="s">
        <v>340</v>
      </c>
      <c r="P899" t="s">
        <v>234</v>
      </c>
      <c r="Q899" t="s">
        <v>115</v>
      </c>
      <c r="R899" s="165">
        <v>-6</v>
      </c>
      <c r="S899" s="114">
        <v>46053</v>
      </c>
      <c r="T899" s="1" t="s">
        <v>141</v>
      </c>
    </row>
    <row r="900" spans="8:20" x14ac:dyDescent="0.25">
      <c r="H900" s="166">
        <f>50-11</f>
        <v>39</v>
      </c>
      <c r="O900" t="s">
        <v>340</v>
      </c>
      <c r="P900" t="s">
        <v>234</v>
      </c>
      <c r="Q900" t="s">
        <v>115</v>
      </c>
      <c r="R900" s="165">
        <v>-6</v>
      </c>
      <c r="S900" s="114">
        <v>46053</v>
      </c>
      <c r="T900" s="1" t="s">
        <v>141</v>
      </c>
    </row>
    <row r="901" spans="8:20" x14ac:dyDescent="0.25">
      <c r="O901" t="s">
        <v>340</v>
      </c>
      <c r="P901" t="s">
        <v>234</v>
      </c>
      <c r="Q901" t="s">
        <v>115</v>
      </c>
      <c r="R901" s="165">
        <v>-12</v>
      </c>
      <c r="S901" s="114">
        <v>46053</v>
      </c>
      <c r="T901" s="1" t="s">
        <v>141</v>
      </c>
    </row>
    <row r="902" spans="8:20" x14ac:dyDescent="0.25">
      <c r="O902" t="s">
        <v>340</v>
      </c>
      <c r="P902" t="s">
        <v>234</v>
      </c>
      <c r="Q902" t="s">
        <v>115</v>
      </c>
      <c r="R902" s="165">
        <v>-33</v>
      </c>
      <c r="S902" s="114">
        <v>46053</v>
      </c>
      <c r="T902" s="1" t="s">
        <v>141</v>
      </c>
    </row>
    <row r="903" spans="8:20" x14ac:dyDescent="0.25">
      <c r="O903" t="s">
        <v>324</v>
      </c>
      <c r="P903" t="s">
        <v>303</v>
      </c>
      <c r="Q903" t="s">
        <v>115</v>
      </c>
      <c r="R903" s="165">
        <v>10</v>
      </c>
      <c r="S903" s="114">
        <v>46052</v>
      </c>
      <c r="T903" s="1" t="s">
        <v>141</v>
      </c>
    </row>
    <row r="904" spans="8:20" x14ac:dyDescent="0.25">
      <c r="O904" t="s">
        <v>205</v>
      </c>
      <c r="P904" t="s">
        <v>128</v>
      </c>
      <c r="Q904" t="s">
        <v>115</v>
      </c>
      <c r="R904" s="165">
        <v>-11</v>
      </c>
      <c r="S904" s="114">
        <v>46052</v>
      </c>
      <c r="T904" s="1" t="s">
        <v>141</v>
      </c>
    </row>
    <row r="905" spans="8:20" x14ac:dyDescent="0.25">
      <c r="O905" t="s">
        <v>302</v>
      </c>
      <c r="P905" t="s">
        <v>234</v>
      </c>
      <c r="Q905" t="s">
        <v>115</v>
      </c>
      <c r="R905" s="165">
        <v>-15</v>
      </c>
      <c r="S905" s="114">
        <v>46052</v>
      </c>
      <c r="T905" s="1" t="s">
        <v>141</v>
      </c>
    </row>
    <row r="906" spans="8:20" x14ac:dyDescent="0.25">
      <c r="O906" t="s">
        <v>298</v>
      </c>
      <c r="P906" t="s">
        <v>128</v>
      </c>
      <c r="Q906" t="s">
        <v>115</v>
      </c>
      <c r="R906" s="165">
        <v>-22.45</v>
      </c>
      <c r="S906" s="114">
        <v>46052</v>
      </c>
      <c r="T906" s="1" t="s">
        <v>141</v>
      </c>
    </row>
    <row r="907" spans="8:20" x14ac:dyDescent="0.25">
      <c r="O907" t="s">
        <v>205</v>
      </c>
      <c r="P907" t="s">
        <v>128</v>
      </c>
      <c r="Q907" t="s">
        <v>115</v>
      </c>
      <c r="R907" s="165">
        <v>-60</v>
      </c>
      <c r="S907" s="114">
        <v>46052</v>
      </c>
      <c r="T907" s="1" t="s">
        <v>141</v>
      </c>
    </row>
    <row r="908" spans="8:20" x14ac:dyDescent="0.25">
      <c r="O908" t="s">
        <v>298</v>
      </c>
      <c r="P908" t="s">
        <v>234</v>
      </c>
      <c r="Q908" t="s">
        <v>115</v>
      </c>
      <c r="R908" s="165">
        <v>-5</v>
      </c>
      <c r="S908" s="114">
        <v>46051</v>
      </c>
      <c r="T908" s="1" t="s">
        <v>141</v>
      </c>
    </row>
    <row r="909" spans="8:20" x14ac:dyDescent="0.25">
      <c r="O909" t="s">
        <v>205</v>
      </c>
      <c r="P909" t="s">
        <v>128</v>
      </c>
      <c r="Q909" t="s">
        <v>115</v>
      </c>
      <c r="R909" s="165">
        <v>-10</v>
      </c>
      <c r="S909" s="114">
        <v>46051</v>
      </c>
      <c r="T909" s="1" t="s">
        <v>141</v>
      </c>
    </row>
    <row r="910" spans="8:20" x14ac:dyDescent="0.25">
      <c r="O910" t="s">
        <v>339</v>
      </c>
      <c r="P910" t="s">
        <v>128</v>
      </c>
      <c r="Q910" t="s">
        <v>114</v>
      </c>
      <c r="R910" s="165">
        <v>-18</v>
      </c>
      <c r="S910" s="114">
        <v>46051</v>
      </c>
      <c r="T910" s="1" t="s">
        <v>141</v>
      </c>
    </row>
    <row r="911" spans="8:20" x14ac:dyDescent="0.25">
      <c r="O911" t="s">
        <v>302</v>
      </c>
      <c r="P911" t="s">
        <v>234</v>
      </c>
      <c r="Q911" t="s">
        <v>114</v>
      </c>
      <c r="R911" s="165">
        <v>-19.5</v>
      </c>
      <c r="S911" s="114">
        <v>46051</v>
      </c>
      <c r="T911" s="1" t="s">
        <v>141</v>
      </c>
    </row>
    <row r="912" spans="8:20" x14ac:dyDescent="0.25">
      <c r="O912" t="s">
        <v>205</v>
      </c>
      <c r="P912" t="s">
        <v>128</v>
      </c>
      <c r="Q912" t="s">
        <v>115</v>
      </c>
      <c r="R912" s="165">
        <v>-42</v>
      </c>
      <c r="S912" s="114">
        <v>46051</v>
      </c>
      <c r="T912" s="1" t="s">
        <v>141</v>
      </c>
    </row>
    <row r="913" spans="15:20" x14ac:dyDescent="0.25">
      <c r="O913" t="s">
        <v>307</v>
      </c>
      <c r="P913" t="s">
        <v>128</v>
      </c>
      <c r="Q913" t="s">
        <v>114</v>
      </c>
      <c r="R913" s="165">
        <v>300</v>
      </c>
      <c r="S913" s="114">
        <v>46050</v>
      </c>
      <c r="T913" s="1" t="s">
        <v>141</v>
      </c>
    </row>
    <row r="914" spans="15:20" x14ac:dyDescent="0.25">
      <c r="O914" t="s">
        <v>332</v>
      </c>
      <c r="P914" t="s">
        <v>128</v>
      </c>
      <c r="Q914" t="s">
        <v>115</v>
      </c>
      <c r="R914" s="165">
        <v>4.5</v>
      </c>
      <c r="S914" s="114">
        <v>46050</v>
      </c>
      <c r="T914" s="1" t="s">
        <v>141</v>
      </c>
    </row>
    <row r="915" spans="15:20" x14ac:dyDescent="0.25">
      <c r="O915" t="s">
        <v>304</v>
      </c>
      <c r="P915" t="s">
        <v>128</v>
      </c>
      <c r="Q915" t="s">
        <v>114</v>
      </c>
      <c r="R915" s="165">
        <v>4.2</v>
      </c>
      <c r="S915" s="114">
        <v>46050</v>
      </c>
      <c r="T915" s="1" t="s">
        <v>141</v>
      </c>
    </row>
    <row r="916" spans="15:20" x14ac:dyDescent="0.25">
      <c r="O916" t="s">
        <v>338</v>
      </c>
      <c r="P916" t="s">
        <v>127</v>
      </c>
      <c r="Q916" t="s">
        <v>114</v>
      </c>
      <c r="R916" s="165">
        <v>-4.2</v>
      </c>
      <c r="S916" s="114">
        <v>46050</v>
      </c>
      <c r="T916" s="1" t="s">
        <v>141</v>
      </c>
    </row>
    <row r="917" spans="15:20" x14ac:dyDescent="0.25">
      <c r="O917" t="s">
        <v>332</v>
      </c>
      <c r="P917" t="s">
        <v>128</v>
      </c>
      <c r="Q917" t="s">
        <v>115</v>
      </c>
      <c r="R917" s="165">
        <v>-4.5</v>
      </c>
      <c r="S917" s="114">
        <v>46050</v>
      </c>
      <c r="T917" s="1" t="s">
        <v>141</v>
      </c>
    </row>
    <row r="918" spans="15:20" x14ac:dyDescent="0.25">
      <c r="O918" t="s">
        <v>298</v>
      </c>
      <c r="P918" t="s">
        <v>128</v>
      </c>
      <c r="Q918" t="s">
        <v>115</v>
      </c>
      <c r="R918" s="165">
        <v>-5</v>
      </c>
      <c r="S918" s="114">
        <v>46050</v>
      </c>
      <c r="T918" s="1" t="s">
        <v>141</v>
      </c>
    </row>
    <row r="919" spans="15:20" x14ac:dyDescent="0.25">
      <c r="O919" t="s">
        <v>205</v>
      </c>
      <c r="P919" t="s">
        <v>128</v>
      </c>
      <c r="Q919" t="s">
        <v>115</v>
      </c>
      <c r="R919" s="165">
        <v>-11</v>
      </c>
      <c r="S919" s="114">
        <v>46050</v>
      </c>
      <c r="T919" s="1" t="s">
        <v>141</v>
      </c>
    </row>
    <row r="920" spans="15:20" x14ac:dyDescent="0.25">
      <c r="O920" t="s">
        <v>302</v>
      </c>
      <c r="P920" t="s">
        <v>234</v>
      </c>
      <c r="Q920" t="s">
        <v>115</v>
      </c>
      <c r="R920" s="165">
        <v>-15.24</v>
      </c>
      <c r="S920" s="114">
        <v>46050</v>
      </c>
      <c r="T920" s="1" t="s">
        <v>141</v>
      </c>
    </row>
    <row r="921" spans="15:20" x14ac:dyDescent="0.25">
      <c r="O921" t="s">
        <v>338</v>
      </c>
      <c r="P921" t="s">
        <v>127</v>
      </c>
      <c r="Q921" t="s">
        <v>114</v>
      </c>
      <c r="R921" s="165">
        <v>-22</v>
      </c>
      <c r="S921" s="114">
        <v>46050</v>
      </c>
      <c r="T921" s="1" t="s">
        <v>141</v>
      </c>
    </row>
    <row r="922" spans="15:20" x14ac:dyDescent="0.25">
      <c r="O922" t="s">
        <v>296</v>
      </c>
      <c r="P922" t="s">
        <v>127</v>
      </c>
      <c r="Q922" t="s">
        <v>114</v>
      </c>
      <c r="R922" s="165">
        <v>-25</v>
      </c>
      <c r="S922" s="114">
        <v>46050</v>
      </c>
      <c r="T922" s="1" t="s">
        <v>141</v>
      </c>
    </row>
    <row r="923" spans="15:20" x14ac:dyDescent="0.25">
      <c r="O923" t="s">
        <v>205</v>
      </c>
      <c r="P923" t="s">
        <v>128</v>
      </c>
      <c r="Q923" t="s">
        <v>115</v>
      </c>
      <c r="R923" s="165">
        <v>-59.75</v>
      </c>
      <c r="S923" s="114">
        <v>46050</v>
      </c>
      <c r="T923" s="1" t="s">
        <v>141</v>
      </c>
    </row>
    <row r="924" spans="15:20" x14ac:dyDescent="0.25">
      <c r="O924" t="s">
        <v>302</v>
      </c>
      <c r="P924" t="s">
        <v>234</v>
      </c>
      <c r="Q924" t="s">
        <v>115</v>
      </c>
      <c r="R924" s="165">
        <v>-78</v>
      </c>
      <c r="S924" s="114">
        <v>46050</v>
      </c>
      <c r="T924" s="1" t="s">
        <v>141</v>
      </c>
    </row>
    <row r="925" spans="15:20" x14ac:dyDescent="0.25">
      <c r="O925" t="s">
        <v>304</v>
      </c>
      <c r="P925" t="s">
        <v>128</v>
      </c>
      <c r="Q925" t="s">
        <v>114</v>
      </c>
      <c r="R925" s="165">
        <v>4.2</v>
      </c>
      <c r="S925" s="114">
        <v>46049</v>
      </c>
      <c r="T925" s="1" t="s">
        <v>141</v>
      </c>
    </row>
    <row r="926" spans="15:20" x14ac:dyDescent="0.25">
      <c r="O926" t="s">
        <v>335</v>
      </c>
      <c r="P926" t="s">
        <v>127</v>
      </c>
      <c r="Q926" t="s">
        <v>114</v>
      </c>
      <c r="R926" s="165">
        <v>-10</v>
      </c>
      <c r="S926" s="114">
        <v>46049</v>
      </c>
      <c r="T926" s="1" t="s">
        <v>141</v>
      </c>
    </row>
    <row r="927" spans="15:20" x14ac:dyDescent="0.25">
      <c r="O927" t="s">
        <v>335</v>
      </c>
      <c r="P927" t="s">
        <v>127</v>
      </c>
      <c r="Q927" t="s">
        <v>114</v>
      </c>
      <c r="R927" s="165">
        <v>-10</v>
      </c>
      <c r="S927" s="114">
        <v>46049</v>
      </c>
      <c r="T927" s="1" t="s">
        <v>141</v>
      </c>
    </row>
    <row r="928" spans="15:20" x14ac:dyDescent="0.25">
      <c r="O928" t="s">
        <v>335</v>
      </c>
      <c r="P928" t="s">
        <v>127</v>
      </c>
      <c r="Q928" t="s">
        <v>114</v>
      </c>
      <c r="R928" s="165">
        <v>-10</v>
      </c>
      <c r="S928" s="114">
        <v>46049</v>
      </c>
      <c r="T928" s="1" t="s">
        <v>141</v>
      </c>
    </row>
    <row r="929" spans="15:20" x14ac:dyDescent="0.25">
      <c r="O929" t="s">
        <v>335</v>
      </c>
      <c r="P929" t="s">
        <v>127</v>
      </c>
      <c r="Q929" t="s">
        <v>114</v>
      </c>
      <c r="R929" s="165">
        <v>-10</v>
      </c>
      <c r="S929" s="114">
        <v>46049</v>
      </c>
      <c r="T929" s="1" t="s">
        <v>141</v>
      </c>
    </row>
    <row r="930" spans="15:20" x14ac:dyDescent="0.25">
      <c r="O930" t="s">
        <v>335</v>
      </c>
      <c r="P930" t="s">
        <v>127</v>
      </c>
      <c r="Q930" t="s">
        <v>114</v>
      </c>
      <c r="R930" s="165">
        <v>-10</v>
      </c>
      <c r="S930" s="114">
        <v>46049</v>
      </c>
      <c r="T930" s="1" t="s">
        <v>141</v>
      </c>
    </row>
    <row r="931" spans="15:20" x14ac:dyDescent="0.25">
      <c r="O931" t="s">
        <v>205</v>
      </c>
      <c r="P931" t="s">
        <v>128</v>
      </c>
      <c r="Q931" t="s">
        <v>115</v>
      </c>
      <c r="R931" s="165">
        <v>-11.25</v>
      </c>
      <c r="S931" s="114">
        <v>46049</v>
      </c>
      <c r="T931" s="1" t="s">
        <v>141</v>
      </c>
    </row>
    <row r="932" spans="15:20" x14ac:dyDescent="0.25">
      <c r="O932" t="s">
        <v>302</v>
      </c>
      <c r="P932" t="s">
        <v>234</v>
      </c>
      <c r="Q932" t="s">
        <v>115</v>
      </c>
      <c r="R932" s="165">
        <v>-12.45</v>
      </c>
      <c r="S932" s="114">
        <v>46049</v>
      </c>
      <c r="T932" s="1" t="s">
        <v>141</v>
      </c>
    </row>
    <row r="933" spans="15:20" x14ac:dyDescent="0.25">
      <c r="O933" t="s">
        <v>205</v>
      </c>
      <c r="P933" t="s">
        <v>128</v>
      </c>
      <c r="Q933" t="s">
        <v>115</v>
      </c>
      <c r="R933" s="165">
        <v>-54.5</v>
      </c>
      <c r="S933" s="114">
        <v>46049</v>
      </c>
      <c r="T933" s="1" t="s">
        <v>141</v>
      </c>
    </row>
    <row r="934" spans="15:20" x14ac:dyDescent="0.25">
      <c r="O934" t="s">
        <v>298</v>
      </c>
      <c r="P934" t="s">
        <v>234</v>
      </c>
      <c r="Q934" t="s">
        <v>115</v>
      </c>
      <c r="R934" s="165">
        <v>-2.2599999999999998</v>
      </c>
      <c r="S934" s="114">
        <v>46048</v>
      </c>
      <c r="T934" s="1" t="s">
        <v>141</v>
      </c>
    </row>
    <row r="935" spans="15:20" x14ac:dyDescent="0.25">
      <c r="O935" t="s">
        <v>205</v>
      </c>
      <c r="P935" t="s">
        <v>128</v>
      </c>
      <c r="Q935" t="s">
        <v>115</v>
      </c>
      <c r="R935" s="165">
        <v>-20</v>
      </c>
      <c r="S935" s="114">
        <v>46048</v>
      </c>
      <c r="T935" s="1" t="s">
        <v>141</v>
      </c>
    </row>
    <row r="936" spans="15:20" x14ac:dyDescent="0.25">
      <c r="O936" t="s">
        <v>302</v>
      </c>
      <c r="P936" t="s">
        <v>234</v>
      </c>
      <c r="Q936" t="s">
        <v>115</v>
      </c>
      <c r="R936" s="165">
        <v>-40</v>
      </c>
      <c r="S936" s="114">
        <v>46048</v>
      </c>
      <c r="T936" s="1" t="s">
        <v>141</v>
      </c>
    </row>
    <row r="937" spans="15:20" x14ac:dyDescent="0.25">
      <c r="O937" t="s">
        <v>205</v>
      </c>
      <c r="P937" t="s">
        <v>128</v>
      </c>
      <c r="Q937" t="s">
        <v>115</v>
      </c>
      <c r="R937" s="165">
        <v>-124.5</v>
      </c>
      <c r="S937" s="114">
        <v>46048</v>
      </c>
      <c r="T937" s="1" t="s">
        <v>141</v>
      </c>
    </row>
    <row r="938" spans="15:20" x14ac:dyDescent="0.25">
      <c r="O938" t="s">
        <v>324</v>
      </c>
      <c r="P938" t="s">
        <v>303</v>
      </c>
      <c r="Q938" t="s">
        <v>115</v>
      </c>
      <c r="R938" s="165">
        <v>15.8</v>
      </c>
      <c r="S938" s="114">
        <v>46047</v>
      </c>
      <c r="T938" s="1" t="s">
        <v>141</v>
      </c>
    </row>
    <row r="939" spans="15:20" x14ac:dyDescent="0.25">
      <c r="O939" t="s">
        <v>324</v>
      </c>
      <c r="P939" t="s">
        <v>303</v>
      </c>
      <c r="Q939" t="s">
        <v>115</v>
      </c>
      <c r="R939" s="165">
        <v>15.8</v>
      </c>
      <c r="S939" s="114">
        <v>46047</v>
      </c>
      <c r="T939" s="1" t="s">
        <v>141</v>
      </c>
    </row>
    <row r="940" spans="15:20" x14ac:dyDescent="0.25">
      <c r="O940" t="s">
        <v>334</v>
      </c>
      <c r="P940" t="s">
        <v>128</v>
      </c>
      <c r="Q940" t="s">
        <v>115</v>
      </c>
      <c r="R940" s="165">
        <v>15</v>
      </c>
      <c r="S940" s="114">
        <v>46047</v>
      </c>
      <c r="T940" s="1" t="s">
        <v>141</v>
      </c>
    </row>
    <row r="941" spans="15:20" x14ac:dyDescent="0.25">
      <c r="O941" t="s">
        <v>334</v>
      </c>
      <c r="P941" t="s">
        <v>128</v>
      </c>
      <c r="Q941" t="s">
        <v>115</v>
      </c>
      <c r="R941" s="165">
        <v>-15</v>
      </c>
      <c r="S941" s="114">
        <v>46046</v>
      </c>
      <c r="T941" s="1" t="s">
        <v>141</v>
      </c>
    </row>
    <row r="942" spans="15:20" x14ac:dyDescent="0.25">
      <c r="O942" t="s">
        <v>333</v>
      </c>
      <c r="P942" t="s">
        <v>234</v>
      </c>
      <c r="Q942" t="s">
        <v>115</v>
      </c>
      <c r="R942" s="165">
        <v>-25.62</v>
      </c>
      <c r="S942" s="114">
        <v>46046</v>
      </c>
      <c r="T942" s="1" t="s">
        <v>141</v>
      </c>
    </row>
    <row r="943" spans="15:20" x14ac:dyDescent="0.25">
      <c r="O943" t="s">
        <v>302</v>
      </c>
      <c r="P943" t="s">
        <v>234</v>
      </c>
      <c r="Q943" t="s">
        <v>114</v>
      </c>
      <c r="R943" s="165">
        <v>-10</v>
      </c>
      <c r="S943" s="114">
        <v>46045</v>
      </c>
      <c r="T943" s="1" t="s">
        <v>141</v>
      </c>
    </row>
    <row r="944" spans="15:20" x14ac:dyDescent="0.25">
      <c r="O944" t="s">
        <v>205</v>
      </c>
      <c r="P944" t="s">
        <v>128</v>
      </c>
      <c r="Q944" t="s">
        <v>115</v>
      </c>
      <c r="R944" s="165">
        <v>-37.5</v>
      </c>
      <c r="S944" s="114">
        <v>46045</v>
      </c>
      <c r="T944" s="1" t="s">
        <v>141</v>
      </c>
    </row>
    <row r="945" spans="15:20" x14ac:dyDescent="0.25">
      <c r="O945" t="s">
        <v>205</v>
      </c>
      <c r="P945" t="s">
        <v>128</v>
      </c>
      <c r="Q945" t="s">
        <v>115</v>
      </c>
      <c r="R945" s="165">
        <v>-64.5</v>
      </c>
      <c r="S945" s="114">
        <v>46045</v>
      </c>
      <c r="T945" s="1" t="s">
        <v>141</v>
      </c>
    </row>
    <row r="946" spans="15:20" x14ac:dyDescent="0.25">
      <c r="O946" t="s">
        <v>302</v>
      </c>
      <c r="P946" t="s">
        <v>234</v>
      </c>
      <c r="Q946" t="s">
        <v>115</v>
      </c>
      <c r="R946" s="165">
        <v>-85</v>
      </c>
      <c r="S946" s="114">
        <v>46045</v>
      </c>
      <c r="T946" s="1" t="s">
        <v>141</v>
      </c>
    </row>
    <row r="947" spans="15:20" x14ac:dyDescent="0.25">
      <c r="O947" t="s">
        <v>298</v>
      </c>
      <c r="P947" t="s">
        <v>128</v>
      </c>
      <c r="Q947" t="s">
        <v>115</v>
      </c>
      <c r="R947" s="165">
        <v>-160</v>
      </c>
      <c r="S947" s="114">
        <v>46045</v>
      </c>
      <c r="T947" s="1" t="s">
        <v>141</v>
      </c>
    </row>
    <row r="948" spans="15:20" x14ac:dyDescent="0.25">
      <c r="O948" t="s">
        <v>332</v>
      </c>
      <c r="P948" t="s">
        <v>128</v>
      </c>
      <c r="Q948" t="s">
        <v>115</v>
      </c>
      <c r="R948" s="165">
        <v>50</v>
      </c>
      <c r="S948" s="114">
        <v>46044</v>
      </c>
      <c r="T948" s="1" t="s">
        <v>141</v>
      </c>
    </row>
    <row r="949" spans="15:20" x14ac:dyDescent="0.25">
      <c r="O949" t="s">
        <v>325</v>
      </c>
      <c r="P949" t="s">
        <v>128</v>
      </c>
      <c r="Q949" t="s">
        <v>115</v>
      </c>
      <c r="R949" s="165">
        <v>50</v>
      </c>
      <c r="S949" s="114">
        <v>46044</v>
      </c>
      <c r="T949" s="1" t="s">
        <v>141</v>
      </c>
    </row>
    <row r="950" spans="15:20" x14ac:dyDescent="0.25">
      <c r="O950" t="s">
        <v>302</v>
      </c>
      <c r="P950" t="s">
        <v>234</v>
      </c>
      <c r="Q950" t="s">
        <v>114</v>
      </c>
      <c r="R950" s="165">
        <v>-4.75</v>
      </c>
      <c r="S950" s="114">
        <v>46044</v>
      </c>
      <c r="T950" s="1" t="s">
        <v>141</v>
      </c>
    </row>
    <row r="951" spans="15:20" x14ac:dyDescent="0.25">
      <c r="O951" t="s">
        <v>205</v>
      </c>
      <c r="P951" t="s">
        <v>128</v>
      </c>
      <c r="Q951" t="s">
        <v>115</v>
      </c>
      <c r="R951" s="165">
        <v>-5.5</v>
      </c>
      <c r="S951" s="114">
        <v>46044</v>
      </c>
      <c r="T951" s="1" t="s">
        <v>141</v>
      </c>
    </row>
    <row r="952" spans="15:20" x14ac:dyDescent="0.25">
      <c r="O952" t="s">
        <v>304</v>
      </c>
      <c r="P952" t="s">
        <v>128</v>
      </c>
      <c r="Q952" t="s">
        <v>115</v>
      </c>
      <c r="R952" s="165">
        <v>-12.15</v>
      </c>
      <c r="S952" s="114">
        <v>46044</v>
      </c>
      <c r="T952" s="1" t="s">
        <v>141</v>
      </c>
    </row>
    <row r="953" spans="15:20" x14ac:dyDescent="0.25">
      <c r="O953" t="s">
        <v>205</v>
      </c>
      <c r="P953" t="s">
        <v>128</v>
      </c>
      <c r="Q953" t="s">
        <v>115</v>
      </c>
      <c r="R953" s="165">
        <v>-15.85</v>
      </c>
      <c r="S953" s="114">
        <v>46044</v>
      </c>
      <c r="T953" s="1" t="s">
        <v>141</v>
      </c>
    </row>
    <row r="954" spans="15:20" x14ac:dyDescent="0.25">
      <c r="O954" t="s">
        <v>302</v>
      </c>
      <c r="P954" t="s">
        <v>234</v>
      </c>
      <c r="Q954" t="s">
        <v>114</v>
      </c>
      <c r="R954" s="165">
        <v>-18</v>
      </c>
      <c r="S954" s="114">
        <v>46044</v>
      </c>
      <c r="T954" s="1" t="s">
        <v>141</v>
      </c>
    </row>
    <row r="955" spans="15:20" x14ac:dyDescent="0.25">
      <c r="O955" t="s">
        <v>332</v>
      </c>
      <c r="P955" t="s">
        <v>128</v>
      </c>
      <c r="Q955" t="s">
        <v>114</v>
      </c>
      <c r="R955" s="165">
        <v>-50</v>
      </c>
      <c r="S955" s="114">
        <v>46044</v>
      </c>
      <c r="T955" s="1" t="s">
        <v>141</v>
      </c>
    </row>
    <row r="956" spans="15:20" x14ac:dyDescent="0.25">
      <c r="O956" t="s">
        <v>325</v>
      </c>
      <c r="P956" t="s">
        <v>128</v>
      </c>
      <c r="Q956" t="s">
        <v>114</v>
      </c>
      <c r="R956" s="165">
        <v>-50</v>
      </c>
      <c r="S956" s="114">
        <v>46044</v>
      </c>
      <c r="T956" s="1" t="s">
        <v>141</v>
      </c>
    </row>
    <row r="957" spans="15:20" x14ac:dyDescent="0.25">
      <c r="O957" t="s">
        <v>302</v>
      </c>
      <c r="P957" t="s">
        <v>234</v>
      </c>
      <c r="Q957" t="s">
        <v>115</v>
      </c>
      <c r="R957" s="165">
        <v>-6.29</v>
      </c>
      <c r="S957" s="114">
        <v>46043</v>
      </c>
      <c r="T957" s="1" t="s">
        <v>141</v>
      </c>
    </row>
    <row r="958" spans="15:20" x14ac:dyDescent="0.25">
      <c r="O958" t="s">
        <v>302</v>
      </c>
      <c r="P958" t="s">
        <v>234</v>
      </c>
      <c r="Q958" t="s">
        <v>115</v>
      </c>
      <c r="R958" s="165">
        <v>-10</v>
      </c>
      <c r="S958" s="114">
        <v>46043</v>
      </c>
      <c r="T958" s="1" t="s">
        <v>141</v>
      </c>
    </row>
    <row r="959" spans="15:20" x14ac:dyDescent="0.25">
      <c r="O959" t="s">
        <v>298</v>
      </c>
      <c r="P959" t="s">
        <v>128</v>
      </c>
      <c r="Q959" t="s">
        <v>115</v>
      </c>
      <c r="R959" s="165">
        <v>-15</v>
      </c>
      <c r="S959" s="114">
        <v>46043</v>
      </c>
      <c r="T959" s="1" t="s">
        <v>141</v>
      </c>
    </row>
    <row r="960" spans="15:20" x14ac:dyDescent="0.25">
      <c r="O960" t="s">
        <v>205</v>
      </c>
      <c r="P960" t="s">
        <v>128</v>
      </c>
      <c r="Q960" t="s">
        <v>115</v>
      </c>
      <c r="R960" s="165">
        <v>-46.01</v>
      </c>
      <c r="S960" s="114">
        <v>46043</v>
      </c>
      <c r="T960" s="1" t="s">
        <v>141</v>
      </c>
    </row>
    <row r="961" spans="15:20" x14ac:dyDescent="0.25">
      <c r="O961" t="s">
        <v>205</v>
      </c>
      <c r="P961" t="s">
        <v>128</v>
      </c>
      <c r="Q961" t="s">
        <v>115</v>
      </c>
      <c r="R961" s="165">
        <v>-79.010000000000005</v>
      </c>
      <c r="S961" s="114">
        <v>46043</v>
      </c>
      <c r="T961" s="1" t="s">
        <v>141</v>
      </c>
    </row>
    <row r="962" spans="15:20" x14ac:dyDescent="0.25">
      <c r="O962" t="s">
        <v>331</v>
      </c>
      <c r="P962" t="s">
        <v>234</v>
      </c>
      <c r="Q962" t="s">
        <v>115</v>
      </c>
      <c r="R962" s="165">
        <v>18</v>
      </c>
      <c r="S962" s="114">
        <v>46042</v>
      </c>
      <c r="T962" s="1" t="s">
        <v>141</v>
      </c>
    </row>
    <row r="963" spans="15:20" x14ac:dyDescent="0.25">
      <c r="O963" t="s">
        <v>298</v>
      </c>
      <c r="P963" t="s">
        <v>128</v>
      </c>
      <c r="Q963" t="s">
        <v>115</v>
      </c>
      <c r="R963" s="165">
        <v>-0.69</v>
      </c>
      <c r="S963" s="114">
        <v>46042</v>
      </c>
      <c r="T963" s="1" t="s">
        <v>141</v>
      </c>
    </row>
    <row r="964" spans="15:20" x14ac:dyDescent="0.25">
      <c r="O964" t="s">
        <v>302</v>
      </c>
      <c r="P964" t="s">
        <v>234</v>
      </c>
      <c r="Q964" t="s">
        <v>115</v>
      </c>
      <c r="R964" s="165">
        <v>-6.5</v>
      </c>
      <c r="S964" s="114">
        <v>46042</v>
      </c>
      <c r="T964" s="1" t="s">
        <v>141</v>
      </c>
    </row>
    <row r="965" spans="15:20" x14ac:dyDescent="0.25">
      <c r="O965" t="s">
        <v>205</v>
      </c>
      <c r="P965" t="s">
        <v>128</v>
      </c>
      <c r="Q965" t="s">
        <v>115</v>
      </c>
      <c r="R965" s="165">
        <v>-45.18</v>
      </c>
      <c r="S965" s="114">
        <v>46042</v>
      </c>
      <c r="T965" s="1" t="s">
        <v>141</v>
      </c>
    </row>
    <row r="966" spans="15:20" x14ac:dyDescent="0.25">
      <c r="O966" t="s">
        <v>205</v>
      </c>
      <c r="P966" t="s">
        <v>128</v>
      </c>
      <c r="Q966" t="s">
        <v>115</v>
      </c>
      <c r="R966" s="165">
        <v>-47.34</v>
      </c>
      <c r="S966" s="114">
        <v>46042</v>
      </c>
      <c r="T966" s="1" t="s">
        <v>141</v>
      </c>
    </row>
    <row r="967" spans="15:20" x14ac:dyDescent="0.25">
      <c r="O967" t="s">
        <v>324</v>
      </c>
      <c r="P967" t="s">
        <v>303</v>
      </c>
      <c r="Q967" t="s">
        <v>114</v>
      </c>
      <c r="R967" s="165">
        <v>17.850000000000001</v>
      </c>
      <c r="S967" s="114">
        <v>46041</v>
      </c>
      <c r="T967" s="1" t="s">
        <v>141</v>
      </c>
    </row>
    <row r="968" spans="15:20" x14ac:dyDescent="0.25">
      <c r="O968" t="s">
        <v>304</v>
      </c>
      <c r="P968" t="s">
        <v>128</v>
      </c>
      <c r="Q968" t="s">
        <v>114</v>
      </c>
      <c r="R968" s="165">
        <v>8.25</v>
      </c>
      <c r="S968" s="114">
        <v>46041</v>
      </c>
      <c r="T968" s="1" t="s">
        <v>141</v>
      </c>
    </row>
    <row r="969" spans="15:20" x14ac:dyDescent="0.25">
      <c r="O969" t="s">
        <v>302</v>
      </c>
      <c r="P969" t="s">
        <v>234</v>
      </c>
      <c r="Q969" t="s">
        <v>115</v>
      </c>
      <c r="R969" s="165">
        <v>-6.75</v>
      </c>
      <c r="S969" s="114">
        <v>46041</v>
      </c>
      <c r="T969" s="1" t="s">
        <v>141</v>
      </c>
    </row>
    <row r="970" spans="15:20" x14ac:dyDescent="0.25">
      <c r="O970" t="s">
        <v>302</v>
      </c>
      <c r="P970" t="s">
        <v>234</v>
      </c>
      <c r="Q970" t="s">
        <v>115</v>
      </c>
      <c r="R970" s="165">
        <v>-11</v>
      </c>
      <c r="S970" s="114">
        <v>46041</v>
      </c>
      <c r="T970" s="1" t="s">
        <v>141</v>
      </c>
    </row>
    <row r="971" spans="15:20" x14ac:dyDescent="0.25">
      <c r="O971" t="s">
        <v>376</v>
      </c>
      <c r="P971" t="s">
        <v>234</v>
      </c>
      <c r="Q971" t="s">
        <v>115</v>
      </c>
      <c r="R971" s="165">
        <v>-22.5</v>
      </c>
      <c r="S971" s="114">
        <v>46041</v>
      </c>
      <c r="T971" s="1" t="s">
        <v>141</v>
      </c>
    </row>
    <row r="972" spans="15:20" x14ac:dyDescent="0.25">
      <c r="O972" t="s">
        <v>205</v>
      </c>
      <c r="P972" t="s">
        <v>128</v>
      </c>
      <c r="Q972" t="s">
        <v>115</v>
      </c>
      <c r="R972" s="165">
        <v>-30.18</v>
      </c>
      <c r="S972" s="114">
        <v>46041</v>
      </c>
      <c r="T972" s="1" t="s">
        <v>141</v>
      </c>
    </row>
    <row r="973" spans="15:20" x14ac:dyDescent="0.25">
      <c r="O973" t="s">
        <v>205</v>
      </c>
      <c r="P973" t="s">
        <v>128</v>
      </c>
      <c r="Q973" t="s">
        <v>115</v>
      </c>
      <c r="R973" s="165">
        <v>-150.19</v>
      </c>
      <c r="S973" s="114">
        <v>46041</v>
      </c>
      <c r="T973" s="1" t="s">
        <v>141</v>
      </c>
    </row>
    <row r="974" spans="15:20" x14ac:dyDescent="0.25">
      <c r="O974" t="s">
        <v>329</v>
      </c>
      <c r="P974" t="s">
        <v>127</v>
      </c>
      <c r="Q974" t="s">
        <v>114</v>
      </c>
      <c r="R974" s="165">
        <v>-50</v>
      </c>
      <c r="S974" s="114">
        <v>46040</v>
      </c>
      <c r="T974" s="1" t="s">
        <v>141</v>
      </c>
    </row>
    <row r="975" spans="15:20" x14ac:dyDescent="0.25">
      <c r="O975" t="s">
        <v>332</v>
      </c>
      <c r="P975" t="s">
        <v>234</v>
      </c>
      <c r="Q975" t="s">
        <v>115</v>
      </c>
      <c r="R975" s="165">
        <v>60</v>
      </c>
      <c r="S975" s="114">
        <v>46039</v>
      </c>
      <c r="T975" s="1" t="s">
        <v>141</v>
      </c>
    </row>
    <row r="976" spans="15:20" x14ac:dyDescent="0.25">
      <c r="O976" t="s">
        <v>324</v>
      </c>
      <c r="P976" t="s">
        <v>303</v>
      </c>
      <c r="Q976" t="s">
        <v>115</v>
      </c>
      <c r="R976" s="165">
        <v>16.8</v>
      </c>
      <c r="S976" s="114">
        <v>46039</v>
      </c>
      <c r="T976" s="1" t="s">
        <v>141</v>
      </c>
    </row>
    <row r="977" spans="15:20" x14ac:dyDescent="0.25">
      <c r="O977" t="s">
        <v>324</v>
      </c>
      <c r="P977" t="s">
        <v>303</v>
      </c>
      <c r="Q977" t="s">
        <v>115</v>
      </c>
      <c r="R977" s="165">
        <v>16.8</v>
      </c>
      <c r="S977" s="114">
        <v>46039</v>
      </c>
      <c r="T977" s="1" t="s">
        <v>141</v>
      </c>
    </row>
    <row r="978" spans="15:20" x14ac:dyDescent="0.25">
      <c r="O978" t="s">
        <v>298</v>
      </c>
      <c r="P978" t="s">
        <v>128</v>
      </c>
      <c r="Q978" t="s">
        <v>115</v>
      </c>
      <c r="R978" s="165">
        <v>-14</v>
      </c>
      <c r="S978" s="114">
        <v>46039</v>
      </c>
      <c r="T978" s="1" t="s">
        <v>141</v>
      </c>
    </row>
    <row r="979" spans="15:20" x14ac:dyDescent="0.25">
      <c r="O979" t="s">
        <v>302</v>
      </c>
      <c r="P979" t="s">
        <v>234</v>
      </c>
      <c r="Q979" t="s">
        <v>115</v>
      </c>
      <c r="R979" s="165">
        <v>-20</v>
      </c>
      <c r="S979" s="114">
        <v>46039</v>
      </c>
      <c r="T979" s="1" t="s">
        <v>141</v>
      </c>
    </row>
    <row r="980" spans="15:20" x14ac:dyDescent="0.25">
      <c r="O980" t="s">
        <v>332</v>
      </c>
      <c r="P980" t="s">
        <v>234</v>
      </c>
      <c r="Q980" t="s">
        <v>115</v>
      </c>
      <c r="R980" s="165">
        <v>-28</v>
      </c>
      <c r="S980" s="114">
        <v>46039</v>
      </c>
      <c r="T980" s="1" t="s">
        <v>141</v>
      </c>
    </row>
    <row r="981" spans="15:20" x14ac:dyDescent="0.25">
      <c r="O981" t="s">
        <v>326</v>
      </c>
      <c r="P981" t="s">
        <v>234</v>
      </c>
      <c r="Q981" t="s">
        <v>115</v>
      </c>
      <c r="R981" s="165">
        <v>-70</v>
      </c>
      <c r="S981" s="114">
        <v>46039</v>
      </c>
      <c r="T981" s="1" t="s">
        <v>141</v>
      </c>
    </row>
    <row r="982" spans="15:20" x14ac:dyDescent="0.25">
      <c r="O982" t="s">
        <v>327</v>
      </c>
      <c r="P982" t="s">
        <v>234</v>
      </c>
      <c r="Q982" t="s">
        <v>115</v>
      </c>
      <c r="R982" s="165">
        <v>-129</v>
      </c>
      <c r="S982" s="114">
        <v>46039</v>
      </c>
      <c r="T982" s="1" t="s">
        <v>141</v>
      </c>
    </row>
    <row r="983" spans="15:20" x14ac:dyDescent="0.25">
      <c r="O983" t="s">
        <v>324</v>
      </c>
      <c r="P983" t="s">
        <v>303</v>
      </c>
      <c r="Q983" t="s">
        <v>115</v>
      </c>
      <c r="R983" s="165">
        <v>17.8</v>
      </c>
      <c r="S983" s="114">
        <v>46038</v>
      </c>
      <c r="T983" s="1" t="s">
        <v>141</v>
      </c>
    </row>
    <row r="984" spans="15:20" x14ac:dyDescent="0.25">
      <c r="O984" t="s">
        <v>302</v>
      </c>
      <c r="P984" t="s">
        <v>234</v>
      </c>
      <c r="Q984" t="s">
        <v>115</v>
      </c>
      <c r="R984" s="165">
        <v>-1.95</v>
      </c>
      <c r="S984" s="114">
        <v>46038</v>
      </c>
      <c r="T984" s="1" t="s">
        <v>141</v>
      </c>
    </row>
    <row r="985" spans="15:20" x14ac:dyDescent="0.25">
      <c r="O985" t="s">
        <v>302</v>
      </c>
      <c r="P985" t="s">
        <v>234</v>
      </c>
      <c r="Q985" t="s">
        <v>114</v>
      </c>
      <c r="R985" s="165">
        <v>-7</v>
      </c>
      <c r="S985" s="114">
        <v>46038</v>
      </c>
      <c r="T985" s="1" t="s">
        <v>141</v>
      </c>
    </row>
    <row r="986" spans="15:20" x14ac:dyDescent="0.25">
      <c r="O986" t="s">
        <v>205</v>
      </c>
      <c r="P986" t="s">
        <v>128</v>
      </c>
      <c r="Q986" t="s">
        <v>115</v>
      </c>
      <c r="R986" s="165">
        <v>-24.69</v>
      </c>
      <c r="S986" s="114">
        <v>46038</v>
      </c>
      <c r="T986" s="1" t="s">
        <v>141</v>
      </c>
    </row>
    <row r="987" spans="15:20" x14ac:dyDescent="0.25">
      <c r="O987" t="s">
        <v>205</v>
      </c>
      <c r="P987" t="s">
        <v>128</v>
      </c>
      <c r="Q987" t="s">
        <v>115</v>
      </c>
      <c r="R987" s="165">
        <v>-63.18</v>
      </c>
      <c r="S987" s="114">
        <v>46038</v>
      </c>
      <c r="T987" s="1" t="s">
        <v>141</v>
      </c>
    </row>
    <row r="988" spans="15:20" x14ac:dyDescent="0.25">
      <c r="O988" t="s">
        <v>298</v>
      </c>
      <c r="P988" t="s">
        <v>128</v>
      </c>
      <c r="Q988" t="s">
        <v>115</v>
      </c>
      <c r="R988" s="165">
        <v>-160.76</v>
      </c>
      <c r="S988" s="114">
        <v>46038</v>
      </c>
      <c r="T988" s="1" t="s">
        <v>141</v>
      </c>
    </row>
    <row r="989" spans="15:20" x14ac:dyDescent="0.25">
      <c r="O989" t="s">
        <v>325</v>
      </c>
      <c r="P989" t="s">
        <v>128</v>
      </c>
      <c r="Q989" t="s">
        <v>115</v>
      </c>
      <c r="R989" s="165">
        <v>30</v>
      </c>
      <c r="S989" s="114">
        <v>46037</v>
      </c>
      <c r="T989" s="1" t="s">
        <v>141</v>
      </c>
    </row>
    <row r="990" spans="15:20" x14ac:dyDescent="0.25">
      <c r="O990" t="s">
        <v>324</v>
      </c>
      <c r="P990" t="s">
        <v>303</v>
      </c>
      <c r="Q990" t="s">
        <v>115</v>
      </c>
      <c r="R990" s="165">
        <v>16.8</v>
      </c>
      <c r="S990" s="114">
        <v>46037</v>
      </c>
      <c r="T990" s="1" t="s">
        <v>141</v>
      </c>
    </row>
    <row r="991" spans="15:20" x14ac:dyDescent="0.25">
      <c r="O991" t="s">
        <v>302</v>
      </c>
      <c r="P991" t="s">
        <v>234</v>
      </c>
      <c r="Q991" t="s">
        <v>115</v>
      </c>
      <c r="R991" s="165">
        <v>-7</v>
      </c>
      <c r="S991" s="114">
        <v>46037</v>
      </c>
      <c r="T991" s="1" t="s">
        <v>141</v>
      </c>
    </row>
    <row r="992" spans="15:20" x14ac:dyDescent="0.25">
      <c r="O992" t="s">
        <v>205</v>
      </c>
      <c r="P992" t="s">
        <v>128</v>
      </c>
      <c r="Q992" t="s">
        <v>115</v>
      </c>
      <c r="R992" s="165">
        <v>-15.25</v>
      </c>
      <c r="S992" s="114">
        <v>46037</v>
      </c>
      <c r="T992" s="1" t="s">
        <v>141</v>
      </c>
    </row>
    <row r="993" spans="15:20" x14ac:dyDescent="0.25">
      <c r="O993" t="s">
        <v>325</v>
      </c>
      <c r="P993" t="s">
        <v>128</v>
      </c>
      <c r="Q993" t="s">
        <v>115</v>
      </c>
      <c r="R993" s="165">
        <v>-30</v>
      </c>
      <c r="S993" s="114">
        <v>46037</v>
      </c>
      <c r="T993" s="1" t="s">
        <v>141</v>
      </c>
    </row>
    <row r="994" spans="15:20" x14ac:dyDescent="0.25">
      <c r="O994" t="s">
        <v>205</v>
      </c>
      <c r="P994" t="s">
        <v>128</v>
      </c>
      <c r="Q994" t="s">
        <v>115</v>
      </c>
      <c r="R994" s="165">
        <v>-49</v>
      </c>
      <c r="S994" s="114">
        <v>46037</v>
      </c>
      <c r="T994" s="1" t="s">
        <v>141</v>
      </c>
    </row>
    <row r="995" spans="15:20" x14ac:dyDescent="0.25">
      <c r="O995" t="s">
        <v>324</v>
      </c>
      <c r="P995" t="s">
        <v>303</v>
      </c>
      <c r="Q995" t="s">
        <v>115</v>
      </c>
      <c r="R995" s="165">
        <v>64</v>
      </c>
      <c r="S995" s="114">
        <v>46036</v>
      </c>
      <c r="T995" s="1" t="s">
        <v>141</v>
      </c>
    </row>
    <row r="996" spans="15:20" x14ac:dyDescent="0.25">
      <c r="O996" t="s">
        <v>324</v>
      </c>
      <c r="P996" t="s">
        <v>303</v>
      </c>
      <c r="Q996" t="s">
        <v>115</v>
      </c>
      <c r="R996" s="165">
        <v>17.8</v>
      </c>
      <c r="S996" s="114">
        <v>46036</v>
      </c>
      <c r="T996" s="1" t="s">
        <v>141</v>
      </c>
    </row>
    <row r="997" spans="15:20" x14ac:dyDescent="0.25">
      <c r="O997" t="s">
        <v>304</v>
      </c>
      <c r="P997" t="s">
        <v>128</v>
      </c>
      <c r="Q997" t="s">
        <v>114</v>
      </c>
      <c r="R997" s="165">
        <v>3.9</v>
      </c>
      <c r="S997" s="114">
        <v>46036</v>
      </c>
      <c r="T997" s="1" t="s">
        <v>141</v>
      </c>
    </row>
    <row r="998" spans="15:20" x14ac:dyDescent="0.25">
      <c r="O998" t="s">
        <v>298</v>
      </c>
      <c r="P998" t="s">
        <v>234</v>
      </c>
      <c r="Q998" t="s">
        <v>114</v>
      </c>
      <c r="R998" s="165">
        <v>-1</v>
      </c>
      <c r="S998" s="114">
        <v>46036</v>
      </c>
      <c r="T998" s="1" t="s">
        <v>141</v>
      </c>
    </row>
    <row r="999" spans="15:20" x14ac:dyDescent="0.25">
      <c r="O999" t="s">
        <v>298</v>
      </c>
      <c r="P999" t="s">
        <v>128</v>
      </c>
      <c r="Q999" t="s">
        <v>114</v>
      </c>
      <c r="R999" s="165">
        <v>-2</v>
      </c>
      <c r="S999" s="114">
        <v>46036</v>
      </c>
      <c r="T999" s="1" t="s">
        <v>141</v>
      </c>
    </row>
    <row r="1000" spans="15:20" x14ac:dyDescent="0.25">
      <c r="O1000" t="s">
        <v>205</v>
      </c>
      <c r="P1000" t="s">
        <v>128</v>
      </c>
      <c r="Q1000" t="s">
        <v>115</v>
      </c>
      <c r="R1000" s="165">
        <v>-30.26</v>
      </c>
      <c r="S1000" s="114">
        <v>46036</v>
      </c>
      <c r="T1000" s="1" t="s">
        <v>141</v>
      </c>
    </row>
    <row r="1001" spans="15:20" x14ac:dyDescent="0.25">
      <c r="O1001" t="s">
        <v>205</v>
      </c>
      <c r="P1001" t="s">
        <v>128</v>
      </c>
      <c r="Q1001" t="s">
        <v>115</v>
      </c>
      <c r="R1001" s="165">
        <v>-86.17</v>
      </c>
      <c r="S1001" s="114">
        <v>46036</v>
      </c>
      <c r="T1001" s="1" t="s">
        <v>141</v>
      </c>
    </row>
    <row r="1002" spans="15:20" x14ac:dyDescent="0.25">
      <c r="O1002" t="s">
        <v>298</v>
      </c>
      <c r="P1002" t="s">
        <v>128</v>
      </c>
      <c r="Q1002" t="s">
        <v>115</v>
      </c>
      <c r="R1002" s="165">
        <v>-5</v>
      </c>
      <c r="S1002" s="114">
        <v>46035</v>
      </c>
      <c r="T1002" s="1" t="s">
        <v>141</v>
      </c>
    </row>
    <row r="1003" spans="15:20" x14ac:dyDescent="0.25">
      <c r="O1003" t="s">
        <v>298</v>
      </c>
      <c r="P1003" t="s">
        <v>128</v>
      </c>
      <c r="Q1003" t="s">
        <v>115</v>
      </c>
      <c r="R1003" s="165">
        <v>-5</v>
      </c>
      <c r="S1003" s="114">
        <v>46035</v>
      </c>
      <c r="T1003" s="1" t="s">
        <v>141</v>
      </c>
    </row>
    <row r="1004" spans="15:20" x14ac:dyDescent="0.25">
      <c r="O1004" t="s">
        <v>302</v>
      </c>
      <c r="P1004" t="s">
        <v>234</v>
      </c>
      <c r="Q1004" t="s">
        <v>114</v>
      </c>
      <c r="R1004" s="165">
        <v>-6.5</v>
      </c>
      <c r="S1004" s="114">
        <v>46035</v>
      </c>
      <c r="T1004" s="1" t="s">
        <v>141</v>
      </c>
    </row>
    <row r="1005" spans="15:20" x14ac:dyDescent="0.25">
      <c r="O1005" t="s">
        <v>302</v>
      </c>
      <c r="P1005" t="s">
        <v>234</v>
      </c>
      <c r="Q1005" t="s">
        <v>114</v>
      </c>
      <c r="R1005" s="165">
        <v>-15</v>
      </c>
      <c r="S1005" s="114">
        <v>46035</v>
      </c>
      <c r="T1005" s="1" t="s">
        <v>141</v>
      </c>
    </row>
    <row r="1006" spans="15:20" x14ac:dyDescent="0.25">
      <c r="O1006" t="s">
        <v>205</v>
      </c>
      <c r="P1006" t="s">
        <v>128</v>
      </c>
      <c r="Q1006" t="s">
        <v>115</v>
      </c>
      <c r="R1006" s="165">
        <v>-29.45</v>
      </c>
      <c r="S1006" s="114">
        <v>46035</v>
      </c>
      <c r="T1006" s="1" t="s">
        <v>141</v>
      </c>
    </row>
    <row r="1007" spans="15:20" x14ac:dyDescent="0.25">
      <c r="O1007" t="s">
        <v>205</v>
      </c>
      <c r="P1007" t="s">
        <v>128</v>
      </c>
      <c r="Q1007" t="s">
        <v>115</v>
      </c>
      <c r="R1007" s="165">
        <v>-82.66</v>
      </c>
      <c r="S1007" s="114">
        <v>46035</v>
      </c>
      <c r="T1007" s="1" t="s">
        <v>141</v>
      </c>
    </row>
    <row r="1008" spans="15:20" x14ac:dyDescent="0.25">
      <c r="O1008" t="s">
        <v>335</v>
      </c>
      <c r="P1008" t="s">
        <v>127</v>
      </c>
      <c r="Q1008" t="s">
        <v>114</v>
      </c>
      <c r="R1008" s="165">
        <v>-10</v>
      </c>
      <c r="S1008" s="114">
        <v>46034</v>
      </c>
      <c r="T1008" s="1" t="s">
        <v>141</v>
      </c>
    </row>
    <row r="1009" spans="15:20" x14ac:dyDescent="0.25">
      <c r="O1009" t="s">
        <v>335</v>
      </c>
      <c r="P1009" t="s">
        <v>127</v>
      </c>
      <c r="Q1009" t="s">
        <v>114</v>
      </c>
      <c r="R1009" s="165">
        <v>-10</v>
      </c>
      <c r="S1009" s="114">
        <v>46034</v>
      </c>
      <c r="T1009" s="1" t="s">
        <v>141</v>
      </c>
    </row>
    <row r="1010" spans="15:20" x14ac:dyDescent="0.25">
      <c r="O1010" t="s">
        <v>335</v>
      </c>
      <c r="P1010" t="s">
        <v>127</v>
      </c>
      <c r="Q1010" t="s">
        <v>114</v>
      </c>
      <c r="R1010" s="165">
        <v>-10</v>
      </c>
      <c r="S1010" s="114">
        <v>46034</v>
      </c>
      <c r="T1010" s="1" t="s">
        <v>141</v>
      </c>
    </row>
    <row r="1011" spans="15:20" x14ac:dyDescent="0.25">
      <c r="O1011" t="s">
        <v>335</v>
      </c>
      <c r="P1011" t="s">
        <v>127</v>
      </c>
      <c r="Q1011" t="s">
        <v>114</v>
      </c>
      <c r="R1011" s="165">
        <v>-10</v>
      </c>
      <c r="S1011" s="114">
        <v>46034</v>
      </c>
      <c r="T1011" s="1" t="s">
        <v>141</v>
      </c>
    </row>
    <row r="1012" spans="15:20" x14ac:dyDescent="0.25">
      <c r="O1012" t="s">
        <v>335</v>
      </c>
      <c r="P1012" t="s">
        <v>127</v>
      </c>
      <c r="Q1012" t="s">
        <v>114</v>
      </c>
      <c r="R1012" s="165">
        <v>-10</v>
      </c>
      <c r="S1012" s="114">
        <v>46034</v>
      </c>
      <c r="T1012" s="1" t="s">
        <v>141</v>
      </c>
    </row>
    <row r="1013" spans="15:20" x14ac:dyDescent="0.25">
      <c r="O1013" t="s">
        <v>324</v>
      </c>
      <c r="P1013" t="s">
        <v>128</v>
      </c>
      <c r="Q1013" t="s">
        <v>115</v>
      </c>
      <c r="R1013" s="165">
        <v>-19.63</v>
      </c>
      <c r="S1013" s="114">
        <v>46034</v>
      </c>
      <c r="T1013" s="1" t="s">
        <v>141</v>
      </c>
    </row>
    <row r="1014" spans="15:20" x14ac:dyDescent="0.25">
      <c r="O1014" t="s">
        <v>324</v>
      </c>
      <c r="P1014" t="s">
        <v>128</v>
      </c>
      <c r="Q1014" t="s">
        <v>115</v>
      </c>
      <c r="R1014" s="165">
        <v>-20</v>
      </c>
      <c r="S1014" s="114">
        <v>46034</v>
      </c>
      <c r="T1014" s="1" t="s">
        <v>141</v>
      </c>
    </row>
    <row r="1015" spans="15:20" x14ac:dyDescent="0.25">
      <c r="O1015" t="s">
        <v>205</v>
      </c>
      <c r="P1015" t="s">
        <v>128</v>
      </c>
      <c r="Q1015" t="s">
        <v>115</v>
      </c>
      <c r="R1015" s="165">
        <v>-55.21</v>
      </c>
      <c r="S1015" s="114">
        <v>46034</v>
      </c>
      <c r="T1015" s="1" t="s">
        <v>141</v>
      </c>
    </row>
    <row r="1016" spans="15:20" x14ac:dyDescent="0.25">
      <c r="O1016" t="s">
        <v>205</v>
      </c>
      <c r="P1016" t="s">
        <v>128</v>
      </c>
      <c r="Q1016" t="s">
        <v>115</v>
      </c>
      <c r="R1016" s="165">
        <v>-113.51</v>
      </c>
      <c r="S1016" s="114">
        <v>46034</v>
      </c>
      <c r="T1016" s="1" t="s">
        <v>141</v>
      </c>
    </row>
    <row r="1017" spans="15:20" x14ac:dyDescent="0.25">
      <c r="O1017" t="s">
        <v>321</v>
      </c>
      <c r="P1017" t="s">
        <v>127</v>
      </c>
      <c r="Q1017" t="s">
        <v>115</v>
      </c>
      <c r="R1017" s="165">
        <v>-270</v>
      </c>
      <c r="S1017" s="114">
        <v>46034</v>
      </c>
      <c r="T1017" s="1" t="s">
        <v>141</v>
      </c>
    </row>
    <row r="1018" spans="15:20" x14ac:dyDescent="0.25">
      <c r="O1018" t="s">
        <v>302</v>
      </c>
      <c r="P1018" t="s">
        <v>234</v>
      </c>
      <c r="Q1018" t="s">
        <v>115</v>
      </c>
      <c r="R1018" s="165">
        <v>-6</v>
      </c>
      <c r="S1018" s="114">
        <v>46033</v>
      </c>
      <c r="T1018" s="1" t="s">
        <v>141</v>
      </c>
    </row>
    <row r="1019" spans="15:20" x14ac:dyDescent="0.25">
      <c r="O1019" t="s">
        <v>296</v>
      </c>
      <c r="P1019" t="s">
        <v>234</v>
      </c>
      <c r="Q1019" t="s">
        <v>115</v>
      </c>
      <c r="R1019" s="165">
        <v>-11.98</v>
      </c>
      <c r="S1019" s="114">
        <v>46033</v>
      </c>
      <c r="T1019" s="1" t="s">
        <v>141</v>
      </c>
    </row>
    <row r="1020" spans="15:20" x14ac:dyDescent="0.25">
      <c r="O1020" t="s">
        <v>302</v>
      </c>
      <c r="P1020" t="s">
        <v>234</v>
      </c>
      <c r="Q1020" t="s">
        <v>115</v>
      </c>
      <c r="R1020" s="165">
        <v>-35</v>
      </c>
      <c r="S1020" s="114">
        <v>46033</v>
      </c>
      <c r="T1020" s="1" t="s">
        <v>141</v>
      </c>
    </row>
    <row r="1021" spans="15:20" x14ac:dyDescent="0.25">
      <c r="O1021" t="s">
        <v>298</v>
      </c>
      <c r="P1021" t="s">
        <v>128</v>
      </c>
      <c r="Q1021" t="s">
        <v>115</v>
      </c>
      <c r="R1021" s="165">
        <v>-5</v>
      </c>
      <c r="S1021" s="114">
        <v>46032</v>
      </c>
      <c r="T1021" s="1" t="s">
        <v>141</v>
      </c>
    </row>
    <row r="1022" spans="15:20" x14ac:dyDescent="0.25">
      <c r="O1022" t="s">
        <v>302</v>
      </c>
      <c r="P1022" t="s">
        <v>234</v>
      </c>
      <c r="Q1022" t="s">
        <v>114</v>
      </c>
      <c r="R1022" s="165">
        <v>-20</v>
      </c>
      <c r="S1022" s="114">
        <v>46032</v>
      </c>
      <c r="T1022" s="1" t="s">
        <v>141</v>
      </c>
    </row>
    <row r="1023" spans="15:20" x14ac:dyDescent="0.25">
      <c r="O1023" t="s">
        <v>298</v>
      </c>
      <c r="P1023" t="s">
        <v>128</v>
      </c>
      <c r="Q1023" t="s">
        <v>115</v>
      </c>
      <c r="R1023" s="165">
        <v>-59.99</v>
      </c>
      <c r="S1023" s="114">
        <v>46032</v>
      </c>
      <c r="T1023" s="1" t="s">
        <v>141</v>
      </c>
    </row>
    <row r="1024" spans="15:20" x14ac:dyDescent="0.25">
      <c r="O1024" t="s">
        <v>302</v>
      </c>
      <c r="P1024" t="s">
        <v>234</v>
      </c>
      <c r="Q1024" t="s">
        <v>115</v>
      </c>
      <c r="R1024" s="165">
        <v>-1.95</v>
      </c>
      <c r="S1024" s="114">
        <v>46031</v>
      </c>
      <c r="T1024" s="1" t="s">
        <v>141</v>
      </c>
    </row>
    <row r="1025" spans="15:20" x14ac:dyDescent="0.25">
      <c r="O1025" t="s">
        <v>304</v>
      </c>
      <c r="P1025" t="s">
        <v>128</v>
      </c>
      <c r="Q1025" t="s">
        <v>115</v>
      </c>
      <c r="R1025" s="165">
        <v>-5.7</v>
      </c>
      <c r="S1025" s="114">
        <v>46031</v>
      </c>
      <c r="T1025" s="1" t="s">
        <v>141</v>
      </c>
    </row>
    <row r="1026" spans="15:20" x14ac:dyDescent="0.25">
      <c r="O1026" t="s">
        <v>298</v>
      </c>
      <c r="P1026" t="s">
        <v>128</v>
      </c>
      <c r="Q1026" t="s">
        <v>115</v>
      </c>
      <c r="R1026" s="165">
        <v>-10.8</v>
      </c>
      <c r="S1026" s="114">
        <v>46031</v>
      </c>
      <c r="T1026" s="1" t="s">
        <v>141</v>
      </c>
    </row>
    <row r="1027" spans="15:20" x14ac:dyDescent="0.25">
      <c r="O1027" t="s">
        <v>298</v>
      </c>
      <c r="P1027" t="s">
        <v>128</v>
      </c>
      <c r="Q1027" t="s">
        <v>115</v>
      </c>
      <c r="R1027" s="165">
        <v>-20</v>
      </c>
      <c r="S1027" s="114">
        <v>46031</v>
      </c>
      <c r="T1027" s="1" t="s">
        <v>141</v>
      </c>
    </row>
    <row r="1028" spans="15:20" x14ac:dyDescent="0.25">
      <c r="O1028" t="s">
        <v>298</v>
      </c>
      <c r="P1028" t="s">
        <v>128</v>
      </c>
      <c r="Q1028" t="s">
        <v>115</v>
      </c>
      <c r="R1028" s="165">
        <v>-22</v>
      </c>
      <c r="S1028" s="114">
        <v>46031</v>
      </c>
      <c r="T1028" s="1" t="s">
        <v>141</v>
      </c>
    </row>
    <row r="1029" spans="15:20" x14ac:dyDescent="0.25">
      <c r="O1029" t="s">
        <v>205</v>
      </c>
      <c r="P1029" t="s">
        <v>128</v>
      </c>
      <c r="Q1029" t="s">
        <v>115</v>
      </c>
      <c r="R1029" s="165">
        <v>-33.28</v>
      </c>
      <c r="S1029" s="114">
        <v>46031</v>
      </c>
      <c r="T1029" s="1" t="s">
        <v>141</v>
      </c>
    </row>
    <row r="1030" spans="15:20" x14ac:dyDescent="0.25">
      <c r="O1030" t="s">
        <v>302</v>
      </c>
      <c r="P1030" t="s">
        <v>234</v>
      </c>
      <c r="Q1030" t="s">
        <v>115</v>
      </c>
      <c r="R1030" s="165">
        <v>-34</v>
      </c>
      <c r="S1030" s="114">
        <v>46031</v>
      </c>
      <c r="T1030" s="1" t="s">
        <v>141</v>
      </c>
    </row>
    <row r="1031" spans="15:20" x14ac:dyDescent="0.25">
      <c r="O1031" t="s">
        <v>205</v>
      </c>
      <c r="P1031" t="s">
        <v>128</v>
      </c>
      <c r="Q1031" t="s">
        <v>115</v>
      </c>
      <c r="R1031" s="165">
        <v>-43.15</v>
      </c>
      <c r="S1031" s="114">
        <v>46031</v>
      </c>
      <c r="T1031" s="1" t="s">
        <v>141</v>
      </c>
    </row>
    <row r="1032" spans="15:20" x14ac:dyDescent="0.25">
      <c r="O1032" t="s">
        <v>298</v>
      </c>
      <c r="P1032" t="s">
        <v>128</v>
      </c>
      <c r="Q1032" t="s">
        <v>115</v>
      </c>
      <c r="R1032" s="165">
        <v>-50</v>
      </c>
      <c r="S1032" s="114">
        <v>46031</v>
      </c>
      <c r="T1032" s="1" t="s">
        <v>141</v>
      </c>
    </row>
    <row r="1033" spans="15:20" x14ac:dyDescent="0.25">
      <c r="O1033" t="s">
        <v>298</v>
      </c>
      <c r="P1033" t="s">
        <v>128</v>
      </c>
      <c r="Q1033" t="s">
        <v>115</v>
      </c>
      <c r="R1033" s="165">
        <v>-150</v>
      </c>
      <c r="S1033" s="114">
        <v>46031</v>
      </c>
      <c r="T1033" s="1" t="s">
        <v>141</v>
      </c>
    </row>
    <row r="1034" spans="15:20" x14ac:dyDescent="0.25">
      <c r="O1034" t="s">
        <v>205</v>
      </c>
      <c r="P1034" t="s">
        <v>128</v>
      </c>
      <c r="Q1034" t="s">
        <v>115</v>
      </c>
      <c r="R1034" s="165">
        <v>-41.55</v>
      </c>
      <c r="S1034" s="114">
        <v>46030</v>
      </c>
      <c r="T1034" s="1" t="s">
        <v>141</v>
      </c>
    </row>
    <row r="1035" spans="15:20" x14ac:dyDescent="0.25">
      <c r="O1035" t="s">
        <v>205</v>
      </c>
      <c r="P1035" t="s">
        <v>128</v>
      </c>
      <c r="Q1035" t="s">
        <v>115</v>
      </c>
      <c r="R1035" s="165">
        <v>-57.63</v>
      </c>
      <c r="S1035" s="114">
        <v>46030</v>
      </c>
      <c r="T1035" s="1" t="s">
        <v>141</v>
      </c>
    </row>
    <row r="1036" spans="15:20" x14ac:dyDescent="0.25">
      <c r="O1036" t="s">
        <v>205</v>
      </c>
      <c r="P1036" t="s">
        <v>128</v>
      </c>
      <c r="Q1036" t="s">
        <v>115</v>
      </c>
      <c r="R1036" s="165">
        <v>0</v>
      </c>
      <c r="S1036" s="114">
        <v>46029</v>
      </c>
      <c r="T1036" s="1" t="s">
        <v>141</v>
      </c>
    </row>
    <row r="1037" spans="15:20" x14ac:dyDescent="0.25">
      <c r="O1037" t="s">
        <v>205</v>
      </c>
      <c r="P1037" t="s">
        <v>128</v>
      </c>
      <c r="Q1037" t="s">
        <v>115</v>
      </c>
      <c r="R1037" s="165">
        <v>-17.87</v>
      </c>
      <c r="S1037" s="114">
        <v>46029</v>
      </c>
      <c r="T1037" s="1" t="s">
        <v>141</v>
      </c>
    </row>
    <row r="1038" spans="15:20" x14ac:dyDescent="0.25">
      <c r="O1038" t="s">
        <v>296</v>
      </c>
      <c r="P1038" t="s">
        <v>127</v>
      </c>
      <c r="Q1038" t="s">
        <v>115</v>
      </c>
      <c r="R1038" s="165">
        <v>-18.75</v>
      </c>
      <c r="S1038" s="114">
        <v>46029</v>
      </c>
      <c r="T1038" s="1" t="s">
        <v>141</v>
      </c>
    </row>
    <row r="1039" spans="15:20" x14ac:dyDescent="0.25">
      <c r="O1039" t="s">
        <v>205</v>
      </c>
      <c r="P1039" t="s">
        <v>128</v>
      </c>
      <c r="Q1039" t="s">
        <v>115</v>
      </c>
      <c r="R1039" s="165">
        <v>-19.760000000000002</v>
      </c>
      <c r="S1039" s="114">
        <v>46029</v>
      </c>
      <c r="T1039" s="1" t="s">
        <v>141</v>
      </c>
    </row>
    <row r="1040" spans="15:20" x14ac:dyDescent="0.25">
      <c r="O1040" t="s">
        <v>300</v>
      </c>
      <c r="P1040" t="s">
        <v>128</v>
      </c>
      <c r="Q1040" t="s">
        <v>114</v>
      </c>
      <c r="R1040" s="165">
        <v>-20</v>
      </c>
      <c r="S1040" s="114">
        <v>46029</v>
      </c>
      <c r="T1040" s="1" t="s">
        <v>141</v>
      </c>
    </row>
    <row r="1041" spans="15:20" x14ac:dyDescent="0.25">
      <c r="O1041" t="s">
        <v>205</v>
      </c>
      <c r="P1041" t="s">
        <v>128</v>
      </c>
      <c r="Q1041" t="s">
        <v>115</v>
      </c>
      <c r="R1041" s="165">
        <v>-72.67</v>
      </c>
      <c r="S1041" s="114">
        <v>46029</v>
      </c>
      <c r="T1041" s="1" t="s">
        <v>141</v>
      </c>
    </row>
    <row r="1042" spans="15:20" x14ac:dyDescent="0.25">
      <c r="O1042" t="s">
        <v>298</v>
      </c>
      <c r="P1042" t="s">
        <v>128</v>
      </c>
      <c r="Q1042" t="s">
        <v>115</v>
      </c>
      <c r="R1042" s="165">
        <v>-160</v>
      </c>
      <c r="S1042" s="114">
        <v>46029</v>
      </c>
      <c r="T1042" s="1" t="s">
        <v>141</v>
      </c>
    </row>
    <row r="1043" spans="15:20" x14ac:dyDescent="0.25">
      <c r="O1043" t="s">
        <v>324</v>
      </c>
      <c r="P1043" t="s">
        <v>128</v>
      </c>
      <c r="Q1043" t="s">
        <v>115</v>
      </c>
      <c r="R1043" s="165">
        <v>-3200</v>
      </c>
      <c r="S1043" s="114">
        <v>46029</v>
      </c>
      <c r="T1043" s="1" t="s">
        <v>141</v>
      </c>
    </row>
    <row r="1044" spans="15:20" x14ac:dyDescent="0.25">
      <c r="O1044" t="s">
        <v>205</v>
      </c>
      <c r="P1044" t="s">
        <v>128</v>
      </c>
      <c r="Q1044" t="s">
        <v>115</v>
      </c>
      <c r="R1044" s="165">
        <v>-25.24</v>
      </c>
      <c r="S1044" s="114">
        <v>46028</v>
      </c>
      <c r="T1044" s="1" t="s">
        <v>141</v>
      </c>
    </row>
    <row r="1045" spans="15:20" x14ac:dyDescent="0.25">
      <c r="O1045" t="s">
        <v>205</v>
      </c>
      <c r="P1045" t="s">
        <v>128</v>
      </c>
      <c r="Q1045" t="s">
        <v>115</v>
      </c>
      <c r="R1045" s="165">
        <v>-30.57</v>
      </c>
      <c r="S1045" s="114">
        <v>46028</v>
      </c>
      <c r="T1045" s="1" t="s">
        <v>141</v>
      </c>
    </row>
    <row r="1046" spans="15:20" x14ac:dyDescent="0.25">
      <c r="O1046" t="s">
        <v>297</v>
      </c>
      <c r="P1046" t="s">
        <v>234</v>
      </c>
      <c r="Q1046" t="s">
        <v>115</v>
      </c>
      <c r="R1046" s="165">
        <v>-65</v>
      </c>
      <c r="S1046" s="114">
        <v>46028</v>
      </c>
      <c r="T1046" s="1" t="s">
        <v>141</v>
      </c>
    </row>
    <row r="1047" spans="15:20" x14ac:dyDescent="0.25">
      <c r="O1047" t="s">
        <v>298</v>
      </c>
      <c r="P1047" t="s">
        <v>128</v>
      </c>
      <c r="Q1047" t="s">
        <v>115</v>
      </c>
      <c r="R1047" s="165">
        <v>-100</v>
      </c>
      <c r="S1047" s="114">
        <v>46028</v>
      </c>
      <c r="T1047" s="1" t="s">
        <v>141</v>
      </c>
    </row>
    <row r="1048" spans="15:20" x14ac:dyDescent="0.25">
      <c r="O1048" t="s">
        <v>142</v>
      </c>
      <c r="P1048" t="s">
        <v>127</v>
      </c>
      <c r="Q1048" t="s">
        <v>114</v>
      </c>
      <c r="R1048" s="165">
        <v>-100</v>
      </c>
      <c r="S1048" s="114">
        <v>46028</v>
      </c>
      <c r="T1048" s="1" t="s">
        <v>141</v>
      </c>
    </row>
    <row r="1049" spans="15:20" x14ac:dyDescent="0.25">
      <c r="O1049" t="s">
        <v>205</v>
      </c>
      <c r="P1049" t="s">
        <v>128</v>
      </c>
      <c r="Q1049" t="s">
        <v>115</v>
      </c>
      <c r="R1049" s="165">
        <v>11673.47</v>
      </c>
      <c r="S1049" s="114">
        <v>46027</v>
      </c>
      <c r="T1049" s="1" t="s">
        <v>141</v>
      </c>
    </row>
    <row r="1050" spans="15:20" x14ac:dyDescent="0.25">
      <c r="O1050" t="s">
        <v>300</v>
      </c>
      <c r="P1050" t="s">
        <v>128</v>
      </c>
      <c r="Q1050" t="s">
        <v>114</v>
      </c>
      <c r="R1050" s="165">
        <v>20</v>
      </c>
      <c r="S1050" s="114">
        <v>46027</v>
      </c>
      <c r="T1050" s="1" t="s">
        <v>141</v>
      </c>
    </row>
    <row r="1051" spans="15:20" x14ac:dyDescent="0.25">
      <c r="O1051" t="s">
        <v>205</v>
      </c>
      <c r="P1051" t="s">
        <v>128</v>
      </c>
      <c r="Q1051" t="s">
        <v>115</v>
      </c>
      <c r="R1051" s="165">
        <v>-21</v>
      </c>
      <c r="S1051" s="114">
        <v>46027</v>
      </c>
      <c r="T1051" s="1" t="s">
        <v>141</v>
      </c>
    </row>
    <row r="1052" spans="15:20" x14ac:dyDescent="0.25">
      <c r="O1052" t="s">
        <v>299</v>
      </c>
      <c r="P1052" t="s">
        <v>128</v>
      </c>
      <c r="Q1052" t="s">
        <v>114</v>
      </c>
      <c r="R1052" s="165">
        <v>-25</v>
      </c>
      <c r="S1052" s="114">
        <v>46027</v>
      </c>
      <c r="T1052" s="1" t="s">
        <v>141</v>
      </c>
    </row>
    <row r="1053" spans="15:20" x14ac:dyDescent="0.25">
      <c r="O1053" t="s">
        <v>142</v>
      </c>
      <c r="P1053" t="s">
        <v>127</v>
      </c>
      <c r="Q1053" t="s">
        <v>114</v>
      </c>
      <c r="R1053" s="165">
        <v>-25</v>
      </c>
      <c r="S1053" s="114">
        <v>46027</v>
      </c>
      <c r="T1053" s="1" t="s">
        <v>141</v>
      </c>
    </row>
    <row r="1054" spans="15:20" x14ac:dyDescent="0.25">
      <c r="O1054" t="s">
        <v>205</v>
      </c>
      <c r="P1054" t="s">
        <v>128</v>
      </c>
      <c r="Q1054" t="s">
        <v>115</v>
      </c>
      <c r="R1054" s="165">
        <v>-31</v>
      </c>
      <c r="S1054" s="114">
        <v>46027</v>
      </c>
      <c r="T1054" s="1" t="s">
        <v>141</v>
      </c>
    </row>
    <row r="1055" spans="15:20" x14ac:dyDescent="0.25">
      <c r="O1055" t="s">
        <v>205</v>
      </c>
      <c r="P1055" t="s">
        <v>128</v>
      </c>
      <c r="Q1055" t="s">
        <v>115</v>
      </c>
      <c r="R1055" s="165">
        <v>-53.43</v>
      </c>
      <c r="S1055" s="114">
        <v>46027</v>
      </c>
      <c r="T1055" s="1" t="s">
        <v>141</v>
      </c>
    </row>
    <row r="1056" spans="15:20" x14ac:dyDescent="0.25">
      <c r="O1056" t="s">
        <v>205</v>
      </c>
      <c r="P1056" t="s">
        <v>128</v>
      </c>
      <c r="Q1056" t="s">
        <v>115</v>
      </c>
      <c r="R1056" s="165">
        <v>-73.47</v>
      </c>
      <c r="S1056" s="114">
        <v>46027</v>
      </c>
      <c r="T1056" s="1" t="s">
        <v>141</v>
      </c>
    </row>
    <row r="1057" spans="15:20" x14ac:dyDescent="0.25">
      <c r="O1057" t="s">
        <v>205</v>
      </c>
      <c r="P1057" t="s">
        <v>128</v>
      </c>
      <c r="Q1057" t="s">
        <v>115</v>
      </c>
      <c r="R1057" s="165">
        <v>-79.72</v>
      </c>
      <c r="S1057" s="114">
        <v>46027</v>
      </c>
      <c r="T1057" s="1" t="s">
        <v>141</v>
      </c>
    </row>
    <row r="1058" spans="15:20" x14ac:dyDescent="0.25">
      <c r="O1058" t="s">
        <v>205</v>
      </c>
      <c r="P1058" t="s">
        <v>128</v>
      </c>
      <c r="Q1058" t="s">
        <v>115</v>
      </c>
      <c r="R1058" s="165">
        <v>-122.85</v>
      </c>
      <c r="S1058" s="114">
        <v>46027</v>
      </c>
      <c r="T1058" s="1" t="s">
        <v>141</v>
      </c>
    </row>
    <row r="1059" spans="15:20" x14ac:dyDescent="0.25">
      <c r="O1059" t="s">
        <v>205</v>
      </c>
      <c r="P1059" t="s">
        <v>128</v>
      </c>
      <c r="Q1059" t="s">
        <v>115</v>
      </c>
      <c r="R1059" s="165">
        <v>-300</v>
      </c>
      <c r="S1059" s="114">
        <v>46027</v>
      </c>
      <c r="T1059" s="1" t="s">
        <v>141</v>
      </c>
    </row>
    <row r="1060" spans="15:20" x14ac:dyDescent="0.25">
      <c r="O1060" t="s">
        <v>205</v>
      </c>
      <c r="P1060" t="s">
        <v>128</v>
      </c>
      <c r="Q1060" t="s">
        <v>115</v>
      </c>
      <c r="R1060" s="165">
        <v>-570.87</v>
      </c>
      <c r="S1060" s="114">
        <v>46027</v>
      </c>
      <c r="T1060" s="1" t="s">
        <v>141</v>
      </c>
    </row>
    <row r="1061" spans="15:20" x14ac:dyDescent="0.25">
      <c r="O1061" t="s">
        <v>205</v>
      </c>
      <c r="P1061" t="s">
        <v>128</v>
      </c>
      <c r="Q1061" t="s">
        <v>115</v>
      </c>
      <c r="R1061" s="165">
        <v>-710.74</v>
      </c>
      <c r="S1061" s="114">
        <v>46027</v>
      </c>
      <c r="T1061" s="1" t="s">
        <v>141</v>
      </c>
    </row>
    <row r="1062" spans="15:20" x14ac:dyDescent="0.25">
      <c r="O1062" t="s">
        <v>205</v>
      </c>
      <c r="P1062" t="s">
        <v>128</v>
      </c>
      <c r="Q1062" t="s">
        <v>115</v>
      </c>
      <c r="R1062" s="165">
        <v>-1186.8</v>
      </c>
      <c r="S1062" s="114">
        <v>46027</v>
      </c>
      <c r="T1062" s="1" t="s">
        <v>141</v>
      </c>
    </row>
    <row r="1063" spans="15:20" x14ac:dyDescent="0.25">
      <c r="O1063" t="s">
        <v>205</v>
      </c>
      <c r="P1063" t="s">
        <v>128</v>
      </c>
      <c r="Q1063" t="s">
        <v>115</v>
      </c>
      <c r="R1063" s="165">
        <v>-1324.91</v>
      </c>
      <c r="S1063" s="114">
        <v>46027</v>
      </c>
      <c r="T1063" s="1" t="s">
        <v>141</v>
      </c>
    </row>
    <row r="1064" spans="15:20" x14ac:dyDescent="0.25">
      <c r="O1064" t="s">
        <v>205</v>
      </c>
      <c r="P1064" t="s">
        <v>128</v>
      </c>
      <c r="Q1064" t="s">
        <v>115</v>
      </c>
      <c r="R1064" s="165">
        <v>-1508.47</v>
      </c>
      <c r="S1064" s="114">
        <v>46027</v>
      </c>
      <c r="T1064" s="1" t="s">
        <v>141</v>
      </c>
    </row>
    <row r="1065" spans="15:20" x14ac:dyDescent="0.25">
      <c r="O1065" t="s">
        <v>205</v>
      </c>
      <c r="P1065" t="s">
        <v>129</v>
      </c>
      <c r="Q1065" t="s">
        <v>115</v>
      </c>
      <c r="R1065" s="165">
        <v>-1616.31</v>
      </c>
      <c r="S1065" s="114">
        <v>46027</v>
      </c>
      <c r="T1065" s="1" t="s">
        <v>141</v>
      </c>
    </row>
    <row r="1066" spans="15:20" x14ac:dyDescent="0.25">
      <c r="O1066" t="s">
        <v>302</v>
      </c>
      <c r="P1066" t="s">
        <v>234</v>
      </c>
      <c r="Q1066" t="s">
        <v>114</v>
      </c>
      <c r="R1066" s="165">
        <v>-20</v>
      </c>
      <c r="S1066" s="114">
        <v>46026</v>
      </c>
      <c r="T1066" s="1" t="s">
        <v>141</v>
      </c>
    </row>
    <row r="1067" spans="15:20" x14ac:dyDescent="0.25">
      <c r="O1067" t="s">
        <v>298</v>
      </c>
      <c r="P1067" t="s">
        <v>128</v>
      </c>
      <c r="Q1067" t="s">
        <v>115</v>
      </c>
      <c r="R1067" s="165">
        <v>-22.75</v>
      </c>
      <c r="S1067" s="114">
        <v>46026</v>
      </c>
      <c r="T1067" s="1" t="s">
        <v>141</v>
      </c>
    </row>
    <row r="1068" spans="15:20" x14ac:dyDescent="0.25">
      <c r="O1068" t="s">
        <v>333</v>
      </c>
      <c r="P1068" t="s">
        <v>234</v>
      </c>
      <c r="Q1068" t="s">
        <v>115</v>
      </c>
      <c r="R1068" s="165">
        <v>-22.75</v>
      </c>
      <c r="S1068" s="114">
        <v>46026</v>
      </c>
      <c r="T1068" s="1" t="s">
        <v>141</v>
      </c>
    </row>
    <row r="1069" spans="15:20" x14ac:dyDescent="0.25">
      <c r="O1069" t="s">
        <v>301</v>
      </c>
      <c r="P1069" t="s">
        <v>234</v>
      </c>
      <c r="Q1069" t="s">
        <v>114</v>
      </c>
      <c r="R1069" s="165">
        <v>-110</v>
      </c>
      <c r="S1069" s="114">
        <v>46026</v>
      </c>
      <c r="T1069" s="1" t="s">
        <v>141</v>
      </c>
    </row>
    <row r="1070" spans="15:20" x14ac:dyDescent="0.25">
      <c r="O1070" t="s">
        <v>298</v>
      </c>
      <c r="P1070" t="s">
        <v>128</v>
      </c>
      <c r="Q1070" t="s">
        <v>114</v>
      </c>
      <c r="R1070" s="165">
        <v>-110</v>
      </c>
      <c r="S1070" s="114">
        <v>46026</v>
      </c>
      <c r="T1070" s="1" t="s">
        <v>141</v>
      </c>
    </row>
    <row r="1071" spans="15:20" x14ac:dyDescent="0.25">
      <c r="O1071" t="s">
        <v>205</v>
      </c>
      <c r="P1071" t="s">
        <v>128</v>
      </c>
      <c r="Q1071" t="s">
        <v>115</v>
      </c>
      <c r="R1071" s="165">
        <v>-189.52</v>
      </c>
      <c r="S1071" s="114">
        <v>46026</v>
      </c>
      <c r="T1071" s="1" t="s">
        <v>141</v>
      </c>
    </row>
    <row r="1072" spans="15:20" x14ac:dyDescent="0.25">
      <c r="O1072" t="s">
        <v>302</v>
      </c>
      <c r="P1072" t="s">
        <v>234</v>
      </c>
      <c r="Q1072" t="s">
        <v>114</v>
      </c>
      <c r="R1072" s="165">
        <v>-8.5</v>
      </c>
      <c r="S1072" s="114">
        <v>46025</v>
      </c>
      <c r="T1072" s="1" t="s">
        <v>141</v>
      </c>
    </row>
    <row r="1073" spans="15:20" x14ac:dyDescent="0.25">
      <c r="O1073" t="s">
        <v>300</v>
      </c>
      <c r="P1073" t="s">
        <v>127</v>
      </c>
      <c r="Q1073" t="s">
        <v>114</v>
      </c>
      <c r="R1073" s="165">
        <v>-50</v>
      </c>
      <c r="S1073" s="114">
        <v>46025</v>
      </c>
      <c r="T1073" s="1" t="s">
        <v>141</v>
      </c>
    </row>
    <row r="1074" spans="15:20" x14ac:dyDescent="0.25">
      <c r="O1074" t="s">
        <v>298</v>
      </c>
      <c r="P1074" t="s">
        <v>303</v>
      </c>
      <c r="Q1074" t="s">
        <v>114</v>
      </c>
      <c r="R1074" s="165">
        <v>250</v>
      </c>
      <c r="S1074" s="114">
        <v>46024</v>
      </c>
      <c r="T1074" s="1" t="s">
        <v>141</v>
      </c>
    </row>
    <row r="1075" spans="15:20" x14ac:dyDescent="0.25">
      <c r="O1075" t="s">
        <v>307</v>
      </c>
      <c r="P1075" t="s">
        <v>128</v>
      </c>
      <c r="Q1075" t="s">
        <v>115</v>
      </c>
      <c r="R1075" s="165">
        <v>200</v>
      </c>
      <c r="S1075" s="114">
        <v>46024</v>
      </c>
      <c r="T1075" s="1" t="s">
        <v>141</v>
      </c>
    </row>
    <row r="1076" spans="15:20" x14ac:dyDescent="0.25">
      <c r="O1076" t="s">
        <v>304</v>
      </c>
      <c r="P1076" t="s">
        <v>128</v>
      </c>
      <c r="Q1076" t="s">
        <v>114</v>
      </c>
      <c r="R1076" s="165">
        <v>2.1</v>
      </c>
      <c r="S1076" s="114">
        <v>46024</v>
      </c>
      <c r="T1076" s="1" t="s">
        <v>141</v>
      </c>
    </row>
    <row r="1077" spans="15:20" x14ac:dyDescent="0.25">
      <c r="O1077" t="s">
        <v>304</v>
      </c>
      <c r="P1077" t="s">
        <v>127</v>
      </c>
      <c r="Q1077" t="s">
        <v>114</v>
      </c>
      <c r="R1077" s="165">
        <v>-2.1</v>
      </c>
      <c r="S1077" s="114">
        <v>46024</v>
      </c>
      <c r="T1077" s="1" t="s">
        <v>141</v>
      </c>
    </row>
    <row r="1078" spans="15:20" x14ac:dyDescent="0.25">
      <c r="O1078" t="s">
        <v>205</v>
      </c>
      <c r="P1078" t="s">
        <v>128</v>
      </c>
      <c r="Q1078" t="s">
        <v>115</v>
      </c>
      <c r="R1078" s="165">
        <v>-15.25</v>
      </c>
      <c r="S1078" s="114">
        <v>46024</v>
      </c>
      <c r="T1078" s="1" t="s">
        <v>141</v>
      </c>
    </row>
    <row r="1079" spans="15:20" x14ac:dyDescent="0.25">
      <c r="O1079" t="s">
        <v>302</v>
      </c>
      <c r="P1079" t="s">
        <v>234</v>
      </c>
      <c r="Q1079" t="s">
        <v>115</v>
      </c>
      <c r="R1079" s="165">
        <v>-41</v>
      </c>
      <c r="S1079" s="114">
        <v>46024</v>
      </c>
      <c r="T1079" s="1" t="s">
        <v>141</v>
      </c>
    </row>
    <row r="1080" spans="15:20" x14ac:dyDescent="0.25">
      <c r="O1080" t="s">
        <v>302</v>
      </c>
      <c r="P1080" t="s">
        <v>234</v>
      </c>
      <c r="Q1080" t="s">
        <v>115</v>
      </c>
      <c r="R1080" s="165">
        <v>-41</v>
      </c>
      <c r="S1080" s="114">
        <v>46024</v>
      </c>
      <c r="T1080" s="1" t="s">
        <v>141</v>
      </c>
    </row>
    <row r="1081" spans="15:20" x14ac:dyDescent="0.25">
      <c r="O1081" t="s">
        <v>205</v>
      </c>
      <c r="P1081" t="s">
        <v>128</v>
      </c>
      <c r="Q1081" t="s">
        <v>115</v>
      </c>
      <c r="R1081" s="165">
        <v>-45.28</v>
      </c>
      <c r="S1081" s="114">
        <v>46024</v>
      </c>
      <c r="T1081" s="1" t="s">
        <v>141</v>
      </c>
    </row>
    <row r="1082" spans="15:20" x14ac:dyDescent="0.25">
      <c r="O1082" t="s">
        <v>298</v>
      </c>
      <c r="P1082" t="s">
        <v>128</v>
      </c>
      <c r="Q1082" t="s">
        <v>115</v>
      </c>
      <c r="R1082" s="165">
        <v>-160</v>
      </c>
      <c r="S1082" s="114">
        <v>46024</v>
      </c>
      <c r="T1082" s="1" t="s">
        <v>141</v>
      </c>
    </row>
    <row r="1083" spans="15:20" x14ac:dyDescent="0.25">
      <c r="O1083" t="s">
        <v>205</v>
      </c>
      <c r="P1083" t="s">
        <v>128</v>
      </c>
      <c r="Q1083" t="s">
        <v>115</v>
      </c>
      <c r="R1083" s="165">
        <v>-188.53</v>
      </c>
      <c r="S1083" s="114">
        <v>46024</v>
      </c>
      <c r="T1083" s="1" t="s">
        <v>141</v>
      </c>
    </row>
    <row r="1084" spans="15:20" x14ac:dyDescent="0.25">
      <c r="O1084" t="s">
        <v>298</v>
      </c>
      <c r="P1084" t="s">
        <v>128</v>
      </c>
      <c r="Q1084" t="s">
        <v>115</v>
      </c>
      <c r="R1084" s="165">
        <v>-200</v>
      </c>
      <c r="S1084" s="114">
        <v>46024</v>
      </c>
      <c r="T1084" s="1" t="s">
        <v>141</v>
      </c>
    </row>
    <row r="1085" spans="15:20" x14ac:dyDescent="0.25">
      <c r="O1085" t="s">
        <v>298</v>
      </c>
      <c r="P1085" t="s">
        <v>128</v>
      </c>
      <c r="Q1085" t="s">
        <v>114</v>
      </c>
      <c r="R1085" s="165">
        <v>-250</v>
      </c>
      <c r="S1085" s="114">
        <v>46024</v>
      </c>
      <c r="T1085" s="1" t="s">
        <v>141</v>
      </c>
    </row>
    <row r="1086" spans="15:20" x14ac:dyDescent="0.25">
      <c r="O1086" t="s">
        <v>205</v>
      </c>
      <c r="P1086" t="s">
        <v>128</v>
      </c>
      <c r="Q1086" t="s">
        <v>115</v>
      </c>
      <c r="R1086" s="165">
        <v>4732.0600000000195</v>
      </c>
      <c r="S1086" s="114">
        <v>46023</v>
      </c>
      <c r="T1086" s="1" t="s">
        <v>141</v>
      </c>
    </row>
    <row r="1087" spans="15:20" x14ac:dyDescent="0.25">
      <c r="O1087" t="s">
        <v>307</v>
      </c>
      <c r="P1087" t="s">
        <v>128</v>
      </c>
      <c r="Q1087" t="s">
        <v>115</v>
      </c>
      <c r="R1087" s="165">
        <v>3000</v>
      </c>
      <c r="S1087" s="114">
        <v>46023</v>
      </c>
      <c r="T1087" s="1" t="s">
        <v>141</v>
      </c>
    </row>
    <row r="1088" spans="15:20" x14ac:dyDescent="0.25">
      <c r="O1088" t="s">
        <v>298</v>
      </c>
      <c r="P1088" t="s">
        <v>128</v>
      </c>
      <c r="Q1088" t="s">
        <v>114</v>
      </c>
      <c r="R1088" s="165">
        <v>1103.0100000000002</v>
      </c>
      <c r="S1088" s="114">
        <v>46023</v>
      </c>
      <c r="T1088" s="1" t="s">
        <v>141</v>
      </c>
    </row>
    <row r="1089" spans="15:20" x14ac:dyDescent="0.25">
      <c r="O1089" t="s">
        <v>304</v>
      </c>
      <c r="P1089" t="s">
        <v>128</v>
      </c>
      <c r="Q1089" t="s">
        <v>114</v>
      </c>
      <c r="R1089" s="165">
        <v>3.6</v>
      </c>
      <c r="S1089" s="114">
        <v>46023</v>
      </c>
      <c r="T1089" s="1" t="s">
        <v>141</v>
      </c>
    </row>
    <row r="1090" spans="15:20" x14ac:dyDescent="0.25">
      <c r="O1090" t="s">
        <v>300</v>
      </c>
      <c r="P1090" t="s">
        <v>128</v>
      </c>
      <c r="Q1090" t="s">
        <v>114</v>
      </c>
      <c r="R1090" s="165">
        <v>-20</v>
      </c>
      <c r="S1090" s="114">
        <v>46023</v>
      </c>
      <c r="T1090" s="1" t="s">
        <v>141</v>
      </c>
    </row>
    <row r="1091" spans="15:20" x14ac:dyDescent="0.25">
      <c r="O1091" t="s">
        <v>339</v>
      </c>
      <c r="P1091" t="s">
        <v>128</v>
      </c>
      <c r="Q1091" t="s">
        <v>114</v>
      </c>
      <c r="R1091" s="165">
        <v>-50</v>
      </c>
      <c r="S1091" s="114">
        <v>46023</v>
      </c>
      <c r="T1091" s="1" t="s">
        <v>141</v>
      </c>
    </row>
    <row r="1092" spans="15:20" x14ac:dyDescent="0.25">
      <c r="O1092" t="s">
        <v>332</v>
      </c>
      <c r="P1092" t="s">
        <v>128</v>
      </c>
      <c r="Q1092" t="s">
        <v>114</v>
      </c>
      <c r="R1092" s="165">
        <v>-117</v>
      </c>
      <c r="S1092" s="114">
        <v>46023</v>
      </c>
      <c r="T1092" s="1" t="s">
        <v>141</v>
      </c>
    </row>
    <row r="1093" spans="15:20" x14ac:dyDescent="0.25">
      <c r="O1093" t="s">
        <v>309</v>
      </c>
      <c r="P1093" t="s">
        <v>128</v>
      </c>
      <c r="Q1093" t="s">
        <v>114</v>
      </c>
      <c r="R1093" s="165">
        <v>-260</v>
      </c>
      <c r="S1093" s="114">
        <v>46023</v>
      </c>
      <c r="T1093" s="1" t="s">
        <v>141</v>
      </c>
    </row>
    <row r="1094" spans="15:20" x14ac:dyDescent="0.25">
      <c r="O1094" t="s">
        <v>308</v>
      </c>
      <c r="P1094" t="s">
        <v>234</v>
      </c>
      <c r="Q1094" t="s">
        <v>115</v>
      </c>
      <c r="R1094" s="165">
        <v>-375</v>
      </c>
      <c r="S1094" s="114">
        <v>46023</v>
      </c>
      <c r="T1094" s="1" t="s">
        <v>141</v>
      </c>
    </row>
    <row r="1095" spans="15:20" x14ac:dyDescent="0.25">
      <c r="O1095" s="163" t="s">
        <v>310</v>
      </c>
      <c r="P1095" s="163" t="s">
        <v>127</v>
      </c>
      <c r="Q1095" s="163"/>
      <c r="R1095" s="171">
        <v>-835.59</v>
      </c>
      <c r="S1095" s="164">
        <v>46023</v>
      </c>
      <c r="T1095" s="1" t="s">
        <v>141</v>
      </c>
    </row>
    <row r="1096" spans="15:20" x14ac:dyDescent="0.25">
      <c r="O1096" s="163" t="s">
        <v>310</v>
      </c>
      <c r="P1096" s="163" t="s">
        <v>234</v>
      </c>
      <c r="Q1096" s="163" t="s">
        <v>114</v>
      </c>
      <c r="R1096" s="171">
        <f>-1119.89492333922</f>
        <v>-1119.89492333922</v>
      </c>
      <c r="S1096" s="164">
        <v>46023</v>
      </c>
      <c r="T1096" s="1" t="s">
        <v>141</v>
      </c>
    </row>
    <row r="1097" spans="15:20" x14ac:dyDescent="0.25">
      <c r="O1097" s="163" t="s">
        <v>310</v>
      </c>
      <c r="P1097" s="163" t="s">
        <v>127</v>
      </c>
      <c r="Q1097" s="163" t="s">
        <v>114</v>
      </c>
      <c r="R1097" s="171">
        <f>-1119.89492333922</f>
        <v>-1119.89492333922</v>
      </c>
      <c r="S1097" s="164">
        <v>46023</v>
      </c>
      <c r="T1097" s="1" t="s">
        <v>141</v>
      </c>
    </row>
    <row r="1098" spans="15:20" x14ac:dyDescent="0.25">
      <c r="O1098" s="163" t="s">
        <v>310</v>
      </c>
      <c r="P1098" s="163" t="s">
        <v>234</v>
      </c>
      <c r="Q1098" s="163"/>
      <c r="R1098" s="171">
        <v>-5454.19</v>
      </c>
      <c r="S1098" s="164">
        <v>46023</v>
      </c>
      <c r="T1098" s="1" t="s">
        <v>141</v>
      </c>
    </row>
    <row r="1099" spans="15:20" x14ac:dyDescent="0.25">
      <c r="R1099" s="165"/>
      <c r="S1099" s="114"/>
      <c r="T1099" s="1"/>
    </row>
    <row r="1100" spans="15:20" x14ac:dyDescent="0.25">
      <c r="R1100" s="165"/>
      <c r="S1100" s="114"/>
      <c r="T1100" s="1"/>
    </row>
    <row r="1101" spans="15:20" x14ac:dyDescent="0.25">
      <c r="R1101" s="165"/>
      <c r="S1101" s="114"/>
      <c r="T1101" s="1"/>
    </row>
    <row r="1102" spans="15:20" x14ac:dyDescent="0.25">
      <c r="R1102" s="165"/>
      <c r="S1102" s="114"/>
      <c r="T1102" s="1"/>
    </row>
    <row r="1103" spans="15:20" x14ac:dyDescent="0.25">
      <c r="R1103" s="165"/>
      <c r="S1103" s="114"/>
      <c r="T1103" s="1"/>
    </row>
    <row r="1104" spans="15:20" x14ac:dyDescent="0.25">
      <c r="R1104" s="165"/>
      <c r="S1104" s="114"/>
      <c r="T1104" s="1"/>
    </row>
    <row r="1105" spans="17:20" x14ac:dyDescent="0.25">
      <c r="R1105" s="165"/>
      <c r="S1105" s="114"/>
      <c r="T1105" s="1"/>
    </row>
    <row r="1106" spans="17:20" x14ac:dyDescent="0.25">
      <c r="R1106" s="165"/>
      <c r="S1106" s="114"/>
      <c r="T1106" s="1"/>
    </row>
    <row r="1107" spans="17:20" x14ac:dyDescent="0.25">
      <c r="R1107" s="165"/>
      <c r="S1107" s="114"/>
      <c r="T1107" s="1"/>
    </row>
    <row r="1108" spans="17:20" x14ac:dyDescent="0.25">
      <c r="R1108" s="165"/>
      <c r="S1108" s="114"/>
      <c r="T1108" s="1"/>
    </row>
    <row r="1109" spans="17:20" x14ac:dyDescent="0.25">
      <c r="R1109" s="172" t="s">
        <v>91</v>
      </c>
    </row>
    <row r="1120" spans="17:20" x14ac:dyDescent="0.25">
      <c r="Q1120" s="162"/>
    </row>
  </sheetData>
  <dataConsolidate/>
  <phoneticPr fontId="8" type="noConversion"/>
  <conditionalFormatting sqref="AA2 AA4:AA101 R2 H97:H270 R4:R1107">
    <cfRule type="cellIs" dxfId="1821" priority="849" operator="lessThan">
      <formula>0</formula>
    </cfRule>
  </conditionalFormatting>
  <conditionalFormatting sqref="AB2 AB4:AB101 U9:U28 U31:U156 V25:V26 I2 N11:N1048576 S2:S1108 I4:I99">
    <cfRule type="timePeriod" dxfId="1820" priority="847" timePeriod="yesterday">
      <formula>FLOOR(I2,1)=TODAY()-1</formula>
    </cfRule>
    <cfRule type="timePeriod" dxfId="1819" priority="848" timePeriod="today">
      <formula>FLOOR(I2,1)=TODAY()</formula>
    </cfRule>
  </conditionalFormatting>
  <conditionalFormatting sqref="P4:P1107">
    <cfRule type="cellIs" dxfId="1818" priority="845" operator="equal">
      <formula>$P$2</formula>
    </cfRule>
  </conditionalFormatting>
  <conditionalFormatting sqref="M11:M1048576">
    <cfRule type="cellIs" dxfId="1817" priority="843" operator="greaterThan">
      <formula>0</formula>
    </cfRule>
    <cfRule type="cellIs" dxfId="1816" priority="844" operator="lessThan">
      <formula>0</formula>
    </cfRule>
  </conditionalFormatting>
  <conditionalFormatting sqref="H264:H270 AA4:AA101 R2 H97:H101 R4:R1107">
    <cfRule type="cellIs" dxfId="1815" priority="840" operator="greaterThan">
      <formula>0</formula>
    </cfRule>
  </conditionalFormatting>
  <conditionalFormatting sqref="B2:B10">
    <cfRule type="cellIs" dxfId="1814" priority="838" operator="greaterThan">
      <formula>0</formula>
    </cfRule>
    <cfRule type="cellIs" dxfId="1813" priority="839" operator="lessThan">
      <formula>0</formula>
    </cfRule>
  </conditionalFormatting>
  <conditionalFormatting sqref="H255:H269">
    <cfRule type="cellIs" dxfId="1812" priority="835" operator="greaterThan">
      <formula>0</formula>
    </cfRule>
  </conditionalFormatting>
  <conditionalFormatting sqref="H254">
    <cfRule type="cellIs" dxfId="1811" priority="834" operator="greaterThan">
      <formula>0</formula>
    </cfRule>
  </conditionalFormatting>
  <conditionalFormatting sqref="AA2">
    <cfRule type="cellIs" dxfId="1810" priority="833" operator="greaterThan">
      <formula>0</formula>
    </cfRule>
  </conditionalFormatting>
  <conditionalFormatting sqref="H253">
    <cfRule type="cellIs" dxfId="1809" priority="832" operator="greaterThan">
      <formula>0</formula>
    </cfRule>
  </conditionalFormatting>
  <conditionalFormatting sqref="H252">
    <cfRule type="cellIs" dxfId="1808" priority="831" operator="greaterThan">
      <formula>0</formula>
    </cfRule>
  </conditionalFormatting>
  <conditionalFormatting sqref="H251">
    <cfRule type="cellIs" dxfId="1807" priority="830" operator="greaterThan">
      <formula>0</formula>
    </cfRule>
  </conditionalFormatting>
  <conditionalFormatting sqref="H250">
    <cfRule type="cellIs" dxfId="1806" priority="824" operator="greaterThan">
      <formula>0</formula>
    </cfRule>
  </conditionalFormatting>
  <conditionalFormatting sqref="H249">
    <cfRule type="cellIs" dxfId="1805" priority="823" operator="greaterThan">
      <formula>0</formula>
    </cfRule>
  </conditionalFormatting>
  <conditionalFormatting sqref="H248">
    <cfRule type="cellIs" dxfId="1804" priority="822" operator="greaterThan">
      <formula>0</formula>
    </cfRule>
  </conditionalFormatting>
  <conditionalFormatting sqref="H247">
    <cfRule type="cellIs" dxfId="1803" priority="820" operator="greaterThan">
      <formula>0</formula>
    </cfRule>
  </conditionalFormatting>
  <conditionalFormatting sqref="H246">
    <cfRule type="cellIs" dxfId="1802" priority="818" operator="greaterThan">
      <formula>0</formula>
    </cfRule>
  </conditionalFormatting>
  <conditionalFormatting sqref="H245">
    <cfRule type="cellIs" dxfId="1801" priority="817" operator="greaterThan">
      <formula>0</formula>
    </cfRule>
  </conditionalFormatting>
  <conditionalFormatting sqref="H244">
    <cfRule type="cellIs" dxfId="1800" priority="816" operator="greaterThan">
      <formula>0</formula>
    </cfRule>
  </conditionalFormatting>
  <conditionalFormatting sqref="H243">
    <cfRule type="cellIs" dxfId="1799" priority="815" operator="greaterThan">
      <formula>0</formula>
    </cfRule>
  </conditionalFormatting>
  <conditionalFormatting sqref="H242">
    <cfRule type="cellIs" dxfId="1798" priority="814" operator="greaterThan">
      <formula>0</formula>
    </cfRule>
  </conditionalFormatting>
  <conditionalFormatting sqref="H241">
    <cfRule type="cellIs" dxfId="1797" priority="813" operator="greaterThan">
      <formula>0</formula>
    </cfRule>
  </conditionalFormatting>
  <conditionalFormatting sqref="H240">
    <cfRule type="cellIs" dxfId="1796" priority="812" operator="greaterThan">
      <formula>0</formula>
    </cfRule>
  </conditionalFormatting>
  <conditionalFormatting sqref="H239">
    <cfRule type="cellIs" dxfId="1795" priority="811" operator="greaterThan">
      <formula>0</formula>
    </cfRule>
  </conditionalFormatting>
  <conditionalFormatting sqref="H238">
    <cfRule type="cellIs" dxfId="1794" priority="810" operator="greaterThan">
      <formula>0</formula>
    </cfRule>
  </conditionalFormatting>
  <conditionalFormatting sqref="H237">
    <cfRule type="cellIs" dxfId="1793" priority="808" operator="greaterThan">
      <formula>0</formula>
    </cfRule>
  </conditionalFormatting>
  <conditionalFormatting sqref="H236">
    <cfRule type="cellIs" dxfId="1792" priority="806" operator="greaterThan">
      <formula>0</formula>
    </cfRule>
  </conditionalFormatting>
  <conditionalFormatting sqref="H235">
    <cfRule type="cellIs" dxfId="1791" priority="805" operator="greaterThan">
      <formula>0</formula>
    </cfRule>
  </conditionalFormatting>
  <conditionalFormatting sqref="H234">
    <cfRule type="cellIs" dxfId="1790" priority="804" operator="greaterThan">
      <formula>0</formula>
    </cfRule>
  </conditionalFormatting>
  <conditionalFormatting sqref="H233">
    <cfRule type="cellIs" dxfId="1789" priority="803" operator="greaterThan">
      <formula>0</formula>
    </cfRule>
  </conditionalFormatting>
  <conditionalFormatting sqref="H232">
    <cfRule type="cellIs" dxfId="1788" priority="801" operator="greaterThan">
      <formula>0</formula>
    </cfRule>
  </conditionalFormatting>
  <conditionalFormatting sqref="H231">
    <cfRule type="cellIs" dxfId="1787" priority="798" operator="greaterThan">
      <formula>0</formula>
    </cfRule>
  </conditionalFormatting>
  <conditionalFormatting sqref="H230">
    <cfRule type="cellIs" dxfId="1786" priority="797" operator="greaterThan">
      <formula>0</formula>
    </cfRule>
  </conditionalFormatting>
  <conditionalFormatting sqref="H229">
    <cfRule type="cellIs" dxfId="1785" priority="796" operator="greaterThan">
      <formula>0</formula>
    </cfRule>
  </conditionalFormatting>
  <conditionalFormatting sqref="H228">
    <cfRule type="cellIs" dxfId="1784" priority="795" operator="greaterThan">
      <formula>0</formula>
    </cfRule>
  </conditionalFormatting>
  <conditionalFormatting sqref="H227">
    <cfRule type="cellIs" dxfId="1783" priority="794" operator="greaterThan">
      <formula>0</formula>
    </cfRule>
  </conditionalFormatting>
  <conditionalFormatting sqref="H226">
    <cfRule type="cellIs" dxfId="1782" priority="793" operator="greaterThan">
      <formula>0</formula>
    </cfRule>
  </conditionalFormatting>
  <conditionalFormatting sqref="H225">
    <cfRule type="cellIs" dxfId="1781" priority="792" operator="greaterThan">
      <formula>0</formula>
    </cfRule>
  </conditionalFormatting>
  <conditionalFormatting sqref="H224">
    <cfRule type="cellIs" dxfId="1780" priority="791" operator="greaterThan">
      <formula>0</formula>
    </cfRule>
  </conditionalFormatting>
  <conditionalFormatting sqref="H223">
    <cfRule type="cellIs" dxfId="1779" priority="790" operator="greaterThan">
      <formula>0</formula>
    </cfRule>
  </conditionalFormatting>
  <conditionalFormatting sqref="H222">
    <cfRule type="cellIs" dxfId="1778" priority="789" operator="greaterThan">
      <formula>0</formula>
    </cfRule>
  </conditionalFormatting>
  <conditionalFormatting sqref="H221">
    <cfRule type="cellIs" dxfId="1777" priority="788" operator="greaterThan">
      <formula>0</formula>
    </cfRule>
  </conditionalFormatting>
  <conditionalFormatting sqref="H220">
    <cfRule type="cellIs" dxfId="1776" priority="787" operator="greaterThan">
      <formula>0</formula>
    </cfRule>
  </conditionalFormatting>
  <conditionalFormatting sqref="H219">
    <cfRule type="cellIs" dxfId="1775" priority="786" operator="greaterThan">
      <formula>0</formula>
    </cfRule>
  </conditionalFormatting>
  <conditionalFormatting sqref="H218">
    <cfRule type="cellIs" dxfId="1774" priority="784" operator="greaterThan">
      <formula>0</formula>
    </cfRule>
  </conditionalFormatting>
  <conditionalFormatting sqref="H217">
    <cfRule type="cellIs" dxfId="1773" priority="783" operator="greaterThan">
      <formula>0</formula>
    </cfRule>
  </conditionalFormatting>
  <conditionalFormatting sqref="H216">
    <cfRule type="cellIs" dxfId="1772" priority="782" operator="greaterThan">
      <formula>0</formula>
    </cfRule>
  </conditionalFormatting>
  <conditionalFormatting sqref="H215">
    <cfRule type="cellIs" dxfId="1771" priority="780" operator="greaterThan">
      <formula>0</formula>
    </cfRule>
  </conditionalFormatting>
  <conditionalFormatting sqref="H214">
    <cfRule type="cellIs" dxfId="1770" priority="779" operator="greaterThan">
      <formula>0</formula>
    </cfRule>
  </conditionalFormatting>
  <conditionalFormatting sqref="H213">
    <cfRule type="cellIs" dxfId="1769" priority="777" operator="greaterThan">
      <formula>0</formula>
    </cfRule>
  </conditionalFormatting>
  <conditionalFormatting sqref="H212">
    <cfRule type="cellIs" dxfId="1768" priority="776" operator="greaterThan">
      <formula>0</formula>
    </cfRule>
  </conditionalFormatting>
  <conditionalFormatting sqref="H211">
    <cfRule type="cellIs" dxfId="1767" priority="775" operator="greaterThan">
      <formula>0</formula>
    </cfRule>
  </conditionalFormatting>
  <conditionalFormatting sqref="H210">
    <cfRule type="cellIs" dxfId="1766" priority="773" operator="greaterThan">
      <formula>0</formula>
    </cfRule>
  </conditionalFormatting>
  <conditionalFormatting sqref="H209">
    <cfRule type="cellIs" dxfId="1765" priority="772" operator="greaterThan">
      <formula>0</formula>
    </cfRule>
  </conditionalFormatting>
  <conditionalFormatting sqref="H208">
    <cfRule type="cellIs" dxfId="1764" priority="771" operator="greaterThan">
      <formula>0</formula>
    </cfRule>
  </conditionalFormatting>
  <conditionalFormatting sqref="H207">
    <cfRule type="cellIs" dxfId="1763" priority="770" operator="greaterThan">
      <formula>0</formula>
    </cfRule>
  </conditionalFormatting>
  <conditionalFormatting sqref="H206">
    <cfRule type="cellIs" dxfId="1762" priority="769" operator="greaterThan">
      <formula>0</formula>
    </cfRule>
  </conditionalFormatting>
  <conditionalFormatting sqref="H205">
    <cfRule type="cellIs" dxfId="1761" priority="768" operator="greaterThan">
      <formula>0</formula>
    </cfRule>
  </conditionalFormatting>
  <conditionalFormatting sqref="H204">
    <cfRule type="cellIs" dxfId="1760" priority="766" operator="greaterThan">
      <formula>0</formula>
    </cfRule>
  </conditionalFormatting>
  <conditionalFormatting sqref="H203">
    <cfRule type="cellIs" dxfId="1759" priority="765" operator="greaterThan">
      <formula>0</formula>
    </cfRule>
  </conditionalFormatting>
  <conditionalFormatting sqref="H202">
    <cfRule type="cellIs" dxfId="1758" priority="762" operator="greaterThan">
      <formula>0</formula>
    </cfRule>
  </conditionalFormatting>
  <conditionalFormatting sqref="H201">
    <cfRule type="cellIs" dxfId="1757" priority="761" operator="greaterThan">
      <formula>0</formula>
    </cfRule>
  </conditionalFormatting>
  <conditionalFormatting sqref="H200">
    <cfRule type="cellIs" dxfId="1756" priority="760" operator="greaterThan">
      <formula>0</formula>
    </cfRule>
  </conditionalFormatting>
  <conditionalFormatting sqref="H199">
    <cfRule type="cellIs" dxfId="1755" priority="759" operator="greaterThan">
      <formula>0</formula>
    </cfRule>
  </conditionalFormatting>
  <conditionalFormatting sqref="H198">
    <cfRule type="cellIs" dxfId="1754" priority="757" operator="greaterThan">
      <formula>0</formula>
    </cfRule>
  </conditionalFormatting>
  <conditionalFormatting sqref="H197">
    <cfRule type="cellIs" dxfId="1753" priority="756" operator="greaterThan">
      <formula>0</formula>
    </cfRule>
  </conditionalFormatting>
  <conditionalFormatting sqref="H196">
    <cfRule type="cellIs" dxfId="1752" priority="754" operator="greaterThan">
      <formula>0</formula>
    </cfRule>
  </conditionalFormatting>
  <conditionalFormatting sqref="H195">
    <cfRule type="cellIs" dxfId="1751" priority="752" operator="greaterThan">
      <formula>0</formula>
    </cfRule>
  </conditionalFormatting>
  <conditionalFormatting sqref="H194">
    <cfRule type="cellIs" dxfId="1750" priority="751" operator="greaterThan">
      <formula>0</formula>
    </cfRule>
  </conditionalFormatting>
  <conditionalFormatting sqref="H193">
    <cfRule type="cellIs" dxfId="1749" priority="750" operator="greaterThan">
      <formula>0</formula>
    </cfRule>
  </conditionalFormatting>
  <conditionalFormatting sqref="H192">
    <cfRule type="cellIs" dxfId="1748" priority="749" operator="greaterThan">
      <formula>0</formula>
    </cfRule>
  </conditionalFormatting>
  <conditionalFormatting sqref="H191">
    <cfRule type="cellIs" dxfId="1747" priority="748" operator="greaterThan">
      <formula>0</formula>
    </cfRule>
  </conditionalFormatting>
  <conditionalFormatting sqref="H190">
    <cfRule type="cellIs" dxfId="1746" priority="747" operator="greaterThan">
      <formula>0</formula>
    </cfRule>
  </conditionalFormatting>
  <conditionalFormatting sqref="H189">
    <cfRule type="cellIs" dxfId="1745" priority="746" operator="greaterThan">
      <formula>0</formula>
    </cfRule>
  </conditionalFormatting>
  <conditionalFormatting sqref="H188">
    <cfRule type="cellIs" dxfId="1744" priority="745" operator="greaterThan">
      <formula>0</formula>
    </cfRule>
  </conditionalFormatting>
  <conditionalFormatting sqref="H187">
    <cfRule type="cellIs" dxfId="1743" priority="744" operator="greaterThan">
      <formula>0</formula>
    </cfRule>
  </conditionalFormatting>
  <conditionalFormatting sqref="H186">
    <cfRule type="cellIs" dxfId="1742" priority="743" operator="greaterThan">
      <formula>0</formula>
    </cfRule>
  </conditionalFormatting>
  <conditionalFormatting sqref="H185">
    <cfRule type="cellIs" dxfId="1741" priority="742" operator="greaterThan">
      <formula>0</formula>
    </cfRule>
  </conditionalFormatting>
  <conditionalFormatting sqref="H184">
    <cfRule type="cellIs" dxfId="1740" priority="741" operator="greaterThan">
      <formula>0</formula>
    </cfRule>
  </conditionalFormatting>
  <conditionalFormatting sqref="H183">
    <cfRule type="cellIs" dxfId="1739" priority="740" operator="greaterThan">
      <formula>0</formula>
    </cfRule>
  </conditionalFormatting>
  <conditionalFormatting sqref="H182">
    <cfRule type="cellIs" dxfId="1738" priority="739" operator="greaterThan">
      <formula>0</formula>
    </cfRule>
  </conditionalFormatting>
  <conditionalFormatting sqref="H181">
    <cfRule type="cellIs" dxfId="1737" priority="738" operator="greaterThan">
      <formula>0</formula>
    </cfRule>
  </conditionalFormatting>
  <conditionalFormatting sqref="H180">
    <cfRule type="cellIs" dxfId="1736" priority="737" operator="greaterThan">
      <formula>0</formula>
    </cfRule>
  </conditionalFormatting>
  <conditionalFormatting sqref="H179">
    <cfRule type="cellIs" dxfId="1735" priority="735" operator="greaterThan">
      <formula>0</formula>
    </cfRule>
  </conditionalFormatting>
  <conditionalFormatting sqref="H178">
    <cfRule type="cellIs" dxfId="1734" priority="734" operator="greaterThan">
      <formula>0</formula>
    </cfRule>
  </conditionalFormatting>
  <conditionalFormatting sqref="H177">
    <cfRule type="cellIs" dxfId="1733" priority="733" operator="greaterThan">
      <formula>0</formula>
    </cfRule>
  </conditionalFormatting>
  <conditionalFormatting sqref="H176">
    <cfRule type="cellIs" dxfId="1732" priority="732" operator="greaterThan">
      <formula>0</formula>
    </cfRule>
  </conditionalFormatting>
  <conditionalFormatting sqref="H175">
    <cfRule type="cellIs" dxfId="1731" priority="731" operator="greaterThan">
      <formula>0</formula>
    </cfRule>
  </conditionalFormatting>
  <conditionalFormatting sqref="H174">
    <cfRule type="cellIs" dxfId="1730" priority="730" operator="greaterThan">
      <formula>0</formula>
    </cfRule>
  </conditionalFormatting>
  <conditionalFormatting sqref="H173">
    <cfRule type="cellIs" dxfId="1729" priority="729" operator="greaterThan">
      <formula>0</formula>
    </cfRule>
  </conditionalFormatting>
  <conditionalFormatting sqref="H172">
    <cfRule type="cellIs" dxfId="1728" priority="728" operator="greaterThan">
      <formula>0</formula>
    </cfRule>
  </conditionalFormatting>
  <conditionalFormatting sqref="H171">
    <cfRule type="cellIs" dxfId="1727" priority="727" operator="greaterThan">
      <formula>0</formula>
    </cfRule>
  </conditionalFormatting>
  <conditionalFormatting sqref="H170">
    <cfRule type="cellIs" dxfId="1726" priority="726" operator="greaterThan">
      <formula>0</formula>
    </cfRule>
  </conditionalFormatting>
  <conditionalFormatting sqref="H169">
    <cfRule type="cellIs" dxfId="1725" priority="725" operator="greaterThan">
      <formula>0</formula>
    </cfRule>
  </conditionalFormatting>
  <conditionalFormatting sqref="H168">
    <cfRule type="cellIs" dxfId="1724" priority="724" operator="greaterThan">
      <formula>0</formula>
    </cfRule>
  </conditionalFormatting>
  <conditionalFormatting sqref="H167">
    <cfRule type="cellIs" dxfId="1723" priority="723" operator="greaterThan">
      <formula>0</formula>
    </cfRule>
  </conditionalFormatting>
  <conditionalFormatting sqref="H166">
    <cfRule type="cellIs" dxfId="1722" priority="722" operator="greaterThan">
      <formula>0</formula>
    </cfRule>
  </conditionalFormatting>
  <conditionalFormatting sqref="H165">
    <cfRule type="cellIs" dxfId="1721" priority="721" operator="greaterThan">
      <formula>0</formula>
    </cfRule>
  </conditionalFormatting>
  <conditionalFormatting sqref="H164">
    <cfRule type="cellIs" dxfId="1720" priority="720" operator="greaterThan">
      <formula>0</formula>
    </cfRule>
  </conditionalFormatting>
  <conditionalFormatting sqref="H163">
    <cfRule type="cellIs" dxfId="1719" priority="719" operator="greaterThan">
      <formula>0</formula>
    </cfRule>
  </conditionalFormatting>
  <conditionalFormatting sqref="H162">
    <cfRule type="cellIs" dxfId="1718" priority="718" operator="greaterThan">
      <formula>0</formula>
    </cfRule>
  </conditionalFormatting>
  <conditionalFormatting sqref="H161">
    <cfRule type="cellIs" dxfId="1717" priority="717" operator="greaterThan">
      <formula>0</formula>
    </cfRule>
  </conditionalFormatting>
  <conditionalFormatting sqref="H160">
    <cfRule type="cellIs" dxfId="1716" priority="716" operator="greaterThan">
      <formula>0</formula>
    </cfRule>
  </conditionalFormatting>
  <conditionalFormatting sqref="H159">
    <cfRule type="cellIs" dxfId="1715" priority="715" operator="greaterThan">
      <formula>0</formula>
    </cfRule>
  </conditionalFormatting>
  <conditionalFormatting sqref="H158">
    <cfRule type="cellIs" dxfId="1714" priority="714" operator="greaterThan">
      <formula>0</formula>
    </cfRule>
  </conditionalFormatting>
  <conditionalFormatting sqref="H157">
    <cfRule type="cellIs" dxfId="1713" priority="713" operator="greaterThan">
      <formula>0</formula>
    </cfRule>
  </conditionalFormatting>
  <conditionalFormatting sqref="H156">
    <cfRule type="cellIs" dxfId="1712" priority="712" operator="greaterThan">
      <formula>0</formula>
    </cfRule>
  </conditionalFormatting>
  <conditionalFormatting sqref="H155">
    <cfRule type="cellIs" dxfId="1711" priority="711" operator="greaterThan">
      <formula>0</formula>
    </cfRule>
  </conditionalFormatting>
  <conditionalFormatting sqref="H154">
    <cfRule type="cellIs" dxfId="1710" priority="709" operator="greaterThan">
      <formula>0</formula>
    </cfRule>
  </conditionalFormatting>
  <conditionalFormatting sqref="H153">
    <cfRule type="cellIs" dxfId="1709" priority="708" operator="greaterThan">
      <formula>0</formula>
    </cfRule>
  </conditionalFormatting>
  <conditionalFormatting sqref="H152">
    <cfRule type="cellIs" dxfId="1708" priority="707" operator="greaterThan">
      <formula>0</formula>
    </cfRule>
  </conditionalFormatting>
  <conditionalFormatting sqref="H151">
    <cfRule type="cellIs" dxfId="1707" priority="706" operator="greaterThan">
      <formula>0</formula>
    </cfRule>
  </conditionalFormatting>
  <conditionalFormatting sqref="H150">
    <cfRule type="cellIs" dxfId="1706" priority="705" operator="greaterThan">
      <formula>0</formula>
    </cfRule>
  </conditionalFormatting>
  <conditionalFormatting sqref="H149">
    <cfRule type="cellIs" dxfId="1705" priority="704" operator="greaterThan">
      <formula>0</formula>
    </cfRule>
  </conditionalFormatting>
  <conditionalFormatting sqref="H148">
    <cfRule type="cellIs" dxfId="1704" priority="703" operator="greaterThan">
      <formula>0</formula>
    </cfRule>
  </conditionalFormatting>
  <conditionalFormatting sqref="H147">
    <cfRule type="cellIs" dxfId="1703" priority="702" operator="greaterThan">
      <formula>0</formula>
    </cfRule>
  </conditionalFormatting>
  <conditionalFormatting sqref="H146">
    <cfRule type="cellIs" dxfId="1702" priority="701" operator="greaterThan">
      <formula>0</formula>
    </cfRule>
  </conditionalFormatting>
  <conditionalFormatting sqref="H145">
    <cfRule type="cellIs" dxfId="1701" priority="700" operator="greaterThan">
      <formula>0</formula>
    </cfRule>
  </conditionalFormatting>
  <conditionalFormatting sqref="H144">
    <cfRule type="cellIs" dxfId="1700" priority="699" operator="greaterThan">
      <formula>0</formula>
    </cfRule>
  </conditionalFormatting>
  <conditionalFormatting sqref="H143">
    <cfRule type="cellIs" dxfId="1699" priority="698" operator="greaterThan">
      <formula>0</formula>
    </cfRule>
  </conditionalFormatting>
  <conditionalFormatting sqref="H142">
    <cfRule type="cellIs" dxfId="1698" priority="697" operator="greaterThan">
      <formula>0</formula>
    </cfRule>
  </conditionalFormatting>
  <conditionalFormatting sqref="H141">
    <cfRule type="cellIs" dxfId="1697" priority="696" operator="greaterThan">
      <formula>0</formula>
    </cfRule>
  </conditionalFormatting>
  <conditionalFormatting sqref="H140">
    <cfRule type="cellIs" dxfId="1696" priority="695" operator="greaterThan">
      <formula>0</formula>
    </cfRule>
  </conditionalFormatting>
  <conditionalFormatting sqref="H139">
    <cfRule type="cellIs" dxfId="1695" priority="694" operator="greaterThan">
      <formula>0</formula>
    </cfRule>
  </conditionalFormatting>
  <conditionalFormatting sqref="H138">
    <cfRule type="cellIs" dxfId="1694" priority="692" operator="greaterThan">
      <formula>0</formula>
    </cfRule>
  </conditionalFormatting>
  <conditionalFormatting sqref="H137">
    <cfRule type="cellIs" dxfId="1693" priority="691" operator="greaterThan">
      <formula>0</formula>
    </cfRule>
  </conditionalFormatting>
  <conditionalFormatting sqref="H136">
    <cfRule type="cellIs" dxfId="1692" priority="690" operator="greaterThan">
      <formula>0</formula>
    </cfRule>
  </conditionalFormatting>
  <conditionalFormatting sqref="H135">
    <cfRule type="cellIs" dxfId="1691" priority="689" operator="greaterThan">
      <formula>0</formula>
    </cfRule>
  </conditionalFormatting>
  <conditionalFormatting sqref="H134">
    <cfRule type="cellIs" dxfId="1690" priority="688" operator="greaterThan">
      <formula>0</formula>
    </cfRule>
  </conditionalFormatting>
  <conditionalFormatting sqref="H133">
    <cfRule type="cellIs" dxfId="1689" priority="686" operator="greaterThan">
      <formula>0</formula>
    </cfRule>
  </conditionalFormatting>
  <conditionalFormatting sqref="H132">
    <cfRule type="cellIs" dxfId="1688" priority="685" operator="greaterThan">
      <formula>0</formula>
    </cfRule>
  </conditionalFormatting>
  <conditionalFormatting sqref="H131">
    <cfRule type="cellIs" dxfId="1687" priority="684" operator="greaterThan">
      <formula>0</formula>
    </cfRule>
  </conditionalFormatting>
  <conditionalFormatting sqref="H130">
    <cfRule type="cellIs" dxfId="1686" priority="683" operator="greaterThan">
      <formula>0</formula>
    </cfRule>
  </conditionalFormatting>
  <conditionalFormatting sqref="H129">
    <cfRule type="cellIs" dxfId="1685" priority="682" operator="greaterThan">
      <formula>0</formula>
    </cfRule>
  </conditionalFormatting>
  <conditionalFormatting sqref="H128">
    <cfRule type="cellIs" dxfId="1684" priority="681" operator="greaterThan">
      <formula>0</formula>
    </cfRule>
  </conditionalFormatting>
  <conditionalFormatting sqref="H127">
    <cfRule type="cellIs" dxfId="1683" priority="679" operator="greaterThan">
      <formula>0</formula>
    </cfRule>
  </conditionalFormatting>
  <conditionalFormatting sqref="H126">
    <cfRule type="cellIs" dxfId="1682" priority="678" operator="greaterThan">
      <formula>0</formula>
    </cfRule>
  </conditionalFormatting>
  <conditionalFormatting sqref="H125">
    <cfRule type="cellIs" dxfId="1681" priority="677" operator="greaterThan">
      <formula>0</formula>
    </cfRule>
  </conditionalFormatting>
  <conditionalFormatting sqref="H124">
    <cfRule type="cellIs" dxfId="1680" priority="675" operator="greaterThan">
      <formula>0</formula>
    </cfRule>
  </conditionalFormatting>
  <conditionalFormatting sqref="H123">
    <cfRule type="cellIs" dxfId="1679" priority="674" operator="greaterThan">
      <formula>0</formula>
    </cfRule>
  </conditionalFormatting>
  <conditionalFormatting sqref="H122">
    <cfRule type="cellIs" dxfId="1678" priority="673" operator="greaterThan">
      <formula>0</formula>
    </cfRule>
  </conditionalFormatting>
  <conditionalFormatting sqref="H121">
    <cfRule type="cellIs" dxfId="1677" priority="672" operator="greaterThan">
      <formula>0</formula>
    </cfRule>
  </conditionalFormatting>
  <conditionalFormatting sqref="H120">
    <cfRule type="cellIs" dxfId="1676" priority="671" operator="greaterThan">
      <formula>0</formula>
    </cfRule>
  </conditionalFormatting>
  <conditionalFormatting sqref="H119">
    <cfRule type="cellIs" dxfId="1675" priority="670" operator="greaterThan">
      <formula>0</formula>
    </cfRule>
  </conditionalFormatting>
  <conditionalFormatting sqref="H118">
    <cfRule type="cellIs" dxfId="1674" priority="669" operator="greaterThan">
      <formula>0</formula>
    </cfRule>
  </conditionalFormatting>
  <conditionalFormatting sqref="H117">
    <cfRule type="cellIs" dxfId="1673" priority="668" operator="greaterThan">
      <formula>0</formula>
    </cfRule>
  </conditionalFormatting>
  <conditionalFormatting sqref="H116">
    <cfRule type="cellIs" dxfId="1672" priority="667" operator="greaterThan">
      <formula>0</formula>
    </cfRule>
  </conditionalFormatting>
  <conditionalFormatting sqref="H115">
    <cfRule type="cellIs" dxfId="1671" priority="665" operator="greaterThan">
      <formula>0</formula>
    </cfRule>
  </conditionalFormatting>
  <conditionalFormatting sqref="H114">
    <cfRule type="cellIs" dxfId="1670" priority="664" operator="greaterThan">
      <formula>0</formula>
    </cfRule>
  </conditionalFormatting>
  <conditionalFormatting sqref="H113">
    <cfRule type="cellIs" dxfId="1669" priority="663" operator="greaterThan">
      <formula>0</formula>
    </cfRule>
  </conditionalFormatting>
  <conditionalFormatting sqref="H112">
    <cfRule type="cellIs" dxfId="1668" priority="661" operator="greaterThan">
      <formula>0</formula>
    </cfRule>
  </conditionalFormatting>
  <conditionalFormatting sqref="H111">
    <cfRule type="cellIs" dxfId="1667" priority="660" operator="greaterThan">
      <formula>0</formula>
    </cfRule>
  </conditionalFormatting>
  <conditionalFormatting sqref="H110">
    <cfRule type="cellIs" dxfId="1666" priority="659" operator="greaterThan">
      <formula>0</formula>
    </cfRule>
  </conditionalFormatting>
  <conditionalFormatting sqref="H109">
    <cfRule type="cellIs" dxfId="1665" priority="658" operator="greaterThan">
      <formula>0</formula>
    </cfRule>
  </conditionalFormatting>
  <conditionalFormatting sqref="H108">
    <cfRule type="cellIs" dxfId="1664" priority="657" operator="greaterThan">
      <formula>0</formula>
    </cfRule>
  </conditionalFormatting>
  <conditionalFormatting sqref="H107">
    <cfRule type="cellIs" dxfId="1663" priority="656" operator="greaterThan">
      <formula>0</formula>
    </cfRule>
  </conditionalFormatting>
  <conditionalFormatting sqref="H106">
    <cfRule type="cellIs" dxfId="1662" priority="655" operator="greaterThan">
      <formula>0</formula>
    </cfRule>
  </conditionalFormatting>
  <conditionalFormatting sqref="H105">
    <cfRule type="cellIs" dxfId="1661" priority="654" operator="greaterThan">
      <formula>0</formula>
    </cfRule>
  </conditionalFormatting>
  <conditionalFormatting sqref="H104">
    <cfRule type="cellIs" dxfId="1660" priority="653" operator="greaterThan">
      <formula>0</formula>
    </cfRule>
  </conditionalFormatting>
  <conditionalFormatting sqref="H103">
    <cfRule type="cellIs" dxfId="1659" priority="652" operator="greaterThan">
      <formula>0</formula>
    </cfRule>
  </conditionalFormatting>
  <conditionalFormatting sqref="H102">
    <cfRule type="cellIs" dxfId="1658" priority="651" operator="greaterThan">
      <formula>0</formula>
    </cfRule>
  </conditionalFormatting>
  <conditionalFormatting sqref="AG34:AH35 AG37:AH62 AH36">
    <cfRule type="timePeriod" dxfId="1657" priority="479" timePeriod="today">
      <formula>FLOOR(AG34,1)=TODAY()</formula>
    </cfRule>
  </conditionalFormatting>
  <conditionalFormatting sqref="AI34:AI62">
    <cfRule type="cellIs" dxfId="1656" priority="478" operator="equal">
      <formula>11673.14</formula>
    </cfRule>
  </conditionalFormatting>
  <conditionalFormatting sqref="D32:D50">
    <cfRule type="cellIs" dxfId="1655" priority="373" operator="lessThan">
      <formula>0</formula>
    </cfRule>
  </conditionalFormatting>
  <conditionalFormatting sqref="V8:W24 V31:W1048576 W29:W30 V27:W28 W25:W26">
    <cfRule type="cellIs" dxfId="1654" priority="363" operator="lessThan">
      <formula>0</formula>
    </cfRule>
    <cfRule type="cellIs" dxfId="1653" priority="364" operator="greaterThan">
      <formula>0</formula>
    </cfRule>
  </conditionalFormatting>
  <conditionalFormatting sqref="X8:X1048576">
    <cfRule type="timePeriod" dxfId="1652" priority="350" timePeriod="lastWeek">
      <formula>AND(TODAY()-ROUNDDOWN(X8,0)&gt;=(WEEKDAY(TODAY())),TODAY()-ROUNDDOWN(X8,0)&lt;(WEEKDAY(TODAY())+7))</formula>
    </cfRule>
    <cfRule type="timePeriod" dxfId="1651" priority="351" timePeriod="yesterday">
      <formula>FLOOR(X8,1)=TODAY()-1</formula>
    </cfRule>
    <cfRule type="timePeriod" dxfId="1650" priority="352" timePeriod="today">
      <formula>FLOOR(X8,1)=TODAY()</formula>
    </cfRule>
  </conditionalFormatting>
  <conditionalFormatting sqref="M2">
    <cfRule type="cellIs" dxfId="1649" priority="294" operator="greaterThan">
      <formula>0</formula>
    </cfRule>
    <cfRule type="cellIs" dxfId="1648" priority="295" operator="lessThan">
      <formula>0</formula>
    </cfRule>
  </conditionalFormatting>
  <conditionalFormatting sqref="H2">
    <cfRule type="cellIs" dxfId="1647" priority="232" operator="lessThan">
      <formula>0</formula>
    </cfRule>
  </conditionalFormatting>
  <conditionalFormatting sqref="H2">
    <cfRule type="cellIs" dxfId="1646" priority="231" operator="greaterThan">
      <formula>0</formula>
    </cfRule>
  </conditionalFormatting>
  <conditionalFormatting sqref="H96">
    <cfRule type="cellIs" dxfId="1645" priority="166" operator="lessThan">
      <formula>0</formula>
    </cfRule>
  </conditionalFormatting>
  <conditionalFormatting sqref="H96">
    <cfRule type="cellIs" dxfId="1644" priority="165" operator="greaterThan">
      <formula>0</formula>
    </cfRule>
  </conditionalFormatting>
  <conditionalFormatting sqref="H95">
    <cfRule type="cellIs" dxfId="1643" priority="164" operator="lessThan">
      <formula>0</formula>
    </cfRule>
  </conditionalFormatting>
  <conditionalFormatting sqref="H95">
    <cfRule type="cellIs" dxfId="1642" priority="163" operator="greaterThan">
      <formula>0</formula>
    </cfRule>
  </conditionalFormatting>
  <conditionalFormatting sqref="H93">
    <cfRule type="cellIs" dxfId="1641" priority="158" operator="lessThan">
      <formula>0</formula>
    </cfRule>
  </conditionalFormatting>
  <conditionalFormatting sqref="H93">
    <cfRule type="cellIs" dxfId="1640" priority="157" operator="greaterThan">
      <formula>0</formula>
    </cfRule>
  </conditionalFormatting>
  <conditionalFormatting sqref="H92">
    <cfRule type="cellIs" dxfId="1639" priority="156" operator="lessThan">
      <formula>0</formula>
    </cfRule>
  </conditionalFormatting>
  <conditionalFormatting sqref="H92">
    <cfRule type="cellIs" dxfId="1638" priority="155" operator="greaterThan">
      <formula>0</formula>
    </cfRule>
  </conditionalFormatting>
  <conditionalFormatting sqref="H90">
    <cfRule type="cellIs" dxfId="1637" priority="154" operator="lessThan">
      <formula>0</formula>
    </cfRule>
  </conditionalFormatting>
  <conditionalFormatting sqref="H90">
    <cfRule type="cellIs" dxfId="1636" priority="153" operator="greaterThan">
      <formula>0</formula>
    </cfRule>
  </conditionalFormatting>
  <conditionalFormatting sqref="H89">
    <cfRule type="cellIs" dxfId="1635" priority="152" operator="lessThan">
      <formula>0</formula>
    </cfRule>
  </conditionalFormatting>
  <conditionalFormatting sqref="H89">
    <cfRule type="cellIs" dxfId="1634" priority="151" operator="greaterThan">
      <formula>0</formula>
    </cfRule>
  </conditionalFormatting>
  <conditionalFormatting sqref="H88">
    <cfRule type="cellIs" dxfId="1633" priority="150" operator="lessThan">
      <formula>0</formula>
    </cfRule>
  </conditionalFormatting>
  <conditionalFormatting sqref="H88">
    <cfRule type="cellIs" dxfId="1632" priority="149" operator="greaterThan">
      <formula>0</formula>
    </cfRule>
  </conditionalFormatting>
  <conditionalFormatting sqref="H86">
    <cfRule type="cellIs" dxfId="1631" priority="148" operator="lessThan">
      <formula>0</formula>
    </cfRule>
  </conditionalFormatting>
  <conditionalFormatting sqref="H86">
    <cfRule type="cellIs" dxfId="1630" priority="147" operator="greaterThan">
      <formula>0</formula>
    </cfRule>
  </conditionalFormatting>
  <conditionalFormatting sqref="H85">
    <cfRule type="cellIs" dxfId="1629" priority="146" operator="lessThan">
      <formula>0</formula>
    </cfRule>
  </conditionalFormatting>
  <conditionalFormatting sqref="H85">
    <cfRule type="cellIs" dxfId="1628" priority="145" operator="greaterThan">
      <formula>0</formula>
    </cfRule>
  </conditionalFormatting>
  <conditionalFormatting sqref="H84">
    <cfRule type="cellIs" dxfId="1627" priority="142" operator="lessThan">
      <formula>0</formula>
    </cfRule>
  </conditionalFormatting>
  <conditionalFormatting sqref="H84">
    <cfRule type="cellIs" dxfId="1626" priority="141" operator="greaterThan">
      <formula>0</formula>
    </cfRule>
  </conditionalFormatting>
  <conditionalFormatting sqref="H83">
    <cfRule type="cellIs" dxfId="1625" priority="132" operator="lessThan">
      <formula>0</formula>
    </cfRule>
  </conditionalFormatting>
  <conditionalFormatting sqref="H83">
    <cfRule type="cellIs" dxfId="1624" priority="131" operator="greaterThan">
      <formula>0</formula>
    </cfRule>
  </conditionalFormatting>
  <conditionalFormatting sqref="H81">
    <cfRule type="cellIs" dxfId="1623" priority="126" operator="lessThan">
      <formula>0</formula>
    </cfRule>
  </conditionalFormatting>
  <conditionalFormatting sqref="H81">
    <cfRule type="cellIs" dxfId="1622" priority="125" operator="greaterThan">
      <formula>0</formula>
    </cfRule>
  </conditionalFormatting>
  <conditionalFormatting sqref="H79">
    <cfRule type="cellIs" dxfId="1621" priority="124" operator="lessThan">
      <formula>0</formula>
    </cfRule>
  </conditionalFormatting>
  <conditionalFormatting sqref="H79">
    <cfRule type="cellIs" dxfId="1620" priority="123" operator="greaterThan">
      <formula>0</formula>
    </cfRule>
  </conditionalFormatting>
  <conditionalFormatting sqref="H77">
    <cfRule type="cellIs" dxfId="1619" priority="122" operator="lessThan">
      <formula>0</formula>
    </cfRule>
  </conditionalFormatting>
  <conditionalFormatting sqref="H77">
    <cfRule type="cellIs" dxfId="1618" priority="121" operator="greaterThan">
      <formula>0</formula>
    </cfRule>
  </conditionalFormatting>
  <conditionalFormatting sqref="H76">
    <cfRule type="cellIs" dxfId="1617" priority="118" operator="lessThan">
      <formula>0</formula>
    </cfRule>
  </conditionalFormatting>
  <conditionalFormatting sqref="H76">
    <cfRule type="cellIs" dxfId="1616" priority="117" operator="greaterThan">
      <formula>0</formula>
    </cfRule>
  </conditionalFormatting>
  <conditionalFormatting sqref="H73">
    <cfRule type="cellIs" dxfId="1615" priority="116" operator="lessThan">
      <formula>0</formula>
    </cfRule>
  </conditionalFormatting>
  <conditionalFormatting sqref="H73">
    <cfRule type="cellIs" dxfId="1614" priority="115" operator="greaterThan">
      <formula>0</formula>
    </cfRule>
  </conditionalFormatting>
  <conditionalFormatting sqref="H67">
    <cfRule type="cellIs" dxfId="1613" priority="113" operator="lessThan">
      <formula>0</formula>
    </cfRule>
  </conditionalFormatting>
  <conditionalFormatting sqref="H67">
    <cfRule type="cellIs" dxfId="1612" priority="112" operator="greaterThan">
      <formula>0</formula>
    </cfRule>
  </conditionalFormatting>
  <conditionalFormatting sqref="H65">
    <cfRule type="cellIs" dxfId="1611" priority="111" operator="lessThan">
      <formula>0</formula>
    </cfRule>
  </conditionalFormatting>
  <conditionalFormatting sqref="H65">
    <cfRule type="cellIs" dxfId="1610" priority="110" operator="greaterThan">
      <formula>0</formula>
    </cfRule>
  </conditionalFormatting>
  <conditionalFormatting sqref="H64">
    <cfRule type="cellIs" dxfId="1609" priority="109" operator="lessThan">
      <formula>0</formula>
    </cfRule>
  </conditionalFormatting>
  <conditionalFormatting sqref="H64">
    <cfRule type="cellIs" dxfId="1608" priority="108" operator="greaterThan">
      <formula>0</formula>
    </cfRule>
  </conditionalFormatting>
  <conditionalFormatting sqref="H62">
    <cfRule type="cellIs" dxfId="1607" priority="107" operator="lessThan">
      <formula>0</formula>
    </cfRule>
  </conditionalFormatting>
  <conditionalFormatting sqref="H62">
    <cfRule type="cellIs" dxfId="1606" priority="106" operator="greaterThan">
      <formula>0</formula>
    </cfRule>
  </conditionalFormatting>
  <conditionalFormatting sqref="H61">
    <cfRule type="cellIs" dxfId="1605" priority="103" operator="lessThan">
      <formula>0</formula>
    </cfRule>
  </conditionalFormatting>
  <conditionalFormatting sqref="H61">
    <cfRule type="cellIs" dxfId="1604" priority="102" operator="greaterThan">
      <formula>0</formula>
    </cfRule>
  </conditionalFormatting>
  <conditionalFormatting sqref="H59">
    <cfRule type="cellIs" dxfId="1603" priority="101" operator="lessThan">
      <formula>0</formula>
    </cfRule>
  </conditionalFormatting>
  <conditionalFormatting sqref="H59">
    <cfRule type="cellIs" dxfId="1602" priority="100" operator="greaterThan">
      <formula>0</formula>
    </cfRule>
  </conditionalFormatting>
  <conditionalFormatting sqref="H57">
    <cfRule type="cellIs" dxfId="1601" priority="99" operator="lessThan">
      <formula>0</formula>
    </cfRule>
  </conditionalFormatting>
  <conditionalFormatting sqref="H57">
    <cfRule type="cellIs" dxfId="1600" priority="98" operator="greaterThan">
      <formula>0</formula>
    </cfRule>
  </conditionalFormatting>
  <conditionalFormatting sqref="H54">
    <cfRule type="cellIs" dxfId="1599" priority="97" operator="lessThan">
      <formula>0</formula>
    </cfRule>
  </conditionalFormatting>
  <conditionalFormatting sqref="H54">
    <cfRule type="cellIs" dxfId="1598" priority="96" operator="greaterThan">
      <formula>0</formula>
    </cfRule>
  </conditionalFormatting>
  <conditionalFormatting sqref="H52">
    <cfRule type="cellIs" dxfId="1597" priority="91" operator="lessThan">
      <formula>0</formula>
    </cfRule>
  </conditionalFormatting>
  <conditionalFormatting sqref="H52">
    <cfRule type="cellIs" dxfId="1596" priority="90" operator="greaterThan">
      <formula>0</formula>
    </cfRule>
  </conditionalFormatting>
  <conditionalFormatting sqref="H51">
    <cfRule type="cellIs" dxfId="1595" priority="89" operator="lessThan">
      <formula>0</formula>
    </cfRule>
  </conditionalFormatting>
  <conditionalFormatting sqref="H51">
    <cfRule type="cellIs" dxfId="1594" priority="88" operator="greaterThan">
      <formula>0</formula>
    </cfRule>
  </conditionalFormatting>
  <conditionalFormatting sqref="H49:H50">
    <cfRule type="cellIs" dxfId="1593" priority="87" operator="lessThan">
      <formula>0</formula>
    </cfRule>
  </conditionalFormatting>
  <conditionalFormatting sqref="H49:H50">
    <cfRule type="cellIs" dxfId="1592" priority="86" operator="greaterThan">
      <formula>0</formula>
    </cfRule>
  </conditionalFormatting>
  <conditionalFormatting sqref="H48">
    <cfRule type="cellIs" dxfId="1591" priority="85" operator="lessThan">
      <formula>0</formula>
    </cfRule>
  </conditionalFormatting>
  <conditionalFormatting sqref="H48">
    <cfRule type="cellIs" dxfId="1590" priority="84" operator="greaterThan">
      <formula>0</formula>
    </cfRule>
  </conditionalFormatting>
  <conditionalFormatting sqref="H47">
    <cfRule type="cellIs" dxfId="1589" priority="83" operator="lessThan">
      <formula>0</formula>
    </cfRule>
  </conditionalFormatting>
  <conditionalFormatting sqref="H47">
    <cfRule type="cellIs" dxfId="1588" priority="82" operator="greaterThan">
      <formula>0</formula>
    </cfRule>
  </conditionalFormatting>
  <conditionalFormatting sqref="H46">
    <cfRule type="cellIs" dxfId="1587" priority="81" operator="lessThan">
      <formula>0</formula>
    </cfRule>
  </conditionalFormatting>
  <conditionalFormatting sqref="H46">
    <cfRule type="cellIs" dxfId="1586" priority="80" operator="greaterThan">
      <formula>0</formula>
    </cfRule>
  </conditionalFormatting>
  <conditionalFormatting sqref="H45">
    <cfRule type="cellIs" dxfId="1585" priority="75" operator="lessThan">
      <formula>0</formula>
    </cfRule>
  </conditionalFormatting>
  <conditionalFormatting sqref="H45">
    <cfRule type="cellIs" dxfId="1584" priority="74" operator="greaterThan">
      <formula>0</formula>
    </cfRule>
  </conditionalFormatting>
  <conditionalFormatting sqref="H44">
    <cfRule type="cellIs" dxfId="1583" priority="73" operator="lessThan">
      <formula>0</formula>
    </cfRule>
  </conditionalFormatting>
  <conditionalFormatting sqref="H44">
    <cfRule type="cellIs" dxfId="1582" priority="72" operator="greaterThan">
      <formula>0</formula>
    </cfRule>
  </conditionalFormatting>
  <conditionalFormatting sqref="H43">
    <cfRule type="cellIs" dxfId="1581" priority="71" operator="lessThan">
      <formula>0</formula>
    </cfRule>
  </conditionalFormatting>
  <conditionalFormatting sqref="H43">
    <cfRule type="cellIs" dxfId="1580" priority="70" operator="greaterThan">
      <formula>0</formula>
    </cfRule>
  </conditionalFormatting>
  <conditionalFormatting sqref="H42">
    <cfRule type="cellIs" dxfId="1579" priority="69" operator="lessThan">
      <formula>0</formula>
    </cfRule>
  </conditionalFormatting>
  <conditionalFormatting sqref="H42">
    <cfRule type="cellIs" dxfId="1578" priority="68" operator="greaterThan">
      <formula>0</formula>
    </cfRule>
  </conditionalFormatting>
  <conditionalFormatting sqref="H40">
    <cfRule type="cellIs" dxfId="1577" priority="67" operator="lessThan">
      <formula>0</formula>
    </cfRule>
  </conditionalFormatting>
  <conditionalFormatting sqref="H40">
    <cfRule type="cellIs" dxfId="1576" priority="66" operator="greaterThan">
      <formula>0</formula>
    </cfRule>
  </conditionalFormatting>
  <conditionalFormatting sqref="H39">
    <cfRule type="cellIs" dxfId="1575" priority="65" operator="lessThan">
      <formula>0</formula>
    </cfRule>
  </conditionalFormatting>
  <conditionalFormatting sqref="H39">
    <cfRule type="cellIs" dxfId="1574" priority="64" operator="greaterThan">
      <formula>0</formula>
    </cfRule>
  </conditionalFormatting>
  <conditionalFormatting sqref="H38">
    <cfRule type="cellIs" dxfId="1573" priority="63" operator="lessThan">
      <formula>0</formula>
    </cfRule>
  </conditionalFormatting>
  <conditionalFormatting sqref="H38">
    <cfRule type="cellIs" dxfId="1572" priority="62" operator="greaterThan">
      <formula>0</formula>
    </cfRule>
  </conditionalFormatting>
  <conditionalFormatting sqref="H37">
    <cfRule type="cellIs" dxfId="1571" priority="61" operator="lessThan">
      <formula>0</formula>
    </cfRule>
  </conditionalFormatting>
  <conditionalFormatting sqref="H37">
    <cfRule type="cellIs" dxfId="1570" priority="60" operator="greaterThan">
      <formula>0</formula>
    </cfRule>
  </conditionalFormatting>
  <conditionalFormatting sqref="H35">
    <cfRule type="cellIs" dxfId="1569" priority="59" operator="lessThan">
      <formula>0</formula>
    </cfRule>
  </conditionalFormatting>
  <conditionalFormatting sqref="H35">
    <cfRule type="cellIs" dxfId="1568" priority="58" operator="greaterThan">
      <formula>0</formula>
    </cfRule>
  </conditionalFormatting>
  <conditionalFormatting sqref="H34">
    <cfRule type="cellIs" dxfId="1567" priority="57" operator="lessThan">
      <formula>0</formula>
    </cfRule>
  </conditionalFormatting>
  <conditionalFormatting sqref="H34">
    <cfRule type="cellIs" dxfId="1566" priority="56" operator="greaterThan">
      <formula>0</formula>
    </cfRule>
  </conditionalFormatting>
  <conditionalFormatting sqref="H32">
    <cfRule type="cellIs" dxfId="1565" priority="55" operator="lessThan">
      <formula>0</formula>
    </cfRule>
  </conditionalFormatting>
  <conditionalFormatting sqref="H32">
    <cfRule type="cellIs" dxfId="1564" priority="54" operator="greaterThan">
      <formula>0</formula>
    </cfRule>
  </conditionalFormatting>
  <conditionalFormatting sqref="H31">
    <cfRule type="cellIs" dxfId="1563" priority="53" operator="lessThan">
      <formula>0</formula>
    </cfRule>
  </conditionalFormatting>
  <conditionalFormatting sqref="H31">
    <cfRule type="cellIs" dxfId="1562" priority="52" operator="greaterThan">
      <formula>0</formula>
    </cfRule>
  </conditionalFormatting>
  <conditionalFormatting sqref="H30">
    <cfRule type="cellIs" dxfId="1561" priority="51" operator="lessThan">
      <formula>0</formula>
    </cfRule>
  </conditionalFormatting>
  <conditionalFormatting sqref="H30">
    <cfRule type="cellIs" dxfId="1560" priority="50" operator="greaterThan">
      <formula>0</formula>
    </cfRule>
  </conditionalFormatting>
  <conditionalFormatting sqref="H29">
    <cfRule type="cellIs" dxfId="1559" priority="49" operator="lessThan">
      <formula>0</formula>
    </cfRule>
  </conditionalFormatting>
  <conditionalFormatting sqref="H29">
    <cfRule type="cellIs" dxfId="1558" priority="48" operator="greaterThan">
      <formula>0</formula>
    </cfRule>
  </conditionalFormatting>
  <conditionalFormatting sqref="H28">
    <cfRule type="cellIs" dxfId="1557" priority="47" operator="lessThan">
      <formula>0</formula>
    </cfRule>
  </conditionalFormatting>
  <conditionalFormatting sqref="H28">
    <cfRule type="cellIs" dxfId="1556" priority="46" operator="greaterThan">
      <formula>0</formula>
    </cfRule>
  </conditionalFormatting>
  <conditionalFormatting sqref="H26">
    <cfRule type="cellIs" dxfId="1555" priority="45" operator="lessThan">
      <formula>0</formula>
    </cfRule>
  </conditionalFormatting>
  <conditionalFormatting sqref="H26">
    <cfRule type="cellIs" dxfId="1554" priority="44" operator="greaterThan">
      <formula>0</formula>
    </cfRule>
  </conditionalFormatting>
  <conditionalFormatting sqref="H25">
    <cfRule type="cellIs" dxfId="1553" priority="43" operator="lessThan">
      <formula>0</formula>
    </cfRule>
  </conditionalFormatting>
  <conditionalFormatting sqref="H25">
    <cfRule type="cellIs" dxfId="1552" priority="42" operator="greaterThan">
      <formula>0</formula>
    </cfRule>
  </conditionalFormatting>
  <conditionalFormatting sqref="H24">
    <cfRule type="cellIs" dxfId="1551" priority="41" operator="lessThan">
      <formula>0</formula>
    </cfRule>
  </conditionalFormatting>
  <conditionalFormatting sqref="H24">
    <cfRule type="cellIs" dxfId="1550" priority="40" operator="greaterThan">
      <formula>0</formula>
    </cfRule>
  </conditionalFormatting>
  <conditionalFormatting sqref="H23">
    <cfRule type="cellIs" dxfId="1549" priority="39" operator="lessThan">
      <formula>0</formula>
    </cfRule>
  </conditionalFormatting>
  <conditionalFormatting sqref="H23">
    <cfRule type="cellIs" dxfId="1548" priority="38" operator="greaterThan">
      <formula>0</formula>
    </cfRule>
  </conditionalFormatting>
  <conditionalFormatting sqref="H22">
    <cfRule type="cellIs" dxfId="1547" priority="37" operator="lessThan">
      <formula>0</formula>
    </cfRule>
  </conditionalFormatting>
  <conditionalFormatting sqref="H22">
    <cfRule type="cellIs" dxfId="1546" priority="36" operator="greaterThan">
      <formula>0</formula>
    </cfRule>
  </conditionalFormatting>
  <conditionalFormatting sqref="H21">
    <cfRule type="cellIs" dxfId="1545" priority="35" operator="lessThan">
      <formula>0</formula>
    </cfRule>
  </conditionalFormatting>
  <conditionalFormatting sqref="H21">
    <cfRule type="cellIs" dxfId="1544" priority="34" operator="greaterThan">
      <formula>0</formula>
    </cfRule>
  </conditionalFormatting>
  <conditionalFormatting sqref="H18">
    <cfRule type="cellIs" dxfId="1543" priority="31" operator="lessThan">
      <formula>0</formula>
    </cfRule>
  </conditionalFormatting>
  <conditionalFormatting sqref="H18">
    <cfRule type="cellIs" dxfId="1542" priority="30" operator="greaterThan">
      <formula>0</formula>
    </cfRule>
  </conditionalFormatting>
  <conditionalFormatting sqref="H17">
    <cfRule type="cellIs" dxfId="1541" priority="29" operator="lessThan">
      <formula>0</formula>
    </cfRule>
  </conditionalFormatting>
  <conditionalFormatting sqref="H17">
    <cfRule type="cellIs" dxfId="1540" priority="28" operator="greaterThan">
      <formula>0</formula>
    </cfRule>
  </conditionalFormatting>
  <conditionalFormatting sqref="H16">
    <cfRule type="cellIs" dxfId="1539" priority="27" operator="lessThan">
      <formula>0</formula>
    </cfRule>
  </conditionalFormatting>
  <conditionalFormatting sqref="H16">
    <cfRule type="cellIs" dxfId="1538" priority="26" operator="greaterThan">
      <formula>0</formula>
    </cfRule>
  </conditionalFormatting>
  <conditionalFormatting sqref="H15">
    <cfRule type="cellIs" dxfId="1537" priority="25" operator="lessThan">
      <formula>0</formula>
    </cfRule>
  </conditionalFormatting>
  <conditionalFormatting sqref="H15">
    <cfRule type="cellIs" dxfId="1536" priority="24" operator="greaterThan">
      <formula>0</formula>
    </cfRule>
  </conditionalFormatting>
  <conditionalFormatting sqref="H13">
    <cfRule type="cellIs" dxfId="1535" priority="21" operator="lessThan">
      <formula>0</formula>
    </cfRule>
  </conditionalFormatting>
  <conditionalFormatting sqref="H13">
    <cfRule type="cellIs" dxfId="1534" priority="20" operator="greaterThan">
      <formula>0</formula>
    </cfRule>
  </conditionalFormatting>
  <conditionalFormatting sqref="H12">
    <cfRule type="cellIs" dxfId="1533" priority="18" operator="lessThan">
      <formula>0</formula>
    </cfRule>
  </conditionalFormatting>
  <conditionalFormatting sqref="H12">
    <cfRule type="cellIs" dxfId="1532" priority="17" operator="greaterThan">
      <formula>0</formula>
    </cfRule>
  </conditionalFormatting>
  <conditionalFormatting sqref="H11">
    <cfRule type="cellIs" dxfId="1531" priority="16" operator="lessThan">
      <formula>0</formula>
    </cfRule>
  </conditionalFormatting>
  <conditionalFormatting sqref="H11">
    <cfRule type="cellIs" dxfId="1530" priority="15" operator="greaterThan">
      <formula>0</formula>
    </cfRule>
  </conditionalFormatting>
  <conditionalFormatting sqref="H10">
    <cfRule type="cellIs" dxfId="1529" priority="12" operator="lessThan">
      <formula>0</formula>
    </cfRule>
  </conditionalFormatting>
  <conditionalFormatting sqref="H10">
    <cfRule type="cellIs" dxfId="1528" priority="11" operator="greaterThan">
      <formula>0</formula>
    </cfRule>
  </conditionalFormatting>
  <conditionalFormatting sqref="H8">
    <cfRule type="cellIs" dxfId="1527" priority="10" operator="lessThan">
      <formula>0</formula>
    </cfRule>
  </conditionalFormatting>
  <conditionalFormatting sqref="H8">
    <cfRule type="cellIs" dxfId="1526" priority="9" operator="greaterThan">
      <formula>0</formula>
    </cfRule>
  </conditionalFormatting>
  <conditionalFormatting sqref="H7">
    <cfRule type="cellIs" dxfId="1525" priority="8" operator="lessThan">
      <formula>0</formula>
    </cfRule>
  </conditionalFormatting>
  <conditionalFormatting sqref="H7">
    <cfRule type="cellIs" dxfId="1524" priority="7" operator="greaterThan">
      <formula>0</formula>
    </cfRule>
  </conditionalFormatting>
  <conditionalFormatting sqref="H6">
    <cfRule type="cellIs" dxfId="1523" priority="6" operator="lessThan">
      <formula>0</formula>
    </cfRule>
  </conditionalFormatting>
  <conditionalFormatting sqref="H6">
    <cfRule type="cellIs" dxfId="1522" priority="5" operator="greaterThan">
      <formula>0</formula>
    </cfRule>
  </conditionalFormatting>
  <conditionalFormatting sqref="H5">
    <cfRule type="cellIs" dxfId="1521" priority="4" operator="lessThan">
      <formula>0</formula>
    </cfRule>
  </conditionalFormatting>
  <conditionalFormatting sqref="H5">
    <cfRule type="cellIs" dxfId="1520" priority="3" operator="greaterThan">
      <formula>0</formula>
    </cfRule>
  </conditionalFormatting>
  <conditionalFormatting sqref="H4">
    <cfRule type="cellIs" dxfId="1519" priority="2" operator="lessThan">
      <formula>0</formula>
    </cfRule>
  </conditionalFormatting>
  <conditionalFormatting sqref="H4">
    <cfRule type="cellIs" dxfId="1518" priority="1" operator="greaterThan">
      <formula>0</formula>
    </cfRule>
  </conditionalFormatting>
  <dataValidations disablePrompts="1" count="5">
    <dataValidation type="list" allowBlank="1" showInputMessage="1" showErrorMessage="1" sqref="Q2 G2 G15:G23 G25:G99 G10:G13 G4:G8 Q4:Q1107" xr:uid="{EB041B12-C73F-4473-B81B-7C9EBDA4E4F7}">
      <formula1>"espécie,digital"</formula1>
    </dataValidation>
    <dataValidation type="list" allowBlank="1" showInputMessage="1" showErrorMessage="1" sqref="F2 F4:F99" xr:uid="{4FECC651-8898-450E-B073-E9278334F99E}">
      <formula1>"Reajuste,Taxa,Tributo,Desbloqueado"</formula1>
    </dataValidation>
    <dataValidation type="list" allowBlank="1" showInputMessage="1" showErrorMessage="1" sqref="Z2 Z4:Z101" xr:uid="{C3736DBA-1765-40E1-BB52-F0EF57CFABA3}">
      <formula1>"espécie,digital,a prazo"</formula1>
    </dataValidation>
    <dataValidation type="list" allowBlank="1" showInputMessage="1" showErrorMessage="1" sqref="P2 P4:P1107" xr:uid="{FEB5ACF3-A148-43F7-B80E-736424C06707}">
      <formula1>"Salário,deposito,emprestimo,juros,Operador"</formula1>
    </dataValidation>
    <dataValidation type="list" allowBlank="1" showInputMessage="1" showErrorMessage="1" sqref="Y2" xr:uid="{B3F7FCD4-C9B8-4A08-AE4A-D94C0BE317AF}">
      <formula1>$W$2:W$5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20:D30 M3 M6:M9" calculatedColumn="1"/>
  </ignoredErrors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4" operator="containsText" id="{F63998CC-1FFD-4059-B5B8-B5F6B0F34CA7}">
            <xm:f>NOT(ISERROR(SEARCH($O$2,O4)))</xm:f>
            <xm:f>$O$2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O4:O1107</xm:sqref>
        </x14:conditionalFormatting>
        <x14:conditionalFormatting xmlns:xm="http://schemas.microsoft.com/office/excel/2006/main">
          <x14:cfRule type="containsText" priority="19" operator="containsText" id="{53D919A8-4833-4228-B372-05E0481B50A7}">
            <xm:f>NOT(ISERROR(SEARCH($O$2,O2)))</xm:f>
            <xm:f>$O$2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O2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7D13-E1D5-4B16-AC19-1CCB59E0DE47}">
  <sheetPr codeName="Planilha3"/>
  <dimension ref="A1:AS847"/>
  <sheetViews>
    <sheetView showGridLines="0" zoomScaleNormal="100" workbookViewId="0">
      <selection activeCell="E2" sqref="E2"/>
    </sheetView>
  </sheetViews>
  <sheetFormatPr defaultRowHeight="19.2" x14ac:dyDescent="0.25"/>
  <cols>
    <col min="1" max="1" width="12.3984375" style="213" bestFit="1" customWidth="1"/>
    <col min="2" max="2" width="9.3984375" style="213" bestFit="1" customWidth="1"/>
    <col min="3" max="3" width="8.3984375" style="213" bestFit="1" customWidth="1"/>
    <col min="4" max="4" width="10.69921875" style="213" bestFit="1" customWidth="1"/>
    <col min="5" max="6" width="12.69921875" style="213" bestFit="1" customWidth="1"/>
    <col min="7" max="7" width="14.796875" style="213" bestFit="1" customWidth="1"/>
    <col min="8" max="8" width="13.69921875" style="213" bestFit="1" customWidth="1"/>
    <col min="9" max="9" width="14.796875" style="214" bestFit="1" customWidth="1"/>
    <col min="10" max="10" width="5.8984375" bestFit="1" customWidth="1"/>
    <col min="11" max="11" width="12.3984375" bestFit="1" customWidth="1"/>
    <col min="12" max="12" width="13.796875" bestFit="1" customWidth="1"/>
    <col min="13" max="13" width="11.69921875" bestFit="1" customWidth="1"/>
    <col min="14" max="14" width="14.5" customWidth="1"/>
    <col min="15" max="15" width="13.796875" bestFit="1" customWidth="1"/>
    <col min="16" max="16" width="12" customWidth="1"/>
    <col min="17" max="17" width="8.59765625" bestFit="1" customWidth="1"/>
    <col min="18" max="18" width="6.5" bestFit="1" customWidth="1"/>
    <col min="19" max="19" width="6.09765625" bestFit="1" customWidth="1"/>
    <col min="20" max="20" width="12.3984375" bestFit="1" customWidth="1"/>
    <col min="21" max="21" width="11.3984375" bestFit="1" customWidth="1"/>
    <col min="22" max="22" width="7.3984375" bestFit="1" customWidth="1"/>
    <col min="23" max="23" width="13.19921875" bestFit="1" customWidth="1"/>
    <col min="24" max="24" width="10.5" bestFit="1" customWidth="1"/>
    <col min="27" max="28" width="11.3984375" bestFit="1" customWidth="1"/>
    <col min="29" max="29" width="4" bestFit="1" customWidth="1"/>
    <col min="30" max="30" width="6.5" bestFit="1" customWidth="1"/>
    <col min="31" max="31" width="6.09765625" bestFit="1" customWidth="1"/>
    <col min="32" max="32" width="8.8984375" bestFit="1" customWidth="1"/>
    <col min="33" max="33" width="12.3984375" bestFit="1" customWidth="1"/>
    <col min="34" max="34" width="11.3984375" bestFit="1" customWidth="1"/>
    <col min="35" max="36" width="13.19921875" bestFit="1" customWidth="1"/>
    <col min="39" max="39" width="8.59765625" bestFit="1" customWidth="1"/>
    <col min="40" max="42" width="11.3984375" bestFit="1" customWidth="1"/>
  </cols>
  <sheetData>
    <row r="1" spans="1:45" ht="19.8" thickBot="1" x14ac:dyDescent="0.3">
      <c r="A1" s="213" t="s">
        <v>84</v>
      </c>
      <c r="B1" s="213" t="s">
        <v>6</v>
      </c>
      <c r="C1" s="213" t="s">
        <v>9</v>
      </c>
      <c r="D1" s="213" t="s">
        <v>5</v>
      </c>
      <c r="E1" s="213" t="s">
        <v>39</v>
      </c>
      <c r="F1" s="213" t="s">
        <v>40</v>
      </c>
      <c r="G1" s="213" t="s">
        <v>41</v>
      </c>
      <c r="H1" s="213" t="s">
        <v>42</v>
      </c>
      <c r="I1" s="214" t="s">
        <v>82</v>
      </c>
      <c r="K1" s="30" t="s">
        <v>84</v>
      </c>
      <c r="L1" s="30" t="s">
        <v>2</v>
      </c>
      <c r="M1" s="75" t="s">
        <v>103</v>
      </c>
      <c r="N1" s="75" t="s">
        <v>85</v>
      </c>
      <c r="O1" s="75" t="s">
        <v>86</v>
      </c>
      <c r="P1" s="62" t="s">
        <v>8</v>
      </c>
      <c r="AC1" s="1" t="s">
        <v>6</v>
      </c>
      <c r="AD1" s="1" t="s">
        <v>24</v>
      </c>
      <c r="AE1" s="1" t="s">
        <v>240</v>
      </c>
      <c r="AF1" s="1" t="s">
        <v>252</v>
      </c>
      <c r="AG1" s="1" t="s">
        <v>176</v>
      </c>
      <c r="AH1" s="1" t="s">
        <v>7</v>
      </c>
      <c r="AI1" s="1" t="s">
        <v>8</v>
      </c>
      <c r="AJ1" s="1" t="s">
        <v>245</v>
      </c>
      <c r="AK1" s="128" t="s">
        <v>246</v>
      </c>
      <c r="AL1" s="1" t="s">
        <v>243</v>
      </c>
      <c r="AM1" s="1" t="s">
        <v>244</v>
      </c>
      <c r="AN1" s="1" t="s">
        <v>248</v>
      </c>
      <c r="AO1" s="1" t="s">
        <v>249</v>
      </c>
      <c r="AP1" s="1" t="s">
        <v>250</v>
      </c>
      <c r="AQ1" s="1" t="s">
        <v>251</v>
      </c>
      <c r="AR1" s="1" t="s">
        <v>253</v>
      </c>
      <c r="AS1" s="1" t="s">
        <v>254</v>
      </c>
    </row>
    <row r="2" spans="1:45" ht="20.399999999999999" thickTop="1" thickBot="1" x14ac:dyDescent="0.3">
      <c r="A2" s="215" t="s">
        <v>85</v>
      </c>
      <c r="B2" s="216" t="str">
        <f>TEXT(dadosfechamento[[#This Row],[data]],"mmm")</f>
        <v>jul</v>
      </c>
      <c r="C2" s="217" t="str">
        <f>TEXT(dadosfechamento[[#This Row],[data]],"ddd")</f>
        <v>qua</v>
      </c>
      <c r="D2" s="209">
        <v>46232</v>
      </c>
      <c r="E2" s="218">
        <v>0</v>
      </c>
      <c r="F2" s="218">
        <v>183</v>
      </c>
      <c r="G2" s="218">
        <v>121</v>
      </c>
      <c r="H2" s="218">
        <f>(SUMIFS(estoque[valor total],estoque[fornecedor],"saída",estoque[data],dadosfechamento[[#This Row],[data]])+SUMIFS(aprazo[valor],aprazo[quantidade],"&lt;&gt;pagamento",aprazo[data],dadosfechamento[[#This Row],[data]])+SUMIFS(aprazo[valor],aprazo[quantidade],"pagamento",aprazo[data],dadosfechamento[[#This Row],[data]]))-SUM(dadosfechamento[[#This Row],[crédito]:[pix]])</f>
        <v>114</v>
      </c>
      <c r="I2" s="218">
        <f>SUM(dadosfechamento[[#This Row],[crédito]:[dinheiro]])</f>
        <v>418</v>
      </c>
      <c r="K2" s="31" t="s">
        <v>85</v>
      </c>
      <c r="L2" s="33">
        <f>SUMIFS(fechamento[total],fechamento[origem],variaçãoDcx[[#This Row],[origem]])</f>
        <v>130504.5</v>
      </c>
      <c r="M2" s="31" t="s">
        <v>39</v>
      </c>
      <c r="N2" s="32">
        <f>SUMIFS(fechamento[crédito],fechamento[origem],forma[[#Headers],[bruto]])</f>
        <v>14323.36</v>
      </c>
      <c r="O2" s="32">
        <f>SUMIFS(fechamento[crédito],fechamento[origem],forma[[#Headers],[liquido]])</f>
        <v>13872.174159999999</v>
      </c>
      <c r="P2" s="76">
        <f>forma[[#This Row],[bruto]]/SUM(forma[bruto])</f>
        <v>0.10971677192767439</v>
      </c>
      <c r="Q2" s="7"/>
      <c r="R2" s="7"/>
      <c r="S2" s="7"/>
      <c r="T2" s="7"/>
      <c r="AC2" t="s">
        <v>141</v>
      </c>
      <c r="AD2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68.083333333333329</v>
      </c>
      <c r="AE2" s="81">
        <f>IF(SUMIFS(aprazo[quantidade],aprazo[atacado],"atacado",aprazo[[mês ]],FatuAnM49[[#This Row],[mês]])/12=0,"",SUMIFS(aprazo[quantidade],aprazo[atacado],"atacado",aprazo[[mês ]],FatuAnM49[[#This Row],[mês]])/12)</f>
        <v>19.916666666666668</v>
      </c>
      <c r="AF2" s="131">
        <f>IFERROR((FatuAnM49[[#This Row],[varejo]]*12)/(FatuAnM49[[#This Row],[atacdo]]*12),"")</f>
        <v>3.4184100418410042</v>
      </c>
      <c r="AG2" s="7">
        <f>IF(SUMIFS(fechamento[total],fechamento[origem],"bruto",fechamento[mês],FatuAnM49[[#This Row],[mês]])=0,"",SUMIFS(fechamento[total],fechamento[origem],"bruto",fechamento[mês],FatuAnM49[[#This Row],[mês]]))</f>
        <v>20112</v>
      </c>
      <c r="AH2" s="8">
        <f>IF(SUMIF(estoque[mês],FatuAnM49[[#This Row],[mês]],estoque[lucro])=0,"",SUMIF(estoque[mês],FatuAnM49[[#This Row],[mês]],estoque[lucro]))</f>
        <v>3965.5754556496581</v>
      </c>
      <c r="AI2" s="10">
        <f>IFERROR(SUMIF(estoque[mês],FatuAnM49[[#This Row],[mês]],estoque[lucro])/SUMIFS(estoque[valor total],estoque[fornecedor],"saída",estoque[mês],FatuAnM49[[#This Row],[mês]]),"")</f>
        <v>0.19409600389847087</v>
      </c>
      <c r="AJ2" s="127">
        <f>IFERROR(FatuAnM49[[#This Row],[lucro]]/((FatuAnM49[[#This Row],[varejo]]+FatuAnM49[[#This Row],[atacdo]])),"")</f>
        <v>45.063357450564297</v>
      </c>
      <c r="AK2" s="80">
        <f>IFERROR(5200/(FatuAnM49[[#This Row],[lucro]]/(FatuAnM49[[#This Row],[varejo]]+FatuAnM49[[#This Row],[atacdo]])),"")</f>
        <v>115.39308862426725</v>
      </c>
      <c r="AL2" s="10">
        <f>IFERROR((FatuAnM49[[#This Row],[varejo]])/FatuAnM49[[#This Row],[meta]],"")</f>
        <v>0.59001222815883059</v>
      </c>
      <c r="AM2" s="10">
        <f>IFERROR(100%-FatuAnM49[[#This Row],[influe Va]],"")</f>
        <v>0.40998777184116941</v>
      </c>
      <c r="AN2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1079.845455649654</v>
      </c>
      <c r="AO2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2885.7299999999996</v>
      </c>
      <c r="AP2" s="81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435</v>
      </c>
      <c r="AQ2" s="81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621</v>
      </c>
      <c r="AR2" s="7">
        <f>IFERROR(FatuAnM49[[#This Row],[lG1]]/FatuAnM49[[#This Row],[qG1]],"")</f>
        <v>2.4824033463210435</v>
      </c>
      <c r="AS2" s="7">
        <f>IFERROR(FatuAnM49[[#This Row],[lG2]]/FatuAnM49[[#This Row],[Qg2]],"")</f>
        <v>4.646908212560386</v>
      </c>
    </row>
    <row r="3" spans="1:45" ht="20.399999999999999" thickTop="1" thickBot="1" x14ac:dyDescent="0.3">
      <c r="A3" s="219" t="s">
        <v>86</v>
      </c>
      <c r="B3" s="220" t="str">
        <f>TEXT(dadosfechamento[[#This Row],[data]],"mmm")</f>
        <v>jul</v>
      </c>
      <c r="C3" s="221" t="str">
        <f>TEXT(dadosfechamento[[#This Row],[data]],"ddd")</f>
        <v>qua</v>
      </c>
      <c r="D3" s="210">
        <f>D2</f>
        <v>46232</v>
      </c>
      <c r="E3" s="222">
        <f>E2-(E2*E4+E2*E5)</f>
        <v>0</v>
      </c>
      <c r="F3" s="222">
        <f>F2-(F2*F4+F2*F5)</f>
        <v>180.49289999999999</v>
      </c>
      <c r="G3" s="222">
        <f>G2-(G2*G4+G2*G5)</f>
        <v>121</v>
      </c>
      <c r="H3" s="222">
        <f>H2-(H2*H4+H2*H5)</f>
        <v>114</v>
      </c>
      <c r="I3" s="223">
        <f>SUM(dadosfechamento[[#This Row],[crédito]:[dinheiro]])</f>
        <v>415.49289999999996</v>
      </c>
      <c r="K3" s="31" t="s">
        <v>86</v>
      </c>
      <c r="L3" s="33">
        <f>SUMIFS(fechamento[total],fechamento[origem],variaçãoDcx[[#This Row],[origem]])</f>
        <v>129559.56999599996</v>
      </c>
      <c r="M3" s="31" t="s">
        <v>40</v>
      </c>
      <c r="N3" s="32">
        <f>SUMIFS(fechamento[débito],fechamento[origem],forma[[#Headers],[bruto]])</f>
        <v>36039.720000000008</v>
      </c>
      <c r="O3" s="32">
        <f>SUMIFS(fechamento[débito],fechamento[origem],forma[[#Headers],[liquido]])</f>
        <v>35545.975836000012</v>
      </c>
      <c r="P3" s="76">
        <f>forma[[#This Row],[bruto]]/SUM(forma[bruto])</f>
        <v>0.27606383834360415</v>
      </c>
      <c r="Q3" s="7"/>
      <c r="R3" s="11"/>
      <c r="S3" s="11"/>
      <c r="T3" s="11"/>
      <c r="AC3" t="s">
        <v>144</v>
      </c>
      <c r="AD3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61.25</v>
      </c>
      <c r="AE3" s="81">
        <f>IF(SUMIFS(aprazo[quantidade],aprazo[atacado],"atacado",aprazo[[mês ]],FatuAnM49[[#This Row],[mês]])/12=0,"",SUMIFS(aprazo[quantidade],aprazo[atacado],"atacado",aprazo[[mês ]],FatuAnM49[[#This Row],[mês]])/12)</f>
        <v>21.916666666666668</v>
      </c>
      <c r="AF3" s="131">
        <f>IFERROR((FatuAnM49[[#This Row],[varejo]]*12)/(FatuAnM49[[#This Row],[atacdo]]*12),"")</f>
        <v>2.79467680608365</v>
      </c>
      <c r="AG3" s="7">
        <f>IF(SUMIFS(fechamento[total],fechamento[origem],"bruto",fechamento[mês],FatuAnM49[[#This Row],[mês]])=0,"",SUMIFS(fechamento[total],fechamento[origem],"bruto",fechamento[mês],FatuAnM49[[#This Row],[mês]]))</f>
        <v>18023.5</v>
      </c>
      <c r="AH3" s="8">
        <f>IF(SUMIF(estoque[mês],FatuAnM49[[#This Row],[mês]],estoque[lucro])=0,"",SUMIF(estoque[mês],FatuAnM49[[#This Row],[mês]],estoque[lucro]))</f>
        <v>4007.4800000000014</v>
      </c>
      <c r="AI3" s="10">
        <f>IFERROR(SUMIF(estoque[mês],FatuAnM49[[#This Row],[mês]],estoque[lucro])/SUMIFS(estoque[valor total],estoque[fornecedor],"saída",estoque[mês],FatuAnM49[[#This Row],[mês]]),"")</f>
        <v>0.21966016224512175</v>
      </c>
      <c r="AJ3" s="127">
        <f>IFERROR(FatuAnM49[[#This Row],[lucro]]/((FatuAnM49[[#This Row],[varejo]]+FatuAnM49[[#This Row],[atacdo]])),"")</f>
        <v>48.186132264529071</v>
      </c>
      <c r="AK3" s="80">
        <f>IFERROR(5200/(FatuAnM49[[#This Row],[lucro]]/(FatuAnM49[[#This Row],[varejo]]+FatuAnM49[[#This Row],[atacdo]])),"")</f>
        <v>107.91486586749443</v>
      </c>
      <c r="AL3" s="10">
        <f>IFERROR((FatuAnM49[[#This Row],[varejo]])/FatuAnM49[[#This Row],[meta]],"")</f>
        <v>0.56757703869277032</v>
      </c>
      <c r="AM3" s="10">
        <f>IFERROR(100%-FatuAnM49[[#This Row],[influe Va]],"")</f>
        <v>0.43242296130722968</v>
      </c>
      <c r="AN3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1210.6199999999999</v>
      </c>
      <c r="AO3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2796.86</v>
      </c>
      <c r="AP3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522</v>
      </c>
      <c r="AQ3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476</v>
      </c>
      <c r="AR3" s="7">
        <f>IFERROR(FatuAnM49[[#This Row],[lG1]]/FatuAnM49[[#This Row],[qG1]],"")</f>
        <v>2.3191954022988504</v>
      </c>
      <c r="AS3" s="7">
        <f>IFERROR(FatuAnM49[[#This Row],[lG2]]/FatuAnM49[[#This Row],[Qg2]],"")</f>
        <v>5.8757563025210091</v>
      </c>
    </row>
    <row r="4" spans="1:45" ht="20.399999999999999" thickTop="1" thickBot="1" x14ac:dyDescent="0.3">
      <c r="A4" s="219" t="s">
        <v>87</v>
      </c>
      <c r="B4" s="220" t="str">
        <f>TEXT(dadosfechamento[[#This Row],[data]],"mmm")</f>
        <v>jul</v>
      </c>
      <c r="C4" s="221" t="str">
        <f>TEXT(dadosfechamento[[#This Row],[data]],"ddd")</f>
        <v>qua</v>
      </c>
      <c r="D4" s="211">
        <f>D2</f>
        <v>46232</v>
      </c>
      <c r="E4" s="224">
        <v>3.15E-2</v>
      </c>
      <c r="F4" s="224">
        <v>1.37E-2</v>
      </c>
      <c r="G4" s="224">
        <v>0</v>
      </c>
      <c r="H4" s="224">
        <v>0</v>
      </c>
      <c r="I4" s="225">
        <f>E2*dadosfechamento[[#This Row],[crédito]]+F2*dadosfechamento[[#This Row],[débito]]+G2*dadosfechamento[[#This Row],[pix]]+H2*dadosfechamento[[#This Row],[dinheiro]]</f>
        <v>2.5070999999999999</v>
      </c>
      <c r="K4" s="31" t="s">
        <v>87</v>
      </c>
      <c r="L4" s="33">
        <f>SUMIFS(fechamento[total],fechamento[origem],variaçãoDcx[[#This Row],[origem]])</f>
        <v>944.93000400000005</v>
      </c>
      <c r="M4" s="31" t="s">
        <v>41</v>
      </c>
      <c r="N4" s="32">
        <f>SUMIFS(fechamento[pix],fechamento[origem],forma[[#Headers],[bruto]])</f>
        <v>54461.32</v>
      </c>
      <c r="O4" s="32">
        <f>SUMIFS(fechamento[pix],fechamento[origem],forma[[#Headers],[liquido]])</f>
        <v>54417.32</v>
      </c>
      <c r="P4" s="76">
        <f>forma[[#This Row],[bruto]]/SUM(forma[bruto])</f>
        <v>0.41717308126864722</v>
      </c>
      <c r="Q4" s="7"/>
      <c r="R4" s="11"/>
      <c r="S4" s="11"/>
      <c r="T4" s="11"/>
      <c r="AC4" t="s">
        <v>145</v>
      </c>
      <c r="AD4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75.25</v>
      </c>
      <c r="AE4" s="81">
        <f>IF(SUMIFS(aprazo[quantidade],aprazo[atacado],"atacado",aprazo[[mês ]],FatuAnM49[[#This Row],[mês]])/12=0,"",SUMIFS(aprazo[quantidade],aprazo[atacado],"atacado",aprazo[[mês ]],FatuAnM49[[#This Row],[mês]])/12)</f>
        <v>25.25</v>
      </c>
      <c r="AF4" s="131">
        <f>IFERROR((FatuAnM49[[#This Row],[varejo]]*12)/(FatuAnM49[[#This Row],[atacdo]]*12),"")</f>
        <v>2.9801980198019802</v>
      </c>
      <c r="AG4" s="7">
        <f>IF(SUMIFS(fechamento[total],fechamento[origem],"bruto",fechamento[mês],FatuAnM49[[#This Row],[mês]])=0,"",SUMIFS(fechamento[total],fechamento[origem],"bruto",fechamento[mês],FatuAnM49[[#This Row],[mês]]))</f>
        <v>20276</v>
      </c>
      <c r="AH4" s="8">
        <f>IF(SUMIF(estoque[mês],FatuAnM49[[#This Row],[mês]],estoque[lucro])=0,"",SUMIF(estoque[mês],FatuAnM49[[#This Row],[mês]],estoque[lucro]))</f>
        <v>4136.9000000000005</v>
      </c>
      <c r="AI4" s="10">
        <f>IFERROR(SUMIF(estoque[mês],FatuAnM49[[#This Row],[mês]],estoque[lucro])/SUMIFS(estoque[valor total],estoque[fornecedor],"saída",estoque[mês],FatuAnM49[[#This Row],[mês]]),"")</f>
        <v>0.19475554927853497</v>
      </c>
      <c r="AJ4" s="127">
        <f>IFERROR(FatuAnM49[[#This Row],[lucro]]/((FatuAnM49[[#This Row],[varejo]]+FatuAnM49[[#This Row],[atacdo]])),"")</f>
        <v>41.163184079601997</v>
      </c>
      <c r="AK4" s="80">
        <f>IFERROR(5200/(FatuAnM49[[#This Row],[lucro]]/(FatuAnM49[[#This Row],[varejo]]+FatuAnM49[[#This Row],[atacdo]])),"")</f>
        <v>126.32647634702312</v>
      </c>
      <c r="AL4" s="10">
        <f>IFERROR((FatuAnM49[[#This Row],[varejo]])/FatuAnM49[[#This Row],[meta]],"")</f>
        <v>0.59567876961347122</v>
      </c>
      <c r="AM4" s="10">
        <f>IFERROR(100%-FatuAnM49[[#This Row],[influe Va]],"")</f>
        <v>0.40432123038652878</v>
      </c>
      <c r="AN4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1642.4899999999998</v>
      </c>
      <c r="AO4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2494.4100000000003</v>
      </c>
      <c r="AP4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567</v>
      </c>
      <c r="AQ4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639</v>
      </c>
      <c r="AR4" s="7">
        <f>IFERROR(FatuAnM49[[#This Row],[lG1]]/FatuAnM49[[#This Row],[qG1]],"")</f>
        <v>2.8968077601410931</v>
      </c>
      <c r="AS4" s="7">
        <f>IFERROR(FatuAnM49[[#This Row],[lG2]]/FatuAnM49[[#This Row],[Qg2]],"")</f>
        <v>3.9036150234741789</v>
      </c>
    </row>
    <row r="5" spans="1:45" ht="20.399999999999999" thickTop="1" thickBot="1" x14ac:dyDescent="0.3">
      <c r="A5" s="226" t="s">
        <v>205</v>
      </c>
      <c r="B5" s="227" t="str">
        <f>TEXT(dadosfechamento[[#This Row],[data]],"mmm")</f>
        <v>jul</v>
      </c>
      <c r="C5" s="228" t="str">
        <f>TEXT(dadosfechamento[[#This Row],[data]],"ddd")</f>
        <v>qua</v>
      </c>
      <c r="D5" s="212">
        <f>D2</f>
        <v>46232</v>
      </c>
      <c r="E5" s="229"/>
      <c r="F5" s="229"/>
      <c r="G5" s="229"/>
      <c r="H5" s="229"/>
      <c r="I5" s="230">
        <f>E2*dadosfechamento[[#This Row],[crédito]]+F2*dadosfechamento[[#This Row],[débito]]+G2*dadosfechamento[[#This Row],[pix]]+H2*dadosfechamento[[#This Row],[dinheiro]]</f>
        <v>0</v>
      </c>
      <c r="K5" s="31" t="s">
        <v>51</v>
      </c>
      <c r="L5" s="33"/>
      <c r="M5" s="31" t="s">
        <v>42</v>
      </c>
      <c r="N5" s="32">
        <f>SUMIFS(fechamento[dinheiro],fechamento[origem],forma[[#Headers],[bruto]])</f>
        <v>25724.100000000002</v>
      </c>
      <c r="O5" s="32">
        <f>SUMIFS(fechamento[dinheiro],fechamento[origem],forma[[#Headers],[liquido]])</f>
        <v>25724.100000000002</v>
      </c>
      <c r="P5" s="76">
        <f>forma[[#This Row],[bruto]]/SUM(forma[bruto])</f>
        <v>0.19704630846007423</v>
      </c>
      <c r="Q5" s="7"/>
      <c r="R5" s="11"/>
      <c r="S5" s="11"/>
      <c r="T5" s="11"/>
      <c r="AC5" t="s">
        <v>146</v>
      </c>
      <c r="AD5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64.166666666666671</v>
      </c>
      <c r="AE5" s="81">
        <f>IF(SUMIFS(aprazo[quantidade],aprazo[atacado],"atacado",aprazo[[mês ]],FatuAnM49[[#This Row],[mês]])/12=0,"",SUMIFS(aprazo[quantidade],aprazo[atacado],"atacado",aprazo[[mês ]],FatuAnM49[[#This Row],[mês]])/12)</f>
        <v>16.416666666666668</v>
      </c>
      <c r="AF5" s="131">
        <f>IFERROR((FatuAnM49[[#This Row],[varejo]]*12)/(FatuAnM49[[#This Row],[atacdo]]*12),"")</f>
        <v>3.9086294416243654</v>
      </c>
      <c r="AG5" s="7">
        <f>IF(SUMIFS(fechamento[total],fechamento[origem],"bruto",fechamento[mês],FatuAnM49[[#This Row],[mês]])=0,"",SUMIFS(fechamento[total],fechamento[origem],"bruto",fechamento[mês],FatuAnM49[[#This Row],[mês]]))</f>
        <v>20910.75</v>
      </c>
      <c r="AH5" s="8">
        <f>IF(SUMIF(estoque[mês],FatuAnM49[[#This Row],[mês]],estoque[lucro])=0,"",SUMIF(estoque[mês],FatuAnM49[[#This Row],[mês]],estoque[lucro]))</f>
        <v>4330.1499999999996</v>
      </c>
      <c r="AI5" s="10">
        <f>IFERROR(SUMIF(estoque[mês],FatuAnM49[[#This Row],[mês]],estoque[lucro])/SUMIFS(estoque[valor total],estoque[fornecedor],"saída",estoque[mês],FatuAnM49[[#This Row],[mês]]),"")</f>
        <v>0.21695496962485122</v>
      </c>
      <c r="AJ5" s="127">
        <f>IFERROR(FatuAnM49[[#This Row],[lucro]]/((FatuAnM49[[#This Row],[varejo]]+FatuAnM49[[#This Row],[atacdo]])),"")</f>
        <v>53.735056876938977</v>
      </c>
      <c r="AK5" s="80">
        <f>IFERROR(5200/(FatuAnM49[[#This Row],[lucro]]/(FatuAnM49[[#This Row],[varejo]]+FatuAnM49[[#This Row],[atacdo]])),"")</f>
        <v>96.771089531155596</v>
      </c>
      <c r="AL5" s="10">
        <f>IFERROR((FatuAnM49[[#This Row],[varejo]])/FatuAnM49[[#This Row],[meta]],"")</f>
        <v>0.66307682364171505</v>
      </c>
      <c r="AM5" s="10">
        <f>IFERROR(100%-FatuAnM49[[#This Row],[influe Va]],"")</f>
        <v>0.33692317635828495</v>
      </c>
      <c r="AN5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2139.42</v>
      </c>
      <c r="AO5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2190.7299999999996</v>
      </c>
      <c r="AP5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586</v>
      </c>
      <c r="AQ5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381</v>
      </c>
      <c r="AR5" s="7">
        <f>IFERROR(FatuAnM49[[#This Row],[lG1]]/FatuAnM49[[#This Row],[qG1]],"")</f>
        <v>3.6508873720136519</v>
      </c>
      <c r="AS5" s="7">
        <f>IFERROR(FatuAnM49[[#This Row],[lG2]]/FatuAnM49[[#This Row],[Qg2]],"")</f>
        <v>5.7499475065616785</v>
      </c>
    </row>
    <row r="6" spans="1:45" ht="20.399999999999999" thickTop="1" thickBot="1" x14ac:dyDescent="0.3">
      <c r="A6" s="231" t="s">
        <v>84</v>
      </c>
      <c r="B6" s="231" t="s">
        <v>6</v>
      </c>
      <c r="C6" s="231" t="s">
        <v>9</v>
      </c>
      <c r="D6" s="231" t="s">
        <v>5</v>
      </c>
      <c r="E6" s="231" t="s">
        <v>39</v>
      </c>
      <c r="F6" s="231" t="s">
        <v>40</v>
      </c>
      <c r="G6" s="231" t="s">
        <v>41</v>
      </c>
      <c r="H6" s="231" t="s">
        <v>42</v>
      </c>
      <c r="I6" s="232" t="s">
        <v>82</v>
      </c>
      <c r="J6" s="11"/>
      <c r="P6" s="61"/>
      <c r="Q6" s="7"/>
      <c r="R6" s="11"/>
      <c r="S6" s="11"/>
      <c r="T6" s="11"/>
      <c r="AC6" t="s">
        <v>147</v>
      </c>
      <c r="AD6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58.583333333333336</v>
      </c>
      <c r="AE6" s="81">
        <f>IF(SUMIFS(aprazo[quantidade],aprazo[atacado],"atacado",aprazo[[mês ]],FatuAnM49[[#This Row],[mês]])/12=0,"",SUMIFS(aprazo[quantidade],aprazo[atacado],"atacado",aprazo[[mês ]],FatuAnM49[[#This Row],[mês]])/12)</f>
        <v>15.5</v>
      </c>
      <c r="AF6" s="131">
        <f>IFERROR((FatuAnM49[[#This Row],[varejo]]*12)/(FatuAnM49[[#This Row],[atacdo]]*12),"")</f>
        <v>3.7795698924731185</v>
      </c>
      <c r="AG6" s="7">
        <f>IF(SUMIFS(fechamento[total],fechamento[origem],"bruto",fechamento[mês],FatuAnM49[[#This Row],[mês]])=0,"",SUMIFS(fechamento[total],fechamento[origem],"bruto",fechamento[mês],FatuAnM49[[#This Row],[mês]]))</f>
        <v>18145.25</v>
      </c>
      <c r="AH6" s="8">
        <f>IF(SUMIF(estoque[mês],FatuAnM49[[#This Row],[mês]],estoque[lucro])=0,"",SUMIF(estoque[mês],FatuAnM49[[#This Row],[mês]],estoque[lucro]))</f>
        <v>3784.2900000000004</v>
      </c>
      <c r="AI6" s="10">
        <f>IFERROR(SUMIF(estoque[mês],FatuAnM49[[#This Row],[mês]],estoque[lucro])/SUMIFS(estoque[valor total],estoque[fornecedor],"saída",estoque[mês],FatuAnM49[[#This Row],[mês]]),"")</f>
        <v>0.20650686893766798</v>
      </c>
      <c r="AJ6" s="127">
        <f>IFERROR(FatuAnM49[[#This Row],[lucro]]/((FatuAnM49[[#This Row],[varejo]]+FatuAnM49[[#This Row],[atacdo]])),"")</f>
        <v>51.081529808773901</v>
      </c>
      <c r="AK6" s="80">
        <f>IFERROR(5200/(FatuAnM49[[#This Row],[lucro]]/(FatuAnM49[[#This Row],[varejo]]+FatuAnM49[[#This Row],[atacdo]])),"")</f>
        <v>101.79804754216335</v>
      </c>
      <c r="AL6" s="10">
        <f>IFERROR((FatuAnM49[[#This Row],[varejo]])/FatuAnM49[[#This Row],[meta]],"")</f>
        <v>0.57548582460846243</v>
      </c>
      <c r="AM6" s="10">
        <f>IFERROR(100%-FatuAnM49[[#This Row],[influe Va]],"")</f>
        <v>0.42451417539153757</v>
      </c>
      <c r="AN6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1701.8799999999999</v>
      </c>
      <c r="AO6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2082.4100000000003</v>
      </c>
      <c r="AP6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473</v>
      </c>
      <c r="AQ6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416</v>
      </c>
      <c r="AR6" s="7">
        <f>IFERROR(FatuAnM49[[#This Row],[lG1]]/FatuAnM49[[#This Row],[qG1]],"")</f>
        <v>3.598054968287526</v>
      </c>
      <c r="AS6" s="7">
        <f>IFERROR(FatuAnM49[[#This Row],[lG2]]/FatuAnM49[[#This Row],[Qg2]],"")</f>
        <v>5.0057932692307698</v>
      </c>
    </row>
    <row r="7" spans="1:45" ht="20.399999999999999" thickTop="1" thickBot="1" x14ac:dyDescent="0.3">
      <c r="A7" s="215" t="s">
        <v>85</v>
      </c>
      <c r="B7" s="216" t="s">
        <v>149</v>
      </c>
      <c r="C7" s="217" t="s">
        <v>32</v>
      </c>
      <c r="D7" s="209">
        <v>46232</v>
      </c>
      <c r="E7" s="218">
        <v>0</v>
      </c>
      <c r="F7" s="218">
        <v>183</v>
      </c>
      <c r="G7" s="218">
        <v>121</v>
      </c>
      <c r="H7" s="218">
        <v>114</v>
      </c>
      <c r="I7" s="218">
        <v>418</v>
      </c>
      <c r="J7" t="s">
        <v>203</v>
      </c>
      <c r="K7" t="s">
        <v>104</v>
      </c>
      <c r="L7" t="s">
        <v>6</v>
      </c>
      <c r="M7" t="s">
        <v>204</v>
      </c>
      <c r="N7" t="s">
        <v>85</v>
      </c>
      <c r="O7" s="61" t="s">
        <v>7</v>
      </c>
      <c r="P7" t="s">
        <v>8</v>
      </c>
      <c r="Q7" s="7"/>
      <c r="R7" s="11"/>
      <c r="S7" s="11"/>
      <c r="T7" s="11"/>
      <c r="AC7" t="s">
        <v>148</v>
      </c>
      <c r="AD7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68</v>
      </c>
      <c r="AE7" s="81">
        <f>IF(SUMIFS(aprazo[quantidade],aprazo[atacado],"atacado",aprazo[[mês ]],FatuAnM49[[#This Row],[mês]])/12=0,"",SUMIFS(aprazo[quantidade],aprazo[atacado],"atacado",aprazo[[mês ]],FatuAnM49[[#This Row],[mês]])/12)</f>
        <v>6.25</v>
      </c>
      <c r="AF7" s="131">
        <f>IFERROR((FatuAnM49[[#This Row],[varejo]]*12)/(FatuAnM49[[#This Row],[atacdo]]*12),"")</f>
        <v>10.88</v>
      </c>
      <c r="AG7" s="7">
        <f>IF(SUMIFS(fechamento[total],fechamento[origem],"bruto",fechamento[mês],FatuAnM49[[#This Row],[mês]])=0,"",SUMIFS(fechamento[total],fechamento[origem],"bruto",fechamento[mês],FatuAnM49[[#This Row],[mês]]))</f>
        <v>16677</v>
      </c>
      <c r="AH7" s="8">
        <f>IF(SUMIF(estoque[mês],FatuAnM49[[#This Row],[mês]],estoque[lucro])=0,"",SUMIF(estoque[mês],FatuAnM49[[#This Row],[mês]],estoque[lucro]))</f>
        <v>2713.2600000000011</v>
      </c>
      <c r="AI7" s="10">
        <f>IFERROR(SUMIF(estoque[mês],FatuAnM49[[#This Row],[mês]],estoque[lucro])/SUMIFS(estoque[valor total],estoque[fornecedor],"saída",estoque[mês],FatuAnM49[[#This Row],[mês]]),"")</f>
        <v>0.16383430952237191</v>
      </c>
      <c r="AJ7" s="127">
        <f>IFERROR(FatuAnM49[[#This Row],[lucro]]/((FatuAnM49[[#This Row],[varejo]]+FatuAnM49[[#This Row],[atacdo]])),"")</f>
        <v>36.542222222222236</v>
      </c>
      <c r="AK7" s="80">
        <f>IFERROR(5200/(FatuAnM49[[#This Row],[lucro]]/(FatuAnM49[[#This Row],[varejo]]+FatuAnM49[[#This Row],[atacdo]])),"")</f>
        <v>142.3011432741425</v>
      </c>
      <c r="AL7" s="10">
        <f>IFERROR((FatuAnM49[[#This Row],[varejo]])/FatuAnM49[[#This Row],[meta]],"")</f>
        <v>0.47785982905982921</v>
      </c>
      <c r="AM7" s="10">
        <f>IFERROR(100%-FatuAnM49[[#This Row],[influe Va]],"")</f>
        <v>0.52214017094017073</v>
      </c>
      <c r="AN7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1104.8599999999999</v>
      </c>
      <c r="AO7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1608.3999999999996</v>
      </c>
      <c r="AP7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458</v>
      </c>
      <c r="AQ7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433</v>
      </c>
      <c r="AR7" s="7">
        <f>IFERROR(FatuAnM49[[#This Row],[lG1]]/FatuAnM49[[#This Row],[qG1]],"")</f>
        <v>2.4123580786026197</v>
      </c>
      <c r="AS7" s="7">
        <f>IFERROR(FatuAnM49[[#This Row],[lG2]]/FatuAnM49[[#This Row],[Qg2]],"")</f>
        <v>3.714549653579676</v>
      </c>
    </row>
    <row r="8" spans="1:45" ht="19.8" thickTop="1" x14ac:dyDescent="0.25">
      <c r="A8" s="219" t="s">
        <v>86</v>
      </c>
      <c r="B8" s="220" t="s">
        <v>149</v>
      </c>
      <c r="C8" s="221" t="s">
        <v>32</v>
      </c>
      <c r="D8" s="210">
        <v>46232</v>
      </c>
      <c r="E8" s="222">
        <v>0</v>
      </c>
      <c r="F8" s="222">
        <v>180.49289999999999</v>
      </c>
      <c r="G8" s="222">
        <v>121</v>
      </c>
      <c r="H8" s="222">
        <v>114</v>
      </c>
      <c r="I8" s="223">
        <v>415.49289999999996</v>
      </c>
      <c r="J8" t="s">
        <v>83</v>
      </c>
      <c r="K8" s="11">
        <f>SUMIFS(fechamento[crédito],fechamento[d/s],bloqueado[[#This Row],[bloqu]],fechamento[origem],$K$3)+SUMIFS(fechamento[débito],fechamento[d/s],bloqueado[[#This Row],[bloqu]],fechamento[origem],$K$3)</f>
        <v>6400.3636199999992</v>
      </c>
      <c r="L8" s="1" t="s">
        <v>141</v>
      </c>
      <c r="M8" s="81">
        <f>IF(SUMIFS(estoque[quantidade],estoque[fornecedor],"saída",estoque[mês],FatuAnM[[#This Row],[mês]])/12=0,"",SUMIFS(estoque[quantidade],estoque[fornecedor],"saída",estoque[mês],FatuAnM[[#This Row],[mês]])/12)</f>
        <v>88</v>
      </c>
      <c r="N8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20112</v>
      </c>
      <c r="O8" s="8">
        <f>IF(SUMIFS(estoque[lucro],estoque[mês],FatuAnM[[#This Row],[mês]])=0,"",SUMIFS(estoque[lucro],estoque[mês],FatuAnM[[#This Row],[mês]]))</f>
        <v>3965.5754556496581</v>
      </c>
      <c r="P8" s="10">
        <f>IFERROR(SUMIFS(estoque[lucro],estoque[mês],FatuAnM[[#This Row],[mês]])/FatuAnM[[#This Row],[bruto]],"")</f>
        <v>0.19717459505020177</v>
      </c>
      <c r="Q8" s="7"/>
      <c r="R8" s="11"/>
      <c r="S8" s="11"/>
      <c r="T8" s="11"/>
      <c r="AC8" t="s">
        <v>149</v>
      </c>
      <c r="AD8" s="81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>60.75</v>
      </c>
      <c r="AE8" s="81">
        <f>IF(SUMIFS(aprazo[quantidade],aprazo[atacado],"atacado",aprazo[[mês ]],FatuAnM49[[#This Row],[mês]])/12=0,"",SUMIFS(aprazo[quantidade],aprazo[atacado],"atacado",aprazo[[mês ]],FatuAnM49[[#This Row],[mês]])/12)</f>
        <v>8</v>
      </c>
      <c r="AF8" s="81">
        <f>IFERROR((FatuAnM49[[#This Row],[varejo]]*12)/(FatuAnM49[[#This Row],[atacdo]]*12),"")</f>
        <v>7.59375</v>
      </c>
      <c r="AG8" s="7">
        <f>IF(SUMIFS(fechamento[total],fechamento[origem],"bruto",fechamento[mês],FatuAnM49[[#This Row],[mês]])=0,"",SUMIFS(fechamento[total],fechamento[origem],"bruto",fechamento[mês],FatuAnM49[[#This Row],[mês]]))</f>
        <v>16360</v>
      </c>
      <c r="AH8" s="8">
        <f>IF(SUMIF(estoque[mês],FatuAnM49[[#This Row],[mês]],estoque[lucro])=0,"",SUMIF(estoque[mês],FatuAnM49[[#This Row],[mês]],estoque[lucro]))</f>
        <v>3518.3999999999987</v>
      </c>
      <c r="AI8" s="10">
        <f>IFERROR(SUMIF(estoque[mês],FatuAnM49[[#This Row],[mês]],estoque[lucro])/SUMIFS(estoque[valor total],estoque[fornecedor],"saída",estoque[mês],FatuAnM49[[#This Row],[mês]]),"")</f>
        <v>0.21582627898417364</v>
      </c>
      <c r="AJ8" s="127">
        <f>IFERROR(FatuAnM49[[#This Row],[lucro]]/((FatuAnM49[[#This Row],[varejo]]+FatuAnM49[[#This Row],[atacdo]])),"")</f>
        <v>51.176727272727256</v>
      </c>
      <c r="AK8" s="80">
        <f>IFERROR(5200/(FatuAnM49[[#This Row],[lucro]]/(FatuAnM49[[#This Row],[varejo]]+FatuAnM49[[#This Row],[atacdo]])),"")</f>
        <v>101.60868576625742</v>
      </c>
      <c r="AL8" s="10">
        <f>IFERROR((FatuAnM49[[#This Row],[varejo]])/FatuAnM49[[#This Row],[meta]],"")</f>
        <v>0.59788195804195787</v>
      </c>
      <c r="AM8" s="10">
        <f>IFERROR(100%-FatuAnM49[[#This Row],[influe Va]],"")</f>
        <v>0.40211804195804213</v>
      </c>
      <c r="AN8" s="7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>1143.78</v>
      </c>
      <c r="AO8" s="11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>2374.6200000000008</v>
      </c>
      <c r="AP8" s="82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>362</v>
      </c>
      <c r="AQ8" s="82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>463</v>
      </c>
      <c r="AR8" s="7">
        <f>IFERROR(FatuAnM49[[#This Row],[lG1]]/FatuAnM49[[#This Row],[qG1]],"")</f>
        <v>3.1596132596685083</v>
      </c>
      <c r="AS8" s="7">
        <f>IFERROR(FatuAnM49[[#This Row],[lG2]]/FatuAnM49[[#This Row],[Qg2]],"")</f>
        <v>5.128768898488123</v>
      </c>
    </row>
    <row r="9" spans="1:45" x14ac:dyDescent="0.25">
      <c r="A9" s="219" t="s">
        <v>87</v>
      </c>
      <c r="B9" s="220" t="s">
        <v>149</v>
      </c>
      <c r="C9" s="221" t="s">
        <v>32</v>
      </c>
      <c r="D9" s="211">
        <v>46232</v>
      </c>
      <c r="E9" s="224">
        <v>3.15E-2</v>
      </c>
      <c r="F9" s="224">
        <v>1.37E-2</v>
      </c>
      <c r="G9" s="224">
        <v>0</v>
      </c>
      <c r="H9" s="224">
        <v>0</v>
      </c>
      <c r="I9" s="225">
        <v>2.5070999999999999</v>
      </c>
      <c r="J9" t="s">
        <v>92</v>
      </c>
      <c r="K9" s="11">
        <f>SUMIFS(fechamento[crédito],fechamento[d/s],bloqueado[[#This Row],[bloqu]],fechamento[origem],$K$3)+SUMIFS(fechamento[débito],fechamento[d/s],bloqueado[[#This Row],[bloqu]],fechamento[origem],$K$3)</f>
        <v>3761.1048800000008</v>
      </c>
      <c r="L9" s="1" t="s">
        <v>144</v>
      </c>
      <c r="M9" s="81">
        <f>IF(SUMIFS(estoque[quantidade],estoque[fornecedor],"saída",estoque[mês],FatuAnM[[#This Row],[mês]])/12=0,"",SUMIFS(estoque[quantidade],estoque[fornecedor],"saída",estoque[mês],FatuAnM[[#This Row],[mês]])/12)</f>
        <v>83.166666666666671</v>
      </c>
      <c r="N9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18023.5</v>
      </c>
      <c r="O9" s="8">
        <f>IF(SUMIFS(estoque[lucro],estoque[mês],FatuAnM[[#This Row],[mês]])=0,"",SUMIFS(estoque[lucro],estoque[mês],FatuAnM[[#This Row],[mês]]))</f>
        <v>4007.4800000000014</v>
      </c>
      <c r="P9" s="10">
        <f>IFERROR(SUMIFS(estoque[lucro],estoque[mês],FatuAnM[[#This Row],[mês]])/FatuAnM[[#This Row],[bruto]],"")</f>
        <v>0.22234749077593149</v>
      </c>
      <c r="Q9" s="7"/>
      <c r="R9" s="11"/>
      <c r="S9" s="11"/>
      <c r="T9" s="11"/>
      <c r="AC9" t="s">
        <v>150</v>
      </c>
      <c r="AD9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9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9" s="81" t="str">
        <f>IFERROR((FatuAnM49[[#This Row],[varejo]]*12)/(FatuAnM49[[#This Row],[atacdo]]*12),"")</f>
        <v/>
      </c>
      <c r="AG9" s="7" t="str">
        <f>IF(SUMIFS(fechamento[total],fechamento[origem],"bruto",fechamento[mês],FatuAnM49[[#This Row],[mês]])=0,"",SUMIFS(fechamento[total],fechamento[origem],"bruto",fechamento[mês],FatuAnM49[[#This Row],[mês]]))</f>
        <v/>
      </c>
      <c r="AH9" s="8" t="str">
        <f>IF(SUMIF(estoque[mês],FatuAnM49[[#This Row],[mês]],estoque[lucro])=0,"",SUMIF(estoque[mês],FatuAnM49[[#This Row],[mês]],estoque[lucro]))</f>
        <v/>
      </c>
      <c r="AI9" s="10" t="str">
        <f>IFERROR(SUMIF(estoque[mês],FatuAnM49[[#This Row],[mês]],estoque[lucro])/SUMIFS(estoque[valor total],estoque[fornecedor],"saída",estoque[mês],FatuAnM49[[#This Row],[mês]]),"")</f>
        <v/>
      </c>
      <c r="AJ9" s="127" t="str">
        <f>IFERROR(FatuAnM49[[#This Row],[lucro]]/((FatuAnM49[[#This Row],[varejo]]+FatuAnM49[[#This Row],[atacdo]])),"")</f>
        <v/>
      </c>
      <c r="AK9" s="80" t="str">
        <f>IFERROR(5200/(FatuAnM49[[#This Row],[lucro]]/(FatuAnM49[[#This Row],[varejo]]+FatuAnM49[[#This Row],[atacdo]])),"")</f>
        <v/>
      </c>
      <c r="AL9" s="10" t="str">
        <f>IFERROR((FatuAnM49[[#This Row],[varejo]])/FatuAnM49[[#This Row],[meta]],"")</f>
        <v/>
      </c>
      <c r="AM9" s="10" t="str">
        <f>IFERROR(100%-FatuAnM49[[#This Row],[influe Va]],"")</f>
        <v/>
      </c>
      <c r="AN9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9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9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9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9" s="7" t="str">
        <f>IFERROR(FatuAnM49[[#This Row],[lG1]]/FatuAnM49[[#This Row],[qG1]],"")</f>
        <v/>
      </c>
      <c r="AS9" s="7" t="str">
        <f>IFERROR(FatuAnM49[[#This Row],[lG2]]/FatuAnM49[[#This Row],[Qg2]],"")</f>
        <v/>
      </c>
    </row>
    <row r="10" spans="1:45" ht="19.8" thickBot="1" x14ac:dyDescent="0.3">
      <c r="A10" s="226" t="s">
        <v>205</v>
      </c>
      <c r="B10" s="227" t="s">
        <v>149</v>
      </c>
      <c r="C10" s="228" t="s">
        <v>32</v>
      </c>
      <c r="D10" s="212">
        <v>46232</v>
      </c>
      <c r="E10" s="229"/>
      <c r="F10" s="229"/>
      <c r="G10" s="229"/>
      <c r="H10" s="229"/>
      <c r="I10" s="230">
        <v>0</v>
      </c>
      <c r="J10" t="s">
        <v>93</v>
      </c>
      <c r="K10" s="11">
        <f>SUMIFS(fechamento[crédito],fechamento[d/s],bloqueado[[#This Row],[bloqu]],fechamento[origem],$K$3)+SUMIFS(fechamento[débito],fechamento[d/s],bloqueado[[#This Row],[bloqu]],fechamento[origem],$K$3)</f>
        <v>6930.9672399999999</v>
      </c>
      <c r="L10" s="1" t="s">
        <v>145</v>
      </c>
      <c r="M10" s="81">
        <f>IF(SUMIFS(estoque[quantidade],estoque[fornecedor],"saída",estoque[mês],FatuAnM[[#This Row],[mês]])/12=0,"",SUMIFS(estoque[quantidade],estoque[fornecedor],"saída",estoque[mês],FatuAnM[[#This Row],[mês]])/12)</f>
        <v>100.5</v>
      </c>
      <c r="N10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20276</v>
      </c>
      <c r="O10" s="8">
        <f>IF(SUMIFS(estoque[lucro],estoque[mês],FatuAnM[[#This Row],[mês]])=0,"",SUMIFS(estoque[lucro],estoque[mês],FatuAnM[[#This Row],[mês]]))</f>
        <v>4136.9000000000005</v>
      </c>
      <c r="P10" s="10">
        <f>IFERROR(SUMIFS(estoque[lucro],estoque[mês],FatuAnM[[#This Row],[mês]])/FatuAnM[[#This Row],[bruto]],"")</f>
        <v>0.20402939435786155</v>
      </c>
      <c r="Q10" s="7"/>
      <c r="R10" s="11"/>
      <c r="S10" s="11"/>
      <c r="T10" s="11"/>
      <c r="AC10" t="s">
        <v>151</v>
      </c>
      <c r="AD10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0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0" s="81" t="str">
        <f>IFERROR((FatuAnM49[[#This Row],[varejo]]*12)/(FatuAnM49[[#This Row],[atacdo]]*12),"")</f>
        <v/>
      </c>
      <c r="AG10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0" s="8" t="str">
        <f>IF(SUMIF(estoque[mês],FatuAnM49[[#This Row],[mês]],estoque[lucro])=0,"",SUMIF(estoque[mês],FatuAnM49[[#This Row],[mês]],estoque[lucro]))</f>
        <v/>
      </c>
      <c r="AI10" s="10" t="str">
        <f>IFERROR(SUMIF(estoque[mês],FatuAnM49[[#This Row],[mês]],estoque[lucro])/SUMIFS(estoque[valor total],estoque[fornecedor],"saída",estoque[mês],FatuAnM49[[#This Row],[mês]]),"")</f>
        <v/>
      </c>
      <c r="AJ10" s="127" t="str">
        <f>IFERROR(FatuAnM49[[#This Row],[lucro]]/((FatuAnM49[[#This Row],[varejo]]+FatuAnM49[[#This Row],[atacdo]])),"")</f>
        <v/>
      </c>
      <c r="AK10" s="80" t="str">
        <f>IFERROR(5200/(FatuAnM49[[#This Row],[lucro]]/(FatuAnM49[[#This Row],[varejo]]+FatuAnM49[[#This Row],[atacdo]])),"")</f>
        <v/>
      </c>
      <c r="AL10" s="10" t="str">
        <f>IFERROR((FatuAnM49[[#This Row],[varejo]])/FatuAnM49[[#This Row],[meta]],"")</f>
        <v/>
      </c>
      <c r="AM10" s="10" t="str">
        <f>IFERROR(100%-FatuAnM49[[#This Row],[influe Va]],"")</f>
        <v/>
      </c>
      <c r="AN10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0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0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0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0" s="7" t="str">
        <f>IFERROR(FatuAnM49[[#This Row],[lG1]]/FatuAnM49[[#This Row],[qG1]],"")</f>
        <v/>
      </c>
      <c r="AS10" s="7" t="str">
        <f>IFERROR(FatuAnM49[[#This Row],[lG2]]/FatuAnM49[[#This Row],[Qg2]],"")</f>
        <v/>
      </c>
    </row>
    <row r="11" spans="1:45" ht="20.399999999999999" thickTop="1" thickBot="1" x14ac:dyDescent="0.3">
      <c r="A11" s="215" t="s">
        <v>85</v>
      </c>
      <c r="B11" s="216" t="s">
        <v>149</v>
      </c>
      <c r="C11" s="217" t="s">
        <v>290</v>
      </c>
      <c r="D11" s="209">
        <v>46231</v>
      </c>
      <c r="E11" s="218">
        <v>18</v>
      </c>
      <c r="F11" s="218">
        <v>44</v>
      </c>
      <c r="G11" s="218">
        <v>154</v>
      </c>
      <c r="H11" s="218">
        <v>59</v>
      </c>
      <c r="I11" s="218">
        <v>275</v>
      </c>
      <c r="J11" t="s">
        <v>202</v>
      </c>
      <c r="K11" t="s">
        <v>104</v>
      </c>
      <c r="L11" s="1" t="s">
        <v>146</v>
      </c>
      <c r="M11" s="81">
        <f>IF(SUMIFS(estoque[quantidade],estoque[fornecedor],"saída",estoque[mês],FatuAnM[[#This Row],[mês]])/12=0,"",SUMIFS(estoque[quantidade],estoque[fornecedor],"saída",estoque[mês],FatuAnM[[#This Row],[mês]])/12)</f>
        <v>80.583333333333329</v>
      </c>
      <c r="N11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20910.75</v>
      </c>
      <c r="O11" s="8">
        <f>IF(SUMIFS(estoque[lucro],estoque[mês],FatuAnM[[#This Row],[mês]])=0,"",SUMIFS(estoque[lucro],estoque[mês],FatuAnM[[#This Row],[mês]]))</f>
        <v>4330.1499999999996</v>
      </c>
      <c r="P11" s="10">
        <f>IFERROR(SUMIFS(estoque[lucro],estoque[mês],FatuAnM[[#This Row],[mês]])/FatuAnM[[#This Row],[bruto]],"")</f>
        <v>0.20707769926951447</v>
      </c>
      <c r="Q11" s="7"/>
      <c r="R11" s="11"/>
      <c r="S11" s="11"/>
      <c r="T11" s="11"/>
      <c r="AC11" t="s">
        <v>152</v>
      </c>
      <c r="AD11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1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1" s="81" t="str">
        <f>IFERROR((FatuAnM49[[#This Row],[varejo]]*12)/(FatuAnM49[[#This Row],[atacdo]]*12),"")</f>
        <v/>
      </c>
      <c r="AG11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1" s="8" t="str">
        <f>IF(SUMIF(estoque[mês],FatuAnM49[[#This Row],[mês]],estoque[lucro])=0,"",SUMIF(estoque[mês],FatuAnM49[[#This Row],[mês]],estoque[lucro]))</f>
        <v/>
      </c>
      <c r="AI11" s="10" t="str">
        <f>IFERROR(SUMIF(estoque[mês],FatuAnM49[[#This Row],[mês]],estoque[lucro])/SUMIFS(estoque[valor total],estoque[fornecedor],"saída",estoque[mês],FatuAnM49[[#This Row],[mês]]),"")</f>
        <v/>
      </c>
      <c r="AJ11" s="127" t="str">
        <f>IFERROR(FatuAnM49[[#This Row],[lucro]]/((FatuAnM49[[#This Row],[varejo]]+FatuAnM49[[#This Row],[atacdo]])),"")</f>
        <v/>
      </c>
      <c r="AK11" s="80" t="str">
        <f>IFERROR(5200/(FatuAnM49[[#This Row],[lucro]]/(FatuAnM49[[#This Row],[varejo]]+FatuAnM49[[#This Row],[atacdo]])),"")</f>
        <v/>
      </c>
      <c r="AL11" s="10" t="str">
        <f>IFERROR((FatuAnM49[[#This Row],[varejo]])/FatuAnM49[[#This Row],[meta]],"")</f>
        <v/>
      </c>
      <c r="AM11" s="10" t="str">
        <f>IFERROR(100%-FatuAnM49[[#This Row],[influe Va]],"")</f>
        <v/>
      </c>
      <c r="AN11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1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1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1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1" s="7" t="str">
        <f>IFERROR(FatuAnM49[[#This Row],[lG1]]/FatuAnM49[[#This Row],[qG1]],"")</f>
        <v/>
      </c>
      <c r="AS11" s="7" t="str">
        <f>IFERROR(FatuAnM49[[#This Row],[lG2]]/FatuAnM49[[#This Row],[Qg2]],"")</f>
        <v/>
      </c>
    </row>
    <row r="12" spans="1:45" ht="19.8" thickTop="1" x14ac:dyDescent="0.25">
      <c r="A12" s="219" t="s">
        <v>86</v>
      </c>
      <c r="B12" s="220" t="s">
        <v>149</v>
      </c>
      <c r="C12" s="221" t="s">
        <v>290</v>
      </c>
      <c r="D12" s="210">
        <v>46231</v>
      </c>
      <c r="E12" s="222">
        <v>17.433</v>
      </c>
      <c r="F12" s="222">
        <v>43.397199999999998</v>
      </c>
      <c r="G12" s="222">
        <v>154</v>
      </c>
      <c r="H12" s="222">
        <v>59</v>
      </c>
      <c r="I12" s="223">
        <v>273.83019999999999</v>
      </c>
      <c r="J12" s="28">
        <v>46024</v>
      </c>
      <c r="K12" s="11">
        <f>SUMIFS(fechamento[crédito],fechamento[origem],"liquido",fechamento[data],feriado[[#This Row],[feriad]])+SUMIFS(fechamento[débito],fechamento[origem],"liquido",fechamento[data],feriado[[#This Row],[feriad]])</f>
        <v>319.73599999999999</v>
      </c>
      <c r="L12" s="1" t="s">
        <v>147</v>
      </c>
      <c r="M12" s="81">
        <f>IF(SUMIFS(estoque[quantidade],estoque[fornecedor],"saída",estoque[mês],FatuAnM[[#This Row],[mês]])/12=0,"",SUMIFS(estoque[quantidade],estoque[fornecedor],"saída",estoque[mês],FatuAnM[[#This Row],[mês]])/12)</f>
        <v>74.083333333333329</v>
      </c>
      <c r="N12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18145.25</v>
      </c>
      <c r="O12" s="8">
        <f>IF(SUMIFS(estoque[lucro],estoque[mês],FatuAnM[[#This Row],[mês]])=0,"",SUMIFS(estoque[lucro],estoque[mês],FatuAnM[[#This Row],[mês]]))</f>
        <v>3784.2900000000004</v>
      </c>
      <c r="P12" s="10">
        <f>IFERROR(SUMIFS(estoque[lucro],estoque[mês],FatuAnM[[#This Row],[mês]])/FatuAnM[[#This Row],[bruto]],"")</f>
        <v>0.20855540706245437</v>
      </c>
      <c r="Q12" s="7"/>
      <c r="R12" s="11"/>
      <c r="S12" s="11"/>
      <c r="T12" s="11"/>
      <c r="AC12" t="s">
        <v>153</v>
      </c>
      <c r="AD12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2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2" s="81" t="str">
        <f>IFERROR((FatuAnM49[[#This Row],[varejo]]*12)/(FatuAnM49[[#This Row],[atacdo]]*12),"")</f>
        <v/>
      </c>
      <c r="AG12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2" s="8" t="str">
        <f>IF(SUMIF(estoque[mês],FatuAnM49[[#This Row],[mês]],estoque[lucro])=0,"",SUMIF(estoque[mês],FatuAnM49[[#This Row],[mês]],estoque[lucro]))</f>
        <v/>
      </c>
      <c r="AI12" s="10" t="str">
        <f>IFERROR(SUMIF(estoque[mês],FatuAnM49[[#This Row],[mês]],estoque[lucro])/SUMIFS(estoque[valor total],estoque[fornecedor],"saída",estoque[mês],FatuAnM49[[#This Row],[mês]]),"")</f>
        <v/>
      </c>
      <c r="AJ12" s="127" t="str">
        <f>IFERROR(FatuAnM49[[#This Row],[lucro]]/((FatuAnM49[[#This Row],[varejo]]+FatuAnM49[[#This Row],[atacdo]])),"")</f>
        <v/>
      </c>
      <c r="AK12" s="80" t="str">
        <f>IFERROR(5200/(FatuAnM49[[#This Row],[lucro]]/(FatuAnM49[[#This Row],[varejo]]+FatuAnM49[[#This Row],[atacdo]])),"")</f>
        <v/>
      </c>
      <c r="AL12" s="10" t="str">
        <f>IFERROR((FatuAnM49[[#This Row],[varejo]])/FatuAnM49[[#This Row],[meta]],"")</f>
        <v/>
      </c>
      <c r="AM12" s="10" t="str">
        <f>IFERROR(100%-FatuAnM49[[#This Row],[influe Va]],"")</f>
        <v/>
      </c>
      <c r="AN12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2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2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2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2" s="7" t="str">
        <f>IFERROR(FatuAnM49[[#This Row],[lG1]]/FatuAnM49[[#This Row],[qG1]],"")</f>
        <v/>
      </c>
      <c r="AS12" s="7" t="str">
        <f>IFERROR(FatuAnM49[[#This Row],[lG2]]/FatuAnM49[[#This Row],[Qg2]],"")</f>
        <v/>
      </c>
    </row>
    <row r="13" spans="1:45" x14ac:dyDescent="0.25">
      <c r="A13" s="219" t="s">
        <v>87</v>
      </c>
      <c r="B13" s="220" t="s">
        <v>149</v>
      </c>
      <c r="C13" s="221" t="s">
        <v>290</v>
      </c>
      <c r="D13" s="211">
        <v>46231</v>
      </c>
      <c r="E13" s="224">
        <v>3.15E-2</v>
      </c>
      <c r="F13" s="224">
        <v>1.37E-2</v>
      </c>
      <c r="G13" s="224">
        <v>0</v>
      </c>
      <c r="H13" s="224">
        <v>0</v>
      </c>
      <c r="I13" s="225">
        <v>1.1698</v>
      </c>
      <c r="J13" s="28">
        <v>46039</v>
      </c>
      <c r="K13" s="11">
        <f>SUMIFS(fechamento[crédito],fechamento[origem],"liquido",fechamento[data],feriado[[#This Row],[feriad]])+SUMIFS(fechamento[débito],fechamento[origem],"liquido",fechamento[data],feriado[[#This Row],[feriad]])</f>
        <v>64.366</v>
      </c>
      <c r="L13" s="1" t="s">
        <v>148</v>
      </c>
      <c r="M13" s="81">
        <f>IF(SUMIFS(estoque[quantidade],estoque[fornecedor],"saída",estoque[mês],FatuAnM[[#This Row],[mês]])/12=0,"",SUMIFS(estoque[quantidade],estoque[fornecedor],"saída",estoque[mês],FatuAnM[[#This Row],[mês]])/12)</f>
        <v>74.25</v>
      </c>
      <c r="N13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16677</v>
      </c>
      <c r="O13" s="8">
        <f>IF(SUMIFS(estoque[lucro],estoque[mês],FatuAnM[[#This Row],[mês]])=0,"",SUMIFS(estoque[lucro],estoque[mês],FatuAnM[[#This Row],[mês]]))</f>
        <v>2713.2600000000011</v>
      </c>
      <c r="P13" s="10">
        <f>IFERROR(SUMIFS(estoque[lucro],estoque[mês],FatuAnM[[#This Row],[mês]])/FatuAnM[[#This Row],[bruto]],"")</f>
        <v>0.162694729267854</v>
      </c>
      <c r="Q13" s="7"/>
      <c r="R13" s="11"/>
      <c r="S13" s="11"/>
      <c r="T13" s="11"/>
      <c r="AC13" t="s">
        <v>98</v>
      </c>
      <c r="AD13" s="81" t="str">
        <f>IF(SUMIFS(estoque[quantidade],estoque[fornecedor],"saída",estoque[mês],FatuAnM49[[#This Row],[mês]])/12=0,"",(SUMIFS(estoque[quantidade],estoque[fornecedor],"saída",estoque[mês],FatuAnM49[[#This Row],[mês]])-FatuAnM49[[#This Row],[atacdo]]*12)/12)</f>
        <v/>
      </c>
      <c r="AE13" s="81" t="str">
        <f>IF(SUMIFS(aprazo[quantidade],aprazo[atacado],"atacado",aprazo[[mês ]],FatuAnM49[[#This Row],[mês]])/12=0,"",SUMIFS(aprazo[quantidade],aprazo[atacado],"atacado",aprazo[[mês ]],FatuAnM49[[#This Row],[mês]])/12)</f>
        <v/>
      </c>
      <c r="AF13" s="81" t="str">
        <f>IFERROR((FatuAnM49[[#This Row],[varejo]]*12)/(FatuAnM49[[#This Row],[atacdo]]*12),"")</f>
        <v/>
      </c>
      <c r="AG13" s="7" t="str">
        <f>IF(SUMIFS(fechamento[total],fechamento[origem],"bruto",fechamento[mês],FatuAnM49[[#This Row],[mês]])=0,"",SUMIFS(fechamento[total],fechamento[origem],"bruto",fechamento[mês],FatuAnM49[[#This Row],[mês]]))</f>
        <v/>
      </c>
      <c r="AH13" s="8" t="str">
        <f>IF(SUMIF(estoque[mês],FatuAnM49[[#This Row],[mês]],estoque[lucro])=0,"",SUMIF(estoque[mês],FatuAnM49[[#This Row],[mês]],estoque[lucro]))</f>
        <v/>
      </c>
      <c r="AI13" s="10" t="str">
        <f>IFERROR(SUMIF(estoque[mês],FatuAnM49[[#This Row],[mês]],estoque[lucro])/SUMIFS(estoque[valor total],estoque[fornecedor],"saída",estoque[mês],FatuAnM49[[#This Row],[mês]]),"")</f>
        <v/>
      </c>
      <c r="AJ13" s="127" t="str">
        <f>IFERROR(FatuAnM49[[#This Row],[lucro]]/((FatuAnM49[[#This Row],[varejo]]+FatuAnM49[[#This Row],[atacdo]])),"")</f>
        <v/>
      </c>
      <c r="AK13" s="80" t="str">
        <f>IFERROR(5200/(FatuAnM49[[#This Row],[lucro]]/(FatuAnM49[[#This Row],[varejo]]+FatuAnM49[[#This Row],[atacdo]])),"")</f>
        <v/>
      </c>
      <c r="AL13" s="10" t="str">
        <f>IFERROR((FatuAnM49[[#This Row],[varejo]])/FatuAnM49[[#This Row],[meta]],"")</f>
        <v/>
      </c>
      <c r="AM13" s="10" t="str">
        <f>IFERROR(100%-FatuAnM49[[#This Row],[influe Va]],"")</f>
        <v/>
      </c>
      <c r="AN13" s="7" t="str">
        <f>IF((SUMIFS(estoque[lucro],estoque[mês],FatuAnM49[[#This Row],[mês]],estoque[produto],"ovo branco A")+SUMIFS(estoque[lucro],estoque[mês],FatuAnM49[[#This Row],[mês]],estoque[produto],"ovo branco b"))=0,"",(SUMIFS(estoque[lucro],estoque[mês],FatuAnM49[[#This Row],[mês]],estoque[produto],"ovo branco A")+SUMIFS(estoque[lucro],estoque[mês],FatuAnM49[[#This Row],[mês]],estoque[produto],"ovo branco b")))</f>
        <v/>
      </c>
      <c r="AO13" s="11" t="str">
        <f>IF(SUMIFS(estoque[lucro],estoque[mês],FatuAnM49[[#This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jumbo")=0,"",SUMIFS(estoque[lucro],estoque[mês],FatuAnM49[[#This Row],[mês]],estoque[produto],"ovo branco c")+SUMIFS(estoque[lucro],estoque[mês],FatuAnM49[[#This Row],[mês]],estoque[produto],"ovo branco extra")+SUMIFS(estoque[lucro],estoque[mês],FatuAnM49[[#This Row],[mês]],estoque[produto],"ovo branco jumbo"))</f>
        <v/>
      </c>
      <c r="AP13" s="82" t="str">
        <f>IF(SUMIFS(estoque[quantidade],estoque[fornecedor],"saída",estoque[mês],FatuAnM49[[#This Row],[mês]],estoque[produto],"ovo branco A")+SUMIFS(estoque[quantidade],estoque[fornecedor],"saída",estoque[mês],FatuAnM49[[#This Row],[mês]],estoque[produto],"ovo branco b")=0,"",SUMIFS(estoque[quantidade],estoque[fornecedor],"saída",estoque[mês],FatuAnM49[[#This Row],[mês]],estoque[produto],"ovo branco A")+SUMIFS(estoque[quantidade],estoque[fornecedor],"saída",estoque[mês],FatuAnM49[[#This Row],[mês]],estoque[produto],"ovo branco b"))</f>
        <v/>
      </c>
      <c r="AQ13" s="82" t="str">
        <f>IF(SUMIFS(estoque[quantidade],estoque[fornecedor],"saída",estoque[mês],FatuAnM49[[#This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jumbo")=0,"",SUMIFS(estoque[quantidade],estoque[fornecedor],"saída",estoque[mês],FatuAnM49[[#This Row],[mês]],estoque[produto],"ovo branco c")+SUMIFS(estoque[quantidade],estoque[fornecedor],"saída",estoque[mês],FatuAnM49[[#This Row],[mês]],estoque[produto],"ovo branco extra")+SUMIFS(estoque[quantidade],estoque[fornecedor],"saída",estoque[mês],FatuAnM49[[#This Row],[mês]],estoque[produto],"ovo branco jumbo"))</f>
        <v/>
      </c>
      <c r="AR13" s="11" t="str">
        <f>IFERROR(FatuAnM49[[#This Row],[lG1]]/FatuAnM49[[#This Row],[qG1]],"")</f>
        <v/>
      </c>
      <c r="AS13" t="str">
        <f>IFERROR(FatuAnM49[[#This Row],[lG2]]/FatuAnM49[[#This Row],[Qg2]],"")</f>
        <v/>
      </c>
    </row>
    <row r="14" spans="1:45" ht="19.8" thickBot="1" x14ac:dyDescent="0.3">
      <c r="A14" s="226" t="s">
        <v>205</v>
      </c>
      <c r="B14" s="227" t="s">
        <v>149</v>
      </c>
      <c r="C14" s="228" t="s">
        <v>290</v>
      </c>
      <c r="D14" s="212">
        <v>46231</v>
      </c>
      <c r="E14" s="229"/>
      <c r="F14" s="229"/>
      <c r="G14" s="229"/>
      <c r="H14" s="229"/>
      <c r="I14" s="230">
        <v>0</v>
      </c>
      <c r="J14" s="28">
        <v>46040</v>
      </c>
      <c r="K14" s="11">
        <f>SUMIFS(fechamento[crédito],fechamento[origem],"liquido",fechamento[data],feriado[[#This Row],[feriad]])+SUMIFS(fechamento[débito],fechamento[origem],"liquido",fechamento[data],feriado[[#This Row],[feriad]])</f>
        <v>296.19990000000001</v>
      </c>
      <c r="L14" s="1" t="s">
        <v>149</v>
      </c>
      <c r="M14" s="81">
        <f>IF(SUMIFS(estoque[quantidade],estoque[fornecedor],"saída",estoque[mês],FatuAnM[[#This Row],[mês]])/12=0,"",SUMIFS(estoque[quantidade],estoque[fornecedor],"saída",estoque[mês],FatuAnM[[#This Row],[mês]])/12)</f>
        <v>68.75</v>
      </c>
      <c r="N14" s="7">
        <f>IF(SUMIFS(fechamento[total],fechamento[mês],FatuAnM[[#This Row],[mês]],fechamento[origem],FatuAnM[[#Headers],[bruto]])=0,"",SUMIFS(fechamento[total],fechamento[mês],FatuAnM[[#This Row],[mês]],fechamento[origem],FatuAnM[[#Headers],[bruto]]))</f>
        <v>16360</v>
      </c>
      <c r="O14" s="8">
        <f>IF(SUMIFS(estoque[lucro],estoque[mês],FatuAnM[[#This Row],[mês]])=0,"",SUMIFS(estoque[lucro],estoque[mês],FatuAnM[[#This Row],[mês]]))</f>
        <v>3518.3999999999987</v>
      </c>
      <c r="P14" s="10">
        <f>IFERROR(SUMIFS(estoque[lucro],estoque[mês],FatuAnM[[#This Row],[mês]])/FatuAnM[[#This Row],[bruto]],"")</f>
        <v>0.21506112469437644</v>
      </c>
      <c r="Q14" s="7"/>
      <c r="R14" s="11"/>
      <c r="S14" s="11"/>
      <c r="T14" s="11"/>
    </row>
    <row r="15" spans="1:45" ht="20.399999999999999" thickTop="1" thickBot="1" x14ac:dyDescent="0.3">
      <c r="A15" s="215" t="s">
        <v>85</v>
      </c>
      <c r="B15" s="216" t="s">
        <v>149</v>
      </c>
      <c r="C15" s="217" t="s">
        <v>291</v>
      </c>
      <c r="D15" s="209">
        <v>46230</v>
      </c>
      <c r="E15" s="218">
        <v>22</v>
      </c>
      <c r="F15" s="218">
        <v>149.5</v>
      </c>
      <c r="G15" s="218">
        <v>404</v>
      </c>
      <c r="H15" s="218">
        <v>115.5</v>
      </c>
      <c r="I15" s="218">
        <v>691</v>
      </c>
      <c r="J15" s="28">
        <v>46069</v>
      </c>
      <c r="K15" s="11">
        <f>SUMIFS(fechamento[crédito],fechamento[origem],"liquido",fechamento[data],feriado[[#This Row],[feriad]])+SUMIFS(fechamento[débito],fechamento[origem],"liquido",fechamento[data],feriado[[#This Row],[feriad]])</f>
        <v>273.49720000000002</v>
      </c>
      <c r="L15" s="1" t="s">
        <v>150</v>
      </c>
      <c r="M15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5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5" s="8" t="str">
        <f>IF(SUMIFS(estoque[lucro],estoque[mês],FatuAnM[[#This Row],[mês]])=0,"",SUMIFS(estoque[lucro],estoque[mês],FatuAnM[[#This Row],[mês]]))</f>
        <v/>
      </c>
      <c r="P15" s="10" t="str">
        <f>IFERROR(SUMIFS(estoque[lucro],estoque[mês],FatuAnM[[#This Row],[mês]])/FatuAnM[[#This Row],[bruto]],"")</f>
        <v/>
      </c>
      <c r="Q15" s="7"/>
      <c r="R15" s="11"/>
      <c r="S15" s="11"/>
      <c r="T15" s="11"/>
    </row>
    <row r="16" spans="1:45" ht="19.8" thickTop="1" x14ac:dyDescent="0.25">
      <c r="A16" s="219" t="s">
        <v>86</v>
      </c>
      <c r="B16" s="220" t="s">
        <v>149</v>
      </c>
      <c r="C16" s="221" t="s">
        <v>291</v>
      </c>
      <c r="D16" s="210">
        <v>46230</v>
      </c>
      <c r="E16" s="222">
        <v>21.306999999999999</v>
      </c>
      <c r="F16" s="222">
        <v>147.45185000000001</v>
      </c>
      <c r="G16" s="222">
        <v>404</v>
      </c>
      <c r="H16" s="222">
        <v>115.5</v>
      </c>
      <c r="I16" s="223">
        <v>688.25884999999994</v>
      </c>
      <c r="J16" s="28">
        <v>46070</v>
      </c>
      <c r="K16" s="11">
        <f>SUMIFS(fechamento[crédito],fechamento[origem],"liquido",fechamento[data],feriado[[#This Row],[feriad]])+SUMIFS(fechamento[débito],fechamento[origem],"liquido",fechamento[data],feriado[[#This Row],[feriad]])</f>
        <v>190.25639999999999</v>
      </c>
      <c r="L16" s="1" t="s">
        <v>151</v>
      </c>
      <c r="M16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6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6" s="8" t="str">
        <f>IF(SUMIFS(estoque[lucro],estoque[mês],FatuAnM[[#This Row],[mês]])=0,"",SUMIFS(estoque[lucro],estoque[mês],FatuAnM[[#This Row],[mês]]))</f>
        <v/>
      </c>
      <c r="P16" s="10" t="str">
        <f>IFERROR(SUMIFS(estoque[lucro],estoque[mês],FatuAnM[[#This Row],[mês]])/FatuAnM[[#This Row],[bruto]],"")</f>
        <v/>
      </c>
      <c r="Q16" s="7"/>
      <c r="R16" s="11"/>
      <c r="S16" s="11"/>
      <c r="T16" s="11"/>
    </row>
    <row r="17" spans="1:20" x14ac:dyDescent="0.25">
      <c r="A17" s="219" t="s">
        <v>87</v>
      </c>
      <c r="B17" s="220" t="s">
        <v>149</v>
      </c>
      <c r="C17" s="221" t="s">
        <v>291</v>
      </c>
      <c r="D17" s="211">
        <v>46230</v>
      </c>
      <c r="E17" s="224">
        <v>3.15E-2</v>
      </c>
      <c r="F17" s="224">
        <v>1.37E-2</v>
      </c>
      <c r="G17" s="224">
        <v>0</v>
      </c>
      <c r="H17" s="224">
        <v>0</v>
      </c>
      <c r="I17" s="225">
        <v>2.7411500000000002</v>
      </c>
      <c r="J17" s="28">
        <v>46114</v>
      </c>
      <c r="K17" s="11">
        <f>SUMIFS(fechamento[crédito],fechamento[origem],"liquido",fechamento[data],feriado[[#This Row],[feriad]])+SUMIFS(fechamento[débito],fechamento[origem],"liquido",fechamento[data],feriado[[#This Row],[feriad]])</f>
        <v>272.79250000000002</v>
      </c>
      <c r="L17" s="1" t="s">
        <v>152</v>
      </c>
      <c r="M17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7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7" s="8" t="str">
        <f>IF(SUMIFS(estoque[lucro],estoque[mês],FatuAnM[[#This Row],[mês]])=0,"",SUMIFS(estoque[lucro],estoque[mês],FatuAnM[[#This Row],[mês]]))</f>
        <v/>
      </c>
      <c r="P17" s="10" t="str">
        <f>IFERROR(SUMIFS(estoque[lucro],estoque[mês],FatuAnM[[#This Row],[mês]])/FatuAnM[[#This Row],[bruto]],"")</f>
        <v/>
      </c>
      <c r="Q17" s="7"/>
      <c r="R17" s="11"/>
      <c r="S17" s="11"/>
      <c r="T17" s="11"/>
    </row>
    <row r="18" spans="1:20" ht="19.8" thickBot="1" x14ac:dyDescent="0.3">
      <c r="A18" s="226" t="s">
        <v>205</v>
      </c>
      <c r="B18" s="227" t="s">
        <v>149</v>
      </c>
      <c r="C18" s="228" t="s">
        <v>291</v>
      </c>
      <c r="D18" s="212">
        <v>46230</v>
      </c>
      <c r="E18" s="229"/>
      <c r="F18" s="229"/>
      <c r="G18" s="229"/>
      <c r="H18" s="229"/>
      <c r="I18" s="230">
        <v>0</v>
      </c>
      <c r="J18" s="28"/>
      <c r="K18" s="11">
        <f>SUMIFS(fechamento[crédito],fechamento[origem],"liquido",fechamento[data],feriado[[#This Row],[feriad]])+SUMIFS(fechamento[débito],fechamento[origem],"liquido",fechamento[data],feriado[[#This Row],[feriad]])</f>
        <v>0</v>
      </c>
      <c r="L18" s="1" t="s">
        <v>153</v>
      </c>
      <c r="M18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8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8" s="8" t="str">
        <f>IF(SUMIFS(estoque[lucro],estoque[mês],FatuAnM[[#This Row],[mês]])=0,"",SUMIFS(estoque[lucro],estoque[mês],FatuAnM[[#This Row],[mês]]))</f>
        <v/>
      </c>
      <c r="P18" s="10" t="str">
        <f>IFERROR(SUMIFS(estoque[lucro],estoque[mês],FatuAnM[[#This Row],[mês]])/FatuAnM[[#This Row],[bruto]],"")</f>
        <v/>
      </c>
      <c r="Q18" s="7"/>
      <c r="R18" s="11"/>
      <c r="S18" s="11"/>
      <c r="T18" s="11"/>
    </row>
    <row r="19" spans="1:20" ht="20.399999999999999" thickTop="1" thickBot="1" x14ac:dyDescent="0.3">
      <c r="A19" s="215" t="s">
        <v>85</v>
      </c>
      <c r="B19" s="216" t="s">
        <v>149</v>
      </c>
      <c r="C19" s="217" t="s">
        <v>93</v>
      </c>
      <c r="D19" s="209">
        <v>46229</v>
      </c>
      <c r="E19" s="218">
        <v>39</v>
      </c>
      <c r="F19" s="218">
        <v>112</v>
      </c>
      <c r="G19" s="218">
        <v>653</v>
      </c>
      <c r="H19" s="218">
        <v>38</v>
      </c>
      <c r="I19" s="218">
        <v>842</v>
      </c>
      <c r="J19" s="28"/>
      <c r="K19" s="11">
        <f>SUMIFS(fechamento[crédito],fechamento[origem],"liquido",fechamento[data],feriado[[#This Row],[feriad]])+SUMIFS(fechamento[débito],fechamento[origem],"liquido",fechamento[data],feriado[[#This Row],[feriad]])</f>
        <v>0</v>
      </c>
      <c r="L19" s="1" t="s">
        <v>98</v>
      </c>
      <c r="M19" s="81" t="str">
        <f>IF(SUMIFS(estoque[quantidade],estoque[fornecedor],"saída",estoque[mês],FatuAnM[[#This Row],[mês]])/12=0,"",SUMIFS(estoque[quantidade],estoque[fornecedor],"saída",estoque[mês],FatuAnM[[#This Row],[mês]])/12)</f>
        <v/>
      </c>
      <c r="N19" s="7" t="str">
        <f>IF(SUMIFS(fechamento[total],fechamento[mês],FatuAnM[[#This Row],[mês]],fechamento[origem],FatuAnM[[#Headers],[bruto]])=0,"",SUMIFS(fechamento[total],fechamento[mês],FatuAnM[[#This Row],[mês]],fechamento[origem],FatuAnM[[#Headers],[bruto]]))</f>
        <v/>
      </c>
      <c r="O19" s="8" t="str">
        <f>IF(SUMIFS(estoque[lucro],estoque[mês],FatuAnM[[#This Row],[mês]])=0,"",SUMIFS(estoque[lucro],estoque[mês],FatuAnM[[#This Row],[mês]]))</f>
        <v/>
      </c>
      <c r="P19" s="10" t="str">
        <f>IFERROR(SUMIFS(estoque[lucro],estoque[mês],FatuAnM[[#This Row],[mês]])/FatuAnM[[#This Row],[bruto]],"")</f>
        <v/>
      </c>
      <c r="Q19" s="7"/>
      <c r="R19" s="11"/>
      <c r="S19" s="11"/>
      <c r="T19" s="11"/>
    </row>
    <row r="20" spans="1:20" ht="19.8" thickTop="1" x14ac:dyDescent="0.25">
      <c r="A20" s="219" t="s">
        <v>86</v>
      </c>
      <c r="B20" s="220" t="s">
        <v>149</v>
      </c>
      <c r="C20" s="221" t="s">
        <v>93</v>
      </c>
      <c r="D20" s="210">
        <v>46229</v>
      </c>
      <c r="E20" s="222">
        <v>37.771500000000003</v>
      </c>
      <c r="F20" s="222">
        <v>110.46559999999999</v>
      </c>
      <c r="G20" s="222">
        <v>653</v>
      </c>
      <c r="H20" s="222">
        <v>38</v>
      </c>
      <c r="I20" s="223">
        <v>839.23710000000005</v>
      </c>
      <c r="J20" t="s">
        <v>196</v>
      </c>
      <c r="K20" t="s">
        <v>178</v>
      </c>
      <c r="L20" t="s">
        <v>5</v>
      </c>
      <c r="M20" t="s">
        <v>177</v>
      </c>
      <c r="N20" t="s">
        <v>176</v>
      </c>
      <c r="O20" t="s">
        <v>212</v>
      </c>
      <c r="P20" t="s">
        <v>7</v>
      </c>
      <c r="Q20" s="11"/>
      <c r="R20" s="11"/>
      <c r="S20" s="11"/>
    </row>
    <row r="21" spans="1:20" x14ac:dyDescent="0.25">
      <c r="A21" s="219" t="s">
        <v>87</v>
      </c>
      <c r="B21" s="220" t="s">
        <v>149</v>
      </c>
      <c r="C21" s="221" t="s">
        <v>93</v>
      </c>
      <c r="D21" s="211">
        <v>46229</v>
      </c>
      <c r="E21" s="224">
        <v>3.15E-2</v>
      </c>
      <c r="F21" s="224">
        <v>1.37E-2</v>
      </c>
      <c r="G21" s="224">
        <v>0</v>
      </c>
      <c r="H21" s="224">
        <v>0</v>
      </c>
      <c r="I21" s="225">
        <v>2.7629000000000001</v>
      </c>
      <c r="J21" s="96">
        <f ca="1">WEEKNUM(FaturamentoMês[[#This Row],[data]],13)</f>
        <v>31</v>
      </c>
      <c r="K21" s="8" t="str">
        <f ca="1">TEXT(FaturamentoMês[[#This Row],[data]],"ddd")</f>
        <v>qui</v>
      </c>
      <c r="L21" s="27">
        <f ca="1">TODAY()</f>
        <v>46233</v>
      </c>
      <c r="M21" s="7" t="str">
        <f ca="1">IF(SUMIFS(estoque[valor total],estoque[fornecedor],"saída",estoque[data],FaturamentoMês[[#This Row],[data]])=0,"",SUMIFS(estoque[valor total],estoque[fornecedor],"saída",estoque[data],FaturamentoMês[[#This Row],[data]]))</f>
        <v/>
      </c>
      <c r="N21" s="7" t="str">
        <f ca="1">IF(SUMIFS(fechamento[total],fechamento[data],FaturamentoMês[[#This Row],[data]],fechamento[origem],"bruto")=0,"",SUMIFS(fechamento[total],fechamento[data],FaturamentoMês[[#This Row],[data]],fechamento[origem],"bruto"))</f>
        <v/>
      </c>
      <c r="O2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277.69183333333336</v>
      </c>
      <c r="P21" s="7">
        <f ca="1">IF(SUMIFS(estoque[lucro],estoque[fornecedor],"saída",estoque[data],FaturamentoMês[[#This Row],[data]])=0,AVERAGE(P22:P24),SUMIFS(estoque[lucro],estoque[fornecedor],"saída",estoque[data],FaturamentoMês[[#This Row],[data]]))</f>
        <v>117.18999999999998</v>
      </c>
      <c r="Q21" s="11"/>
      <c r="R21" s="11"/>
      <c r="S21" s="11"/>
    </row>
    <row r="22" spans="1:20" ht="19.8" thickBot="1" x14ac:dyDescent="0.3">
      <c r="A22" s="226" t="s">
        <v>205</v>
      </c>
      <c r="B22" s="227" t="s">
        <v>149</v>
      </c>
      <c r="C22" s="228" t="s">
        <v>93</v>
      </c>
      <c r="D22" s="212">
        <v>46229</v>
      </c>
      <c r="E22" s="229"/>
      <c r="F22" s="229"/>
      <c r="G22" s="229"/>
      <c r="H22" s="229"/>
      <c r="I22" s="230">
        <v>0</v>
      </c>
      <c r="J22" s="96">
        <f ca="1">WEEKNUM(FaturamentoMês[[#This Row],[data]],13)</f>
        <v>30</v>
      </c>
      <c r="K22" s="8" t="str">
        <f ca="1">TEXT(FaturamentoMês[[#This Row],[data]],"ddd")</f>
        <v>qua</v>
      </c>
      <c r="L22" s="27">
        <f ca="1">L21-8</f>
        <v>46225</v>
      </c>
      <c r="M22" s="7">
        <f ca="1">IF(SUMIFS(estoque[valor total],estoque[fornecedor],"saída",estoque[data],FaturamentoMês[[#This Row],[data]])=0,"",SUMIFS(estoque[valor total],estoque[fornecedor],"saída",estoque[data],FaturamentoMês[[#This Row],[data]]))</f>
        <v>507</v>
      </c>
      <c r="N22" s="7">
        <f ca="1">IF(SUMIFS(fechamento[total],fechamento[data],FaturamentoMês[[#This Row],[data]],fechamento[origem],"bruto")=0,"",SUMIFS(fechamento[total],fechamento[data],FaturamentoMês[[#This Row],[data]],fechamento[origem],"bruto"))</f>
        <v>408</v>
      </c>
      <c r="O2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162.91499999999999</v>
      </c>
      <c r="P22" s="7">
        <f ca="1">IF(SUMIFS(estoque[lucro],estoque[fornecedor],"saída",estoque[data],FaturamentoMês[[#This Row],[data]])=0,"",SUMIFS(estoque[lucro],estoque[fornecedor],"saída",estoque[data],FaturamentoMês[[#This Row],[data]]))</f>
        <v>86.1</v>
      </c>
      <c r="Q22" s="11"/>
      <c r="R22" s="11"/>
      <c r="S22" s="11"/>
    </row>
    <row r="23" spans="1:20" ht="20.399999999999999" thickTop="1" thickBot="1" x14ac:dyDescent="0.3">
      <c r="A23" s="215" t="s">
        <v>85</v>
      </c>
      <c r="B23" s="216" t="s">
        <v>149</v>
      </c>
      <c r="C23" s="217" t="s">
        <v>92</v>
      </c>
      <c r="D23" s="209">
        <v>46228</v>
      </c>
      <c r="E23" s="218">
        <v>0</v>
      </c>
      <c r="F23" s="218">
        <v>89.5</v>
      </c>
      <c r="G23" s="218">
        <v>19</v>
      </c>
      <c r="H23" s="218">
        <v>62.5</v>
      </c>
      <c r="I23" s="218">
        <v>171</v>
      </c>
      <c r="J23" s="96">
        <f ca="1">WEEKNUM(FaturamentoMês[[#This Row],[data]],13)</f>
        <v>29</v>
      </c>
      <c r="K23" s="8" t="str">
        <f ca="1">TEXT(FaturamentoMês[[#This Row],[data]],"ddd")</f>
        <v>ter</v>
      </c>
      <c r="L23" s="27">
        <f t="shared" ref="L23:L51" ca="1" si="0">L22-1</f>
        <v>46224</v>
      </c>
      <c r="M23" s="7">
        <f ca="1">IF(SUMIFS(estoque[valor total],estoque[fornecedor],"saída",estoque[data],FaturamentoMês[[#This Row],[data]])=0,"",SUMIFS(estoque[valor total],estoque[fornecedor],"saída",estoque[data],FaturamentoMês[[#This Row],[data]]))</f>
        <v>718</v>
      </c>
      <c r="N23" s="7">
        <f ca="1">IF(SUMIFS(fechamento[total],fechamento[data],FaturamentoMês[[#This Row],[data]],fechamento[origem],"bruto")=0,"",SUMIFS(fechamento[total],fechamento[data],FaturamentoMês[[#This Row],[data]],fechamento[origem],"bruto"))</f>
        <v>718</v>
      </c>
      <c r="O2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662.65750000000014</v>
      </c>
      <c r="P23" s="7">
        <f ca="1">IF(SUMIFS(estoque[lucro],estoque[fornecedor],"saída",estoque[data],FaturamentoMês[[#This Row],[data]])=0,"",SUMIFS(estoque[lucro],estoque[fornecedor],"saída",estoque[data],FaturamentoMês[[#This Row],[data]]))</f>
        <v>171.84999999999997</v>
      </c>
      <c r="Q23" s="11"/>
      <c r="R23" s="11"/>
      <c r="S23" s="11"/>
    </row>
    <row r="24" spans="1:20" ht="19.8" thickTop="1" x14ac:dyDescent="0.25">
      <c r="A24" s="219" t="s">
        <v>86</v>
      </c>
      <c r="B24" s="220" t="s">
        <v>149</v>
      </c>
      <c r="C24" s="221" t="s">
        <v>92</v>
      </c>
      <c r="D24" s="210">
        <v>46228</v>
      </c>
      <c r="E24" s="222">
        <v>0</v>
      </c>
      <c r="F24" s="222">
        <v>88.273849999999996</v>
      </c>
      <c r="G24" s="222">
        <v>19</v>
      </c>
      <c r="H24" s="222">
        <v>62.5</v>
      </c>
      <c r="I24" s="223">
        <v>169.77384999999998</v>
      </c>
      <c r="J24" s="96">
        <f ca="1">WEEKNUM(FaturamentoMês[[#This Row],[data]],13)</f>
        <v>29</v>
      </c>
      <c r="K24" s="8" t="str">
        <f ca="1">TEXT(FaturamentoMês[[#This Row],[data]],"ddd")</f>
        <v>seg</v>
      </c>
      <c r="L24" s="27">
        <f t="shared" ca="1" si="0"/>
        <v>46223</v>
      </c>
      <c r="M24" s="7">
        <f ca="1">IF(SUMIFS(estoque[valor total],estoque[fornecedor],"saída",estoque[data],FaturamentoMês[[#This Row],[data]])=0,"",SUMIFS(estoque[valor total],estoque[fornecedor],"saída",estoque[data],FaturamentoMês[[#This Row],[data]]))</f>
        <v>479</v>
      </c>
      <c r="N24" s="7">
        <f ca="1">IF(SUMIFS(fechamento[total],fechamento[data],FaturamentoMês[[#This Row],[data]],fechamento[origem],"bruto")=0,"",SUMIFS(fechamento[total],fechamento[data],FaturamentoMês[[#This Row],[data]],fechamento[origem],"bruto"))</f>
        <v>675</v>
      </c>
      <c r="O2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571.21300000000008</v>
      </c>
      <c r="P24" s="7">
        <f ca="1">IF(SUMIFS(estoque[lucro],estoque[fornecedor],"saída",estoque[data],FaturamentoMês[[#This Row],[data]])=0,"",SUMIFS(estoque[lucro],estoque[fornecedor],"saída",estoque[data],FaturamentoMês[[#This Row],[data]]))</f>
        <v>93.62</v>
      </c>
      <c r="Q24" s="11"/>
      <c r="R24" s="11"/>
      <c r="S24" s="11"/>
    </row>
    <row r="25" spans="1:20" x14ac:dyDescent="0.25">
      <c r="A25" s="219" t="s">
        <v>87</v>
      </c>
      <c r="B25" s="220" t="s">
        <v>149</v>
      </c>
      <c r="C25" s="221" t="s">
        <v>92</v>
      </c>
      <c r="D25" s="211">
        <v>46228</v>
      </c>
      <c r="E25" s="224">
        <v>3.15E-2</v>
      </c>
      <c r="F25" s="224">
        <v>1.37E-2</v>
      </c>
      <c r="G25" s="224">
        <v>0</v>
      </c>
      <c r="H25" s="224">
        <v>0</v>
      </c>
      <c r="I25" s="225">
        <v>1.2261500000000001</v>
      </c>
      <c r="J25" s="96">
        <f ca="1">WEEKNUM(FaturamentoMês[[#This Row],[data]],13)</f>
        <v>29</v>
      </c>
      <c r="K25" s="8" t="str">
        <f ca="1">TEXT(FaturamentoMês[[#This Row],[data]],"ddd")</f>
        <v>dom</v>
      </c>
      <c r="L25" s="27">
        <f t="shared" ca="1" si="0"/>
        <v>46222</v>
      </c>
      <c r="M25" s="7">
        <f ca="1">IF(SUMIFS(estoque[valor total],estoque[fornecedor],"saída",estoque[data],FaturamentoMês[[#This Row],[data]])=0,"",SUMIFS(estoque[valor total],estoque[fornecedor],"saída",estoque[data],FaturamentoMês[[#This Row],[data]]))</f>
        <v>333</v>
      </c>
      <c r="N25" s="7">
        <f ca="1">IF(SUMIFS(fechamento[total],fechamento[data],FaturamentoMês[[#This Row],[data]],fechamento[origem],"bruto")=0,"",SUMIFS(fechamento[total],fechamento[data],FaturamentoMês[[#This Row],[data]],fechamento[origem],"bruto"))</f>
        <v>294</v>
      </c>
      <c r="O2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478.92200000000003</v>
      </c>
      <c r="P25" s="7">
        <f ca="1">IF(SUMIFS(estoque[lucro],estoque[fornecedor],"saída",estoque[data],FaturamentoMês[[#This Row],[data]])=0,"",SUMIFS(estoque[lucro],estoque[fornecedor],"saída",estoque[data],FaturamentoMês[[#This Row],[data]]))</f>
        <v>82.68</v>
      </c>
      <c r="Q25" s="11"/>
      <c r="S25" s="11"/>
    </row>
    <row r="26" spans="1:20" ht="19.8" thickBot="1" x14ac:dyDescent="0.3">
      <c r="A26" s="226" t="s">
        <v>205</v>
      </c>
      <c r="B26" s="227" t="s">
        <v>149</v>
      </c>
      <c r="C26" s="228" t="s">
        <v>92</v>
      </c>
      <c r="D26" s="212">
        <v>46228</v>
      </c>
      <c r="E26" s="229"/>
      <c r="F26" s="229"/>
      <c r="G26" s="229"/>
      <c r="H26" s="229"/>
      <c r="I26" s="230">
        <v>0</v>
      </c>
      <c r="J26" s="96">
        <f ca="1">WEEKNUM(FaturamentoMês[[#This Row],[data]],13)</f>
        <v>29</v>
      </c>
      <c r="K26" s="8" t="str">
        <f ca="1">TEXT(FaturamentoMês[[#This Row],[data]],"ddd")</f>
        <v>sáb</v>
      </c>
      <c r="L26" s="27">
        <f t="shared" ca="1" si="0"/>
        <v>46221</v>
      </c>
      <c r="M26" s="7">
        <f ca="1">IF(SUMIFS(estoque[valor total],estoque[fornecedor],"saída",estoque[data],FaturamentoMês[[#This Row],[data]])=0,"",SUMIFS(estoque[valor total],estoque[fornecedor],"saída",estoque[data],FaturamentoMês[[#This Row],[data]]))</f>
        <v>287</v>
      </c>
      <c r="N26" s="7">
        <f ca="1">IF(SUMIFS(fechamento[total],fechamento[data],FaturamentoMês[[#This Row],[data]],fechamento[origem],"bruto")=0,"",SUMIFS(fechamento[total],fechamento[data],FaturamentoMês[[#This Row],[data]],fechamento[origem],"bruto"))</f>
        <v>287</v>
      </c>
      <c r="O2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374.19600000000003</v>
      </c>
      <c r="P26" s="7">
        <f ca="1">IF(SUMIFS(estoque[lucro],estoque[fornecedor],"saída",estoque[data],FaturamentoMês[[#This Row],[data]])=0,"",SUMIFS(estoque[lucro],estoque[fornecedor],"saída",estoque[data],FaturamentoMês[[#This Row],[data]]))</f>
        <v>70.44</v>
      </c>
      <c r="Q26" s="11"/>
      <c r="R26" s="11"/>
      <c r="S26" s="11"/>
    </row>
    <row r="27" spans="1:20" ht="20.399999999999999" thickTop="1" thickBot="1" x14ac:dyDescent="0.3">
      <c r="A27" s="215" t="s">
        <v>85</v>
      </c>
      <c r="B27" s="216" t="s">
        <v>149</v>
      </c>
      <c r="C27" s="217" t="s">
        <v>83</v>
      </c>
      <c r="D27" s="209">
        <v>46227</v>
      </c>
      <c r="E27" s="218">
        <v>82</v>
      </c>
      <c r="F27" s="218">
        <v>264</v>
      </c>
      <c r="G27" s="218">
        <v>252</v>
      </c>
      <c r="H27" s="218">
        <v>35</v>
      </c>
      <c r="I27" s="218">
        <v>633</v>
      </c>
      <c r="J27" s="96">
        <f ca="1">WEEKNUM(FaturamentoMês[[#This Row],[data]],13)</f>
        <v>29</v>
      </c>
      <c r="K27" s="8" t="str">
        <f ca="1">TEXT(FaturamentoMês[[#This Row],[data]],"ddd")</f>
        <v>sex</v>
      </c>
      <c r="L27" s="27">
        <f t="shared" ca="1" si="0"/>
        <v>46220</v>
      </c>
      <c r="M27" s="7">
        <f ca="1">IF(SUMIFS(estoque[valor total],estoque[fornecedor],"saída",estoque[data],FaturamentoMês[[#This Row],[data]])=0,"",SUMIFS(estoque[valor total],estoque[fornecedor],"saída",estoque[data],FaturamentoMês[[#This Row],[data]]))</f>
        <v>405</v>
      </c>
      <c r="N27" s="7">
        <f ca="1">IF(SUMIFS(fechamento[total],fechamento[data],FaturamentoMês[[#This Row],[data]],fechamento[origem],"bruto")=0,"",SUMIFS(fechamento[total],fechamento[data],FaturamentoMês[[#This Row],[data]],fechamento[origem],"bruto"))</f>
        <v>405</v>
      </c>
      <c r="O2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308.87650000000002</v>
      </c>
      <c r="P27" s="7">
        <f ca="1">IF(SUMIFS(estoque[lucro],estoque[fornecedor],"saída",estoque[data],FaturamentoMês[[#This Row],[data]])=0,"",SUMIFS(estoque[lucro],estoque[fornecedor],"saída",estoque[data],FaturamentoMês[[#This Row],[data]]))</f>
        <v>103.10999999999999</v>
      </c>
      <c r="Q27" s="11"/>
      <c r="R27" s="11"/>
      <c r="S27" s="11"/>
    </row>
    <row r="28" spans="1:20" ht="19.8" thickTop="1" x14ac:dyDescent="0.25">
      <c r="A28" s="219" t="s">
        <v>86</v>
      </c>
      <c r="B28" s="220" t="s">
        <v>149</v>
      </c>
      <c r="C28" s="221" t="s">
        <v>83</v>
      </c>
      <c r="D28" s="210">
        <v>46227</v>
      </c>
      <c r="E28" s="222">
        <v>79.417000000000002</v>
      </c>
      <c r="F28" s="222">
        <v>260.38319999999999</v>
      </c>
      <c r="G28" s="222">
        <v>252</v>
      </c>
      <c r="H28" s="222">
        <v>35</v>
      </c>
      <c r="I28" s="223">
        <v>626.80020000000002</v>
      </c>
      <c r="J28" s="96">
        <f ca="1">WEEKNUM(FaturamentoMês[[#This Row],[data]],13)</f>
        <v>29</v>
      </c>
      <c r="K28" s="8" t="str">
        <f ca="1">TEXT(FaturamentoMês[[#This Row],[data]],"ddd")</f>
        <v>qui</v>
      </c>
      <c r="L28" s="27">
        <f t="shared" ca="1" si="0"/>
        <v>46219</v>
      </c>
      <c r="M28" s="7">
        <f ca="1">IF(SUMIFS(estoque[valor total],estoque[fornecedor],"saída",estoque[data],FaturamentoMês[[#This Row],[data]])=0,"",SUMIFS(estoque[valor total],estoque[fornecedor],"saída",estoque[data],FaturamentoMês[[#This Row],[data]]))</f>
        <v>676</v>
      </c>
      <c r="N28" s="7">
        <f ca="1">IF(SUMIFS(fechamento[total],fechamento[data],FaturamentoMês[[#This Row],[data]],fechamento[origem],"bruto")=0,"",SUMIFS(fechamento[total],fechamento[data],FaturamentoMês[[#This Row],[data]],fechamento[origem],"bruto"))</f>
        <v>562</v>
      </c>
      <c r="O2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288.40550000000007</v>
      </c>
      <c r="P28" s="7">
        <f ca="1">IF(SUMIFS(estoque[lucro],estoque[fornecedor],"saída",estoque[data],FaturamentoMês[[#This Row],[data]])=0,"",SUMIFS(estoque[lucro],estoque[fornecedor],"saída",estoque[data],FaturamentoMês[[#This Row],[data]]))</f>
        <v>146.37</v>
      </c>
      <c r="Q28" s="11"/>
      <c r="R28" s="11"/>
      <c r="S28" s="11"/>
    </row>
    <row r="29" spans="1:20" x14ac:dyDescent="0.25">
      <c r="A29" s="219" t="s">
        <v>87</v>
      </c>
      <c r="B29" s="220" t="s">
        <v>149</v>
      </c>
      <c r="C29" s="221" t="s">
        <v>83</v>
      </c>
      <c r="D29" s="211">
        <v>46227</v>
      </c>
      <c r="E29" s="224">
        <v>3.15E-2</v>
      </c>
      <c r="F29" s="224">
        <v>1.37E-2</v>
      </c>
      <c r="G29" s="224">
        <v>0</v>
      </c>
      <c r="H29" s="224">
        <v>0</v>
      </c>
      <c r="I29" s="225">
        <v>6.1997999999999998</v>
      </c>
      <c r="J29" s="96">
        <f ca="1">WEEKNUM(FaturamentoMês[[#This Row],[data]],13)</f>
        <v>29</v>
      </c>
      <c r="K29" s="8" t="str">
        <f ca="1">TEXT(FaturamentoMês[[#This Row],[data]],"ddd")</f>
        <v>qua</v>
      </c>
      <c r="L29" s="27">
        <f t="shared" ca="1" si="0"/>
        <v>46218</v>
      </c>
      <c r="M29" s="7">
        <f ca="1">IF(SUMIFS(estoque[valor total],estoque[fornecedor],"saída",estoque[data],FaturamentoMês[[#This Row],[data]])=0,"",SUMIFS(estoque[valor total],estoque[fornecedor],"saída",estoque[data],FaturamentoMês[[#This Row],[data]]))</f>
        <v>256</v>
      </c>
      <c r="N29" s="7">
        <f ca="1">IF(SUMIFS(fechamento[total],fechamento[data],FaturamentoMês[[#This Row],[data]],fechamento[origem],"bruto")=0,"",SUMIFS(fechamento[total],fechamento[data],FaturamentoMês[[#This Row],[data]],fechamento[origem],"bruto"))</f>
        <v>236</v>
      </c>
      <c r="O2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158.53200000000001</v>
      </c>
      <c r="P29" s="7">
        <f ca="1">IF(SUMIFS(estoque[lucro],estoque[fornecedor],"saída",estoque[data],FaturamentoMês[[#This Row],[data]])=0,"",SUMIFS(estoque[lucro],estoque[fornecedor],"saída",estoque[data],FaturamentoMês[[#This Row],[data]]))</f>
        <v>56.879999999999995</v>
      </c>
      <c r="Q29" s="11"/>
      <c r="R29" s="11"/>
      <c r="S29" s="11"/>
    </row>
    <row r="30" spans="1:20" ht="19.8" thickBot="1" x14ac:dyDescent="0.3">
      <c r="A30" s="226" t="s">
        <v>205</v>
      </c>
      <c r="B30" s="227" t="s">
        <v>149</v>
      </c>
      <c r="C30" s="228" t="s">
        <v>83</v>
      </c>
      <c r="D30" s="212">
        <v>46227</v>
      </c>
      <c r="E30" s="229"/>
      <c r="F30" s="229"/>
      <c r="G30" s="229"/>
      <c r="H30" s="229"/>
      <c r="I30" s="230">
        <v>0</v>
      </c>
      <c r="J30" s="96">
        <f ca="1">WEEKNUM(FaturamentoMês[[#This Row],[data]],13)</f>
        <v>28</v>
      </c>
      <c r="K30" s="8" t="str">
        <f ca="1">TEXT(FaturamentoMês[[#This Row],[data]],"ddd")</f>
        <v>ter</v>
      </c>
      <c r="L30" s="27">
        <f t="shared" ca="1" si="0"/>
        <v>46217</v>
      </c>
      <c r="M30" s="7">
        <f ca="1">IF(SUMIFS(estoque[valor total],estoque[fornecedor],"saída",estoque[data],FaturamentoMês[[#This Row],[data]])=0,"",SUMIFS(estoque[valor total],estoque[fornecedor],"saída",estoque[data],FaturamentoMês[[#This Row],[data]]))</f>
        <v>461</v>
      </c>
      <c r="N30" s="7">
        <f ca="1">IF(SUMIFS(fechamento[total],fechamento[data],FaturamentoMês[[#This Row],[data]],fechamento[origem],"bruto")=0,"",SUMIFS(fechamento[total],fechamento[data],FaturamentoMês[[#This Row],[data]],fechamento[origem],"bruto"))</f>
        <v>347</v>
      </c>
      <c r="O3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350.44900000000007</v>
      </c>
      <c r="P30" s="7">
        <f ca="1">IF(SUMIFS(estoque[lucro],estoque[fornecedor],"saída",estoque[data],FaturamentoMês[[#This Row],[data]])=0,"",SUMIFS(estoque[lucro],estoque[fornecedor],"saída",estoque[data],FaturamentoMês[[#This Row],[data]]))</f>
        <v>94.859999999999985</v>
      </c>
      <c r="Q30" s="11"/>
      <c r="R30" s="11"/>
      <c r="S30" s="11"/>
    </row>
    <row r="31" spans="1:20" ht="20.399999999999999" thickTop="1" thickBot="1" x14ac:dyDescent="0.3">
      <c r="A31" s="215" t="s">
        <v>85</v>
      </c>
      <c r="B31" s="216" t="s">
        <v>149</v>
      </c>
      <c r="C31" s="217" t="s">
        <v>294</v>
      </c>
      <c r="D31" s="209">
        <v>46226</v>
      </c>
      <c r="E31" s="218">
        <v>46</v>
      </c>
      <c r="F31" s="218">
        <v>239</v>
      </c>
      <c r="G31" s="218">
        <v>63.5</v>
      </c>
      <c r="H31" s="218">
        <v>51.5</v>
      </c>
      <c r="I31" s="218">
        <v>400</v>
      </c>
      <c r="J31" s="96">
        <f ca="1">WEEKNUM(FaturamentoMês[[#This Row],[data]],13)</f>
        <v>28</v>
      </c>
      <c r="K31" s="8" t="str">
        <f ca="1">TEXT(FaturamentoMês[[#This Row],[data]],"ddd")</f>
        <v>seg</v>
      </c>
      <c r="L31" s="27">
        <f t="shared" ca="1" si="0"/>
        <v>46216</v>
      </c>
      <c r="M31" s="7">
        <f ca="1">IF(SUMIFS(estoque[valor total],estoque[fornecedor],"saída",estoque[data],FaturamentoMês[[#This Row],[data]])=0,"",SUMIFS(estoque[valor total],estoque[fornecedor],"saída",estoque[data],FaturamentoMês[[#This Row],[data]]))</f>
        <v>772</v>
      </c>
      <c r="N31" s="7">
        <f ca="1">IF(SUMIFS(fechamento[total],fechamento[data],FaturamentoMês[[#This Row],[data]],fechamento[origem],"bruto")=0,"",SUMIFS(fechamento[total],fechamento[data],FaturamentoMês[[#This Row],[data]],fechamento[origem],"bruto"))</f>
        <v>1022</v>
      </c>
      <c r="O3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355.07800000000009</v>
      </c>
      <c r="P31" s="7">
        <f ca="1">IF(SUMIFS(estoque[lucro],estoque[fornecedor],"saída",estoque[data],FaturamentoMês[[#This Row],[data]])=0,"",SUMIFS(estoque[lucro],estoque[fornecedor],"saída",estoque[data],FaturamentoMês[[#This Row],[data]]))</f>
        <v>167.12</v>
      </c>
      <c r="Q31" s="11"/>
      <c r="R31" s="11"/>
      <c r="S31" s="11"/>
    </row>
    <row r="32" spans="1:20" ht="19.8" thickTop="1" x14ac:dyDescent="0.25">
      <c r="A32" s="219" t="s">
        <v>86</v>
      </c>
      <c r="B32" s="220" t="s">
        <v>149</v>
      </c>
      <c r="C32" s="221" t="s">
        <v>294</v>
      </c>
      <c r="D32" s="210">
        <v>46226</v>
      </c>
      <c r="E32" s="222">
        <v>44.551000000000002</v>
      </c>
      <c r="F32" s="222">
        <v>235.72569999999999</v>
      </c>
      <c r="G32" s="222">
        <v>63.5</v>
      </c>
      <c r="H32" s="222">
        <v>51.5</v>
      </c>
      <c r="I32" s="223">
        <v>395.27670000000001</v>
      </c>
      <c r="J32" s="96">
        <f ca="1">WEEKNUM(FaturamentoMês[[#This Row],[data]],13)</f>
        <v>28</v>
      </c>
      <c r="K32" s="8" t="str">
        <f ca="1">TEXT(FaturamentoMês[[#This Row],[data]],"ddd")</f>
        <v>dom</v>
      </c>
      <c r="L32" s="27">
        <f t="shared" ca="1" si="0"/>
        <v>46215</v>
      </c>
      <c r="M32" s="7">
        <f ca="1">IF(SUMIFS(estoque[valor total],estoque[fornecedor],"saída",estoque[data],FaturamentoMês[[#This Row],[data]])=0,"",SUMIFS(estoque[valor total],estoque[fornecedor],"saída",estoque[data],FaturamentoMês[[#This Row],[data]]))</f>
        <v>956</v>
      </c>
      <c r="N32" s="7">
        <f ca="1">IF(SUMIFS(fechamento[total],fechamento[data],FaturamentoMês[[#This Row],[data]],fechamento[origem],"bruto")=0,"",SUMIFS(fechamento[total],fechamento[data],FaturamentoMês[[#This Row],[data]],fechamento[origem],"bruto"))</f>
        <v>740</v>
      </c>
      <c r="O3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404.26350000000008</v>
      </c>
      <c r="P32" s="7">
        <f ca="1">IF(SUMIFS(estoque[lucro],estoque[fornecedor],"saída",estoque[data],FaturamentoMês[[#This Row],[data]])=0,"",SUMIFS(estoque[lucro],estoque[fornecedor],"saída",estoque[data],FaturamentoMês[[#This Row],[data]]))</f>
        <v>215.29000000000002</v>
      </c>
      <c r="Q32" s="11"/>
      <c r="R32" s="11"/>
      <c r="S32" s="11"/>
    </row>
    <row r="33" spans="1:20" x14ac:dyDescent="0.25">
      <c r="A33" s="219" t="s">
        <v>87</v>
      </c>
      <c r="B33" s="220" t="s">
        <v>149</v>
      </c>
      <c r="C33" s="221" t="s">
        <v>294</v>
      </c>
      <c r="D33" s="211">
        <v>46226</v>
      </c>
      <c r="E33" s="224">
        <v>3.15E-2</v>
      </c>
      <c r="F33" s="224">
        <v>1.37E-2</v>
      </c>
      <c r="G33" s="224">
        <v>0</v>
      </c>
      <c r="H33" s="224">
        <v>0</v>
      </c>
      <c r="I33" s="225">
        <v>4.7233000000000001</v>
      </c>
      <c r="J33" s="96">
        <f ca="1">WEEKNUM(FaturamentoMês[[#This Row],[data]],13)</f>
        <v>28</v>
      </c>
      <c r="K33" s="8" t="str">
        <f ca="1">TEXT(FaturamentoMês[[#This Row],[data]],"ddd")</f>
        <v>sáb</v>
      </c>
      <c r="L33" s="27">
        <f t="shared" ca="1" si="0"/>
        <v>46214</v>
      </c>
      <c r="M33" s="7">
        <f ca="1">IF(SUMIFS(estoque[valor total],estoque[fornecedor],"saída",estoque[data],FaturamentoMês[[#This Row],[data]])=0,"",SUMIFS(estoque[valor total],estoque[fornecedor],"saída",estoque[data],FaturamentoMês[[#This Row],[data]]))</f>
        <v>537</v>
      </c>
      <c r="N33" s="7">
        <f ca="1">IF(SUMIFS(fechamento[total],fechamento[data],FaturamentoMês[[#This Row],[data]],fechamento[origem],"bruto")=0,"",SUMIFS(fechamento[total],fechamento[data],FaturamentoMês[[#This Row],[data]],fechamento[origem],"bruto"))</f>
        <v>517</v>
      </c>
      <c r="O3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360.37600000000009</v>
      </c>
      <c r="P33" s="7">
        <f ca="1">IF(SUMIFS(estoque[lucro],estoque[fornecedor],"saída",estoque[data],FaturamentoMês[[#This Row],[data]])=0,"",SUMIFS(estoque[lucro],estoque[fornecedor],"saída",estoque[data],FaturamentoMês[[#This Row],[data]]))</f>
        <v>140.63999999999999</v>
      </c>
    </row>
    <row r="34" spans="1:20" ht="19.8" thickBot="1" x14ac:dyDescent="0.3">
      <c r="A34" s="226" t="s">
        <v>205</v>
      </c>
      <c r="B34" s="227" t="s">
        <v>149</v>
      </c>
      <c r="C34" s="228" t="s">
        <v>294</v>
      </c>
      <c r="D34" s="212">
        <v>46226</v>
      </c>
      <c r="E34" s="229"/>
      <c r="F34" s="229"/>
      <c r="G34" s="229"/>
      <c r="H34" s="229"/>
      <c r="I34" s="230">
        <v>0</v>
      </c>
      <c r="J34" s="96">
        <f ca="1">WEEKNUM(FaturamentoMês[[#This Row],[data]],13)</f>
        <v>28</v>
      </c>
      <c r="K34" s="8" t="str">
        <f ca="1">TEXT(FaturamentoMês[[#This Row],[data]],"ddd")</f>
        <v>sex</v>
      </c>
      <c r="L34" s="27">
        <f t="shared" ca="1" si="0"/>
        <v>46213</v>
      </c>
      <c r="M34" s="7">
        <f ca="1">IF(SUMIFS(estoque[valor total],estoque[fornecedor],"saída",estoque[data],FaturamentoMês[[#This Row],[data]])=0,"",SUMIFS(estoque[valor total],estoque[fornecedor],"saída",estoque[data],FaturamentoMês[[#This Row],[data]]))</f>
        <v>448</v>
      </c>
      <c r="N34" s="7">
        <f ca="1">IF(SUMIFS(fechamento[total],fechamento[data],FaturamentoMês[[#This Row],[data]],fechamento[origem],"bruto")=0,"",SUMIFS(fechamento[total],fechamento[data],FaturamentoMês[[#This Row],[data]],fechamento[origem],"bruto"))</f>
        <v>772</v>
      </c>
      <c r="O3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270.40450000000004</v>
      </c>
      <c r="P34" s="7">
        <f ca="1">IF(SUMIFS(estoque[lucro],estoque[fornecedor],"saída",estoque[data],FaturamentoMês[[#This Row],[data]])=0,"",SUMIFS(estoque[lucro],estoque[fornecedor],"saída",estoque[data],FaturamentoMês[[#This Row],[data]]))</f>
        <v>90.83</v>
      </c>
    </row>
    <row r="35" spans="1:20" ht="20.399999999999999" thickTop="1" thickBot="1" x14ac:dyDescent="0.3">
      <c r="A35" s="215" t="s">
        <v>85</v>
      </c>
      <c r="B35" s="216" t="s">
        <v>149</v>
      </c>
      <c r="C35" s="217" t="s">
        <v>32</v>
      </c>
      <c r="D35" s="209">
        <v>46225</v>
      </c>
      <c r="E35" s="218">
        <v>66</v>
      </c>
      <c r="F35" s="218">
        <v>94</v>
      </c>
      <c r="G35" s="218">
        <v>240</v>
      </c>
      <c r="H35" s="218">
        <v>8</v>
      </c>
      <c r="I35" s="218">
        <v>408</v>
      </c>
      <c r="J35" s="96">
        <f ca="1">WEEKNUM(FaturamentoMês[[#This Row],[data]],13)</f>
        <v>28</v>
      </c>
      <c r="K35" s="8" t="str">
        <f ca="1">TEXT(FaturamentoMês[[#This Row],[data]],"ddd")</f>
        <v>qui</v>
      </c>
      <c r="L35" s="27">
        <f t="shared" ca="1" si="0"/>
        <v>46212</v>
      </c>
      <c r="M35" s="7">
        <f ca="1">IF(SUMIFS(estoque[valor total],estoque[fornecedor],"saída",estoque[data],FaturamentoMês[[#This Row],[data]])=0,"",SUMIFS(estoque[valor total],estoque[fornecedor],"saída",estoque[data],FaturamentoMês[[#This Row],[data]]))</f>
        <v>656</v>
      </c>
      <c r="N35" s="7">
        <f ca="1">IF(SUMIFS(fechamento[total],fechamento[data],FaturamentoMês[[#This Row],[data]],fechamento[origem],"bruto")=0,"",SUMIFS(fechamento[total],fechamento[data],FaturamentoMês[[#This Row],[data]],fechamento[origem],"bruto"))</f>
        <v>294</v>
      </c>
      <c r="O3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248.452</v>
      </c>
      <c r="P35" s="7">
        <f ca="1">IF(SUMIFS(estoque[lucro],estoque[fornecedor],"saída",estoque[data],FaturamentoMês[[#This Row],[data]])=0,"",SUMIFS(estoque[lucro],estoque[fornecedor],"saída",estoque[data],FaturamentoMês[[#This Row],[data]]))</f>
        <v>143.47999999999999</v>
      </c>
    </row>
    <row r="36" spans="1:20" ht="19.8" thickTop="1" x14ac:dyDescent="0.25">
      <c r="A36" s="219" t="s">
        <v>86</v>
      </c>
      <c r="B36" s="220" t="s">
        <v>149</v>
      </c>
      <c r="C36" s="221" t="s">
        <v>32</v>
      </c>
      <c r="D36" s="210">
        <v>46225</v>
      </c>
      <c r="E36" s="222">
        <v>63.920999999999999</v>
      </c>
      <c r="F36" s="222">
        <v>92.712199999999996</v>
      </c>
      <c r="G36" s="222">
        <v>240</v>
      </c>
      <c r="H36" s="222">
        <v>8</v>
      </c>
      <c r="I36" s="223">
        <v>404.63319999999999</v>
      </c>
      <c r="J36" s="96">
        <f ca="1">WEEKNUM(FaturamentoMês[[#This Row],[data]],13)</f>
        <v>28</v>
      </c>
      <c r="K36" s="8" t="str">
        <f ca="1">TEXT(FaturamentoMês[[#This Row],[data]],"ddd")</f>
        <v>qua</v>
      </c>
      <c r="L36" s="27">
        <f t="shared" ca="1" si="0"/>
        <v>46211</v>
      </c>
      <c r="M36" s="7">
        <f ca="1">IF(SUMIFS(estoque[valor total],estoque[fornecedor],"saída",estoque[data],FaturamentoMês[[#This Row],[data]])=0,"",SUMIFS(estoque[valor total],estoque[fornecedor],"saída",estoque[data],FaturamentoMês[[#This Row],[data]]))</f>
        <v>431</v>
      </c>
      <c r="N36" s="7">
        <f ca="1">IF(SUMIFS(fechamento[total],fechamento[data],FaturamentoMês[[#This Row],[data]],fechamento[origem],"bruto")=0,"",SUMIFS(fechamento[total],fechamento[data],FaturamentoMês[[#This Row],[data]],fechamento[origem],"bruto"))</f>
        <v>513</v>
      </c>
      <c r="O3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164.46</v>
      </c>
      <c r="P36" s="7">
        <f ca="1">IF(SUMIFS(estoque[lucro],estoque[fornecedor],"saída",estoque[data],FaturamentoMês[[#This Row],[data]])=0,"",SUMIFS(estoque[lucro],estoque[fornecedor],"saída",estoque[data],FaturamentoMês[[#This Row],[data]]))</f>
        <v>96.399999999999991</v>
      </c>
    </row>
    <row r="37" spans="1:20" x14ac:dyDescent="0.25">
      <c r="A37" s="219" t="s">
        <v>87</v>
      </c>
      <c r="B37" s="220" t="s">
        <v>149</v>
      </c>
      <c r="C37" s="221" t="s">
        <v>32</v>
      </c>
      <c r="D37" s="211">
        <v>46225</v>
      </c>
      <c r="E37" s="224">
        <v>3.15E-2</v>
      </c>
      <c r="F37" s="224">
        <v>1.37E-2</v>
      </c>
      <c r="G37" s="224">
        <v>0</v>
      </c>
      <c r="H37" s="224">
        <v>0</v>
      </c>
      <c r="I37" s="225">
        <v>3.3668000000000005</v>
      </c>
      <c r="J37" s="96">
        <f ca="1">WEEKNUM(FaturamentoMês[[#This Row],[data]],13)</f>
        <v>27</v>
      </c>
      <c r="K37" s="8" t="str">
        <f ca="1">TEXT(FaturamentoMês[[#This Row],[data]],"ddd")</f>
        <v>ter</v>
      </c>
      <c r="L37" s="27">
        <f t="shared" ca="1" si="0"/>
        <v>46210</v>
      </c>
      <c r="M37" s="7">
        <f ca="1">IF(SUMIFS(estoque[valor total],estoque[fornecedor],"saída",estoque[data],FaturamentoMês[[#This Row],[data]])=0,"",SUMIFS(estoque[valor total],estoque[fornecedor],"saída",estoque[data],FaturamentoMês[[#This Row],[data]]))</f>
        <v>715</v>
      </c>
      <c r="N37" s="7">
        <f ca="1">IF(SUMIFS(fechamento[total],fechamento[data],FaturamentoMês[[#This Row],[data]],fechamento[origem],"bruto")=0,"",SUMIFS(fechamento[total],fechamento[data],FaturamentoMês[[#This Row],[data]],fechamento[origem],"bruto"))</f>
        <v>715</v>
      </c>
      <c r="O3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327.52550000000002</v>
      </c>
      <c r="P37" s="7">
        <f ca="1">IF(SUMIFS(estoque[lucro],estoque[fornecedor],"saída",estoque[data],FaturamentoMês[[#This Row],[data]])=0,"",SUMIFS(estoque[lucro],estoque[fornecedor],"saída",estoque[data],FaturamentoMês[[#This Row],[data]]))</f>
        <v>154.96999999999997</v>
      </c>
    </row>
    <row r="38" spans="1:20" ht="19.8" thickBot="1" x14ac:dyDescent="0.3">
      <c r="A38" s="226" t="s">
        <v>205</v>
      </c>
      <c r="B38" s="227" t="s">
        <v>149</v>
      </c>
      <c r="C38" s="228" t="s">
        <v>32</v>
      </c>
      <c r="D38" s="212">
        <v>46225</v>
      </c>
      <c r="E38" s="229"/>
      <c r="F38" s="229"/>
      <c r="G38" s="229"/>
      <c r="H38" s="229"/>
      <c r="I38" s="230">
        <v>0</v>
      </c>
      <c r="J38" s="96">
        <f ca="1">WEEKNUM(FaturamentoMês[[#This Row],[data]],13)</f>
        <v>27</v>
      </c>
      <c r="K38" s="8" t="str">
        <f ca="1">TEXT(FaturamentoMês[[#This Row],[data]],"ddd")</f>
        <v>seg</v>
      </c>
      <c r="L38" s="27">
        <f t="shared" ca="1" si="0"/>
        <v>46209</v>
      </c>
      <c r="M38" s="7">
        <f ca="1">IF(SUMIFS(estoque[valor total],estoque[fornecedor],"saída",estoque[data],FaturamentoMês[[#This Row],[data]])=0,"",SUMIFS(estoque[valor total],estoque[fornecedor],"saída",estoque[data],FaturamentoMês[[#This Row],[data]]))</f>
        <v>549</v>
      </c>
      <c r="N38" s="7">
        <f ca="1">IF(SUMIFS(fechamento[total],fechamento[data],FaturamentoMês[[#This Row],[data]],fechamento[origem],"bruto")=0,"",SUMIFS(fechamento[total],fechamento[data],FaturamentoMês[[#This Row],[data]],fechamento[origem],"bruto"))</f>
        <v>759</v>
      </c>
      <c r="O3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284.54400000000004</v>
      </c>
      <c r="P38" s="7">
        <f ca="1">IF(SUMIFS(estoque[lucro],estoque[fornecedor],"saída",estoque[data],FaturamentoMês[[#This Row],[data]])=0,"",SUMIFS(estoque[lucro],estoque[fornecedor],"saída",estoque[data],FaturamentoMês[[#This Row],[data]]))</f>
        <v>133.56000000000003</v>
      </c>
    </row>
    <row r="39" spans="1:20" ht="20.399999999999999" thickTop="1" thickBot="1" x14ac:dyDescent="0.3">
      <c r="A39" s="215" t="s">
        <v>85</v>
      </c>
      <c r="B39" s="216" t="s">
        <v>149</v>
      </c>
      <c r="C39" s="217" t="s">
        <v>290</v>
      </c>
      <c r="D39" s="209">
        <v>46224</v>
      </c>
      <c r="E39" s="218">
        <v>46</v>
      </c>
      <c r="F39" s="218">
        <v>258</v>
      </c>
      <c r="G39" s="218">
        <v>225</v>
      </c>
      <c r="H39" s="218">
        <v>189</v>
      </c>
      <c r="I39" s="218">
        <v>718</v>
      </c>
      <c r="J39" s="96">
        <f ca="1">WEEKNUM(FaturamentoMês[[#This Row],[data]],13)</f>
        <v>27</v>
      </c>
      <c r="K39" s="8" t="str">
        <f ca="1">TEXT(FaturamentoMês[[#This Row],[data]],"ddd")</f>
        <v>dom</v>
      </c>
      <c r="L39" s="27">
        <f t="shared" ca="1" si="0"/>
        <v>46208</v>
      </c>
      <c r="M39" s="7">
        <f ca="1">IF(SUMIFS(estoque[valor total],estoque[fornecedor],"saída",estoque[data],FaturamentoMês[[#This Row],[data]])=0,"",SUMIFS(estoque[valor total],estoque[fornecedor],"saída",estoque[data],FaturamentoMês[[#This Row],[data]]))</f>
        <v>387</v>
      </c>
      <c r="N39" s="7">
        <f ca="1">IF(SUMIFS(fechamento[total],fechamento[data],FaturamentoMês[[#This Row],[data]],fechamento[origem],"bruto")=0,"",SUMIFS(fechamento[total],fechamento[data],FaturamentoMês[[#This Row],[data]],fechamento[origem],"bruto"))</f>
        <v>387</v>
      </c>
      <c r="O3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191.20700000000002</v>
      </c>
      <c r="P39" s="7">
        <f ca="1">IF(SUMIFS(estoque[lucro],estoque[fornecedor],"saída",estoque[data],FaturamentoMês[[#This Row],[data]])=0,"",SUMIFS(estoque[lucro],estoque[fornecedor],"saída",estoque[data],FaturamentoMês[[#This Row],[data]]))</f>
        <v>86.97999999999999</v>
      </c>
    </row>
    <row r="40" spans="1:20" ht="19.8" thickTop="1" x14ac:dyDescent="0.25">
      <c r="A40" s="219" t="s">
        <v>86</v>
      </c>
      <c r="B40" s="220" t="s">
        <v>149</v>
      </c>
      <c r="C40" s="221" t="s">
        <v>290</v>
      </c>
      <c r="D40" s="210">
        <v>46224</v>
      </c>
      <c r="E40" s="222">
        <v>44.551000000000002</v>
      </c>
      <c r="F40" s="222">
        <v>254.46539999999999</v>
      </c>
      <c r="G40" s="222">
        <v>225</v>
      </c>
      <c r="H40" s="222">
        <v>189</v>
      </c>
      <c r="I40" s="223">
        <v>713.01639999999998</v>
      </c>
      <c r="J40" s="96">
        <f ca="1">WEEKNUM(FaturamentoMês[[#This Row],[data]],13)</f>
        <v>27</v>
      </c>
      <c r="K40" s="8" t="str">
        <f ca="1">TEXT(FaturamentoMês[[#This Row],[data]],"ddd")</f>
        <v>sáb</v>
      </c>
      <c r="L40" s="27">
        <f t="shared" ca="1" si="0"/>
        <v>46207</v>
      </c>
      <c r="M40" s="7">
        <f ca="1">IF(SUMIFS(estoque[valor total],estoque[fornecedor],"saída",estoque[data],FaturamentoMês[[#This Row],[data]])=0,"",SUMIFS(estoque[valor total],estoque[fornecedor],"saída",estoque[data],FaturamentoMês[[#This Row],[data]]))</f>
        <v>921</v>
      </c>
      <c r="N40" s="7">
        <f ca="1">IF(SUMIFS(fechamento[total],fechamento[data],FaturamentoMês[[#This Row],[data]],fechamento[origem],"bruto")=0,"",SUMIFS(fechamento[total],fechamento[data],FaturamentoMês[[#This Row],[data]],fechamento[origem],"bruto"))</f>
        <v>915</v>
      </c>
      <c r="O4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223.03100000000003</v>
      </c>
      <c r="P40" s="7">
        <f ca="1">IF(SUMIFS(estoque[lucro],estoque[fornecedor],"saída",estoque[data],FaturamentoMês[[#This Row],[data]])=0,"",SUMIFS(estoque[lucro],estoque[fornecedor],"saída",estoque[data],FaturamentoMês[[#This Row],[data]]))</f>
        <v>189.74</v>
      </c>
    </row>
    <row r="41" spans="1:20" x14ac:dyDescent="0.25">
      <c r="A41" s="219" t="s">
        <v>87</v>
      </c>
      <c r="B41" s="220" t="s">
        <v>149</v>
      </c>
      <c r="C41" s="221" t="s">
        <v>290</v>
      </c>
      <c r="D41" s="211">
        <v>46224</v>
      </c>
      <c r="E41" s="224">
        <v>3.15E-2</v>
      </c>
      <c r="F41" s="224">
        <v>1.37E-2</v>
      </c>
      <c r="G41" s="224">
        <v>0</v>
      </c>
      <c r="H41" s="224">
        <v>0</v>
      </c>
      <c r="I41" s="225">
        <v>4.9836</v>
      </c>
      <c r="J41" s="96">
        <f ca="1">WEEKNUM(FaturamentoMês[[#This Row],[data]],13)</f>
        <v>27</v>
      </c>
      <c r="K41" s="8" t="str">
        <f ca="1">TEXT(FaturamentoMês[[#This Row],[data]],"ddd")</f>
        <v>sex</v>
      </c>
      <c r="L41" s="27">
        <f t="shared" ca="1" si="0"/>
        <v>46206</v>
      </c>
      <c r="M41" s="7">
        <f ca="1">IF(SUMIFS(estoque[valor total],estoque[fornecedor],"saída",estoque[data],FaturamentoMês[[#This Row],[data]])=0,"",SUMIFS(estoque[valor total],estoque[fornecedor],"saída",estoque[data],FaturamentoMês[[#This Row],[data]]))</f>
        <v>648</v>
      </c>
      <c r="N41" s="7">
        <f ca="1">IF(SUMIFS(fechamento[total],fechamento[data],FaturamentoMês[[#This Row],[data]],fechamento[origem],"bruto")=0,"",SUMIFS(fechamento[total],fechamento[data],FaturamentoMês[[#This Row],[data]],fechamento[origem],"bruto"))</f>
        <v>666</v>
      </c>
      <c r="O4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177.50200000000001</v>
      </c>
      <c r="P41" s="7">
        <f ca="1">IF(SUMIFS(estoque[lucro],estoque[fornecedor],"saída",estoque[data],FaturamentoMês[[#This Row],[data]])=0,"",SUMIFS(estoque[lucro],estoque[fornecedor],"saída",estoque[data],FaturamentoMês[[#This Row],[data]]))</f>
        <v>135.88</v>
      </c>
    </row>
    <row r="42" spans="1:20" ht="19.8" thickBot="1" x14ac:dyDescent="0.3">
      <c r="A42" s="226" t="s">
        <v>205</v>
      </c>
      <c r="B42" s="227" t="s">
        <v>149</v>
      </c>
      <c r="C42" s="228" t="s">
        <v>290</v>
      </c>
      <c r="D42" s="212">
        <v>46224</v>
      </c>
      <c r="E42" s="229"/>
      <c r="F42" s="229"/>
      <c r="G42" s="229"/>
      <c r="H42" s="229"/>
      <c r="I42" s="230">
        <v>0</v>
      </c>
      <c r="J42" s="96">
        <f ca="1">WEEKNUM(FaturamentoMês[[#This Row],[data]],13)</f>
        <v>27</v>
      </c>
      <c r="K42" s="8" t="str">
        <f ca="1">TEXT(FaturamentoMês[[#This Row],[data]],"ddd")</f>
        <v>qui</v>
      </c>
      <c r="L42" s="27">
        <f t="shared" ca="1" si="0"/>
        <v>46205</v>
      </c>
      <c r="M42" s="7">
        <f ca="1">IF(SUMIFS(estoque[valor total],estoque[fornecedor],"saída",estoque[data],FaturamentoMês[[#This Row],[data]])=0,"",SUMIFS(estoque[valor total],estoque[fornecedor],"saída",estoque[data],FaturamentoMês[[#This Row],[data]]))</f>
        <v>887</v>
      </c>
      <c r="N42" s="7">
        <f ca="1">IF(SUMIFS(fechamento[total],fechamento[data],FaturamentoMês[[#This Row],[data]],fechamento[origem],"bruto")=0,"",SUMIFS(fechamento[total],fechamento[data],FaturamentoMês[[#This Row],[data]],fechamento[origem],"bruto"))</f>
        <v>1060</v>
      </c>
      <c r="O42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177.8715</v>
      </c>
      <c r="P42" s="7">
        <f ca="1">IF(SUMIFS(estoque[lucro],estoque[fornecedor],"saída",estoque[data],FaturamentoMês[[#This Row],[data]])=0,"",SUMIFS(estoque[lucro],estoque[fornecedor],"saída",estoque[data],FaturamentoMês[[#This Row],[data]]))</f>
        <v>185.81</v>
      </c>
    </row>
    <row r="43" spans="1:20" ht="20.399999999999999" thickTop="1" thickBot="1" x14ac:dyDescent="0.3">
      <c r="A43" s="215" t="s">
        <v>85</v>
      </c>
      <c r="B43" s="216" t="s">
        <v>149</v>
      </c>
      <c r="C43" s="217" t="s">
        <v>291</v>
      </c>
      <c r="D43" s="209">
        <v>46223</v>
      </c>
      <c r="E43" s="218">
        <v>40</v>
      </c>
      <c r="F43" s="218">
        <v>220</v>
      </c>
      <c r="G43" s="218">
        <v>323</v>
      </c>
      <c r="H43" s="218">
        <v>92</v>
      </c>
      <c r="I43" s="218">
        <v>675</v>
      </c>
      <c r="J43" s="96">
        <f ca="1">WEEKNUM(FaturamentoMês[[#This Row],[data]],13)</f>
        <v>27</v>
      </c>
      <c r="K43" s="8" t="str">
        <f ca="1">TEXT(FaturamentoMês[[#This Row],[data]],"ddd")</f>
        <v>qua</v>
      </c>
      <c r="L43" s="27">
        <f t="shared" ca="1" si="0"/>
        <v>46204</v>
      </c>
      <c r="M43" s="7">
        <f ca="1">IF(SUMIFS(estoque[valor total],estoque[fornecedor],"saída",estoque[data],FaturamentoMês[[#This Row],[data]])=0,"",SUMIFS(estoque[valor total],estoque[fornecedor],"saída",estoque[data],FaturamentoMês[[#This Row],[data]]))</f>
        <v>786</v>
      </c>
      <c r="N43" s="7">
        <f ca="1">IF(SUMIFS(fechamento[total],fechamento[data],FaturamentoMês[[#This Row],[data]],fechamento[origem],"bruto")=0,"",SUMIFS(fechamento[total],fechamento[data],FaturamentoMês[[#This Row],[data]],fechamento[origem],"bruto"))</f>
        <v>638</v>
      </c>
      <c r="O43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173.05950000000001</v>
      </c>
      <c r="P43" s="7">
        <f ca="1">IF(SUMIFS(estoque[lucro],estoque[fornecedor],"saída",estoque[data],FaturamentoMês[[#This Row],[data]])=0,"",SUMIFS(estoque[lucro],estoque[fornecedor],"saída",estoque[data],FaturamentoMês[[#This Row],[data]]))</f>
        <v>153.73000000000002</v>
      </c>
    </row>
    <row r="44" spans="1:20" ht="19.8" thickTop="1" x14ac:dyDescent="0.25">
      <c r="A44" s="219" t="s">
        <v>86</v>
      </c>
      <c r="B44" s="220" t="s">
        <v>149</v>
      </c>
      <c r="C44" s="221" t="s">
        <v>291</v>
      </c>
      <c r="D44" s="210">
        <v>46223</v>
      </c>
      <c r="E44" s="222">
        <v>38.74</v>
      </c>
      <c r="F44" s="222">
        <v>216.98599999999999</v>
      </c>
      <c r="G44" s="222">
        <v>323</v>
      </c>
      <c r="H44" s="222">
        <v>92</v>
      </c>
      <c r="I44" s="223">
        <v>670.726</v>
      </c>
      <c r="J44" s="96">
        <f ca="1">WEEKNUM(FaturamentoMês[[#This Row],[data]],13)</f>
        <v>26</v>
      </c>
      <c r="K44" s="8" t="str">
        <f ca="1">TEXT(FaturamentoMês[[#This Row],[data]],"ddd")</f>
        <v>ter</v>
      </c>
      <c r="L44" s="27">
        <f t="shared" ca="1" si="0"/>
        <v>46203</v>
      </c>
      <c r="M44" s="7">
        <f ca="1">IF(SUMIFS(estoque[valor total],estoque[fornecedor],"saída",estoque[data],FaturamentoMês[[#This Row],[data]])=0,"",SUMIFS(estoque[valor total],estoque[fornecedor],"saída",estoque[data],FaturamentoMês[[#This Row],[data]]))</f>
        <v>879</v>
      </c>
      <c r="N44" s="7">
        <f ca="1">IF(SUMIFS(fechamento[total],fechamento[data],FaturamentoMês[[#This Row],[data]],fechamento[origem],"bruto")=0,"",SUMIFS(fechamento[total],fechamento[data],FaturamentoMês[[#This Row],[data]],fechamento[origem],"bruto"))</f>
        <v>1000</v>
      </c>
      <c r="O44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647.7650000000001</v>
      </c>
      <c r="P44" s="7">
        <f ca="1">IF(SUMIFS(estoque[lucro],estoque[fornecedor],"saída",estoque[data],FaturamentoMês[[#This Row],[data]])=0,"",SUMIFS(estoque[lucro],estoque[fornecedor],"saída",estoque[data],FaturamentoMês[[#This Row],[data]]))</f>
        <v>179.10000000000002</v>
      </c>
    </row>
    <row r="45" spans="1:20" x14ac:dyDescent="0.25">
      <c r="A45" s="219" t="s">
        <v>87</v>
      </c>
      <c r="B45" s="220" t="s">
        <v>149</v>
      </c>
      <c r="C45" s="221" t="s">
        <v>291</v>
      </c>
      <c r="D45" s="211">
        <v>46223</v>
      </c>
      <c r="E45" s="224">
        <v>3.15E-2</v>
      </c>
      <c r="F45" s="224">
        <v>1.37E-2</v>
      </c>
      <c r="G45" s="224">
        <v>0</v>
      </c>
      <c r="H45" s="224">
        <v>0</v>
      </c>
      <c r="I45" s="225">
        <v>4.274</v>
      </c>
      <c r="J45" s="96">
        <f ca="1">WEEKNUM(FaturamentoMês[[#This Row],[data]],13)</f>
        <v>26</v>
      </c>
      <c r="K45" s="8" t="str">
        <f ca="1">TEXT(FaturamentoMês[[#This Row],[data]],"ddd")</f>
        <v>seg</v>
      </c>
      <c r="L45" s="27">
        <f t="shared" ca="1" si="0"/>
        <v>46202</v>
      </c>
      <c r="M45" s="7">
        <f ca="1">IF(SUMIFS(estoque[valor total],estoque[fornecedor],"saída",estoque[data],FaturamentoMês[[#This Row],[data]])=0,"",SUMIFS(estoque[valor total],estoque[fornecedor],"saída",estoque[data],FaturamentoMês[[#This Row],[data]]))</f>
        <v>354</v>
      </c>
      <c r="N45" s="7">
        <f ca="1">IF(SUMIFS(fechamento[total],fechamento[data],FaturamentoMês[[#This Row],[data]],fechamento[origem],"bruto")=0,"",SUMIFS(fechamento[total],fechamento[data],FaturamentoMês[[#This Row],[data]],fechamento[origem],"bruto"))</f>
        <v>582</v>
      </c>
      <c r="O45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531.11750000000018</v>
      </c>
      <c r="P45" s="7">
        <f ca="1">IF(SUMIFS(estoque[lucro],estoque[fornecedor],"saída",estoque[data],FaturamentoMês[[#This Row],[data]])=0,"",SUMIFS(estoque[lucro],estoque[fornecedor],"saída",estoque[data],FaturamentoMês[[#This Row],[data]]))</f>
        <v>72.650000000000006</v>
      </c>
    </row>
    <row r="46" spans="1:20" ht="19.8" thickBot="1" x14ac:dyDescent="0.3">
      <c r="A46" s="226" t="s">
        <v>205</v>
      </c>
      <c r="B46" s="227" t="s">
        <v>149</v>
      </c>
      <c r="C46" s="228" t="s">
        <v>291</v>
      </c>
      <c r="D46" s="212">
        <v>46223</v>
      </c>
      <c r="E46" s="229"/>
      <c r="F46" s="229"/>
      <c r="G46" s="229"/>
      <c r="H46" s="229"/>
      <c r="I46" s="230">
        <v>0</v>
      </c>
      <c r="J46" s="96">
        <f ca="1">WEEKNUM(FaturamentoMês[[#This Row],[data]],13)</f>
        <v>26</v>
      </c>
      <c r="K46" s="8" t="str">
        <f ca="1">TEXT(FaturamentoMês[[#This Row],[data]],"ddd")</f>
        <v>dom</v>
      </c>
      <c r="L46" s="27">
        <f t="shared" ca="1" si="0"/>
        <v>46201</v>
      </c>
      <c r="M46" s="7">
        <f ca="1">IF(SUMIFS(estoque[valor total],estoque[fornecedor],"saída",estoque[data],FaturamentoMês[[#This Row],[data]])=0,"",SUMIFS(estoque[valor total],estoque[fornecedor],"saída",estoque[data],FaturamentoMês[[#This Row],[data]]))</f>
        <v>505</v>
      </c>
      <c r="N46" s="7">
        <f ca="1">IF(SUMIFS(fechamento[total],fechamento[data],FaturamentoMês[[#This Row],[data]],fechamento[origem],"bruto")=0,"",SUMIFS(fechamento[total],fechamento[data],FaturamentoMês[[#This Row],[data]],fechamento[origem],"bruto"))</f>
        <v>634.5</v>
      </c>
      <c r="O46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477.05850000000009</v>
      </c>
      <c r="P46" s="7">
        <f ca="1">IF(SUMIFS(estoque[lucro],estoque[fornecedor],"saída",estoque[data],FaturamentoMês[[#This Row],[data]])=0,"",SUMIFS(estoque[lucro],estoque[fornecedor],"saída",estoque[data],FaturamentoMês[[#This Row],[data]]))</f>
        <v>113.19</v>
      </c>
      <c r="Q46" s="11"/>
    </row>
    <row r="47" spans="1:20" ht="20.399999999999999" thickTop="1" thickBot="1" x14ac:dyDescent="0.3">
      <c r="A47" s="215" t="s">
        <v>85</v>
      </c>
      <c r="B47" s="216" t="s">
        <v>149</v>
      </c>
      <c r="C47" s="217" t="s">
        <v>93</v>
      </c>
      <c r="D47" s="209">
        <v>46222</v>
      </c>
      <c r="E47" s="218">
        <v>88</v>
      </c>
      <c r="F47" s="218">
        <v>160</v>
      </c>
      <c r="G47" s="218">
        <v>40</v>
      </c>
      <c r="H47" s="218">
        <v>6</v>
      </c>
      <c r="I47" s="218">
        <v>294</v>
      </c>
      <c r="J47" s="96">
        <f ca="1">WEEKNUM(FaturamentoMês[[#This Row],[data]],13)</f>
        <v>26</v>
      </c>
      <c r="K47" s="8" t="str">
        <f ca="1">TEXT(FaturamentoMês[[#This Row],[data]],"ddd")</f>
        <v>sáb</v>
      </c>
      <c r="L47" s="27">
        <f t="shared" ca="1" si="0"/>
        <v>46200</v>
      </c>
      <c r="M47" s="7">
        <f ca="1">IF(SUMIFS(estoque[valor total],estoque[fornecedor],"saída",estoque[data],FaturamentoMês[[#This Row],[data]])=0,"",SUMIFS(estoque[valor total],estoque[fornecedor],"saída",estoque[data],FaturamentoMês[[#This Row],[data]]))</f>
        <v>444</v>
      </c>
      <c r="N47" s="7">
        <f ca="1">IF(SUMIFS(fechamento[total],fechamento[data],FaturamentoMês[[#This Row],[data]],fechamento[origem],"bruto")=0,"",SUMIFS(fechamento[total],fechamento[data],FaturamentoMês[[#This Row],[data]],fechamento[origem],"bruto"))</f>
        <v>424</v>
      </c>
      <c r="O47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400.85300000000001</v>
      </c>
      <c r="P47" s="7">
        <f ca="1">IF(SUMIFS(estoque[lucro],estoque[fornecedor],"saída",estoque[data],FaturamentoMês[[#This Row],[data]])=0,"",SUMIFS(estoque[lucro],estoque[fornecedor],"saída",estoque[data],FaturamentoMês[[#This Row],[data]]))</f>
        <v>99.22</v>
      </c>
      <c r="Q47" s="11"/>
      <c r="S47" s="11"/>
      <c r="T47" s="11"/>
    </row>
    <row r="48" spans="1:20" ht="19.8" thickTop="1" x14ac:dyDescent="0.25">
      <c r="A48" s="219" t="s">
        <v>86</v>
      </c>
      <c r="B48" s="220" t="s">
        <v>149</v>
      </c>
      <c r="C48" s="221" t="s">
        <v>93</v>
      </c>
      <c r="D48" s="210">
        <v>46222</v>
      </c>
      <c r="E48" s="222">
        <v>85.227999999999994</v>
      </c>
      <c r="F48" s="222">
        <v>157.80799999999999</v>
      </c>
      <c r="G48" s="222">
        <v>40</v>
      </c>
      <c r="H48" s="222">
        <v>6</v>
      </c>
      <c r="I48" s="223">
        <v>289.036</v>
      </c>
      <c r="J48" s="96">
        <f ca="1">WEEKNUM(FaturamentoMês[[#This Row],[data]],13)</f>
        <v>26</v>
      </c>
      <c r="K48" s="8" t="str">
        <f ca="1">TEXT(FaturamentoMês[[#This Row],[data]],"ddd")</f>
        <v>sex</v>
      </c>
      <c r="L48" s="27">
        <f t="shared" ca="1" si="0"/>
        <v>46199</v>
      </c>
      <c r="M48" s="7">
        <f ca="1">IF(SUMIFS(estoque[valor total],estoque[fornecedor],"saída",estoque[data],FaturamentoMês[[#This Row],[data]])=0,"",SUMIFS(estoque[valor total],estoque[fornecedor],"saída",estoque[data],FaturamentoMês[[#This Row],[data]]))</f>
        <v>280</v>
      </c>
      <c r="N48" s="7">
        <f ca="1">IF(SUMIFS(fechamento[total],fechamento[data],FaturamentoMês[[#This Row],[data]],fechamento[origem],"bruto")=0,"",SUMIFS(fechamento[total],fechamento[data],FaturamentoMês[[#This Row],[data]],fechamento[origem],"bruto"))</f>
        <v>184</v>
      </c>
      <c r="O48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259.74400000000003</v>
      </c>
      <c r="P48" s="7">
        <f ca="1">IF(SUMIFS(estoque[lucro],estoque[fornecedor],"saída",estoque[data],FaturamentoMês[[#This Row],[data]])=0,"",SUMIFS(estoque[lucro],estoque[fornecedor],"saída",estoque[data],FaturamentoMês[[#This Row],[data]]))</f>
        <v>40.96</v>
      </c>
      <c r="Q48" s="11"/>
      <c r="R48" s="11"/>
      <c r="S48" s="11"/>
    </row>
    <row r="49" spans="1:19" x14ac:dyDescent="0.25">
      <c r="A49" s="219" t="s">
        <v>87</v>
      </c>
      <c r="B49" s="220" t="s">
        <v>149</v>
      </c>
      <c r="C49" s="221" t="s">
        <v>93</v>
      </c>
      <c r="D49" s="211">
        <v>46222</v>
      </c>
      <c r="E49" s="224">
        <v>3.15E-2</v>
      </c>
      <c r="F49" s="224">
        <v>1.37E-2</v>
      </c>
      <c r="G49" s="224">
        <v>0</v>
      </c>
      <c r="H49" s="224">
        <v>0</v>
      </c>
      <c r="I49" s="225">
        <v>4.9640000000000004</v>
      </c>
      <c r="J49" s="96">
        <f ca="1">WEEKNUM(FaturamentoMês[[#This Row],[data]],13)</f>
        <v>26</v>
      </c>
      <c r="K49" s="8" t="str">
        <f ca="1">TEXT(FaturamentoMês[[#This Row],[data]],"ddd")</f>
        <v>qui</v>
      </c>
      <c r="L49" s="27">
        <f t="shared" ca="1" si="0"/>
        <v>46198</v>
      </c>
      <c r="M49" s="7">
        <f ca="1">IF(SUMIFS(estoque[valor total],estoque[fornecedor],"saída",estoque[data],FaturamentoMês[[#This Row],[data]])=0,"",SUMIFS(estoque[valor total],estoque[fornecedor],"saída",estoque[data],FaturamentoMês[[#This Row],[data]]))</f>
        <v>706</v>
      </c>
      <c r="N49" s="7">
        <f ca="1">IF(SUMIFS(fechamento[total],fechamento[data],FaturamentoMês[[#This Row],[data]],fechamento[origem],"bruto")=0,"",SUMIFS(fechamento[total],fechamento[data],FaturamentoMês[[#This Row],[data]],fechamento[origem],"bruto"))</f>
        <v>592</v>
      </c>
      <c r="O49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247.96300000000002</v>
      </c>
      <c r="P49" s="7">
        <f ca="1">IF(SUMIFS(estoque[lucro],estoque[fornecedor],"saída",estoque[data],FaturamentoMês[[#This Row],[data]])=0,"",SUMIFS(estoque[lucro],estoque[fornecedor],"saída",estoque[data],FaturamentoMês[[#This Row],[data]]))</f>
        <v>145.82</v>
      </c>
      <c r="Q49" s="11"/>
      <c r="R49" s="11"/>
      <c r="S49" s="11"/>
    </row>
    <row r="50" spans="1:19" ht="19.8" thickBot="1" x14ac:dyDescent="0.3">
      <c r="A50" s="226" t="s">
        <v>205</v>
      </c>
      <c r="B50" s="227" t="s">
        <v>149</v>
      </c>
      <c r="C50" s="228" t="s">
        <v>93</v>
      </c>
      <c r="D50" s="212">
        <v>46222</v>
      </c>
      <c r="E50" s="229"/>
      <c r="F50" s="229"/>
      <c r="G50" s="229"/>
      <c r="H50" s="229"/>
      <c r="I50" s="230">
        <v>0</v>
      </c>
      <c r="J50" s="96">
        <f ca="1">WEEKNUM(FaturamentoMês[[#This Row],[data]],13)</f>
        <v>26</v>
      </c>
      <c r="K50" s="8" t="str">
        <f ca="1">TEXT(FaturamentoMês[[#This Row],[data]],"ddd")</f>
        <v>qua</v>
      </c>
      <c r="L50" s="27">
        <f t="shared" ca="1" si="0"/>
        <v>46197</v>
      </c>
      <c r="M50" s="7">
        <f ca="1">IF(SUMIFS(estoque[valor total],estoque[fornecedor],"saída",estoque[data],FaturamentoMês[[#This Row],[data]])=0,"",SUMIFS(estoque[valor total],estoque[fornecedor],"saída",estoque[data],FaturamentoMês[[#This Row],[data]]))</f>
        <v>518</v>
      </c>
      <c r="N50" s="7">
        <f ca="1">IF(SUMIFS(fechamento[total],fechamento[data],FaturamentoMês[[#This Row],[data]],fechamento[origem],"bruto")=0,"",SUMIFS(fechamento[total],fechamento[data],FaturamentoMês[[#This Row],[data]],fechamento[origem],"bruto"))</f>
        <v>404</v>
      </c>
      <c r="O50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164.58600000000001</v>
      </c>
      <c r="P50" s="7">
        <f ca="1">IF(SUMIFS(estoque[lucro],estoque[fornecedor],"saída",estoque[data],FaturamentoMês[[#This Row],[data]])=0,"",SUMIFS(estoque[lucro],estoque[fornecedor],"saída",estoque[data],FaturamentoMês[[#This Row],[data]]))</f>
        <v>97.24</v>
      </c>
      <c r="Q50" s="11"/>
    </row>
    <row r="51" spans="1:19" ht="20.399999999999999" thickTop="1" thickBot="1" x14ac:dyDescent="0.3">
      <c r="A51" s="215" t="s">
        <v>85</v>
      </c>
      <c r="B51" s="216" t="s">
        <v>149</v>
      </c>
      <c r="C51" s="217" t="s">
        <v>92</v>
      </c>
      <c r="D51" s="209">
        <v>46221</v>
      </c>
      <c r="E51" s="218">
        <v>66</v>
      </c>
      <c r="F51" s="218">
        <v>115</v>
      </c>
      <c r="G51" s="218">
        <v>55</v>
      </c>
      <c r="H51" s="218">
        <v>51</v>
      </c>
      <c r="I51" s="218">
        <v>287</v>
      </c>
      <c r="J51" s="96">
        <f ca="1">WEEKNUM(FaturamentoMês[[#This Row],[data]],13)</f>
        <v>25</v>
      </c>
      <c r="K51" s="8" t="str">
        <f ca="1">TEXT(FaturamentoMês[[#This Row],[data]],"ddd")</f>
        <v>ter</v>
      </c>
      <c r="L51" s="27">
        <f t="shared" ca="1" si="0"/>
        <v>46196</v>
      </c>
      <c r="M51" s="7">
        <f ca="1">IF(SUMIFS(estoque[valor total],estoque[fornecedor],"saída",estoque[data],FaturamentoMês[[#This Row],[data]])=0,"",SUMIFS(estoque[valor total],estoque[fornecedor],"saída",estoque[data],FaturamentoMês[[#This Row],[data]]))</f>
        <v>1331</v>
      </c>
      <c r="N51" s="7">
        <f ca="1">IF(SUMIFS(fechamento[total],fechamento[data],FaturamentoMês[[#This Row],[data]],fechamento[origem],"bruto")=0,"",SUMIFS(fechamento[total],fechamento[data],FaturamentoMês[[#This Row],[data]],fechamento[origem],"bruto"))</f>
        <v>989</v>
      </c>
      <c r="O51" s="7">
        <f ca="1">IFERROR(IF(SUMIF(vendaAno[data],FaturamentoMês[[#This Row],[data]],vendaAno[meta 173,33])&lt;0,ABS(SUMIF(vendaAno[data],FaturamentoMês[[#This Row],[data]],vendaAno[meta 173,33]))+FaturamentoMês[[#This Row],[lucro]]+FaturamentoMês[[#This Row],[lucro]]*15%,FaturamentoMês[[#This Row],[lucro]]*15%+150),0)</f>
        <v>721.56750000000011</v>
      </c>
      <c r="P51" s="7">
        <f ca="1">IF(SUMIFS(estoque[lucro],estoque[fornecedor],"saída",estoque[data],FaturamentoMês[[#This Row],[data]])=0,"",SUMIFS(estoque[lucro],estoque[fornecedor],"saída",estoque[data],FaturamentoMês[[#This Row],[data]]))</f>
        <v>248.05</v>
      </c>
      <c r="Q51" s="11"/>
      <c r="R51" s="11"/>
      <c r="S51" s="11"/>
    </row>
    <row r="52" spans="1:19" ht="19.8" thickTop="1" x14ac:dyDescent="0.25">
      <c r="A52" s="219" t="s">
        <v>86</v>
      </c>
      <c r="B52" s="220" t="s">
        <v>149</v>
      </c>
      <c r="C52" s="221" t="s">
        <v>92</v>
      </c>
      <c r="D52" s="210">
        <v>46221</v>
      </c>
      <c r="E52" s="222">
        <v>63.920999999999999</v>
      </c>
      <c r="F52" s="222">
        <v>113.42449999999999</v>
      </c>
      <c r="G52" s="222">
        <v>55</v>
      </c>
      <c r="H52" s="222">
        <v>51</v>
      </c>
      <c r="I52" s="223">
        <v>283.34550000000002</v>
      </c>
      <c r="J52" t="s">
        <v>196</v>
      </c>
      <c r="K52" t="s">
        <v>143</v>
      </c>
      <c r="L52" t="s">
        <v>24</v>
      </c>
      <c r="M52" t="s">
        <v>22</v>
      </c>
      <c r="N52" t="s">
        <v>182</v>
      </c>
      <c r="O52" t="s">
        <v>176</v>
      </c>
      <c r="P52" s="61" t="s">
        <v>7</v>
      </c>
      <c r="Q52" s="7" t="s">
        <v>8</v>
      </c>
    </row>
    <row r="53" spans="1:19" x14ac:dyDescent="0.25">
      <c r="A53" s="219" t="s">
        <v>87</v>
      </c>
      <c r="B53" s="220" t="s">
        <v>149</v>
      </c>
      <c r="C53" s="221" t="s">
        <v>92</v>
      </c>
      <c r="D53" s="211">
        <v>46221</v>
      </c>
      <c r="E53" s="224">
        <v>3.15E-2</v>
      </c>
      <c r="F53" s="224">
        <v>1.37E-2</v>
      </c>
      <c r="G53" s="224">
        <v>0</v>
      </c>
      <c r="H53" s="224">
        <v>0</v>
      </c>
      <c r="I53" s="225">
        <v>3.6545000000000005</v>
      </c>
      <c r="J53" s="82">
        <v>1</v>
      </c>
      <c r="K53" s="27">
        <v>46023</v>
      </c>
      <c r="L5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15.333333333333332</v>
      </c>
      <c r="M5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6.5</v>
      </c>
      <c r="N5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5137</v>
      </c>
      <c r="O5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4960.5</v>
      </c>
      <c r="P5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840.62999999999988</v>
      </c>
      <c r="Q53" s="26">
        <f>IFERROR(faturamentoSemanal[[#This Row],[lucro]]/faturamentoSemanal[[#This Row],[valor de saída]],"")</f>
        <v>0.16364220362079032</v>
      </c>
      <c r="R53" s="29"/>
    </row>
    <row r="54" spans="1:19" ht="19.8" thickBot="1" x14ac:dyDescent="0.3">
      <c r="A54" s="226" t="s">
        <v>205</v>
      </c>
      <c r="B54" s="227" t="s">
        <v>149</v>
      </c>
      <c r="C54" s="228" t="s">
        <v>92</v>
      </c>
      <c r="D54" s="212">
        <v>46221</v>
      </c>
      <c r="E54" s="229"/>
      <c r="F54" s="229"/>
      <c r="G54" s="229"/>
      <c r="H54" s="229"/>
      <c r="I54" s="230">
        <v>0</v>
      </c>
      <c r="J54" s="82">
        <v>2</v>
      </c>
      <c r="K54" s="27">
        <f>K53+7</f>
        <v>46030</v>
      </c>
      <c r="L5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18.333333333333336</v>
      </c>
      <c r="M5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3.3333333333333335</v>
      </c>
      <c r="N5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4922.5</v>
      </c>
      <c r="O5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5090</v>
      </c>
      <c r="P5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846.08545564965414</v>
      </c>
      <c r="Q54" s="26">
        <f>IFERROR(faturamentoSemanal[[#This Row],[lucro]]/faturamentoSemanal[[#This Row],[valor de saída]],"")</f>
        <v>0.17188125051288047</v>
      </c>
      <c r="R54" s="11"/>
    </row>
    <row r="55" spans="1:19" ht="20.399999999999999" thickTop="1" thickBot="1" x14ac:dyDescent="0.3">
      <c r="A55" s="215" t="s">
        <v>85</v>
      </c>
      <c r="B55" s="216" t="s">
        <v>149</v>
      </c>
      <c r="C55" s="217" t="s">
        <v>83</v>
      </c>
      <c r="D55" s="209">
        <v>46220</v>
      </c>
      <c r="E55" s="218">
        <v>65</v>
      </c>
      <c r="F55" s="218">
        <v>101</v>
      </c>
      <c r="G55" s="218">
        <v>222</v>
      </c>
      <c r="H55" s="218">
        <v>17</v>
      </c>
      <c r="I55" s="218">
        <v>405</v>
      </c>
      <c r="J55" s="82">
        <v>3</v>
      </c>
      <c r="K55" s="27">
        <f t="shared" ref="K55:K105" si="1">K54+7</f>
        <v>46037</v>
      </c>
      <c r="L5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15.750000000000002</v>
      </c>
      <c r="M5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3.1666666666666665</v>
      </c>
      <c r="N5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4535</v>
      </c>
      <c r="O5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4088</v>
      </c>
      <c r="P5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974.26</v>
      </c>
      <c r="Q55" s="26">
        <f>IFERROR(faturamentoSemanal[[#This Row],[lucro]]/faturamentoSemanal[[#This Row],[valor de saída]],"")</f>
        <v>0.21483131201764058</v>
      </c>
      <c r="R55" s="11"/>
    </row>
    <row r="56" spans="1:19" ht="19.8" thickTop="1" x14ac:dyDescent="0.25">
      <c r="A56" s="219" t="s">
        <v>86</v>
      </c>
      <c r="B56" s="220" t="s">
        <v>149</v>
      </c>
      <c r="C56" s="221" t="s">
        <v>83</v>
      </c>
      <c r="D56" s="210">
        <v>46220</v>
      </c>
      <c r="E56" s="222">
        <v>62.952500000000001</v>
      </c>
      <c r="F56" s="222">
        <v>99.616299999999995</v>
      </c>
      <c r="G56" s="222">
        <v>222</v>
      </c>
      <c r="H56" s="222">
        <v>17</v>
      </c>
      <c r="I56" s="223">
        <v>401.56880000000001</v>
      </c>
      <c r="J56" s="82">
        <v>4</v>
      </c>
      <c r="K56" s="27">
        <f t="shared" si="1"/>
        <v>46044</v>
      </c>
      <c r="L5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14.166666666666664</v>
      </c>
      <c r="M5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5.916666666666667</v>
      </c>
      <c r="N5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4559.5</v>
      </c>
      <c r="O5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4818.5</v>
      </c>
      <c r="P5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970.96999999999991</v>
      </c>
      <c r="Q56" s="26">
        <f>IFERROR(faturamentoSemanal[[#This Row],[lucro]]/faturamentoSemanal[[#This Row],[valor de saída]],"")</f>
        <v>0.21295536791314834</v>
      </c>
      <c r="R56" s="11"/>
    </row>
    <row r="57" spans="1:19" x14ac:dyDescent="0.25">
      <c r="A57" s="219" t="s">
        <v>87</v>
      </c>
      <c r="B57" s="220" t="s">
        <v>149</v>
      </c>
      <c r="C57" s="221" t="s">
        <v>83</v>
      </c>
      <c r="D57" s="211">
        <v>46220</v>
      </c>
      <c r="E57" s="224">
        <v>3.15E-2</v>
      </c>
      <c r="F57" s="224">
        <v>1.37E-2</v>
      </c>
      <c r="G57" s="224">
        <v>0</v>
      </c>
      <c r="H57" s="224">
        <v>0</v>
      </c>
      <c r="I57" s="225">
        <v>3.4311999999999996</v>
      </c>
      <c r="J57" s="82">
        <v>5</v>
      </c>
      <c r="K57" s="27">
        <f t="shared" si="1"/>
        <v>46051</v>
      </c>
      <c r="L5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12.25</v>
      </c>
      <c r="M5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4.083333333333333</v>
      </c>
      <c r="N5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3778</v>
      </c>
      <c r="O5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3662</v>
      </c>
      <c r="P5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946.80000000000007</v>
      </c>
      <c r="Q57" s="26">
        <f>IFERROR(faturamentoSemanal[[#This Row],[lucro]]/faturamentoSemanal[[#This Row],[valor de saída]],"")</f>
        <v>0.25060878771836953</v>
      </c>
      <c r="R57" s="11"/>
    </row>
    <row r="58" spans="1:19" ht="19.8" thickBot="1" x14ac:dyDescent="0.3">
      <c r="A58" s="226" t="s">
        <v>205</v>
      </c>
      <c r="B58" s="227" t="s">
        <v>149</v>
      </c>
      <c r="C58" s="228" t="s">
        <v>83</v>
      </c>
      <c r="D58" s="212">
        <v>46220</v>
      </c>
      <c r="E58" s="229"/>
      <c r="F58" s="229"/>
      <c r="G58" s="229"/>
      <c r="H58" s="229"/>
      <c r="I58" s="230">
        <v>0</v>
      </c>
      <c r="J58" s="82">
        <v>6</v>
      </c>
      <c r="K58" s="27">
        <f t="shared" si="1"/>
        <v>46058</v>
      </c>
      <c r="L5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17.583333333333332</v>
      </c>
      <c r="M5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6.75</v>
      </c>
      <c r="N5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5365</v>
      </c>
      <c r="O5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4926</v>
      </c>
      <c r="P5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1170.7100000000003</v>
      </c>
      <c r="Q58" s="26">
        <f>IFERROR(faturamentoSemanal[[#This Row],[lucro]]/faturamentoSemanal[[#This Row],[valor de saída]],"")</f>
        <v>0.21821248835041943</v>
      </c>
      <c r="R58" s="11"/>
    </row>
    <row r="59" spans="1:19" ht="20.399999999999999" thickTop="1" thickBot="1" x14ac:dyDescent="0.3">
      <c r="A59" s="215" t="s">
        <v>85</v>
      </c>
      <c r="B59" s="216" t="s">
        <v>149</v>
      </c>
      <c r="C59" s="217" t="s">
        <v>294</v>
      </c>
      <c r="D59" s="209">
        <v>46219</v>
      </c>
      <c r="E59" s="218">
        <v>69</v>
      </c>
      <c r="F59" s="218">
        <v>139</v>
      </c>
      <c r="G59" s="218">
        <v>85</v>
      </c>
      <c r="H59" s="218">
        <v>269</v>
      </c>
      <c r="I59" s="218">
        <v>562</v>
      </c>
      <c r="J59" s="82">
        <v>7</v>
      </c>
      <c r="K59" s="27">
        <f t="shared" si="1"/>
        <v>46065</v>
      </c>
      <c r="L5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13.833333333333332</v>
      </c>
      <c r="M5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</v>
      </c>
      <c r="N5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3946</v>
      </c>
      <c r="O5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4485.5</v>
      </c>
      <c r="P5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882.47</v>
      </c>
      <c r="Q59" s="26">
        <f>IFERROR(faturamentoSemanal[[#This Row],[lucro]]/faturamentoSemanal[[#This Row],[valor de saída]],"")</f>
        <v>0.22363659401926</v>
      </c>
      <c r="R59" s="11"/>
    </row>
    <row r="60" spans="1:19" ht="19.8" thickTop="1" x14ac:dyDescent="0.25">
      <c r="A60" s="219" t="s">
        <v>86</v>
      </c>
      <c r="B60" s="220" t="s">
        <v>149</v>
      </c>
      <c r="C60" s="221" t="s">
        <v>294</v>
      </c>
      <c r="D60" s="210">
        <v>46219</v>
      </c>
      <c r="E60" s="222">
        <v>66.826499999999996</v>
      </c>
      <c r="F60" s="222">
        <v>137.09569999999999</v>
      </c>
      <c r="G60" s="222">
        <v>85</v>
      </c>
      <c r="H60" s="222">
        <v>269</v>
      </c>
      <c r="I60" s="223">
        <v>557.92219999999998</v>
      </c>
      <c r="J60" s="82">
        <v>8</v>
      </c>
      <c r="K60" s="27">
        <f t="shared" si="1"/>
        <v>46072</v>
      </c>
      <c r="L6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16.166666666666668</v>
      </c>
      <c r="M6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5.75</v>
      </c>
      <c r="N6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4668</v>
      </c>
      <c r="O6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4517</v>
      </c>
      <c r="P6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957.32999999999981</v>
      </c>
      <c r="Q60" s="26">
        <f>IFERROR(faturamentoSemanal[[#This Row],[lucro]]/faturamentoSemanal[[#This Row],[valor de saída]],"")</f>
        <v>0.20508354755784058</v>
      </c>
      <c r="R60" s="11"/>
    </row>
    <row r="61" spans="1:19" x14ac:dyDescent="0.25">
      <c r="A61" s="219" t="s">
        <v>87</v>
      </c>
      <c r="B61" s="220" t="s">
        <v>149</v>
      </c>
      <c r="C61" s="221" t="s">
        <v>294</v>
      </c>
      <c r="D61" s="211">
        <v>46219</v>
      </c>
      <c r="E61" s="224">
        <v>3.15E-2</v>
      </c>
      <c r="F61" s="224">
        <v>1.37E-2</v>
      </c>
      <c r="G61" s="224">
        <v>0</v>
      </c>
      <c r="H61" s="224">
        <v>0</v>
      </c>
      <c r="I61" s="225">
        <v>4.0777999999999999</v>
      </c>
      <c r="J61" s="82">
        <v>9</v>
      </c>
      <c r="K61" s="27">
        <f t="shared" si="1"/>
        <v>46079</v>
      </c>
      <c r="L6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16.25</v>
      </c>
      <c r="M6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7</v>
      </c>
      <c r="N6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4928</v>
      </c>
      <c r="O6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4440</v>
      </c>
      <c r="P6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1039.19</v>
      </c>
      <c r="Q61" s="26">
        <f>IFERROR(faturamentoSemanal[[#This Row],[lucro]]/faturamentoSemanal[[#This Row],[valor de saída]],"")</f>
        <v>0.21087459415584417</v>
      </c>
      <c r="R61" s="11"/>
    </row>
    <row r="62" spans="1:19" ht="19.8" thickBot="1" x14ac:dyDescent="0.3">
      <c r="A62" s="226" t="s">
        <v>205</v>
      </c>
      <c r="B62" s="227" t="s">
        <v>149</v>
      </c>
      <c r="C62" s="228" t="s">
        <v>294</v>
      </c>
      <c r="D62" s="212">
        <v>46219</v>
      </c>
      <c r="E62" s="229"/>
      <c r="F62" s="229"/>
      <c r="G62" s="229"/>
      <c r="H62" s="229"/>
      <c r="I62" s="230">
        <v>0</v>
      </c>
      <c r="J62" s="82">
        <v>10</v>
      </c>
      <c r="K62" s="27">
        <f t="shared" si="1"/>
        <v>46086</v>
      </c>
      <c r="L6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14.416666666666668</v>
      </c>
      <c r="M6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5.75</v>
      </c>
      <c r="N6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4214</v>
      </c>
      <c r="O6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4837</v>
      </c>
      <c r="P6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837.9799999999999</v>
      </c>
      <c r="Q62" s="26">
        <f>IFERROR(faturamentoSemanal[[#This Row],[lucro]]/faturamentoSemanal[[#This Row],[valor de saída]],"")</f>
        <v>0.19885619364024679</v>
      </c>
      <c r="R62" s="11"/>
    </row>
    <row r="63" spans="1:19" ht="20.399999999999999" thickTop="1" thickBot="1" x14ac:dyDescent="0.3">
      <c r="A63" s="215" t="s">
        <v>85</v>
      </c>
      <c r="B63" s="216" t="s">
        <v>149</v>
      </c>
      <c r="C63" s="217" t="s">
        <v>32</v>
      </c>
      <c r="D63" s="209">
        <v>46218</v>
      </c>
      <c r="E63" s="218">
        <v>0</v>
      </c>
      <c r="F63" s="218">
        <v>150</v>
      </c>
      <c r="G63" s="218">
        <v>129</v>
      </c>
      <c r="H63" s="218">
        <v>-43</v>
      </c>
      <c r="I63" s="218">
        <v>236</v>
      </c>
      <c r="J63" s="82">
        <v>11</v>
      </c>
      <c r="K63" s="27">
        <f t="shared" si="1"/>
        <v>46093</v>
      </c>
      <c r="L6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14.25</v>
      </c>
      <c r="M6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7.333333333333333</v>
      </c>
      <c r="N6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4294</v>
      </c>
      <c r="O6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3854</v>
      </c>
      <c r="P6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673.02999999999986</v>
      </c>
      <c r="Q63" s="26">
        <f>IFERROR(faturamentoSemanal[[#This Row],[lucro]]/faturamentoSemanal[[#This Row],[valor de saída]],"")</f>
        <v>0.15673730787144849</v>
      </c>
      <c r="R63" s="11"/>
    </row>
    <row r="64" spans="1:19" ht="19.8" thickTop="1" x14ac:dyDescent="0.25">
      <c r="A64" s="219" t="s">
        <v>86</v>
      </c>
      <c r="B64" s="220" t="s">
        <v>149</v>
      </c>
      <c r="C64" s="221" t="s">
        <v>32</v>
      </c>
      <c r="D64" s="210">
        <v>46218</v>
      </c>
      <c r="E64" s="222">
        <v>0</v>
      </c>
      <c r="F64" s="222">
        <v>147.94499999999999</v>
      </c>
      <c r="G64" s="222">
        <v>129</v>
      </c>
      <c r="H64" s="222">
        <v>-43</v>
      </c>
      <c r="I64" s="223">
        <v>233.94499999999999</v>
      </c>
      <c r="J64" s="82">
        <v>12</v>
      </c>
      <c r="K64" s="27">
        <f t="shared" si="1"/>
        <v>46100</v>
      </c>
      <c r="L6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21.666666666666664</v>
      </c>
      <c r="M6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4.166666666666667</v>
      </c>
      <c r="N6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5554</v>
      </c>
      <c r="O6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4953</v>
      </c>
      <c r="P6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1049.4299999999996</v>
      </c>
      <c r="Q64" s="26">
        <f>IFERROR(faturamentoSemanal[[#This Row],[lucro]]/faturamentoSemanal[[#This Row],[valor de saída]],"")</f>
        <v>0.18895030608570393</v>
      </c>
    </row>
    <row r="65" spans="1:20" x14ac:dyDescent="0.25">
      <c r="A65" s="219" t="s">
        <v>87</v>
      </c>
      <c r="B65" s="220" t="s">
        <v>149</v>
      </c>
      <c r="C65" s="221" t="s">
        <v>32</v>
      </c>
      <c r="D65" s="211">
        <v>46218</v>
      </c>
      <c r="E65" s="224">
        <v>3.15E-2</v>
      </c>
      <c r="F65" s="224">
        <v>1.37E-2</v>
      </c>
      <c r="G65" s="224">
        <v>0</v>
      </c>
      <c r="H65" s="224">
        <v>0</v>
      </c>
      <c r="I65" s="225">
        <v>2.0550000000000002</v>
      </c>
      <c r="J65" s="82">
        <v>13</v>
      </c>
      <c r="K65" s="27">
        <f t="shared" si="1"/>
        <v>46107</v>
      </c>
      <c r="L6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18</v>
      </c>
      <c r="M6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3.8333333333333335</v>
      </c>
      <c r="N6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4903.5</v>
      </c>
      <c r="O6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4691</v>
      </c>
      <c r="P6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1124.05</v>
      </c>
      <c r="Q65" s="26">
        <f>IFERROR(faturamentoSemanal[[#This Row],[lucro]]/faturamentoSemanal[[#This Row],[valor de saída]],"")</f>
        <v>0.2292342204547772</v>
      </c>
    </row>
    <row r="66" spans="1:20" ht="19.8" thickBot="1" x14ac:dyDescent="0.3">
      <c r="A66" s="226" t="s">
        <v>205</v>
      </c>
      <c r="B66" s="227" t="s">
        <v>149</v>
      </c>
      <c r="C66" s="228" t="s">
        <v>32</v>
      </c>
      <c r="D66" s="212">
        <v>46218</v>
      </c>
      <c r="E66" s="229"/>
      <c r="F66" s="229"/>
      <c r="G66" s="229"/>
      <c r="H66" s="229"/>
      <c r="I66" s="230">
        <v>0</v>
      </c>
      <c r="J66" s="82">
        <v>14</v>
      </c>
      <c r="K66" s="27">
        <f t="shared" si="1"/>
        <v>46114</v>
      </c>
      <c r="L6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16.583333333333332</v>
      </c>
      <c r="M6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2.6666666666666665</v>
      </c>
      <c r="N6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4685</v>
      </c>
      <c r="O6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5280</v>
      </c>
      <c r="P6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1122.1299999999999</v>
      </c>
      <c r="Q66" s="26">
        <f>IFERROR(faturamentoSemanal[[#This Row],[lucro]]/faturamentoSemanal[[#This Row],[valor de saída]],"")</f>
        <v>0.23951547491995728</v>
      </c>
      <c r="S66" s="11"/>
    </row>
    <row r="67" spans="1:20" ht="20.399999999999999" thickTop="1" thickBot="1" x14ac:dyDescent="0.3">
      <c r="A67" s="215" t="s">
        <v>85</v>
      </c>
      <c r="B67" s="216" t="s">
        <v>149</v>
      </c>
      <c r="C67" s="217" t="s">
        <v>290</v>
      </c>
      <c r="D67" s="209">
        <v>46217</v>
      </c>
      <c r="E67" s="218">
        <v>66</v>
      </c>
      <c r="F67" s="218">
        <v>182</v>
      </c>
      <c r="G67" s="218">
        <v>343</v>
      </c>
      <c r="H67" s="218">
        <v>-244</v>
      </c>
      <c r="I67" s="218">
        <v>347</v>
      </c>
      <c r="J67" s="82">
        <v>15</v>
      </c>
      <c r="K67" s="27">
        <f t="shared" si="1"/>
        <v>46121</v>
      </c>
      <c r="L6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15.916666666666666</v>
      </c>
      <c r="M6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3.5833333333333335</v>
      </c>
      <c r="N6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4892.5</v>
      </c>
      <c r="O6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4927.5</v>
      </c>
      <c r="P6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1081.54</v>
      </c>
      <c r="Q67" s="26">
        <f>IFERROR(faturamentoSemanal[[#This Row],[lucro]]/faturamentoSemanal[[#This Row],[valor de saída]],"")</f>
        <v>0.22106080735820133</v>
      </c>
      <c r="S67" s="11"/>
    </row>
    <row r="68" spans="1:20" ht="19.8" thickTop="1" x14ac:dyDescent="0.25">
      <c r="A68" s="219" t="s">
        <v>86</v>
      </c>
      <c r="B68" s="220" t="s">
        <v>149</v>
      </c>
      <c r="C68" s="221" t="s">
        <v>290</v>
      </c>
      <c r="D68" s="210">
        <v>46217</v>
      </c>
      <c r="E68" s="222">
        <v>63.920999999999999</v>
      </c>
      <c r="F68" s="222">
        <v>179.50659999999999</v>
      </c>
      <c r="G68" s="222">
        <v>343</v>
      </c>
      <c r="H68" s="222">
        <v>-244</v>
      </c>
      <c r="I68" s="223">
        <v>342.42759999999998</v>
      </c>
      <c r="J68" s="82">
        <v>16</v>
      </c>
      <c r="K68" s="27">
        <f t="shared" si="1"/>
        <v>46128</v>
      </c>
      <c r="L6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14.5</v>
      </c>
      <c r="M6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5.166666666666667</v>
      </c>
      <c r="N6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4890.25</v>
      </c>
      <c r="O6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4982.25</v>
      </c>
      <c r="P6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993.99999999999989</v>
      </c>
      <c r="Q68" s="26">
        <f>IFERROR(faturamentoSemanal[[#This Row],[lucro]]/faturamentoSemanal[[#This Row],[valor de saída]],"")</f>
        <v>0.20326159194315216</v>
      </c>
      <c r="S68" s="11"/>
    </row>
    <row r="69" spans="1:20" x14ac:dyDescent="0.25">
      <c r="A69" s="219" t="s">
        <v>87</v>
      </c>
      <c r="B69" s="220" t="s">
        <v>149</v>
      </c>
      <c r="C69" s="221" t="s">
        <v>290</v>
      </c>
      <c r="D69" s="211">
        <v>46217</v>
      </c>
      <c r="E69" s="224">
        <v>3.15E-2</v>
      </c>
      <c r="F69" s="224">
        <v>1.37E-2</v>
      </c>
      <c r="G69" s="224">
        <v>0</v>
      </c>
      <c r="H69" s="224">
        <v>0</v>
      </c>
      <c r="I69" s="225">
        <v>4.5724</v>
      </c>
      <c r="J69" s="82">
        <v>17</v>
      </c>
      <c r="K69" s="27">
        <f t="shared" si="1"/>
        <v>46135</v>
      </c>
      <c r="L6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11.75</v>
      </c>
      <c r="M6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4.5</v>
      </c>
      <c r="N6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4071</v>
      </c>
      <c r="O6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4278</v>
      </c>
      <c r="P6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806.04</v>
      </c>
      <c r="Q69" s="26">
        <f>IFERROR(faturamentoSemanal[[#This Row],[lucro]]/faturamentoSemanal[[#This Row],[valor de saída]],"")</f>
        <v>0.19799557848194546</v>
      </c>
      <c r="S69" s="11"/>
      <c r="T69" s="11"/>
    </row>
    <row r="70" spans="1:20" ht="19.8" thickBot="1" x14ac:dyDescent="0.3">
      <c r="A70" s="226" t="s">
        <v>205</v>
      </c>
      <c r="B70" s="227" t="s">
        <v>149</v>
      </c>
      <c r="C70" s="228" t="s">
        <v>290</v>
      </c>
      <c r="D70" s="212">
        <v>46217</v>
      </c>
      <c r="E70" s="229"/>
      <c r="F70" s="229"/>
      <c r="G70" s="229"/>
      <c r="H70" s="229"/>
      <c r="I70" s="230">
        <v>0</v>
      </c>
      <c r="J70" s="82">
        <v>18</v>
      </c>
      <c r="K70" s="27">
        <f t="shared" si="1"/>
        <v>46142</v>
      </c>
      <c r="L7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</v>
      </c>
      <c r="M7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3.75</v>
      </c>
      <c r="N7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4215</v>
      </c>
      <c r="O7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4789</v>
      </c>
      <c r="P7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836.2700000000001</v>
      </c>
      <c r="Q70" s="26">
        <f>IFERROR(faturamentoSemanal[[#This Row],[lucro]]/faturamentoSemanal[[#This Row],[valor de saída]],"")</f>
        <v>0.19840332147093714</v>
      </c>
    </row>
    <row r="71" spans="1:20" ht="20.399999999999999" thickTop="1" thickBot="1" x14ac:dyDescent="0.3">
      <c r="A71" s="215" t="s">
        <v>85</v>
      </c>
      <c r="B71" s="216" t="s">
        <v>149</v>
      </c>
      <c r="C71" s="217" t="s">
        <v>291</v>
      </c>
      <c r="D71" s="209">
        <v>46216</v>
      </c>
      <c r="E71" s="218">
        <v>0</v>
      </c>
      <c r="F71" s="218">
        <v>116</v>
      </c>
      <c r="G71" s="218">
        <v>622</v>
      </c>
      <c r="H71" s="218">
        <v>284</v>
      </c>
      <c r="I71" s="218">
        <v>1022</v>
      </c>
      <c r="J71" s="82">
        <v>19</v>
      </c>
      <c r="K71" s="27">
        <f t="shared" si="1"/>
        <v>46149</v>
      </c>
      <c r="L7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11.583333333333334</v>
      </c>
      <c r="M7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2.5</v>
      </c>
      <c r="N7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3572</v>
      </c>
      <c r="O7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3076.5</v>
      </c>
      <c r="P7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729.57</v>
      </c>
      <c r="Q71" s="26">
        <f>IFERROR(faturamentoSemanal[[#This Row],[lucro]]/faturamentoSemanal[[#This Row],[valor de saída]],"")</f>
        <v>0.20424692049272117</v>
      </c>
    </row>
    <row r="72" spans="1:20" ht="19.8" thickTop="1" x14ac:dyDescent="0.25">
      <c r="A72" s="219" t="s">
        <v>86</v>
      </c>
      <c r="B72" s="220" t="s">
        <v>149</v>
      </c>
      <c r="C72" s="221" t="s">
        <v>291</v>
      </c>
      <c r="D72" s="210">
        <v>46216</v>
      </c>
      <c r="E72" s="222">
        <v>0</v>
      </c>
      <c r="F72" s="222">
        <v>114.41079999999999</v>
      </c>
      <c r="G72" s="222">
        <v>622</v>
      </c>
      <c r="H72" s="222">
        <v>284</v>
      </c>
      <c r="I72" s="223">
        <v>1020.4108</v>
      </c>
      <c r="J72" s="82">
        <v>20</v>
      </c>
      <c r="K72" s="27">
        <f t="shared" si="1"/>
        <v>46156</v>
      </c>
      <c r="L7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</v>
      </c>
      <c r="M7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5.583333333333333</v>
      </c>
      <c r="N7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4396.25</v>
      </c>
      <c r="O7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4350.25</v>
      </c>
      <c r="P7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998.5100000000001</v>
      </c>
      <c r="Q72" s="26">
        <f>IFERROR(faturamentoSemanal[[#This Row],[lucro]]/faturamentoSemanal[[#This Row],[valor de saída]],"")</f>
        <v>0.22712766562411149</v>
      </c>
    </row>
    <row r="73" spans="1:20" x14ac:dyDescent="0.25">
      <c r="A73" s="219" t="s">
        <v>87</v>
      </c>
      <c r="B73" s="220" t="s">
        <v>149</v>
      </c>
      <c r="C73" s="221" t="s">
        <v>291</v>
      </c>
      <c r="D73" s="211">
        <v>46216</v>
      </c>
      <c r="E73" s="224">
        <v>3.15E-2</v>
      </c>
      <c r="F73" s="224">
        <v>1.37E-2</v>
      </c>
      <c r="G73" s="224">
        <v>0</v>
      </c>
      <c r="H73" s="224">
        <v>0</v>
      </c>
      <c r="I73" s="225">
        <v>1.5891999999999999</v>
      </c>
      <c r="J73" s="82">
        <v>21</v>
      </c>
      <c r="K73" s="27">
        <f t="shared" si="1"/>
        <v>46163</v>
      </c>
      <c r="L73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13.25</v>
      </c>
      <c r="M73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2.1666666666666665</v>
      </c>
      <c r="N73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3807</v>
      </c>
      <c r="O73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4038.5</v>
      </c>
      <c r="P73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832.06</v>
      </c>
      <c r="Q73" s="26">
        <f>IFERROR(faturamentoSemanal[[#This Row],[lucro]]/faturamentoSemanal[[#This Row],[valor de saída]],"")</f>
        <v>0.21856054636196479</v>
      </c>
    </row>
    <row r="74" spans="1:20" ht="19.8" thickBot="1" x14ac:dyDescent="0.3">
      <c r="A74" s="226" t="s">
        <v>205</v>
      </c>
      <c r="B74" s="227" t="s">
        <v>149</v>
      </c>
      <c r="C74" s="228" t="s">
        <v>291</v>
      </c>
      <c r="D74" s="212">
        <v>46216</v>
      </c>
      <c r="E74" s="229"/>
      <c r="F74" s="229"/>
      <c r="G74" s="229"/>
      <c r="H74" s="229"/>
      <c r="I74" s="230">
        <v>0</v>
      </c>
      <c r="J74" s="82">
        <v>22</v>
      </c>
      <c r="K74" s="27">
        <f t="shared" si="1"/>
        <v>46170</v>
      </c>
      <c r="L74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17.166666666666668</v>
      </c>
      <c r="M74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4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4325</v>
      </c>
      <c r="O74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4190.5</v>
      </c>
      <c r="P74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735.94999999999982</v>
      </c>
      <c r="Q74" s="26">
        <f>IFERROR(faturamentoSemanal[[#This Row],[lucro]]/faturamentoSemanal[[#This Row],[valor de saída]],"")</f>
        <v>0.17016184971098261</v>
      </c>
    </row>
    <row r="75" spans="1:20" ht="20.399999999999999" thickTop="1" thickBot="1" x14ac:dyDescent="0.3">
      <c r="A75" s="215" t="s">
        <v>85</v>
      </c>
      <c r="B75" s="216" t="s">
        <v>149</v>
      </c>
      <c r="C75" s="217" t="s">
        <v>93</v>
      </c>
      <c r="D75" s="209">
        <v>46215</v>
      </c>
      <c r="E75" s="218">
        <v>102</v>
      </c>
      <c r="F75" s="218">
        <v>111</v>
      </c>
      <c r="G75" s="218">
        <v>179.01</v>
      </c>
      <c r="H75" s="218">
        <v>347.99</v>
      </c>
      <c r="I75" s="218">
        <v>740</v>
      </c>
      <c r="J75" s="82">
        <v>23</v>
      </c>
      <c r="K75" s="27">
        <f t="shared" si="1"/>
        <v>46177</v>
      </c>
      <c r="L75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15.583333333333332</v>
      </c>
      <c r="M75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5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3742</v>
      </c>
      <c r="O75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4037</v>
      </c>
      <c r="P75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526.81000000000006</v>
      </c>
      <c r="Q75" s="26">
        <f>IFERROR(faturamentoSemanal[[#This Row],[lucro]]/faturamentoSemanal[[#This Row],[valor de saída]],"")</f>
        <v>0.14078300374131483</v>
      </c>
    </row>
    <row r="76" spans="1:20" ht="19.8" thickTop="1" x14ac:dyDescent="0.25">
      <c r="A76" s="219" t="s">
        <v>86</v>
      </c>
      <c r="B76" s="220" t="s">
        <v>149</v>
      </c>
      <c r="C76" s="221" t="s">
        <v>93</v>
      </c>
      <c r="D76" s="210">
        <v>46215</v>
      </c>
      <c r="E76" s="222">
        <v>98.787000000000006</v>
      </c>
      <c r="F76" s="222">
        <v>109.47929999999999</v>
      </c>
      <c r="G76" s="222">
        <v>179.01</v>
      </c>
      <c r="H76" s="222">
        <v>347.99</v>
      </c>
      <c r="I76" s="223">
        <v>735.2663</v>
      </c>
      <c r="J76" s="82">
        <v>24</v>
      </c>
      <c r="K76" s="27">
        <f t="shared" si="1"/>
        <v>46184</v>
      </c>
      <c r="L76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14.083333333333334</v>
      </c>
      <c r="M76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6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3396</v>
      </c>
      <c r="O76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3395</v>
      </c>
      <c r="P76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498.40999999999997</v>
      </c>
      <c r="Q76" s="26">
        <f>IFERROR(faturamentoSemanal[[#This Row],[lucro]]/faturamentoSemanal[[#This Row],[valor de saída]],"")</f>
        <v>0.14676383981154298</v>
      </c>
    </row>
    <row r="77" spans="1:20" x14ac:dyDescent="0.25">
      <c r="A77" s="219" t="s">
        <v>87</v>
      </c>
      <c r="B77" s="220" t="s">
        <v>149</v>
      </c>
      <c r="C77" s="221" t="s">
        <v>93</v>
      </c>
      <c r="D77" s="211">
        <v>46215</v>
      </c>
      <c r="E77" s="224">
        <v>3.15E-2</v>
      </c>
      <c r="F77" s="224">
        <v>1.37E-2</v>
      </c>
      <c r="G77" s="224">
        <v>0</v>
      </c>
      <c r="H77" s="224">
        <v>0</v>
      </c>
      <c r="I77" s="225">
        <v>4.7336999999999998</v>
      </c>
      <c r="J77" s="82">
        <v>25</v>
      </c>
      <c r="K77" s="27">
        <f t="shared" si="1"/>
        <v>46191</v>
      </c>
      <c r="L77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19.333333333333332</v>
      </c>
      <c r="M77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2.25</v>
      </c>
      <c r="N77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4797</v>
      </c>
      <c r="O77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4061</v>
      </c>
      <c r="P77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812.49000000000012</v>
      </c>
      <c r="Q77" s="26">
        <f>IFERROR(faturamentoSemanal[[#This Row],[lucro]]/faturamentoSemanal[[#This Row],[valor de saída]],"")</f>
        <v>0.1693746091307067</v>
      </c>
    </row>
    <row r="78" spans="1:20" ht="19.8" thickBot="1" x14ac:dyDescent="0.3">
      <c r="A78" s="226" t="s">
        <v>205</v>
      </c>
      <c r="B78" s="227" t="s">
        <v>149</v>
      </c>
      <c r="C78" s="228" t="s">
        <v>93</v>
      </c>
      <c r="D78" s="212">
        <v>46215</v>
      </c>
      <c r="E78" s="229"/>
      <c r="F78" s="229"/>
      <c r="G78" s="229"/>
      <c r="H78" s="229"/>
      <c r="I78" s="230">
        <v>0</v>
      </c>
      <c r="J78" s="82">
        <v>26</v>
      </c>
      <c r="K78" s="27">
        <f t="shared" si="1"/>
        <v>46198</v>
      </c>
      <c r="L78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15.5</v>
      </c>
      <c r="M78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78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3954</v>
      </c>
      <c r="O78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4054.5</v>
      </c>
      <c r="P78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804.67000000000007</v>
      </c>
      <c r="Q78" s="26">
        <f>IFERROR(faturamentoSemanal[[#This Row],[lucro]]/faturamentoSemanal[[#This Row],[valor de saída]],"")</f>
        <v>0.20350784016186144</v>
      </c>
    </row>
    <row r="79" spans="1:20" ht="20.399999999999999" thickTop="1" thickBot="1" x14ac:dyDescent="0.3">
      <c r="A79" s="215" t="s">
        <v>85</v>
      </c>
      <c r="B79" s="216" t="s">
        <v>149</v>
      </c>
      <c r="C79" s="217" t="s">
        <v>92</v>
      </c>
      <c r="D79" s="209">
        <v>46214</v>
      </c>
      <c r="E79" s="218">
        <v>60</v>
      </c>
      <c r="F79" s="218">
        <v>145</v>
      </c>
      <c r="G79" s="218">
        <v>181</v>
      </c>
      <c r="H79" s="218">
        <v>131</v>
      </c>
      <c r="I79" s="218">
        <v>517</v>
      </c>
      <c r="J79" s="82">
        <v>27</v>
      </c>
      <c r="K79" s="27">
        <f t="shared" si="1"/>
        <v>46205</v>
      </c>
      <c r="L79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16.416666666666668</v>
      </c>
      <c r="M79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2.5</v>
      </c>
      <c r="N79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4538</v>
      </c>
      <c r="O79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5015</v>
      </c>
      <c r="P79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983.3399999999998</v>
      </c>
      <c r="Q79" s="26">
        <f>IFERROR(faturamentoSemanal[[#This Row],[lucro]]/faturamentoSemanal[[#This Row],[valor de saída]],"")</f>
        <v>0.21669017188188625</v>
      </c>
    </row>
    <row r="80" spans="1:20" ht="19.8" thickTop="1" x14ac:dyDescent="0.25">
      <c r="A80" s="219" t="s">
        <v>86</v>
      </c>
      <c r="B80" s="220" t="s">
        <v>149</v>
      </c>
      <c r="C80" s="221" t="s">
        <v>92</v>
      </c>
      <c r="D80" s="210">
        <v>46214</v>
      </c>
      <c r="E80" s="222">
        <v>58.11</v>
      </c>
      <c r="F80" s="222">
        <v>143.01349999999999</v>
      </c>
      <c r="G80" s="222">
        <v>181</v>
      </c>
      <c r="H80" s="222">
        <v>131</v>
      </c>
      <c r="I80" s="223">
        <v>513.12349999999992</v>
      </c>
      <c r="J80" s="82">
        <v>28</v>
      </c>
      <c r="K80" s="27">
        <f t="shared" si="1"/>
        <v>46212</v>
      </c>
      <c r="L80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15.166666666666668</v>
      </c>
      <c r="M80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2</v>
      </c>
      <c r="N80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4086</v>
      </c>
      <c r="O80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3928</v>
      </c>
      <c r="P80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909.09999999999991</v>
      </c>
      <c r="Q80" s="26">
        <f>IFERROR(faturamentoSemanal[[#This Row],[lucro]]/faturamentoSemanal[[#This Row],[valor de saída]],"")</f>
        <v>0.22249143416544295</v>
      </c>
    </row>
    <row r="81" spans="1:17" x14ac:dyDescent="0.25">
      <c r="A81" s="219" t="s">
        <v>87</v>
      </c>
      <c r="B81" s="220" t="s">
        <v>149</v>
      </c>
      <c r="C81" s="221" t="s">
        <v>92</v>
      </c>
      <c r="D81" s="211">
        <v>46214</v>
      </c>
      <c r="E81" s="224">
        <v>3.15E-2</v>
      </c>
      <c r="F81" s="224">
        <v>1.37E-2</v>
      </c>
      <c r="G81" s="224">
        <v>0</v>
      </c>
      <c r="H81" s="224">
        <v>0</v>
      </c>
      <c r="I81" s="225">
        <v>3.8765000000000001</v>
      </c>
      <c r="J81" s="82">
        <v>29</v>
      </c>
      <c r="K81" s="27">
        <f t="shared" si="1"/>
        <v>46219</v>
      </c>
      <c r="L81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12.75</v>
      </c>
      <c r="M81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81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3405</v>
      </c>
      <c r="O81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3349</v>
      </c>
      <c r="P81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754.17000000000007</v>
      </c>
      <c r="Q81" s="26">
        <f>IFERROR(faturamentoSemanal[[#This Row],[lucro]]/faturamentoSemanal[[#This Row],[valor de saída]],"")</f>
        <v>0.221488986784141</v>
      </c>
    </row>
    <row r="82" spans="1:17" ht="19.8" thickBot="1" x14ac:dyDescent="0.3">
      <c r="A82" s="226" t="s">
        <v>205</v>
      </c>
      <c r="B82" s="227" t="s">
        <v>149</v>
      </c>
      <c r="C82" s="228" t="s">
        <v>92</v>
      </c>
      <c r="D82" s="212">
        <v>46214</v>
      </c>
      <c r="E82" s="229"/>
      <c r="F82" s="229"/>
      <c r="G82" s="229"/>
      <c r="H82" s="229"/>
      <c r="I82" s="230">
        <v>0</v>
      </c>
      <c r="J82" s="82">
        <v>30</v>
      </c>
      <c r="K82" s="27">
        <f t="shared" si="1"/>
        <v>46226</v>
      </c>
      <c r="L82" s="108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>13.5</v>
      </c>
      <c r="M82" s="108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>1.5</v>
      </c>
      <c r="N82" s="8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>3487</v>
      </c>
      <c r="O82" s="8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>3430</v>
      </c>
      <c r="P82" s="8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>718.06000000000006</v>
      </c>
      <c r="Q82" s="26">
        <f>IFERROR(faturamentoSemanal[[#This Row],[lucro]]/faturamentoSemanal[[#This Row],[valor de saída]],"")</f>
        <v>0.20592486377975339</v>
      </c>
    </row>
    <row r="83" spans="1:17" ht="20.399999999999999" thickTop="1" thickBot="1" x14ac:dyDescent="0.3">
      <c r="A83" s="215" t="s">
        <v>85</v>
      </c>
      <c r="B83" s="216" t="s">
        <v>149</v>
      </c>
      <c r="C83" s="217" t="s">
        <v>83</v>
      </c>
      <c r="D83" s="209">
        <v>46213</v>
      </c>
      <c r="E83" s="218">
        <v>43.66</v>
      </c>
      <c r="F83" s="218">
        <v>149</v>
      </c>
      <c r="G83" s="218">
        <v>334</v>
      </c>
      <c r="H83" s="218">
        <v>245.34000000000003</v>
      </c>
      <c r="I83" s="218">
        <v>772</v>
      </c>
      <c r="J83" s="82">
        <v>31</v>
      </c>
      <c r="K83" s="27">
        <f t="shared" si="1"/>
        <v>46233</v>
      </c>
      <c r="L8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3" s="26" t="str">
        <f>IFERROR(faturamentoSemanal[[#This Row],[lucro]]/faturamentoSemanal[[#This Row],[valor de saída]],"")</f>
        <v/>
      </c>
    </row>
    <row r="84" spans="1:17" ht="19.8" thickTop="1" x14ac:dyDescent="0.25">
      <c r="A84" s="219" t="s">
        <v>86</v>
      </c>
      <c r="B84" s="220" t="s">
        <v>149</v>
      </c>
      <c r="C84" s="221" t="s">
        <v>83</v>
      </c>
      <c r="D84" s="210">
        <v>46213</v>
      </c>
      <c r="E84" s="222">
        <v>42.284709999999997</v>
      </c>
      <c r="F84" s="222">
        <v>146.95869999999999</v>
      </c>
      <c r="G84" s="222">
        <v>334</v>
      </c>
      <c r="H84" s="222">
        <v>245.34000000000003</v>
      </c>
      <c r="I84" s="223">
        <v>768.58341000000007</v>
      </c>
      <c r="J84" s="82">
        <v>32</v>
      </c>
      <c r="K84" s="27">
        <f t="shared" si="1"/>
        <v>46240</v>
      </c>
      <c r="L8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4" s="26" t="str">
        <f>IFERROR(faturamentoSemanal[[#This Row],[lucro]]/faturamentoSemanal[[#This Row],[valor de saída]],"")</f>
        <v/>
      </c>
    </row>
    <row r="85" spans="1:17" x14ac:dyDescent="0.25">
      <c r="A85" s="219" t="s">
        <v>87</v>
      </c>
      <c r="B85" s="220" t="s">
        <v>149</v>
      </c>
      <c r="C85" s="221" t="s">
        <v>83</v>
      </c>
      <c r="D85" s="211">
        <v>46213</v>
      </c>
      <c r="E85" s="224">
        <v>3.15E-2</v>
      </c>
      <c r="F85" s="224">
        <v>1.37E-2</v>
      </c>
      <c r="G85" s="224">
        <v>0</v>
      </c>
      <c r="H85" s="224">
        <v>0</v>
      </c>
      <c r="I85" s="225">
        <v>3.4165900000000002</v>
      </c>
      <c r="J85" s="82">
        <v>33</v>
      </c>
      <c r="K85" s="27">
        <f t="shared" si="1"/>
        <v>46247</v>
      </c>
      <c r="L8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5" s="26" t="str">
        <f>IFERROR(faturamentoSemanal[[#This Row],[lucro]]/faturamentoSemanal[[#This Row],[valor de saída]],"")</f>
        <v/>
      </c>
    </row>
    <row r="86" spans="1:17" ht="19.8" thickBot="1" x14ac:dyDescent="0.3">
      <c r="A86" s="226" t="s">
        <v>205</v>
      </c>
      <c r="B86" s="227" t="s">
        <v>149</v>
      </c>
      <c r="C86" s="228" t="s">
        <v>83</v>
      </c>
      <c r="D86" s="212">
        <v>46213</v>
      </c>
      <c r="E86" s="229"/>
      <c r="F86" s="229"/>
      <c r="G86" s="229"/>
      <c r="H86" s="229"/>
      <c r="I86" s="230">
        <v>0</v>
      </c>
      <c r="J86" s="82">
        <v>34</v>
      </c>
      <c r="K86" s="27">
        <f t="shared" si="1"/>
        <v>46254</v>
      </c>
      <c r="L86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6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6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6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6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6" s="26" t="str">
        <f>IFERROR(faturamentoSemanal[[#This Row],[lucro]]/faturamentoSemanal[[#This Row],[valor de saída]],"")</f>
        <v/>
      </c>
    </row>
    <row r="87" spans="1:17" ht="20.399999999999999" thickTop="1" thickBot="1" x14ac:dyDescent="0.3">
      <c r="A87" s="215" t="s">
        <v>85</v>
      </c>
      <c r="B87" s="216" t="s">
        <v>149</v>
      </c>
      <c r="C87" s="217" t="s">
        <v>294</v>
      </c>
      <c r="D87" s="209">
        <v>46212</v>
      </c>
      <c r="E87" s="218">
        <v>105</v>
      </c>
      <c r="F87" s="218">
        <v>222.5</v>
      </c>
      <c r="G87" s="218">
        <v>164</v>
      </c>
      <c r="H87" s="218">
        <v>-197.5</v>
      </c>
      <c r="I87" s="218">
        <v>294</v>
      </c>
      <c r="J87" s="82">
        <v>35</v>
      </c>
      <c r="K87" s="27">
        <f t="shared" si="1"/>
        <v>46261</v>
      </c>
      <c r="L87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7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7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7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7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7" s="26" t="str">
        <f>IFERROR(faturamentoSemanal[[#This Row],[lucro]]/faturamentoSemanal[[#This Row],[valor de saída]],"")</f>
        <v/>
      </c>
    </row>
    <row r="88" spans="1:17" ht="19.8" thickTop="1" x14ac:dyDescent="0.25">
      <c r="A88" s="219" t="s">
        <v>86</v>
      </c>
      <c r="B88" s="220" t="s">
        <v>149</v>
      </c>
      <c r="C88" s="221" t="s">
        <v>294</v>
      </c>
      <c r="D88" s="210">
        <v>46212</v>
      </c>
      <c r="E88" s="222">
        <v>101.6925</v>
      </c>
      <c r="F88" s="222">
        <v>219.45175</v>
      </c>
      <c r="G88" s="222">
        <v>164</v>
      </c>
      <c r="H88" s="222">
        <v>-197.5</v>
      </c>
      <c r="I88" s="223">
        <v>287.64425</v>
      </c>
      <c r="J88" s="82">
        <v>36</v>
      </c>
      <c r="K88" s="27">
        <f t="shared" si="1"/>
        <v>46268</v>
      </c>
      <c r="L88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8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8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8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8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8" s="26" t="str">
        <f>IFERROR(faturamentoSemanal[[#This Row],[lucro]]/faturamentoSemanal[[#This Row],[valor de saída]],"")</f>
        <v/>
      </c>
    </row>
    <row r="89" spans="1:17" x14ac:dyDescent="0.25">
      <c r="A89" s="219" t="s">
        <v>87</v>
      </c>
      <c r="B89" s="220" t="s">
        <v>149</v>
      </c>
      <c r="C89" s="221" t="s">
        <v>294</v>
      </c>
      <c r="D89" s="211">
        <v>46212</v>
      </c>
      <c r="E89" s="224">
        <v>3.15E-2</v>
      </c>
      <c r="F89" s="224">
        <v>1.37E-2</v>
      </c>
      <c r="G89" s="224">
        <v>0</v>
      </c>
      <c r="H89" s="224">
        <v>0</v>
      </c>
      <c r="I89" s="225">
        <v>6.3557500000000005</v>
      </c>
      <c r="J89" s="82">
        <v>37</v>
      </c>
      <c r="K89" s="27">
        <f t="shared" si="1"/>
        <v>46275</v>
      </c>
      <c r="L89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89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89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89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89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89" s="26" t="str">
        <f>IFERROR(faturamentoSemanal[[#This Row],[lucro]]/faturamentoSemanal[[#This Row],[valor de saída]],"")</f>
        <v/>
      </c>
    </row>
    <row r="90" spans="1:17" ht="19.8" thickBot="1" x14ac:dyDescent="0.3">
      <c r="A90" s="226" t="s">
        <v>205</v>
      </c>
      <c r="B90" s="227" t="s">
        <v>149</v>
      </c>
      <c r="C90" s="228" t="s">
        <v>294</v>
      </c>
      <c r="D90" s="212">
        <v>46212</v>
      </c>
      <c r="E90" s="229"/>
      <c r="F90" s="229"/>
      <c r="G90" s="229"/>
      <c r="H90" s="229"/>
      <c r="I90" s="230">
        <v>0</v>
      </c>
      <c r="J90" s="82">
        <v>38</v>
      </c>
      <c r="K90" s="27">
        <f t="shared" si="1"/>
        <v>46282</v>
      </c>
      <c r="L90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0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0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0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0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0" s="26" t="str">
        <f>IFERROR(faturamentoSemanal[[#This Row],[lucro]]/faturamentoSemanal[[#This Row],[valor de saída]],"")</f>
        <v/>
      </c>
    </row>
    <row r="91" spans="1:17" ht="20.399999999999999" thickTop="1" thickBot="1" x14ac:dyDescent="0.3">
      <c r="A91" s="215" t="s">
        <v>85</v>
      </c>
      <c r="B91" s="216" t="s">
        <v>149</v>
      </c>
      <c r="C91" s="217" t="s">
        <v>32</v>
      </c>
      <c r="D91" s="209">
        <v>46211</v>
      </c>
      <c r="E91" s="218">
        <v>43</v>
      </c>
      <c r="F91" s="218">
        <v>171</v>
      </c>
      <c r="G91" s="218">
        <v>256</v>
      </c>
      <c r="H91" s="218">
        <v>43</v>
      </c>
      <c r="I91" s="218">
        <v>513</v>
      </c>
      <c r="J91" s="82">
        <v>39</v>
      </c>
      <c r="K91" s="27">
        <f t="shared" si="1"/>
        <v>46289</v>
      </c>
      <c r="L91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1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1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1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1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1" s="26" t="str">
        <f>IFERROR(faturamentoSemanal[[#This Row],[lucro]]/faturamentoSemanal[[#This Row],[valor de saída]],"")</f>
        <v/>
      </c>
    </row>
    <row r="92" spans="1:17" ht="19.8" thickTop="1" x14ac:dyDescent="0.25">
      <c r="A92" s="219" t="s">
        <v>86</v>
      </c>
      <c r="B92" s="220" t="s">
        <v>149</v>
      </c>
      <c r="C92" s="221" t="s">
        <v>32</v>
      </c>
      <c r="D92" s="210">
        <v>46211</v>
      </c>
      <c r="E92" s="222">
        <v>41.645499999999998</v>
      </c>
      <c r="F92" s="222">
        <v>168.65729999999999</v>
      </c>
      <c r="G92" s="222">
        <v>256</v>
      </c>
      <c r="H92" s="222">
        <v>43</v>
      </c>
      <c r="I92" s="223">
        <v>509.30279999999999</v>
      </c>
      <c r="J92" s="82">
        <v>40</v>
      </c>
      <c r="K92" s="27">
        <f t="shared" si="1"/>
        <v>46296</v>
      </c>
      <c r="L92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2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2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2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2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2" s="26" t="str">
        <f>IFERROR(faturamentoSemanal[[#This Row],[lucro]]/faturamentoSemanal[[#This Row],[valor de saída]],"")</f>
        <v/>
      </c>
    </row>
    <row r="93" spans="1:17" x14ac:dyDescent="0.25">
      <c r="A93" s="219" t="s">
        <v>87</v>
      </c>
      <c r="B93" s="220" t="s">
        <v>149</v>
      </c>
      <c r="C93" s="221" t="s">
        <v>32</v>
      </c>
      <c r="D93" s="211">
        <v>46211</v>
      </c>
      <c r="E93" s="224">
        <v>3.15E-2</v>
      </c>
      <c r="F93" s="224">
        <v>1.37E-2</v>
      </c>
      <c r="G93" s="224">
        <v>0</v>
      </c>
      <c r="H93" s="224">
        <v>0</v>
      </c>
      <c r="I93" s="225">
        <v>3.6972000000000005</v>
      </c>
      <c r="J93" s="82">
        <v>41</v>
      </c>
      <c r="K93" s="27">
        <f t="shared" si="1"/>
        <v>46303</v>
      </c>
      <c r="L9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3" s="26" t="str">
        <f>IFERROR(faturamentoSemanal[[#This Row],[lucro]]/faturamentoSemanal[[#This Row],[valor de saída]],"")</f>
        <v/>
      </c>
    </row>
    <row r="94" spans="1:17" ht="19.8" thickBot="1" x14ac:dyDescent="0.3">
      <c r="A94" s="226" t="s">
        <v>205</v>
      </c>
      <c r="B94" s="227" t="s">
        <v>149</v>
      </c>
      <c r="C94" s="228" t="s">
        <v>32</v>
      </c>
      <c r="D94" s="212">
        <v>46211</v>
      </c>
      <c r="E94" s="229"/>
      <c r="F94" s="229"/>
      <c r="G94" s="229"/>
      <c r="H94" s="229"/>
      <c r="I94" s="230">
        <v>0</v>
      </c>
      <c r="J94" s="82">
        <v>42</v>
      </c>
      <c r="K94" s="27">
        <f t="shared" si="1"/>
        <v>46310</v>
      </c>
      <c r="L9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4" s="26" t="str">
        <f>IFERROR(faturamentoSemanal[[#This Row],[lucro]]/faturamentoSemanal[[#This Row],[valor de saída]],"")</f>
        <v/>
      </c>
    </row>
    <row r="95" spans="1:17" ht="20.399999999999999" thickTop="1" thickBot="1" x14ac:dyDescent="0.3">
      <c r="A95" s="215" t="s">
        <v>85</v>
      </c>
      <c r="B95" s="216" t="s">
        <v>149</v>
      </c>
      <c r="C95" s="217" t="s">
        <v>290</v>
      </c>
      <c r="D95" s="209">
        <v>46210</v>
      </c>
      <c r="E95" s="218">
        <v>54.5</v>
      </c>
      <c r="F95" s="218">
        <v>259.85000000000002</v>
      </c>
      <c r="G95" s="218">
        <v>289.5</v>
      </c>
      <c r="H95" s="218">
        <v>111.14999999999998</v>
      </c>
      <c r="I95" s="218">
        <v>715</v>
      </c>
      <c r="J95" s="82">
        <v>43</v>
      </c>
      <c r="K95" s="27">
        <f t="shared" si="1"/>
        <v>46317</v>
      </c>
      <c r="L9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5" s="26" t="str">
        <f>IFERROR(faturamentoSemanal[[#This Row],[lucro]]/faturamentoSemanal[[#This Row],[valor de saída]],"")</f>
        <v/>
      </c>
    </row>
    <row r="96" spans="1:17" ht="19.8" thickTop="1" x14ac:dyDescent="0.25">
      <c r="A96" s="219" t="s">
        <v>86</v>
      </c>
      <c r="B96" s="220" t="s">
        <v>149</v>
      </c>
      <c r="C96" s="221" t="s">
        <v>290</v>
      </c>
      <c r="D96" s="210">
        <v>46210</v>
      </c>
      <c r="E96" s="222">
        <v>52.783250000000002</v>
      </c>
      <c r="F96" s="222">
        <v>256.290055</v>
      </c>
      <c r="G96" s="222">
        <v>289.5</v>
      </c>
      <c r="H96" s="222">
        <v>111.14999999999998</v>
      </c>
      <c r="I96" s="223">
        <v>709.72330499999998</v>
      </c>
      <c r="J96" s="82">
        <v>44</v>
      </c>
      <c r="K96" s="27">
        <f t="shared" si="1"/>
        <v>46324</v>
      </c>
      <c r="L96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6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6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6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6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6" s="26" t="str">
        <f>IFERROR(faturamentoSemanal[[#This Row],[lucro]]/faturamentoSemanal[[#This Row],[valor de saída]],"")</f>
        <v/>
      </c>
    </row>
    <row r="97" spans="1:17" x14ac:dyDescent="0.25">
      <c r="A97" s="219" t="s">
        <v>87</v>
      </c>
      <c r="B97" s="220" t="s">
        <v>149</v>
      </c>
      <c r="C97" s="221" t="s">
        <v>290</v>
      </c>
      <c r="D97" s="211">
        <v>46210</v>
      </c>
      <c r="E97" s="224">
        <v>3.15E-2</v>
      </c>
      <c r="F97" s="224">
        <v>1.37E-2</v>
      </c>
      <c r="G97" s="224">
        <v>0</v>
      </c>
      <c r="H97" s="224">
        <v>0</v>
      </c>
      <c r="I97" s="225">
        <v>5.2766950000000001</v>
      </c>
      <c r="J97" s="82">
        <v>45</v>
      </c>
      <c r="K97" s="27">
        <f t="shared" si="1"/>
        <v>46331</v>
      </c>
      <c r="L97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7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7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7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7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7" s="26" t="str">
        <f>IFERROR(faturamentoSemanal[[#This Row],[lucro]]/faturamentoSemanal[[#This Row],[valor de saída]],"")</f>
        <v/>
      </c>
    </row>
    <row r="98" spans="1:17" ht="19.8" thickBot="1" x14ac:dyDescent="0.3">
      <c r="A98" s="226" t="s">
        <v>205</v>
      </c>
      <c r="B98" s="227" t="s">
        <v>149</v>
      </c>
      <c r="C98" s="228" t="s">
        <v>290</v>
      </c>
      <c r="D98" s="212">
        <v>46210</v>
      </c>
      <c r="E98" s="229"/>
      <c r="F98" s="229"/>
      <c r="G98" s="229"/>
      <c r="H98" s="229"/>
      <c r="I98" s="230">
        <v>0</v>
      </c>
      <c r="J98" s="82">
        <v>46</v>
      </c>
      <c r="K98" s="27">
        <f t="shared" si="1"/>
        <v>46338</v>
      </c>
      <c r="L98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8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8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8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8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8" s="26" t="str">
        <f>IFERROR(faturamentoSemanal[[#This Row],[lucro]]/faturamentoSemanal[[#This Row],[valor de saída]],"")</f>
        <v/>
      </c>
    </row>
    <row r="99" spans="1:17" ht="20.399999999999999" thickTop="1" thickBot="1" x14ac:dyDescent="0.3">
      <c r="A99" s="215" t="s">
        <v>85</v>
      </c>
      <c r="B99" s="216" t="s">
        <v>149</v>
      </c>
      <c r="C99" s="217" t="s">
        <v>291</v>
      </c>
      <c r="D99" s="209">
        <v>46209</v>
      </c>
      <c r="E99" s="218">
        <v>115</v>
      </c>
      <c r="F99" s="218">
        <v>93</v>
      </c>
      <c r="G99" s="218">
        <v>293</v>
      </c>
      <c r="H99" s="218">
        <v>258</v>
      </c>
      <c r="I99" s="218">
        <v>759</v>
      </c>
      <c r="J99" s="82">
        <v>47</v>
      </c>
      <c r="K99" s="27">
        <f t="shared" si="1"/>
        <v>46345</v>
      </c>
      <c r="L99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99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99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99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99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99" s="26" t="str">
        <f>IFERROR(faturamentoSemanal[[#This Row],[lucro]]/faturamentoSemanal[[#This Row],[valor de saída]],"")</f>
        <v/>
      </c>
    </row>
    <row r="100" spans="1:17" ht="19.8" thickTop="1" x14ac:dyDescent="0.25">
      <c r="A100" s="219" t="s">
        <v>86</v>
      </c>
      <c r="B100" s="220" t="s">
        <v>149</v>
      </c>
      <c r="C100" s="221" t="s">
        <v>291</v>
      </c>
      <c r="D100" s="210">
        <v>46209</v>
      </c>
      <c r="E100" s="222">
        <v>111.3775</v>
      </c>
      <c r="F100" s="222">
        <v>91.725899999999996</v>
      </c>
      <c r="G100" s="222">
        <v>293</v>
      </c>
      <c r="H100" s="222">
        <v>258</v>
      </c>
      <c r="I100" s="223">
        <v>754.10339999999997</v>
      </c>
      <c r="J100" s="82">
        <v>48</v>
      </c>
      <c r="K100" s="27">
        <f t="shared" si="1"/>
        <v>46352</v>
      </c>
      <c r="L100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0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0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0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0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0" s="26" t="str">
        <f>IFERROR(faturamentoSemanal[[#This Row],[lucro]]/faturamentoSemanal[[#This Row],[valor de saída]],"")</f>
        <v/>
      </c>
    </row>
    <row r="101" spans="1:17" x14ac:dyDescent="0.25">
      <c r="A101" s="219" t="s">
        <v>87</v>
      </c>
      <c r="B101" s="220" t="s">
        <v>149</v>
      </c>
      <c r="C101" s="221" t="s">
        <v>291</v>
      </c>
      <c r="D101" s="211">
        <v>46209</v>
      </c>
      <c r="E101" s="224">
        <v>3.15E-2</v>
      </c>
      <c r="F101" s="224">
        <v>1.37E-2</v>
      </c>
      <c r="G101" s="224">
        <v>0</v>
      </c>
      <c r="H101" s="224">
        <v>0</v>
      </c>
      <c r="I101" s="225">
        <v>4.8966000000000003</v>
      </c>
      <c r="J101" s="82">
        <v>49</v>
      </c>
      <c r="K101" s="27">
        <f t="shared" si="1"/>
        <v>46359</v>
      </c>
      <c r="L101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1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1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1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1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1" s="26" t="str">
        <f>IFERROR(faturamentoSemanal[[#This Row],[lucro]]/faturamentoSemanal[[#This Row],[valor de saída]],"")</f>
        <v/>
      </c>
    </row>
    <row r="102" spans="1:17" ht="19.8" thickBot="1" x14ac:dyDescent="0.3">
      <c r="A102" s="226" t="s">
        <v>205</v>
      </c>
      <c r="B102" s="227" t="s">
        <v>149</v>
      </c>
      <c r="C102" s="228" t="s">
        <v>291</v>
      </c>
      <c r="D102" s="212">
        <v>46209</v>
      </c>
      <c r="E102" s="229"/>
      <c r="F102" s="229"/>
      <c r="G102" s="229"/>
      <c r="H102" s="229"/>
      <c r="I102" s="230">
        <v>0</v>
      </c>
      <c r="J102" s="82">
        <v>50</v>
      </c>
      <c r="K102" s="27">
        <f t="shared" si="1"/>
        <v>46366</v>
      </c>
      <c r="L102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2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2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2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2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2" s="26" t="str">
        <f>IFERROR(faturamentoSemanal[[#This Row],[lucro]]/faturamentoSemanal[[#This Row],[valor de saída]],"")</f>
        <v/>
      </c>
    </row>
    <row r="103" spans="1:17" ht="20.399999999999999" thickTop="1" thickBot="1" x14ac:dyDescent="0.3">
      <c r="A103" s="215" t="s">
        <v>85</v>
      </c>
      <c r="B103" s="216" t="s">
        <v>149</v>
      </c>
      <c r="C103" s="217" t="s">
        <v>93</v>
      </c>
      <c r="D103" s="209">
        <v>46208</v>
      </c>
      <c r="E103" s="218">
        <v>23</v>
      </c>
      <c r="F103" s="218">
        <v>358</v>
      </c>
      <c r="G103" s="218">
        <v>80</v>
      </c>
      <c r="H103" s="218">
        <v>-74</v>
      </c>
      <c r="I103" s="218">
        <v>387</v>
      </c>
      <c r="J103" s="82">
        <v>51</v>
      </c>
      <c r="K103" s="27">
        <f t="shared" si="1"/>
        <v>46373</v>
      </c>
      <c r="L103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3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3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3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3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3" s="26" t="str">
        <f>IFERROR(faturamentoSemanal[[#This Row],[lucro]]/faturamentoSemanal[[#This Row],[valor de saída]],"")</f>
        <v/>
      </c>
    </row>
    <row r="104" spans="1:17" ht="19.8" thickTop="1" x14ac:dyDescent="0.25">
      <c r="A104" s="219" t="s">
        <v>86</v>
      </c>
      <c r="B104" s="220" t="s">
        <v>149</v>
      </c>
      <c r="C104" s="221" t="s">
        <v>93</v>
      </c>
      <c r="D104" s="210">
        <v>46208</v>
      </c>
      <c r="E104" s="222">
        <v>22.275500000000001</v>
      </c>
      <c r="F104" s="222">
        <v>353.09539999999998</v>
      </c>
      <c r="G104" s="222">
        <v>80</v>
      </c>
      <c r="H104" s="222">
        <v>-74</v>
      </c>
      <c r="I104" s="223">
        <v>381.37090000000001</v>
      </c>
      <c r="J104" s="82">
        <v>52</v>
      </c>
      <c r="K104" s="27">
        <f t="shared" si="1"/>
        <v>46380</v>
      </c>
      <c r="L104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4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4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4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4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4" s="26" t="str">
        <f>IFERROR(faturamentoSemanal[[#This Row],[lucro]]/faturamentoSemanal[[#This Row],[valor de saída]],"")</f>
        <v/>
      </c>
    </row>
    <row r="105" spans="1:17" x14ac:dyDescent="0.25">
      <c r="A105" s="219" t="s">
        <v>87</v>
      </c>
      <c r="B105" s="220" t="s">
        <v>149</v>
      </c>
      <c r="C105" s="221" t="s">
        <v>93</v>
      </c>
      <c r="D105" s="211">
        <v>46208</v>
      </c>
      <c r="E105" s="224">
        <v>3.15E-2</v>
      </c>
      <c r="F105" s="224">
        <v>1.37E-2</v>
      </c>
      <c r="G105" s="224">
        <v>0</v>
      </c>
      <c r="H105" s="224">
        <v>0</v>
      </c>
      <c r="I105" s="225">
        <v>5.6291000000000002</v>
      </c>
      <c r="J105" s="82">
        <v>53</v>
      </c>
      <c r="K105" s="27">
        <f t="shared" si="1"/>
        <v>46387</v>
      </c>
      <c r="L105" s="108" t="str">
        <f>IF(IFERROR(SUMIFS(estoque[quantidade],estoque[fornecedor],"saída",estoque[data],"&gt;="&amp;faturamentoSemanal[[#This Row],[semana]],estoque[data],"&lt;="&amp;faturamentoSemanal[[#This Row],[semana]]+6)/12-faturamentoSemanal[[#This Row],[atacado]],0)=0,"",SUMIFS(estoque[quantidade],estoque[fornecedor],"saída",estoque[data],"&gt;="&amp;faturamentoSemanal[[#This Row],[semana]],estoque[data],"&lt;="&amp;faturamentoSemanal[[#This Row],[semana]]+6)/12-faturamentoSemanal[[#This Row],[atacado]])</f>
        <v/>
      </c>
      <c r="M105" s="108" t="str">
        <f>IF(SUMIFS(aprazo[quantidade],aprazo[atacado],"atacado",aprazo[data],"&gt;="&amp;faturamentoSemanal[[#This Row],[semana]],aprazo[data],"&lt;="&amp;faturamentoSemanal[[#This Row],[semana]]+6)/12=0,"",SUMIFS(aprazo[quantidade],aprazo[atacado],"atacado",aprazo[data],"&gt;="&amp;faturamentoSemanal[[#This Row],[semana]],aprazo[data],"&lt;="&amp;faturamentoSemanal[[#This Row],[semana]]+6)/12)</f>
        <v/>
      </c>
      <c r="N105" s="8" t="str">
        <f>IF(SUMIFS(estoque[valor total],estoque[fornecedor],"saída",estoque[data],"&gt;="&amp;faturamentoSemanal[[#This Row],[semana]],estoque[data],"&lt;="&amp;faturamentoSemanal[[#This Row],[semana]]+6)=0,"",SUMIFS(estoque[valor total],estoque[fornecedor],"saída",estoque[data],"&gt;="&amp;faturamentoSemanal[[#This Row],[semana]],estoque[data],"&lt;="&amp;faturamentoSemanal[[#This Row],[semana]]+6))</f>
        <v/>
      </c>
      <c r="O105" s="8" t="str">
        <f>IF(SUMIFS(fechamento[total],fechamento[origem],"bruto",fechamento[data],"&gt;="&amp;faturamentoSemanal[[#This Row],[semana]],fechamento[data],"&lt;="&amp;faturamentoSemanal[[#This Row],[semana]]+6)=0,"",SUMIFS(fechamento[total],fechamento[origem],"bruto",fechamento[data],"&gt;="&amp;faturamentoSemanal[[#This Row],[semana]],fechamento[data],"&lt;="&amp;faturamentoSemanal[[#This Row],[semana]]+6))</f>
        <v/>
      </c>
      <c r="P105" s="8" t="str">
        <f>IF(SUMIFS(estoque[lucro],estoque[fornecedor],"saída",estoque[data],"&gt;="&amp;faturamentoSemanal[[#This Row],[semana]],estoque[data],"&lt;="&amp;faturamentoSemanal[[#This Row],[semana]]+6)=0,"",SUMIFS(estoque[lucro],estoque[fornecedor],"saída",estoque[data],"&gt;="&amp;faturamentoSemanal[[#This Row],[semana]],estoque[data],"&lt;="&amp;faturamentoSemanal[[#This Row],[semana]]+6))</f>
        <v/>
      </c>
      <c r="Q105" s="26" t="str">
        <f>IFERROR(faturamentoSemanal[[#This Row],[lucro]]/faturamentoSemanal[[#This Row],[valor de saída]],"")</f>
        <v/>
      </c>
    </row>
    <row r="106" spans="1:17" ht="19.8" thickBot="1" x14ac:dyDescent="0.3">
      <c r="A106" s="226" t="s">
        <v>205</v>
      </c>
      <c r="B106" s="227" t="s">
        <v>149</v>
      </c>
      <c r="C106" s="228" t="s">
        <v>93</v>
      </c>
      <c r="D106" s="212">
        <v>46208</v>
      </c>
      <c r="E106" s="229"/>
      <c r="F106" s="229"/>
      <c r="G106" s="229"/>
      <c r="H106" s="229"/>
      <c r="I106" s="230">
        <v>0</v>
      </c>
      <c r="K106" s="28"/>
      <c r="L106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6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6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6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6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7" spans="1:17" ht="20.399999999999999" thickTop="1" thickBot="1" x14ac:dyDescent="0.3">
      <c r="A107" s="215" t="s">
        <v>85</v>
      </c>
      <c r="B107" s="216" t="s">
        <v>149</v>
      </c>
      <c r="C107" s="217" t="s">
        <v>92</v>
      </c>
      <c r="D107" s="209">
        <v>46207</v>
      </c>
      <c r="E107" s="218">
        <v>203</v>
      </c>
      <c r="F107" s="218">
        <v>150</v>
      </c>
      <c r="G107" s="218">
        <v>77</v>
      </c>
      <c r="H107" s="218">
        <v>485</v>
      </c>
      <c r="I107" s="218">
        <v>915</v>
      </c>
      <c r="K107" s="28"/>
      <c r="L107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7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7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7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7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8" spans="1:17" ht="19.8" thickTop="1" x14ac:dyDescent="0.25">
      <c r="A108" s="219" t="s">
        <v>86</v>
      </c>
      <c r="B108" s="220" t="s">
        <v>149</v>
      </c>
      <c r="C108" s="221" t="s">
        <v>92</v>
      </c>
      <c r="D108" s="210">
        <v>46207</v>
      </c>
      <c r="E108" s="222">
        <v>196.60550000000001</v>
      </c>
      <c r="F108" s="222">
        <v>147.94499999999999</v>
      </c>
      <c r="G108" s="222">
        <v>77</v>
      </c>
      <c r="H108" s="222">
        <v>485</v>
      </c>
      <c r="I108" s="223">
        <v>906.55050000000006</v>
      </c>
      <c r="K108" s="28"/>
      <c r="L108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8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8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8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8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09" spans="1:17" x14ac:dyDescent="0.25">
      <c r="A109" s="219" t="s">
        <v>87</v>
      </c>
      <c r="B109" s="220" t="s">
        <v>149</v>
      </c>
      <c r="C109" s="221" t="s">
        <v>92</v>
      </c>
      <c r="D109" s="211">
        <v>46207</v>
      </c>
      <c r="E109" s="224">
        <v>3.15E-2</v>
      </c>
      <c r="F109" s="224">
        <v>1.37E-2</v>
      </c>
      <c r="G109" s="224">
        <v>0</v>
      </c>
      <c r="H109" s="224">
        <v>0</v>
      </c>
      <c r="I109" s="225">
        <v>8.4495000000000005</v>
      </c>
      <c r="K109" s="28"/>
      <c r="L109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09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09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09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09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0" spans="1:17" ht="19.8" thickBot="1" x14ac:dyDescent="0.3">
      <c r="A110" s="226" t="s">
        <v>205</v>
      </c>
      <c r="B110" s="227" t="s">
        <v>149</v>
      </c>
      <c r="C110" s="228" t="s">
        <v>92</v>
      </c>
      <c r="D110" s="212">
        <v>46207</v>
      </c>
      <c r="E110" s="229"/>
      <c r="F110" s="229"/>
      <c r="G110" s="229"/>
      <c r="H110" s="229"/>
      <c r="I110" s="230">
        <v>0</v>
      </c>
      <c r="K110" s="28"/>
      <c r="L110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0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0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0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0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1" spans="1:17" ht="20.399999999999999" thickTop="1" thickBot="1" x14ac:dyDescent="0.3">
      <c r="A111" s="215" t="s">
        <v>85</v>
      </c>
      <c r="B111" s="216" t="s">
        <v>149</v>
      </c>
      <c r="C111" s="217" t="s">
        <v>83</v>
      </c>
      <c r="D111" s="209">
        <v>46206</v>
      </c>
      <c r="E111" s="218">
        <v>203</v>
      </c>
      <c r="F111" s="218">
        <v>145</v>
      </c>
      <c r="G111" s="218">
        <v>77</v>
      </c>
      <c r="H111" s="218">
        <v>241</v>
      </c>
      <c r="I111" s="218">
        <v>666</v>
      </c>
      <c r="K111" s="28"/>
      <c r="L111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1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1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1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1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2" spans="1:17" ht="19.8" thickTop="1" x14ac:dyDescent="0.25">
      <c r="A112" s="219" t="s">
        <v>86</v>
      </c>
      <c r="B112" s="220" t="s">
        <v>149</v>
      </c>
      <c r="C112" s="221" t="s">
        <v>83</v>
      </c>
      <c r="D112" s="210">
        <v>46206</v>
      </c>
      <c r="E112" s="222">
        <v>196.60550000000001</v>
      </c>
      <c r="F112" s="222">
        <v>143.01349999999999</v>
      </c>
      <c r="G112" s="222">
        <v>77</v>
      </c>
      <c r="H112" s="222">
        <v>241</v>
      </c>
      <c r="I112" s="223">
        <v>657.61900000000003</v>
      </c>
      <c r="K112" s="28"/>
      <c r="L112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2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2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2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2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3" spans="1:16" x14ac:dyDescent="0.25">
      <c r="A113" s="219" t="s">
        <v>87</v>
      </c>
      <c r="B113" s="220" t="s">
        <v>149</v>
      </c>
      <c r="C113" s="221" t="s">
        <v>83</v>
      </c>
      <c r="D113" s="211">
        <v>46206</v>
      </c>
      <c r="E113" s="224">
        <v>3.15E-2</v>
      </c>
      <c r="F113" s="224">
        <v>1.37E-2</v>
      </c>
      <c r="G113" s="224">
        <v>0</v>
      </c>
      <c r="H113" s="224">
        <v>0</v>
      </c>
      <c r="I113" s="225">
        <v>8.3810000000000002</v>
      </c>
      <c r="K113" s="28"/>
      <c r="L113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3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3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3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3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4" spans="1:16" ht="19.8" thickBot="1" x14ac:dyDescent="0.3">
      <c r="A114" s="226" t="s">
        <v>205</v>
      </c>
      <c r="B114" s="227" t="s">
        <v>149</v>
      </c>
      <c r="C114" s="228" t="s">
        <v>83</v>
      </c>
      <c r="D114" s="212">
        <v>46206</v>
      </c>
      <c r="E114" s="229"/>
      <c r="F114" s="229"/>
      <c r="G114" s="229"/>
      <c r="H114" s="229"/>
      <c r="I114" s="230">
        <v>0</v>
      </c>
      <c r="K114" s="28"/>
      <c r="L114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4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4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4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4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5" spans="1:16" ht="20.399999999999999" thickTop="1" thickBot="1" x14ac:dyDescent="0.3">
      <c r="A115" s="215" t="s">
        <v>85</v>
      </c>
      <c r="B115" s="216" t="s">
        <v>149</v>
      </c>
      <c r="C115" s="217" t="s">
        <v>294</v>
      </c>
      <c r="D115" s="209">
        <v>46205</v>
      </c>
      <c r="E115" s="218">
        <v>103</v>
      </c>
      <c r="F115" s="218">
        <v>290</v>
      </c>
      <c r="G115" s="218">
        <v>463</v>
      </c>
      <c r="H115" s="218">
        <v>204</v>
      </c>
      <c r="I115" s="218">
        <v>1060</v>
      </c>
      <c r="K115" s="28"/>
      <c r="L115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5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5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5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5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6" spans="1:16" ht="19.8" thickTop="1" x14ac:dyDescent="0.25">
      <c r="A116" s="219" t="s">
        <v>86</v>
      </c>
      <c r="B116" s="220" t="s">
        <v>149</v>
      </c>
      <c r="C116" s="221" t="s">
        <v>294</v>
      </c>
      <c r="D116" s="210">
        <v>46205</v>
      </c>
      <c r="E116" s="222">
        <v>99.755499999999998</v>
      </c>
      <c r="F116" s="222">
        <v>286.02699999999999</v>
      </c>
      <c r="G116" s="222">
        <v>463</v>
      </c>
      <c r="H116" s="222">
        <v>204</v>
      </c>
      <c r="I116" s="223">
        <v>1052.7825</v>
      </c>
      <c r="K116" s="28"/>
      <c r="L116" s="29" t="str">
        <f>IF(IFERROR(SUMIFS(estoque[quantidade],estoque[fornecedor],"saída",estoque[data],"&gt;="&amp;faturamentoSemanal[[#This Row],[semana]],estoque[data],"&lt;="&amp;faturamentoSemanal[[#This Row],[semana]]+7)/12-faturamentoSemanal[[#This Row],[atacado]],0)=0,"",SUMIFS(estoque[quantidade],estoque[fornecedor],"saída",estoque[data],"&gt;="&amp;faturamentoSemanal[[#This Row],[semana]],estoque[data],"&lt;="&amp;faturamentoSemanal[[#This Row],[semana]]+7)/12-faturamentoSemanal[[#This Row],[atacado]])</f>
        <v/>
      </c>
      <c r="M116" s="29" t="str">
        <f>IF(SUMIFS(aprazo[quantidade],aprazo[atacado],"atacado",aprazo[data],"&gt;="&amp;faturamentoSemanal[[#This Row],[semana]],aprazo[data],"&lt;="&amp;faturamentoSemanal[[#This Row],[semana]]+7)/12=0,"",SUMIFS(aprazo[quantidade],aprazo[atacado],"atacado",aprazo[data],"&gt;="&amp;faturamentoSemanal[[#This Row],[semana]],aprazo[data],"&lt;="&amp;faturamentoSemanal[[#This Row],[semana]]+7)/12)</f>
        <v/>
      </c>
      <c r="N116" s="7" t="str">
        <f>IF(SUMIFS(estoque[valor total],estoque[fornecedor],"saída",estoque[data],"&gt;="&amp;faturamentoSemanal[[#This Row],[semana]],estoque[data],"&lt;="&amp;faturamentoSemanal[[#This Row],[semana]]+7)=0,"",SUMIFS(estoque[valor total],estoque[fornecedor],"saída",estoque[data],"&gt;="&amp;faturamentoSemanal[[#This Row],[semana]],estoque[data],"&lt;="&amp;faturamentoSemanal[[#This Row],[semana]]+7))</f>
        <v/>
      </c>
      <c r="O116" s="7" t="str">
        <f>IF(SUMIFS(fechamento[total],fechamento[origem],"bruto",fechamento[data],"&gt;="&amp;faturamentoSemanal[[#This Row],[semana]],fechamento[data],"&lt;="&amp;faturamentoSemanal[[#This Row],[semana]]+7)=0,"",SUMIFS(fechamento[total],fechamento[origem],"bruto",fechamento[data],"&gt;="&amp;faturamentoSemanal[[#This Row],[semana]],fechamento[data],"&lt;="&amp;faturamentoSemanal[[#This Row],[semana]]+7))</f>
        <v/>
      </c>
      <c r="P116" s="8" t="str">
        <f>IF(SUMIFS(estoque[lucro],estoque[fornecedor],"saída",estoque[data],"&gt;="&amp;faturamentoSemanal[[#This Row],[semana]],estoque[data],"&lt;="&amp;faturamentoSemanal[[#This Row],[semana]]+7)=0,"",SUMIFS(estoque[lucro],estoque[fornecedor],"saída",estoque[data],"&gt;="&amp;faturamentoSemanal[[#This Row],[semana]],estoque[data],"&lt;="&amp;faturamentoSemanal[[#This Row],[semana]]+7))</f>
        <v/>
      </c>
    </row>
    <row r="117" spans="1:16" x14ac:dyDescent="0.25">
      <c r="A117" s="219" t="s">
        <v>87</v>
      </c>
      <c r="B117" s="220" t="s">
        <v>149</v>
      </c>
      <c r="C117" s="221" t="s">
        <v>294</v>
      </c>
      <c r="D117" s="211">
        <v>46205</v>
      </c>
      <c r="E117" s="224">
        <v>3.15E-2</v>
      </c>
      <c r="F117" s="224">
        <v>1.37E-2</v>
      </c>
      <c r="G117" s="224">
        <v>0</v>
      </c>
      <c r="H117" s="224">
        <v>0</v>
      </c>
      <c r="I117" s="225">
        <v>7.2175000000000002</v>
      </c>
    </row>
    <row r="118" spans="1:16" ht="19.8" thickBot="1" x14ac:dyDescent="0.3">
      <c r="A118" s="226" t="s">
        <v>205</v>
      </c>
      <c r="B118" s="227" t="s">
        <v>149</v>
      </c>
      <c r="C118" s="228" t="s">
        <v>294</v>
      </c>
      <c r="D118" s="212">
        <v>46205</v>
      </c>
      <c r="E118" s="229"/>
      <c r="F118" s="229"/>
      <c r="G118" s="229"/>
      <c r="H118" s="229"/>
      <c r="I118" s="230">
        <v>0</v>
      </c>
    </row>
    <row r="119" spans="1:16" ht="20.399999999999999" thickTop="1" thickBot="1" x14ac:dyDescent="0.3">
      <c r="A119" s="215" t="s">
        <v>85</v>
      </c>
      <c r="B119" s="216" t="s">
        <v>149</v>
      </c>
      <c r="C119" s="217" t="s">
        <v>32</v>
      </c>
      <c r="D119" s="209">
        <v>46204</v>
      </c>
      <c r="E119" s="218">
        <v>5</v>
      </c>
      <c r="F119" s="218">
        <v>306</v>
      </c>
      <c r="G119" s="218">
        <v>160</v>
      </c>
      <c r="H119" s="218">
        <v>167</v>
      </c>
      <c r="I119" s="218">
        <v>638</v>
      </c>
    </row>
    <row r="120" spans="1:16" ht="19.8" thickTop="1" x14ac:dyDescent="0.25">
      <c r="A120" s="219" t="s">
        <v>86</v>
      </c>
      <c r="B120" s="220" t="s">
        <v>149</v>
      </c>
      <c r="C120" s="221" t="s">
        <v>32</v>
      </c>
      <c r="D120" s="210">
        <v>46204</v>
      </c>
      <c r="E120" s="222">
        <v>4.8425000000000002</v>
      </c>
      <c r="F120" s="222">
        <v>301.80779999999999</v>
      </c>
      <c r="G120" s="222">
        <v>160</v>
      </c>
      <c r="H120" s="222">
        <v>167</v>
      </c>
      <c r="I120" s="223">
        <v>633.65030000000002</v>
      </c>
    </row>
    <row r="121" spans="1:16" x14ac:dyDescent="0.25">
      <c r="A121" s="219" t="s">
        <v>87</v>
      </c>
      <c r="B121" s="220" t="s">
        <v>149</v>
      </c>
      <c r="C121" s="221" t="s">
        <v>32</v>
      </c>
      <c r="D121" s="211">
        <v>46204</v>
      </c>
      <c r="E121" s="224">
        <v>3.15E-2</v>
      </c>
      <c r="F121" s="224">
        <v>1.37E-2</v>
      </c>
      <c r="G121" s="224">
        <v>0</v>
      </c>
      <c r="H121" s="224">
        <v>0</v>
      </c>
      <c r="I121" s="225">
        <v>4.3496999999999995</v>
      </c>
    </row>
    <row r="122" spans="1:16" ht="19.8" thickBot="1" x14ac:dyDescent="0.3">
      <c r="A122" s="226" t="s">
        <v>205</v>
      </c>
      <c r="B122" s="227" t="s">
        <v>149</v>
      </c>
      <c r="C122" s="228" t="s">
        <v>32</v>
      </c>
      <c r="D122" s="212">
        <v>46204</v>
      </c>
      <c r="E122" s="229"/>
      <c r="F122" s="229"/>
      <c r="G122" s="229"/>
      <c r="H122" s="229"/>
      <c r="I122" s="230">
        <v>0</v>
      </c>
    </row>
    <row r="123" spans="1:16" ht="20.399999999999999" thickTop="1" thickBot="1" x14ac:dyDescent="0.3">
      <c r="A123" s="215" t="s">
        <v>85</v>
      </c>
      <c r="B123" s="216" t="s">
        <v>148</v>
      </c>
      <c r="C123" s="217" t="s">
        <v>290</v>
      </c>
      <c r="D123" s="209">
        <v>46203</v>
      </c>
      <c r="E123" s="218">
        <v>231</v>
      </c>
      <c r="F123" s="218">
        <v>138</v>
      </c>
      <c r="G123" s="218">
        <v>559</v>
      </c>
      <c r="H123" s="218">
        <v>72</v>
      </c>
      <c r="I123" s="218">
        <v>1000</v>
      </c>
    </row>
    <row r="124" spans="1:16" ht="19.8" thickTop="1" x14ac:dyDescent="0.25">
      <c r="A124" s="219" t="s">
        <v>86</v>
      </c>
      <c r="B124" s="220" t="s">
        <v>148</v>
      </c>
      <c r="C124" s="221" t="s">
        <v>290</v>
      </c>
      <c r="D124" s="210">
        <v>46203</v>
      </c>
      <c r="E124" s="222">
        <v>223.7235</v>
      </c>
      <c r="F124" s="222">
        <v>136.10939999999999</v>
      </c>
      <c r="G124" s="222">
        <v>559</v>
      </c>
      <c r="H124" s="222">
        <v>72</v>
      </c>
      <c r="I124" s="223">
        <v>990.8329</v>
      </c>
    </row>
    <row r="125" spans="1:16" x14ac:dyDescent="0.25">
      <c r="A125" s="219" t="s">
        <v>87</v>
      </c>
      <c r="B125" s="220" t="s">
        <v>148</v>
      </c>
      <c r="C125" s="221" t="s">
        <v>290</v>
      </c>
      <c r="D125" s="211">
        <v>46203</v>
      </c>
      <c r="E125" s="224">
        <v>3.15E-2</v>
      </c>
      <c r="F125" s="224">
        <v>1.37E-2</v>
      </c>
      <c r="G125" s="224">
        <v>0</v>
      </c>
      <c r="H125" s="224">
        <v>0</v>
      </c>
      <c r="I125" s="225">
        <v>9.1671000000000014</v>
      </c>
    </row>
    <row r="126" spans="1:16" ht="19.8" thickBot="1" x14ac:dyDescent="0.3">
      <c r="A126" s="226" t="s">
        <v>205</v>
      </c>
      <c r="B126" s="227" t="s">
        <v>148</v>
      </c>
      <c r="C126" s="228" t="s">
        <v>290</v>
      </c>
      <c r="D126" s="212">
        <v>46203</v>
      </c>
      <c r="E126" s="229"/>
      <c r="F126" s="229"/>
      <c r="G126" s="229"/>
      <c r="H126" s="229"/>
      <c r="I126" s="230">
        <v>0</v>
      </c>
    </row>
    <row r="127" spans="1:16" ht="20.399999999999999" thickTop="1" thickBot="1" x14ac:dyDescent="0.3">
      <c r="A127" s="215" t="s">
        <v>85</v>
      </c>
      <c r="B127" s="216" t="s">
        <v>148</v>
      </c>
      <c r="C127" s="217" t="s">
        <v>291</v>
      </c>
      <c r="D127" s="209">
        <v>46202</v>
      </c>
      <c r="E127" s="218">
        <v>41</v>
      </c>
      <c r="F127" s="218">
        <v>117</v>
      </c>
      <c r="G127" s="218">
        <v>287</v>
      </c>
      <c r="H127" s="218">
        <v>137</v>
      </c>
      <c r="I127" s="218">
        <v>582</v>
      </c>
    </row>
    <row r="128" spans="1:16" ht="19.8" thickTop="1" x14ac:dyDescent="0.25">
      <c r="A128" s="219" t="s">
        <v>86</v>
      </c>
      <c r="B128" s="220" t="s">
        <v>148</v>
      </c>
      <c r="C128" s="221" t="s">
        <v>291</v>
      </c>
      <c r="D128" s="210">
        <v>46202</v>
      </c>
      <c r="E128" s="222">
        <v>39.708500000000001</v>
      </c>
      <c r="F128" s="222">
        <v>115.39709999999999</v>
      </c>
      <c r="G128" s="222">
        <v>287</v>
      </c>
      <c r="H128" s="222">
        <v>137</v>
      </c>
      <c r="I128" s="223">
        <v>579.10559999999998</v>
      </c>
    </row>
    <row r="129" spans="1:9" x14ac:dyDescent="0.25">
      <c r="A129" s="219" t="s">
        <v>87</v>
      </c>
      <c r="B129" s="220" t="s">
        <v>148</v>
      </c>
      <c r="C129" s="221" t="s">
        <v>291</v>
      </c>
      <c r="D129" s="211">
        <v>46202</v>
      </c>
      <c r="E129" s="224">
        <v>3.15E-2</v>
      </c>
      <c r="F129" s="224">
        <v>1.37E-2</v>
      </c>
      <c r="G129" s="224">
        <v>0</v>
      </c>
      <c r="H129" s="224">
        <v>0</v>
      </c>
      <c r="I129" s="225">
        <v>2.8944000000000001</v>
      </c>
    </row>
    <row r="130" spans="1:9" ht="19.8" thickBot="1" x14ac:dyDescent="0.3">
      <c r="A130" s="226" t="s">
        <v>205</v>
      </c>
      <c r="B130" s="227" t="s">
        <v>148</v>
      </c>
      <c r="C130" s="228" t="s">
        <v>291</v>
      </c>
      <c r="D130" s="212">
        <v>46202</v>
      </c>
      <c r="E130" s="229"/>
      <c r="F130" s="229"/>
      <c r="G130" s="229"/>
      <c r="H130" s="229"/>
      <c r="I130" s="230">
        <v>0</v>
      </c>
    </row>
    <row r="131" spans="1:9" ht="20.399999999999999" thickTop="1" thickBot="1" x14ac:dyDescent="0.3">
      <c r="A131" s="215" t="s">
        <v>85</v>
      </c>
      <c r="B131" s="216" t="s">
        <v>148</v>
      </c>
      <c r="C131" s="217" t="s">
        <v>93</v>
      </c>
      <c r="D131" s="209">
        <v>46201</v>
      </c>
      <c r="E131" s="218">
        <v>106</v>
      </c>
      <c r="F131" s="218">
        <v>91</v>
      </c>
      <c r="G131" s="218">
        <v>412.41</v>
      </c>
      <c r="H131" s="218">
        <v>25.089999999999918</v>
      </c>
      <c r="I131" s="218">
        <v>634.5</v>
      </c>
    </row>
    <row r="132" spans="1:9" ht="19.8" thickTop="1" x14ac:dyDescent="0.25">
      <c r="A132" s="219" t="s">
        <v>86</v>
      </c>
      <c r="B132" s="220" t="s">
        <v>148</v>
      </c>
      <c r="C132" s="221" t="s">
        <v>93</v>
      </c>
      <c r="D132" s="210">
        <v>46201</v>
      </c>
      <c r="E132" s="222">
        <v>102.661</v>
      </c>
      <c r="F132" s="222">
        <v>89.753299999999996</v>
      </c>
      <c r="G132" s="222">
        <v>412.41</v>
      </c>
      <c r="H132" s="222">
        <v>25.089999999999918</v>
      </c>
      <c r="I132" s="223">
        <v>629.91429999999991</v>
      </c>
    </row>
    <row r="133" spans="1:9" x14ac:dyDescent="0.25">
      <c r="A133" s="219" t="s">
        <v>87</v>
      </c>
      <c r="B133" s="220" t="s">
        <v>148</v>
      </c>
      <c r="C133" s="221" t="s">
        <v>93</v>
      </c>
      <c r="D133" s="211">
        <v>46201</v>
      </c>
      <c r="E133" s="224">
        <v>3.15E-2</v>
      </c>
      <c r="F133" s="224">
        <v>1.37E-2</v>
      </c>
      <c r="G133" s="224">
        <v>0</v>
      </c>
      <c r="H133" s="224">
        <v>0</v>
      </c>
      <c r="I133" s="225">
        <v>4.5857000000000001</v>
      </c>
    </row>
    <row r="134" spans="1:9" ht="19.8" thickBot="1" x14ac:dyDescent="0.3">
      <c r="A134" s="226" t="s">
        <v>205</v>
      </c>
      <c r="B134" s="227" t="s">
        <v>148</v>
      </c>
      <c r="C134" s="228" t="s">
        <v>93</v>
      </c>
      <c r="D134" s="212">
        <v>46201</v>
      </c>
      <c r="E134" s="229"/>
      <c r="F134" s="229"/>
      <c r="G134" s="229"/>
      <c r="H134" s="229"/>
      <c r="I134" s="230">
        <v>0</v>
      </c>
    </row>
    <row r="135" spans="1:9" ht="20.399999999999999" thickTop="1" thickBot="1" x14ac:dyDescent="0.3">
      <c r="A135" s="215" t="s">
        <v>85</v>
      </c>
      <c r="B135" s="216" t="s">
        <v>148</v>
      </c>
      <c r="C135" s="217" t="s">
        <v>92</v>
      </c>
      <c r="D135" s="209">
        <v>46200</v>
      </c>
      <c r="E135" s="218">
        <v>86</v>
      </c>
      <c r="F135" s="218">
        <v>93</v>
      </c>
      <c r="G135" s="218">
        <v>152</v>
      </c>
      <c r="H135" s="218">
        <v>93</v>
      </c>
      <c r="I135" s="218">
        <v>424</v>
      </c>
    </row>
    <row r="136" spans="1:9" ht="19.8" thickTop="1" x14ac:dyDescent="0.25">
      <c r="A136" s="219" t="s">
        <v>86</v>
      </c>
      <c r="B136" s="220" t="s">
        <v>148</v>
      </c>
      <c r="C136" s="221" t="s">
        <v>92</v>
      </c>
      <c r="D136" s="210">
        <v>46200</v>
      </c>
      <c r="E136" s="222">
        <v>83.290999999999997</v>
      </c>
      <c r="F136" s="222">
        <v>91.725899999999996</v>
      </c>
      <c r="G136" s="222">
        <v>152</v>
      </c>
      <c r="H136" s="222">
        <v>93</v>
      </c>
      <c r="I136" s="223">
        <v>420.01689999999996</v>
      </c>
    </row>
    <row r="137" spans="1:9" x14ac:dyDescent="0.25">
      <c r="A137" s="219" t="s">
        <v>87</v>
      </c>
      <c r="B137" s="220" t="s">
        <v>148</v>
      </c>
      <c r="C137" s="221" t="s">
        <v>92</v>
      </c>
      <c r="D137" s="211">
        <v>46200</v>
      </c>
      <c r="E137" s="224">
        <v>3.15E-2</v>
      </c>
      <c r="F137" s="224">
        <v>1.37E-2</v>
      </c>
      <c r="G137" s="224">
        <v>0</v>
      </c>
      <c r="H137" s="224">
        <v>0</v>
      </c>
      <c r="I137" s="225">
        <v>3.9831000000000003</v>
      </c>
    </row>
    <row r="138" spans="1:9" ht="19.8" thickBot="1" x14ac:dyDescent="0.3">
      <c r="A138" s="226" t="s">
        <v>205</v>
      </c>
      <c r="B138" s="227" t="s">
        <v>148</v>
      </c>
      <c r="C138" s="228" t="s">
        <v>92</v>
      </c>
      <c r="D138" s="212">
        <v>46200</v>
      </c>
      <c r="E138" s="229"/>
      <c r="F138" s="229"/>
      <c r="G138" s="229"/>
      <c r="H138" s="229"/>
      <c r="I138" s="230">
        <v>0</v>
      </c>
    </row>
    <row r="139" spans="1:9" ht="20.399999999999999" thickTop="1" thickBot="1" x14ac:dyDescent="0.3">
      <c r="A139" s="215" t="s">
        <v>85</v>
      </c>
      <c r="B139" s="216" t="s">
        <v>148</v>
      </c>
      <c r="C139" s="217" t="s">
        <v>83</v>
      </c>
      <c r="D139" s="209">
        <v>46199</v>
      </c>
      <c r="E139" s="218">
        <v>0</v>
      </c>
      <c r="F139" s="218">
        <v>95</v>
      </c>
      <c r="G139" s="218">
        <v>157</v>
      </c>
      <c r="H139" s="218">
        <v>-68</v>
      </c>
      <c r="I139" s="218">
        <v>184</v>
      </c>
    </row>
    <row r="140" spans="1:9" ht="19.8" thickTop="1" x14ac:dyDescent="0.25">
      <c r="A140" s="219" t="s">
        <v>86</v>
      </c>
      <c r="B140" s="220" t="s">
        <v>148</v>
      </c>
      <c r="C140" s="221" t="s">
        <v>83</v>
      </c>
      <c r="D140" s="210">
        <v>46199</v>
      </c>
      <c r="E140" s="222">
        <v>0</v>
      </c>
      <c r="F140" s="222">
        <v>93.698499999999996</v>
      </c>
      <c r="G140" s="222">
        <v>157</v>
      </c>
      <c r="H140" s="222">
        <v>-68</v>
      </c>
      <c r="I140" s="223">
        <v>182.6985</v>
      </c>
    </row>
    <row r="141" spans="1:9" x14ac:dyDescent="0.25">
      <c r="A141" s="219" t="s">
        <v>87</v>
      </c>
      <c r="B141" s="220" t="s">
        <v>148</v>
      </c>
      <c r="C141" s="221" t="s">
        <v>83</v>
      </c>
      <c r="D141" s="211">
        <v>46199</v>
      </c>
      <c r="E141" s="224">
        <v>3.15E-2</v>
      </c>
      <c r="F141" s="224">
        <v>1.37E-2</v>
      </c>
      <c r="G141" s="224">
        <v>0</v>
      </c>
      <c r="H141" s="224">
        <v>0</v>
      </c>
      <c r="I141" s="225">
        <v>1.3015000000000001</v>
      </c>
    </row>
    <row r="142" spans="1:9" ht="19.8" thickBot="1" x14ac:dyDescent="0.3">
      <c r="A142" s="226" t="s">
        <v>205</v>
      </c>
      <c r="B142" s="227" t="s">
        <v>148</v>
      </c>
      <c r="C142" s="228" t="s">
        <v>83</v>
      </c>
      <c r="D142" s="212">
        <v>46199</v>
      </c>
      <c r="E142" s="229"/>
      <c r="F142" s="229"/>
      <c r="G142" s="229"/>
      <c r="H142" s="229"/>
      <c r="I142" s="230">
        <v>0</v>
      </c>
    </row>
    <row r="143" spans="1:9" ht="20.399999999999999" thickTop="1" thickBot="1" x14ac:dyDescent="0.3">
      <c r="A143" s="215" t="s">
        <v>85</v>
      </c>
      <c r="B143" s="216" t="s">
        <v>148</v>
      </c>
      <c r="C143" s="217" t="s">
        <v>294</v>
      </c>
      <c r="D143" s="209">
        <v>46198</v>
      </c>
      <c r="E143" s="218">
        <v>43</v>
      </c>
      <c r="F143" s="218">
        <v>231</v>
      </c>
      <c r="G143" s="218">
        <v>161</v>
      </c>
      <c r="H143" s="218">
        <v>157</v>
      </c>
      <c r="I143" s="218">
        <v>592</v>
      </c>
    </row>
    <row r="144" spans="1:9" ht="19.8" thickTop="1" x14ac:dyDescent="0.25">
      <c r="A144" s="219" t="s">
        <v>86</v>
      </c>
      <c r="B144" s="220" t="s">
        <v>148</v>
      </c>
      <c r="C144" s="221" t="s">
        <v>294</v>
      </c>
      <c r="D144" s="210">
        <v>46198</v>
      </c>
      <c r="E144" s="222">
        <v>41.645499999999998</v>
      </c>
      <c r="F144" s="222">
        <v>227.83529999999999</v>
      </c>
      <c r="G144" s="222">
        <v>161</v>
      </c>
      <c r="H144" s="222">
        <v>157</v>
      </c>
      <c r="I144" s="223">
        <v>587.48080000000004</v>
      </c>
    </row>
    <row r="145" spans="1:9" x14ac:dyDescent="0.25">
      <c r="A145" s="219" t="s">
        <v>87</v>
      </c>
      <c r="B145" s="220" t="s">
        <v>148</v>
      </c>
      <c r="C145" s="221" t="s">
        <v>294</v>
      </c>
      <c r="D145" s="211">
        <v>46198</v>
      </c>
      <c r="E145" s="224">
        <v>3.15E-2</v>
      </c>
      <c r="F145" s="224">
        <v>1.37E-2</v>
      </c>
      <c r="G145" s="224">
        <v>0</v>
      </c>
      <c r="H145" s="224">
        <v>0</v>
      </c>
      <c r="I145" s="225">
        <v>4.5192000000000005</v>
      </c>
    </row>
    <row r="146" spans="1:9" ht="19.8" thickBot="1" x14ac:dyDescent="0.3">
      <c r="A146" s="226" t="s">
        <v>205</v>
      </c>
      <c r="B146" s="227" t="s">
        <v>148</v>
      </c>
      <c r="C146" s="228" t="s">
        <v>294</v>
      </c>
      <c r="D146" s="212">
        <v>46198</v>
      </c>
      <c r="E146" s="229"/>
      <c r="F146" s="229"/>
      <c r="G146" s="229"/>
      <c r="H146" s="229"/>
      <c r="I146" s="230">
        <v>0</v>
      </c>
    </row>
    <row r="147" spans="1:9" ht="20.399999999999999" thickTop="1" thickBot="1" x14ac:dyDescent="0.3">
      <c r="A147" s="215" t="s">
        <v>85</v>
      </c>
      <c r="B147" s="216" t="s">
        <v>148</v>
      </c>
      <c r="C147" s="217" t="s">
        <v>32</v>
      </c>
      <c r="D147" s="209">
        <v>46197</v>
      </c>
      <c r="E147" s="218">
        <v>7</v>
      </c>
      <c r="F147" s="218">
        <v>111</v>
      </c>
      <c r="G147" s="218">
        <v>170</v>
      </c>
      <c r="H147" s="218">
        <v>116</v>
      </c>
      <c r="I147" s="218">
        <v>404</v>
      </c>
    </row>
    <row r="148" spans="1:9" ht="19.8" thickTop="1" x14ac:dyDescent="0.25">
      <c r="A148" s="219" t="s">
        <v>86</v>
      </c>
      <c r="B148" s="220" t="s">
        <v>148</v>
      </c>
      <c r="C148" s="221" t="s">
        <v>32</v>
      </c>
      <c r="D148" s="210">
        <v>46197</v>
      </c>
      <c r="E148" s="222">
        <v>6.7794999999999996</v>
      </c>
      <c r="F148" s="222">
        <v>109.47929999999999</v>
      </c>
      <c r="G148" s="222">
        <v>170</v>
      </c>
      <c r="H148" s="222">
        <v>116</v>
      </c>
      <c r="I148" s="223">
        <v>402.25880000000001</v>
      </c>
    </row>
    <row r="149" spans="1:9" x14ac:dyDescent="0.25">
      <c r="A149" s="219" t="s">
        <v>87</v>
      </c>
      <c r="B149" s="220" t="s">
        <v>148</v>
      </c>
      <c r="C149" s="221" t="s">
        <v>32</v>
      </c>
      <c r="D149" s="211">
        <v>46197</v>
      </c>
      <c r="E149" s="224">
        <v>3.15E-2</v>
      </c>
      <c r="F149" s="224">
        <v>1.37E-2</v>
      </c>
      <c r="G149" s="224">
        <v>0</v>
      </c>
      <c r="H149" s="224">
        <v>0</v>
      </c>
      <c r="I149" s="225">
        <v>1.7411999999999999</v>
      </c>
    </row>
    <row r="150" spans="1:9" ht="19.8" thickBot="1" x14ac:dyDescent="0.3">
      <c r="A150" s="226" t="s">
        <v>205</v>
      </c>
      <c r="B150" s="227" t="s">
        <v>148</v>
      </c>
      <c r="C150" s="228" t="s">
        <v>32</v>
      </c>
      <c r="D150" s="212">
        <v>46197</v>
      </c>
      <c r="E150" s="229"/>
      <c r="F150" s="229"/>
      <c r="G150" s="229"/>
      <c r="H150" s="229"/>
      <c r="I150" s="230">
        <v>0</v>
      </c>
    </row>
    <row r="151" spans="1:9" ht="20.399999999999999" thickTop="1" thickBot="1" x14ac:dyDescent="0.3">
      <c r="A151" s="215" t="s">
        <v>85</v>
      </c>
      <c r="B151" s="216" t="s">
        <v>148</v>
      </c>
      <c r="C151" s="217" t="s">
        <v>290</v>
      </c>
      <c r="D151" s="209">
        <v>46196</v>
      </c>
      <c r="E151" s="218">
        <v>63</v>
      </c>
      <c r="F151" s="218">
        <v>127</v>
      </c>
      <c r="G151" s="218">
        <v>251</v>
      </c>
      <c r="H151" s="218">
        <v>548</v>
      </c>
      <c r="I151" s="218">
        <v>989</v>
      </c>
    </row>
    <row r="152" spans="1:9" ht="19.8" thickTop="1" x14ac:dyDescent="0.25">
      <c r="A152" s="219" t="s">
        <v>86</v>
      </c>
      <c r="B152" s="220" t="s">
        <v>148</v>
      </c>
      <c r="C152" s="221" t="s">
        <v>290</v>
      </c>
      <c r="D152" s="210">
        <v>46196</v>
      </c>
      <c r="E152" s="222">
        <v>61.015500000000003</v>
      </c>
      <c r="F152" s="222">
        <v>125.26009999999999</v>
      </c>
      <c r="G152" s="222">
        <v>251</v>
      </c>
      <c r="H152" s="222">
        <v>548</v>
      </c>
      <c r="I152" s="223">
        <v>985.27559999999994</v>
      </c>
    </row>
    <row r="153" spans="1:9" x14ac:dyDescent="0.25">
      <c r="A153" s="219" t="s">
        <v>87</v>
      </c>
      <c r="B153" s="220" t="s">
        <v>148</v>
      </c>
      <c r="C153" s="221" t="s">
        <v>290</v>
      </c>
      <c r="D153" s="211">
        <v>46196</v>
      </c>
      <c r="E153" s="224">
        <v>3.15E-2</v>
      </c>
      <c r="F153" s="224">
        <v>1.37E-2</v>
      </c>
      <c r="G153" s="224">
        <v>0</v>
      </c>
      <c r="H153" s="224">
        <v>0</v>
      </c>
      <c r="I153" s="225">
        <v>3.7244000000000002</v>
      </c>
    </row>
    <row r="154" spans="1:9" ht="19.8" thickBot="1" x14ac:dyDescent="0.3">
      <c r="A154" s="226" t="s">
        <v>205</v>
      </c>
      <c r="B154" s="227" t="s">
        <v>148</v>
      </c>
      <c r="C154" s="228" t="s">
        <v>290</v>
      </c>
      <c r="D154" s="212">
        <v>46196</v>
      </c>
      <c r="E154" s="229"/>
      <c r="F154" s="229"/>
      <c r="G154" s="229"/>
      <c r="H154" s="229"/>
      <c r="I154" s="230">
        <v>0</v>
      </c>
    </row>
    <row r="155" spans="1:9" ht="20.399999999999999" thickTop="1" thickBot="1" x14ac:dyDescent="0.3">
      <c r="A155" s="215" t="s">
        <v>85</v>
      </c>
      <c r="B155" s="216" t="s">
        <v>148</v>
      </c>
      <c r="C155" s="217" t="s">
        <v>291</v>
      </c>
      <c r="D155" s="209">
        <v>46195</v>
      </c>
      <c r="E155" s="218">
        <v>102</v>
      </c>
      <c r="F155" s="218">
        <v>78</v>
      </c>
      <c r="G155" s="218">
        <v>693</v>
      </c>
      <c r="H155" s="218">
        <v>-85</v>
      </c>
      <c r="I155" s="218">
        <v>788</v>
      </c>
    </row>
    <row r="156" spans="1:9" ht="19.8" thickTop="1" x14ac:dyDescent="0.25">
      <c r="A156" s="219" t="s">
        <v>86</v>
      </c>
      <c r="B156" s="220" t="s">
        <v>148</v>
      </c>
      <c r="C156" s="221" t="s">
        <v>291</v>
      </c>
      <c r="D156" s="210">
        <v>46195</v>
      </c>
      <c r="E156" s="222">
        <v>98.787000000000006</v>
      </c>
      <c r="F156" s="222">
        <v>76.931399999999996</v>
      </c>
      <c r="G156" s="222">
        <v>693</v>
      </c>
      <c r="H156" s="222">
        <v>-85</v>
      </c>
      <c r="I156" s="223">
        <v>783.71839999999997</v>
      </c>
    </row>
    <row r="157" spans="1:9" x14ac:dyDescent="0.25">
      <c r="A157" s="219" t="s">
        <v>87</v>
      </c>
      <c r="B157" s="220" t="s">
        <v>148</v>
      </c>
      <c r="C157" s="221" t="s">
        <v>291</v>
      </c>
      <c r="D157" s="211">
        <v>46195</v>
      </c>
      <c r="E157" s="224">
        <v>3.15E-2</v>
      </c>
      <c r="F157" s="224">
        <v>1.37E-2</v>
      </c>
      <c r="G157" s="224">
        <v>0</v>
      </c>
      <c r="H157" s="224">
        <v>0</v>
      </c>
      <c r="I157" s="225">
        <v>4.2816000000000001</v>
      </c>
    </row>
    <row r="158" spans="1:9" ht="19.8" thickBot="1" x14ac:dyDescent="0.3">
      <c r="A158" s="226" t="s">
        <v>205</v>
      </c>
      <c r="B158" s="227" t="s">
        <v>148</v>
      </c>
      <c r="C158" s="228" t="s">
        <v>291</v>
      </c>
      <c r="D158" s="212">
        <v>46195</v>
      </c>
      <c r="E158" s="229"/>
      <c r="F158" s="229"/>
      <c r="G158" s="229"/>
      <c r="H158" s="229"/>
      <c r="I158" s="230">
        <v>0</v>
      </c>
    </row>
    <row r="159" spans="1:9" ht="20.399999999999999" thickTop="1" thickBot="1" x14ac:dyDescent="0.3">
      <c r="A159" s="215" t="s">
        <v>85</v>
      </c>
      <c r="B159" s="216" t="s">
        <v>148</v>
      </c>
      <c r="C159" s="217" t="s">
        <v>93</v>
      </c>
      <c r="D159" s="209">
        <v>46194</v>
      </c>
      <c r="E159" s="218">
        <v>38</v>
      </c>
      <c r="F159" s="218">
        <v>275</v>
      </c>
      <c r="G159" s="218">
        <v>259</v>
      </c>
      <c r="H159" s="218">
        <v>148</v>
      </c>
      <c r="I159" s="218">
        <v>720</v>
      </c>
    </row>
    <row r="160" spans="1:9" ht="19.8" thickTop="1" x14ac:dyDescent="0.25">
      <c r="A160" s="219" t="s">
        <v>86</v>
      </c>
      <c r="B160" s="220" t="s">
        <v>148</v>
      </c>
      <c r="C160" s="221" t="s">
        <v>93</v>
      </c>
      <c r="D160" s="210">
        <v>46194</v>
      </c>
      <c r="E160" s="222">
        <v>36.802999999999997</v>
      </c>
      <c r="F160" s="222">
        <v>271.23250000000002</v>
      </c>
      <c r="G160" s="222">
        <v>259</v>
      </c>
      <c r="H160" s="222">
        <v>148</v>
      </c>
      <c r="I160" s="223">
        <v>715.03549999999996</v>
      </c>
    </row>
    <row r="161" spans="1:9" x14ac:dyDescent="0.25">
      <c r="A161" s="219" t="s">
        <v>87</v>
      </c>
      <c r="B161" s="220" t="s">
        <v>148</v>
      </c>
      <c r="C161" s="221" t="s">
        <v>93</v>
      </c>
      <c r="D161" s="211">
        <v>46194</v>
      </c>
      <c r="E161" s="224">
        <v>3.15E-2</v>
      </c>
      <c r="F161" s="224">
        <v>1.37E-2</v>
      </c>
      <c r="G161" s="224">
        <v>0</v>
      </c>
      <c r="H161" s="224">
        <v>0</v>
      </c>
      <c r="I161" s="225">
        <v>4.9645000000000001</v>
      </c>
    </row>
    <row r="162" spans="1:9" ht="19.8" thickBot="1" x14ac:dyDescent="0.3">
      <c r="A162" s="226" t="s">
        <v>205</v>
      </c>
      <c r="B162" s="227" t="s">
        <v>148</v>
      </c>
      <c r="C162" s="228" t="s">
        <v>93</v>
      </c>
      <c r="D162" s="212">
        <v>46194</v>
      </c>
      <c r="E162" s="229"/>
      <c r="F162" s="229"/>
      <c r="G162" s="229"/>
      <c r="H162" s="229"/>
      <c r="I162" s="230">
        <v>0</v>
      </c>
    </row>
    <row r="163" spans="1:9" ht="20.399999999999999" thickTop="1" thickBot="1" x14ac:dyDescent="0.3">
      <c r="A163" s="215" t="s">
        <v>85</v>
      </c>
      <c r="B163" s="216" t="s">
        <v>148</v>
      </c>
      <c r="C163" s="217" t="s">
        <v>92</v>
      </c>
      <c r="D163" s="209">
        <v>46193</v>
      </c>
      <c r="E163" s="218">
        <v>46</v>
      </c>
      <c r="F163" s="218">
        <v>9.5</v>
      </c>
      <c r="G163" s="218">
        <v>82</v>
      </c>
      <c r="H163" s="218">
        <v>85.5</v>
      </c>
      <c r="I163" s="218">
        <v>223</v>
      </c>
    </row>
    <row r="164" spans="1:9" ht="19.8" thickTop="1" x14ac:dyDescent="0.25">
      <c r="A164" s="219" t="s">
        <v>86</v>
      </c>
      <c r="B164" s="220" t="s">
        <v>148</v>
      </c>
      <c r="C164" s="221" t="s">
        <v>92</v>
      </c>
      <c r="D164" s="210">
        <v>46193</v>
      </c>
      <c r="E164" s="222">
        <v>44.551000000000002</v>
      </c>
      <c r="F164" s="222">
        <v>9.3698499999999996</v>
      </c>
      <c r="G164" s="222">
        <v>82</v>
      </c>
      <c r="H164" s="222">
        <v>85.5</v>
      </c>
      <c r="I164" s="223">
        <v>221.42085</v>
      </c>
    </row>
    <row r="165" spans="1:9" x14ac:dyDescent="0.25">
      <c r="A165" s="219" t="s">
        <v>87</v>
      </c>
      <c r="B165" s="220" t="s">
        <v>148</v>
      </c>
      <c r="C165" s="221" t="s">
        <v>92</v>
      </c>
      <c r="D165" s="211">
        <v>46193</v>
      </c>
      <c r="E165" s="224">
        <v>3.15E-2</v>
      </c>
      <c r="F165" s="224">
        <v>1.37E-2</v>
      </c>
      <c r="G165" s="224">
        <v>0</v>
      </c>
      <c r="H165" s="224">
        <v>0</v>
      </c>
      <c r="I165" s="225">
        <v>1.5791500000000001</v>
      </c>
    </row>
    <row r="166" spans="1:9" ht="19.8" thickBot="1" x14ac:dyDescent="0.3">
      <c r="A166" s="226" t="s">
        <v>205</v>
      </c>
      <c r="B166" s="227" t="s">
        <v>148</v>
      </c>
      <c r="C166" s="228" t="s">
        <v>92</v>
      </c>
      <c r="D166" s="212">
        <v>46193</v>
      </c>
      <c r="E166" s="229"/>
      <c r="F166" s="229"/>
      <c r="G166" s="229"/>
      <c r="H166" s="229"/>
      <c r="I166" s="230">
        <v>0</v>
      </c>
    </row>
    <row r="167" spans="1:9" ht="20.399999999999999" thickTop="1" thickBot="1" x14ac:dyDescent="0.3">
      <c r="A167" s="215" t="s">
        <v>85</v>
      </c>
      <c r="B167" s="216" t="s">
        <v>148</v>
      </c>
      <c r="C167" s="217" t="s">
        <v>83</v>
      </c>
      <c r="D167" s="209">
        <v>46192</v>
      </c>
      <c r="E167" s="218">
        <v>40</v>
      </c>
      <c r="F167" s="218">
        <v>35</v>
      </c>
      <c r="G167" s="218">
        <v>81</v>
      </c>
      <c r="H167" s="218">
        <v>225</v>
      </c>
      <c r="I167" s="218">
        <v>381</v>
      </c>
    </row>
    <row r="168" spans="1:9" ht="19.8" thickTop="1" x14ac:dyDescent="0.25">
      <c r="A168" s="219" t="s">
        <v>86</v>
      </c>
      <c r="B168" s="220" t="s">
        <v>148</v>
      </c>
      <c r="C168" s="221" t="s">
        <v>83</v>
      </c>
      <c r="D168" s="210">
        <v>46192</v>
      </c>
      <c r="E168" s="222">
        <v>38.74</v>
      </c>
      <c r="F168" s="222">
        <v>34.520499999999998</v>
      </c>
      <c r="G168" s="222">
        <v>81</v>
      </c>
      <c r="H168" s="222">
        <v>225</v>
      </c>
      <c r="I168" s="223">
        <v>379.26049999999998</v>
      </c>
    </row>
    <row r="169" spans="1:9" x14ac:dyDescent="0.25">
      <c r="A169" s="219" t="s">
        <v>87</v>
      </c>
      <c r="B169" s="220" t="s">
        <v>148</v>
      </c>
      <c r="C169" s="221" t="s">
        <v>83</v>
      </c>
      <c r="D169" s="211">
        <v>46192</v>
      </c>
      <c r="E169" s="224">
        <v>3.15E-2</v>
      </c>
      <c r="F169" s="224">
        <v>1.37E-2</v>
      </c>
      <c r="G169" s="224">
        <v>0</v>
      </c>
      <c r="H169" s="224">
        <v>0</v>
      </c>
      <c r="I169" s="225">
        <v>1.7395</v>
      </c>
    </row>
    <row r="170" spans="1:9" ht="19.8" thickBot="1" x14ac:dyDescent="0.3">
      <c r="A170" s="226" t="s">
        <v>205</v>
      </c>
      <c r="B170" s="227" t="s">
        <v>148</v>
      </c>
      <c r="C170" s="228" t="s">
        <v>83</v>
      </c>
      <c r="D170" s="212">
        <v>46192</v>
      </c>
      <c r="E170" s="229"/>
      <c r="F170" s="229"/>
      <c r="G170" s="229"/>
      <c r="H170" s="229"/>
      <c r="I170" s="230">
        <v>0</v>
      </c>
    </row>
    <row r="171" spans="1:9" ht="20.399999999999999" thickTop="1" thickBot="1" x14ac:dyDescent="0.3">
      <c r="A171" s="215" t="s">
        <v>85</v>
      </c>
      <c r="B171" s="216" t="s">
        <v>148</v>
      </c>
      <c r="C171" s="217" t="s">
        <v>294</v>
      </c>
      <c r="D171" s="209">
        <v>46191</v>
      </c>
      <c r="E171" s="218">
        <v>20</v>
      </c>
      <c r="F171" s="218">
        <v>78</v>
      </c>
      <c r="G171" s="218">
        <v>244</v>
      </c>
      <c r="H171" s="218">
        <v>214</v>
      </c>
      <c r="I171" s="218">
        <v>556</v>
      </c>
    </row>
    <row r="172" spans="1:9" ht="19.8" thickTop="1" x14ac:dyDescent="0.25">
      <c r="A172" s="219" t="s">
        <v>86</v>
      </c>
      <c r="B172" s="220" t="s">
        <v>148</v>
      </c>
      <c r="C172" s="221" t="s">
        <v>294</v>
      </c>
      <c r="D172" s="210">
        <v>46191</v>
      </c>
      <c r="E172" s="222">
        <v>19.37</v>
      </c>
      <c r="F172" s="222">
        <v>76.931399999999996</v>
      </c>
      <c r="G172" s="222">
        <v>244</v>
      </c>
      <c r="H172" s="222">
        <v>214</v>
      </c>
      <c r="I172" s="223">
        <v>554.30140000000006</v>
      </c>
    </row>
    <row r="173" spans="1:9" x14ac:dyDescent="0.25">
      <c r="A173" s="219" t="s">
        <v>87</v>
      </c>
      <c r="B173" s="220" t="s">
        <v>148</v>
      </c>
      <c r="C173" s="221" t="s">
        <v>294</v>
      </c>
      <c r="D173" s="211">
        <v>46191</v>
      </c>
      <c r="E173" s="224">
        <v>3.15E-2</v>
      </c>
      <c r="F173" s="224">
        <v>1.37E-2</v>
      </c>
      <c r="G173" s="224">
        <v>0</v>
      </c>
      <c r="H173" s="224">
        <v>0</v>
      </c>
      <c r="I173" s="225">
        <v>1.6985999999999999</v>
      </c>
    </row>
    <row r="174" spans="1:9" ht="19.8" thickBot="1" x14ac:dyDescent="0.3">
      <c r="A174" s="226" t="s">
        <v>205</v>
      </c>
      <c r="B174" s="227" t="s">
        <v>148</v>
      </c>
      <c r="C174" s="228" t="s">
        <v>294</v>
      </c>
      <c r="D174" s="212">
        <v>46191</v>
      </c>
      <c r="E174" s="229"/>
      <c r="F174" s="229"/>
      <c r="G174" s="229"/>
      <c r="H174" s="229"/>
      <c r="I174" s="230">
        <v>0</v>
      </c>
    </row>
    <row r="175" spans="1:9" ht="20.399999999999999" thickTop="1" thickBot="1" x14ac:dyDescent="0.3">
      <c r="A175" s="215" t="s">
        <v>85</v>
      </c>
      <c r="B175" s="216" t="s">
        <v>148</v>
      </c>
      <c r="C175" s="217" t="s">
        <v>32</v>
      </c>
      <c r="D175" s="209">
        <v>46190</v>
      </c>
      <c r="E175" s="218">
        <v>44</v>
      </c>
      <c r="F175" s="218">
        <v>108</v>
      </c>
      <c r="G175" s="218">
        <v>26</v>
      </c>
      <c r="H175" s="218">
        <v>20</v>
      </c>
      <c r="I175" s="218">
        <v>198</v>
      </c>
    </row>
    <row r="176" spans="1:9" ht="19.8" thickTop="1" x14ac:dyDescent="0.25">
      <c r="A176" s="219" t="s">
        <v>86</v>
      </c>
      <c r="B176" s="220" t="s">
        <v>148</v>
      </c>
      <c r="C176" s="221" t="s">
        <v>32</v>
      </c>
      <c r="D176" s="210">
        <v>46190</v>
      </c>
      <c r="E176" s="222">
        <v>42.613999999999997</v>
      </c>
      <c r="F176" s="222">
        <v>106.5204</v>
      </c>
      <c r="G176" s="222">
        <v>26</v>
      </c>
      <c r="H176" s="222">
        <v>20</v>
      </c>
      <c r="I176" s="223">
        <v>195.1344</v>
      </c>
    </row>
    <row r="177" spans="1:9" x14ac:dyDescent="0.25">
      <c r="A177" s="219" t="s">
        <v>87</v>
      </c>
      <c r="B177" s="220" t="s">
        <v>148</v>
      </c>
      <c r="C177" s="221" t="s">
        <v>32</v>
      </c>
      <c r="D177" s="211">
        <v>46190</v>
      </c>
      <c r="E177" s="224">
        <v>3.15E-2</v>
      </c>
      <c r="F177" s="224">
        <v>1.37E-2</v>
      </c>
      <c r="G177" s="224">
        <v>0</v>
      </c>
      <c r="H177" s="224">
        <v>0</v>
      </c>
      <c r="I177" s="225">
        <v>2.8656000000000001</v>
      </c>
    </row>
    <row r="178" spans="1:9" ht="19.8" thickBot="1" x14ac:dyDescent="0.3">
      <c r="A178" s="226" t="s">
        <v>205</v>
      </c>
      <c r="B178" s="227" t="s">
        <v>148</v>
      </c>
      <c r="C178" s="228" t="s">
        <v>32</v>
      </c>
      <c r="D178" s="212">
        <v>46190</v>
      </c>
      <c r="E178" s="229"/>
      <c r="F178" s="229"/>
      <c r="G178" s="229"/>
      <c r="H178" s="229"/>
      <c r="I178" s="230">
        <v>0</v>
      </c>
    </row>
    <row r="179" spans="1:9" ht="20.399999999999999" thickTop="1" thickBot="1" x14ac:dyDescent="0.3">
      <c r="A179" s="215" t="s">
        <v>85</v>
      </c>
      <c r="B179" s="216" t="s">
        <v>148</v>
      </c>
      <c r="C179" s="217" t="s">
        <v>290</v>
      </c>
      <c r="D179" s="209">
        <v>46189</v>
      </c>
      <c r="E179" s="218">
        <v>0</v>
      </c>
      <c r="F179" s="218">
        <v>101</v>
      </c>
      <c r="G179" s="218">
        <v>169</v>
      </c>
      <c r="H179" s="218">
        <v>109</v>
      </c>
      <c r="I179" s="218">
        <v>379</v>
      </c>
    </row>
    <row r="180" spans="1:9" ht="19.8" thickTop="1" x14ac:dyDescent="0.25">
      <c r="A180" s="219" t="s">
        <v>86</v>
      </c>
      <c r="B180" s="220" t="s">
        <v>148</v>
      </c>
      <c r="C180" s="221" t="s">
        <v>290</v>
      </c>
      <c r="D180" s="210">
        <v>46189</v>
      </c>
      <c r="E180" s="222">
        <v>0</v>
      </c>
      <c r="F180" s="222">
        <v>99.616299999999995</v>
      </c>
      <c r="G180" s="222">
        <v>169</v>
      </c>
      <c r="H180" s="222">
        <v>109</v>
      </c>
      <c r="I180" s="223">
        <v>377.61630000000002</v>
      </c>
    </row>
    <row r="181" spans="1:9" x14ac:dyDescent="0.25">
      <c r="A181" s="219" t="s">
        <v>87</v>
      </c>
      <c r="B181" s="220" t="s">
        <v>148</v>
      </c>
      <c r="C181" s="221" t="s">
        <v>290</v>
      </c>
      <c r="D181" s="211">
        <v>46189</v>
      </c>
      <c r="E181" s="224">
        <v>3.15E-2</v>
      </c>
      <c r="F181" s="224">
        <v>1.37E-2</v>
      </c>
      <c r="G181" s="224">
        <v>0</v>
      </c>
      <c r="H181" s="224">
        <v>0</v>
      </c>
      <c r="I181" s="225">
        <v>1.3836999999999999</v>
      </c>
    </row>
    <row r="182" spans="1:9" ht="19.8" thickBot="1" x14ac:dyDescent="0.3">
      <c r="A182" s="226" t="s">
        <v>205</v>
      </c>
      <c r="B182" s="227" t="s">
        <v>148</v>
      </c>
      <c r="C182" s="228" t="s">
        <v>290</v>
      </c>
      <c r="D182" s="212">
        <v>46189</v>
      </c>
      <c r="E182" s="229"/>
      <c r="F182" s="229"/>
      <c r="G182" s="229"/>
      <c r="H182" s="229"/>
      <c r="I182" s="230">
        <v>0</v>
      </c>
    </row>
    <row r="183" spans="1:9" ht="20.399999999999999" thickTop="1" thickBot="1" x14ac:dyDescent="0.3">
      <c r="A183" s="215" t="s">
        <v>85</v>
      </c>
      <c r="B183" s="216" t="s">
        <v>148</v>
      </c>
      <c r="C183" s="217" t="s">
        <v>291</v>
      </c>
      <c r="D183" s="209">
        <v>46188</v>
      </c>
      <c r="E183" s="218">
        <v>38</v>
      </c>
      <c r="F183" s="218">
        <v>116</v>
      </c>
      <c r="G183" s="218">
        <v>357</v>
      </c>
      <c r="H183" s="218">
        <v>106</v>
      </c>
      <c r="I183" s="218">
        <v>617</v>
      </c>
    </row>
    <row r="184" spans="1:9" ht="19.8" thickTop="1" x14ac:dyDescent="0.25">
      <c r="A184" s="219" t="s">
        <v>86</v>
      </c>
      <c r="B184" s="220" t="s">
        <v>148</v>
      </c>
      <c r="C184" s="221" t="s">
        <v>291</v>
      </c>
      <c r="D184" s="210">
        <v>46188</v>
      </c>
      <c r="E184" s="222">
        <v>36.802999999999997</v>
      </c>
      <c r="F184" s="222">
        <v>114.41079999999999</v>
      </c>
      <c r="G184" s="222">
        <v>357</v>
      </c>
      <c r="H184" s="222">
        <v>106</v>
      </c>
      <c r="I184" s="223">
        <v>614.21379999999999</v>
      </c>
    </row>
    <row r="185" spans="1:9" x14ac:dyDescent="0.25">
      <c r="A185" s="219" t="s">
        <v>87</v>
      </c>
      <c r="B185" s="220" t="s">
        <v>148</v>
      </c>
      <c r="C185" s="221" t="s">
        <v>291</v>
      </c>
      <c r="D185" s="211">
        <v>46188</v>
      </c>
      <c r="E185" s="224">
        <v>3.15E-2</v>
      </c>
      <c r="F185" s="224">
        <v>1.37E-2</v>
      </c>
      <c r="G185" s="224">
        <v>0</v>
      </c>
      <c r="H185" s="224">
        <v>0</v>
      </c>
      <c r="I185" s="225">
        <v>2.7862</v>
      </c>
    </row>
    <row r="186" spans="1:9" ht="19.8" thickBot="1" x14ac:dyDescent="0.3">
      <c r="A186" s="226" t="s">
        <v>205</v>
      </c>
      <c r="B186" s="227" t="s">
        <v>148</v>
      </c>
      <c r="C186" s="228" t="s">
        <v>291</v>
      </c>
      <c r="D186" s="212">
        <v>46188</v>
      </c>
      <c r="E186" s="229"/>
      <c r="F186" s="229"/>
      <c r="G186" s="229"/>
      <c r="H186" s="229"/>
      <c r="I186" s="230">
        <v>0</v>
      </c>
    </row>
    <row r="187" spans="1:9" ht="20.399999999999999" thickTop="1" thickBot="1" x14ac:dyDescent="0.3">
      <c r="A187" s="215" t="s">
        <v>85</v>
      </c>
      <c r="B187" s="216" t="s">
        <v>148</v>
      </c>
      <c r="C187" s="217" t="s">
        <v>93</v>
      </c>
      <c r="D187" s="209">
        <v>46187</v>
      </c>
      <c r="E187" s="218">
        <v>209</v>
      </c>
      <c r="F187" s="218">
        <v>114</v>
      </c>
      <c r="G187" s="218">
        <v>77</v>
      </c>
      <c r="H187" s="218">
        <v>224</v>
      </c>
      <c r="I187" s="218">
        <v>624</v>
      </c>
    </row>
    <row r="188" spans="1:9" ht="19.8" thickTop="1" x14ac:dyDescent="0.25">
      <c r="A188" s="219" t="s">
        <v>86</v>
      </c>
      <c r="B188" s="220" t="s">
        <v>148</v>
      </c>
      <c r="C188" s="221" t="s">
        <v>93</v>
      </c>
      <c r="D188" s="210">
        <v>46187</v>
      </c>
      <c r="E188" s="222">
        <v>202.41650000000001</v>
      </c>
      <c r="F188" s="222">
        <v>112.43819999999999</v>
      </c>
      <c r="G188" s="222">
        <v>77</v>
      </c>
      <c r="H188" s="222">
        <v>224</v>
      </c>
      <c r="I188" s="223">
        <v>615.85469999999998</v>
      </c>
    </row>
    <row r="189" spans="1:9" x14ac:dyDescent="0.25">
      <c r="A189" s="219" t="s">
        <v>87</v>
      </c>
      <c r="B189" s="220" t="s">
        <v>148</v>
      </c>
      <c r="C189" s="221" t="s">
        <v>93</v>
      </c>
      <c r="D189" s="211">
        <v>46187</v>
      </c>
      <c r="E189" s="224">
        <v>3.15E-2</v>
      </c>
      <c r="F189" s="224">
        <v>1.37E-2</v>
      </c>
      <c r="G189" s="224">
        <v>0</v>
      </c>
      <c r="H189" s="224">
        <v>0</v>
      </c>
      <c r="I189" s="225">
        <v>8.1453000000000007</v>
      </c>
    </row>
    <row r="190" spans="1:9" ht="19.8" thickBot="1" x14ac:dyDescent="0.3">
      <c r="A190" s="226" t="s">
        <v>205</v>
      </c>
      <c r="B190" s="227" t="s">
        <v>148</v>
      </c>
      <c r="C190" s="228" t="s">
        <v>93</v>
      </c>
      <c r="D190" s="212">
        <v>46187</v>
      </c>
      <c r="E190" s="229"/>
      <c r="F190" s="229"/>
      <c r="G190" s="229"/>
      <c r="H190" s="229"/>
      <c r="I190" s="230">
        <v>0</v>
      </c>
    </row>
    <row r="191" spans="1:9" ht="20.399999999999999" thickTop="1" thickBot="1" x14ac:dyDescent="0.3">
      <c r="A191" s="215" t="s">
        <v>85</v>
      </c>
      <c r="B191" s="216" t="s">
        <v>148</v>
      </c>
      <c r="C191" s="217" t="s">
        <v>92</v>
      </c>
      <c r="D191" s="209">
        <v>46186</v>
      </c>
      <c r="E191" s="218">
        <v>0</v>
      </c>
      <c r="F191" s="218">
        <v>122</v>
      </c>
      <c r="G191" s="218">
        <v>380</v>
      </c>
      <c r="H191" s="218">
        <v>56</v>
      </c>
      <c r="I191" s="218">
        <v>558</v>
      </c>
    </row>
    <row r="192" spans="1:9" ht="19.8" thickTop="1" x14ac:dyDescent="0.25">
      <c r="A192" s="219" t="s">
        <v>86</v>
      </c>
      <c r="B192" s="220" t="s">
        <v>148</v>
      </c>
      <c r="C192" s="221" t="s">
        <v>92</v>
      </c>
      <c r="D192" s="210">
        <v>46186</v>
      </c>
      <c r="E192" s="222">
        <v>0</v>
      </c>
      <c r="F192" s="222">
        <v>120.32859999999999</v>
      </c>
      <c r="G192" s="222">
        <v>380</v>
      </c>
      <c r="H192" s="222">
        <v>56</v>
      </c>
      <c r="I192" s="223">
        <v>556.32860000000005</v>
      </c>
    </row>
    <row r="193" spans="1:9" x14ac:dyDescent="0.25">
      <c r="A193" s="219" t="s">
        <v>87</v>
      </c>
      <c r="B193" s="220" t="s">
        <v>148</v>
      </c>
      <c r="C193" s="221" t="s">
        <v>92</v>
      </c>
      <c r="D193" s="211">
        <v>46186</v>
      </c>
      <c r="E193" s="224">
        <v>3.15E-2</v>
      </c>
      <c r="F193" s="224">
        <v>1.37E-2</v>
      </c>
      <c r="G193" s="224">
        <v>0</v>
      </c>
      <c r="H193" s="224">
        <v>0</v>
      </c>
      <c r="I193" s="225">
        <v>1.6714</v>
      </c>
    </row>
    <row r="194" spans="1:9" ht="19.8" thickBot="1" x14ac:dyDescent="0.3">
      <c r="A194" s="226" t="s">
        <v>205</v>
      </c>
      <c r="B194" s="227" t="s">
        <v>148</v>
      </c>
      <c r="C194" s="228" t="s">
        <v>92</v>
      </c>
      <c r="D194" s="212">
        <v>46186</v>
      </c>
      <c r="E194" s="229"/>
      <c r="F194" s="229"/>
      <c r="G194" s="229"/>
      <c r="H194" s="229"/>
      <c r="I194" s="230">
        <v>0</v>
      </c>
    </row>
    <row r="195" spans="1:9" ht="20.399999999999999" thickTop="1" thickBot="1" x14ac:dyDescent="0.3">
      <c r="A195" s="215" t="s">
        <v>85</v>
      </c>
      <c r="B195" s="216" t="s">
        <v>148</v>
      </c>
      <c r="C195" s="217" t="s">
        <v>83</v>
      </c>
      <c r="D195" s="209">
        <v>46185</v>
      </c>
      <c r="E195" s="218">
        <v>22</v>
      </c>
      <c r="F195" s="218">
        <v>80</v>
      </c>
      <c r="G195" s="218">
        <v>272</v>
      </c>
      <c r="H195" s="218">
        <v>104</v>
      </c>
      <c r="I195" s="218">
        <v>478</v>
      </c>
    </row>
    <row r="196" spans="1:9" ht="19.8" thickTop="1" x14ac:dyDescent="0.25">
      <c r="A196" s="219" t="s">
        <v>86</v>
      </c>
      <c r="B196" s="220" t="s">
        <v>148</v>
      </c>
      <c r="C196" s="221" t="s">
        <v>83</v>
      </c>
      <c r="D196" s="210">
        <v>46185</v>
      </c>
      <c r="E196" s="222">
        <v>21.306999999999999</v>
      </c>
      <c r="F196" s="222">
        <v>78.903999999999996</v>
      </c>
      <c r="G196" s="222">
        <v>272</v>
      </c>
      <c r="H196" s="222">
        <v>104</v>
      </c>
      <c r="I196" s="223">
        <v>476.21100000000001</v>
      </c>
    </row>
    <row r="197" spans="1:9" x14ac:dyDescent="0.25">
      <c r="A197" s="219" t="s">
        <v>87</v>
      </c>
      <c r="B197" s="220" t="s">
        <v>148</v>
      </c>
      <c r="C197" s="221" t="s">
        <v>83</v>
      </c>
      <c r="D197" s="211">
        <v>46185</v>
      </c>
      <c r="E197" s="224">
        <v>3.15E-2</v>
      </c>
      <c r="F197" s="224">
        <v>1.37E-2</v>
      </c>
      <c r="G197" s="224">
        <v>0</v>
      </c>
      <c r="H197" s="224">
        <v>0</v>
      </c>
      <c r="I197" s="225">
        <v>1.7890000000000001</v>
      </c>
    </row>
    <row r="198" spans="1:9" ht="19.8" thickBot="1" x14ac:dyDescent="0.3">
      <c r="A198" s="226" t="s">
        <v>205</v>
      </c>
      <c r="B198" s="227" t="s">
        <v>148</v>
      </c>
      <c r="C198" s="228" t="s">
        <v>83</v>
      </c>
      <c r="D198" s="212">
        <v>46185</v>
      </c>
      <c r="E198" s="229"/>
      <c r="F198" s="229"/>
      <c r="G198" s="229"/>
      <c r="H198" s="229"/>
      <c r="I198" s="230">
        <v>0</v>
      </c>
    </row>
    <row r="199" spans="1:9" ht="20.399999999999999" thickTop="1" thickBot="1" x14ac:dyDescent="0.3">
      <c r="A199" s="215" t="s">
        <v>85</v>
      </c>
      <c r="B199" s="216" t="s">
        <v>148</v>
      </c>
      <c r="C199" s="217" t="s">
        <v>294</v>
      </c>
      <c r="D199" s="209">
        <v>46184</v>
      </c>
      <c r="E199" s="218">
        <v>20</v>
      </c>
      <c r="F199" s="218">
        <v>94</v>
      </c>
      <c r="G199" s="218">
        <v>354</v>
      </c>
      <c r="H199" s="218">
        <v>73</v>
      </c>
      <c r="I199" s="218">
        <v>541</v>
      </c>
    </row>
    <row r="200" spans="1:9" ht="19.8" thickTop="1" x14ac:dyDescent="0.25">
      <c r="A200" s="219" t="s">
        <v>86</v>
      </c>
      <c r="B200" s="220" t="s">
        <v>148</v>
      </c>
      <c r="C200" s="221" t="s">
        <v>294</v>
      </c>
      <c r="D200" s="210">
        <v>46184</v>
      </c>
      <c r="E200" s="222">
        <v>19.37</v>
      </c>
      <c r="F200" s="222">
        <v>92.712199999999996</v>
      </c>
      <c r="G200" s="222">
        <v>354</v>
      </c>
      <c r="H200" s="222">
        <v>73</v>
      </c>
      <c r="I200" s="223">
        <v>539.08220000000006</v>
      </c>
    </row>
    <row r="201" spans="1:9" x14ac:dyDescent="0.25">
      <c r="A201" s="219" t="s">
        <v>87</v>
      </c>
      <c r="B201" s="220" t="s">
        <v>148</v>
      </c>
      <c r="C201" s="221" t="s">
        <v>294</v>
      </c>
      <c r="D201" s="211">
        <v>46184</v>
      </c>
      <c r="E201" s="224">
        <v>3.15E-2</v>
      </c>
      <c r="F201" s="224">
        <v>1.37E-2</v>
      </c>
      <c r="G201" s="224">
        <v>0</v>
      </c>
      <c r="H201" s="224">
        <v>0</v>
      </c>
      <c r="I201" s="225">
        <v>1.9178000000000002</v>
      </c>
    </row>
    <row r="202" spans="1:9" ht="19.8" thickBot="1" x14ac:dyDescent="0.3">
      <c r="A202" s="226" t="s">
        <v>205</v>
      </c>
      <c r="B202" s="227" t="s">
        <v>148</v>
      </c>
      <c r="C202" s="228" t="s">
        <v>294</v>
      </c>
      <c r="D202" s="212">
        <v>46184</v>
      </c>
      <c r="E202" s="229"/>
      <c r="F202" s="229"/>
      <c r="G202" s="229"/>
      <c r="H202" s="229"/>
      <c r="I202" s="230">
        <v>0</v>
      </c>
    </row>
    <row r="203" spans="1:9" ht="20.399999999999999" thickTop="1" thickBot="1" x14ac:dyDescent="0.3">
      <c r="A203" s="215" t="s">
        <v>85</v>
      </c>
      <c r="B203" s="216" t="s">
        <v>148</v>
      </c>
      <c r="C203" s="217" t="s">
        <v>32</v>
      </c>
      <c r="D203" s="209">
        <v>46183</v>
      </c>
      <c r="E203" s="218">
        <v>0</v>
      </c>
      <c r="F203" s="218">
        <v>132</v>
      </c>
      <c r="G203" s="218">
        <v>149</v>
      </c>
      <c r="H203" s="218">
        <v>155</v>
      </c>
      <c r="I203" s="218">
        <v>436</v>
      </c>
    </row>
    <row r="204" spans="1:9" ht="19.8" thickTop="1" x14ac:dyDescent="0.25">
      <c r="A204" s="219" t="s">
        <v>86</v>
      </c>
      <c r="B204" s="220" t="s">
        <v>148</v>
      </c>
      <c r="C204" s="221" t="s">
        <v>32</v>
      </c>
      <c r="D204" s="210">
        <v>46183</v>
      </c>
      <c r="E204" s="222">
        <v>0</v>
      </c>
      <c r="F204" s="222">
        <v>130.19159999999999</v>
      </c>
      <c r="G204" s="222">
        <v>149</v>
      </c>
      <c r="H204" s="222">
        <v>155</v>
      </c>
      <c r="I204" s="223">
        <v>434.19159999999999</v>
      </c>
    </row>
    <row r="205" spans="1:9" x14ac:dyDescent="0.25">
      <c r="A205" s="219" t="s">
        <v>87</v>
      </c>
      <c r="B205" s="220" t="s">
        <v>148</v>
      </c>
      <c r="C205" s="221" t="s">
        <v>32</v>
      </c>
      <c r="D205" s="211">
        <v>46183</v>
      </c>
      <c r="E205" s="224">
        <v>3.15E-2</v>
      </c>
      <c r="F205" s="224">
        <v>1.37E-2</v>
      </c>
      <c r="G205" s="224">
        <v>0</v>
      </c>
      <c r="H205" s="224">
        <v>0</v>
      </c>
      <c r="I205" s="225">
        <v>1.8084</v>
      </c>
    </row>
    <row r="206" spans="1:9" ht="19.8" thickBot="1" x14ac:dyDescent="0.3">
      <c r="A206" s="226" t="s">
        <v>205</v>
      </c>
      <c r="B206" s="227" t="s">
        <v>148</v>
      </c>
      <c r="C206" s="228" t="s">
        <v>32</v>
      </c>
      <c r="D206" s="212">
        <v>46183</v>
      </c>
      <c r="E206" s="229"/>
      <c r="F206" s="229"/>
      <c r="G206" s="229"/>
      <c r="H206" s="229"/>
      <c r="I206" s="230">
        <v>0</v>
      </c>
    </row>
    <row r="207" spans="1:9" ht="20.399999999999999" thickTop="1" thickBot="1" x14ac:dyDescent="0.3">
      <c r="A207" s="215" t="s">
        <v>85</v>
      </c>
      <c r="B207" s="216" t="s">
        <v>148</v>
      </c>
      <c r="C207" s="217" t="s">
        <v>290</v>
      </c>
      <c r="D207" s="209">
        <v>46182</v>
      </c>
      <c r="E207" s="218">
        <v>232</v>
      </c>
      <c r="F207" s="218">
        <v>170</v>
      </c>
      <c r="G207" s="218">
        <v>348</v>
      </c>
      <c r="H207" s="218">
        <v>52</v>
      </c>
      <c r="I207" s="218">
        <v>802</v>
      </c>
    </row>
    <row r="208" spans="1:9" ht="19.8" thickTop="1" x14ac:dyDescent="0.25">
      <c r="A208" s="219" t="s">
        <v>86</v>
      </c>
      <c r="B208" s="220" t="s">
        <v>148</v>
      </c>
      <c r="C208" s="221" t="s">
        <v>290</v>
      </c>
      <c r="D208" s="210">
        <v>46182</v>
      </c>
      <c r="E208" s="222">
        <v>224.69200000000001</v>
      </c>
      <c r="F208" s="222">
        <v>167.67099999999999</v>
      </c>
      <c r="G208" s="222">
        <v>348</v>
      </c>
      <c r="H208" s="222">
        <v>52</v>
      </c>
      <c r="I208" s="223">
        <v>792.36300000000006</v>
      </c>
    </row>
    <row r="209" spans="1:9" x14ac:dyDescent="0.25">
      <c r="A209" s="219" t="s">
        <v>87</v>
      </c>
      <c r="B209" s="220" t="s">
        <v>148</v>
      </c>
      <c r="C209" s="221" t="s">
        <v>290</v>
      </c>
      <c r="D209" s="211">
        <v>46182</v>
      </c>
      <c r="E209" s="224">
        <v>3.15E-2</v>
      </c>
      <c r="F209" s="224">
        <v>1.37E-2</v>
      </c>
      <c r="G209" s="224">
        <v>0</v>
      </c>
      <c r="H209" s="224">
        <v>0</v>
      </c>
      <c r="I209" s="225">
        <v>9.6370000000000005</v>
      </c>
    </row>
    <row r="210" spans="1:9" ht="19.8" thickBot="1" x14ac:dyDescent="0.3">
      <c r="A210" s="226" t="s">
        <v>205</v>
      </c>
      <c r="B210" s="227" t="s">
        <v>148</v>
      </c>
      <c r="C210" s="228" t="s">
        <v>290</v>
      </c>
      <c r="D210" s="212">
        <v>46182</v>
      </c>
      <c r="E210" s="229"/>
      <c r="F210" s="229"/>
      <c r="G210" s="229"/>
      <c r="H210" s="229"/>
      <c r="I210" s="230">
        <v>0</v>
      </c>
    </row>
    <row r="211" spans="1:9" ht="20.399999999999999" thickTop="1" thickBot="1" x14ac:dyDescent="0.3">
      <c r="A211" s="215" t="s">
        <v>85</v>
      </c>
      <c r="B211" s="216" t="s">
        <v>148</v>
      </c>
      <c r="C211" s="217" t="s">
        <v>291</v>
      </c>
      <c r="D211" s="209">
        <v>46181</v>
      </c>
      <c r="E211" s="218">
        <v>0</v>
      </c>
      <c r="F211" s="218">
        <v>50</v>
      </c>
      <c r="G211" s="218">
        <v>314</v>
      </c>
      <c r="H211" s="218">
        <v>117</v>
      </c>
      <c r="I211" s="218">
        <v>481</v>
      </c>
    </row>
    <row r="212" spans="1:9" ht="19.8" thickTop="1" x14ac:dyDescent="0.25">
      <c r="A212" s="219" t="s">
        <v>86</v>
      </c>
      <c r="B212" s="220" t="s">
        <v>148</v>
      </c>
      <c r="C212" s="221" t="s">
        <v>291</v>
      </c>
      <c r="D212" s="210">
        <v>46181</v>
      </c>
      <c r="E212" s="222">
        <v>0</v>
      </c>
      <c r="F212" s="222">
        <v>49.314999999999998</v>
      </c>
      <c r="G212" s="222">
        <v>314</v>
      </c>
      <c r="H212" s="222">
        <v>117</v>
      </c>
      <c r="I212" s="223">
        <v>480.315</v>
      </c>
    </row>
    <row r="213" spans="1:9" x14ac:dyDescent="0.25">
      <c r="A213" s="219" t="s">
        <v>87</v>
      </c>
      <c r="B213" s="220" t="s">
        <v>148</v>
      </c>
      <c r="C213" s="221" t="s">
        <v>291</v>
      </c>
      <c r="D213" s="211">
        <v>46181</v>
      </c>
      <c r="E213" s="224">
        <v>3.15E-2</v>
      </c>
      <c r="F213" s="224">
        <v>1.37E-2</v>
      </c>
      <c r="G213" s="224">
        <v>0</v>
      </c>
      <c r="H213" s="224">
        <v>0</v>
      </c>
      <c r="I213" s="225">
        <v>0.68500000000000005</v>
      </c>
    </row>
    <row r="214" spans="1:9" ht="19.8" thickBot="1" x14ac:dyDescent="0.3">
      <c r="A214" s="226" t="s">
        <v>205</v>
      </c>
      <c r="B214" s="227" t="s">
        <v>148</v>
      </c>
      <c r="C214" s="228" t="s">
        <v>291</v>
      </c>
      <c r="D214" s="212">
        <v>46181</v>
      </c>
      <c r="E214" s="229"/>
      <c r="F214" s="229"/>
      <c r="G214" s="229"/>
      <c r="H214" s="229"/>
      <c r="I214" s="230">
        <v>0</v>
      </c>
    </row>
    <row r="215" spans="1:9" ht="20.399999999999999" thickTop="1" thickBot="1" x14ac:dyDescent="0.3">
      <c r="A215" s="215" t="s">
        <v>85</v>
      </c>
      <c r="B215" s="216" t="s">
        <v>148</v>
      </c>
      <c r="C215" s="217" t="s">
        <v>93</v>
      </c>
      <c r="D215" s="209">
        <v>46180</v>
      </c>
      <c r="E215" s="218">
        <v>60</v>
      </c>
      <c r="F215" s="218">
        <v>152</v>
      </c>
      <c r="G215" s="218">
        <v>296</v>
      </c>
      <c r="H215" s="218">
        <v>193</v>
      </c>
      <c r="I215" s="218">
        <v>701</v>
      </c>
    </row>
    <row r="216" spans="1:9" ht="19.8" thickTop="1" x14ac:dyDescent="0.25">
      <c r="A216" s="219" t="s">
        <v>86</v>
      </c>
      <c r="B216" s="220" t="s">
        <v>148</v>
      </c>
      <c r="C216" s="221" t="s">
        <v>93</v>
      </c>
      <c r="D216" s="210">
        <v>46180</v>
      </c>
      <c r="E216" s="222">
        <v>58.11</v>
      </c>
      <c r="F216" s="222">
        <v>149.91759999999999</v>
      </c>
      <c r="G216" s="222">
        <v>296</v>
      </c>
      <c r="H216" s="222">
        <v>193</v>
      </c>
      <c r="I216" s="223">
        <v>697.02760000000001</v>
      </c>
    </row>
    <row r="217" spans="1:9" x14ac:dyDescent="0.25">
      <c r="A217" s="219" t="s">
        <v>87</v>
      </c>
      <c r="B217" s="220" t="s">
        <v>148</v>
      </c>
      <c r="C217" s="221" t="s">
        <v>93</v>
      </c>
      <c r="D217" s="211">
        <v>46180</v>
      </c>
      <c r="E217" s="224">
        <v>3.15E-2</v>
      </c>
      <c r="F217" s="224">
        <v>1.37E-2</v>
      </c>
      <c r="G217" s="224">
        <v>0</v>
      </c>
      <c r="H217" s="224">
        <v>0</v>
      </c>
      <c r="I217" s="225">
        <v>3.9724000000000004</v>
      </c>
    </row>
    <row r="218" spans="1:9" ht="19.8" thickBot="1" x14ac:dyDescent="0.3">
      <c r="A218" s="226" t="s">
        <v>205</v>
      </c>
      <c r="B218" s="227" t="s">
        <v>148</v>
      </c>
      <c r="C218" s="228" t="s">
        <v>93</v>
      </c>
      <c r="D218" s="212">
        <v>46180</v>
      </c>
      <c r="E218" s="229"/>
      <c r="F218" s="229"/>
      <c r="G218" s="229"/>
      <c r="H218" s="229"/>
      <c r="I218" s="230">
        <v>0</v>
      </c>
    </row>
    <row r="219" spans="1:9" ht="20.399999999999999" thickTop="1" thickBot="1" x14ac:dyDescent="0.3">
      <c r="A219" s="215" t="s">
        <v>85</v>
      </c>
      <c r="B219" s="216" t="s">
        <v>148</v>
      </c>
      <c r="C219" s="217" t="s">
        <v>92</v>
      </c>
      <c r="D219" s="209">
        <v>46179</v>
      </c>
      <c r="E219" s="218">
        <v>22</v>
      </c>
      <c r="F219" s="218">
        <v>79.849999999999994</v>
      </c>
      <c r="G219" s="218">
        <v>90</v>
      </c>
      <c r="H219" s="218">
        <v>2.1500000000000057</v>
      </c>
      <c r="I219" s="218">
        <v>194</v>
      </c>
    </row>
    <row r="220" spans="1:9" ht="19.8" thickTop="1" x14ac:dyDescent="0.25">
      <c r="A220" s="219" t="s">
        <v>86</v>
      </c>
      <c r="B220" s="220" t="s">
        <v>148</v>
      </c>
      <c r="C220" s="221" t="s">
        <v>92</v>
      </c>
      <c r="D220" s="210">
        <v>46179</v>
      </c>
      <c r="E220" s="222">
        <v>21.306999999999999</v>
      </c>
      <c r="F220" s="222">
        <v>78.756054999999989</v>
      </c>
      <c r="G220" s="222">
        <v>90</v>
      </c>
      <c r="H220" s="222">
        <v>2.1500000000000057</v>
      </c>
      <c r="I220" s="223">
        <v>192.213055</v>
      </c>
    </row>
    <row r="221" spans="1:9" x14ac:dyDescent="0.25">
      <c r="A221" s="219" t="s">
        <v>87</v>
      </c>
      <c r="B221" s="220" t="s">
        <v>148</v>
      </c>
      <c r="C221" s="221" t="s">
        <v>92</v>
      </c>
      <c r="D221" s="211">
        <v>46179</v>
      </c>
      <c r="E221" s="224">
        <v>3.15E-2</v>
      </c>
      <c r="F221" s="224">
        <v>1.37E-2</v>
      </c>
      <c r="G221" s="224">
        <v>0</v>
      </c>
      <c r="H221" s="224">
        <v>0</v>
      </c>
      <c r="I221" s="225">
        <v>1.786945</v>
      </c>
    </row>
    <row r="222" spans="1:9" ht="19.8" thickBot="1" x14ac:dyDescent="0.3">
      <c r="A222" s="226" t="s">
        <v>205</v>
      </c>
      <c r="B222" s="227" t="s">
        <v>148</v>
      </c>
      <c r="C222" s="228" t="s">
        <v>92</v>
      </c>
      <c r="D222" s="212">
        <v>46179</v>
      </c>
      <c r="E222" s="229"/>
      <c r="F222" s="229"/>
      <c r="G222" s="229"/>
      <c r="H222" s="229"/>
      <c r="I222" s="230">
        <v>0</v>
      </c>
    </row>
    <row r="223" spans="1:9" ht="20.399999999999999" thickTop="1" thickBot="1" x14ac:dyDescent="0.3">
      <c r="A223" s="215" t="s">
        <v>85</v>
      </c>
      <c r="B223" s="216" t="s">
        <v>148</v>
      </c>
      <c r="C223" s="217" t="s">
        <v>83</v>
      </c>
      <c r="D223" s="209">
        <v>46178</v>
      </c>
      <c r="E223" s="218">
        <v>0</v>
      </c>
      <c r="F223" s="218">
        <v>206</v>
      </c>
      <c r="G223" s="218">
        <v>355</v>
      </c>
      <c r="H223" s="218">
        <v>72</v>
      </c>
      <c r="I223" s="218">
        <v>633</v>
      </c>
    </row>
    <row r="224" spans="1:9" ht="19.8" thickTop="1" x14ac:dyDescent="0.25">
      <c r="A224" s="219" t="s">
        <v>86</v>
      </c>
      <c r="B224" s="220" t="s">
        <v>148</v>
      </c>
      <c r="C224" s="221" t="s">
        <v>83</v>
      </c>
      <c r="D224" s="210">
        <v>46178</v>
      </c>
      <c r="E224" s="222">
        <v>0</v>
      </c>
      <c r="F224" s="222">
        <v>203.17779999999999</v>
      </c>
      <c r="G224" s="222">
        <v>355</v>
      </c>
      <c r="H224" s="222">
        <v>72</v>
      </c>
      <c r="I224" s="223">
        <v>630.17779999999993</v>
      </c>
    </row>
    <row r="225" spans="1:9" x14ac:dyDescent="0.25">
      <c r="A225" s="219" t="s">
        <v>87</v>
      </c>
      <c r="B225" s="220" t="s">
        <v>148</v>
      </c>
      <c r="C225" s="221" t="s">
        <v>83</v>
      </c>
      <c r="D225" s="211">
        <v>46178</v>
      </c>
      <c r="E225" s="224">
        <v>3.15E-2</v>
      </c>
      <c r="F225" s="224">
        <v>1.37E-2</v>
      </c>
      <c r="G225" s="224">
        <v>0</v>
      </c>
      <c r="H225" s="224">
        <v>0</v>
      </c>
      <c r="I225" s="225">
        <v>2.8222</v>
      </c>
    </row>
    <row r="226" spans="1:9" ht="19.8" thickBot="1" x14ac:dyDescent="0.3">
      <c r="A226" s="226" t="s">
        <v>205</v>
      </c>
      <c r="B226" s="227" t="s">
        <v>148</v>
      </c>
      <c r="C226" s="228" t="s">
        <v>83</v>
      </c>
      <c r="D226" s="212">
        <v>46178</v>
      </c>
      <c r="E226" s="229"/>
      <c r="F226" s="229"/>
      <c r="G226" s="229"/>
      <c r="H226" s="229"/>
      <c r="I226" s="230">
        <v>0</v>
      </c>
    </row>
    <row r="227" spans="1:9" ht="20.399999999999999" thickTop="1" thickBot="1" x14ac:dyDescent="0.3">
      <c r="A227" s="215" t="s">
        <v>85</v>
      </c>
      <c r="B227" s="216" t="s">
        <v>148</v>
      </c>
      <c r="C227" s="217" t="s">
        <v>294</v>
      </c>
      <c r="D227" s="209">
        <v>46177</v>
      </c>
      <c r="E227" s="218">
        <v>23</v>
      </c>
      <c r="F227" s="218">
        <v>174</v>
      </c>
      <c r="G227" s="218">
        <v>426</v>
      </c>
      <c r="H227" s="218">
        <v>167</v>
      </c>
      <c r="I227" s="218">
        <v>790</v>
      </c>
    </row>
    <row r="228" spans="1:9" ht="19.8" thickTop="1" x14ac:dyDescent="0.25">
      <c r="A228" s="219" t="s">
        <v>86</v>
      </c>
      <c r="B228" s="220" t="s">
        <v>148</v>
      </c>
      <c r="C228" s="221" t="s">
        <v>294</v>
      </c>
      <c r="D228" s="210">
        <v>46177</v>
      </c>
      <c r="E228" s="222">
        <v>22.275500000000001</v>
      </c>
      <c r="F228" s="222">
        <v>171.61619999999999</v>
      </c>
      <c r="G228" s="222">
        <v>426</v>
      </c>
      <c r="H228" s="222">
        <v>167</v>
      </c>
      <c r="I228" s="223">
        <v>786.89170000000001</v>
      </c>
    </row>
    <row r="229" spans="1:9" x14ac:dyDescent="0.25">
      <c r="A229" s="219" t="s">
        <v>87</v>
      </c>
      <c r="B229" s="220" t="s">
        <v>148</v>
      </c>
      <c r="C229" s="221" t="s">
        <v>294</v>
      </c>
      <c r="D229" s="211">
        <v>46177</v>
      </c>
      <c r="E229" s="224">
        <v>3.15E-2</v>
      </c>
      <c r="F229" s="224">
        <v>1.37E-2</v>
      </c>
      <c r="G229" s="224">
        <v>0</v>
      </c>
      <c r="H229" s="224">
        <v>0</v>
      </c>
      <c r="I229" s="225">
        <v>3.1082999999999998</v>
      </c>
    </row>
    <row r="230" spans="1:9" ht="19.8" thickBot="1" x14ac:dyDescent="0.3">
      <c r="A230" s="226" t="s">
        <v>205</v>
      </c>
      <c r="B230" s="227" t="s">
        <v>148</v>
      </c>
      <c r="C230" s="228" t="s">
        <v>294</v>
      </c>
      <c r="D230" s="212">
        <v>46177</v>
      </c>
      <c r="E230" s="229"/>
      <c r="F230" s="229"/>
      <c r="G230" s="229"/>
      <c r="H230" s="229"/>
      <c r="I230" s="230">
        <v>0</v>
      </c>
    </row>
    <row r="231" spans="1:9" ht="20.399999999999999" thickTop="1" thickBot="1" x14ac:dyDescent="0.3">
      <c r="A231" s="215" t="s">
        <v>85</v>
      </c>
      <c r="B231" s="216" t="s">
        <v>148</v>
      </c>
      <c r="C231" s="217" t="s">
        <v>32</v>
      </c>
      <c r="D231" s="209">
        <v>46176</v>
      </c>
      <c r="E231" s="218">
        <v>167</v>
      </c>
      <c r="F231" s="218">
        <v>44</v>
      </c>
      <c r="G231" s="218">
        <v>412.5</v>
      </c>
      <c r="H231" s="218">
        <v>79</v>
      </c>
      <c r="I231" s="218">
        <v>702.5</v>
      </c>
    </row>
    <row r="232" spans="1:9" ht="19.8" thickTop="1" x14ac:dyDescent="0.25">
      <c r="A232" s="219" t="s">
        <v>86</v>
      </c>
      <c r="B232" s="220" t="s">
        <v>148</v>
      </c>
      <c r="C232" s="221" t="s">
        <v>32</v>
      </c>
      <c r="D232" s="210">
        <v>46176</v>
      </c>
      <c r="E232" s="222">
        <v>161.73949999999999</v>
      </c>
      <c r="F232" s="222">
        <v>43.397199999999998</v>
      </c>
      <c r="G232" s="222">
        <v>412.5</v>
      </c>
      <c r="H232" s="222">
        <v>79</v>
      </c>
      <c r="I232" s="223">
        <v>696.63670000000002</v>
      </c>
    </row>
    <row r="233" spans="1:9" x14ac:dyDescent="0.25">
      <c r="A233" s="219" t="s">
        <v>87</v>
      </c>
      <c r="B233" s="220" t="s">
        <v>148</v>
      </c>
      <c r="C233" s="221" t="s">
        <v>32</v>
      </c>
      <c r="D233" s="211">
        <v>46176</v>
      </c>
      <c r="E233" s="224">
        <v>3.15E-2</v>
      </c>
      <c r="F233" s="224">
        <v>1.37E-2</v>
      </c>
      <c r="G233" s="224">
        <v>0</v>
      </c>
      <c r="H233" s="224">
        <v>0</v>
      </c>
      <c r="I233" s="225">
        <v>5.8633000000000006</v>
      </c>
    </row>
    <row r="234" spans="1:9" ht="19.8" thickBot="1" x14ac:dyDescent="0.3">
      <c r="A234" s="226" t="s">
        <v>205</v>
      </c>
      <c r="B234" s="227" t="s">
        <v>148</v>
      </c>
      <c r="C234" s="228" t="s">
        <v>32</v>
      </c>
      <c r="D234" s="212">
        <v>46176</v>
      </c>
      <c r="E234" s="229"/>
      <c r="F234" s="229"/>
      <c r="G234" s="229"/>
      <c r="H234" s="229"/>
      <c r="I234" s="230">
        <v>0</v>
      </c>
    </row>
    <row r="235" spans="1:9" ht="20.399999999999999" thickTop="1" thickBot="1" x14ac:dyDescent="0.3">
      <c r="A235" s="215" t="s">
        <v>85</v>
      </c>
      <c r="B235" s="216" t="s">
        <v>148</v>
      </c>
      <c r="C235" s="217" t="s">
        <v>290</v>
      </c>
      <c r="D235" s="209">
        <v>46175</v>
      </c>
      <c r="E235" s="218">
        <v>167</v>
      </c>
      <c r="F235" s="218">
        <v>44</v>
      </c>
      <c r="G235" s="218">
        <v>56</v>
      </c>
      <c r="H235" s="218">
        <v>183</v>
      </c>
      <c r="I235" s="218">
        <v>450</v>
      </c>
    </row>
    <row r="236" spans="1:9" ht="19.8" thickTop="1" x14ac:dyDescent="0.25">
      <c r="A236" s="219" t="s">
        <v>86</v>
      </c>
      <c r="B236" s="220" t="s">
        <v>148</v>
      </c>
      <c r="C236" s="221" t="s">
        <v>290</v>
      </c>
      <c r="D236" s="210">
        <v>46175</v>
      </c>
      <c r="E236" s="222">
        <v>161.73949999999999</v>
      </c>
      <c r="F236" s="222">
        <v>43.397199999999998</v>
      </c>
      <c r="G236" s="222">
        <v>56</v>
      </c>
      <c r="H236" s="222">
        <v>183</v>
      </c>
      <c r="I236" s="223">
        <v>444.13670000000002</v>
      </c>
    </row>
    <row r="237" spans="1:9" x14ac:dyDescent="0.25">
      <c r="A237" s="219" t="s">
        <v>87</v>
      </c>
      <c r="B237" s="220" t="s">
        <v>148</v>
      </c>
      <c r="C237" s="221" t="s">
        <v>290</v>
      </c>
      <c r="D237" s="211">
        <v>46175</v>
      </c>
      <c r="E237" s="224">
        <v>3.15E-2</v>
      </c>
      <c r="F237" s="224">
        <v>1.37E-2</v>
      </c>
      <c r="G237" s="224">
        <v>0</v>
      </c>
      <c r="H237" s="224">
        <v>0</v>
      </c>
      <c r="I237" s="225">
        <v>5.8633000000000006</v>
      </c>
    </row>
    <row r="238" spans="1:9" ht="19.8" thickBot="1" x14ac:dyDescent="0.3">
      <c r="A238" s="226" t="s">
        <v>205</v>
      </c>
      <c r="B238" s="227" t="s">
        <v>148</v>
      </c>
      <c r="C238" s="228" t="s">
        <v>290</v>
      </c>
      <c r="D238" s="212">
        <v>46175</v>
      </c>
      <c r="E238" s="229"/>
      <c r="F238" s="229"/>
      <c r="G238" s="229"/>
      <c r="H238" s="229"/>
      <c r="I238" s="230">
        <v>0</v>
      </c>
    </row>
    <row r="239" spans="1:9" ht="20.399999999999999" thickTop="1" thickBot="1" x14ac:dyDescent="0.3">
      <c r="A239" s="215" t="s">
        <v>85</v>
      </c>
      <c r="B239" s="216" t="s">
        <v>148</v>
      </c>
      <c r="C239" s="217" t="s">
        <v>291</v>
      </c>
      <c r="D239" s="209">
        <v>46174</v>
      </c>
      <c r="E239" s="218">
        <v>77</v>
      </c>
      <c r="F239" s="218">
        <v>350</v>
      </c>
      <c r="G239" s="218">
        <v>171</v>
      </c>
      <c r="H239" s="218">
        <v>17</v>
      </c>
      <c r="I239" s="218">
        <v>615</v>
      </c>
    </row>
    <row r="240" spans="1:9" ht="19.8" thickTop="1" x14ac:dyDescent="0.25">
      <c r="A240" s="219" t="s">
        <v>86</v>
      </c>
      <c r="B240" s="220" t="s">
        <v>148</v>
      </c>
      <c r="C240" s="221" t="s">
        <v>291</v>
      </c>
      <c r="D240" s="210">
        <v>46174</v>
      </c>
      <c r="E240" s="222">
        <v>74.5745</v>
      </c>
      <c r="F240" s="222">
        <v>345.20499999999998</v>
      </c>
      <c r="G240" s="222">
        <v>171</v>
      </c>
      <c r="H240" s="222">
        <v>17</v>
      </c>
      <c r="I240" s="223">
        <v>607.77949999999998</v>
      </c>
    </row>
    <row r="241" spans="1:9" x14ac:dyDescent="0.25">
      <c r="A241" s="219" t="s">
        <v>87</v>
      </c>
      <c r="B241" s="220" t="s">
        <v>148</v>
      </c>
      <c r="C241" s="221" t="s">
        <v>291</v>
      </c>
      <c r="D241" s="211">
        <v>46174</v>
      </c>
      <c r="E241" s="224">
        <v>3.15E-2</v>
      </c>
      <c r="F241" s="224">
        <v>1.37E-2</v>
      </c>
      <c r="G241" s="224">
        <v>0</v>
      </c>
      <c r="H241" s="224">
        <v>0</v>
      </c>
      <c r="I241" s="225">
        <v>7.2204999999999995</v>
      </c>
    </row>
    <row r="242" spans="1:9" ht="19.8" thickBot="1" x14ac:dyDescent="0.3">
      <c r="A242" s="226" t="s">
        <v>205</v>
      </c>
      <c r="B242" s="227" t="s">
        <v>148</v>
      </c>
      <c r="C242" s="228" t="s">
        <v>291</v>
      </c>
      <c r="D242" s="212">
        <v>46174</v>
      </c>
      <c r="E242" s="229"/>
      <c r="F242" s="229"/>
      <c r="G242" s="229"/>
      <c r="H242" s="229"/>
      <c r="I242" s="230">
        <v>0</v>
      </c>
    </row>
    <row r="243" spans="1:9" ht="20.399999999999999" thickTop="1" thickBot="1" x14ac:dyDescent="0.3">
      <c r="A243" s="215" t="s">
        <v>85</v>
      </c>
      <c r="B243" s="216" t="s">
        <v>147</v>
      </c>
      <c r="C243" s="217" t="s">
        <v>93</v>
      </c>
      <c r="D243" s="209">
        <v>46173</v>
      </c>
      <c r="E243" s="218">
        <v>110</v>
      </c>
      <c r="F243" s="218">
        <v>112</v>
      </c>
      <c r="G243" s="218">
        <v>495.95</v>
      </c>
      <c r="H243" s="218">
        <v>123.04999999999995</v>
      </c>
      <c r="I243" s="218">
        <v>841</v>
      </c>
    </row>
    <row r="244" spans="1:9" ht="19.8" thickTop="1" x14ac:dyDescent="0.25">
      <c r="A244" s="219" t="s">
        <v>86</v>
      </c>
      <c r="B244" s="220" t="s">
        <v>147</v>
      </c>
      <c r="C244" s="221" t="s">
        <v>93</v>
      </c>
      <c r="D244" s="210">
        <v>46173</v>
      </c>
      <c r="E244" s="222">
        <v>106.535</v>
      </c>
      <c r="F244" s="222">
        <v>110.46559999999999</v>
      </c>
      <c r="G244" s="222">
        <v>495.95</v>
      </c>
      <c r="H244" s="222">
        <v>123.04999999999995</v>
      </c>
      <c r="I244" s="223">
        <v>836.00059999999996</v>
      </c>
    </row>
    <row r="245" spans="1:9" x14ac:dyDescent="0.25">
      <c r="A245" s="219" t="s">
        <v>87</v>
      </c>
      <c r="B245" s="220" t="s">
        <v>147</v>
      </c>
      <c r="C245" s="221" t="s">
        <v>93</v>
      </c>
      <c r="D245" s="211">
        <v>46173</v>
      </c>
      <c r="E245" s="224">
        <v>3.15E-2</v>
      </c>
      <c r="F245" s="224">
        <v>1.37E-2</v>
      </c>
      <c r="G245" s="224">
        <v>0</v>
      </c>
      <c r="H245" s="224">
        <v>0</v>
      </c>
      <c r="I245" s="225">
        <v>4.9993999999999996</v>
      </c>
    </row>
    <row r="246" spans="1:9" ht="19.8" thickBot="1" x14ac:dyDescent="0.3">
      <c r="A246" s="226" t="s">
        <v>205</v>
      </c>
      <c r="B246" s="227" t="s">
        <v>147</v>
      </c>
      <c r="C246" s="228" t="s">
        <v>93</v>
      </c>
      <c r="D246" s="212">
        <v>46173</v>
      </c>
      <c r="E246" s="229"/>
      <c r="F246" s="229"/>
      <c r="G246" s="229"/>
      <c r="H246" s="229"/>
      <c r="I246" s="230">
        <v>0</v>
      </c>
    </row>
    <row r="247" spans="1:9" ht="20.399999999999999" thickTop="1" thickBot="1" x14ac:dyDescent="0.3">
      <c r="A247" s="215" t="s">
        <v>85</v>
      </c>
      <c r="B247" s="216" t="s">
        <v>147</v>
      </c>
      <c r="C247" s="217" t="s">
        <v>92</v>
      </c>
      <c r="D247" s="209">
        <v>46172</v>
      </c>
      <c r="E247" s="218">
        <v>44</v>
      </c>
      <c r="F247" s="218">
        <v>413</v>
      </c>
      <c r="G247" s="218">
        <v>379</v>
      </c>
      <c r="H247" s="218">
        <v>60</v>
      </c>
      <c r="I247" s="218">
        <v>896</v>
      </c>
    </row>
    <row r="248" spans="1:9" ht="19.8" thickTop="1" x14ac:dyDescent="0.25">
      <c r="A248" s="219" t="s">
        <v>86</v>
      </c>
      <c r="B248" s="220" t="s">
        <v>147</v>
      </c>
      <c r="C248" s="221" t="s">
        <v>92</v>
      </c>
      <c r="D248" s="210">
        <v>46172</v>
      </c>
      <c r="E248" s="222">
        <v>42.613999999999997</v>
      </c>
      <c r="F248" s="222">
        <v>407.34190000000001</v>
      </c>
      <c r="G248" s="222">
        <v>379</v>
      </c>
      <c r="H248" s="222">
        <v>60</v>
      </c>
      <c r="I248" s="223">
        <v>888.95589999999993</v>
      </c>
    </row>
    <row r="249" spans="1:9" x14ac:dyDescent="0.25">
      <c r="A249" s="219" t="s">
        <v>87</v>
      </c>
      <c r="B249" s="220" t="s">
        <v>147</v>
      </c>
      <c r="C249" s="221" t="s">
        <v>92</v>
      </c>
      <c r="D249" s="211">
        <v>46172</v>
      </c>
      <c r="E249" s="224">
        <v>3.15E-2</v>
      </c>
      <c r="F249" s="224">
        <v>1.37E-2</v>
      </c>
      <c r="G249" s="224">
        <v>0</v>
      </c>
      <c r="H249" s="224">
        <v>0</v>
      </c>
      <c r="I249" s="225">
        <v>7.0441000000000003</v>
      </c>
    </row>
    <row r="250" spans="1:9" ht="19.8" thickBot="1" x14ac:dyDescent="0.3">
      <c r="A250" s="226" t="s">
        <v>205</v>
      </c>
      <c r="B250" s="227" t="s">
        <v>147</v>
      </c>
      <c r="C250" s="228" t="s">
        <v>92</v>
      </c>
      <c r="D250" s="212">
        <v>46172</v>
      </c>
      <c r="E250" s="229"/>
      <c r="F250" s="229"/>
      <c r="G250" s="229"/>
      <c r="H250" s="229"/>
      <c r="I250" s="230">
        <v>0</v>
      </c>
    </row>
    <row r="251" spans="1:9" ht="20.399999999999999" thickTop="1" thickBot="1" x14ac:dyDescent="0.3">
      <c r="A251" s="215" t="s">
        <v>85</v>
      </c>
      <c r="B251" s="216" t="s">
        <v>147</v>
      </c>
      <c r="C251" s="217" t="s">
        <v>83</v>
      </c>
      <c r="D251" s="209">
        <v>46171</v>
      </c>
      <c r="E251" s="218">
        <v>19</v>
      </c>
      <c r="F251" s="218">
        <v>120</v>
      </c>
      <c r="G251" s="218">
        <v>57</v>
      </c>
      <c r="H251" s="218">
        <v>59</v>
      </c>
      <c r="I251" s="218">
        <v>255</v>
      </c>
    </row>
    <row r="252" spans="1:9" ht="19.8" thickTop="1" x14ac:dyDescent="0.25">
      <c r="A252" s="219" t="s">
        <v>86</v>
      </c>
      <c r="B252" s="220" t="s">
        <v>147</v>
      </c>
      <c r="C252" s="221" t="s">
        <v>83</v>
      </c>
      <c r="D252" s="210">
        <v>46171</v>
      </c>
      <c r="E252" s="222">
        <v>18.401499999999999</v>
      </c>
      <c r="F252" s="222">
        <v>118.35599999999999</v>
      </c>
      <c r="G252" s="222">
        <v>57</v>
      </c>
      <c r="H252" s="222">
        <v>59</v>
      </c>
      <c r="I252" s="223">
        <v>252.75749999999999</v>
      </c>
    </row>
    <row r="253" spans="1:9" x14ac:dyDescent="0.25">
      <c r="A253" s="219" t="s">
        <v>87</v>
      </c>
      <c r="B253" s="220" t="s">
        <v>147</v>
      </c>
      <c r="C253" s="221" t="s">
        <v>83</v>
      </c>
      <c r="D253" s="211">
        <v>46171</v>
      </c>
      <c r="E253" s="224">
        <v>3.15E-2</v>
      </c>
      <c r="F253" s="224">
        <v>1.37E-2</v>
      </c>
      <c r="G253" s="224">
        <v>0</v>
      </c>
      <c r="H253" s="224">
        <v>0</v>
      </c>
      <c r="I253" s="225">
        <v>2.2425000000000002</v>
      </c>
    </row>
    <row r="254" spans="1:9" ht="19.8" thickBot="1" x14ac:dyDescent="0.3">
      <c r="A254" s="226" t="s">
        <v>205</v>
      </c>
      <c r="B254" s="227" t="s">
        <v>147</v>
      </c>
      <c r="C254" s="228" t="s">
        <v>83</v>
      </c>
      <c r="D254" s="212">
        <v>46171</v>
      </c>
      <c r="E254" s="229"/>
      <c r="F254" s="229"/>
      <c r="G254" s="229"/>
      <c r="H254" s="229"/>
      <c r="I254" s="230">
        <v>0</v>
      </c>
    </row>
    <row r="255" spans="1:9" ht="20.399999999999999" thickTop="1" thickBot="1" x14ac:dyDescent="0.3">
      <c r="A255" s="215" t="s">
        <v>85</v>
      </c>
      <c r="B255" s="216" t="s">
        <v>147</v>
      </c>
      <c r="C255" s="217" t="s">
        <v>294</v>
      </c>
      <c r="D255" s="209">
        <v>46170</v>
      </c>
      <c r="E255" s="218">
        <v>20</v>
      </c>
      <c r="F255" s="218">
        <v>217</v>
      </c>
      <c r="G255" s="218">
        <v>139</v>
      </c>
      <c r="H255" s="218">
        <v>55</v>
      </c>
      <c r="I255" s="218">
        <v>431</v>
      </c>
    </row>
    <row r="256" spans="1:9" ht="19.8" thickTop="1" x14ac:dyDescent="0.25">
      <c r="A256" s="219" t="s">
        <v>86</v>
      </c>
      <c r="B256" s="220" t="s">
        <v>147</v>
      </c>
      <c r="C256" s="221" t="s">
        <v>294</v>
      </c>
      <c r="D256" s="210">
        <v>46170</v>
      </c>
      <c r="E256" s="222">
        <v>19.37</v>
      </c>
      <c r="F256" s="222">
        <v>214.02709999999999</v>
      </c>
      <c r="G256" s="222">
        <v>139</v>
      </c>
      <c r="H256" s="222">
        <v>55</v>
      </c>
      <c r="I256" s="223">
        <v>427.39710000000002</v>
      </c>
    </row>
    <row r="257" spans="1:9" x14ac:dyDescent="0.25">
      <c r="A257" s="219" t="s">
        <v>87</v>
      </c>
      <c r="B257" s="220" t="s">
        <v>147</v>
      </c>
      <c r="C257" s="221" t="s">
        <v>294</v>
      </c>
      <c r="D257" s="211">
        <v>46170</v>
      </c>
      <c r="E257" s="224">
        <v>3.15E-2</v>
      </c>
      <c r="F257" s="224">
        <v>1.37E-2</v>
      </c>
      <c r="G257" s="224">
        <v>0</v>
      </c>
      <c r="H257" s="224">
        <v>0</v>
      </c>
      <c r="I257" s="225">
        <v>3.6029</v>
      </c>
    </row>
    <row r="258" spans="1:9" ht="19.8" thickBot="1" x14ac:dyDescent="0.3">
      <c r="A258" s="226" t="s">
        <v>205</v>
      </c>
      <c r="B258" s="227" t="s">
        <v>147</v>
      </c>
      <c r="C258" s="228" t="s">
        <v>294</v>
      </c>
      <c r="D258" s="212">
        <v>46170</v>
      </c>
      <c r="E258" s="229"/>
      <c r="F258" s="229"/>
      <c r="G258" s="229"/>
      <c r="H258" s="229"/>
      <c r="I258" s="230">
        <v>0</v>
      </c>
    </row>
    <row r="259" spans="1:9" ht="20.399999999999999" thickTop="1" thickBot="1" x14ac:dyDescent="0.3">
      <c r="A259" s="215" t="s">
        <v>85</v>
      </c>
      <c r="B259" s="216" t="s">
        <v>147</v>
      </c>
      <c r="C259" s="217" t="s">
        <v>32</v>
      </c>
      <c r="D259" s="209">
        <v>46169</v>
      </c>
      <c r="E259" s="218">
        <v>82</v>
      </c>
      <c r="F259" s="218">
        <v>130</v>
      </c>
      <c r="G259" s="218">
        <v>447</v>
      </c>
      <c r="H259" s="218">
        <v>34</v>
      </c>
      <c r="I259" s="218">
        <v>693</v>
      </c>
    </row>
    <row r="260" spans="1:9" ht="19.8" thickTop="1" x14ac:dyDescent="0.25">
      <c r="A260" s="219" t="s">
        <v>86</v>
      </c>
      <c r="B260" s="220" t="s">
        <v>147</v>
      </c>
      <c r="C260" s="221" t="s">
        <v>32</v>
      </c>
      <c r="D260" s="210">
        <v>46169</v>
      </c>
      <c r="E260" s="222">
        <v>79.417000000000002</v>
      </c>
      <c r="F260" s="222">
        <v>128.21899999999999</v>
      </c>
      <c r="G260" s="222">
        <v>447</v>
      </c>
      <c r="H260" s="222">
        <v>34</v>
      </c>
      <c r="I260" s="223">
        <v>688.63599999999997</v>
      </c>
    </row>
    <row r="261" spans="1:9" x14ac:dyDescent="0.25">
      <c r="A261" s="219" t="s">
        <v>87</v>
      </c>
      <c r="B261" s="220" t="s">
        <v>147</v>
      </c>
      <c r="C261" s="221" t="s">
        <v>32</v>
      </c>
      <c r="D261" s="211">
        <v>46169</v>
      </c>
      <c r="E261" s="224">
        <v>3.15E-2</v>
      </c>
      <c r="F261" s="224">
        <v>1.37E-2</v>
      </c>
      <c r="G261" s="224">
        <v>0</v>
      </c>
      <c r="H261" s="224">
        <v>0</v>
      </c>
      <c r="I261" s="225">
        <v>4.3640000000000008</v>
      </c>
    </row>
    <row r="262" spans="1:9" ht="19.8" thickBot="1" x14ac:dyDescent="0.3">
      <c r="A262" s="226" t="s">
        <v>205</v>
      </c>
      <c r="B262" s="227" t="s">
        <v>147</v>
      </c>
      <c r="C262" s="228" t="s">
        <v>32</v>
      </c>
      <c r="D262" s="212">
        <v>46169</v>
      </c>
      <c r="E262" s="229"/>
      <c r="F262" s="229"/>
      <c r="G262" s="229"/>
      <c r="H262" s="229"/>
      <c r="I262" s="230">
        <v>0</v>
      </c>
    </row>
    <row r="263" spans="1:9" ht="20.399999999999999" thickTop="1" thickBot="1" x14ac:dyDescent="0.3">
      <c r="A263" s="215" t="s">
        <v>85</v>
      </c>
      <c r="B263" s="216" t="s">
        <v>147</v>
      </c>
      <c r="C263" s="217" t="s">
        <v>290</v>
      </c>
      <c r="D263" s="209">
        <v>46168</v>
      </c>
      <c r="E263" s="218">
        <v>282</v>
      </c>
      <c r="F263" s="218">
        <v>44</v>
      </c>
      <c r="G263" s="218">
        <v>238.5</v>
      </c>
      <c r="H263" s="218">
        <v>138</v>
      </c>
      <c r="I263" s="218">
        <v>702.5</v>
      </c>
    </row>
    <row r="264" spans="1:9" ht="19.8" thickTop="1" x14ac:dyDescent="0.25">
      <c r="A264" s="219" t="s">
        <v>86</v>
      </c>
      <c r="B264" s="220" t="s">
        <v>147</v>
      </c>
      <c r="C264" s="221" t="s">
        <v>290</v>
      </c>
      <c r="D264" s="210">
        <v>46168</v>
      </c>
      <c r="E264" s="222">
        <v>273.11700000000002</v>
      </c>
      <c r="F264" s="222">
        <v>43.397199999999998</v>
      </c>
      <c r="G264" s="222">
        <v>238.5</v>
      </c>
      <c r="H264" s="222">
        <v>138</v>
      </c>
      <c r="I264" s="223">
        <v>693.01420000000007</v>
      </c>
    </row>
    <row r="265" spans="1:9" x14ac:dyDescent="0.25">
      <c r="A265" s="219" t="s">
        <v>87</v>
      </c>
      <c r="B265" s="220" t="s">
        <v>147</v>
      </c>
      <c r="C265" s="221" t="s">
        <v>290</v>
      </c>
      <c r="D265" s="211">
        <v>46168</v>
      </c>
      <c r="E265" s="224">
        <v>3.15E-2</v>
      </c>
      <c r="F265" s="224">
        <v>1.37E-2</v>
      </c>
      <c r="G265" s="224">
        <v>0</v>
      </c>
      <c r="H265" s="224">
        <v>0</v>
      </c>
      <c r="I265" s="225">
        <v>9.4858000000000011</v>
      </c>
    </row>
    <row r="266" spans="1:9" ht="19.8" thickBot="1" x14ac:dyDescent="0.3">
      <c r="A266" s="226" t="s">
        <v>205</v>
      </c>
      <c r="B266" s="227" t="s">
        <v>147</v>
      </c>
      <c r="C266" s="228" t="s">
        <v>290</v>
      </c>
      <c r="D266" s="212">
        <v>46168</v>
      </c>
      <c r="E266" s="229"/>
      <c r="F266" s="229"/>
      <c r="G266" s="229"/>
      <c r="H266" s="229"/>
      <c r="I266" s="230">
        <v>0</v>
      </c>
    </row>
    <row r="267" spans="1:9" ht="20.399999999999999" thickTop="1" thickBot="1" x14ac:dyDescent="0.3">
      <c r="A267" s="215" t="s">
        <v>85</v>
      </c>
      <c r="B267" s="216" t="s">
        <v>147</v>
      </c>
      <c r="C267" s="217" t="s">
        <v>291</v>
      </c>
      <c r="D267" s="209">
        <v>46167</v>
      </c>
      <c r="E267" s="218">
        <v>44</v>
      </c>
      <c r="F267" s="218">
        <v>190.5</v>
      </c>
      <c r="G267" s="218">
        <v>148</v>
      </c>
      <c r="H267" s="218">
        <v>97.5</v>
      </c>
      <c r="I267" s="218">
        <v>480</v>
      </c>
    </row>
    <row r="268" spans="1:9" ht="19.8" thickTop="1" x14ac:dyDescent="0.25">
      <c r="A268" s="219" t="s">
        <v>86</v>
      </c>
      <c r="B268" s="220" t="s">
        <v>147</v>
      </c>
      <c r="C268" s="221" t="s">
        <v>291</v>
      </c>
      <c r="D268" s="210">
        <v>46167</v>
      </c>
      <c r="E268" s="222">
        <v>42.613999999999997</v>
      </c>
      <c r="F268" s="222">
        <v>187.89015000000001</v>
      </c>
      <c r="G268" s="222">
        <v>148</v>
      </c>
      <c r="H268" s="222">
        <v>97.5</v>
      </c>
      <c r="I268" s="223">
        <v>476.00414999999998</v>
      </c>
    </row>
    <row r="269" spans="1:9" x14ac:dyDescent="0.25">
      <c r="A269" s="219" t="s">
        <v>87</v>
      </c>
      <c r="B269" s="220" t="s">
        <v>147</v>
      </c>
      <c r="C269" s="221" t="s">
        <v>291</v>
      </c>
      <c r="D269" s="211">
        <v>46167</v>
      </c>
      <c r="E269" s="224">
        <v>3.15E-2</v>
      </c>
      <c r="F269" s="224">
        <v>1.37E-2</v>
      </c>
      <c r="G269" s="224">
        <v>0</v>
      </c>
      <c r="H269" s="224">
        <v>0</v>
      </c>
      <c r="I269" s="225">
        <v>3.9958500000000003</v>
      </c>
    </row>
    <row r="270" spans="1:9" ht="19.8" thickBot="1" x14ac:dyDescent="0.3">
      <c r="A270" s="226" t="s">
        <v>205</v>
      </c>
      <c r="B270" s="227" t="s">
        <v>147</v>
      </c>
      <c r="C270" s="228" t="s">
        <v>291</v>
      </c>
      <c r="D270" s="212">
        <v>46167</v>
      </c>
      <c r="E270" s="229"/>
      <c r="F270" s="229"/>
      <c r="G270" s="229"/>
      <c r="H270" s="229"/>
      <c r="I270" s="230">
        <v>0</v>
      </c>
    </row>
    <row r="271" spans="1:9" ht="20.399999999999999" thickTop="1" thickBot="1" x14ac:dyDescent="0.3">
      <c r="A271" s="215" t="s">
        <v>85</v>
      </c>
      <c r="B271" s="216" t="s">
        <v>147</v>
      </c>
      <c r="C271" s="217" t="s">
        <v>93</v>
      </c>
      <c r="D271" s="209">
        <v>46166</v>
      </c>
      <c r="E271" s="218">
        <v>62</v>
      </c>
      <c r="F271" s="218">
        <v>115</v>
      </c>
      <c r="G271" s="218">
        <v>416.5</v>
      </c>
      <c r="H271" s="218">
        <v>94.5</v>
      </c>
      <c r="I271" s="218">
        <v>688</v>
      </c>
    </row>
    <row r="272" spans="1:9" ht="19.8" thickTop="1" x14ac:dyDescent="0.25">
      <c r="A272" s="219" t="s">
        <v>86</v>
      </c>
      <c r="B272" s="220" t="s">
        <v>147</v>
      </c>
      <c r="C272" s="221" t="s">
        <v>93</v>
      </c>
      <c r="D272" s="210">
        <v>46166</v>
      </c>
      <c r="E272" s="222">
        <v>60.046999999999997</v>
      </c>
      <c r="F272" s="222">
        <v>113.42449999999999</v>
      </c>
      <c r="G272" s="222">
        <v>416.5</v>
      </c>
      <c r="H272" s="222">
        <v>94.5</v>
      </c>
      <c r="I272" s="223">
        <v>684.47149999999999</v>
      </c>
    </row>
    <row r="273" spans="1:9" x14ac:dyDescent="0.25">
      <c r="A273" s="219" t="s">
        <v>87</v>
      </c>
      <c r="B273" s="220" t="s">
        <v>147</v>
      </c>
      <c r="C273" s="221" t="s">
        <v>93</v>
      </c>
      <c r="D273" s="211">
        <v>46166</v>
      </c>
      <c r="E273" s="224">
        <v>3.15E-2</v>
      </c>
      <c r="F273" s="224">
        <v>1.37E-2</v>
      </c>
      <c r="G273" s="224">
        <v>0</v>
      </c>
      <c r="H273" s="224">
        <v>0</v>
      </c>
      <c r="I273" s="225">
        <v>3.5285000000000002</v>
      </c>
    </row>
    <row r="274" spans="1:9" ht="19.8" thickBot="1" x14ac:dyDescent="0.3">
      <c r="A274" s="226" t="s">
        <v>205</v>
      </c>
      <c r="B274" s="227" t="s">
        <v>147</v>
      </c>
      <c r="C274" s="228" t="s">
        <v>93</v>
      </c>
      <c r="D274" s="212">
        <v>46166</v>
      </c>
      <c r="E274" s="229"/>
      <c r="F274" s="229"/>
      <c r="G274" s="229"/>
      <c r="H274" s="229"/>
      <c r="I274" s="230">
        <v>0</v>
      </c>
    </row>
    <row r="275" spans="1:9" ht="20.399999999999999" thickTop="1" thickBot="1" x14ac:dyDescent="0.3">
      <c r="A275" s="215" t="s">
        <v>85</v>
      </c>
      <c r="B275" s="216" t="s">
        <v>147</v>
      </c>
      <c r="C275" s="217" t="s">
        <v>92</v>
      </c>
      <c r="D275" s="209">
        <v>46165</v>
      </c>
      <c r="E275" s="218">
        <v>91</v>
      </c>
      <c r="F275" s="218">
        <v>126</v>
      </c>
      <c r="G275" s="218">
        <v>290.5</v>
      </c>
      <c r="H275" s="218">
        <v>130.5</v>
      </c>
      <c r="I275" s="218">
        <v>638</v>
      </c>
    </row>
    <row r="276" spans="1:9" ht="19.8" thickTop="1" x14ac:dyDescent="0.25">
      <c r="A276" s="219" t="s">
        <v>86</v>
      </c>
      <c r="B276" s="220" t="s">
        <v>147</v>
      </c>
      <c r="C276" s="221" t="s">
        <v>92</v>
      </c>
      <c r="D276" s="210">
        <v>46165</v>
      </c>
      <c r="E276" s="222">
        <v>88.133499999999998</v>
      </c>
      <c r="F276" s="222">
        <v>124.27379999999999</v>
      </c>
      <c r="G276" s="222">
        <v>290.5</v>
      </c>
      <c r="H276" s="222">
        <v>130.5</v>
      </c>
      <c r="I276" s="223">
        <v>633.40729999999996</v>
      </c>
    </row>
    <row r="277" spans="1:9" x14ac:dyDescent="0.25">
      <c r="A277" s="219" t="s">
        <v>87</v>
      </c>
      <c r="B277" s="220" t="s">
        <v>147</v>
      </c>
      <c r="C277" s="221" t="s">
        <v>92</v>
      </c>
      <c r="D277" s="211">
        <v>46165</v>
      </c>
      <c r="E277" s="224">
        <v>3.15E-2</v>
      </c>
      <c r="F277" s="224">
        <v>1.37E-2</v>
      </c>
      <c r="G277" s="224">
        <v>0</v>
      </c>
      <c r="H277" s="224">
        <v>0</v>
      </c>
      <c r="I277" s="225">
        <v>4.5926999999999998</v>
      </c>
    </row>
    <row r="278" spans="1:9" ht="19.8" thickBot="1" x14ac:dyDescent="0.3">
      <c r="A278" s="226" t="s">
        <v>205</v>
      </c>
      <c r="B278" s="227" t="s">
        <v>147</v>
      </c>
      <c r="C278" s="228" t="s">
        <v>92</v>
      </c>
      <c r="D278" s="212">
        <v>46165</v>
      </c>
      <c r="E278" s="229"/>
      <c r="F278" s="229"/>
      <c r="G278" s="229"/>
      <c r="H278" s="229"/>
      <c r="I278" s="230">
        <v>0</v>
      </c>
    </row>
    <row r="279" spans="1:9" ht="20.399999999999999" thickTop="1" thickBot="1" x14ac:dyDescent="0.3">
      <c r="A279" s="215" t="s">
        <v>85</v>
      </c>
      <c r="B279" s="216" t="s">
        <v>147</v>
      </c>
      <c r="C279" s="217" t="s">
        <v>83</v>
      </c>
      <c r="D279" s="209">
        <v>46164</v>
      </c>
      <c r="E279" s="218">
        <v>44</v>
      </c>
      <c r="F279" s="218">
        <v>101.5</v>
      </c>
      <c r="G279" s="218">
        <v>80</v>
      </c>
      <c r="H279" s="218">
        <v>55.5</v>
      </c>
      <c r="I279" s="218">
        <v>281</v>
      </c>
    </row>
    <row r="280" spans="1:9" ht="19.8" thickTop="1" x14ac:dyDescent="0.25">
      <c r="A280" s="219" t="s">
        <v>86</v>
      </c>
      <c r="B280" s="220" t="s">
        <v>147</v>
      </c>
      <c r="C280" s="221" t="s">
        <v>83</v>
      </c>
      <c r="D280" s="210">
        <v>46164</v>
      </c>
      <c r="E280" s="222">
        <v>42.613999999999997</v>
      </c>
      <c r="F280" s="222">
        <v>100.10945</v>
      </c>
      <c r="G280" s="222">
        <v>80</v>
      </c>
      <c r="H280" s="222">
        <v>55.5</v>
      </c>
      <c r="I280" s="223">
        <v>278.22344999999996</v>
      </c>
    </row>
    <row r="281" spans="1:9" x14ac:dyDescent="0.25">
      <c r="A281" s="219" t="s">
        <v>87</v>
      </c>
      <c r="B281" s="220" t="s">
        <v>147</v>
      </c>
      <c r="C281" s="221" t="s">
        <v>83</v>
      </c>
      <c r="D281" s="211">
        <v>46164</v>
      </c>
      <c r="E281" s="224">
        <v>3.15E-2</v>
      </c>
      <c r="F281" s="224">
        <v>1.37E-2</v>
      </c>
      <c r="G281" s="224">
        <v>0</v>
      </c>
      <c r="H281" s="224">
        <v>0</v>
      </c>
      <c r="I281" s="225">
        <v>2.7765500000000003</v>
      </c>
    </row>
    <row r="282" spans="1:9" ht="19.8" thickBot="1" x14ac:dyDescent="0.3">
      <c r="A282" s="226" t="s">
        <v>205</v>
      </c>
      <c r="B282" s="227" t="s">
        <v>147</v>
      </c>
      <c r="C282" s="228" t="s">
        <v>83</v>
      </c>
      <c r="D282" s="212">
        <v>46164</v>
      </c>
      <c r="E282" s="229"/>
      <c r="F282" s="229"/>
      <c r="G282" s="229"/>
      <c r="H282" s="229"/>
      <c r="I282" s="230">
        <v>0</v>
      </c>
    </row>
    <row r="283" spans="1:9" ht="20.399999999999999" thickTop="1" thickBot="1" x14ac:dyDescent="0.3">
      <c r="A283" s="215" t="s">
        <v>85</v>
      </c>
      <c r="B283" s="216" t="s">
        <v>147</v>
      </c>
      <c r="C283" s="217" t="s">
        <v>294</v>
      </c>
      <c r="D283" s="209">
        <v>46163</v>
      </c>
      <c r="E283" s="218">
        <v>144</v>
      </c>
      <c r="F283" s="218">
        <v>205</v>
      </c>
      <c r="G283" s="218">
        <v>112</v>
      </c>
      <c r="H283" s="218">
        <v>95</v>
      </c>
      <c r="I283" s="218">
        <v>556</v>
      </c>
    </row>
    <row r="284" spans="1:9" ht="19.8" thickTop="1" x14ac:dyDescent="0.25">
      <c r="A284" s="219" t="s">
        <v>86</v>
      </c>
      <c r="B284" s="220" t="s">
        <v>147</v>
      </c>
      <c r="C284" s="221" t="s">
        <v>294</v>
      </c>
      <c r="D284" s="210">
        <v>46163</v>
      </c>
      <c r="E284" s="222">
        <v>139.464</v>
      </c>
      <c r="F284" s="222">
        <v>202.19149999999999</v>
      </c>
      <c r="G284" s="222">
        <v>112</v>
      </c>
      <c r="H284" s="222">
        <v>95</v>
      </c>
      <c r="I284" s="223">
        <v>548.65549999999996</v>
      </c>
    </row>
    <row r="285" spans="1:9" x14ac:dyDescent="0.25">
      <c r="A285" s="219" t="s">
        <v>87</v>
      </c>
      <c r="B285" s="220" t="s">
        <v>147</v>
      </c>
      <c r="C285" s="221" t="s">
        <v>294</v>
      </c>
      <c r="D285" s="211">
        <v>46163</v>
      </c>
      <c r="E285" s="224">
        <v>3.15E-2</v>
      </c>
      <c r="F285" s="224">
        <v>1.37E-2</v>
      </c>
      <c r="G285" s="224">
        <v>0</v>
      </c>
      <c r="H285" s="224">
        <v>0</v>
      </c>
      <c r="I285" s="225">
        <v>7.3445</v>
      </c>
    </row>
    <row r="286" spans="1:9" ht="19.8" thickBot="1" x14ac:dyDescent="0.3">
      <c r="A286" s="226" t="s">
        <v>205</v>
      </c>
      <c r="B286" s="227" t="s">
        <v>147</v>
      </c>
      <c r="C286" s="228" t="s">
        <v>294</v>
      </c>
      <c r="D286" s="212">
        <v>46163</v>
      </c>
      <c r="E286" s="229"/>
      <c r="F286" s="229"/>
      <c r="G286" s="229"/>
      <c r="H286" s="229"/>
      <c r="I286" s="230">
        <v>0</v>
      </c>
    </row>
    <row r="287" spans="1:9" ht="20.399999999999999" thickTop="1" thickBot="1" x14ac:dyDescent="0.3">
      <c r="A287" s="215" t="s">
        <v>85</v>
      </c>
      <c r="B287" s="216" t="s">
        <v>147</v>
      </c>
      <c r="C287" s="217" t="s">
        <v>32</v>
      </c>
      <c r="D287" s="209">
        <v>46162</v>
      </c>
      <c r="E287" s="218">
        <v>91</v>
      </c>
      <c r="F287" s="218">
        <v>200.5</v>
      </c>
      <c r="G287" s="218">
        <v>348.75</v>
      </c>
      <c r="H287" s="218">
        <v>166.5</v>
      </c>
      <c r="I287" s="218">
        <v>806.75</v>
      </c>
    </row>
    <row r="288" spans="1:9" ht="19.8" thickTop="1" x14ac:dyDescent="0.25">
      <c r="A288" s="219" t="s">
        <v>86</v>
      </c>
      <c r="B288" s="220" t="s">
        <v>147</v>
      </c>
      <c r="C288" s="221" t="s">
        <v>32</v>
      </c>
      <c r="D288" s="210">
        <v>46162</v>
      </c>
      <c r="E288" s="222">
        <v>88.133499999999998</v>
      </c>
      <c r="F288" s="222">
        <v>197.75315000000001</v>
      </c>
      <c r="G288" s="222">
        <v>348.75</v>
      </c>
      <c r="H288" s="222">
        <v>166.5</v>
      </c>
      <c r="I288" s="223">
        <v>801.13665000000003</v>
      </c>
    </row>
    <row r="289" spans="1:9" x14ac:dyDescent="0.25">
      <c r="A289" s="219" t="s">
        <v>87</v>
      </c>
      <c r="B289" s="220" t="s">
        <v>147</v>
      </c>
      <c r="C289" s="221" t="s">
        <v>32</v>
      </c>
      <c r="D289" s="211">
        <v>46162</v>
      </c>
      <c r="E289" s="224">
        <v>3.15E-2</v>
      </c>
      <c r="F289" s="224">
        <v>1.37E-2</v>
      </c>
      <c r="G289" s="224">
        <v>0</v>
      </c>
      <c r="H289" s="224">
        <v>0</v>
      </c>
      <c r="I289" s="225">
        <v>5.6133500000000005</v>
      </c>
    </row>
    <row r="290" spans="1:9" ht="19.8" thickBot="1" x14ac:dyDescent="0.3">
      <c r="A290" s="226" t="s">
        <v>205</v>
      </c>
      <c r="B290" s="227" t="s">
        <v>147</v>
      </c>
      <c r="C290" s="228" t="s">
        <v>32</v>
      </c>
      <c r="D290" s="212">
        <v>46162</v>
      </c>
      <c r="E290" s="229"/>
      <c r="F290" s="229"/>
      <c r="G290" s="229"/>
      <c r="H290" s="229"/>
      <c r="I290" s="230">
        <v>0</v>
      </c>
    </row>
    <row r="291" spans="1:9" ht="20.399999999999999" thickTop="1" thickBot="1" x14ac:dyDescent="0.3">
      <c r="A291" s="215" t="s">
        <v>85</v>
      </c>
      <c r="B291" s="216" t="s">
        <v>147</v>
      </c>
      <c r="C291" s="217" t="s">
        <v>290</v>
      </c>
      <c r="D291" s="209">
        <v>46161</v>
      </c>
      <c r="E291" s="218">
        <v>22</v>
      </c>
      <c r="F291" s="218">
        <v>144.5</v>
      </c>
      <c r="G291" s="218">
        <v>628.5</v>
      </c>
      <c r="H291" s="218">
        <v>4.5</v>
      </c>
      <c r="I291" s="218">
        <v>799.5</v>
      </c>
    </row>
    <row r="292" spans="1:9" ht="19.8" thickTop="1" x14ac:dyDescent="0.25">
      <c r="A292" s="219" t="s">
        <v>86</v>
      </c>
      <c r="B292" s="220" t="s">
        <v>147</v>
      </c>
      <c r="C292" s="221" t="s">
        <v>290</v>
      </c>
      <c r="D292" s="210">
        <v>46161</v>
      </c>
      <c r="E292" s="222">
        <v>21.306999999999999</v>
      </c>
      <c r="F292" s="222">
        <v>142.52035000000001</v>
      </c>
      <c r="G292" s="222">
        <v>628.5</v>
      </c>
      <c r="H292" s="222">
        <v>4.5</v>
      </c>
      <c r="I292" s="223">
        <v>796.82735000000002</v>
      </c>
    </row>
    <row r="293" spans="1:9" x14ac:dyDescent="0.25">
      <c r="A293" s="219" t="s">
        <v>87</v>
      </c>
      <c r="B293" s="220" t="s">
        <v>147</v>
      </c>
      <c r="C293" s="221" t="s">
        <v>290</v>
      </c>
      <c r="D293" s="211">
        <v>46161</v>
      </c>
      <c r="E293" s="224">
        <v>3.15E-2</v>
      </c>
      <c r="F293" s="224">
        <v>1.37E-2</v>
      </c>
      <c r="G293" s="224">
        <v>0</v>
      </c>
      <c r="H293" s="224">
        <v>0</v>
      </c>
      <c r="I293" s="225">
        <v>2.67265</v>
      </c>
    </row>
    <row r="294" spans="1:9" ht="19.8" thickBot="1" x14ac:dyDescent="0.3">
      <c r="A294" s="226" t="s">
        <v>205</v>
      </c>
      <c r="B294" s="227" t="s">
        <v>147</v>
      </c>
      <c r="C294" s="228" t="s">
        <v>290</v>
      </c>
      <c r="D294" s="212">
        <v>46161</v>
      </c>
      <c r="E294" s="229"/>
      <c r="F294" s="229"/>
      <c r="G294" s="229"/>
      <c r="H294" s="229"/>
      <c r="I294" s="230">
        <v>0</v>
      </c>
    </row>
    <row r="295" spans="1:9" ht="20.399999999999999" thickTop="1" thickBot="1" x14ac:dyDescent="0.3">
      <c r="A295" s="215" t="s">
        <v>85</v>
      </c>
      <c r="B295" s="216" t="s">
        <v>147</v>
      </c>
      <c r="C295" s="217" t="s">
        <v>291</v>
      </c>
      <c r="D295" s="209">
        <v>46160</v>
      </c>
      <c r="E295" s="218">
        <v>66</v>
      </c>
      <c r="F295" s="218">
        <v>207</v>
      </c>
      <c r="G295" s="218">
        <v>384</v>
      </c>
      <c r="H295" s="218">
        <v>95</v>
      </c>
      <c r="I295" s="218">
        <v>752</v>
      </c>
    </row>
    <row r="296" spans="1:9" ht="19.8" thickTop="1" x14ac:dyDescent="0.25">
      <c r="A296" s="219" t="s">
        <v>86</v>
      </c>
      <c r="B296" s="220" t="s">
        <v>147</v>
      </c>
      <c r="C296" s="221" t="s">
        <v>291</v>
      </c>
      <c r="D296" s="210">
        <v>46160</v>
      </c>
      <c r="E296" s="222">
        <v>63.920999999999999</v>
      </c>
      <c r="F296" s="222">
        <v>204.16409999999999</v>
      </c>
      <c r="G296" s="222">
        <v>384</v>
      </c>
      <c r="H296" s="222">
        <v>95</v>
      </c>
      <c r="I296" s="223">
        <v>747.08510000000001</v>
      </c>
    </row>
    <row r="297" spans="1:9" x14ac:dyDescent="0.25">
      <c r="A297" s="219" t="s">
        <v>87</v>
      </c>
      <c r="B297" s="220" t="s">
        <v>147</v>
      </c>
      <c r="C297" s="221" t="s">
        <v>291</v>
      </c>
      <c r="D297" s="211">
        <v>46160</v>
      </c>
      <c r="E297" s="224">
        <v>3.15E-2</v>
      </c>
      <c r="F297" s="224">
        <v>1.37E-2</v>
      </c>
      <c r="G297" s="224">
        <v>0</v>
      </c>
      <c r="H297" s="224">
        <v>0</v>
      </c>
      <c r="I297" s="225">
        <v>4.9149000000000003</v>
      </c>
    </row>
    <row r="298" spans="1:9" ht="19.8" thickBot="1" x14ac:dyDescent="0.3">
      <c r="A298" s="226" t="s">
        <v>205</v>
      </c>
      <c r="B298" s="227" t="s">
        <v>147</v>
      </c>
      <c r="C298" s="228" t="s">
        <v>291</v>
      </c>
      <c r="D298" s="212">
        <v>46160</v>
      </c>
      <c r="E298" s="229"/>
      <c r="F298" s="229"/>
      <c r="G298" s="229"/>
      <c r="H298" s="229"/>
      <c r="I298" s="230">
        <v>0</v>
      </c>
    </row>
    <row r="299" spans="1:9" ht="20.399999999999999" thickTop="1" thickBot="1" x14ac:dyDescent="0.3">
      <c r="A299" s="215" t="s">
        <v>85</v>
      </c>
      <c r="B299" s="216" t="s">
        <v>147</v>
      </c>
      <c r="C299" s="217" t="s">
        <v>93</v>
      </c>
      <c r="D299" s="209">
        <v>46159</v>
      </c>
      <c r="E299" s="218">
        <v>66</v>
      </c>
      <c r="F299" s="218">
        <v>191.5</v>
      </c>
      <c r="G299" s="218">
        <v>169</v>
      </c>
      <c r="H299" s="218">
        <v>119.5</v>
      </c>
      <c r="I299" s="218">
        <v>546</v>
      </c>
    </row>
    <row r="300" spans="1:9" ht="19.8" thickTop="1" x14ac:dyDescent="0.25">
      <c r="A300" s="219" t="s">
        <v>86</v>
      </c>
      <c r="B300" s="220" t="s">
        <v>147</v>
      </c>
      <c r="C300" s="221" t="s">
        <v>93</v>
      </c>
      <c r="D300" s="210">
        <v>46159</v>
      </c>
      <c r="E300" s="222">
        <v>63.920999999999999</v>
      </c>
      <c r="F300" s="222">
        <v>188.87645000000001</v>
      </c>
      <c r="G300" s="222">
        <v>169</v>
      </c>
      <c r="H300" s="222">
        <v>119.5</v>
      </c>
      <c r="I300" s="223">
        <v>541.29745000000003</v>
      </c>
    </row>
    <row r="301" spans="1:9" x14ac:dyDescent="0.25">
      <c r="A301" s="219" t="s">
        <v>87</v>
      </c>
      <c r="B301" s="220" t="s">
        <v>147</v>
      </c>
      <c r="C301" s="221" t="s">
        <v>93</v>
      </c>
      <c r="D301" s="211">
        <v>46159</v>
      </c>
      <c r="E301" s="224">
        <v>3.15E-2</v>
      </c>
      <c r="F301" s="224">
        <v>1.37E-2</v>
      </c>
      <c r="G301" s="224">
        <v>0</v>
      </c>
      <c r="H301" s="224">
        <v>0</v>
      </c>
      <c r="I301" s="225">
        <v>4.7025500000000005</v>
      </c>
    </row>
    <row r="302" spans="1:9" ht="19.8" thickBot="1" x14ac:dyDescent="0.3">
      <c r="A302" s="226" t="s">
        <v>205</v>
      </c>
      <c r="B302" s="227" t="s">
        <v>147</v>
      </c>
      <c r="C302" s="228" t="s">
        <v>93</v>
      </c>
      <c r="D302" s="212">
        <v>46159</v>
      </c>
      <c r="E302" s="229"/>
      <c r="F302" s="229"/>
      <c r="G302" s="229"/>
      <c r="H302" s="229"/>
      <c r="I302" s="230">
        <v>0</v>
      </c>
    </row>
    <row r="303" spans="1:9" ht="20.399999999999999" thickTop="1" thickBot="1" x14ac:dyDescent="0.3">
      <c r="A303" s="215" t="s">
        <v>85</v>
      </c>
      <c r="B303" s="216" t="s">
        <v>147</v>
      </c>
      <c r="C303" s="217" t="s">
        <v>92</v>
      </c>
      <c r="D303" s="209">
        <v>46158</v>
      </c>
      <c r="E303" s="218">
        <v>241</v>
      </c>
      <c r="F303" s="218">
        <v>46</v>
      </c>
      <c r="G303" s="218">
        <v>10</v>
      </c>
      <c r="H303" s="218">
        <v>9</v>
      </c>
      <c r="I303" s="218">
        <v>306</v>
      </c>
    </row>
    <row r="304" spans="1:9" ht="19.8" thickTop="1" x14ac:dyDescent="0.25">
      <c r="A304" s="219" t="s">
        <v>86</v>
      </c>
      <c r="B304" s="220" t="s">
        <v>147</v>
      </c>
      <c r="C304" s="221" t="s">
        <v>92</v>
      </c>
      <c r="D304" s="210">
        <v>46158</v>
      </c>
      <c r="E304" s="222">
        <v>233.4085</v>
      </c>
      <c r="F304" s="222">
        <v>45.369799999999998</v>
      </c>
      <c r="G304" s="222">
        <v>10</v>
      </c>
      <c r="H304" s="222">
        <v>9</v>
      </c>
      <c r="I304" s="223">
        <v>297.7783</v>
      </c>
    </row>
    <row r="305" spans="1:9" x14ac:dyDescent="0.25">
      <c r="A305" s="219" t="s">
        <v>87</v>
      </c>
      <c r="B305" s="220" t="s">
        <v>147</v>
      </c>
      <c r="C305" s="221" t="s">
        <v>92</v>
      </c>
      <c r="D305" s="211">
        <v>46158</v>
      </c>
      <c r="E305" s="224">
        <v>3.15E-2</v>
      </c>
      <c r="F305" s="224">
        <v>1.37E-2</v>
      </c>
      <c r="G305" s="224">
        <v>0</v>
      </c>
      <c r="H305" s="224">
        <v>0</v>
      </c>
      <c r="I305" s="225">
        <v>8.2217000000000002</v>
      </c>
    </row>
    <row r="306" spans="1:9" ht="19.8" thickBot="1" x14ac:dyDescent="0.3">
      <c r="A306" s="226" t="s">
        <v>205</v>
      </c>
      <c r="B306" s="227" t="s">
        <v>147</v>
      </c>
      <c r="C306" s="228" t="s">
        <v>92</v>
      </c>
      <c r="D306" s="212">
        <v>46158</v>
      </c>
      <c r="E306" s="229"/>
      <c r="F306" s="229"/>
      <c r="G306" s="229"/>
      <c r="H306" s="229"/>
      <c r="I306" s="230">
        <v>0</v>
      </c>
    </row>
    <row r="307" spans="1:9" ht="20.399999999999999" thickTop="1" thickBot="1" x14ac:dyDescent="0.3">
      <c r="A307" s="215" t="s">
        <v>85</v>
      </c>
      <c r="B307" s="216" t="s">
        <v>147</v>
      </c>
      <c r="C307" s="217" t="s">
        <v>83</v>
      </c>
      <c r="D307" s="209">
        <v>46157</v>
      </c>
      <c r="E307" s="218">
        <v>86</v>
      </c>
      <c r="F307" s="218">
        <v>219.5</v>
      </c>
      <c r="G307" s="218">
        <v>319</v>
      </c>
      <c r="H307" s="218">
        <v>81.5</v>
      </c>
      <c r="I307" s="218">
        <v>706</v>
      </c>
    </row>
    <row r="308" spans="1:9" ht="19.8" thickTop="1" x14ac:dyDescent="0.25">
      <c r="A308" s="219" t="s">
        <v>86</v>
      </c>
      <c r="B308" s="220" t="s">
        <v>147</v>
      </c>
      <c r="C308" s="221" t="s">
        <v>83</v>
      </c>
      <c r="D308" s="210">
        <v>46157</v>
      </c>
      <c r="E308" s="222">
        <v>83.290999999999997</v>
      </c>
      <c r="F308" s="222">
        <v>216.49285</v>
      </c>
      <c r="G308" s="222">
        <v>319</v>
      </c>
      <c r="H308" s="222">
        <v>81.5</v>
      </c>
      <c r="I308" s="223">
        <v>700.28385000000003</v>
      </c>
    </row>
    <row r="309" spans="1:9" x14ac:dyDescent="0.25">
      <c r="A309" s="219" t="s">
        <v>87</v>
      </c>
      <c r="B309" s="220" t="s">
        <v>147</v>
      </c>
      <c r="C309" s="221" t="s">
        <v>83</v>
      </c>
      <c r="D309" s="211">
        <v>46157</v>
      </c>
      <c r="E309" s="224">
        <v>3.15E-2</v>
      </c>
      <c r="F309" s="224">
        <v>1.37E-2</v>
      </c>
      <c r="G309" s="224">
        <v>0</v>
      </c>
      <c r="H309" s="224">
        <v>0</v>
      </c>
      <c r="I309" s="225">
        <v>5.7161500000000007</v>
      </c>
    </row>
    <row r="310" spans="1:9" ht="19.8" thickBot="1" x14ac:dyDescent="0.3">
      <c r="A310" s="226" t="s">
        <v>205</v>
      </c>
      <c r="B310" s="227" t="s">
        <v>147</v>
      </c>
      <c r="C310" s="228" t="s">
        <v>83</v>
      </c>
      <c r="D310" s="212">
        <v>46157</v>
      </c>
      <c r="E310" s="229"/>
      <c r="F310" s="229"/>
      <c r="G310" s="229"/>
      <c r="H310" s="229"/>
      <c r="I310" s="230">
        <v>0</v>
      </c>
    </row>
    <row r="311" spans="1:9" ht="20.399999999999999" thickTop="1" thickBot="1" x14ac:dyDescent="0.3">
      <c r="A311" s="215" t="s">
        <v>85</v>
      </c>
      <c r="B311" s="216" t="s">
        <v>147</v>
      </c>
      <c r="C311" s="217" t="s">
        <v>294</v>
      </c>
      <c r="D311" s="209">
        <v>46156</v>
      </c>
      <c r="E311" s="218">
        <v>67</v>
      </c>
      <c r="F311" s="218">
        <v>239</v>
      </c>
      <c r="G311" s="218">
        <v>45</v>
      </c>
      <c r="H311" s="218">
        <v>83</v>
      </c>
      <c r="I311" s="218">
        <v>434</v>
      </c>
    </row>
    <row r="312" spans="1:9" ht="19.8" thickTop="1" x14ac:dyDescent="0.25">
      <c r="A312" s="219" t="s">
        <v>86</v>
      </c>
      <c r="B312" s="220" t="s">
        <v>147</v>
      </c>
      <c r="C312" s="221" t="s">
        <v>294</v>
      </c>
      <c r="D312" s="210">
        <v>46156</v>
      </c>
      <c r="E312" s="222">
        <v>64.889499999999998</v>
      </c>
      <c r="F312" s="222">
        <v>235.72569999999999</v>
      </c>
      <c r="G312" s="222">
        <v>45</v>
      </c>
      <c r="H312" s="222">
        <v>83</v>
      </c>
      <c r="I312" s="223">
        <v>428.61519999999996</v>
      </c>
    </row>
    <row r="313" spans="1:9" x14ac:dyDescent="0.25">
      <c r="A313" s="219" t="s">
        <v>87</v>
      </c>
      <c r="B313" s="220" t="s">
        <v>147</v>
      </c>
      <c r="C313" s="221" t="s">
        <v>294</v>
      </c>
      <c r="D313" s="211">
        <v>46156</v>
      </c>
      <c r="E313" s="224">
        <v>3.15E-2</v>
      </c>
      <c r="F313" s="224">
        <v>1.37E-2</v>
      </c>
      <c r="G313" s="224">
        <v>0</v>
      </c>
      <c r="H313" s="224">
        <v>0</v>
      </c>
      <c r="I313" s="225">
        <v>5.3848000000000003</v>
      </c>
    </row>
    <row r="314" spans="1:9" ht="19.8" thickBot="1" x14ac:dyDescent="0.3">
      <c r="A314" s="226" t="s">
        <v>205</v>
      </c>
      <c r="B314" s="227" t="s">
        <v>147</v>
      </c>
      <c r="C314" s="228" t="s">
        <v>294</v>
      </c>
      <c r="D314" s="212">
        <v>46156</v>
      </c>
      <c r="E314" s="229"/>
      <c r="F314" s="229"/>
      <c r="G314" s="229"/>
      <c r="H314" s="229"/>
      <c r="I314" s="230">
        <v>0</v>
      </c>
    </row>
    <row r="315" spans="1:9" ht="20.399999999999999" thickTop="1" thickBot="1" x14ac:dyDescent="0.3">
      <c r="A315" s="215" t="s">
        <v>85</v>
      </c>
      <c r="B315" s="216" t="s">
        <v>147</v>
      </c>
      <c r="C315" s="217" t="s">
        <v>32</v>
      </c>
      <c r="D315" s="209">
        <v>46155</v>
      </c>
      <c r="E315" s="218">
        <v>44</v>
      </c>
      <c r="F315" s="218">
        <v>87</v>
      </c>
      <c r="G315" s="218">
        <v>288</v>
      </c>
      <c r="H315" s="218">
        <v>31</v>
      </c>
      <c r="I315" s="218">
        <v>450</v>
      </c>
    </row>
    <row r="316" spans="1:9" ht="19.8" thickTop="1" x14ac:dyDescent="0.25">
      <c r="A316" s="219" t="s">
        <v>86</v>
      </c>
      <c r="B316" s="220" t="s">
        <v>147</v>
      </c>
      <c r="C316" s="221" t="s">
        <v>32</v>
      </c>
      <c r="D316" s="210">
        <v>46155</v>
      </c>
      <c r="E316" s="222">
        <v>42.613999999999997</v>
      </c>
      <c r="F316" s="222">
        <v>85.808099999999996</v>
      </c>
      <c r="G316" s="222">
        <v>288</v>
      </c>
      <c r="H316" s="222">
        <v>31</v>
      </c>
      <c r="I316" s="223">
        <v>447.4221</v>
      </c>
    </row>
    <row r="317" spans="1:9" x14ac:dyDescent="0.25">
      <c r="A317" s="219" t="s">
        <v>87</v>
      </c>
      <c r="B317" s="220" t="s">
        <v>147</v>
      </c>
      <c r="C317" s="221" t="s">
        <v>32</v>
      </c>
      <c r="D317" s="211">
        <v>46155</v>
      </c>
      <c r="E317" s="224">
        <v>3.15E-2</v>
      </c>
      <c r="F317" s="224">
        <v>1.37E-2</v>
      </c>
      <c r="G317" s="224">
        <v>0</v>
      </c>
      <c r="H317" s="224">
        <v>0</v>
      </c>
      <c r="I317" s="225">
        <v>2.5779000000000001</v>
      </c>
    </row>
    <row r="318" spans="1:9" ht="19.8" thickBot="1" x14ac:dyDescent="0.3">
      <c r="A318" s="226" t="s">
        <v>205</v>
      </c>
      <c r="B318" s="227" t="s">
        <v>147</v>
      </c>
      <c r="C318" s="228" t="s">
        <v>32</v>
      </c>
      <c r="D318" s="212">
        <v>46155</v>
      </c>
      <c r="E318" s="229"/>
      <c r="F318" s="229"/>
      <c r="G318" s="229"/>
      <c r="H318" s="229"/>
      <c r="I318" s="230">
        <v>0</v>
      </c>
    </row>
    <row r="319" spans="1:9" ht="20.399999999999999" thickTop="1" thickBot="1" x14ac:dyDescent="0.3">
      <c r="A319" s="215" t="s">
        <v>85</v>
      </c>
      <c r="B319" s="216" t="s">
        <v>147</v>
      </c>
      <c r="C319" s="217" t="s">
        <v>290</v>
      </c>
      <c r="D319" s="209">
        <v>46154</v>
      </c>
      <c r="E319" s="218">
        <v>136</v>
      </c>
      <c r="F319" s="218">
        <v>157</v>
      </c>
      <c r="G319" s="218">
        <v>130</v>
      </c>
      <c r="H319" s="218">
        <v>87</v>
      </c>
      <c r="I319" s="218">
        <v>510</v>
      </c>
    </row>
    <row r="320" spans="1:9" ht="19.8" thickTop="1" x14ac:dyDescent="0.25">
      <c r="A320" s="219" t="s">
        <v>86</v>
      </c>
      <c r="B320" s="220" t="s">
        <v>147</v>
      </c>
      <c r="C320" s="221" t="s">
        <v>290</v>
      </c>
      <c r="D320" s="210">
        <v>46154</v>
      </c>
      <c r="E320" s="222">
        <v>131.71600000000001</v>
      </c>
      <c r="F320" s="222">
        <v>154.84909999999999</v>
      </c>
      <c r="G320" s="222">
        <v>130</v>
      </c>
      <c r="H320" s="222">
        <v>87</v>
      </c>
      <c r="I320" s="223">
        <v>503.56510000000003</v>
      </c>
    </row>
    <row r="321" spans="1:9" x14ac:dyDescent="0.25">
      <c r="A321" s="219" t="s">
        <v>87</v>
      </c>
      <c r="B321" s="220" t="s">
        <v>147</v>
      </c>
      <c r="C321" s="221" t="s">
        <v>290</v>
      </c>
      <c r="D321" s="211">
        <v>46154</v>
      </c>
      <c r="E321" s="224">
        <v>3.15E-2</v>
      </c>
      <c r="F321" s="224">
        <v>1.37E-2</v>
      </c>
      <c r="G321" s="224">
        <v>0</v>
      </c>
      <c r="H321" s="224">
        <v>0</v>
      </c>
      <c r="I321" s="225">
        <v>6.4348999999999998</v>
      </c>
    </row>
    <row r="322" spans="1:9" ht="19.8" thickBot="1" x14ac:dyDescent="0.3">
      <c r="A322" s="226" t="s">
        <v>205</v>
      </c>
      <c r="B322" s="227" t="s">
        <v>147</v>
      </c>
      <c r="C322" s="228" t="s">
        <v>290</v>
      </c>
      <c r="D322" s="212">
        <v>46154</v>
      </c>
      <c r="E322" s="229"/>
      <c r="F322" s="229"/>
      <c r="G322" s="229"/>
      <c r="H322" s="229"/>
      <c r="I322" s="230">
        <v>0</v>
      </c>
    </row>
    <row r="323" spans="1:9" ht="20.399999999999999" thickTop="1" thickBot="1" x14ac:dyDescent="0.3">
      <c r="A323" s="215" t="s">
        <v>85</v>
      </c>
      <c r="B323" s="216" t="s">
        <v>147</v>
      </c>
      <c r="C323" s="217" t="s">
        <v>291</v>
      </c>
      <c r="D323" s="209">
        <v>46153</v>
      </c>
      <c r="E323" s="218">
        <v>109.5</v>
      </c>
      <c r="F323" s="218">
        <v>238</v>
      </c>
      <c r="G323" s="218">
        <v>164</v>
      </c>
      <c r="H323" s="218">
        <v>215</v>
      </c>
      <c r="I323" s="218">
        <v>726.5</v>
      </c>
    </row>
    <row r="324" spans="1:9" ht="19.8" thickTop="1" x14ac:dyDescent="0.25">
      <c r="A324" s="219" t="s">
        <v>86</v>
      </c>
      <c r="B324" s="220" t="s">
        <v>147</v>
      </c>
      <c r="C324" s="221" t="s">
        <v>291</v>
      </c>
      <c r="D324" s="210">
        <v>46153</v>
      </c>
      <c r="E324" s="222">
        <v>106.05074999999999</v>
      </c>
      <c r="F324" s="222">
        <v>234.73939999999999</v>
      </c>
      <c r="G324" s="222">
        <v>164</v>
      </c>
      <c r="H324" s="222">
        <v>215</v>
      </c>
      <c r="I324" s="223">
        <v>719.79015000000004</v>
      </c>
    </row>
    <row r="325" spans="1:9" x14ac:dyDescent="0.25">
      <c r="A325" s="219" t="s">
        <v>87</v>
      </c>
      <c r="B325" s="220" t="s">
        <v>147</v>
      </c>
      <c r="C325" s="221" t="s">
        <v>291</v>
      </c>
      <c r="D325" s="211">
        <v>46153</v>
      </c>
      <c r="E325" s="224">
        <v>3.15E-2</v>
      </c>
      <c r="F325" s="224">
        <v>1.37E-2</v>
      </c>
      <c r="G325" s="224">
        <v>0</v>
      </c>
      <c r="H325" s="224">
        <v>0</v>
      </c>
      <c r="I325" s="225">
        <v>6.7098500000000003</v>
      </c>
    </row>
    <row r="326" spans="1:9" ht="19.8" thickBot="1" x14ac:dyDescent="0.3">
      <c r="A326" s="226" t="s">
        <v>205</v>
      </c>
      <c r="B326" s="227" t="s">
        <v>147</v>
      </c>
      <c r="C326" s="228" t="s">
        <v>291</v>
      </c>
      <c r="D326" s="212">
        <v>46153</v>
      </c>
      <c r="E326" s="229"/>
      <c r="F326" s="229"/>
      <c r="G326" s="229"/>
      <c r="H326" s="229"/>
      <c r="I326" s="230">
        <v>0</v>
      </c>
    </row>
    <row r="327" spans="1:9" ht="20.399999999999999" thickTop="1" thickBot="1" x14ac:dyDescent="0.3">
      <c r="A327" s="215" t="s">
        <v>85</v>
      </c>
      <c r="B327" s="216" t="s">
        <v>147</v>
      </c>
      <c r="C327" s="217" t="s">
        <v>93</v>
      </c>
      <c r="D327" s="209">
        <v>46152</v>
      </c>
      <c r="E327" s="218">
        <v>46</v>
      </c>
      <c r="F327" s="218">
        <v>90</v>
      </c>
      <c r="G327" s="218">
        <v>65</v>
      </c>
      <c r="H327" s="218">
        <v>86</v>
      </c>
      <c r="I327" s="218">
        <v>287</v>
      </c>
    </row>
    <row r="328" spans="1:9" ht="19.8" thickTop="1" x14ac:dyDescent="0.25">
      <c r="A328" s="219" t="s">
        <v>86</v>
      </c>
      <c r="B328" s="220" t="s">
        <v>147</v>
      </c>
      <c r="C328" s="221" t="s">
        <v>93</v>
      </c>
      <c r="D328" s="210">
        <v>46152</v>
      </c>
      <c r="E328" s="222">
        <v>44.551000000000002</v>
      </c>
      <c r="F328" s="222">
        <v>88.766999999999996</v>
      </c>
      <c r="G328" s="222">
        <v>65</v>
      </c>
      <c r="H328" s="222">
        <v>86</v>
      </c>
      <c r="I328" s="223">
        <v>284.31799999999998</v>
      </c>
    </row>
    <row r="329" spans="1:9" x14ac:dyDescent="0.25">
      <c r="A329" s="219" t="s">
        <v>87</v>
      </c>
      <c r="B329" s="220" t="s">
        <v>147</v>
      </c>
      <c r="C329" s="221" t="s">
        <v>93</v>
      </c>
      <c r="D329" s="211">
        <v>46152</v>
      </c>
      <c r="E329" s="224">
        <v>3.15E-2</v>
      </c>
      <c r="F329" s="224">
        <v>1.37E-2</v>
      </c>
      <c r="G329" s="224">
        <v>0</v>
      </c>
      <c r="H329" s="224">
        <v>0</v>
      </c>
      <c r="I329" s="225">
        <v>2.6820000000000004</v>
      </c>
    </row>
    <row r="330" spans="1:9" ht="19.8" thickBot="1" x14ac:dyDescent="0.3">
      <c r="A330" s="226" t="s">
        <v>205</v>
      </c>
      <c r="B330" s="227" t="s">
        <v>147</v>
      </c>
      <c r="C330" s="228" t="s">
        <v>93</v>
      </c>
      <c r="D330" s="212">
        <v>46152</v>
      </c>
      <c r="E330" s="229"/>
      <c r="F330" s="229"/>
      <c r="G330" s="229"/>
      <c r="H330" s="229"/>
      <c r="I330" s="230">
        <v>0</v>
      </c>
    </row>
    <row r="331" spans="1:9" ht="20.399999999999999" thickTop="1" thickBot="1" x14ac:dyDescent="0.3">
      <c r="A331" s="215" t="s">
        <v>85</v>
      </c>
      <c r="B331" s="216" t="s">
        <v>147</v>
      </c>
      <c r="C331" s="217" t="s">
        <v>92</v>
      </c>
      <c r="D331" s="209">
        <v>46151</v>
      </c>
      <c r="E331" s="218"/>
      <c r="F331" s="218">
        <v>0</v>
      </c>
      <c r="G331" s="218">
        <v>20</v>
      </c>
      <c r="H331" s="218">
        <v>22</v>
      </c>
      <c r="I331" s="218">
        <v>42</v>
      </c>
    </row>
    <row r="332" spans="1:9" ht="19.8" thickTop="1" x14ac:dyDescent="0.25">
      <c r="A332" s="219" t="s">
        <v>86</v>
      </c>
      <c r="B332" s="220" t="s">
        <v>147</v>
      </c>
      <c r="C332" s="221" t="s">
        <v>92</v>
      </c>
      <c r="D332" s="210">
        <v>46151</v>
      </c>
      <c r="E332" s="222">
        <v>0</v>
      </c>
      <c r="F332" s="222">
        <v>0</v>
      </c>
      <c r="G332" s="222">
        <v>20</v>
      </c>
      <c r="H332" s="222">
        <v>22</v>
      </c>
      <c r="I332" s="223">
        <v>42</v>
      </c>
    </row>
    <row r="333" spans="1:9" x14ac:dyDescent="0.25">
      <c r="A333" s="219" t="s">
        <v>87</v>
      </c>
      <c r="B333" s="220" t="s">
        <v>147</v>
      </c>
      <c r="C333" s="221" t="s">
        <v>92</v>
      </c>
      <c r="D333" s="211">
        <v>46151</v>
      </c>
      <c r="E333" s="224">
        <v>3.15E-2</v>
      </c>
      <c r="F333" s="224">
        <v>1.37E-2</v>
      </c>
      <c r="G333" s="224">
        <v>0</v>
      </c>
      <c r="H333" s="224">
        <v>0</v>
      </c>
      <c r="I333" s="225">
        <v>0</v>
      </c>
    </row>
    <row r="334" spans="1:9" ht="19.8" thickBot="1" x14ac:dyDescent="0.3">
      <c r="A334" s="226" t="s">
        <v>205</v>
      </c>
      <c r="B334" s="227" t="s">
        <v>147</v>
      </c>
      <c r="C334" s="228" t="s">
        <v>92</v>
      </c>
      <c r="D334" s="212">
        <v>46151</v>
      </c>
      <c r="E334" s="229"/>
      <c r="F334" s="229"/>
      <c r="G334" s="229"/>
      <c r="H334" s="229"/>
      <c r="I334" s="230">
        <v>0</v>
      </c>
    </row>
    <row r="335" spans="1:9" ht="20.399999999999999" thickTop="1" thickBot="1" x14ac:dyDescent="0.3">
      <c r="A335" s="215" t="s">
        <v>85</v>
      </c>
      <c r="B335" s="216" t="s">
        <v>147</v>
      </c>
      <c r="C335" s="217" t="s">
        <v>83</v>
      </c>
      <c r="D335" s="209">
        <v>46150</v>
      </c>
      <c r="E335" s="218">
        <v>0</v>
      </c>
      <c r="F335" s="218">
        <v>88</v>
      </c>
      <c r="G335" s="218">
        <v>254</v>
      </c>
      <c r="H335" s="218">
        <v>64</v>
      </c>
      <c r="I335" s="218">
        <v>406</v>
      </c>
    </row>
    <row r="336" spans="1:9" ht="19.8" thickTop="1" x14ac:dyDescent="0.25">
      <c r="A336" s="219" t="s">
        <v>86</v>
      </c>
      <c r="B336" s="220" t="s">
        <v>147</v>
      </c>
      <c r="C336" s="221" t="s">
        <v>83</v>
      </c>
      <c r="D336" s="210">
        <v>46150</v>
      </c>
      <c r="E336" s="222">
        <v>0</v>
      </c>
      <c r="F336" s="222">
        <v>86.794399999999996</v>
      </c>
      <c r="G336" s="222">
        <v>254</v>
      </c>
      <c r="H336" s="222">
        <v>64</v>
      </c>
      <c r="I336" s="223">
        <v>404.7944</v>
      </c>
    </row>
    <row r="337" spans="1:9" x14ac:dyDescent="0.25">
      <c r="A337" s="219" t="s">
        <v>87</v>
      </c>
      <c r="B337" s="220" t="s">
        <v>147</v>
      </c>
      <c r="C337" s="221" t="s">
        <v>83</v>
      </c>
      <c r="D337" s="211">
        <v>46150</v>
      </c>
      <c r="E337" s="224">
        <v>3.15E-2</v>
      </c>
      <c r="F337" s="224">
        <v>1.37E-2</v>
      </c>
      <c r="G337" s="224">
        <v>0</v>
      </c>
      <c r="H337" s="224">
        <v>0</v>
      </c>
      <c r="I337" s="225">
        <v>1.2056</v>
      </c>
    </row>
    <row r="338" spans="1:9" ht="19.8" thickBot="1" x14ac:dyDescent="0.3">
      <c r="A338" s="226" t="s">
        <v>205</v>
      </c>
      <c r="B338" s="227" t="s">
        <v>147</v>
      </c>
      <c r="C338" s="228" t="s">
        <v>83</v>
      </c>
      <c r="D338" s="212">
        <v>46150</v>
      </c>
      <c r="E338" s="229"/>
      <c r="F338" s="229"/>
      <c r="G338" s="229"/>
      <c r="H338" s="229"/>
      <c r="I338" s="230">
        <v>0</v>
      </c>
    </row>
    <row r="339" spans="1:9" ht="20.399999999999999" thickTop="1" thickBot="1" x14ac:dyDescent="0.3">
      <c r="A339" s="215" t="s">
        <v>85</v>
      </c>
      <c r="B339" s="216" t="s">
        <v>147</v>
      </c>
      <c r="C339" s="217" t="s">
        <v>294</v>
      </c>
      <c r="D339" s="209">
        <v>46149</v>
      </c>
      <c r="E339" s="218">
        <v>65</v>
      </c>
      <c r="F339" s="218">
        <v>104</v>
      </c>
      <c r="G339" s="218">
        <v>411</v>
      </c>
      <c r="H339" s="218">
        <v>75</v>
      </c>
      <c r="I339" s="218">
        <v>655</v>
      </c>
    </row>
    <row r="340" spans="1:9" ht="19.8" thickTop="1" x14ac:dyDescent="0.25">
      <c r="A340" s="219" t="s">
        <v>86</v>
      </c>
      <c r="B340" s="220" t="s">
        <v>147</v>
      </c>
      <c r="C340" s="221" t="s">
        <v>294</v>
      </c>
      <c r="D340" s="210">
        <v>46149</v>
      </c>
      <c r="E340" s="222">
        <v>62.952500000000001</v>
      </c>
      <c r="F340" s="222">
        <v>102.5752</v>
      </c>
      <c r="G340" s="222">
        <v>411</v>
      </c>
      <c r="H340" s="222">
        <v>75</v>
      </c>
      <c r="I340" s="223">
        <v>651.52769999999998</v>
      </c>
    </row>
    <row r="341" spans="1:9" x14ac:dyDescent="0.25">
      <c r="A341" s="219" t="s">
        <v>87</v>
      </c>
      <c r="B341" s="220" t="s">
        <v>147</v>
      </c>
      <c r="C341" s="221" t="s">
        <v>294</v>
      </c>
      <c r="D341" s="211">
        <v>46149</v>
      </c>
      <c r="E341" s="224">
        <v>3.15E-2</v>
      </c>
      <c r="F341" s="224">
        <v>1.37E-2</v>
      </c>
      <c r="G341" s="224">
        <v>0</v>
      </c>
      <c r="H341" s="224">
        <v>0</v>
      </c>
      <c r="I341" s="225">
        <v>3.4722999999999997</v>
      </c>
    </row>
    <row r="342" spans="1:9" ht="19.8" thickBot="1" x14ac:dyDescent="0.3">
      <c r="A342" s="226" t="s">
        <v>205</v>
      </c>
      <c r="B342" s="227" t="s">
        <v>147</v>
      </c>
      <c r="C342" s="228" t="s">
        <v>294</v>
      </c>
      <c r="D342" s="212">
        <v>46149</v>
      </c>
      <c r="E342" s="229"/>
      <c r="F342" s="229"/>
      <c r="G342" s="229"/>
      <c r="H342" s="229"/>
      <c r="I342" s="230">
        <v>0</v>
      </c>
    </row>
    <row r="343" spans="1:9" ht="20.399999999999999" thickTop="1" thickBot="1" x14ac:dyDescent="0.3">
      <c r="A343" s="215" t="s">
        <v>85</v>
      </c>
      <c r="B343" s="216" t="s">
        <v>147</v>
      </c>
      <c r="C343" s="217" t="s">
        <v>32</v>
      </c>
      <c r="D343" s="209">
        <v>46148</v>
      </c>
      <c r="E343" s="218">
        <v>62</v>
      </c>
      <c r="F343" s="218">
        <v>285</v>
      </c>
      <c r="G343" s="218">
        <v>439</v>
      </c>
      <c r="H343" s="218">
        <v>174</v>
      </c>
      <c r="I343" s="218">
        <v>960</v>
      </c>
    </row>
    <row r="344" spans="1:9" ht="19.8" thickTop="1" x14ac:dyDescent="0.25">
      <c r="A344" s="219" t="s">
        <v>86</v>
      </c>
      <c r="B344" s="220" t="s">
        <v>147</v>
      </c>
      <c r="C344" s="221" t="s">
        <v>32</v>
      </c>
      <c r="D344" s="210">
        <v>46148</v>
      </c>
      <c r="E344" s="222">
        <v>60.046999999999997</v>
      </c>
      <c r="F344" s="222">
        <v>281.09550000000002</v>
      </c>
      <c r="G344" s="222">
        <v>439</v>
      </c>
      <c r="H344" s="222">
        <v>174</v>
      </c>
      <c r="I344" s="223">
        <v>954.14250000000004</v>
      </c>
    </row>
    <row r="345" spans="1:9" x14ac:dyDescent="0.25">
      <c r="A345" s="219" t="s">
        <v>87</v>
      </c>
      <c r="B345" s="220" t="s">
        <v>147</v>
      </c>
      <c r="C345" s="221" t="s">
        <v>32</v>
      </c>
      <c r="D345" s="211">
        <v>46148</v>
      </c>
      <c r="E345" s="224">
        <v>3.15E-2</v>
      </c>
      <c r="F345" s="224">
        <v>1.37E-2</v>
      </c>
      <c r="G345" s="224">
        <v>0</v>
      </c>
      <c r="H345" s="224">
        <v>0</v>
      </c>
      <c r="I345" s="225">
        <v>5.8574999999999999</v>
      </c>
    </row>
    <row r="346" spans="1:9" ht="19.8" thickBot="1" x14ac:dyDescent="0.3">
      <c r="A346" s="226" t="s">
        <v>205</v>
      </c>
      <c r="B346" s="227" t="s">
        <v>147</v>
      </c>
      <c r="C346" s="228" t="s">
        <v>32</v>
      </c>
      <c r="D346" s="212">
        <v>46148</v>
      </c>
      <c r="E346" s="229"/>
      <c r="F346" s="229"/>
      <c r="G346" s="229"/>
      <c r="H346" s="229"/>
      <c r="I346" s="230">
        <v>0</v>
      </c>
    </row>
    <row r="347" spans="1:9" ht="20.399999999999999" thickTop="1" thickBot="1" x14ac:dyDescent="0.3">
      <c r="A347" s="215" t="s">
        <v>85</v>
      </c>
      <c r="B347" s="216" t="s">
        <v>147</v>
      </c>
      <c r="C347" s="217" t="s">
        <v>290</v>
      </c>
      <c r="D347" s="209">
        <v>46147</v>
      </c>
      <c r="E347" s="218">
        <v>199.5</v>
      </c>
      <c r="F347" s="218">
        <v>220</v>
      </c>
      <c r="G347" s="218">
        <v>200</v>
      </c>
      <c r="H347" s="218">
        <v>19</v>
      </c>
      <c r="I347" s="218">
        <v>638.5</v>
      </c>
    </row>
    <row r="348" spans="1:9" ht="19.8" thickTop="1" x14ac:dyDescent="0.25">
      <c r="A348" s="219" t="s">
        <v>86</v>
      </c>
      <c r="B348" s="220" t="s">
        <v>147</v>
      </c>
      <c r="C348" s="221" t="s">
        <v>290</v>
      </c>
      <c r="D348" s="210">
        <v>46147</v>
      </c>
      <c r="E348" s="222">
        <v>193.21575000000001</v>
      </c>
      <c r="F348" s="222">
        <v>216.98599999999999</v>
      </c>
      <c r="G348" s="222">
        <v>200</v>
      </c>
      <c r="H348" s="222">
        <v>19</v>
      </c>
      <c r="I348" s="223">
        <v>629.20174999999995</v>
      </c>
    </row>
    <row r="349" spans="1:9" x14ac:dyDescent="0.25">
      <c r="A349" s="219" t="s">
        <v>87</v>
      </c>
      <c r="B349" s="220" t="s">
        <v>147</v>
      </c>
      <c r="C349" s="221" t="s">
        <v>290</v>
      </c>
      <c r="D349" s="211">
        <v>46147</v>
      </c>
      <c r="E349" s="224">
        <v>3.15E-2</v>
      </c>
      <c r="F349" s="224">
        <v>1.37E-2</v>
      </c>
      <c r="G349" s="224">
        <v>0</v>
      </c>
      <c r="H349" s="224">
        <v>0</v>
      </c>
      <c r="I349" s="225">
        <v>9.2982499999999995</v>
      </c>
    </row>
    <row r="350" spans="1:9" ht="19.8" thickBot="1" x14ac:dyDescent="0.3">
      <c r="A350" s="226" t="s">
        <v>205</v>
      </c>
      <c r="B350" s="227" t="s">
        <v>147</v>
      </c>
      <c r="C350" s="228" t="s">
        <v>290</v>
      </c>
      <c r="D350" s="212">
        <v>46147</v>
      </c>
      <c r="E350" s="229"/>
      <c r="F350" s="229"/>
      <c r="G350" s="229"/>
      <c r="H350" s="229"/>
      <c r="I350" s="230">
        <v>0</v>
      </c>
    </row>
    <row r="351" spans="1:9" ht="20.399999999999999" thickTop="1" thickBot="1" x14ac:dyDescent="0.3">
      <c r="A351" s="215" t="s">
        <v>85</v>
      </c>
      <c r="B351" s="216" t="s">
        <v>147</v>
      </c>
      <c r="C351" s="217" t="s">
        <v>291</v>
      </c>
      <c r="D351" s="209">
        <v>46146</v>
      </c>
      <c r="E351" s="218">
        <v>77</v>
      </c>
      <c r="F351" s="218">
        <v>465.92</v>
      </c>
      <c r="G351" s="218">
        <v>507</v>
      </c>
      <c r="H351" s="218">
        <v>139.07999999999993</v>
      </c>
      <c r="I351" s="218">
        <v>1189</v>
      </c>
    </row>
    <row r="352" spans="1:9" ht="19.8" thickTop="1" x14ac:dyDescent="0.25">
      <c r="A352" s="219" t="s">
        <v>86</v>
      </c>
      <c r="B352" s="220" t="s">
        <v>147</v>
      </c>
      <c r="C352" s="221" t="s">
        <v>291</v>
      </c>
      <c r="D352" s="210">
        <v>46146</v>
      </c>
      <c r="E352" s="222">
        <v>74.5745</v>
      </c>
      <c r="F352" s="222">
        <v>459.53689600000001</v>
      </c>
      <c r="G352" s="222">
        <v>507</v>
      </c>
      <c r="H352" s="222">
        <v>139.07999999999993</v>
      </c>
      <c r="I352" s="223">
        <v>1180.1913959999999</v>
      </c>
    </row>
    <row r="353" spans="1:9" x14ac:dyDescent="0.25">
      <c r="A353" s="219" t="s">
        <v>87</v>
      </c>
      <c r="B353" s="220" t="s">
        <v>147</v>
      </c>
      <c r="C353" s="221" t="s">
        <v>291</v>
      </c>
      <c r="D353" s="211">
        <v>46146</v>
      </c>
      <c r="E353" s="224">
        <v>3.15E-2</v>
      </c>
      <c r="F353" s="224">
        <v>1.37E-2</v>
      </c>
      <c r="G353" s="224">
        <v>0</v>
      </c>
      <c r="H353" s="224">
        <v>0</v>
      </c>
      <c r="I353" s="225">
        <v>8.8086040000000008</v>
      </c>
    </row>
    <row r="354" spans="1:9" ht="19.8" thickBot="1" x14ac:dyDescent="0.3">
      <c r="A354" s="226" t="s">
        <v>205</v>
      </c>
      <c r="B354" s="227" t="s">
        <v>147</v>
      </c>
      <c r="C354" s="228" t="s">
        <v>291</v>
      </c>
      <c r="D354" s="212">
        <v>46146</v>
      </c>
      <c r="E354" s="229"/>
      <c r="F354" s="229"/>
      <c r="G354" s="229"/>
      <c r="H354" s="229"/>
      <c r="I354" s="230">
        <v>0</v>
      </c>
    </row>
    <row r="355" spans="1:9" ht="20.399999999999999" thickTop="1" thickBot="1" x14ac:dyDescent="0.3">
      <c r="A355" s="215" t="s">
        <v>85</v>
      </c>
      <c r="B355" s="216" t="s">
        <v>147</v>
      </c>
      <c r="C355" s="217" t="s">
        <v>93</v>
      </c>
      <c r="D355" s="209">
        <v>46145</v>
      </c>
      <c r="E355" s="218">
        <v>22</v>
      </c>
      <c r="F355" s="218">
        <v>46</v>
      </c>
      <c r="G355" s="218">
        <v>666.5</v>
      </c>
      <c r="H355" s="218">
        <v>40</v>
      </c>
      <c r="I355" s="218">
        <v>774.5</v>
      </c>
    </row>
    <row r="356" spans="1:9" ht="19.8" thickTop="1" x14ac:dyDescent="0.25">
      <c r="A356" s="219" t="s">
        <v>86</v>
      </c>
      <c r="B356" s="220" t="s">
        <v>147</v>
      </c>
      <c r="C356" s="221" t="s">
        <v>93</v>
      </c>
      <c r="D356" s="210">
        <v>46145</v>
      </c>
      <c r="E356" s="222">
        <v>21.306999999999999</v>
      </c>
      <c r="F356" s="222">
        <v>45.369799999999998</v>
      </c>
      <c r="G356" s="222">
        <v>666.5</v>
      </c>
      <c r="H356" s="222">
        <v>40</v>
      </c>
      <c r="I356" s="223">
        <v>773.17679999999996</v>
      </c>
    </row>
    <row r="357" spans="1:9" x14ac:dyDescent="0.25">
      <c r="A357" s="219" t="s">
        <v>87</v>
      </c>
      <c r="B357" s="220" t="s">
        <v>147</v>
      </c>
      <c r="C357" s="221" t="s">
        <v>93</v>
      </c>
      <c r="D357" s="211">
        <v>46145</v>
      </c>
      <c r="E357" s="224">
        <v>3.15E-2</v>
      </c>
      <c r="F357" s="224">
        <v>1.37E-2</v>
      </c>
      <c r="G357" s="224">
        <v>0</v>
      </c>
      <c r="H357" s="224">
        <v>0</v>
      </c>
      <c r="I357" s="225">
        <v>1.3231999999999999</v>
      </c>
    </row>
    <row r="358" spans="1:9" ht="19.8" thickBot="1" x14ac:dyDescent="0.3">
      <c r="A358" s="226" t="s">
        <v>205</v>
      </c>
      <c r="B358" s="227" t="s">
        <v>147</v>
      </c>
      <c r="C358" s="228" t="s">
        <v>93</v>
      </c>
      <c r="D358" s="212">
        <v>46145</v>
      </c>
      <c r="E358" s="229"/>
      <c r="F358" s="229"/>
      <c r="G358" s="229"/>
      <c r="H358" s="229"/>
      <c r="I358" s="230">
        <v>0</v>
      </c>
    </row>
    <row r="359" spans="1:9" ht="20.399999999999999" thickTop="1" thickBot="1" x14ac:dyDescent="0.3">
      <c r="A359" s="215" t="s">
        <v>85</v>
      </c>
      <c r="B359" s="216" t="s">
        <v>147</v>
      </c>
      <c r="C359" s="217" t="s">
        <v>92</v>
      </c>
      <c r="D359" s="209">
        <v>46144</v>
      </c>
      <c r="E359" s="218">
        <v>22</v>
      </c>
      <c r="F359" s="218">
        <v>107</v>
      </c>
      <c r="G359" s="218">
        <v>227</v>
      </c>
      <c r="H359" s="218">
        <v>38</v>
      </c>
      <c r="I359" s="218">
        <v>394</v>
      </c>
    </row>
    <row r="360" spans="1:9" ht="19.8" thickTop="1" x14ac:dyDescent="0.25">
      <c r="A360" s="219" t="s">
        <v>86</v>
      </c>
      <c r="B360" s="220" t="s">
        <v>147</v>
      </c>
      <c r="C360" s="221" t="s">
        <v>92</v>
      </c>
      <c r="D360" s="210">
        <v>46144</v>
      </c>
      <c r="E360" s="222">
        <v>21.306999999999999</v>
      </c>
      <c r="F360" s="222">
        <v>105.5341</v>
      </c>
      <c r="G360" s="222">
        <v>227</v>
      </c>
      <c r="H360" s="222">
        <v>38</v>
      </c>
      <c r="I360" s="223">
        <v>391.84109999999998</v>
      </c>
    </row>
    <row r="361" spans="1:9" x14ac:dyDescent="0.25">
      <c r="A361" s="219" t="s">
        <v>87</v>
      </c>
      <c r="B361" s="220" t="s">
        <v>147</v>
      </c>
      <c r="C361" s="221" t="s">
        <v>92</v>
      </c>
      <c r="D361" s="211">
        <v>46144</v>
      </c>
      <c r="E361" s="224">
        <v>3.15E-2</v>
      </c>
      <c r="F361" s="224">
        <v>1.37E-2</v>
      </c>
      <c r="G361" s="224">
        <v>0</v>
      </c>
      <c r="H361" s="224">
        <v>0</v>
      </c>
      <c r="I361" s="225">
        <v>2.1589</v>
      </c>
    </row>
    <row r="362" spans="1:9" ht="19.8" thickBot="1" x14ac:dyDescent="0.3">
      <c r="A362" s="226" t="s">
        <v>205</v>
      </c>
      <c r="B362" s="227" t="s">
        <v>147</v>
      </c>
      <c r="C362" s="228" t="s">
        <v>92</v>
      </c>
      <c r="D362" s="212">
        <v>46144</v>
      </c>
      <c r="E362" s="229"/>
      <c r="F362" s="229"/>
      <c r="G362" s="229"/>
      <c r="H362" s="229"/>
      <c r="I362" s="230">
        <v>0</v>
      </c>
    </row>
    <row r="363" spans="1:9" ht="20.399999999999999" thickTop="1" thickBot="1" x14ac:dyDescent="0.3">
      <c r="A363" s="215" t="s">
        <v>85</v>
      </c>
      <c r="B363" s="216" t="s">
        <v>147</v>
      </c>
      <c r="C363" s="217" t="s">
        <v>83</v>
      </c>
      <c r="D363" s="209">
        <v>46143</v>
      </c>
      <c r="E363" s="218">
        <v>22</v>
      </c>
      <c r="F363" s="218">
        <v>21</v>
      </c>
      <c r="G363" s="218">
        <v>87</v>
      </c>
      <c r="H363" s="218">
        <v>171</v>
      </c>
      <c r="I363" s="218">
        <v>301</v>
      </c>
    </row>
    <row r="364" spans="1:9" ht="19.8" thickTop="1" x14ac:dyDescent="0.25">
      <c r="A364" s="219" t="s">
        <v>86</v>
      </c>
      <c r="B364" s="220" t="s">
        <v>147</v>
      </c>
      <c r="C364" s="221" t="s">
        <v>83</v>
      </c>
      <c r="D364" s="210">
        <v>46143</v>
      </c>
      <c r="E364" s="222">
        <v>21.306999999999999</v>
      </c>
      <c r="F364" s="222">
        <v>20.712299999999999</v>
      </c>
      <c r="G364" s="222">
        <v>87</v>
      </c>
      <c r="H364" s="222">
        <v>171</v>
      </c>
      <c r="I364" s="223">
        <v>300.01929999999999</v>
      </c>
    </row>
    <row r="365" spans="1:9" x14ac:dyDescent="0.25">
      <c r="A365" s="219" t="s">
        <v>87</v>
      </c>
      <c r="B365" s="220" t="s">
        <v>147</v>
      </c>
      <c r="C365" s="221" t="s">
        <v>83</v>
      </c>
      <c r="D365" s="211">
        <v>46143</v>
      </c>
      <c r="E365" s="224">
        <v>3.15E-2</v>
      </c>
      <c r="F365" s="224">
        <v>1.37E-2</v>
      </c>
      <c r="G365" s="224">
        <v>0</v>
      </c>
      <c r="H365" s="224">
        <v>0</v>
      </c>
      <c r="I365" s="225">
        <v>0.98070000000000013</v>
      </c>
    </row>
    <row r="366" spans="1:9" ht="19.8" thickBot="1" x14ac:dyDescent="0.3">
      <c r="A366" s="226" t="s">
        <v>205</v>
      </c>
      <c r="B366" s="227" t="s">
        <v>147</v>
      </c>
      <c r="C366" s="228" t="s">
        <v>83</v>
      </c>
      <c r="D366" s="212">
        <v>46143</v>
      </c>
      <c r="E366" s="229"/>
      <c r="F366" s="229"/>
      <c r="G366" s="229"/>
      <c r="H366" s="229"/>
      <c r="I366" s="230">
        <v>0</v>
      </c>
    </row>
    <row r="367" spans="1:9" ht="20.399999999999999" thickTop="1" thickBot="1" x14ac:dyDescent="0.3">
      <c r="A367" s="215" t="s">
        <v>85</v>
      </c>
      <c r="B367" s="216" t="s">
        <v>146</v>
      </c>
      <c r="C367" s="217" t="s">
        <v>294</v>
      </c>
      <c r="D367" s="209">
        <v>46142</v>
      </c>
      <c r="E367" s="218">
        <v>0</v>
      </c>
      <c r="F367" s="218">
        <v>265</v>
      </c>
      <c r="G367" s="218">
        <v>90</v>
      </c>
      <c r="H367" s="218">
        <v>177</v>
      </c>
      <c r="I367" s="218">
        <v>532</v>
      </c>
    </row>
    <row r="368" spans="1:9" ht="19.8" thickTop="1" x14ac:dyDescent="0.25">
      <c r="A368" s="219" t="s">
        <v>86</v>
      </c>
      <c r="B368" s="220" t="s">
        <v>146</v>
      </c>
      <c r="C368" s="221" t="s">
        <v>294</v>
      </c>
      <c r="D368" s="210">
        <v>46142</v>
      </c>
      <c r="E368" s="222">
        <v>0</v>
      </c>
      <c r="F368" s="222">
        <v>261.36950000000002</v>
      </c>
      <c r="G368" s="222">
        <v>90</v>
      </c>
      <c r="H368" s="222">
        <v>177</v>
      </c>
      <c r="I368" s="223">
        <v>528.36950000000002</v>
      </c>
    </row>
    <row r="369" spans="1:9" x14ac:dyDescent="0.25">
      <c r="A369" s="219" t="s">
        <v>87</v>
      </c>
      <c r="B369" s="220" t="s">
        <v>146</v>
      </c>
      <c r="C369" s="221" t="s">
        <v>294</v>
      </c>
      <c r="D369" s="211">
        <v>46142</v>
      </c>
      <c r="E369" s="224">
        <v>3.15E-2</v>
      </c>
      <c r="F369" s="224">
        <v>1.37E-2</v>
      </c>
      <c r="G369" s="224">
        <v>0</v>
      </c>
      <c r="H369" s="224">
        <v>0</v>
      </c>
      <c r="I369" s="225">
        <v>3.6305000000000001</v>
      </c>
    </row>
    <row r="370" spans="1:9" ht="19.8" thickBot="1" x14ac:dyDescent="0.3">
      <c r="A370" s="226" t="s">
        <v>205</v>
      </c>
      <c r="B370" s="227" t="s">
        <v>146</v>
      </c>
      <c r="C370" s="228" t="s">
        <v>294</v>
      </c>
      <c r="D370" s="212">
        <v>46142</v>
      </c>
      <c r="E370" s="229"/>
      <c r="F370" s="229"/>
      <c r="G370" s="229"/>
      <c r="H370" s="229"/>
      <c r="I370" s="230">
        <v>0</v>
      </c>
    </row>
    <row r="371" spans="1:9" ht="20.399999999999999" thickTop="1" thickBot="1" x14ac:dyDescent="0.3">
      <c r="A371" s="215" t="s">
        <v>85</v>
      </c>
      <c r="B371" s="216" t="s">
        <v>146</v>
      </c>
      <c r="C371" s="217" t="s">
        <v>32</v>
      </c>
      <c r="D371" s="209">
        <v>46141</v>
      </c>
      <c r="E371" s="218">
        <v>70</v>
      </c>
      <c r="F371" s="218">
        <v>242.5</v>
      </c>
      <c r="G371" s="218">
        <v>65</v>
      </c>
      <c r="H371" s="218">
        <v>74.5</v>
      </c>
      <c r="I371" s="218">
        <v>452</v>
      </c>
    </row>
    <row r="372" spans="1:9" ht="19.8" thickTop="1" x14ac:dyDescent="0.25">
      <c r="A372" s="219" t="s">
        <v>86</v>
      </c>
      <c r="B372" s="220" t="s">
        <v>146</v>
      </c>
      <c r="C372" s="221" t="s">
        <v>32</v>
      </c>
      <c r="D372" s="210">
        <v>46141</v>
      </c>
      <c r="E372" s="222">
        <v>67.795000000000002</v>
      </c>
      <c r="F372" s="222">
        <v>239.17775</v>
      </c>
      <c r="G372" s="222">
        <v>65</v>
      </c>
      <c r="H372" s="222">
        <v>74.5</v>
      </c>
      <c r="I372" s="223">
        <v>446.47275000000002</v>
      </c>
    </row>
    <row r="373" spans="1:9" x14ac:dyDescent="0.25">
      <c r="A373" s="219" t="s">
        <v>87</v>
      </c>
      <c r="B373" s="220" t="s">
        <v>146</v>
      </c>
      <c r="C373" s="221" t="s">
        <v>32</v>
      </c>
      <c r="D373" s="211">
        <v>46141</v>
      </c>
      <c r="E373" s="224">
        <v>3.15E-2</v>
      </c>
      <c r="F373" s="224">
        <v>1.37E-2</v>
      </c>
      <c r="G373" s="224">
        <v>0</v>
      </c>
      <c r="H373" s="224">
        <v>0</v>
      </c>
      <c r="I373" s="225">
        <v>5.5272500000000004</v>
      </c>
    </row>
    <row r="374" spans="1:9" ht="19.8" thickBot="1" x14ac:dyDescent="0.3">
      <c r="A374" s="226" t="s">
        <v>205</v>
      </c>
      <c r="B374" s="227" t="s">
        <v>146</v>
      </c>
      <c r="C374" s="228" t="s">
        <v>32</v>
      </c>
      <c r="D374" s="212">
        <v>46141</v>
      </c>
      <c r="E374" s="229"/>
      <c r="F374" s="229"/>
      <c r="G374" s="229"/>
      <c r="H374" s="229"/>
      <c r="I374" s="230">
        <v>0</v>
      </c>
    </row>
    <row r="375" spans="1:9" ht="20.399999999999999" thickTop="1" thickBot="1" x14ac:dyDescent="0.3">
      <c r="A375" s="215" t="s">
        <v>85</v>
      </c>
      <c r="B375" s="216" t="s">
        <v>146</v>
      </c>
      <c r="C375" s="217" t="s">
        <v>290</v>
      </c>
      <c r="D375" s="209">
        <v>46140</v>
      </c>
      <c r="E375" s="218">
        <v>43</v>
      </c>
      <c r="F375" s="218">
        <v>368</v>
      </c>
      <c r="G375" s="218">
        <v>1259.25</v>
      </c>
      <c r="H375" s="218">
        <v>114.75</v>
      </c>
      <c r="I375" s="218">
        <v>1785</v>
      </c>
    </row>
    <row r="376" spans="1:9" ht="19.8" thickTop="1" x14ac:dyDescent="0.25">
      <c r="A376" s="219" t="s">
        <v>86</v>
      </c>
      <c r="B376" s="220" t="s">
        <v>146</v>
      </c>
      <c r="C376" s="221" t="s">
        <v>290</v>
      </c>
      <c r="D376" s="210">
        <v>46140</v>
      </c>
      <c r="E376" s="222">
        <v>41.645499999999998</v>
      </c>
      <c r="F376" s="222">
        <v>362.95839999999998</v>
      </c>
      <c r="G376" s="222">
        <v>1259.25</v>
      </c>
      <c r="H376" s="222">
        <v>114.75</v>
      </c>
      <c r="I376" s="223">
        <v>1778.6039000000001</v>
      </c>
    </row>
    <row r="377" spans="1:9" x14ac:dyDescent="0.25">
      <c r="A377" s="219" t="s">
        <v>87</v>
      </c>
      <c r="B377" s="220" t="s">
        <v>146</v>
      </c>
      <c r="C377" s="221" t="s">
        <v>290</v>
      </c>
      <c r="D377" s="211">
        <v>46140</v>
      </c>
      <c r="E377" s="224">
        <v>3.15E-2</v>
      </c>
      <c r="F377" s="224">
        <v>1.37E-2</v>
      </c>
      <c r="G377" s="224">
        <v>0</v>
      </c>
      <c r="H377" s="224">
        <v>0</v>
      </c>
      <c r="I377" s="225">
        <v>6.3960999999999997</v>
      </c>
    </row>
    <row r="378" spans="1:9" ht="19.8" thickBot="1" x14ac:dyDescent="0.3">
      <c r="A378" s="226" t="s">
        <v>205</v>
      </c>
      <c r="B378" s="227" t="s">
        <v>146</v>
      </c>
      <c r="C378" s="228" t="s">
        <v>290</v>
      </c>
      <c r="D378" s="212">
        <v>46140</v>
      </c>
      <c r="E378" s="229"/>
      <c r="F378" s="229"/>
      <c r="G378" s="229"/>
      <c r="H378" s="229"/>
      <c r="I378" s="230">
        <v>0</v>
      </c>
    </row>
    <row r="379" spans="1:9" ht="20.399999999999999" thickTop="1" thickBot="1" x14ac:dyDescent="0.3">
      <c r="A379" s="215" t="s">
        <v>85</v>
      </c>
      <c r="B379" s="216" t="s">
        <v>146</v>
      </c>
      <c r="C379" s="217" t="s">
        <v>291</v>
      </c>
      <c r="D379" s="209">
        <v>46139</v>
      </c>
      <c r="E379" s="218">
        <v>41</v>
      </c>
      <c r="F379" s="218">
        <v>105</v>
      </c>
      <c r="G379" s="218">
        <v>148</v>
      </c>
      <c r="H379" s="218">
        <v>47</v>
      </c>
      <c r="I379" s="218">
        <v>341</v>
      </c>
    </row>
    <row r="380" spans="1:9" ht="19.8" thickTop="1" x14ac:dyDescent="0.25">
      <c r="A380" s="219" t="s">
        <v>86</v>
      </c>
      <c r="B380" s="220" t="s">
        <v>146</v>
      </c>
      <c r="C380" s="221" t="s">
        <v>291</v>
      </c>
      <c r="D380" s="210">
        <v>46139</v>
      </c>
      <c r="E380" s="222">
        <v>39.708500000000001</v>
      </c>
      <c r="F380" s="222">
        <v>103.5615</v>
      </c>
      <c r="G380" s="222">
        <v>148</v>
      </c>
      <c r="H380" s="222">
        <v>47</v>
      </c>
      <c r="I380" s="223">
        <v>338.27</v>
      </c>
    </row>
    <row r="381" spans="1:9" x14ac:dyDescent="0.25">
      <c r="A381" s="219" t="s">
        <v>87</v>
      </c>
      <c r="B381" s="220" t="s">
        <v>146</v>
      </c>
      <c r="C381" s="221" t="s">
        <v>291</v>
      </c>
      <c r="D381" s="211">
        <v>46139</v>
      </c>
      <c r="E381" s="224">
        <v>3.15E-2</v>
      </c>
      <c r="F381" s="224">
        <v>1.37E-2</v>
      </c>
      <c r="G381" s="224">
        <v>0</v>
      </c>
      <c r="H381" s="224">
        <v>0</v>
      </c>
      <c r="I381" s="225">
        <v>2.7300000000000004</v>
      </c>
    </row>
    <row r="382" spans="1:9" ht="19.8" thickBot="1" x14ac:dyDescent="0.3">
      <c r="A382" s="226" t="s">
        <v>205</v>
      </c>
      <c r="B382" s="227" t="s">
        <v>146</v>
      </c>
      <c r="C382" s="228" t="s">
        <v>291</v>
      </c>
      <c r="D382" s="212">
        <v>46139</v>
      </c>
      <c r="E382" s="229"/>
      <c r="F382" s="229"/>
      <c r="G382" s="229"/>
      <c r="H382" s="229"/>
      <c r="I382" s="230">
        <v>0</v>
      </c>
    </row>
    <row r="383" spans="1:9" ht="20.399999999999999" thickTop="1" thickBot="1" x14ac:dyDescent="0.3">
      <c r="A383" s="215" t="s">
        <v>85</v>
      </c>
      <c r="B383" s="216" t="s">
        <v>146</v>
      </c>
      <c r="C383" s="217" t="s">
        <v>93</v>
      </c>
      <c r="D383" s="209">
        <v>46138</v>
      </c>
      <c r="E383" s="218">
        <v>93</v>
      </c>
      <c r="F383" s="218">
        <v>189</v>
      </c>
      <c r="G383" s="218">
        <v>203</v>
      </c>
      <c r="H383" s="218">
        <v>119</v>
      </c>
      <c r="I383" s="218">
        <v>604</v>
      </c>
    </row>
    <row r="384" spans="1:9" ht="19.8" thickTop="1" x14ac:dyDescent="0.25">
      <c r="A384" s="219" t="s">
        <v>86</v>
      </c>
      <c r="B384" s="220" t="s">
        <v>146</v>
      </c>
      <c r="C384" s="221" t="s">
        <v>93</v>
      </c>
      <c r="D384" s="210">
        <v>46138</v>
      </c>
      <c r="E384" s="222">
        <v>90.070499999999996</v>
      </c>
      <c r="F384" s="222">
        <v>186.41069999999999</v>
      </c>
      <c r="G384" s="222">
        <v>203</v>
      </c>
      <c r="H384" s="222">
        <v>119</v>
      </c>
      <c r="I384" s="223">
        <v>598.48119999999994</v>
      </c>
    </row>
    <row r="385" spans="1:9" x14ac:dyDescent="0.25">
      <c r="A385" s="219" t="s">
        <v>87</v>
      </c>
      <c r="B385" s="220" t="s">
        <v>146</v>
      </c>
      <c r="C385" s="221" t="s">
        <v>93</v>
      </c>
      <c r="D385" s="211">
        <v>46138</v>
      </c>
      <c r="E385" s="224">
        <v>3.15E-2</v>
      </c>
      <c r="F385" s="224">
        <v>1.37E-2</v>
      </c>
      <c r="G385" s="224">
        <v>0</v>
      </c>
      <c r="H385" s="224">
        <v>0</v>
      </c>
      <c r="I385" s="225">
        <v>5.5188000000000006</v>
      </c>
    </row>
    <row r="386" spans="1:9" ht="19.8" thickBot="1" x14ac:dyDescent="0.3">
      <c r="A386" s="226" t="s">
        <v>205</v>
      </c>
      <c r="B386" s="227" t="s">
        <v>146</v>
      </c>
      <c r="C386" s="228" t="s">
        <v>93</v>
      </c>
      <c r="D386" s="212">
        <v>46138</v>
      </c>
      <c r="E386" s="229"/>
      <c r="F386" s="229"/>
      <c r="G386" s="229"/>
      <c r="H386" s="229"/>
      <c r="I386" s="230">
        <v>0</v>
      </c>
    </row>
    <row r="387" spans="1:9" ht="20.399999999999999" thickTop="1" thickBot="1" x14ac:dyDescent="0.3">
      <c r="A387" s="215" t="s">
        <v>85</v>
      </c>
      <c r="B387" s="216" t="s">
        <v>146</v>
      </c>
      <c r="C387" s="217" t="s">
        <v>92</v>
      </c>
      <c r="D387" s="209">
        <v>46137</v>
      </c>
      <c r="E387" s="218">
        <v>0</v>
      </c>
      <c r="F387" s="218">
        <v>146</v>
      </c>
      <c r="G387" s="218">
        <v>43</v>
      </c>
      <c r="H387" s="218">
        <v>82</v>
      </c>
      <c r="I387" s="218">
        <v>271</v>
      </c>
    </row>
    <row r="388" spans="1:9" ht="19.8" thickTop="1" x14ac:dyDescent="0.25">
      <c r="A388" s="219" t="s">
        <v>86</v>
      </c>
      <c r="B388" s="220" t="s">
        <v>146</v>
      </c>
      <c r="C388" s="221" t="s">
        <v>92</v>
      </c>
      <c r="D388" s="210">
        <v>46137</v>
      </c>
      <c r="E388" s="222">
        <v>0</v>
      </c>
      <c r="F388" s="222">
        <v>143.99979999999999</v>
      </c>
      <c r="G388" s="222">
        <v>43</v>
      </c>
      <c r="H388" s="222">
        <v>82</v>
      </c>
      <c r="I388" s="223">
        <v>268.99979999999999</v>
      </c>
    </row>
    <row r="389" spans="1:9" x14ac:dyDescent="0.25">
      <c r="A389" s="219" t="s">
        <v>87</v>
      </c>
      <c r="B389" s="220" t="s">
        <v>146</v>
      </c>
      <c r="C389" s="221" t="s">
        <v>92</v>
      </c>
      <c r="D389" s="211">
        <v>46137</v>
      </c>
      <c r="E389" s="224">
        <v>3.15E-2</v>
      </c>
      <c r="F389" s="224">
        <v>1.37E-2</v>
      </c>
      <c r="G389" s="224">
        <v>0</v>
      </c>
      <c r="H389" s="224">
        <v>0</v>
      </c>
      <c r="I389" s="225">
        <v>2.0002</v>
      </c>
    </row>
    <row r="390" spans="1:9" ht="19.8" thickBot="1" x14ac:dyDescent="0.3">
      <c r="A390" s="226" t="s">
        <v>205</v>
      </c>
      <c r="B390" s="227" t="s">
        <v>146</v>
      </c>
      <c r="C390" s="228" t="s">
        <v>92</v>
      </c>
      <c r="D390" s="212">
        <v>46137</v>
      </c>
      <c r="E390" s="229"/>
      <c r="F390" s="229"/>
      <c r="G390" s="229"/>
      <c r="H390" s="229"/>
      <c r="I390" s="230">
        <v>0</v>
      </c>
    </row>
    <row r="391" spans="1:9" ht="20.399999999999999" thickTop="1" thickBot="1" x14ac:dyDescent="0.3">
      <c r="A391" s="215" t="s">
        <v>85</v>
      </c>
      <c r="B391" s="216" t="s">
        <v>146</v>
      </c>
      <c r="C391" s="217" t="s">
        <v>83</v>
      </c>
      <c r="D391" s="209">
        <v>46136</v>
      </c>
      <c r="E391" s="218">
        <v>0</v>
      </c>
      <c r="F391" s="218">
        <v>149</v>
      </c>
      <c r="G391" s="218">
        <v>188</v>
      </c>
      <c r="H391" s="218">
        <v>47</v>
      </c>
      <c r="I391" s="218">
        <v>384</v>
      </c>
    </row>
    <row r="392" spans="1:9" ht="19.8" thickTop="1" x14ac:dyDescent="0.25">
      <c r="A392" s="219" t="s">
        <v>86</v>
      </c>
      <c r="B392" s="220" t="s">
        <v>146</v>
      </c>
      <c r="C392" s="221" t="s">
        <v>83</v>
      </c>
      <c r="D392" s="210">
        <v>46136</v>
      </c>
      <c r="E392" s="222">
        <v>0</v>
      </c>
      <c r="F392" s="222">
        <v>146.95869999999999</v>
      </c>
      <c r="G392" s="222">
        <v>188</v>
      </c>
      <c r="H392" s="222">
        <v>47</v>
      </c>
      <c r="I392" s="223">
        <v>381.95870000000002</v>
      </c>
    </row>
    <row r="393" spans="1:9" x14ac:dyDescent="0.25">
      <c r="A393" s="219" t="s">
        <v>87</v>
      </c>
      <c r="B393" s="220" t="s">
        <v>146</v>
      </c>
      <c r="C393" s="221" t="s">
        <v>83</v>
      </c>
      <c r="D393" s="211">
        <v>46136</v>
      </c>
      <c r="E393" s="224">
        <v>3.15E-2</v>
      </c>
      <c r="F393" s="224">
        <v>1.37E-2</v>
      </c>
      <c r="G393" s="224">
        <v>0</v>
      </c>
      <c r="H393" s="224">
        <v>0</v>
      </c>
      <c r="I393" s="225">
        <v>2.0413000000000001</v>
      </c>
    </row>
    <row r="394" spans="1:9" ht="19.8" thickBot="1" x14ac:dyDescent="0.3">
      <c r="A394" s="226" t="s">
        <v>205</v>
      </c>
      <c r="B394" s="227" t="s">
        <v>146</v>
      </c>
      <c r="C394" s="228" t="s">
        <v>83</v>
      </c>
      <c r="D394" s="212">
        <v>46136</v>
      </c>
      <c r="E394" s="229"/>
      <c r="F394" s="229"/>
      <c r="G394" s="229"/>
      <c r="H394" s="229"/>
      <c r="I394" s="230">
        <v>0</v>
      </c>
    </row>
    <row r="395" spans="1:9" ht="20.399999999999999" thickTop="1" thickBot="1" x14ac:dyDescent="0.3">
      <c r="A395" s="215" t="s">
        <v>85</v>
      </c>
      <c r="B395" s="216" t="s">
        <v>146</v>
      </c>
      <c r="C395" s="217" t="s">
        <v>294</v>
      </c>
      <c r="D395" s="209">
        <v>46135</v>
      </c>
      <c r="E395" s="218">
        <v>48</v>
      </c>
      <c r="F395" s="218">
        <v>132</v>
      </c>
      <c r="G395" s="218">
        <v>93</v>
      </c>
      <c r="H395" s="218">
        <v>168</v>
      </c>
      <c r="I395" s="218">
        <v>441</v>
      </c>
    </row>
    <row r="396" spans="1:9" ht="19.8" thickTop="1" x14ac:dyDescent="0.25">
      <c r="A396" s="219" t="s">
        <v>86</v>
      </c>
      <c r="B396" s="220" t="s">
        <v>146</v>
      </c>
      <c r="C396" s="221" t="s">
        <v>294</v>
      </c>
      <c r="D396" s="210">
        <v>46135</v>
      </c>
      <c r="E396" s="222">
        <v>46.488</v>
      </c>
      <c r="F396" s="222">
        <v>130.19159999999999</v>
      </c>
      <c r="G396" s="222">
        <v>93</v>
      </c>
      <c r="H396" s="222">
        <v>168</v>
      </c>
      <c r="I396" s="223">
        <v>437.67959999999999</v>
      </c>
    </row>
    <row r="397" spans="1:9" x14ac:dyDescent="0.25">
      <c r="A397" s="219" t="s">
        <v>87</v>
      </c>
      <c r="B397" s="220" t="s">
        <v>146</v>
      </c>
      <c r="C397" s="221" t="s">
        <v>294</v>
      </c>
      <c r="D397" s="211">
        <v>46135</v>
      </c>
      <c r="E397" s="224">
        <v>3.15E-2</v>
      </c>
      <c r="F397" s="224">
        <v>1.37E-2</v>
      </c>
      <c r="G397" s="224">
        <v>0</v>
      </c>
      <c r="H397" s="224">
        <v>0</v>
      </c>
      <c r="I397" s="225">
        <v>3.3204000000000002</v>
      </c>
    </row>
    <row r="398" spans="1:9" ht="19.8" thickBot="1" x14ac:dyDescent="0.3">
      <c r="A398" s="226" t="s">
        <v>205</v>
      </c>
      <c r="B398" s="227" t="s">
        <v>146</v>
      </c>
      <c r="C398" s="228" t="s">
        <v>294</v>
      </c>
      <c r="D398" s="212">
        <v>46135</v>
      </c>
      <c r="E398" s="229"/>
      <c r="F398" s="229"/>
      <c r="G398" s="229"/>
      <c r="H398" s="229"/>
      <c r="I398" s="230">
        <v>0</v>
      </c>
    </row>
    <row r="399" spans="1:9" ht="20.399999999999999" thickTop="1" thickBot="1" x14ac:dyDescent="0.3">
      <c r="A399" s="215" t="s">
        <v>85</v>
      </c>
      <c r="B399" s="216" t="s">
        <v>146</v>
      </c>
      <c r="C399" s="217" t="s">
        <v>32</v>
      </c>
      <c r="D399" s="209">
        <v>46134</v>
      </c>
      <c r="E399" s="218">
        <v>112</v>
      </c>
      <c r="F399" s="218">
        <v>306</v>
      </c>
      <c r="G399" s="218">
        <v>308.75</v>
      </c>
      <c r="H399" s="218">
        <v>271.5</v>
      </c>
      <c r="I399" s="218">
        <v>998.25</v>
      </c>
    </row>
    <row r="400" spans="1:9" ht="19.8" thickTop="1" x14ac:dyDescent="0.25">
      <c r="A400" s="219" t="s">
        <v>86</v>
      </c>
      <c r="B400" s="220" t="s">
        <v>146</v>
      </c>
      <c r="C400" s="221" t="s">
        <v>32</v>
      </c>
      <c r="D400" s="210">
        <v>46134</v>
      </c>
      <c r="E400" s="222">
        <v>108.47199999999999</v>
      </c>
      <c r="F400" s="222">
        <v>301.80779999999999</v>
      </c>
      <c r="G400" s="222">
        <v>308.75</v>
      </c>
      <c r="H400" s="222">
        <v>271.5</v>
      </c>
      <c r="I400" s="223">
        <v>990.52980000000002</v>
      </c>
    </row>
    <row r="401" spans="1:9" x14ac:dyDescent="0.25">
      <c r="A401" s="219" t="s">
        <v>87</v>
      </c>
      <c r="B401" s="220" t="s">
        <v>146</v>
      </c>
      <c r="C401" s="221" t="s">
        <v>32</v>
      </c>
      <c r="D401" s="211">
        <v>46134</v>
      </c>
      <c r="E401" s="224">
        <v>3.15E-2</v>
      </c>
      <c r="F401" s="224">
        <v>1.37E-2</v>
      </c>
      <c r="G401" s="224">
        <v>0</v>
      </c>
      <c r="H401" s="224">
        <v>0</v>
      </c>
      <c r="I401" s="225">
        <v>7.7202000000000002</v>
      </c>
    </row>
    <row r="402" spans="1:9" ht="19.8" thickBot="1" x14ac:dyDescent="0.3">
      <c r="A402" s="226" t="s">
        <v>205</v>
      </c>
      <c r="B402" s="227" t="s">
        <v>146</v>
      </c>
      <c r="C402" s="228" t="s">
        <v>32</v>
      </c>
      <c r="D402" s="212">
        <v>46134</v>
      </c>
      <c r="E402" s="229"/>
      <c r="F402" s="229"/>
      <c r="G402" s="229"/>
      <c r="H402" s="229"/>
      <c r="I402" s="230">
        <v>0</v>
      </c>
    </row>
    <row r="403" spans="1:9" ht="20.399999999999999" thickTop="1" thickBot="1" x14ac:dyDescent="0.3">
      <c r="A403" s="215" t="s">
        <v>85</v>
      </c>
      <c r="B403" s="216" t="s">
        <v>146</v>
      </c>
      <c r="C403" s="217" t="s">
        <v>290</v>
      </c>
      <c r="D403" s="209">
        <v>46133</v>
      </c>
      <c r="E403" s="218">
        <v>110</v>
      </c>
      <c r="F403" s="218">
        <v>317</v>
      </c>
      <c r="G403" s="218">
        <v>405.5</v>
      </c>
      <c r="H403" s="218">
        <v>263.5</v>
      </c>
      <c r="I403" s="218">
        <v>1096</v>
      </c>
    </row>
    <row r="404" spans="1:9" ht="19.8" thickTop="1" x14ac:dyDescent="0.25">
      <c r="A404" s="219" t="s">
        <v>86</v>
      </c>
      <c r="B404" s="220" t="s">
        <v>146</v>
      </c>
      <c r="C404" s="221" t="s">
        <v>290</v>
      </c>
      <c r="D404" s="210">
        <v>46133</v>
      </c>
      <c r="E404" s="222">
        <v>106.535</v>
      </c>
      <c r="F404" s="222">
        <v>312.65710000000001</v>
      </c>
      <c r="G404" s="222">
        <v>405.5</v>
      </c>
      <c r="H404" s="222">
        <v>263.5</v>
      </c>
      <c r="I404" s="223">
        <v>1088.1921</v>
      </c>
    </row>
    <row r="405" spans="1:9" x14ac:dyDescent="0.25">
      <c r="A405" s="219" t="s">
        <v>87</v>
      </c>
      <c r="B405" s="220" t="s">
        <v>146</v>
      </c>
      <c r="C405" s="221" t="s">
        <v>290</v>
      </c>
      <c r="D405" s="211">
        <v>46133</v>
      </c>
      <c r="E405" s="224">
        <v>3.15E-2</v>
      </c>
      <c r="F405" s="224">
        <v>1.37E-2</v>
      </c>
      <c r="G405" s="224">
        <v>0</v>
      </c>
      <c r="H405" s="224">
        <v>0</v>
      </c>
      <c r="I405" s="225">
        <v>7.8079000000000001</v>
      </c>
    </row>
    <row r="406" spans="1:9" ht="19.8" thickBot="1" x14ac:dyDescent="0.3">
      <c r="A406" s="226" t="s">
        <v>205</v>
      </c>
      <c r="B406" s="227" t="s">
        <v>146</v>
      </c>
      <c r="C406" s="228" t="s">
        <v>290</v>
      </c>
      <c r="D406" s="212">
        <v>46133</v>
      </c>
      <c r="E406" s="229"/>
      <c r="F406" s="229"/>
      <c r="G406" s="229"/>
      <c r="H406" s="229"/>
      <c r="I406" s="230">
        <v>0</v>
      </c>
    </row>
    <row r="407" spans="1:9" ht="20.399999999999999" thickTop="1" thickBot="1" x14ac:dyDescent="0.3">
      <c r="A407" s="215" t="s">
        <v>85</v>
      </c>
      <c r="B407" s="216" t="s">
        <v>146</v>
      </c>
      <c r="C407" s="217" t="s">
        <v>291</v>
      </c>
      <c r="D407" s="209">
        <v>46132</v>
      </c>
      <c r="E407" s="218">
        <v>126</v>
      </c>
      <c r="F407" s="218">
        <v>225</v>
      </c>
      <c r="G407" s="218">
        <v>605.29999999999995</v>
      </c>
      <c r="H407" s="218">
        <v>109.70000000000005</v>
      </c>
      <c r="I407" s="218">
        <v>1066</v>
      </c>
    </row>
    <row r="408" spans="1:9" ht="19.8" thickTop="1" x14ac:dyDescent="0.25">
      <c r="A408" s="219" t="s">
        <v>86</v>
      </c>
      <c r="B408" s="220" t="s">
        <v>146</v>
      </c>
      <c r="C408" s="221" t="s">
        <v>291</v>
      </c>
      <c r="D408" s="210">
        <v>46132</v>
      </c>
      <c r="E408" s="222">
        <v>122.03100000000001</v>
      </c>
      <c r="F408" s="222">
        <v>221.91749999999999</v>
      </c>
      <c r="G408" s="222">
        <v>605.29999999999995</v>
      </c>
      <c r="H408" s="222">
        <v>109.70000000000005</v>
      </c>
      <c r="I408" s="223">
        <v>1058.9485</v>
      </c>
    </row>
    <row r="409" spans="1:9" x14ac:dyDescent="0.25">
      <c r="A409" s="219" t="s">
        <v>87</v>
      </c>
      <c r="B409" s="220" t="s">
        <v>146</v>
      </c>
      <c r="C409" s="221" t="s">
        <v>291</v>
      </c>
      <c r="D409" s="211">
        <v>46132</v>
      </c>
      <c r="E409" s="224">
        <v>3.15E-2</v>
      </c>
      <c r="F409" s="224">
        <v>1.37E-2</v>
      </c>
      <c r="G409" s="224">
        <v>0</v>
      </c>
      <c r="H409" s="224">
        <v>0</v>
      </c>
      <c r="I409" s="225">
        <v>7.0514999999999999</v>
      </c>
    </row>
    <row r="410" spans="1:9" ht="19.8" thickBot="1" x14ac:dyDescent="0.3">
      <c r="A410" s="226" t="s">
        <v>205</v>
      </c>
      <c r="B410" s="227" t="s">
        <v>146</v>
      </c>
      <c r="C410" s="228" t="s">
        <v>291</v>
      </c>
      <c r="D410" s="212">
        <v>46132</v>
      </c>
      <c r="E410" s="229"/>
      <c r="F410" s="229"/>
      <c r="G410" s="229"/>
      <c r="H410" s="229"/>
      <c r="I410" s="230">
        <v>0</v>
      </c>
    </row>
    <row r="411" spans="1:9" ht="20.399999999999999" thickTop="1" thickBot="1" x14ac:dyDescent="0.3">
      <c r="A411" s="215" t="s">
        <v>85</v>
      </c>
      <c r="B411" s="216" t="s">
        <v>146</v>
      </c>
      <c r="C411" s="217" t="s">
        <v>93</v>
      </c>
      <c r="D411" s="209">
        <v>46131</v>
      </c>
      <c r="E411" s="218">
        <v>42</v>
      </c>
      <c r="F411" s="218">
        <v>177</v>
      </c>
      <c r="G411" s="218">
        <v>322</v>
      </c>
      <c r="H411" s="218">
        <v>62</v>
      </c>
      <c r="I411" s="218">
        <v>603</v>
      </c>
    </row>
    <row r="412" spans="1:9" ht="19.8" thickTop="1" x14ac:dyDescent="0.25">
      <c r="A412" s="219" t="s">
        <v>86</v>
      </c>
      <c r="B412" s="220" t="s">
        <v>146</v>
      </c>
      <c r="C412" s="221" t="s">
        <v>93</v>
      </c>
      <c r="D412" s="210">
        <v>46131</v>
      </c>
      <c r="E412" s="222">
        <v>40.677</v>
      </c>
      <c r="F412" s="222">
        <v>174.57509999999999</v>
      </c>
      <c r="G412" s="222">
        <v>322</v>
      </c>
      <c r="H412" s="222">
        <v>62</v>
      </c>
      <c r="I412" s="223">
        <v>599.25209999999993</v>
      </c>
    </row>
    <row r="413" spans="1:9" x14ac:dyDescent="0.25">
      <c r="A413" s="219" t="s">
        <v>87</v>
      </c>
      <c r="B413" s="220" t="s">
        <v>146</v>
      </c>
      <c r="C413" s="221" t="s">
        <v>93</v>
      </c>
      <c r="D413" s="211">
        <v>46131</v>
      </c>
      <c r="E413" s="224">
        <v>3.15E-2</v>
      </c>
      <c r="F413" s="224">
        <v>1.37E-2</v>
      </c>
      <c r="G413" s="224">
        <v>0</v>
      </c>
      <c r="H413" s="224">
        <v>0</v>
      </c>
      <c r="I413" s="225">
        <v>3.7479</v>
      </c>
    </row>
    <row r="414" spans="1:9" ht="19.8" thickBot="1" x14ac:dyDescent="0.3">
      <c r="A414" s="226" t="s">
        <v>205</v>
      </c>
      <c r="B414" s="227" t="s">
        <v>146</v>
      </c>
      <c r="C414" s="228" t="s">
        <v>93</v>
      </c>
      <c r="D414" s="212">
        <v>46131</v>
      </c>
      <c r="E414" s="229"/>
      <c r="F414" s="229"/>
      <c r="G414" s="229"/>
      <c r="H414" s="229"/>
      <c r="I414" s="230">
        <v>0</v>
      </c>
    </row>
    <row r="415" spans="1:9" ht="20.399999999999999" thickTop="1" thickBot="1" x14ac:dyDescent="0.3">
      <c r="A415" s="215" t="s">
        <v>85</v>
      </c>
      <c r="B415" s="216" t="s">
        <v>146</v>
      </c>
      <c r="C415" s="217" t="s">
        <v>92</v>
      </c>
      <c r="D415" s="209">
        <v>46130</v>
      </c>
      <c r="E415" s="218">
        <v>0</v>
      </c>
      <c r="F415" s="218">
        <v>20</v>
      </c>
      <c r="G415" s="218">
        <v>22</v>
      </c>
      <c r="H415" s="218">
        <v>20</v>
      </c>
      <c r="I415" s="218">
        <v>62</v>
      </c>
    </row>
    <row r="416" spans="1:9" ht="19.8" thickTop="1" x14ac:dyDescent="0.25">
      <c r="A416" s="219" t="s">
        <v>86</v>
      </c>
      <c r="B416" s="220" t="s">
        <v>146</v>
      </c>
      <c r="C416" s="221" t="s">
        <v>92</v>
      </c>
      <c r="D416" s="210">
        <v>46130</v>
      </c>
      <c r="E416" s="222">
        <v>0</v>
      </c>
      <c r="F416" s="222">
        <v>19.725999999999999</v>
      </c>
      <c r="G416" s="222">
        <v>22</v>
      </c>
      <c r="H416" s="222">
        <v>20</v>
      </c>
      <c r="I416" s="223">
        <v>61.725999999999999</v>
      </c>
    </row>
    <row r="417" spans="1:9" x14ac:dyDescent="0.25">
      <c r="A417" s="219" t="s">
        <v>87</v>
      </c>
      <c r="B417" s="220" t="s">
        <v>146</v>
      </c>
      <c r="C417" s="221" t="s">
        <v>92</v>
      </c>
      <c r="D417" s="211">
        <v>46130</v>
      </c>
      <c r="E417" s="224">
        <v>3.15E-2</v>
      </c>
      <c r="F417" s="224">
        <v>1.37E-2</v>
      </c>
      <c r="G417" s="224">
        <v>0</v>
      </c>
      <c r="H417" s="224">
        <v>0</v>
      </c>
      <c r="I417" s="225">
        <v>0.27400000000000002</v>
      </c>
    </row>
    <row r="418" spans="1:9" ht="19.8" thickBot="1" x14ac:dyDescent="0.3">
      <c r="A418" s="226" t="s">
        <v>205</v>
      </c>
      <c r="B418" s="227" t="s">
        <v>146</v>
      </c>
      <c r="C418" s="228" t="s">
        <v>92</v>
      </c>
      <c r="D418" s="212">
        <v>46130</v>
      </c>
      <c r="E418" s="229"/>
      <c r="F418" s="229"/>
      <c r="G418" s="229"/>
      <c r="H418" s="229"/>
      <c r="I418" s="230">
        <v>0</v>
      </c>
    </row>
    <row r="419" spans="1:9" ht="20.399999999999999" thickTop="1" thickBot="1" x14ac:dyDescent="0.3">
      <c r="A419" s="215" t="s">
        <v>85</v>
      </c>
      <c r="B419" s="216" t="s">
        <v>146</v>
      </c>
      <c r="C419" s="217" t="s">
        <v>83</v>
      </c>
      <c r="D419" s="209">
        <v>46129</v>
      </c>
      <c r="E419" s="218">
        <v>65</v>
      </c>
      <c r="F419" s="218">
        <v>143.5</v>
      </c>
      <c r="G419" s="218">
        <v>64</v>
      </c>
      <c r="H419" s="218">
        <v>89</v>
      </c>
      <c r="I419" s="218">
        <v>361.5</v>
      </c>
    </row>
    <row r="420" spans="1:9" ht="19.8" thickTop="1" x14ac:dyDescent="0.25">
      <c r="A420" s="219" t="s">
        <v>86</v>
      </c>
      <c r="B420" s="220" t="s">
        <v>146</v>
      </c>
      <c r="C420" s="221" t="s">
        <v>83</v>
      </c>
      <c r="D420" s="210">
        <v>46129</v>
      </c>
      <c r="E420" s="222">
        <v>62.952500000000001</v>
      </c>
      <c r="F420" s="222">
        <v>141.53405000000001</v>
      </c>
      <c r="G420" s="222">
        <v>64</v>
      </c>
      <c r="H420" s="222">
        <v>89</v>
      </c>
      <c r="I420" s="223">
        <v>357.48655000000002</v>
      </c>
    </row>
    <row r="421" spans="1:9" x14ac:dyDescent="0.25">
      <c r="A421" s="219" t="s">
        <v>87</v>
      </c>
      <c r="B421" s="220" t="s">
        <v>146</v>
      </c>
      <c r="C421" s="221" t="s">
        <v>83</v>
      </c>
      <c r="D421" s="211">
        <v>46129</v>
      </c>
      <c r="E421" s="224">
        <v>3.15E-2</v>
      </c>
      <c r="F421" s="224">
        <v>1.37E-2</v>
      </c>
      <c r="G421" s="224">
        <v>0</v>
      </c>
      <c r="H421" s="224">
        <v>0</v>
      </c>
      <c r="I421" s="225">
        <v>4.0134499999999997</v>
      </c>
    </row>
    <row r="422" spans="1:9" ht="19.8" thickBot="1" x14ac:dyDescent="0.3">
      <c r="A422" s="226" t="s">
        <v>205</v>
      </c>
      <c r="B422" s="227" t="s">
        <v>146</v>
      </c>
      <c r="C422" s="228" t="s">
        <v>83</v>
      </c>
      <c r="D422" s="212">
        <v>46129</v>
      </c>
      <c r="E422" s="229"/>
      <c r="F422" s="229"/>
      <c r="G422" s="229"/>
      <c r="H422" s="229"/>
      <c r="I422" s="230">
        <v>0</v>
      </c>
    </row>
    <row r="423" spans="1:9" ht="20.399999999999999" thickTop="1" thickBot="1" x14ac:dyDescent="0.3">
      <c r="A423" s="215" t="s">
        <v>85</v>
      </c>
      <c r="B423" s="216" t="s">
        <v>146</v>
      </c>
      <c r="C423" s="217" t="s">
        <v>294</v>
      </c>
      <c r="D423" s="209">
        <v>46128</v>
      </c>
      <c r="E423" s="218">
        <v>146.5</v>
      </c>
      <c r="F423" s="218">
        <v>296.5</v>
      </c>
      <c r="G423" s="218">
        <v>109</v>
      </c>
      <c r="H423" s="218">
        <v>243.5</v>
      </c>
      <c r="I423" s="218">
        <v>795.5</v>
      </c>
    </row>
    <row r="424" spans="1:9" ht="19.8" thickTop="1" x14ac:dyDescent="0.25">
      <c r="A424" s="219" t="s">
        <v>86</v>
      </c>
      <c r="B424" s="220" t="s">
        <v>146</v>
      </c>
      <c r="C424" s="221" t="s">
        <v>294</v>
      </c>
      <c r="D424" s="210">
        <v>46128</v>
      </c>
      <c r="E424" s="222">
        <v>141.88525000000001</v>
      </c>
      <c r="F424" s="222">
        <v>292.43795</v>
      </c>
      <c r="G424" s="222">
        <v>109</v>
      </c>
      <c r="H424" s="222">
        <v>243.5</v>
      </c>
      <c r="I424" s="223">
        <v>786.82320000000004</v>
      </c>
    </row>
    <row r="425" spans="1:9" x14ac:dyDescent="0.25">
      <c r="A425" s="219" t="s">
        <v>87</v>
      </c>
      <c r="B425" s="220" t="s">
        <v>146</v>
      </c>
      <c r="C425" s="221" t="s">
        <v>294</v>
      </c>
      <c r="D425" s="211">
        <v>46128</v>
      </c>
      <c r="E425" s="224">
        <v>3.15E-2</v>
      </c>
      <c r="F425" s="224">
        <v>1.37E-2</v>
      </c>
      <c r="G425" s="224">
        <v>0</v>
      </c>
      <c r="H425" s="224">
        <v>0</v>
      </c>
      <c r="I425" s="225">
        <v>8.6768000000000001</v>
      </c>
    </row>
    <row r="426" spans="1:9" ht="19.8" thickBot="1" x14ac:dyDescent="0.3">
      <c r="A426" s="226" t="s">
        <v>205</v>
      </c>
      <c r="B426" s="227" t="s">
        <v>146</v>
      </c>
      <c r="C426" s="228" t="s">
        <v>294</v>
      </c>
      <c r="D426" s="212">
        <v>46128</v>
      </c>
      <c r="E426" s="229"/>
      <c r="F426" s="229"/>
      <c r="G426" s="229"/>
      <c r="H426" s="229"/>
      <c r="I426" s="230">
        <v>0</v>
      </c>
    </row>
    <row r="427" spans="1:9" ht="20.399999999999999" thickTop="1" thickBot="1" x14ac:dyDescent="0.3">
      <c r="A427" s="215" t="s">
        <v>85</v>
      </c>
      <c r="B427" s="216" t="s">
        <v>146</v>
      </c>
      <c r="C427" s="217" t="s">
        <v>32</v>
      </c>
      <c r="D427" s="209">
        <v>46127</v>
      </c>
      <c r="E427" s="218">
        <v>44</v>
      </c>
      <c r="F427" s="218">
        <v>305.2</v>
      </c>
      <c r="G427" s="218">
        <v>172</v>
      </c>
      <c r="H427" s="218">
        <v>139.79999999999995</v>
      </c>
      <c r="I427" s="218">
        <v>661</v>
      </c>
    </row>
    <row r="428" spans="1:9" ht="19.8" thickTop="1" x14ac:dyDescent="0.25">
      <c r="A428" s="219" t="s">
        <v>86</v>
      </c>
      <c r="B428" s="220" t="s">
        <v>146</v>
      </c>
      <c r="C428" s="221" t="s">
        <v>32</v>
      </c>
      <c r="D428" s="210">
        <v>46127</v>
      </c>
      <c r="E428" s="222">
        <v>42.613999999999997</v>
      </c>
      <c r="F428" s="222">
        <v>301.01875999999999</v>
      </c>
      <c r="G428" s="222">
        <v>172</v>
      </c>
      <c r="H428" s="222">
        <v>139.79999999999995</v>
      </c>
      <c r="I428" s="223">
        <v>655.43275999999992</v>
      </c>
    </row>
    <row r="429" spans="1:9" x14ac:dyDescent="0.25">
      <c r="A429" s="219" t="s">
        <v>87</v>
      </c>
      <c r="B429" s="220" t="s">
        <v>146</v>
      </c>
      <c r="C429" s="221" t="s">
        <v>32</v>
      </c>
      <c r="D429" s="211">
        <v>46127</v>
      </c>
      <c r="E429" s="224">
        <v>3.15E-2</v>
      </c>
      <c r="F429" s="224">
        <v>1.37E-2</v>
      </c>
      <c r="G429" s="224">
        <v>0</v>
      </c>
      <c r="H429" s="224">
        <v>0</v>
      </c>
      <c r="I429" s="225">
        <v>5.56724</v>
      </c>
    </row>
    <row r="430" spans="1:9" ht="19.8" thickBot="1" x14ac:dyDescent="0.3">
      <c r="A430" s="226" t="s">
        <v>205</v>
      </c>
      <c r="B430" s="227" t="s">
        <v>146</v>
      </c>
      <c r="C430" s="228" t="s">
        <v>32</v>
      </c>
      <c r="D430" s="212">
        <v>46127</v>
      </c>
      <c r="E430" s="229"/>
      <c r="F430" s="229"/>
      <c r="G430" s="229"/>
      <c r="H430" s="229"/>
      <c r="I430" s="230">
        <v>0</v>
      </c>
    </row>
    <row r="431" spans="1:9" ht="20.399999999999999" thickTop="1" thickBot="1" x14ac:dyDescent="0.3">
      <c r="A431" s="215" t="s">
        <v>85</v>
      </c>
      <c r="B431" s="216" t="s">
        <v>146</v>
      </c>
      <c r="C431" s="217" t="s">
        <v>290</v>
      </c>
      <c r="D431" s="209">
        <v>46126</v>
      </c>
      <c r="E431" s="218">
        <v>44</v>
      </c>
      <c r="F431" s="218">
        <v>243.5</v>
      </c>
      <c r="G431" s="218">
        <v>150</v>
      </c>
      <c r="H431" s="218">
        <v>166.5</v>
      </c>
      <c r="I431" s="218">
        <v>604</v>
      </c>
    </row>
    <row r="432" spans="1:9" ht="19.8" thickTop="1" x14ac:dyDescent="0.25">
      <c r="A432" s="219" t="s">
        <v>86</v>
      </c>
      <c r="B432" s="220" t="s">
        <v>146</v>
      </c>
      <c r="C432" s="221" t="s">
        <v>290</v>
      </c>
      <c r="D432" s="210">
        <v>46126</v>
      </c>
      <c r="E432" s="222">
        <v>42.613999999999997</v>
      </c>
      <c r="F432" s="222">
        <v>240.16405</v>
      </c>
      <c r="G432" s="222">
        <v>150</v>
      </c>
      <c r="H432" s="222">
        <v>166.5</v>
      </c>
      <c r="I432" s="223">
        <v>599.27805000000001</v>
      </c>
    </row>
    <row r="433" spans="1:9" x14ac:dyDescent="0.25">
      <c r="A433" s="219" t="s">
        <v>87</v>
      </c>
      <c r="B433" s="220" t="s">
        <v>146</v>
      </c>
      <c r="C433" s="221" t="s">
        <v>290</v>
      </c>
      <c r="D433" s="211">
        <v>46126</v>
      </c>
      <c r="E433" s="224">
        <v>3.15E-2</v>
      </c>
      <c r="F433" s="224">
        <v>1.37E-2</v>
      </c>
      <c r="G433" s="224">
        <v>0</v>
      </c>
      <c r="H433" s="224">
        <v>0</v>
      </c>
      <c r="I433" s="225">
        <v>4.7219499999999996</v>
      </c>
    </row>
    <row r="434" spans="1:9" ht="19.8" thickBot="1" x14ac:dyDescent="0.3">
      <c r="A434" s="226" t="s">
        <v>205</v>
      </c>
      <c r="B434" s="227" t="s">
        <v>146</v>
      </c>
      <c r="C434" s="228" t="s">
        <v>290</v>
      </c>
      <c r="D434" s="212">
        <v>46126</v>
      </c>
      <c r="E434" s="229"/>
      <c r="F434" s="229"/>
      <c r="G434" s="229"/>
      <c r="H434" s="229"/>
      <c r="I434" s="230">
        <v>0</v>
      </c>
    </row>
    <row r="435" spans="1:9" ht="20.399999999999999" thickTop="1" thickBot="1" x14ac:dyDescent="0.3">
      <c r="A435" s="215" t="s">
        <v>85</v>
      </c>
      <c r="B435" s="216" t="s">
        <v>146</v>
      </c>
      <c r="C435" s="217" t="s">
        <v>291</v>
      </c>
      <c r="D435" s="209">
        <v>46125</v>
      </c>
      <c r="E435" s="218">
        <v>305</v>
      </c>
      <c r="F435" s="218">
        <v>84.5</v>
      </c>
      <c r="G435" s="218">
        <v>665</v>
      </c>
      <c r="H435" s="218">
        <v>164.5</v>
      </c>
      <c r="I435" s="218">
        <v>1219</v>
      </c>
    </row>
    <row r="436" spans="1:9" ht="19.8" thickTop="1" x14ac:dyDescent="0.25">
      <c r="A436" s="219" t="s">
        <v>86</v>
      </c>
      <c r="B436" s="220" t="s">
        <v>146</v>
      </c>
      <c r="C436" s="221" t="s">
        <v>291</v>
      </c>
      <c r="D436" s="210">
        <v>46125</v>
      </c>
      <c r="E436" s="222">
        <v>295.39249999999998</v>
      </c>
      <c r="F436" s="222">
        <v>83.342349999999996</v>
      </c>
      <c r="G436" s="222">
        <v>665</v>
      </c>
      <c r="H436" s="222">
        <v>164.5</v>
      </c>
      <c r="I436" s="223">
        <v>1208.2348500000001</v>
      </c>
    </row>
    <row r="437" spans="1:9" x14ac:dyDescent="0.25">
      <c r="A437" s="219" t="s">
        <v>87</v>
      </c>
      <c r="B437" s="220" t="s">
        <v>146</v>
      </c>
      <c r="C437" s="221" t="s">
        <v>291</v>
      </c>
      <c r="D437" s="211">
        <v>46125</v>
      </c>
      <c r="E437" s="224">
        <v>3.15E-2</v>
      </c>
      <c r="F437" s="224">
        <v>1.37E-2</v>
      </c>
      <c r="G437" s="224">
        <v>0</v>
      </c>
      <c r="H437" s="224">
        <v>0</v>
      </c>
      <c r="I437" s="225">
        <v>10.76515</v>
      </c>
    </row>
    <row r="438" spans="1:9" ht="19.8" thickBot="1" x14ac:dyDescent="0.3">
      <c r="A438" s="226" t="s">
        <v>205</v>
      </c>
      <c r="B438" s="227" t="s">
        <v>146</v>
      </c>
      <c r="C438" s="228" t="s">
        <v>291</v>
      </c>
      <c r="D438" s="212">
        <v>46125</v>
      </c>
      <c r="E438" s="229"/>
      <c r="F438" s="229"/>
      <c r="G438" s="229"/>
      <c r="H438" s="229"/>
      <c r="I438" s="230">
        <v>0</v>
      </c>
    </row>
    <row r="439" spans="1:9" ht="20.399999999999999" thickTop="1" thickBot="1" x14ac:dyDescent="0.3">
      <c r="A439" s="215" t="s">
        <v>85</v>
      </c>
      <c r="B439" s="216" t="s">
        <v>146</v>
      </c>
      <c r="C439" s="217" t="s">
        <v>93</v>
      </c>
      <c r="D439" s="209">
        <v>46124</v>
      </c>
      <c r="E439" s="218">
        <v>133</v>
      </c>
      <c r="F439" s="218">
        <v>177</v>
      </c>
      <c r="G439" s="218">
        <v>129</v>
      </c>
      <c r="H439" s="218">
        <v>33</v>
      </c>
      <c r="I439" s="218">
        <v>472</v>
      </c>
    </row>
    <row r="440" spans="1:9" ht="19.8" thickTop="1" x14ac:dyDescent="0.25">
      <c r="A440" s="219" t="s">
        <v>86</v>
      </c>
      <c r="B440" s="220" t="s">
        <v>146</v>
      </c>
      <c r="C440" s="221" t="s">
        <v>93</v>
      </c>
      <c r="D440" s="210">
        <v>46124</v>
      </c>
      <c r="E440" s="222">
        <v>128.81049999999999</v>
      </c>
      <c r="F440" s="222">
        <v>174.57509999999999</v>
      </c>
      <c r="G440" s="222">
        <v>129</v>
      </c>
      <c r="H440" s="222">
        <v>33</v>
      </c>
      <c r="I440" s="223">
        <v>465.38559999999995</v>
      </c>
    </row>
    <row r="441" spans="1:9" x14ac:dyDescent="0.25">
      <c r="A441" s="219" t="s">
        <v>87</v>
      </c>
      <c r="B441" s="220" t="s">
        <v>146</v>
      </c>
      <c r="C441" s="221" t="s">
        <v>93</v>
      </c>
      <c r="D441" s="211">
        <v>46124</v>
      </c>
      <c r="E441" s="224">
        <v>3.15E-2</v>
      </c>
      <c r="F441" s="224">
        <v>1.37E-2</v>
      </c>
      <c r="G441" s="224">
        <v>0</v>
      </c>
      <c r="H441" s="224">
        <v>0</v>
      </c>
      <c r="I441" s="225">
        <v>6.6143999999999998</v>
      </c>
    </row>
    <row r="442" spans="1:9" ht="19.8" thickBot="1" x14ac:dyDescent="0.3">
      <c r="A442" s="226" t="s">
        <v>205</v>
      </c>
      <c r="B442" s="227" t="s">
        <v>146</v>
      </c>
      <c r="C442" s="228" t="s">
        <v>93</v>
      </c>
      <c r="D442" s="212">
        <v>46124</v>
      </c>
      <c r="E442" s="229"/>
      <c r="F442" s="229"/>
      <c r="G442" s="229"/>
      <c r="H442" s="229"/>
      <c r="I442" s="230">
        <v>0</v>
      </c>
    </row>
    <row r="443" spans="1:9" ht="20.399999999999999" thickTop="1" thickBot="1" x14ac:dyDescent="0.3">
      <c r="A443" s="215" t="s">
        <v>85</v>
      </c>
      <c r="B443" s="216" t="s">
        <v>146</v>
      </c>
      <c r="C443" s="217" t="s">
        <v>92</v>
      </c>
      <c r="D443" s="209">
        <v>46123</v>
      </c>
      <c r="E443" s="218">
        <v>0</v>
      </c>
      <c r="F443" s="218">
        <v>0</v>
      </c>
      <c r="G443" s="218">
        <v>265</v>
      </c>
      <c r="H443" s="218">
        <v>43</v>
      </c>
      <c r="I443" s="218">
        <v>308</v>
      </c>
    </row>
    <row r="444" spans="1:9" ht="19.8" thickTop="1" x14ac:dyDescent="0.25">
      <c r="A444" s="219" t="s">
        <v>86</v>
      </c>
      <c r="B444" s="220" t="s">
        <v>146</v>
      </c>
      <c r="C444" s="221" t="s">
        <v>92</v>
      </c>
      <c r="D444" s="210">
        <v>46123</v>
      </c>
      <c r="E444" s="222">
        <v>0</v>
      </c>
      <c r="F444" s="222">
        <v>0</v>
      </c>
      <c r="G444" s="222">
        <v>265</v>
      </c>
      <c r="H444" s="222">
        <v>43</v>
      </c>
      <c r="I444" s="223">
        <v>308</v>
      </c>
    </row>
    <row r="445" spans="1:9" x14ac:dyDescent="0.25">
      <c r="A445" s="219" t="s">
        <v>87</v>
      </c>
      <c r="B445" s="220" t="s">
        <v>146</v>
      </c>
      <c r="C445" s="221" t="s">
        <v>92</v>
      </c>
      <c r="D445" s="211">
        <v>46123</v>
      </c>
      <c r="E445" s="224">
        <v>3.15E-2</v>
      </c>
      <c r="F445" s="224">
        <v>1.37E-2</v>
      </c>
      <c r="G445" s="224">
        <v>0</v>
      </c>
      <c r="H445" s="224">
        <v>0</v>
      </c>
      <c r="I445" s="225">
        <v>0</v>
      </c>
    </row>
    <row r="446" spans="1:9" ht="19.8" thickBot="1" x14ac:dyDescent="0.3">
      <c r="A446" s="226" t="s">
        <v>205</v>
      </c>
      <c r="B446" s="227" t="s">
        <v>146</v>
      </c>
      <c r="C446" s="228" t="s">
        <v>92</v>
      </c>
      <c r="D446" s="212">
        <v>46123</v>
      </c>
      <c r="E446" s="229"/>
      <c r="F446" s="229"/>
      <c r="G446" s="229"/>
      <c r="H446" s="229"/>
      <c r="I446" s="230">
        <v>0</v>
      </c>
    </row>
    <row r="447" spans="1:9" ht="20.399999999999999" thickTop="1" thickBot="1" x14ac:dyDescent="0.3">
      <c r="A447" s="215" t="s">
        <v>85</v>
      </c>
      <c r="B447" s="216" t="s">
        <v>146</v>
      </c>
      <c r="C447" s="217" t="s">
        <v>83</v>
      </c>
      <c r="D447" s="209">
        <v>46122</v>
      </c>
      <c r="E447" s="218">
        <v>44</v>
      </c>
      <c r="F447" s="218">
        <v>149</v>
      </c>
      <c r="G447" s="218">
        <v>613</v>
      </c>
      <c r="H447" s="218">
        <v>45</v>
      </c>
      <c r="I447" s="218">
        <v>851</v>
      </c>
    </row>
    <row r="448" spans="1:9" ht="19.8" thickTop="1" x14ac:dyDescent="0.25">
      <c r="A448" s="219" t="s">
        <v>86</v>
      </c>
      <c r="B448" s="220" t="s">
        <v>146</v>
      </c>
      <c r="C448" s="221" t="s">
        <v>83</v>
      </c>
      <c r="D448" s="210">
        <v>46122</v>
      </c>
      <c r="E448" s="222">
        <v>42.613999999999997</v>
      </c>
      <c r="F448" s="222">
        <v>146.95869999999999</v>
      </c>
      <c r="G448" s="222">
        <v>613</v>
      </c>
      <c r="H448" s="222">
        <v>45</v>
      </c>
      <c r="I448" s="223">
        <v>847.57269999999994</v>
      </c>
    </row>
    <row r="449" spans="1:9" x14ac:dyDescent="0.25">
      <c r="A449" s="219" t="s">
        <v>87</v>
      </c>
      <c r="B449" s="220" t="s">
        <v>146</v>
      </c>
      <c r="C449" s="221" t="s">
        <v>83</v>
      </c>
      <c r="D449" s="211">
        <v>46122</v>
      </c>
      <c r="E449" s="224">
        <v>3.15E-2</v>
      </c>
      <c r="F449" s="224">
        <v>1.37E-2</v>
      </c>
      <c r="G449" s="224">
        <v>0</v>
      </c>
      <c r="H449" s="224">
        <v>0</v>
      </c>
      <c r="I449" s="225">
        <v>3.4273000000000002</v>
      </c>
    </row>
    <row r="450" spans="1:9" ht="19.8" thickBot="1" x14ac:dyDescent="0.3">
      <c r="A450" s="226" t="s">
        <v>205</v>
      </c>
      <c r="B450" s="227" t="s">
        <v>146</v>
      </c>
      <c r="C450" s="228" t="s">
        <v>83</v>
      </c>
      <c r="D450" s="212">
        <v>46122</v>
      </c>
      <c r="E450" s="229"/>
      <c r="F450" s="229"/>
      <c r="G450" s="229"/>
      <c r="H450" s="229"/>
      <c r="I450" s="230">
        <v>0</v>
      </c>
    </row>
    <row r="451" spans="1:9" ht="20.399999999999999" thickTop="1" thickBot="1" x14ac:dyDescent="0.3">
      <c r="A451" s="215" t="s">
        <v>85</v>
      </c>
      <c r="B451" s="216" t="s">
        <v>146</v>
      </c>
      <c r="C451" s="217" t="s">
        <v>294</v>
      </c>
      <c r="D451" s="209">
        <v>46121</v>
      </c>
      <c r="E451" s="218">
        <v>40</v>
      </c>
      <c r="F451" s="218">
        <v>267.5</v>
      </c>
      <c r="G451" s="218">
        <v>170</v>
      </c>
      <c r="H451" s="218">
        <v>335</v>
      </c>
      <c r="I451" s="218">
        <v>812.5</v>
      </c>
    </row>
    <row r="452" spans="1:9" ht="19.8" thickTop="1" x14ac:dyDescent="0.25">
      <c r="A452" s="219" t="s">
        <v>86</v>
      </c>
      <c r="B452" s="220" t="s">
        <v>146</v>
      </c>
      <c r="C452" s="221" t="s">
        <v>294</v>
      </c>
      <c r="D452" s="210">
        <v>46121</v>
      </c>
      <c r="E452" s="222">
        <v>38.74</v>
      </c>
      <c r="F452" s="222">
        <v>263.83524999999997</v>
      </c>
      <c r="G452" s="222">
        <v>170</v>
      </c>
      <c r="H452" s="222">
        <v>335</v>
      </c>
      <c r="I452" s="223">
        <v>807.57524999999998</v>
      </c>
    </row>
    <row r="453" spans="1:9" x14ac:dyDescent="0.25">
      <c r="A453" s="219" t="s">
        <v>87</v>
      </c>
      <c r="B453" s="220" t="s">
        <v>146</v>
      </c>
      <c r="C453" s="221" t="s">
        <v>294</v>
      </c>
      <c r="D453" s="211">
        <v>46121</v>
      </c>
      <c r="E453" s="224">
        <v>3.15E-2</v>
      </c>
      <c r="F453" s="224">
        <v>1.37E-2</v>
      </c>
      <c r="G453" s="224">
        <v>0</v>
      </c>
      <c r="H453" s="224">
        <v>0</v>
      </c>
      <c r="I453" s="225">
        <v>4.9247500000000004</v>
      </c>
    </row>
    <row r="454" spans="1:9" ht="19.8" thickBot="1" x14ac:dyDescent="0.3">
      <c r="A454" s="226" t="s">
        <v>205</v>
      </c>
      <c r="B454" s="227" t="s">
        <v>146</v>
      </c>
      <c r="C454" s="228" t="s">
        <v>294</v>
      </c>
      <c r="D454" s="212">
        <v>46121</v>
      </c>
      <c r="E454" s="229"/>
      <c r="F454" s="229"/>
      <c r="G454" s="229"/>
      <c r="H454" s="229"/>
      <c r="I454" s="230">
        <v>0</v>
      </c>
    </row>
    <row r="455" spans="1:9" ht="20.399999999999999" thickTop="1" thickBot="1" x14ac:dyDescent="0.3">
      <c r="A455" s="215" t="s">
        <v>85</v>
      </c>
      <c r="B455" s="216" t="s">
        <v>146</v>
      </c>
      <c r="C455" s="217" t="s">
        <v>32</v>
      </c>
      <c r="D455" s="209">
        <v>46120</v>
      </c>
      <c r="E455" s="218">
        <v>103</v>
      </c>
      <c r="F455" s="218">
        <v>246.5</v>
      </c>
      <c r="G455" s="218">
        <v>571</v>
      </c>
      <c r="H455" s="218">
        <v>146.5</v>
      </c>
      <c r="I455" s="218">
        <v>1067</v>
      </c>
    </row>
    <row r="456" spans="1:9" ht="19.8" thickTop="1" x14ac:dyDescent="0.25">
      <c r="A456" s="219" t="s">
        <v>86</v>
      </c>
      <c r="B456" s="220" t="s">
        <v>146</v>
      </c>
      <c r="C456" s="221" t="s">
        <v>32</v>
      </c>
      <c r="D456" s="210">
        <v>46120</v>
      </c>
      <c r="E456" s="222">
        <v>99.755499999999998</v>
      </c>
      <c r="F456" s="222">
        <v>243.12295</v>
      </c>
      <c r="G456" s="222">
        <v>571</v>
      </c>
      <c r="H456" s="222">
        <v>146.5</v>
      </c>
      <c r="I456" s="223">
        <v>1060.3784499999999</v>
      </c>
    </row>
    <row r="457" spans="1:9" x14ac:dyDescent="0.25">
      <c r="A457" s="219" t="s">
        <v>87</v>
      </c>
      <c r="B457" s="220" t="s">
        <v>146</v>
      </c>
      <c r="C457" s="221" t="s">
        <v>32</v>
      </c>
      <c r="D457" s="211">
        <v>46120</v>
      </c>
      <c r="E457" s="224">
        <v>3.15E-2</v>
      </c>
      <c r="F457" s="224">
        <v>1.37E-2</v>
      </c>
      <c r="G457" s="224">
        <v>0</v>
      </c>
      <c r="H457" s="224">
        <v>0</v>
      </c>
      <c r="I457" s="225">
        <v>6.62155</v>
      </c>
    </row>
    <row r="458" spans="1:9" ht="19.8" thickBot="1" x14ac:dyDescent="0.3">
      <c r="A458" s="226" t="s">
        <v>205</v>
      </c>
      <c r="B458" s="227" t="s">
        <v>146</v>
      </c>
      <c r="C458" s="228" t="s">
        <v>32</v>
      </c>
      <c r="D458" s="212">
        <v>46120</v>
      </c>
      <c r="E458" s="229"/>
      <c r="F458" s="229"/>
      <c r="G458" s="229"/>
      <c r="H458" s="229"/>
      <c r="I458" s="230">
        <v>0</v>
      </c>
    </row>
    <row r="459" spans="1:9" ht="20.399999999999999" thickTop="1" thickBot="1" x14ac:dyDescent="0.3">
      <c r="A459" s="215" t="s">
        <v>85</v>
      </c>
      <c r="B459" s="216" t="s">
        <v>146</v>
      </c>
      <c r="C459" s="217" t="s">
        <v>290</v>
      </c>
      <c r="D459" s="209">
        <v>46119</v>
      </c>
      <c r="E459" s="218">
        <v>20</v>
      </c>
      <c r="F459" s="218">
        <v>224.5</v>
      </c>
      <c r="G459" s="218">
        <v>155</v>
      </c>
      <c r="H459" s="218">
        <v>109.5</v>
      </c>
      <c r="I459" s="218">
        <v>509</v>
      </c>
    </row>
    <row r="460" spans="1:9" ht="19.8" thickTop="1" x14ac:dyDescent="0.25">
      <c r="A460" s="219" t="s">
        <v>86</v>
      </c>
      <c r="B460" s="220" t="s">
        <v>146</v>
      </c>
      <c r="C460" s="221" t="s">
        <v>290</v>
      </c>
      <c r="D460" s="210">
        <v>46119</v>
      </c>
      <c r="E460" s="222">
        <v>19.37</v>
      </c>
      <c r="F460" s="222">
        <v>221.42435</v>
      </c>
      <c r="G460" s="222">
        <v>155</v>
      </c>
      <c r="H460" s="222">
        <v>109.5</v>
      </c>
      <c r="I460" s="223">
        <v>505.29435000000001</v>
      </c>
    </row>
    <row r="461" spans="1:9" x14ac:dyDescent="0.25">
      <c r="A461" s="219" t="s">
        <v>87</v>
      </c>
      <c r="B461" s="220" t="s">
        <v>146</v>
      </c>
      <c r="C461" s="221" t="s">
        <v>290</v>
      </c>
      <c r="D461" s="211">
        <v>46119</v>
      </c>
      <c r="E461" s="224">
        <v>3.15E-2</v>
      </c>
      <c r="F461" s="224">
        <v>1.37E-2</v>
      </c>
      <c r="G461" s="224">
        <v>0</v>
      </c>
      <c r="H461" s="224">
        <v>0</v>
      </c>
      <c r="I461" s="225">
        <v>3.7056499999999999</v>
      </c>
    </row>
    <row r="462" spans="1:9" ht="19.8" thickBot="1" x14ac:dyDescent="0.3">
      <c r="A462" s="226" t="s">
        <v>205</v>
      </c>
      <c r="B462" s="227" t="s">
        <v>146</v>
      </c>
      <c r="C462" s="228" t="s">
        <v>290</v>
      </c>
      <c r="D462" s="212">
        <v>46119</v>
      </c>
      <c r="E462" s="229"/>
      <c r="F462" s="229"/>
      <c r="G462" s="229"/>
      <c r="H462" s="229"/>
      <c r="I462" s="230">
        <v>0</v>
      </c>
    </row>
    <row r="463" spans="1:9" ht="20.399999999999999" thickTop="1" thickBot="1" x14ac:dyDescent="0.3">
      <c r="A463" s="215" t="s">
        <v>85</v>
      </c>
      <c r="B463" s="216" t="s">
        <v>146</v>
      </c>
      <c r="C463" s="217" t="s">
        <v>291</v>
      </c>
      <c r="D463" s="209">
        <v>46118</v>
      </c>
      <c r="E463" s="218">
        <v>120</v>
      </c>
      <c r="F463" s="218">
        <v>153</v>
      </c>
      <c r="G463" s="218">
        <v>646</v>
      </c>
      <c r="H463" s="218">
        <v>93</v>
      </c>
      <c r="I463" s="218">
        <v>1012</v>
      </c>
    </row>
    <row r="464" spans="1:9" ht="19.8" thickTop="1" x14ac:dyDescent="0.25">
      <c r="A464" s="219" t="s">
        <v>86</v>
      </c>
      <c r="B464" s="220" t="s">
        <v>146</v>
      </c>
      <c r="C464" s="221" t="s">
        <v>291</v>
      </c>
      <c r="D464" s="210">
        <v>46118</v>
      </c>
      <c r="E464" s="222">
        <v>116.22</v>
      </c>
      <c r="F464" s="222">
        <v>150.90389999999999</v>
      </c>
      <c r="G464" s="222">
        <v>646</v>
      </c>
      <c r="H464" s="222">
        <v>93</v>
      </c>
      <c r="I464" s="223">
        <v>1006.1239</v>
      </c>
    </row>
    <row r="465" spans="1:9" x14ac:dyDescent="0.25">
      <c r="A465" s="219" t="s">
        <v>87</v>
      </c>
      <c r="B465" s="220" t="s">
        <v>146</v>
      </c>
      <c r="C465" s="221" t="s">
        <v>291</v>
      </c>
      <c r="D465" s="211">
        <v>46118</v>
      </c>
      <c r="E465" s="224">
        <v>3.15E-2</v>
      </c>
      <c r="F465" s="224">
        <v>1.37E-2</v>
      </c>
      <c r="G465" s="224">
        <v>0</v>
      </c>
      <c r="H465" s="224">
        <v>0</v>
      </c>
      <c r="I465" s="225">
        <v>5.8761000000000001</v>
      </c>
    </row>
    <row r="466" spans="1:9" ht="19.8" thickBot="1" x14ac:dyDescent="0.3">
      <c r="A466" s="226" t="s">
        <v>205</v>
      </c>
      <c r="B466" s="227" t="s">
        <v>146</v>
      </c>
      <c r="C466" s="228" t="s">
        <v>291</v>
      </c>
      <c r="D466" s="212">
        <v>46118</v>
      </c>
      <c r="E466" s="229"/>
      <c r="F466" s="229"/>
      <c r="G466" s="229"/>
      <c r="H466" s="229"/>
      <c r="I466" s="230">
        <v>0</v>
      </c>
    </row>
    <row r="467" spans="1:9" ht="20.399999999999999" thickTop="1" thickBot="1" x14ac:dyDescent="0.3">
      <c r="A467" s="215" t="s">
        <v>85</v>
      </c>
      <c r="B467" s="216" t="s">
        <v>146</v>
      </c>
      <c r="C467" s="217" t="s">
        <v>93</v>
      </c>
      <c r="D467" s="209">
        <v>46117</v>
      </c>
      <c r="E467" s="218">
        <v>61</v>
      </c>
      <c r="F467" s="218">
        <v>126</v>
      </c>
      <c r="G467" s="218">
        <v>228</v>
      </c>
      <c r="H467" s="218">
        <v>93</v>
      </c>
      <c r="I467" s="218">
        <v>508</v>
      </c>
    </row>
    <row r="468" spans="1:9" ht="19.8" thickTop="1" x14ac:dyDescent="0.25">
      <c r="A468" s="219" t="s">
        <v>86</v>
      </c>
      <c r="B468" s="220" t="s">
        <v>146</v>
      </c>
      <c r="C468" s="221" t="s">
        <v>93</v>
      </c>
      <c r="D468" s="210">
        <v>46117</v>
      </c>
      <c r="E468" s="222">
        <v>59.078499999999998</v>
      </c>
      <c r="F468" s="222">
        <v>124.27379999999999</v>
      </c>
      <c r="G468" s="222">
        <v>228</v>
      </c>
      <c r="H468" s="222">
        <v>93</v>
      </c>
      <c r="I468" s="223">
        <v>504.35230000000001</v>
      </c>
    </row>
    <row r="469" spans="1:9" x14ac:dyDescent="0.25">
      <c r="A469" s="219" t="s">
        <v>87</v>
      </c>
      <c r="B469" s="220" t="s">
        <v>146</v>
      </c>
      <c r="C469" s="221" t="s">
        <v>93</v>
      </c>
      <c r="D469" s="211">
        <v>46117</v>
      </c>
      <c r="E469" s="224">
        <v>3.15E-2</v>
      </c>
      <c r="F469" s="224">
        <v>1.37E-2</v>
      </c>
      <c r="G469" s="224">
        <v>0</v>
      </c>
      <c r="H469" s="224">
        <v>0</v>
      </c>
      <c r="I469" s="225">
        <v>3.6476999999999999</v>
      </c>
    </row>
    <row r="470" spans="1:9" ht="19.8" thickBot="1" x14ac:dyDescent="0.3">
      <c r="A470" s="226" t="s">
        <v>205</v>
      </c>
      <c r="B470" s="227" t="s">
        <v>146</v>
      </c>
      <c r="C470" s="228" t="s">
        <v>93</v>
      </c>
      <c r="D470" s="212">
        <v>46117</v>
      </c>
      <c r="E470" s="229"/>
      <c r="F470" s="229"/>
      <c r="G470" s="229"/>
      <c r="H470" s="229"/>
      <c r="I470" s="230">
        <v>0</v>
      </c>
    </row>
    <row r="471" spans="1:9" ht="20.399999999999999" thickTop="1" thickBot="1" x14ac:dyDescent="0.3">
      <c r="A471" s="215" t="s">
        <v>85</v>
      </c>
      <c r="B471" s="216" t="s">
        <v>146</v>
      </c>
      <c r="C471" s="217" t="s">
        <v>92</v>
      </c>
      <c r="D471" s="209">
        <v>46116</v>
      </c>
      <c r="E471" s="218">
        <v>20</v>
      </c>
      <c r="F471" s="218">
        <v>23</v>
      </c>
      <c r="G471" s="218">
        <v>545</v>
      </c>
      <c r="H471" s="218">
        <v>110</v>
      </c>
      <c r="I471" s="218">
        <v>698</v>
      </c>
    </row>
    <row r="472" spans="1:9" ht="19.8" thickTop="1" x14ac:dyDescent="0.25">
      <c r="A472" s="219" t="s">
        <v>86</v>
      </c>
      <c r="B472" s="220" t="s">
        <v>146</v>
      </c>
      <c r="C472" s="221" t="s">
        <v>92</v>
      </c>
      <c r="D472" s="210">
        <v>46116</v>
      </c>
      <c r="E472" s="222">
        <v>19.37</v>
      </c>
      <c r="F472" s="222">
        <v>22.684899999999999</v>
      </c>
      <c r="G472" s="222">
        <v>545</v>
      </c>
      <c r="H472" s="222">
        <v>110</v>
      </c>
      <c r="I472" s="223">
        <v>697.05489999999998</v>
      </c>
    </row>
    <row r="473" spans="1:9" x14ac:dyDescent="0.25">
      <c r="A473" s="219" t="s">
        <v>87</v>
      </c>
      <c r="B473" s="220" t="s">
        <v>146</v>
      </c>
      <c r="C473" s="221" t="s">
        <v>92</v>
      </c>
      <c r="D473" s="211">
        <v>46116</v>
      </c>
      <c r="E473" s="224">
        <v>3.15E-2</v>
      </c>
      <c r="F473" s="224">
        <v>1.37E-2</v>
      </c>
      <c r="G473" s="224">
        <v>0</v>
      </c>
      <c r="H473" s="224">
        <v>0</v>
      </c>
      <c r="I473" s="225">
        <v>0.94510000000000005</v>
      </c>
    </row>
    <row r="474" spans="1:9" ht="19.8" thickBot="1" x14ac:dyDescent="0.3">
      <c r="A474" s="226" t="s">
        <v>205</v>
      </c>
      <c r="B474" s="227" t="s">
        <v>146</v>
      </c>
      <c r="C474" s="228" t="s">
        <v>92</v>
      </c>
      <c r="D474" s="212">
        <v>46116</v>
      </c>
      <c r="E474" s="229"/>
      <c r="F474" s="229"/>
      <c r="G474" s="229"/>
      <c r="H474" s="229"/>
      <c r="I474" s="230">
        <v>0</v>
      </c>
    </row>
    <row r="475" spans="1:9" ht="20.399999999999999" thickTop="1" thickBot="1" x14ac:dyDescent="0.3">
      <c r="A475" s="215" t="s">
        <v>85</v>
      </c>
      <c r="B475" s="216" t="s">
        <v>146</v>
      </c>
      <c r="C475" s="217" t="s">
        <v>83</v>
      </c>
      <c r="D475" s="209">
        <v>46115</v>
      </c>
      <c r="E475" s="218">
        <v>46</v>
      </c>
      <c r="F475" s="218">
        <v>188</v>
      </c>
      <c r="G475" s="218">
        <v>213.5</v>
      </c>
      <c r="H475" s="218">
        <v>276.5</v>
      </c>
      <c r="I475" s="218">
        <v>724</v>
      </c>
    </row>
    <row r="476" spans="1:9" ht="19.8" thickTop="1" x14ac:dyDescent="0.25">
      <c r="A476" s="219" t="s">
        <v>86</v>
      </c>
      <c r="B476" s="220" t="s">
        <v>146</v>
      </c>
      <c r="C476" s="221" t="s">
        <v>83</v>
      </c>
      <c r="D476" s="210">
        <v>46115</v>
      </c>
      <c r="E476" s="222">
        <v>44.551000000000002</v>
      </c>
      <c r="F476" s="222">
        <v>185.42439999999999</v>
      </c>
      <c r="G476" s="222">
        <v>213.5</v>
      </c>
      <c r="H476" s="222">
        <v>276.5</v>
      </c>
      <c r="I476" s="223">
        <v>719.97540000000004</v>
      </c>
    </row>
    <row r="477" spans="1:9" x14ac:dyDescent="0.25">
      <c r="A477" s="219" t="s">
        <v>87</v>
      </c>
      <c r="B477" s="220" t="s">
        <v>146</v>
      </c>
      <c r="C477" s="221" t="s">
        <v>83</v>
      </c>
      <c r="D477" s="211">
        <v>46115</v>
      </c>
      <c r="E477" s="224">
        <v>3.15E-2</v>
      </c>
      <c r="F477" s="224">
        <v>1.37E-2</v>
      </c>
      <c r="G477" s="224">
        <v>0</v>
      </c>
      <c r="H477" s="224">
        <v>0</v>
      </c>
      <c r="I477" s="225">
        <v>4.0246000000000004</v>
      </c>
    </row>
    <row r="478" spans="1:9" ht="19.8" thickBot="1" x14ac:dyDescent="0.3">
      <c r="A478" s="226" t="s">
        <v>205</v>
      </c>
      <c r="B478" s="227" t="s">
        <v>146</v>
      </c>
      <c r="C478" s="228" t="s">
        <v>83</v>
      </c>
      <c r="D478" s="212">
        <v>46115</v>
      </c>
      <c r="E478" s="229"/>
      <c r="F478" s="229"/>
      <c r="G478" s="229"/>
      <c r="H478" s="229"/>
      <c r="I478" s="230">
        <v>0</v>
      </c>
    </row>
    <row r="479" spans="1:9" ht="20.399999999999999" thickTop="1" thickBot="1" x14ac:dyDescent="0.3">
      <c r="A479" s="215" t="s">
        <v>85</v>
      </c>
      <c r="B479" s="216" t="s">
        <v>146</v>
      </c>
      <c r="C479" s="217" t="s">
        <v>294</v>
      </c>
      <c r="D479" s="209">
        <v>46114</v>
      </c>
      <c r="E479" s="218">
        <v>134</v>
      </c>
      <c r="F479" s="218">
        <v>145</v>
      </c>
      <c r="G479" s="218">
        <v>178</v>
      </c>
      <c r="H479" s="218">
        <v>305</v>
      </c>
      <c r="I479" s="218">
        <v>762</v>
      </c>
    </row>
    <row r="480" spans="1:9" ht="19.8" thickTop="1" x14ac:dyDescent="0.25">
      <c r="A480" s="219" t="s">
        <v>86</v>
      </c>
      <c r="B480" s="220" t="s">
        <v>146</v>
      </c>
      <c r="C480" s="221" t="s">
        <v>294</v>
      </c>
      <c r="D480" s="210">
        <v>46114</v>
      </c>
      <c r="E480" s="222">
        <v>129.779</v>
      </c>
      <c r="F480" s="222">
        <v>143.01349999999999</v>
      </c>
      <c r="G480" s="222">
        <v>178</v>
      </c>
      <c r="H480" s="222">
        <v>305</v>
      </c>
      <c r="I480" s="223">
        <v>755.79250000000002</v>
      </c>
    </row>
    <row r="481" spans="1:9" x14ac:dyDescent="0.25">
      <c r="A481" s="219" t="s">
        <v>87</v>
      </c>
      <c r="B481" s="220" t="s">
        <v>146</v>
      </c>
      <c r="C481" s="221" t="s">
        <v>294</v>
      </c>
      <c r="D481" s="211">
        <v>46114</v>
      </c>
      <c r="E481" s="224">
        <v>3.15E-2</v>
      </c>
      <c r="F481" s="224">
        <v>1.37E-2</v>
      </c>
      <c r="G481" s="224">
        <v>0</v>
      </c>
      <c r="H481" s="224">
        <v>0</v>
      </c>
      <c r="I481" s="225">
        <v>6.2075000000000005</v>
      </c>
    </row>
    <row r="482" spans="1:9" ht="19.8" thickBot="1" x14ac:dyDescent="0.3">
      <c r="A482" s="226" t="s">
        <v>205</v>
      </c>
      <c r="B482" s="227" t="s">
        <v>146</v>
      </c>
      <c r="C482" s="228" t="s">
        <v>294</v>
      </c>
      <c r="D482" s="212">
        <v>46114</v>
      </c>
      <c r="E482" s="229"/>
      <c r="F482" s="229"/>
      <c r="G482" s="229"/>
      <c r="H482" s="229"/>
      <c r="I482" s="230">
        <v>0</v>
      </c>
    </row>
    <row r="483" spans="1:9" ht="20.399999999999999" thickTop="1" thickBot="1" x14ac:dyDescent="0.3">
      <c r="A483" s="215" t="s">
        <v>85</v>
      </c>
      <c r="B483" s="216" t="s">
        <v>146</v>
      </c>
      <c r="C483" s="217" t="s">
        <v>32</v>
      </c>
      <c r="D483" s="209">
        <v>46113</v>
      </c>
      <c r="E483" s="218">
        <v>46</v>
      </c>
      <c r="F483" s="218">
        <v>387</v>
      </c>
      <c r="G483" s="218">
        <v>235</v>
      </c>
      <c r="H483" s="218">
        <v>243</v>
      </c>
      <c r="I483" s="218">
        <v>911</v>
      </c>
    </row>
    <row r="484" spans="1:9" ht="19.8" thickTop="1" x14ac:dyDescent="0.25">
      <c r="A484" s="219" t="s">
        <v>86</v>
      </c>
      <c r="B484" s="220" t="s">
        <v>146</v>
      </c>
      <c r="C484" s="221" t="s">
        <v>32</v>
      </c>
      <c r="D484" s="210">
        <v>46113</v>
      </c>
      <c r="E484" s="222">
        <v>44.551000000000002</v>
      </c>
      <c r="F484" s="222">
        <v>381.69810000000001</v>
      </c>
      <c r="G484" s="222">
        <v>235</v>
      </c>
      <c r="H484" s="222">
        <v>243</v>
      </c>
      <c r="I484" s="223">
        <v>904.2491</v>
      </c>
    </row>
    <row r="485" spans="1:9" x14ac:dyDescent="0.25">
      <c r="A485" s="219" t="s">
        <v>87</v>
      </c>
      <c r="B485" s="220" t="s">
        <v>146</v>
      </c>
      <c r="C485" s="221" t="s">
        <v>32</v>
      </c>
      <c r="D485" s="211">
        <v>46113</v>
      </c>
      <c r="E485" s="224">
        <v>3.15E-2</v>
      </c>
      <c r="F485" s="224">
        <v>1.37E-2</v>
      </c>
      <c r="G485" s="224">
        <v>0</v>
      </c>
      <c r="H485" s="224">
        <v>0</v>
      </c>
      <c r="I485" s="225">
        <v>6.7508999999999997</v>
      </c>
    </row>
    <row r="486" spans="1:9" ht="19.8" thickBot="1" x14ac:dyDescent="0.3">
      <c r="A486" s="226" t="s">
        <v>205</v>
      </c>
      <c r="B486" s="227" t="s">
        <v>146</v>
      </c>
      <c r="C486" s="228" t="s">
        <v>32</v>
      </c>
      <c r="D486" s="212">
        <v>46113</v>
      </c>
      <c r="E486" s="229"/>
      <c r="F486" s="229"/>
      <c r="G486" s="229"/>
      <c r="H486" s="229"/>
      <c r="I486" s="230">
        <v>0</v>
      </c>
    </row>
    <row r="487" spans="1:9" ht="20.399999999999999" thickTop="1" thickBot="1" x14ac:dyDescent="0.3">
      <c r="A487" s="215" t="s">
        <v>85</v>
      </c>
      <c r="B487" s="216" t="s">
        <v>145</v>
      </c>
      <c r="C487" s="217" t="s">
        <v>290</v>
      </c>
      <c r="D487" s="209">
        <v>46112</v>
      </c>
      <c r="E487" s="218">
        <v>54</v>
      </c>
      <c r="F487" s="218">
        <v>338</v>
      </c>
      <c r="G487" s="218">
        <v>226</v>
      </c>
      <c r="H487" s="218">
        <v>102</v>
      </c>
      <c r="I487" s="218">
        <v>720</v>
      </c>
    </row>
    <row r="488" spans="1:9" ht="19.8" thickTop="1" x14ac:dyDescent="0.25">
      <c r="A488" s="219" t="s">
        <v>86</v>
      </c>
      <c r="B488" s="220" t="s">
        <v>145</v>
      </c>
      <c r="C488" s="221" t="s">
        <v>290</v>
      </c>
      <c r="D488" s="210">
        <v>46112</v>
      </c>
      <c r="E488" s="222">
        <v>52.298999999999999</v>
      </c>
      <c r="F488" s="222">
        <v>333.36939999999998</v>
      </c>
      <c r="G488" s="222">
        <v>226</v>
      </c>
      <c r="H488" s="222">
        <v>102</v>
      </c>
      <c r="I488" s="223">
        <v>713.66840000000002</v>
      </c>
    </row>
    <row r="489" spans="1:9" x14ac:dyDescent="0.25">
      <c r="A489" s="219" t="s">
        <v>87</v>
      </c>
      <c r="B489" s="220" t="s">
        <v>145</v>
      </c>
      <c r="C489" s="221" t="s">
        <v>290</v>
      </c>
      <c r="D489" s="211">
        <v>46112</v>
      </c>
      <c r="E489" s="224">
        <v>3.15E-2</v>
      </c>
      <c r="F489" s="224">
        <v>1.37E-2</v>
      </c>
      <c r="G489" s="224">
        <v>0</v>
      </c>
      <c r="H489" s="224">
        <v>0</v>
      </c>
      <c r="I489" s="225">
        <v>6.3315999999999999</v>
      </c>
    </row>
    <row r="490" spans="1:9" ht="19.8" thickBot="1" x14ac:dyDescent="0.3">
      <c r="A490" s="226" t="s">
        <v>205</v>
      </c>
      <c r="B490" s="227" t="s">
        <v>145</v>
      </c>
      <c r="C490" s="228" t="s">
        <v>290</v>
      </c>
      <c r="D490" s="212">
        <v>46112</v>
      </c>
      <c r="E490" s="229"/>
      <c r="F490" s="229"/>
      <c r="G490" s="229"/>
      <c r="H490" s="229"/>
      <c r="I490" s="230">
        <v>0</v>
      </c>
    </row>
    <row r="491" spans="1:9" ht="20.399999999999999" thickTop="1" thickBot="1" x14ac:dyDescent="0.3">
      <c r="A491" s="215" t="s">
        <v>85</v>
      </c>
      <c r="B491" s="216" t="s">
        <v>145</v>
      </c>
      <c r="C491" s="217" t="s">
        <v>291</v>
      </c>
      <c r="D491" s="209">
        <v>46111</v>
      </c>
      <c r="E491" s="218">
        <v>45</v>
      </c>
      <c r="F491" s="218">
        <v>154</v>
      </c>
      <c r="G491" s="218">
        <v>439</v>
      </c>
      <c r="H491" s="218">
        <v>271</v>
      </c>
      <c r="I491" s="218">
        <v>909</v>
      </c>
    </row>
    <row r="492" spans="1:9" ht="19.8" thickTop="1" x14ac:dyDescent="0.25">
      <c r="A492" s="219" t="s">
        <v>86</v>
      </c>
      <c r="B492" s="220" t="s">
        <v>145</v>
      </c>
      <c r="C492" s="221" t="s">
        <v>291</v>
      </c>
      <c r="D492" s="210">
        <v>46111</v>
      </c>
      <c r="E492" s="222">
        <v>43.582500000000003</v>
      </c>
      <c r="F492" s="222">
        <v>151.89019999999999</v>
      </c>
      <c r="G492" s="222">
        <v>439</v>
      </c>
      <c r="H492" s="222">
        <v>271</v>
      </c>
      <c r="I492" s="223">
        <v>905.47270000000003</v>
      </c>
    </row>
    <row r="493" spans="1:9" x14ac:dyDescent="0.25">
      <c r="A493" s="219" t="s">
        <v>87</v>
      </c>
      <c r="B493" s="220" t="s">
        <v>145</v>
      </c>
      <c r="C493" s="221" t="s">
        <v>291</v>
      </c>
      <c r="D493" s="211">
        <v>46111</v>
      </c>
      <c r="E493" s="224">
        <v>3.15E-2</v>
      </c>
      <c r="F493" s="224">
        <v>1.37E-2</v>
      </c>
      <c r="G493" s="224">
        <v>0</v>
      </c>
      <c r="H493" s="224">
        <v>0</v>
      </c>
      <c r="I493" s="225">
        <v>3.5272999999999999</v>
      </c>
    </row>
    <row r="494" spans="1:9" ht="19.8" thickBot="1" x14ac:dyDescent="0.3">
      <c r="A494" s="226" t="s">
        <v>205</v>
      </c>
      <c r="B494" s="227" t="s">
        <v>145</v>
      </c>
      <c r="C494" s="228" t="s">
        <v>291</v>
      </c>
      <c r="D494" s="212">
        <v>46111</v>
      </c>
      <c r="E494" s="229"/>
      <c r="F494" s="229"/>
      <c r="G494" s="229"/>
      <c r="H494" s="229"/>
      <c r="I494" s="230">
        <v>0</v>
      </c>
    </row>
    <row r="495" spans="1:9" ht="20.399999999999999" thickTop="1" thickBot="1" x14ac:dyDescent="0.3">
      <c r="A495" s="215" t="s">
        <v>85</v>
      </c>
      <c r="B495" s="216" t="s">
        <v>145</v>
      </c>
      <c r="C495" s="217" t="s">
        <v>93</v>
      </c>
      <c r="D495" s="209">
        <v>46110</v>
      </c>
      <c r="E495" s="218">
        <v>76</v>
      </c>
      <c r="F495" s="218">
        <v>122</v>
      </c>
      <c r="G495" s="218">
        <v>189</v>
      </c>
      <c r="H495" s="218">
        <v>335</v>
      </c>
      <c r="I495" s="218">
        <v>722</v>
      </c>
    </row>
    <row r="496" spans="1:9" ht="19.8" thickTop="1" x14ac:dyDescent="0.25">
      <c r="A496" s="219" t="s">
        <v>86</v>
      </c>
      <c r="B496" s="220" t="s">
        <v>145</v>
      </c>
      <c r="C496" s="221" t="s">
        <v>93</v>
      </c>
      <c r="D496" s="210">
        <v>46110</v>
      </c>
      <c r="E496" s="222">
        <v>73.605999999999995</v>
      </c>
      <c r="F496" s="222">
        <v>120.32859999999999</v>
      </c>
      <c r="G496" s="222">
        <v>189</v>
      </c>
      <c r="H496" s="222">
        <v>335</v>
      </c>
      <c r="I496" s="223">
        <v>717.93460000000005</v>
      </c>
    </row>
    <row r="497" spans="1:9" x14ac:dyDescent="0.25">
      <c r="A497" s="219" t="s">
        <v>87</v>
      </c>
      <c r="B497" s="220" t="s">
        <v>145</v>
      </c>
      <c r="C497" s="221" t="s">
        <v>93</v>
      </c>
      <c r="D497" s="211">
        <v>46110</v>
      </c>
      <c r="E497" s="224">
        <v>3.15E-2</v>
      </c>
      <c r="F497" s="224">
        <v>1.37E-2</v>
      </c>
      <c r="G497" s="224">
        <v>0</v>
      </c>
      <c r="H497" s="224">
        <v>0</v>
      </c>
      <c r="I497" s="225">
        <v>4.0654000000000003</v>
      </c>
    </row>
    <row r="498" spans="1:9" ht="19.8" thickBot="1" x14ac:dyDescent="0.3">
      <c r="A498" s="226" t="s">
        <v>205</v>
      </c>
      <c r="B498" s="227" t="s">
        <v>145</v>
      </c>
      <c r="C498" s="228" t="s">
        <v>93</v>
      </c>
      <c r="D498" s="212">
        <v>46110</v>
      </c>
      <c r="E498" s="229"/>
      <c r="F498" s="229"/>
      <c r="G498" s="229"/>
      <c r="H498" s="229"/>
      <c r="I498" s="230">
        <v>0</v>
      </c>
    </row>
    <row r="499" spans="1:9" ht="20.399999999999999" thickTop="1" thickBot="1" x14ac:dyDescent="0.3">
      <c r="A499" s="215" t="s">
        <v>85</v>
      </c>
      <c r="B499" s="216" t="s">
        <v>145</v>
      </c>
      <c r="C499" s="217" t="s">
        <v>92</v>
      </c>
      <c r="D499" s="209">
        <v>46109</v>
      </c>
      <c r="E499" s="218">
        <v>0</v>
      </c>
      <c r="F499" s="218">
        <v>0</v>
      </c>
      <c r="G499" s="218">
        <v>449</v>
      </c>
      <c r="H499" s="218">
        <v>41</v>
      </c>
      <c r="I499" s="218">
        <v>490</v>
      </c>
    </row>
    <row r="500" spans="1:9" ht="19.8" thickTop="1" x14ac:dyDescent="0.25">
      <c r="A500" s="219" t="s">
        <v>86</v>
      </c>
      <c r="B500" s="220" t="s">
        <v>145</v>
      </c>
      <c r="C500" s="221" t="s">
        <v>92</v>
      </c>
      <c r="D500" s="210">
        <v>46109</v>
      </c>
      <c r="E500" s="222">
        <v>0</v>
      </c>
      <c r="F500" s="222">
        <v>0</v>
      </c>
      <c r="G500" s="222">
        <v>449</v>
      </c>
      <c r="H500" s="222">
        <v>41</v>
      </c>
      <c r="I500" s="223">
        <v>490</v>
      </c>
    </row>
    <row r="501" spans="1:9" x14ac:dyDescent="0.25">
      <c r="A501" s="219" t="s">
        <v>87</v>
      </c>
      <c r="B501" s="220" t="s">
        <v>145</v>
      </c>
      <c r="C501" s="221" t="s">
        <v>92</v>
      </c>
      <c r="D501" s="211">
        <v>46109</v>
      </c>
      <c r="E501" s="224">
        <v>3.15E-2</v>
      </c>
      <c r="F501" s="224">
        <v>1.37E-2</v>
      </c>
      <c r="G501" s="224">
        <v>0</v>
      </c>
      <c r="H501" s="224">
        <v>0</v>
      </c>
      <c r="I501" s="225">
        <v>0</v>
      </c>
    </row>
    <row r="502" spans="1:9" ht="19.8" thickBot="1" x14ac:dyDescent="0.3">
      <c r="A502" s="226" t="s">
        <v>205</v>
      </c>
      <c r="B502" s="227" t="s">
        <v>145</v>
      </c>
      <c r="C502" s="228" t="s">
        <v>92</v>
      </c>
      <c r="D502" s="212">
        <v>46109</v>
      </c>
      <c r="E502" s="229"/>
      <c r="F502" s="229"/>
      <c r="G502" s="229"/>
      <c r="H502" s="229"/>
      <c r="I502" s="230">
        <v>0</v>
      </c>
    </row>
    <row r="503" spans="1:9" ht="20.399999999999999" thickTop="1" thickBot="1" x14ac:dyDescent="0.3">
      <c r="A503" s="215" t="s">
        <v>85</v>
      </c>
      <c r="B503" s="216" t="s">
        <v>145</v>
      </c>
      <c r="C503" s="217" t="s">
        <v>83</v>
      </c>
      <c r="D503" s="209">
        <v>46108</v>
      </c>
      <c r="E503" s="218">
        <v>20</v>
      </c>
      <c r="F503" s="218">
        <v>160</v>
      </c>
      <c r="G503" s="218">
        <v>102.5</v>
      </c>
      <c r="H503" s="218">
        <v>98</v>
      </c>
      <c r="I503" s="218">
        <v>380.5</v>
      </c>
    </row>
    <row r="504" spans="1:9" ht="19.8" thickTop="1" x14ac:dyDescent="0.25">
      <c r="A504" s="219" t="s">
        <v>86</v>
      </c>
      <c r="B504" s="220" t="s">
        <v>145</v>
      </c>
      <c r="C504" s="221" t="s">
        <v>83</v>
      </c>
      <c r="D504" s="210">
        <v>46108</v>
      </c>
      <c r="E504" s="222">
        <v>19.37</v>
      </c>
      <c r="F504" s="222">
        <v>157.80799999999999</v>
      </c>
      <c r="G504" s="222">
        <v>102.5</v>
      </c>
      <c r="H504" s="222">
        <v>98</v>
      </c>
      <c r="I504" s="223">
        <v>377.678</v>
      </c>
    </row>
    <row r="505" spans="1:9" x14ac:dyDescent="0.25">
      <c r="A505" s="219" t="s">
        <v>87</v>
      </c>
      <c r="B505" s="220" t="s">
        <v>145</v>
      </c>
      <c r="C505" s="221" t="s">
        <v>83</v>
      </c>
      <c r="D505" s="211">
        <v>46108</v>
      </c>
      <c r="E505" s="224">
        <v>3.15E-2</v>
      </c>
      <c r="F505" s="224">
        <v>1.37E-2</v>
      </c>
      <c r="G505" s="224">
        <v>0</v>
      </c>
      <c r="H505" s="224">
        <v>0</v>
      </c>
      <c r="I505" s="225">
        <v>2.8220000000000001</v>
      </c>
    </row>
    <row r="506" spans="1:9" ht="19.8" thickBot="1" x14ac:dyDescent="0.3">
      <c r="A506" s="226" t="s">
        <v>205</v>
      </c>
      <c r="B506" s="227" t="s">
        <v>145</v>
      </c>
      <c r="C506" s="228" t="s">
        <v>83</v>
      </c>
      <c r="D506" s="212">
        <v>46108</v>
      </c>
      <c r="E506" s="229"/>
      <c r="F506" s="229"/>
      <c r="G506" s="229"/>
      <c r="H506" s="229"/>
      <c r="I506" s="230">
        <v>0</v>
      </c>
    </row>
    <row r="507" spans="1:9" ht="20.399999999999999" thickTop="1" thickBot="1" x14ac:dyDescent="0.3">
      <c r="A507" s="215" t="s">
        <v>85</v>
      </c>
      <c r="B507" s="216" t="s">
        <v>145</v>
      </c>
      <c r="C507" s="217" t="s">
        <v>294</v>
      </c>
      <c r="D507" s="209">
        <v>46107</v>
      </c>
      <c r="E507" s="218">
        <v>20.5</v>
      </c>
      <c r="F507" s="218">
        <v>255</v>
      </c>
      <c r="G507" s="218">
        <v>176</v>
      </c>
      <c r="H507" s="218">
        <v>107</v>
      </c>
      <c r="I507" s="218">
        <v>558.5</v>
      </c>
    </row>
    <row r="508" spans="1:9" ht="19.8" thickTop="1" x14ac:dyDescent="0.25">
      <c r="A508" s="219" t="s">
        <v>86</v>
      </c>
      <c r="B508" s="220" t="s">
        <v>145</v>
      </c>
      <c r="C508" s="221" t="s">
        <v>294</v>
      </c>
      <c r="D508" s="210">
        <v>46107</v>
      </c>
      <c r="E508" s="222">
        <v>19.85425</v>
      </c>
      <c r="F508" s="222">
        <v>251.50649999999999</v>
      </c>
      <c r="G508" s="222">
        <v>176</v>
      </c>
      <c r="H508" s="222">
        <v>107</v>
      </c>
      <c r="I508" s="223">
        <v>554.36075000000005</v>
      </c>
    </row>
    <row r="509" spans="1:9" x14ac:dyDescent="0.25">
      <c r="A509" s="219" t="s">
        <v>87</v>
      </c>
      <c r="B509" s="220" t="s">
        <v>145</v>
      </c>
      <c r="C509" s="221" t="s">
        <v>294</v>
      </c>
      <c r="D509" s="211">
        <v>46107</v>
      </c>
      <c r="E509" s="224">
        <v>3.15E-2</v>
      </c>
      <c r="F509" s="224">
        <v>1.37E-2</v>
      </c>
      <c r="G509" s="224">
        <v>0</v>
      </c>
      <c r="H509" s="224">
        <v>0</v>
      </c>
      <c r="I509" s="225">
        <v>4.1392500000000005</v>
      </c>
    </row>
    <row r="510" spans="1:9" ht="19.8" thickBot="1" x14ac:dyDescent="0.3">
      <c r="A510" s="226" t="s">
        <v>205</v>
      </c>
      <c r="B510" s="227" t="s">
        <v>145</v>
      </c>
      <c r="C510" s="228" t="s">
        <v>294</v>
      </c>
      <c r="D510" s="212">
        <v>46107</v>
      </c>
      <c r="E510" s="229"/>
      <c r="F510" s="229"/>
      <c r="G510" s="229"/>
      <c r="H510" s="229"/>
      <c r="I510" s="230">
        <v>0</v>
      </c>
    </row>
    <row r="511" spans="1:9" ht="20.399999999999999" thickTop="1" thickBot="1" x14ac:dyDescent="0.3">
      <c r="A511" s="215" t="s">
        <v>85</v>
      </c>
      <c r="B511" s="216" t="s">
        <v>145</v>
      </c>
      <c r="C511" s="217" t="s">
        <v>32</v>
      </c>
      <c r="D511" s="209">
        <v>46106</v>
      </c>
      <c r="E511" s="218">
        <v>58</v>
      </c>
      <c r="F511" s="218">
        <v>118</v>
      </c>
      <c r="G511" s="218">
        <v>268</v>
      </c>
      <c r="H511" s="218">
        <v>223</v>
      </c>
      <c r="I511" s="218">
        <v>667</v>
      </c>
    </row>
    <row r="512" spans="1:9" ht="19.8" thickTop="1" x14ac:dyDescent="0.25">
      <c r="A512" s="219" t="s">
        <v>86</v>
      </c>
      <c r="B512" s="220" t="s">
        <v>145</v>
      </c>
      <c r="C512" s="221" t="s">
        <v>32</v>
      </c>
      <c r="D512" s="210">
        <v>46106</v>
      </c>
      <c r="E512" s="222">
        <v>56.173000000000002</v>
      </c>
      <c r="F512" s="222">
        <v>116.38339999999999</v>
      </c>
      <c r="G512" s="222">
        <v>268</v>
      </c>
      <c r="H512" s="222">
        <v>223</v>
      </c>
      <c r="I512" s="223">
        <v>663.55639999999994</v>
      </c>
    </row>
    <row r="513" spans="1:9" x14ac:dyDescent="0.25">
      <c r="A513" s="219" t="s">
        <v>87</v>
      </c>
      <c r="B513" s="220" t="s">
        <v>145</v>
      </c>
      <c r="C513" s="221" t="s">
        <v>32</v>
      </c>
      <c r="D513" s="211">
        <v>46106</v>
      </c>
      <c r="E513" s="224">
        <v>3.15E-2</v>
      </c>
      <c r="F513" s="224">
        <v>1.37E-2</v>
      </c>
      <c r="G513" s="224">
        <v>0</v>
      </c>
      <c r="H513" s="224">
        <v>0</v>
      </c>
      <c r="I513" s="225">
        <v>3.4436</v>
      </c>
    </row>
    <row r="514" spans="1:9" ht="19.8" thickBot="1" x14ac:dyDescent="0.3">
      <c r="A514" s="226" t="s">
        <v>205</v>
      </c>
      <c r="B514" s="227" t="s">
        <v>145</v>
      </c>
      <c r="C514" s="228" t="s">
        <v>32</v>
      </c>
      <c r="D514" s="212">
        <v>46106</v>
      </c>
      <c r="E514" s="229"/>
      <c r="F514" s="229"/>
      <c r="G514" s="229"/>
      <c r="H514" s="229"/>
      <c r="I514" s="230">
        <v>0</v>
      </c>
    </row>
    <row r="515" spans="1:9" ht="20.399999999999999" thickTop="1" thickBot="1" x14ac:dyDescent="0.3">
      <c r="A515" s="215" t="s">
        <v>85</v>
      </c>
      <c r="B515" s="216" t="s">
        <v>145</v>
      </c>
      <c r="C515" s="217" t="s">
        <v>290</v>
      </c>
      <c r="D515" s="209">
        <v>46105</v>
      </c>
      <c r="E515" s="218">
        <v>40</v>
      </c>
      <c r="F515" s="218">
        <v>485</v>
      </c>
      <c r="G515" s="218">
        <v>204.5</v>
      </c>
      <c r="H515" s="218">
        <v>151.5</v>
      </c>
      <c r="I515" s="218">
        <v>881</v>
      </c>
    </row>
    <row r="516" spans="1:9" ht="19.8" thickTop="1" x14ac:dyDescent="0.25">
      <c r="A516" s="219" t="s">
        <v>86</v>
      </c>
      <c r="B516" s="220" t="s">
        <v>145</v>
      </c>
      <c r="C516" s="221" t="s">
        <v>290</v>
      </c>
      <c r="D516" s="210">
        <v>46105</v>
      </c>
      <c r="E516" s="222">
        <v>38.74</v>
      </c>
      <c r="F516" s="222">
        <v>478.35550000000001</v>
      </c>
      <c r="G516" s="222">
        <v>204.5</v>
      </c>
      <c r="H516" s="222">
        <v>151.5</v>
      </c>
      <c r="I516" s="223">
        <v>873.09550000000002</v>
      </c>
    </row>
    <row r="517" spans="1:9" x14ac:dyDescent="0.25">
      <c r="A517" s="219" t="s">
        <v>87</v>
      </c>
      <c r="B517" s="220" t="s">
        <v>145</v>
      </c>
      <c r="C517" s="221" t="s">
        <v>290</v>
      </c>
      <c r="D517" s="211">
        <v>46105</v>
      </c>
      <c r="E517" s="224">
        <v>3.15E-2</v>
      </c>
      <c r="F517" s="224">
        <v>1.37E-2</v>
      </c>
      <c r="G517" s="224">
        <v>0</v>
      </c>
      <c r="H517" s="224">
        <v>0</v>
      </c>
      <c r="I517" s="225">
        <v>7.9044999999999996</v>
      </c>
    </row>
    <row r="518" spans="1:9" ht="19.8" thickBot="1" x14ac:dyDescent="0.3">
      <c r="A518" s="226" t="s">
        <v>205</v>
      </c>
      <c r="B518" s="227" t="s">
        <v>145</v>
      </c>
      <c r="C518" s="228" t="s">
        <v>290</v>
      </c>
      <c r="D518" s="212">
        <v>46105</v>
      </c>
      <c r="E518" s="229"/>
      <c r="F518" s="229"/>
      <c r="G518" s="229"/>
      <c r="H518" s="229"/>
      <c r="I518" s="230">
        <v>0</v>
      </c>
    </row>
    <row r="519" spans="1:9" ht="20.399999999999999" thickTop="1" thickBot="1" x14ac:dyDescent="0.3">
      <c r="A519" s="215" t="s">
        <v>85</v>
      </c>
      <c r="B519" s="216" t="s">
        <v>145</v>
      </c>
      <c r="C519" s="217" t="s">
        <v>291</v>
      </c>
      <c r="D519" s="209">
        <v>46104</v>
      </c>
      <c r="E519" s="218">
        <v>40</v>
      </c>
      <c r="F519" s="218">
        <v>168</v>
      </c>
      <c r="G519" s="218">
        <v>352.5</v>
      </c>
      <c r="H519" s="218">
        <v>310.5</v>
      </c>
      <c r="I519" s="218">
        <v>871</v>
      </c>
    </row>
    <row r="520" spans="1:9" ht="19.8" thickTop="1" x14ac:dyDescent="0.25">
      <c r="A520" s="219" t="s">
        <v>86</v>
      </c>
      <c r="B520" s="220" t="s">
        <v>145</v>
      </c>
      <c r="C520" s="221" t="s">
        <v>291</v>
      </c>
      <c r="D520" s="210">
        <v>46104</v>
      </c>
      <c r="E520" s="222">
        <v>38.74</v>
      </c>
      <c r="F520" s="222">
        <v>165.69839999999999</v>
      </c>
      <c r="G520" s="222">
        <v>352.5</v>
      </c>
      <c r="H520" s="222">
        <v>310.5</v>
      </c>
      <c r="I520" s="223">
        <v>867.4384</v>
      </c>
    </row>
    <row r="521" spans="1:9" x14ac:dyDescent="0.25">
      <c r="A521" s="219" t="s">
        <v>87</v>
      </c>
      <c r="B521" s="220" t="s">
        <v>145</v>
      </c>
      <c r="C521" s="221" t="s">
        <v>291</v>
      </c>
      <c r="D521" s="211">
        <v>46104</v>
      </c>
      <c r="E521" s="224">
        <v>3.15E-2</v>
      </c>
      <c r="F521" s="224">
        <v>1.37E-2</v>
      </c>
      <c r="G521" s="224">
        <v>0</v>
      </c>
      <c r="H521" s="224">
        <v>0</v>
      </c>
      <c r="I521" s="225">
        <v>3.5616000000000003</v>
      </c>
    </row>
    <row r="522" spans="1:9" ht="19.8" thickBot="1" x14ac:dyDescent="0.3">
      <c r="A522" s="226" t="s">
        <v>205</v>
      </c>
      <c r="B522" s="227" t="s">
        <v>145</v>
      </c>
      <c r="C522" s="228" t="s">
        <v>291</v>
      </c>
      <c r="D522" s="212">
        <v>46104</v>
      </c>
      <c r="E522" s="229"/>
      <c r="F522" s="229"/>
      <c r="G522" s="229"/>
      <c r="H522" s="229"/>
      <c r="I522" s="230">
        <v>0</v>
      </c>
    </row>
    <row r="523" spans="1:9" ht="20.399999999999999" thickTop="1" thickBot="1" x14ac:dyDescent="0.3">
      <c r="A523" s="215" t="s">
        <v>85</v>
      </c>
      <c r="B523" s="216" t="s">
        <v>145</v>
      </c>
      <c r="C523" s="217" t="s">
        <v>93</v>
      </c>
      <c r="D523" s="209">
        <v>46103</v>
      </c>
      <c r="E523" s="218">
        <v>100</v>
      </c>
      <c r="F523" s="218">
        <v>229</v>
      </c>
      <c r="G523" s="218">
        <v>385</v>
      </c>
      <c r="H523" s="218">
        <v>72</v>
      </c>
      <c r="I523" s="218">
        <v>786</v>
      </c>
    </row>
    <row r="524" spans="1:9" ht="19.8" thickTop="1" x14ac:dyDescent="0.25">
      <c r="A524" s="219" t="s">
        <v>86</v>
      </c>
      <c r="B524" s="220" t="s">
        <v>145</v>
      </c>
      <c r="C524" s="221" t="s">
        <v>93</v>
      </c>
      <c r="D524" s="210">
        <v>46103</v>
      </c>
      <c r="E524" s="222">
        <v>96.85</v>
      </c>
      <c r="F524" s="222">
        <v>225.86269999999999</v>
      </c>
      <c r="G524" s="222">
        <v>385</v>
      </c>
      <c r="H524" s="222">
        <v>72</v>
      </c>
      <c r="I524" s="223">
        <v>779.71270000000004</v>
      </c>
    </row>
    <row r="525" spans="1:9" x14ac:dyDescent="0.25">
      <c r="A525" s="219" t="s">
        <v>87</v>
      </c>
      <c r="B525" s="220" t="s">
        <v>145</v>
      </c>
      <c r="C525" s="221" t="s">
        <v>93</v>
      </c>
      <c r="D525" s="211">
        <v>46103</v>
      </c>
      <c r="E525" s="224">
        <v>3.15E-2</v>
      </c>
      <c r="F525" s="224">
        <v>1.37E-2</v>
      </c>
      <c r="G525" s="224">
        <v>0</v>
      </c>
      <c r="H525" s="224">
        <v>0</v>
      </c>
      <c r="I525" s="225">
        <v>6.2873000000000001</v>
      </c>
    </row>
    <row r="526" spans="1:9" ht="19.8" thickBot="1" x14ac:dyDescent="0.3">
      <c r="A526" s="226" t="s">
        <v>205</v>
      </c>
      <c r="B526" s="227" t="s">
        <v>145</v>
      </c>
      <c r="C526" s="228" t="s">
        <v>93</v>
      </c>
      <c r="D526" s="212">
        <v>46103</v>
      </c>
      <c r="E526" s="229"/>
      <c r="F526" s="229"/>
      <c r="G526" s="229"/>
      <c r="H526" s="229"/>
      <c r="I526" s="230">
        <v>0</v>
      </c>
    </row>
    <row r="527" spans="1:9" ht="20.399999999999999" thickTop="1" thickBot="1" x14ac:dyDescent="0.3">
      <c r="A527" s="215" t="s">
        <v>85</v>
      </c>
      <c r="B527" s="216" t="s">
        <v>145</v>
      </c>
      <c r="C527" s="217" t="s">
        <v>92</v>
      </c>
      <c r="D527" s="209">
        <v>46102</v>
      </c>
      <c r="E527" s="218">
        <v>57</v>
      </c>
      <c r="F527" s="218">
        <v>74</v>
      </c>
      <c r="G527" s="218">
        <v>0</v>
      </c>
      <c r="H527" s="218">
        <v>34</v>
      </c>
      <c r="I527" s="218">
        <v>165</v>
      </c>
    </row>
    <row r="528" spans="1:9" ht="19.8" thickTop="1" x14ac:dyDescent="0.25">
      <c r="A528" s="219" t="s">
        <v>86</v>
      </c>
      <c r="B528" s="220" t="s">
        <v>145</v>
      </c>
      <c r="C528" s="221" t="s">
        <v>92</v>
      </c>
      <c r="D528" s="210">
        <v>46102</v>
      </c>
      <c r="E528" s="222">
        <v>55.204500000000003</v>
      </c>
      <c r="F528" s="222">
        <v>72.986199999999997</v>
      </c>
      <c r="G528" s="222">
        <v>0</v>
      </c>
      <c r="H528" s="222">
        <v>34</v>
      </c>
      <c r="I528" s="223">
        <v>162.19069999999999</v>
      </c>
    </row>
    <row r="529" spans="1:9" x14ac:dyDescent="0.25">
      <c r="A529" s="219" t="s">
        <v>87</v>
      </c>
      <c r="B529" s="220" t="s">
        <v>145</v>
      </c>
      <c r="C529" s="221" t="s">
        <v>92</v>
      </c>
      <c r="D529" s="211">
        <v>46102</v>
      </c>
      <c r="E529" s="224">
        <v>3.15E-2</v>
      </c>
      <c r="F529" s="224">
        <v>1.37E-2</v>
      </c>
      <c r="G529" s="224">
        <v>0</v>
      </c>
      <c r="H529" s="224">
        <v>0</v>
      </c>
      <c r="I529" s="225">
        <v>2.8093000000000004</v>
      </c>
    </row>
    <row r="530" spans="1:9" ht="19.8" thickBot="1" x14ac:dyDescent="0.3">
      <c r="A530" s="226" t="s">
        <v>205</v>
      </c>
      <c r="B530" s="227" t="s">
        <v>145</v>
      </c>
      <c r="C530" s="228" t="s">
        <v>92</v>
      </c>
      <c r="D530" s="212">
        <v>46102</v>
      </c>
      <c r="E530" s="229"/>
      <c r="F530" s="229"/>
      <c r="G530" s="229"/>
      <c r="H530" s="229"/>
      <c r="I530" s="230">
        <v>0</v>
      </c>
    </row>
    <row r="531" spans="1:9" ht="20.399999999999999" thickTop="1" thickBot="1" x14ac:dyDescent="0.3">
      <c r="A531" s="215" t="s">
        <v>85</v>
      </c>
      <c r="B531" s="216" t="s">
        <v>145</v>
      </c>
      <c r="C531" s="217" t="s">
        <v>83</v>
      </c>
      <c r="D531" s="209">
        <v>46101</v>
      </c>
      <c r="E531" s="218">
        <v>0</v>
      </c>
      <c r="F531" s="218">
        <v>209.7</v>
      </c>
      <c r="G531" s="218">
        <v>465</v>
      </c>
      <c r="H531" s="218">
        <v>258.29999999999995</v>
      </c>
      <c r="I531" s="218">
        <v>933</v>
      </c>
    </row>
    <row r="532" spans="1:9" ht="19.8" thickTop="1" x14ac:dyDescent="0.25">
      <c r="A532" s="219" t="s">
        <v>86</v>
      </c>
      <c r="B532" s="220" t="s">
        <v>145</v>
      </c>
      <c r="C532" s="221" t="s">
        <v>83</v>
      </c>
      <c r="D532" s="210">
        <v>46101</v>
      </c>
      <c r="E532" s="222">
        <v>0</v>
      </c>
      <c r="F532" s="222">
        <v>206.82710999999998</v>
      </c>
      <c r="G532" s="222">
        <v>465</v>
      </c>
      <c r="H532" s="222">
        <v>258.29999999999995</v>
      </c>
      <c r="I532" s="223">
        <v>930.1271099999999</v>
      </c>
    </row>
    <row r="533" spans="1:9" x14ac:dyDescent="0.25">
      <c r="A533" s="219" t="s">
        <v>87</v>
      </c>
      <c r="B533" s="220" t="s">
        <v>145</v>
      </c>
      <c r="C533" s="221" t="s">
        <v>83</v>
      </c>
      <c r="D533" s="211">
        <v>46101</v>
      </c>
      <c r="E533" s="224">
        <v>3.15E-2</v>
      </c>
      <c r="F533" s="224">
        <v>1.37E-2</v>
      </c>
      <c r="G533" s="224">
        <v>0</v>
      </c>
      <c r="H533" s="224">
        <v>0</v>
      </c>
      <c r="I533" s="225">
        <v>2.8728899999999999</v>
      </c>
    </row>
    <row r="534" spans="1:9" ht="19.8" thickBot="1" x14ac:dyDescent="0.3">
      <c r="A534" s="226" t="s">
        <v>205</v>
      </c>
      <c r="B534" s="227" t="s">
        <v>145</v>
      </c>
      <c r="C534" s="228" t="s">
        <v>83</v>
      </c>
      <c r="D534" s="212">
        <v>46101</v>
      </c>
      <c r="E534" s="229"/>
      <c r="F534" s="229"/>
      <c r="G534" s="229"/>
      <c r="H534" s="229"/>
      <c r="I534" s="230">
        <v>0</v>
      </c>
    </row>
    <row r="535" spans="1:9" ht="20.399999999999999" thickTop="1" thickBot="1" x14ac:dyDescent="0.3">
      <c r="A535" s="215" t="s">
        <v>85</v>
      </c>
      <c r="B535" s="216" t="s">
        <v>145</v>
      </c>
      <c r="C535" s="217" t="s">
        <v>294</v>
      </c>
      <c r="D535" s="209">
        <v>46100</v>
      </c>
      <c r="E535" s="218">
        <v>80</v>
      </c>
      <c r="F535" s="218">
        <v>136.5</v>
      </c>
      <c r="G535" s="218">
        <v>283.5</v>
      </c>
      <c r="H535" s="218">
        <v>150</v>
      </c>
      <c r="I535" s="218">
        <v>650</v>
      </c>
    </row>
    <row r="536" spans="1:9" ht="19.8" thickTop="1" x14ac:dyDescent="0.25">
      <c r="A536" s="219" t="s">
        <v>86</v>
      </c>
      <c r="B536" s="220" t="s">
        <v>145</v>
      </c>
      <c r="C536" s="221" t="s">
        <v>294</v>
      </c>
      <c r="D536" s="210">
        <v>46100</v>
      </c>
      <c r="E536" s="222">
        <v>77.48</v>
      </c>
      <c r="F536" s="222">
        <v>134.62995000000001</v>
      </c>
      <c r="G536" s="222">
        <v>283.5</v>
      </c>
      <c r="H536" s="222">
        <v>150</v>
      </c>
      <c r="I536" s="223">
        <v>645.60995000000003</v>
      </c>
    </row>
    <row r="537" spans="1:9" x14ac:dyDescent="0.25">
      <c r="A537" s="219" t="s">
        <v>87</v>
      </c>
      <c r="B537" s="220" t="s">
        <v>145</v>
      </c>
      <c r="C537" s="221" t="s">
        <v>294</v>
      </c>
      <c r="D537" s="211">
        <v>46100</v>
      </c>
      <c r="E537" s="224">
        <v>3.15E-2</v>
      </c>
      <c r="F537" s="224">
        <v>1.37E-2</v>
      </c>
      <c r="G537" s="224">
        <v>0</v>
      </c>
      <c r="H537" s="224">
        <v>0</v>
      </c>
      <c r="I537" s="225">
        <v>4.3900500000000005</v>
      </c>
    </row>
    <row r="538" spans="1:9" ht="19.8" thickBot="1" x14ac:dyDescent="0.3">
      <c r="A538" s="226" t="s">
        <v>205</v>
      </c>
      <c r="B538" s="227" t="s">
        <v>145</v>
      </c>
      <c r="C538" s="228" t="s">
        <v>294</v>
      </c>
      <c r="D538" s="212">
        <v>46100</v>
      </c>
      <c r="E538" s="229"/>
      <c r="F538" s="229"/>
      <c r="G538" s="229"/>
      <c r="H538" s="229"/>
      <c r="I538" s="230">
        <v>0</v>
      </c>
    </row>
    <row r="539" spans="1:9" ht="20.399999999999999" thickTop="1" thickBot="1" x14ac:dyDescent="0.3">
      <c r="A539" s="215" t="s">
        <v>85</v>
      </c>
      <c r="B539" s="216" t="s">
        <v>145</v>
      </c>
      <c r="C539" s="217" t="s">
        <v>32</v>
      </c>
      <c r="D539" s="209">
        <v>46099</v>
      </c>
      <c r="E539" s="218">
        <v>57</v>
      </c>
      <c r="F539" s="218">
        <v>198.4</v>
      </c>
      <c r="G539" s="218">
        <v>285</v>
      </c>
      <c r="H539" s="218">
        <v>219.60000000000002</v>
      </c>
      <c r="I539" s="218">
        <v>760</v>
      </c>
    </row>
    <row r="540" spans="1:9" ht="19.8" thickTop="1" x14ac:dyDescent="0.25">
      <c r="A540" s="219" t="s">
        <v>86</v>
      </c>
      <c r="B540" s="220" t="s">
        <v>145</v>
      </c>
      <c r="C540" s="221" t="s">
        <v>32</v>
      </c>
      <c r="D540" s="210">
        <v>46099</v>
      </c>
      <c r="E540" s="222">
        <v>55.204500000000003</v>
      </c>
      <c r="F540" s="222">
        <v>195.68192000000002</v>
      </c>
      <c r="G540" s="222">
        <v>285</v>
      </c>
      <c r="H540" s="222">
        <v>219.60000000000002</v>
      </c>
      <c r="I540" s="223">
        <v>755.48642000000007</v>
      </c>
    </row>
    <row r="541" spans="1:9" x14ac:dyDescent="0.25">
      <c r="A541" s="219" t="s">
        <v>87</v>
      </c>
      <c r="B541" s="220" t="s">
        <v>145</v>
      </c>
      <c r="C541" s="221" t="s">
        <v>32</v>
      </c>
      <c r="D541" s="211">
        <v>46099</v>
      </c>
      <c r="E541" s="224">
        <v>3.15E-2</v>
      </c>
      <c r="F541" s="224">
        <v>1.37E-2</v>
      </c>
      <c r="G541" s="224">
        <v>0</v>
      </c>
      <c r="H541" s="224">
        <v>0</v>
      </c>
      <c r="I541" s="225">
        <v>4.5135800000000001</v>
      </c>
    </row>
    <row r="542" spans="1:9" ht="19.8" thickBot="1" x14ac:dyDescent="0.3">
      <c r="A542" s="226" t="s">
        <v>205</v>
      </c>
      <c r="B542" s="227" t="s">
        <v>145</v>
      </c>
      <c r="C542" s="228" t="s">
        <v>32</v>
      </c>
      <c r="D542" s="212">
        <v>46099</v>
      </c>
      <c r="E542" s="229"/>
      <c r="F542" s="229"/>
      <c r="G542" s="229"/>
      <c r="H542" s="229"/>
      <c r="I542" s="230">
        <v>0</v>
      </c>
    </row>
    <row r="543" spans="1:9" ht="20.399999999999999" thickTop="1" thickBot="1" x14ac:dyDescent="0.3">
      <c r="A543" s="215" t="s">
        <v>85</v>
      </c>
      <c r="B543" s="216" t="s">
        <v>145</v>
      </c>
      <c r="C543" s="217" t="s">
        <v>290</v>
      </c>
      <c r="D543" s="209">
        <v>46098</v>
      </c>
      <c r="E543" s="218">
        <v>14</v>
      </c>
      <c r="F543" s="218">
        <v>105</v>
      </c>
      <c r="G543" s="218">
        <v>165</v>
      </c>
      <c r="H543" s="218">
        <v>40</v>
      </c>
      <c r="I543" s="218">
        <v>324</v>
      </c>
    </row>
    <row r="544" spans="1:9" ht="19.8" thickTop="1" x14ac:dyDescent="0.25">
      <c r="A544" s="219" t="s">
        <v>86</v>
      </c>
      <c r="B544" s="220" t="s">
        <v>145</v>
      </c>
      <c r="C544" s="221" t="s">
        <v>290</v>
      </c>
      <c r="D544" s="210">
        <v>46098</v>
      </c>
      <c r="E544" s="222">
        <v>13.558999999999999</v>
      </c>
      <c r="F544" s="222">
        <v>103.5615</v>
      </c>
      <c r="G544" s="222">
        <v>165</v>
      </c>
      <c r="H544" s="222">
        <v>40</v>
      </c>
      <c r="I544" s="223">
        <v>322.12049999999999</v>
      </c>
    </row>
    <row r="545" spans="1:9" x14ac:dyDescent="0.25">
      <c r="A545" s="219" t="s">
        <v>87</v>
      </c>
      <c r="B545" s="220" t="s">
        <v>145</v>
      </c>
      <c r="C545" s="221" t="s">
        <v>290</v>
      </c>
      <c r="D545" s="211">
        <v>46098</v>
      </c>
      <c r="E545" s="224">
        <v>3.15E-2</v>
      </c>
      <c r="F545" s="224">
        <v>1.37E-2</v>
      </c>
      <c r="G545" s="224">
        <v>0</v>
      </c>
      <c r="H545" s="224">
        <v>0</v>
      </c>
      <c r="I545" s="225">
        <v>1.8795000000000002</v>
      </c>
    </row>
    <row r="546" spans="1:9" ht="19.8" thickBot="1" x14ac:dyDescent="0.3">
      <c r="A546" s="226" t="s">
        <v>205</v>
      </c>
      <c r="B546" s="227" t="s">
        <v>145</v>
      </c>
      <c r="C546" s="228" t="s">
        <v>290</v>
      </c>
      <c r="D546" s="212">
        <v>46098</v>
      </c>
      <c r="E546" s="229"/>
      <c r="F546" s="229"/>
      <c r="G546" s="229"/>
      <c r="H546" s="229"/>
      <c r="I546" s="230">
        <v>0</v>
      </c>
    </row>
    <row r="547" spans="1:9" ht="20.399999999999999" thickTop="1" thickBot="1" x14ac:dyDescent="0.3">
      <c r="A547" s="215" t="s">
        <v>85</v>
      </c>
      <c r="B547" s="216" t="s">
        <v>145</v>
      </c>
      <c r="C547" s="217" t="s">
        <v>291</v>
      </c>
      <c r="D547" s="209">
        <v>46097</v>
      </c>
      <c r="E547" s="218">
        <v>72</v>
      </c>
      <c r="F547" s="218">
        <v>120</v>
      </c>
      <c r="G547" s="218">
        <v>131</v>
      </c>
      <c r="H547" s="218">
        <v>95</v>
      </c>
      <c r="I547" s="218">
        <v>418</v>
      </c>
    </row>
    <row r="548" spans="1:9" ht="19.8" thickTop="1" x14ac:dyDescent="0.25">
      <c r="A548" s="219" t="s">
        <v>86</v>
      </c>
      <c r="B548" s="220" t="s">
        <v>145</v>
      </c>
      <c r="C548" s="221" t="s">
        <v>291</v>
      </c>
      <c r="D548" s="210">
        <v>46097</v>
      </c>
      <c r="E548" s="222">
        <v>69.731999999999999</v>
      </c>
      <c r="F548" s="222">
        <v>118.35599999999999</v>
      </c>
      <c r="G548" s="222">
        <v>131</v>
      </c>
      <c r="H548" s="222">
        <v>95</v>
      </c>
      <c r="I548" s="223">
        <v>414.08799999999997</v>
      </c>
    </row>
    <row r="549" spans="1:9" x14ac:dyDescent="0.25">
      <c r="A549" s="219" t="s">
        <v>87</v>
      </c>
      <c r="B549" s="220" t="s">
        <v>145</v>
      </c>
      <c r="C549" s="221" t="s">
        <v>291</v>
      </c>
      <c r="D549" s="211">
        <v>46097</v>
      </c>
      <c r="E549" s="224">
        <v>3.15E-2</v>
      </c>
      <c r="F549" s="224">
        <v>1.37E-2</v>
      </c>
      <c r="G549" s="224">
        <v>0</v>
      </c>
      <c r="H549" s="224">
        <v>0</v>
      </c>
      <c r="I549" s="225">
        <v>3.9119999999999999</v>
      </c>
    </row>
    <row r="550" spans="1:9" ht="19.8" thickBot="1" x14ac:dyDescent="0.3">
      <c r="A550" s="226" t="s">
        <v>205</v>
      </c>
      <c r="B550" s="227" t="s">
        <v>145</v>
      </c>
      <c r="C550" s="228" t="s">
        <v>291</v>
      </c>
      <c r="D550" s="212">
        <v>46097</v>
      </c>
      <c r="E550" s="229"/>
      <c r="F550" s="229"/>
      <c r="G550" s="229"/>
      <c r="H550" s="229"/>
      <c r="I550" s="230">
        <v>0</v>
      </c>
    </row>
    <row r="551" spans="1:9" ht="20.399999999999999" thickTop="1" thickBot="1" x14ac:dyDescent="0.3">
      <c r="A551" s="215" t="s">
        <v>85</v>
      </c>
      <c r="B551" s="216" t="s">
        <v>145</v>
      </c>
      <c r="C551" s="217" t="s">
        <v>93</v>
      </c>
      <c r="D551" s="209">
        <v>46096</v>
      </c>
      <c r="E551" s="218">
        <v>63</v>
      </c>
      <c r="F551" s="218">
        <v>119.4</v>
      </c>
      <c r="G551" s="218">
        <v>554</v>
      </c>
      <c r="H551" s="218">
        <v>211.60000000000002</v>
      </c>
      <c r="I551" s="218">
        <v>948</v>
      </c>
    </row>
    <row r="552" spans="1:9" ht="19.8" thickTop="1" x14ac:dyDescent="0.25">
      <c r="A552" s="219" t="s">
        <v>86</v>
      </c>
      <c r="B552" s="220" t="s">
        <v>145</v>
      </c>
      <c r="C552" s="221" t="s">
        <v>93</v>
      </c>
      <c r="D552" s="210">
        <v>46096</v>
      </c>
      <c r="E552" s="222">
        <v>61.015500000000003</v>
      </c>
      <c r="F552" s="222">
        <v>117.76422000000001</v>
      </c>
      <c r="G552" s="222">
        <v>554</v>
      </c>
      <c r="H552" s="222">
        <v>211.60000000000002</v>
      </c>
      <c r="I552" s="223">
        <v>944.37972000000002</v>
      </c>
    </row>
    <row r="553" spans="1:9" x14ac:dyDescent="0.25">
      <c r="A553" s="219" t="s">
        <v>87</v>
      </c>
      <c r="B553" s="220" t="s">
        <v>145</v>
      </c>
      <c r="C553" s="221" t="s">
        <v>93</v>
      </c>
      <c r="D553" s="211">
        <v>46096</v>
      </c>
      <c r="E553" s="224">
        <v>3.15E-2</v>
      </c>
      <c r="F553" s="224">
        <v>1.37E-2</v>
      </c>
      <c r="G553" s="224">
        <v>0</v>
      </c>
      <c r="H553" s="224">
        <v>0</v>
      </c>
      <c r="I553" s="225">
        <v>3.6202800000000002</v>
      </c>
    </row>
    <row r="554" spans="1:9" ht="19.8" thickBot="1" x14ac:dyDescent="0.3">
      <c r="A554" s="226" t="s">
        <v>205</v>
      </c>
      <c r="B554" s="227" t="s">
        <v>145</v>
      </c>
      <c r="C554" s="228" t="s">
        <v>93</v>
      </c>
      <c r="D554" s="212">
        <v>46096</v>
      </c>
      <c r="E554" s="229"/>
      <c r="F554" s="229"/>
      <c r="G554" s="229"/>
      <c r="H554" s="229"/>
      <c r="I554" s="230">
        <v>0</v>
      </c>
    </row>
    <row r="555" spans="1:9" ht="20.399999999999999" thickTop="1" thickBot="1" x14ac:dyDescent="0.3">
      <c r="A555" s="215" t="s">
        <v>85</v>
      </c>
      <c r="B555" s="216" t="s">
        <v>145</v>
      </c>
      <c r="C555" s="217" t="s">
        <v>92</v>
      </c>
      <c r="D555" s="209">
        <v>46095</v>
      </c>
      <c r="E555" s="218">
        <v>0</v>
      </c>
      <c r="F555" s="218">
        <v>70</v>
      </c>
      <c r="G555" s="218">
        <v>32</v>
      </c>
      <c r="H555" s="218">
        <v>78</v>
      </c>
      <c r="I555" s="218">
        <v>180</v>
      </c>
    </row>
    <row r="556" spans="1:9" ht="19.8" thickTop="1" x14ac:dyDescent="0.25">
      <c r="A556" s="219" t="s">
        <v>86</v>
      </c>
      <c r="B556" s="220" t="s">
        <v>145</v>
      </c>
      <c r="C556" s="221" t="s">
        <v>92</v>
      </c>
      <c r="D556" s="210">
        <v>46095</v>
      </c>
      <c r="E556" s="222">
        <v>0</v>
      </c>
      <c r="F556" s="222">
        <v>69.040999999999997</v>
      </c>
      <c r="G556" s="222">
        <v>32</v>
      </c>
      <c r="H556" s="222">
        <v>78</v>
      </c>
      <c r="I556" s="223">
        <v>179.041</v>
      </c>
    </row>
    <row r="557" spans="1:9" x14ac:dyDescent="0.25">
      <c r="A557" s="219" t="s">
        <v>87</v>
      </c>
      <c r="B557" s="220" t="s">
        <v>145</v>
      </c>
      <c r="C557" s="221" t="s">
        <v>92</v>
      </c>
      <c r="D557" s="211">
        <v>46095</v>
      </c>
      <c r="E557" s="224">
        <v>3.15E-2</v>
      </c>
      <c r="F557" s="224">
        <v>1.37E-2</v>
      </c>
      <c r="G557" s="224">
        <v>0</v>
      </c>
      <c r="H557" s="224">
        <v>0</v>
      </c>
      <c r="I557" s="225">
        <v>0.95900000000000007</v>
      </c>
    </row>
    <row r="558" spans="1:9" ht="19.8" thickBot="1" x14ac:dyDescent="0.3">
      <c r="A558" s="226" t="s">
        <v>205</v>
      </c>
      <c r="B558" s="227" t="s">
        <v>145</v>
      </c>
      <c r="C558" s="228" t="s">
        <v>92</v>
      </c>
      <c r="D558" s="212">
        <v>46095</v>
      </c>
      <c r="E558" s="229"/>
      <c r="F558" s="229"/>
      <c r="G558" s="229"/>
      <c r="H558" s="229"/>
      <c r="I558" s="230">
        <v>0</v>
      </c>
    </row>
    <row r="559" spans="1:9" ht="20.399999999999999" thickTop="1" thickBot="1" x14ac:dyDescent="0.3">
      <c r="A559" s="215" t="s">
        <v>85</v>
      </c>
      <c r="B559" s="216" t="s">
        <v>145</v>
      </c>
      <c r="C559" s="217" t="s">
        <v>83</v>
      </c>
      <c r="D559" s="209">
        <v>46094</v>
      </c>
      <c r="E559" s="218">
        <v>68</v>
      </c>
      <c r="F559" s="218">
        <v>255</v>
      </c>
      <c r="G559" s="218">
        <v>129</v>
      </c>
      <c r="H559" s="218">
        <v>112</v>
      </c>
      <c r="I559" s="218">
        <v>564</v>
      </c>
    </row>
    <row r="560" spans="1:9" ht="19.8" thickTop="1" x14ac:dyDescent="0.25">
      <c r="A560" s="219" t="s">
        <v>86</v>
      </c>
      <c r="B560" s="220" t="s">
        <v>145</v>
      </c>
      <c r="C560" s="221" t="s">
        <v>83</v>
      </c>
      <c r="D560" s="210">
        <v>46094</v>
      </c>
      <c r="E560" s="222">
        <v>65.858000000000004</v>
      </c>
      <c r="F560" s="222">
        <v>251.50649999999999</v>
      </c>
      <c r="G560" s="222">
        <v>129</v>
      </c>
      <c r="H560" s="222">
        <v>112</v>
      </c>
      <c r="I560" s="223">
        <v>558.36450000000002</v>
      </c>
    </row>
    <row r="561" spans="1:9" x14ac:dyDescent="0.25">
      <c r="A561" s="219" t="s">
        <v>87</v>
      </c>
      <c r="B561" s="220" t="s">
        <v>145</v>
      </c>
      <c r="C561" s="221" t="s">
        <v>83</v>
      </c>
      <c r="D561" s="211">
        <v>46094</v>
      </c>
      <c r="E561" s="224">
        <v>3.15E-2</v>
      </c>
      <c r="F561" s="224">
        <v>1.37E-2</v>
      </c>
      <c r="G561" s="224">
        <v>0</v>
      </c>
      <c r="H561" s="224">
        <v>0</v>
      </c>
      <c r="I561" s="225">
        <v>5.6355000000000004</v>
      </c>
    </row>
    <row r="562" spans="1:9" ht="19.8" thickBot="1" x14ac:dyDescent="0.3">
      <c r="A562" s="226" t="s">
        <v>205</v>
      </c>
      <c r="B562" s="227" t="s">
        <v>145</v>
      </c>
      <c r="C562" s="228" t="s">
        <v>83</v>
      </c>
      <c r="D562" s="212">
        <v>46094</v>
      </c>
      <c r="E562" s="229"/>
      <c r="F562" s="229"/>
      <c r="G562" s="229"/>
      <c r="H562" s="229"/>
      <c r="I562" s="230">
        <v>0</v>
      </c>
    </row>
    <row r="563" spans="1:9" ht="20.399999999999999" thickTop="1" thickBot="1" x14ac:dyDescent="0.3">
      <c r="A563" s="215" t="s">
        <v>85</v>
      </c>
      <c r="B563" s="216" t="s">
        <v>145</v>
      </c>
      <c r="C563" s="217" t="s">
        <v>294</v>
      </c>
      <c r="D563" s="209">
        <v>46093</v>
      </c>
      <c r="E563" s="218">
        <v>38</v>
      </c>
      <c r="F563" s="218">
        <v>212</v>
      </c>
      <c r="G563" s="218">
        <v>249</v>
      </c>
      <c r="H563" s="218">
        <v>161</v>
      </c>
      <c r="I563" s="218">
        <v>660</v>
      </c>
    </row>
    <row r="564" spans="1:9" ht="19.8" thickTop="1" x14ac:dyDescent="0.25">
      <c r="A564" s="219" t="s">
        <v>86</v>
      </c>
      <c r="B564" s="220" t="s">
        <v>145</v>
      </c>
      <c r="C564" s="221" t="s">
        <v>294</v>
      </c>
      <c r="D564" s="210">
        <v>46093</v>
      </c>
      <c r="E564" s="222">
        <v>36.802999999999997</v>
      </c>
      <c r="F564" s="222">
        <v>209.09559999999999</v>
      </c>
      <c r="G564" s="222">
        <v>249</v>
      </c>
      <c r="H564" s="222">
        <v>161</v>
      </c>
      <c r="I564" s="223">
        <v>655.89859999999999</v>
      </c>
    </row>
    <row r="565" spans="1:9" x14ac:dyDescent="0.25">
      <c r="A565" s="219" t="s">
        <v>87</v>
      </c>
      <c r="B565" s="220" t="s">
        <v>145</v>
      </c>
      <c r="C565" s="221" t="s">
        <v>294</v>
      </c>
      <c r="D565" s="211">
        <v>46093</v>
      </c>
      <c r="E565" s="224">
        <v>3.15E-2</v>
      </c>
      <c r="F565" s="224">
        <v>1.37E-2</v>
      </c>
      <c r="G565" s="224">
        <v>0</v>
      </c>
      <c r="H565" s="224">
        <v>0</v>
      </c>
      <c r="I565" s="225">
        <v>4.1013999999999999</v>
      </c>
    </row>
    <row r="566" spans="1:9" ht="19.8" thickBot="1" x14ac:dyDescent="0.3">
      <c r="A566" s="226" t="s">
        <v>205</v>
      </c>
      <c r="B566" s="227" t="s">
        <v>145</v>
      </c>
      <c r="C566" s="228" t="s">
        <v>294</v>
      </c>
      <c r="D566" s="212">
        <v>46093</v>
      </c>
      <c r="E566" s="229"/>
      <c r="F566" s="229"/>
      <c r="G566" s="229"/>
      <c r="H566" s="229"/>
      <c r="I566" s="230">
        <v>0</v>
      </c>
    </row>
    <row r="567" spans="1:9" ht="20.399999999999999" thickTop="1" thickBot="1" x14ac:dyDescent="0.3">
      <c r="A567" s="215" t="s">
        <v>85</v>
      </c>
      <c r="B567" s="216" t="s">
        <v>145</v>
      </c>
      <c r="C567" s="217" t="s">
        <v>32</v>
      </c>
      <c r="D567" s="209">
        <v>46092</v>
      </c>
      <c r="E567" s="218">
        <v>126</v>
      </c>
      <c r="F567" s="218">
        <v>200.25</v>
      </c>
      <c r="G567" s="218">
        <v>152</v>
      </c>
      <c r="H567" s="218">
        <v>309.75</v>
      </c>
      <c r="I567" s="218">
        <v>788</v>
      </c>
    </row>
    <row r="568" spans="1:9" ht="19.8" thickTop="1" x14ac:dyDescent="0.25">
      <c r="A568" s="219" t="s">
        <v>86</v>
      </c>
      <c r="B568" s="220" t="s">
        <v>145</v>
      </c>
      <c r="C568" s="221" t="s">
        <v>32</v>
      </c>
      <c r="D568" s="210">
        <v>46092</v>
      </c>
      <c r="E568" s="222">
        <v>122.03100000000001</v>
      </c>
      <c r="F568" s="222">
        <v>197.506575</v>
      </c>
      <c r="G568" s="222">
        <v>152</v>
      </c>
      <c r="H568" s="222">
        <v>309.75</v>
      </c>
      <c r="I568" s="223">
        <v>781.28757500000006</v>
      </c>
    </row>
    <row r="569" spans="1:9" x14ac:dyDescent="0.25">
      <c r="A569" s="219" t="s">
        <v>87</v>
      </c>
      <c r="B569" s="220" t="s">
        <v>145</v>
      </c>
      <c r="C569" s="221" t="s">
        <v>32</v>
      </c>
      <c r="D569" s="211">
        <v>46092</v>
      </c>
      <c r="E569" s="224">
        <v>3.15E-2</v>
      </c>
      <c r="F569" s="224">
        <v>1.37E-2</v>
      </c>
      <c r="G569" s="224">
        <v>0</v>
      </c>
      <c r="H569" s="224">
        <v>0</v>
      </c>
      <c r="I569" s="225">
        <v>6.7124249999999996</v>
      </c>
    </row>
    <row r="570" spans="1:9" ht="19.8" thickBot="1" x14ac:dyDescent="0.3">
      <c r="A570" s="226" t="s">
        <v>205</v>
      </c>
      <c r="B570" s="227" t="s">
        <v>145</v>
      </c>
      <c r="C570" s="228" t="s">
        <v>32</v>
      </c>
      <c r="D570" s="212">
        <v>46092</v>
      </c>
      <c r="E570" s="229"/>
      <c r="F570" s="229"/>
      <c r="G570" s="229"/>
      <c r="H570" s="229"/>
      <c r="I570" s="230">
        <v>0</v>
      </c>
    </row>
    <row r="571" spans="1:9" ht="20.399999999999999" thickTop="1" thickBot="1" x14ac:dyDescent="0.3">
      <c r="A571" s="215" t="s">
        <v>85</v>
      </c>
      <c r="B571" s="216" t="s">
        <v>145</v>
      </c>
      <c r="C571" s="217" t="s">
        <v>290</v>
      </c>
      <c r="D571" s="209">
        <v>46091</v>
      </c>
      <c r="E571" s="218">
        <v>313</v>
      </c>
      <c r="F571" s="218">
        <v>173</v>
      </c>
      <c r="G571" s="218">
        <v>1074</v>
      </c>
      <c r="H571" s="218">
        <v>-24</v>
      </c>
      <c r="I571" s="218">
        <v>1536</v>
      </c>
    </row>
    <row r="572" spans="1:9" ht="19.8" thickTop="1" x14ac:dyDescent="0.25">
      <c r="A572" s="219" t="s">
        <v>86</v>
      </c>
      <c r="B572" s="220" t="s">
        <v>145</v>
      </c>
      <c r="C572" s="221" t="s">
        <v>290</v>
      </c>
      <c r="D572" s="210">
        <v>46091</v>
      </c>
      <c r="E572" s="222">
        <v>303.14049999999997</v>
      </c>
      <c r="F572" s="222">
        <v>170.62989999999999</v>
      </c>
      <c r="G572" s="222">
        <v>1074</v>
      </c>
      <c r="H572" s="222">
        <v>-24</v>
      </c>
      <c r="I572" s="223">
        <v>1523.7703999999999</v>
      </c>
    </row>
    <row r="573" spans="1:9" x14ac:dyDescent="0.25">
      <c r="A573" s="219" t="s">
        <v>87</v>
      </c>
      <c r="B573" s="220" t="s">
        <v>145</v>
      </c>
      <c r="C573" s="221" t="s">
        <v>290</v>
      </c>
      <c r="D573" s="211">
        <v>46091</v>
      </c>
      <c r="E573" s="224">
        <v>3.15E-2</v>
      </c>
      <c r="F573" s="224">
        <v>1.37E-2</v>
      </c>
      <c r="G573" s="224">
        <v>0</v>
      </c>
      <c r="H573" s="224">
        <v>0</v>
      </c>
      <c r="I573" s="225">
        <v>12.229600000000001</v>
      </c>
    </row>
    <row r="574" spans="1:9" ht="19.8" thickBot="1" x14ac:dyDescent="0.3">
      <c r="A574" s="226" t="s">
        <v>205</v>
      </c>
      <c r="B574" s="227" t="s">
        <v>145</v>
      </c>
      <c r="C574" s="228" t="s">
        <v>290</v>
      </c>
      <c r="D574" s="212">
        <v>46091</v>
      </c>
      <c r="E574" s="229"/>
      <c r="F574" s="229"/>
      <c r="G574" s="229"/>
      <c r="H574" s="229"/>
      <c r="I574" s="230">
        <v>0</v>
      </c>
    </row>
    <row r="575" spans="1:9" ht="20.399999999999999" thickTop="1" thickBot="1" x14ac:dyDescent="0.3">
      <c r="A575" s="215" t="s">
        <v>85</v>
      </c>
      <c r="B575" s="216" t="s">
        <v>145</v>
      </c>
      <c r="C575" s="217" t="s">
        <v>291</v>
      </c>
      <c r="D575" s="209">
        <v>46090</v>
      </c>
      <c r="E575" s="218">
        <v>20</v>
      </c>
      <c r="F575" s="218">
        <v>198</v>
      </c>
      <c r="G575" s="218">
        <v>390</v>
      </c>
      <c r="H575" s="218">
        <v>218</v>
      </c>
      <c r="I575" s="218">
        <v>826</v>
      </c>
    </row>
    <row r="576" spans="1:9" ht="19.8" thickTop="1" x14ac:dyDescent="0.25">
      <c r="A576" s="219" t="s">
        <v>86</v>
      </c>
      <c r="B576" s="220" t="s">
        <v>145</v>
      </c>
      <c r="C576" s="221" t="s">
        <v>291</v>
      </c>
      <c r="D576" s="210">
        <v>46090</v>
      </c>
      <c r="E576" s="222">
        <v>19.37</v>
      </c>
      <c r="F576" s="222">
        <v>195.28739999999999</v>
      </c>
      <c r="G576" s="222">
        <v>390</v>
      </c>
      <c r="H576" s="222">
        <v>218</v>
      </c>
      <c r="I576" s="223">
        <v>822.65740000000005</v>
      </c>
    </row>
    <row r="577" spans="1:9" x14ac:dyDescent="0.25">
      <c r="A577" s="219" t="s">
        <v>87</v>
      </c>
      <c r="B577" s="220" t="s">
        <v>145</v>
      </c>
      <c r="C577" s="221" t="s">
        <v>291</v>
      </c>
      <c r="D577" s="211">
        <v>46090</v>
      </c>
      <c r="E577" s="224">
        <v>3.15E-2</v>
      </c>
      <c r="F577" s="224">
        <v>1.37E-2</v>
      </c>
      <c r="G577" s="224">
        <v>0</v>
      </c>
      <c r="H577" s="224">
        <v>0</v>
      </c>
      <c r="I577" s="225">
        <v>3.3426</v>
      </c>
    </row>
    <row r="578" spans="1:9" ht="19.8" thickBot="1" x14ac:dyDescent="0.3">
      <c r="A578" s="226" t="s">
        <v>205</v>
      </c>
      <c r="B578" s="227" t="s">
        <v>145</v>
      </c>
      <c r="C578" s="228" t="s">
        <v>291</v>
      </c>
      <c r="D578" s="212">
        <v>46090</v>
      </c>
      <c r="E578" s="229"/>
      <c r="F578" s="229"/>
      <c r="G578" s="229"/>
      <c r="H578" s="229"/>
      <c r="I578" s="230">
        <v>0</v>
      </c>
    </row>
    <row r="579" spans="1:9" ht="20.399999999999999" thickTop="1" thickBot="1" x14ac:dyDescent="0.3">
      <c r="A579" s="215" t="s">
        <v>85</v>
      </c>
      <c r="B579" s="216" t="s">
        <v>145</v>
      </c>
      <c r="C579" s="217" t="s">
        <v>93</v>
      </c>
      <c r="D579" s="209">
        <v>46089</v>
      </c>
      <c r="E579" s="218">
        <v>18</v>
      </c>
      <c r="F579" s="218">
        <v>158</v>
      </c>
      <c r="G579" s="218">
        <v>373</v>
      </c>
      <c r="H579" s="218">
        <v>-19</v>
      </c>
      <c r="I579" s="218">
        <v>530</v>
      </c>
    </row>
    <row r="580" spans="1:9" ht="19.8" thickTop="1" x14ac:dyDescent="0.25">
      <c r="A580" s="219" t="s">
        <v>86</v>
      </c>
      <c r="B580" s="220" t="s">
        <v>145</v>
      </c>
      <c r="C580" s="221" t="s">
        <v>93</v>
      </c>
      <c r="D580" s="210">
        <v>46089</v>
      </c>
      <c r="E580" s="222">
        <v>17.433</v>
      </c>
      <c r="F580" s="222">
        <v>155.83539999999999</v>
      </c>
      <c r="G580" s="222">
        <v>373</v>
      </c>
      <c r="H580" s="222">
        <v>-19</v>
      </c>
      <c r="I580" s="223">
        <v>527.26839999999993</v>
      </c>
    </row>
    <row r="581" spans="1:9" x14ac:dyDescent="0.25">
      <c r="A581" s="219" t="s">
        <v>87</v>
      </c>
      <c r="B581" s="220" t="s">
        <v>145</v>
      </c>
      <c r="C581" s="221" t="s">
        <v>93</v>
      </c>
      <c r="D581" s="211">
        <v>46089</v>
      </c>
      <c r="E581" s="224">
        <v>3.15E-2</v>
      </c>
      <c r="F581" s="224">
        <v>1.37E-2</v>
      </c>
      <c r="G581" s="224">
        <v>0</v>
      </c>
      <c r="H581" s="224">
        <v>0</v>
      </c>
      <c r="I581" s="225">
        <v>2.7316000000000003</v>
      </c>
    </row>
    <row r="582" spans="1:9" ht="19.8" thickBot="1" x14ac:dyDescent="0.3">
      <c r="A582" s="226" t="s">
        <v>205</v>
      </c>
      <c r="B582" s="227" t="s">
        <v>145</v>
      </c>
      <c r="C582" s="228" t="s">
        <v>93</v>
      </c>
      <c r="D582" s="212">
        <v>46089</v>
      </c>
      <c r="E582" s="229"/>
      <c r="F582" s="229"/>
      <c r="G582" s="229"/>
      <c r="H582" s="229"/>
      <c r="I582" s="230">
        <v>0</v>
      </c>
    </row>
    <row r="583" spans="1:9" ht="20.399999999999999" thickTop="1" thickBot="1" x14ac:dyDescent="0.3">
      <c r="A583" s="215" t="s">
        <v>85</v>
      </c>
      <c r="B583" s="216" t="s">
        <v>145</v>
      </c>
      <c r="C583" s="217" t="s">
        <v>92</v>
      </c>
      <c r="D583" s="209">
        <v>46088</v>
      </c>
      <c r="E583" s="218">
        <v>0</v>
      </c>
      <c r="F583" s="218">
        <v>42</v>
      </c>
      <c r="G583" s="218">
        <v>184</v>
      </c>
      <c r="H583" s="218">
        <v>20</v>
      </c>
      <c r="I583" s="218">
        <v>246</v>
      </c>
    </row>
    <row r="584" spans="1:9" ht="19.8" thickTop="1" x14ac:dyDescent="0.25">
      <c r="A584" s="219" t="s">
        <v>86</v>
      </c>
      <c r="B584" s="220" t="s">
        <v>145</v>
      </c>
      <c r="C584" s="221" t="s">
        <v>92</v>
      </c>
      <c r="D584" s="210">
        <v>46088</v>
      </c>
      <c r="E584" s="222">
        <v>0</v>
      </c>
      <c r="F584" s="222">
        <v>41.424599999999998</v>
      </c>
      <c r="G584" s="222">
        <v>184</v>
      </c>
      <c r="H584" s="222">
        <v>20</v>
      </c>
      <c r="I584" s="223">
        <v>245.4246</v>
      </c>
    </row>
    <row r="585" spans="1:9" x14ac:dyDescent="0.25">
      <c r="A585" s="219" t="s">
        <v>87</v>
      </c>
      <c r="B585" s="220" t="s">
        <v>145</v>
      </c>
      <c r="C585" s="221" t="s">
        <v>92</v>
      </c>
      <c r="D585" s="211">
        <v>46088</v>
      </c>
      <c r="E585" s="224">
        <v>3.15E-2</v>
      </c>
      <c r="F585" s="224">
        <v>1.37E-2</v>
      </c>
      <c r="G585" s="224">
        <v>0</v>
      </c>
      <c r="H585" s="224">
        <v>0</v>
      </c>
      <c r="I585" s="225">
        <v>0.57540000000000002</v>
      </c>
    </row>
    <row r="586" spans="1:9" ht="19.8" thickBot="1" x14ac:dyDescent="0.3">
      <c r="A586" s="226" t="s">
        <v>205</v>
      </c>
      <c r="B586" s="227" t="s">
        <v>145</v>
      </c>
      <c r="C586" s="228" t="s">
        <v>92</v>
      </c>
      <c r="D586" s="212">
        <v>46088</v>
      </c>
      <c r="E586" s="229"/>
      <c r="F586" s="229"/>
      <c r="G586" s="229"/>
      <c r="H586" s="229"/>
      <c r="I586" s="230">
        <v>0</v>
      </c>
    </row>
    <row r="587" spans="1:9" ht="20.399999999999999" thickTop="1" thickBot="1" x14ac:dyDescent="0.3">
      <c r="A587" s="215" t="s">
        <v>85</v>
      </c>
      <c r="B587" s="216" t="s">
        <v>145</v>
      </c>
      <c r="C587" s="217" t="s">
        <v>83</v>
      </c>
      <c r="D587" s="209">
        <v>46087</v>
      </c>
      <c r="E587" s="218">
        <v>40</v>
      </c>
      <c r="F587" s="218">
        <v>190</v>
      </c>
      <c r="G587" s="218">
        <v>43</v>
      </c>
      <c r="H587" s="218">
        <v>193</v>
      </c>
      <c r="I587" s="218">
        <v>466</v>
      </c>
    </row>
    <row r="588" spans="1:9" ht="19.8" thickTop="1" x14ac:dyDescent="0.25">
      <c r="A588" s="219" t="s">
        <v>86</v>
      </c>
      <c r="B588" s="220" t="s">
        <v>145</v>
      </c>
      <c r="C588" s="221" t="s">
        <v>83</v>
      </c>
      <c r="D588" s="210">
        <v>46087</v>
      </c>
      <c r="E588" s="222">
        <v>38.74</v>
      </c>
      <c r="F588" s="222">
        <v>187.39699999999999</v>
      </c>
      <c r="G588" s="222">
        <v>43</v>
      </c>
      <c r="H588" s="222">
        <v>193</v>
      </c>
      <c r="I588" s="223">
        <v>462.137</v>
      </c>
    </row>
    <row r="589" spans="1:9" x14ac:dyDescent="0.25">
      <c r="A589" s="219" t="s">
        <v>87</v>
      </c>
      <c r="B589" s="220" t="s">
        <v>145</v>
      </c>
      <c r="C589" s="221" t="s">
        <v>83</v>
      </c>
      <c r="D589" s="211">
        <v>46087</v>
      </c>
      <c r="E589" s="224">
        <v>3.15E-2</v>
      </c>
      <c r="F589" s="224">
        <v>1.37E-2</v>
      </c>
      <c r="G589" s="224">
        <v>0</v>
      </c>
      <c r="H589" s="224">
        <v>0</v>
      </c>
      <c r="I589" s="225">
        <v>3.8630000000000004</v>
      </c>
    </row>
    <row r="590" spans="1:9" ht="19.8" thickBot="1" x14ac:dyDescent="0.3">
      <c r="A590" s="226" t="s">
        <v>205</v>
      </c>
      <c r="B590" s="227" t="s">
        <v>145</v>
      </c>
      <c r="C590" s="228" t="s">
        <v>83</v>
      </c>
      <c r="D590" s="212">
        <v>46087</v>
      </c>
      <c r="E590" s="229"/>
      <c r="F590" s="229"/>
      <c r="G590" s="229"/>
      <c r="H590" s="229"/>
      <c r="I590" s="230">
        <v>0</v>
      </c>
    </row>
    <row r="591" spans="1:9" ht="20.399999999999999" thickTop="1" thickBot="1" x14ac:dyDescent="0.3">
      <c r="A591" s="215" t="s">
        <v>85</v>
      </c>
      <c r="B591" s="216" t="s">
        <v>145</v>
      </c>
      <c r="C591" s="217" t="s">
        <v>294</v>
      </c>
      <c r="D591" s="209">
        <v>46086</v>
      </c>
      <c r="E591" s="218">
        <v>66</v>
      </c>
      <c r="F591" s="218">
        <v>169</v>
      </c>
      <c r="G591" s="218">
        <v>154</v>
      </c>
      <c r="H591" s="218">
        <v>56</v>
      </c>
      <c r="I591" s="218">
        <v>445</v>
      </c>
    </row>
    <row r="592" spans="1:9" ht="19.8" thickTop="1" x14ac:dyDescent="0.25">
      <c r="A592" s="219" t="s">
        <v>86</v>
      </c>
      <c r="B592" s="220" t="s">
        <v>145</v>
      </c>
      <c r="C592" s="221" t="s">
        <v>294</v>
      </c>
      <c r="D592" s="210">
        <v>46086</v>
      </c>
      <c r="E592" s="222">
        <v>63.920999999999999</v>
      </c>
      <c r="F592" s="222">
        <v>166.68469999999999</v>
      </c>
      <c r="G592" s="222">
        <v>154</v>
      </c>
      <c r="H592" s="222">
        <v>56</v>
      </c>
      <c r="I592" s="223">
        <v>440.60569999999996</v>
      </c>
    </row>
    <row r="593" spans="1:9" x14ac:dyDescent="0.25">
      <c r="A593" s="219" t="s">
        <v>87</v>
      </c>
      <c r="B593" s="220" t="s">
        <v>145</v>
      </c>
      <c r="C593" s="221" t="s">
        <v>294</v>
      </c>
      <c r="D593" s="211">
        <v>46086</v>
      </c>
      <c r="E593" s="224">
        <v>3.15E-2</v>
      </c>
      <c r="F593" s="224">
        <v>1.37E-2</v>
      </c>
      <c r="G593" s="224">
        <v>0</v>
      </c>
      <c r="H593" s="224">
        <v>0</v>
      </c>
      <c r="I593" s="225">
        <v>4.3943000000000003</v>
      </c>
    </row>
    <row r="594" spans="1:9" ht="19.8" thickBot="1" x14ac:dyDescent="0.3">
      <c r="A594" s="226" t="s">
        <v>205</v>
      </c>
      <c r="B594" s="227" t="s">
        <v>145</v>
      </c>
      <c r="C594" s="228" t="s">
        <v>294</v>
      </c>
      <c r="D594" s="212">
        <v>46086</v>
      </c>
      <c r="E594" s="229"/>
      <c r="F594" s="229"/>
      <c r="G594" s="229"/>
      <c r="H594" s="229"/>
      <c r="I594" s="230">
        <v>0</v>
      </c>
    </row>
    <row r="595" spans="1:9" ht="20.399999999999999" thickTop="1" thickBot="1" x14ac:dyDescent="0.3">
      <c r="A595" s="215" t="s">
        <v>85</v>
      </c>
      <c r="B595" s="216" t="s">
        <v>145</v>
      </c>
      <c r="C595" s="217" t="s">
        <v>32</v>
      </c>
      <c r="D595" s="209">
        <v>46085</v>
      </c>
      <c r="E595" s="218">
        <v>54</v>
      </c>
      <c r="F595" s="218">
        <v>106</v>
      </c>
      <c r="G595" s="218">
        <v>449</v>
      </c>
      <c r="H595" s="218">
        <v>263</v>
      </c>
      <c r="I595" s="218">
        <v>872</v>
      </c>
    </row>
    <row r="596" spans="1:9" ht="19.8" thickTop="1" x14ac:dyDescent="0.25">
      <c r="A596" s="219" t="s">
        <v>86</v>
      </c>
      <c r="B596" s="220" t="s">
        <v>145</v>
      </c>
      <c r="C596" s="221" t="s">
        <v>32</v>
      </c>
      <c r="D596" s="210">
        <v>46085</v>
      </c>
      <c r="E596" s="222">
        <v>52.298999999999999</v>
      </c>
      <c r="F596" s="222">
        <v>104.5478</v>
      </c>
      <c r="G596" s="222">
        <v>449</v>
      </c>
      <c r="H596" s="222">
        <v>263</v>
      </c>
      <c r="I596" s="223">
        <v>868.84680000000003</v>
      </c>
    </row>
    <row r="597" spans="1:9" x14ac:dyDescent="0.25">
      <c r="A597" s="219" t="s">
        <v>87</v>
      </c>
      <c r="B597" s="220" t="s">
        <v>145</v>
      </c>
      <c r="C597" s="221" t="s">
        <v>32</v>
      </c>
      <c r="D597" s="211">
        <v>46085</v>
      </c>
      <c r="E597" s="224">
        <v>3.15E-2</v>
      </c>
      <c r="F597" s="224">
        <v>1.37E-2</v>
      </c>
      <c r="G597" s="224">
        <v>0</v>
      </c>
      <c r="H597" s="224">
        <v>0</v>
      </c>
      <c r="I597" s="225">
        <v>3.1532</v>
      </c>
    </row>
    <row r="598" spans="1:9" ht="19.8" thickBot="1" x14ac:dyDescent="0.3">
      <c r="A598" s="226" t="s">
        <v>205</v>
      </c>
      <c r="B598" s="227" t="s">
        <v>145</v>
      </c>
      <c r="C598" s="228" t="s">
        <v>32</v>
      </c>
      <c r="D598" s="212">
        <v>46085</v>
      </c>
      <c r="E598" s="229"/>
      <c r="F598" s="229"/>
      <c r="G598" s="229"/>
      <c r="H598" s="229"/>
      <c r="I598" s="230">
        <v>0</v>
      </c>
    </row>
    <row r="599" spans="1:9" ht="20.399999999999999" thickTop="1" thickBot="1" x14ac:dyDescent="0.3">
      <c r="A599" s="215" t="s">
        <v>85</v>
      </c>
      <c r="B599" s="216" t="s">
        <v>145</v>
      </c>
      <c r="C599" s="217" t="s">
        <v>290</v>
      </c>
      <c r="D599" s="209">
        <v>46084</v>
      </c>
      <c r="E599" s="218">
        <v>114</v>
      </c>
      <c r="F599" s="218">
        <v>230</v>
      </c>
      <c r="G599" s="218">
        <v>222</v>
      </c>
      <c r="H599" s="218">
        <v>168</v>
      </c>
      <c r="I599" s="218">
        <v>734</v>
      </c>
    </row>
    <row r="600" spans="1:9" ht="19.8" thickTop="1" x14ac:dyDescent="0.25">
      <c r="A600" s="219" t="s">
        <v>86</v>
      </c>
      <c r="B600" s="220" t="s">
        <v>145</v>
      </c>
      <c r="C600" s="221" t="s">
        <v>290</v>
      </c>
      <c r="D600" s="210">
        <v>46084</v>
      </c>
      <c r="E600" s="222">
        <v>110.40900000000001</v>
      </c>
      <c r="F600" s="222">
        <v>226.84899999999999</v>
      </c>
      <c r="G600" s="222">
        <v>222</v>
      </c>
      <c r="H600" s="222">
        <v>168</v>
      </c>
      <c r="I600" s="223">
        <v>727.25800000000004</v>
      </c>
    </row>
    <row r="601" spans="1:9" x14ac:dyDescent="0.25">
      <c r="A601" s="219" t="s">
        <v>87</v>
      </c>
      <c r="B601" s="220" t="s">
        <v>145</v>
      </c>
      <c r="C601" s="221" t="s">
        <v>290</v>
      </c>
      <c r="D601" s="211">
        <v>46084</v>
      </c>
      <c r="E601" s="224">
        <v>3.15E-2</v>
      </c>
      <c r="F601" s="224">
        <v>1.37E-2</v>
      </c>
      <c r="G601" s="224">
        <v>0</v>
      </c>
      <c r="H601" s="224">
        <v>0</v>
      </c>
      <c r="I601" s="225">
        <v>6.7420000000000009</v>
      </c>
    </row>
    <row r="602" spans="1:9" ht="19.8" thickBot="1" x14ac:dyDescent="0.3">
      <c r="A602" s="226" t="s">
        <v>205</v>
      </c>
      <c r="B602" s="227" t="s">
        <v>145</v>
      </c>
      <c r="C602" s="228" t="s">
        <v>290</v>
      </c>
      <c r="D602" s="212">
        <v>46084</v>
      </c>
      <c r="E602" s="229"/>
      <c r="F602" s="229"/>
      <c r="G602" s="229"/>
      <c r="H602" s="229"/>
      <c r="I602" s="230">
        <v>0</v>
      </c>
    </row>
    <row r="603" spans="1:9" ht="20.399999999999999" thickTop="1" thickBot="1" x14ac:dyDescent="0.3">
      <c r="A603" s="215" t="s">
        <v>85</v>
      </c>
      <c r="B603" s="216" t="s">
        <v>145</v>
      </c>
      <c r="C603" s="217" t="s">
        <v>291</v>
      </c>
      <c r="D603" s="209">
        <v>46083</v>
      </c>
      <c r="E603" s="218">
        <v>40</v>
      </c>
      <c r="F603" s="218">
        <v>243</v>
      </c>
      <c r="G603" s="218">
        <v>179</v>
      </c>
      <c r="H603" s="218">
        <v>168</v>
      </c>
      <c r="I603" s="218">
        <v>630</v>
      </c>
    </row>
    <row r="604" spans="1:9" ht="19.8" thickTop="1" x14ac:dyDescent="0.25">
      <c r="A604" s="219" t="s">
        <v>86</v>
      </c>
      <c r="B604" s="220" t="s">
        <v>145</v>
      </c>
      <c r="C604" s="221" t="s">
        <v>291</v>
      </c>
      <c r="D604" s="210">
        <v>46083</v>
      </c>
      <c r="E604" s="222">
        <v>38.74</v>
      </c>
      <c r="F604" s="222">
        <v>239.67089999999999</v>
      </c>
      <c r="G604" s="222">
        <v>179</v>
      </c>
      <c r="H604" s="222">
        <v>168</v>
      </c>
      <c r="I604" s="223">
        <v>625.41089999999997</v>
      </c>
    </row>
    <row r="605" spans="1:9" x14ac:dyDescent="0.25">
      <c r="A605" s="219" t="s">
        <v>87</v>
      </c>
      <c r="B605" s="220" t="s">
        <v>145</v>
      </c>
      <c r="C605" s="221" t="s">
        <v>291</v>
      </c>
      <c r="D605" s="211">
        <v>46083</v>
      </c>
      <c r="E605" s="224">
        <v>3.15E-2</v>
      </c>
      <c r="F605" s="224">
        <v>1.37E-2</v>
      </c>
      <c r="G605" s="224">
        <v>0</v>
      </c>
      <c r="H605" s="224">
        <v>0</v>
      </c>
      <c r="I605" s="225">
        <v>4.5891000000000002</v>
      </c>
    </row>
    <row r="606" spans="1:9" ht="19.8" thickBot="1" x14ac:dyDescent="0.3">
      <c r="A606" s="226" t="s">
        <v>205</v>
      </c>
      <c r="B606" s="227" t="s">
        <v>145</v>
      </c>
      <c r="C606" s="228" t="s">
        <v>291</v>
      </c>
      <c r="D606" s="212">
        <v>46083</v>
      </c>
      <c r="E606" s="229"/>
      <c r="F606" s="229"/>
      <c r="G606" s="229"/>
      <c r="H606" s="229"/>
      <c r="I606" s="230">
        <v>0</v>
      </c>
    </row>
    <row r="607" spans="1:9" ht="20.399999999999999" thickTop="1" thickBot="1" x14ac:dyDescent="0.3">
      <c r="A607" s="215" t="s">
        <v>85</v>
      </c>
      <c r="B607" s="216" t="s">
        <v>145</v>
      </c>
      <c r="C607" s="217" t="s">
        <v>93</v>
      </c>
      <c r="D607" s="209">
        <v>46082</v>
      </c>
      <c r="E607" s="218">
        <v>164</v>
      </c>
      <c r="F607" s="218">
        <v>272</v>
      </c>
      <c r="G607" s="218">
        <v>164</v>
      </c>
      <c r="H607" s="218">
        <v>16</v>
      </c>
      <c r="I607" s="218">
        <v>616</v>
      </c>
    </row>
    <row r="608" spans="1:9" ht="19.8" thickTop="1" x14ac:dyDescent="0.25">
      <c r="A608" s="219" t="s">
        <v>86</v>
      </c>
      <c r="B608" s="220" t="s">
        <v>145</v>
      </c>
      <c r="C608" s="221" t="s">
        <v>93</v>
      </c>
      <c r="D608" s="210">
        <v>46082</v>
      </c>
      <c r="E608" s="222">
        <v>158.834</v>
      </c>
      <c r="F608" s="222">
        <v>268.27359999999999</v>
      </c>
      <c r="G608" s="222">
        <v>164</v>
      </c>
      <c r="H608" s="222">
        <v>16</v>
      </c>
      <c r="I608" s="223">
        <v>607.10760000000005</v>
      </c>
    </row>
    <row r="609" spans="1:9" x14ac:dyDescent="0.25">
      <c r="A609" s="219" t="s">
        <v>87</v>
      </c>
      <c r="B609" s="220" t="s">
        <v>145</v>
      </c>
      <c r="C609" s="221" t="s">
        <v>93</v>
      </c>
      <c r="D609" s="211">
        <v>46082</v>
      </c>
      <c r="E609" s="224">
        <v>3.15E-2</v>
      </c>
      <c r="F609" s="224">
        <v>1.37E-2</v>
      </c>
      <c r="G609" s="224">
        <v>0</v>
      </c>
      <c r="H609" s="224">
        <v>0</v>
      </c>
      <c r="I609" s="225">
        <v>8.8924000000000003</v>
      </c>
    </row>
    <row r="610" spans="1:9" ht="19.8" thickBot="1" x14ac:dyDescent="0.3">
      <c r="A610" s="226" t="s">
        <v>205</v>
      </c>
      <c r="B610" s="227" t="s">
        <v>145</v>
      </c>
      <c r="C610" s="228" t="s">
        <v>93</v>
      </c>
      <c r="D610" s="212">
        <v>46082</v>
      </c>
      <c r="E610" s="229"/>
      <c r="F610" s="229"/>
      <c r="G610" s="229"/>
      <c r="H610" s="229"/>
      <c r="I610" s="230">
        <v>0</v>
      </c>
    </row>
    <row r="611" spans="1:9" ht="20.399999999999999" thickTop="1" thickBot="1" x14ac:dyDescent="0.3">
      <c r="A611" s="215" t="s">
        <v>85</v>
      </c>
      <c r="B611" s="216" t="s">
        <v>144</v>
      </c>
      <c r="C611" s="217" t="s">
        <v>92</v>
      </c>
      <c r="D611" s="209">
        <v>46081</v>
      </c>
      <c r="E611" s="218">
        <v>0</v>
      </c>
      <c r="F611" s="218">
        <v>122</v>
      </c>
      <c r="G611" s="218">
        <v>0</v>
      </c>
      <c r="H611" s="218">
        <v>44</v>
      </c>
      <c r="I611" s="218">
        <v>166</v>
      </c>
    </row>
    <row r="612" spans="1:9" ht="19.8" thickTop="1" x14ac:dyDescent="0.25">
      <c r="A612" s="219" t="s">
        <v>86</v>
      </c>
      <c r="B612" s="220" t="s">
        <v>144</v>
      </c>
      <c r="C612" s="221" t="s">
        <v>92</v>
      </c>
      <c r="D612" s="210">
        <v>46081</v>
      </c>
      <c r="E612" s="222">
        <v>0</v>
      </c>
      <c r="F612" s="222">
        <v>120.32859999999999</v>
      </c>
      <c r="G612" s="222">
        <v>0</v>
      </c>
      <c r="H612" s="222">
        <v>44</v>
      </c>
      <c r="I612" s="223">
        <v>164.32859999999999</v>
      </c>
    </row>
    <row r="613" spans="1:9" x14ac:dyDescent="0.25">
      <c r="A613" s="219" t="s">
        <v>87</v>
      </c>
      <c r="B613" s="220" t="s">
        <v>144</v>
      </c>
      <c r="C613" s="221" t="s">
        <v>92</v>
      </c>
      <c r="D613" s="211">
        <v>46081</v>
      </c>
      <c r="E613" s="224">
        <v>3.15E-2</v>
      </c>
      <c r="F613" s="224">
        <v>1.37E-2</v>
      </c>
      <c r="G613" s="224">
        <v>0</v>
      </c>
      <c r="H613" s="224">
        <v>0</v>
      </c>
      <c r="I613" s="225">
        <v>1.6714</v>
      </c>
    </row>
    <row r="614" spans="1:9" ht="19.8" thickBot="1" x14ac:dyDescent="0.3">
      <c r="A614" s="226" t="s">
        <v>205</v>
      </c>
      <c r="B614" s="227" t="s">
        <v>144</v>
      </c>
      <c r="C614" s="228" t="s">
        <v>92</v>
      </c>
      <c r="D614" s="212">
        <v>46081</v>
      </c>
      <c r="E614" s="229"/>
      <c r="F614" s="229"/>
      <c r="G614" s="229"/>
      <c r="H614" s="229"/>
      <c r="I614" s="230">
        <v>0</v>
      </c>
    </row>
    <row r="615" spans="1:9" ht="20.399999999999999" thickTop="1" thickBot="1" x14ac:dyDescent="0.3">
      <c r="A615" s="215" t="s">
        <v>85</v>
      </c>
      <c r="B615" s="216" t="s">
        <v>144</v>
      </c>
      <c r="C615" s="217" t="s">
        <v>83</v>
      </c>
      <c r="D615" s="209">
        <v>46080</v>
      </c>
      <c r="E615" s="218">
        <v>62</v>
      </c>
      <c r="F615" s="218">
        <v>210</v>
      </c>
      <c r="G615" s="218">
        <v>253.3</v>
      </c>
      <c r="H615" s="218">
        <v>358.70000000000005</v>
      </c>
      <c r="I615" s="218">
        <v>884</v>
      </c>
    </row>
    <row r="616" spans="1:9" ht="19.8" thickTop="1" x14ac:dyDescent="0.25">
      <c r="A616" s="219" t="s">
        <v>86</v>
      </c>
      <c r="B616" s="220" t="s">
        <v>144</v>
      </c>
      <c r="C616" s="221" t="s">
        <v>83</v>
      </c>
      <c r="D616" s="210">
        <v>46080</v>
      </c>
      <c r="E616" s="222">
        <v>60.046999999999997</v>
      </c>
      <c r="F616" s="222">
        <v>207.12299999999999</v>
      </c>
      <c r="G616" s="222">
        <v>253.3</v>
      </c>
      <c r="H616" s="222">
        <v>358.70000000000005</v>
      </c>
      <c r="I616" s="223">
        <v>879.17000000000007</v>
      </c>
    </row>
    <row r="617" spans="1:9" x14ac:dyDescent="0.25">
      <c r="A617" s="219" t="s">
        <v>87</v>
      </c>
      <c r="B617" s="220" t="s">
        <v>144</v>
      </c>
      <c r="C617" s="221" t="s">
        <v>83</v>
      </c>
      <c r="D617" s="211">
        <v>46080</v>
      </c>
      <c r="E617" s="224">
        <v>3.15E-2</v>
      </c>
      <c r="F617" s="224">
        <v>1.37E-2</v>
      </c>
      <c r="G617" s="224">
        <v>0</v>
      </c>
      <c r="H617" s="224">
        <v>0</v>
      </c>
      <c r="I617" s="225">
        <v>4.83</v>
      </c>
    </row>
    <row r="618" spans="1:9" ht="19.8" thickBot="1" x14ac:dyDescent="0.3">
      <c r="A618" s="226" t="s">
        <v>205</v>
      </c>
      <c r="B618" s="227" t="s">
        <v>144</v>
      </c>
      <c r="C618" s="228" t="s">
        <v>83</v>
      </c>
      <c r="D618" s="212">
        <v>46080</v>
      </c>
      <c r="E618" s="229"/>
      <c r="F618" s="229"/>
      <c r="G618" s="229"/>
      <c r="H618" s="229"/>
      <c r="I618" s="230">
        <v>0</v>
      </c>
    </row>
    <row r="619" spans="1:9" ht="20.399999999999999" thickTop="1" thickBot="1" x14ac:dyDescent="0.3">
      <c r="A619" s="215" t="s">
        <v>85</v>
      </c>
      <c r="B619" s="216" t="s">
        <v>144</v>
      </c>
      <c r="C619" s="217" t="s">
        <v>294</v>
      </c>
      <c r="D619" s="209">
        <v>46079</v>
      </c>
      <c r="E619" s="218">
        <v>58</v>
      </c>
      <c r="F619" s="218">
        <v>208</v>
      </c>
      <c r="G619" s="218">
        <v>124</v>
      </c>
      <c r="H619" s="218">
        <v>148</v>
      </c>
      <c r="I619" s="218">
        <v>538</v>
      </c>
    </row>
    <row r="620" spans="1:9" ht="19.8" thickTop="1" x14ac:dyDescent="0.25">
      <c r="A620" s="219" t="s">
        <v>86</v>
      </c>
      <c r="B620" s="220" t="s">
        <v>144</v>
      </c>
      <c r="C620" s="221" t="s">
        <v>294</v>
      </c>
      <c r="D620" s="210">
        <v>46079</v>
      </c>
      <c r="E620" s="222">
        <v>56.173000000000002</v>
      </c>
      <c r="F620" s="222">
        <v>205.15039999999999</v>
      </c>
      <c r="G620" s="222">
        <v>124</v>
      </c>
      <c r="H620" s="222">
        <v>148</v>
      </c>
      <c r="I620" s="223">
        <v>533.32339999999999</v>
      </c>
    </row>
    <row r="621" spans="1:9" x14ac:dyDescent="0.25">
      <c r="A621" s="219" t="s">
        <v>87</v>
      </c>
      <c r="B621" s="220" t="s">
        <v>144</v>
      </c>
      <c r="C621" s="221" t="s">
        <v>294</v>
      </c>
      <c r="D621" s="211">
        <v>46079</v>
      </c>
      <c r="E621" s="224">
        <v>3.15E-2</v>
      </c>
      <c r="F621" s="224">
        <v>1.37E-2</v>
      </c>
      <c r="G621" s="224">
        <v>0</v>
      </c>
      <c r="H621" s="224">
        <v>0</v>
      </c>
      <c r="I621" s="225">
        <v>4.6766000000000005</v>
      </c>
    </row>
    <row r="622" spans="1:9" ht="19.8" thickBot="1" x14ac:dyDescent="0.3">
      <c r="A622" s="226" t="s">
        <v>205</v>
      </c>
      <c r="B622" s="227" t="s">
        <v>144</v>
      </c>
      <c r="C622" s="228" t="s">
        <v>294</v>
      </c>
      <c r="D622" s="212">
        <v>46079</v>
      </c>
      <c r="E622" s="229"/>
      <c r="F622" s="229"/>
      <c r="G622" s="229"/>
      <c r="H622" s="229"/>
      <c r="I622" s="230">
        <v>0</v>
      </c>
    </row>
    <row r="623" spans="1:9" ht="20.399999999999999" thickTop="1" thickBot="1" x14ac:dyDescent="0.3">
      <c r="A623" s="215" t="s">
        <v>85</v>
      </c>
      <c r="B623" s="216" t="s">
        <v>144</v>
      </c>
      <c r="C623" s="217" t="s">
        <v>32</v>
      </c>
      <c r="D623" s="209">
        <v>46078</v>
      </c>
      <c r="E623" s="218">
        <v>108</v>
      </c>
      <c r="F623" s="218">
        <v>252</v>
      </c>
      <c r="G623" s="218">
        <v>334</v>
      </c>
      <c r="H623" s="218">
        <v>94</v>
      </c>
      <c r="I623" s="218">
        <v>788</v>
      </c>
    </row>
    <row r="624" spans="1:9" ht="19.8" thickTop="1" x14ac:dyDescent="0.25">
      <c r="A624" s="219" t="s">
        <v>86</v>
      </c>
      <c r="B624" s="220" t="s">
        <v>144</v>
      </c>
      <c r="C624" s="221" t="s">
        <v>32</v>
      </c>
      <c r="D624" s="210">
        <v>46078</v>
      </c>
      <c r="E624" s="222">
        <v>104.598</v>
      </c>
      <c r="F624" s="222">
        <v>248.54759999999999</v>
      </c>
      <c r="G624" s="222">
        <v>334</v>
      </c>
      <c r="H624" s="222">
        <v>94</v>
      </c>
      <c r="I624" s="223">
        <v>781.14560000000006</v>
      </c>
    </row>
    <row r="625" spans="1:9" x14ac:dyDescent="0.25">
      <c r="A625" s="219" t="s">
        <v>87</v>
      </c>
      <c r="B625" s="220" t="s">
        <v>144</v>
      </c>
      <c r="C625" s="221" t="s">
        <v>32</v>
      </c>
      <c r="D625" s="211">
        <v>46078</v>
      </c>
      <c r="E625" s="224">
        <v>3.15E-2</v>
      </c>
      <c r="F625" s="224">
        <v>1.37E-2</v>
      </c>
      <c r="G625" s="224">
        <v>0</v>
      </c>
      <c r="H625" s="224">
        <v>0</v>
      </c>
      <c r="I625" s="225">
        <v>6.8544</v>
      </c>
    </row>
    <row r="626" spans="1:9" ht="19.8" thickBot="1" x14ac:dyDescent="0.3">
      <c r="A626" s="226" t="s">
        <v>205</v>
      </c>
      <c r="B626" s="227" t="s">
        <v>144</v>
      </c>
      <c r="C626" s="228" t="s">
        <v>32</v>
      </c>
      <c r="D626" s="212">
        <v>46078</v>
      </c>
      <c r="E626" s="229"/>
      <c r="F626" s="229"/>
      <c r="G626" s="229"/>
      <c r="H626" s="229"/>
      <c r="I626" s="230">
        <v>0</v>
      </c>
    </row>
    <row r="627" spans="1:9" ht="20.399999999999999" thickTop="1" thickBot="1" x14ac:dyDescent="0.3">
      <c r="A627" s="215" t="s">
        <v>85</v>
      </c>
      <c r="B627" s="216" t="s">
        <v>144</v>
      </c>
      <c r="C627" s="217" t="s">
        <v>290</v>
      </c>
      <c r="D627" s="209">
        <v>46077</v>
      </c>
      <c r="E627" s="218">
        <v>142</v>
      </c>
      <c r="F627" s="218">
        <v>277</v>
      </c>
      <c r="G627" s="218">
        <v>139</v>
      </c>
      <c r="H627" s="218">
        <v>198</v>
      </c>
      <c r="I627" s="218">
        <v>756</v>
      </c>
    </row>
    <row r="628" spans="1:9" ht="19.8" thickTop="1" x14ac:dyDescent="0.25">
      <c r="A628" s="219" t="s">
        <v>86</v>
      </c>
      <c r="B628" s="220" t="s">
        <v>144</v>
      </c>
      <c r="C628" s="221" t="s">
        <v>290</v>
      </c>
      <c r="D628" s="210">
        <v>46077</v>
      </c>
      <c r="E628" s="222">
        <v>137.52699999999999</v>
      </c>
      <c r="F628" s="222">
        <v>273.20510000000002</v>
      </c>
      <c r="G628" s="222">
        <v>139</v>
      </c>
      <c r="H628" s="222">
        <v>198</v>
      </c>
      <c r="I628" s="223">
        <v>747.73209999999995</v>
      </c>
    </row>
    <row r="629" spans="1:9" x14ac:dyDescent="0.25">
      <c r="A629" s="219" t="s">
        <v>87</v>
      </c>
      <c r="B629" s="220" t="s">
        <v>144</v>
      </c>
      <c r="C629" s="221" t="s">
        <v>290</v>
      </c>
      <c r="D629" s="211">
        <v>46077</v>
      </c>
      <c r="E629" s="224">
        <v>3.15E-2</v>
      </c>
      <c r="F629" s="224">
        <v>1.37E-2</v>
      </c>
      <c r="G629" s="224">
        <v>0</v>
      </c>
      <c r="H629" s="224">
        <v>0</v>
      </c>
      <c r="I629" s="225">
        <v>8.2679000000000009</v>
      </c>
    </row>
    <row r="630" spans="1:9" ht="19.8" thickBot="1" x14ac:dyDescent="0.3">
      <c r="A630" s="226" t="s">
        <v>205</v>
      </c>
      <c r="B630" s="227" t="s">
        <v>144</v>
      </c>
      <c r="C630" s="228" t="s">
        <v>290</v>
      </c>
      <c r="D630" s="212">
        <v>46077</v>
      </c>
      <c r="E630" s="229"/>
      <c r="F630" s="229"/>
      <c r="G630" s="229"/>
      <c r="H630" s="229"/>
      <c r="I630" s="230">
        <v>0</v>
      </c>
    </row>
    <row r="631" spans="1:9" ht="20.399999999999999" thickTop="1" thickBot="1" x14ac:dyDescent="0.3">
      <c r="A631" s="215" t="s">
        <v>85</v>
      </c>
      <c r="B631" s="216" t="s">
        <v>144</v>
      </c>
      <c r="C631" s="217" t="s">
        <v>291</v>
      </c>
      <c r="D631" s="209">
        <v>46076</v>
      </c>
      <c r="E631" s="218">
        <v>110</v>
      </c>
      <c r="F631" s="218">
        <v>182</v>
      </c>
      <c r="G631" s="218">
        <v>397.5</v>
      </c>
      <c r="H631" s="218">
        <v>108.5</v>
      </c>
      <c r="I631" s="218">
        <v>798</v>
      </c>
    </row>
    <row r="632" spans="1:9" ht="19.8" thickTop="1" x14ac:dyDescent="0.25">
      <c r="A632" s="219" t="s">
        <v>86</v>
      </c>
      <c r="B632" s="220" t="s">
        <v>144</v>
      </c>
      <c r="C632" s="221" t="s">
        <v>291</v>
      </c>
      <c r="D632" s="210">
        <v>46076</v>
      </c>
      <c r="E632" s="222">
        <v>106.535</v>
      </c>
      <c r="F632" s="222">
        <v>179.50659999999999</v>
      </c>
      <c r="G632" s="222">
        <v>397.5</v>
      </c>
      <c r="H632" s="222">
        <v>108.5</v>
      </c>
      <c r="I632" s="223">
        <v>792.04160000000002</v>
      </c>
    </row>
    <row r="633" spans="1:9" x14ac:dyDescent="0.25">
      <c r="A633" s="219" t="s">
        <v>87</v>
      </c>
      <c r="B633" s="220" t="s">
        <v>144</v>
      </c>
      <c r="C633" s="221" t="s">
        <v>291</v>
      </c>
      <c r="D633" s="211">
        <v>46076</v>
      </c>
      <c r="E633" s="224">
        <v>3.15E-2</v>
      </c>
      <c r="F633" s="224">
        <v>1.37E-2</v>
      </c>
      <c r="G633" s="224">
        <v>0</v>
      </c>
      <c r="H633" s="224">
        <v>0</v>
      </c>
      <c r="I633" s="225">
        <v>5.9584000000000001</v>
      </c>
    </row>
    <row r="634" spans="1:9" ht="19.8" thickBot="1" x14ac:dyDescent="0.3">
      <c r="A634" s="226" t="s">
        <v>205</v>
      </c>
      <c r="B634" s="227" t="s">
        <v>144</v>
      </c>
      <c r="C634" s="228" t="s">
        <v>291</v>
      </c>
      <c r="D634" s="212">
        <v>46076</v>
      </c>
      <c r="E634" s="229"/>
      <c r="F634" s="229"/>
      <c r="G634" s="229"/>
      <c r="H634" s="229"/>
      <c r="I634" s="230">
        <v>0</v>
      </c>
    </row>
    <row r="635" spans="1:9" ht="20.399999999999999" thickTop="1" thickBot="1" x14ac:dyDescent="0.3">
      <c r="A635" s="215" t="s">
        <v>85</v>
      </c>
      <c r="B635" s="216" t="s">
        <v>144</v>
      </c>
      <c r="C635" s="217" t="s">
        <v>93</v>
      </c>
      <c r="D635" s="209">
        <v>46075</v>
      </c>
      <c r="E635" s="218">
        <v>35</v>
      </c>
      <c r="F635" s="218">
        <v>97</v>
      </c>
      <c r="G635" s="218">
        <v>286</v>
      </c>
      <c r="H635" s="218">
        <v>194</v>
      </c>
      <c r="I635" s="218">
        <v>612</v>
      </c>
    </row>
    <row r="636" spans="1:9" ht="19.8" thickTop="1" x14ac:dyDescent="0.25">
      <c r="A636" s="219" t="s">
        <v>86</v>
      </c>
      <c r="B636" s="220" t="s">
        <v>144</v>
      </c>
      <c r="C636" s="221" t="s">
        <v>93</v>
      </c>
      <c r="D636" s="210">
        <v>46075</v>
      </c>
      <c r="E636" s="222">
        <v>33.897500000000001</v>
      </c>
      <c r="F636" s="222">
        <v>95.671099999999996</v>
      </c>
      <c r="G636" s="222">
        <v>286</v>
      </c>
      <c r="H636" s="222">
        <v>194</v>
      </c>
      <c r="I636" s="223">
        <v>609.56860000000006</v>
      </c>
    </row>
    <row r="637" spans="1:9" x14ac:dyDescent="0.25">
      <c r="A637" s="219" t="s">
        <v>87</v>
      </c>
      <c r="B637" s="220" t="s">
        <v>144</v>
      </c>
      <c r="C637" s="221" t="s">
        <v>93</v>
      </c>
      <c r="D637" s="211">
        <v>46075</v>
      </c>
      <c r="E637" s="224">
        <v>3.15E-2</v>
      </c>
      <c r="F637" s="224">
        <v>1.37E-2</v>
      </c>
      <c r="G637" s="224">
        <v>0</v>
      </c>
      <c r="H637" s="224">
        <v>0</v>
      </c>
      <c r="I637" s="225">
        <v>2.4314</v>
      </c>
    </row>
    <row r="638" spans="1:9" ht="19.8" thickBot="1" x14ac:dyDescent="0.3">
      <c r="A638" s="226" t="s">
        <v>205</v>
      </c>
      <c r="B638" s="227" t="s">
        <v>144</v>
      </c>
      <c r="C638" s="228" t="s">
        <v>93</v>
      </c>
      <c r="D638" s="212">
        <v>46075</v>
      </c>
      <c r="E638" s="229"/>
      <c r="F638" s="229"/>
      <c r="G638" s="229"/>
      <c r="H638" s="229"/>
      <c r="I638" s="230">
        <v>0</v>
      </c>
    </row>
    <row r="639" spans="1:9" ht="20.399999999999999" thickTop="1" thickBot="1" x14ac:dyDescent="0.3">
      <c r="A639" s="215" t="s">
        <v>85</v>
      </c>
      <c r="B639" s="216" t="s">
        <v>144</v>
      </c>
      <c r="C639" s="217" t="s">
        <v>92</v>
      </c>
      <c r="D639" s="209">
        <v>46074</v>
      </c>
      <c r="E639" s="218">
        <v>39</v>
      </c>
      <c r="F639" s="218">
        <v>92</v>
      </c>
      <c r="G639" s="218">
        <v>68</v>
      </c>
      <c r="H639" s="218">
        <v>84</v>
      </c>
      <c r="I639" s="218">
        <v>283</v>
      </c>
    </row>
    <row r="640" spans="1:9" ht="19.8" thickTop="1" x14ac:dyDescent="0.25">
      <c r="A640" s="219" t="s">
        <v>86</v>
      </c>
      <c r="B640" s="220" t="s">
        <v>144</v>
      </c>
      <c r="C640" s="221" t="s">
        <v>92</v>
      </c>
      <c r="D640" s="210">
        <v>46074</v>
      </c>
      <c r="E640" s="222">
        <v>37.771500000000003</v>
      </c>
      <c r="F640" s="222">
        <v>90.739599999999996</v>
      </c>
      <c r="G640" s="222">
        <v>68</v>
      </c>
      <c r="H640" s="222">
        <v>84</v>
      </c>
      <c r="I640" s="223">
        <v>280.5111</v>
      </c>
    </row>
    <row r="641" spans="1:9" x14ac:dyDescent="0.25">
      <c r="A641" s="219" t="s">
        <v>87</v>
      </c>
      <c r="B641" s="220" t="s">
        <v>144</v>
      </c>
      <c r="C641" s="221" t="s">
        <v>92</v>
      </c>
      <c r="D641" s="211">
        <v>46074</v>
      </c>
      <c r="E641" s="224">
        <v>3.15E-2</v>
      </c>
      <c r="F641" s="224">
        <v>1.37E-2</v>
      </c>
      <c r="G641" s="224">
        <v>0</v>
      </c>
      <c r="H641" s="224">
        <v>0</v>
      </c>
      <c r="I641" s="225">
        <v>2.4889000000000001</v>
      </c>
    </row>
    <row r="642" spans="1:9" ht="19.8" thickBot="1" x14ac:dyDescent="0.3">
      <c r="A642" s="226" t="s">
        <v>205</v>
      </c>
      <c r="B642" s="227" t="s">
        <v>144</v>
      </c>
      <c r="C642" s="228" t="s">
        <v>92</v>
      </c>
      <c r="D642" s="212">
        <v>46074</v>
      </c>
      <c r="E642" s="229"/>
      <c r="F642" s="229"/>
      <c r="G642" s="229"/>
      <c r="H642" s="229"/>
      <c r="I642" s="230">
        <v>0</v>
      </c>
    </row>
    <row r="643" spans="1:9" ht="20.399999999999999" thickTop="1" thickBot="1" x14ac:dyDescent="0.3">
      <c r="A643" s="215" t="s">
        <v>85</v>
      </c>
      <c r="B643" s="216" t="s">
        <v>144</v>
      </c>
      <c r="C643" s="217" t="s">
        <v>83</v>
      </c>
      <c r="D643" s="209">
        <v>46073</v>
      </c>
      <c r="E643" s="218">
        <v>147</v>
      </c>
      <c r="F643" s="218">
        <v>205.5</v>
      </c>
      <c r="G643" s="218">
        <v>211</v>
      </c>
      <c r="H643" s="218">
        <v>177.5</v>
      </c>
      <c r="I643" s="218">
        <v>741</v>
      </c>
    </row>
    <row r="644" spans="1:9" ht="19.8" thickTop="1" x14ac:dyDescent="0.25">
      <c r="A644" s="219" t="s">
        <v>86</v>
      </c>
      <c r="B644" s="220" t="s">
        <v>144</v>
      </c>
      <c r="C644" s="221" t="s">
        <v>83</v>
      </c>
      <c r="D644" s="210">
        <v>46073</v>
      </c>
      <c r="E644" s="222">
        <v>142.36949999999999</v>
      </c>
      <c r="F644" s="222">
        <v>202.68465</v>
      </c>
      <c r="G644" s="222">
        <v>211</v>
      </c>
      <c r="H644" s="222">
        <v>177.5</v>
      </c>
      <c r="I644" s="223">
        <v>733.55414999999994</v>
      </c>
    </row>
    <row r="645" spans="1:9" x14ac:dyDescent="0.25">
      <c r="A645" s="219" t="s">
        <v>87</v>
      </c>
      <c r="B645" s="220" t="s">
        <v>144</v>
      </c>
      <c r="C645" s="221" t="s">
        <v>83</v>
      </c>
      <c r="D645" s="211">
        <v>46073</v>
      </c>
      <c r="E645" s="224">
        <v>3.15E-2</v>
      </c>
      <c r="F645" s="224">
        <v>1.37E-2</v>
      </c>
      <c r="G645" s="224">
        <v>0</v>
      </c>
      <c r="H645" s="224">
        <v>0</v>
      </c>
      <c r="I645" s="225">
        <v>7.4458500000000001</v>
      </c>
    </row>
    <row r="646" spans="1:9" ht="19.8" thickBot="1" x14ac:dyDescent="0.3">
      <c r="A646" s="226" t="s">
        <v>205</v>
      </c>
      <c r="B646" s="227" t="s">
        <v>144</v>
      </c>
      <c r="C646" s="228" t="s">
        <v>83</v>
      </c>
      <c r="D646" s="212">
        <v>46073</v>
      </c>
      <c r="E646" s="229"/>
      <c r="F646" s="229"/>
      <c r="G646" s="229"/>
      <c r="H646" s="229"/>
      <c r="I646" s="230">
        <v>0</v>
      </c>
    </row>
    <row r="647" spans="1:9" ht="20.399999999999999" thickTop="1" thickBot="1" x14ac:dyDescent="0.3">
      <c r="A647" s="215" t="s">
        <v>85</v>
      </c>
      <c r="B647" s="216" t="s">
        <v>144</v>
      </c>
      <c r="C647" s="217" t="s">
        <v>294</v>
      </c>
      <c r="D647" s="209">
        <v>46072</v>
      </c>
      <c r="E647" s="218">
        <v>17</v>
      </c>
      <c r="F647" s="218">
        <v>250</v>
      </c>
      <c r="G647" s="218">
        <v>205.5</v>
      </c>
      <c r="H647" s="218">
        <v>66.5</v>
      </c>
      <c r="I647" s="218">
        <v>539</v>
      </c>
    </row>
    <row r="648" spans="1:9" ht="19.8" thickTop="1" x14ac:dyDescent="0.25">
      <c r="A648" s="219" t="s">
        <v>86</v>
      </c>
      <c r="B648" s="220" t="s">
        <v>144</v>
      </c>
      <c r="C648" s="221" t="s">
        <v>294</v>
      </c>
      <c r="D648" s="210">
        <v>46072</v>
      </c>
      <c r="E648" s="222">
        <v>16.464500000000001</v>
      </c>
      <c r="F648" s="222">
        <v>246.57499999999999</v>
      </c>
      <c r="G648" s="222">
        <v>205.5</v>
      </c>
      <c r="H648" s="222">
        <v>66.5</v>
      </c>
      <c r="I648" s="223">
        <v>535.03949999999998</v>
      </c>
    </row>
    <row r="649" spans="1:9" x14ac:dyDescent="0.25">
      <c r="A649" s="219" t="s">
        <v>87</v>
      </c>
      <c r="B649" s="220" t="s">
        <v>144</v>
      </c>
      <c r="C649" s="221" t="s">
        <v>294</v>
      </c>
      <c r="D649" s="211">
        <v>46072</v>
      </c>
      <c r="E649" s="224">
        <v>3.15E-2</v>
      </c>
      <c r="F649" s="224">
        <v>1.37E-2</v>
      </c>
      <c r="G649" s="224">
        <v>0</v>
      </c>
      <c r="H649" s="224">
        <v>0</v>
      </c>
      <c r="I649" s="225">
        <v>3.9605000000000001</v>
      </c>
    </row>
    <row r="650" spans="1:9" ht="19.8" thickBot="1" x14ac:dyDescent="0.3">
      <c r="A650" s="226" t="s">
        <v>205</v>
      </c>
      <c r="B650" s="227" t="s">
        <v>144</v>
      </c>
      <c r="C650" s="228" t="s">
        <v>294</v>
      </c>
      <c r="D650" s="212">
        <v>46072</v>
      </c>
      <c r="E650" s="229"/>
      <c r="F650" s="229"/>
      <c r="G650" s="229"/>
      <c r="H650" s="229"/>
      <c r="I650" s="230">
        <v>0</v>
      </c>
    </row>
    <row r="651" spans="1:9" ht="20.399999999999999" thickTop="1" thickBot="1" x14ac:dyDescent="0.3">
      <c r="A651" s="215" t="s">
        <v>85</v>
      </c>
      <c r="B651" s="216" t="s">
        <v>144</v>
      </c>
      <c r="C651" s="217" t="s">
        <v>32</v>
      </c>
      <c r="D651" s="209">
        <v>46071</v>
      </c>
      <c r="E651" s="218">
        <v>39</v>
      </c>
      <c r="F651" s="218">
        <v>158</v>
      </c>
      <c r="G651" s="218">
        <v>992.5</v>
      </c>
      <c r="H651" s="218">
        <v>234</v>
      </c>
      <c r="I651" s="218">
        <v>1423.5</v>
      </c>
    </row>
    <row r="652" spans="1:9" ht="19.8" thickTop="1" x14ac:dyDescent="0.25">
      <c r="A652" s="219" t="s">
        <v>86</v>
      </c>
      <c r="B652" s="220" t="s">
        <v>144</v>
      </c>
      <c r="C652" s="221" t="s">
        <v>32</v>
      </c>
      <c r="D652" s="210">
        <v>46071</v>
      </c>
      <c r="E652" s="222">
        <v>37.771500000000003</v>
      </c>
      <c r="F652" s="222">
        <v>155.83539999999999</v>
      </c>
      <c r="G652" s="222">
        <v>992.5</v>
      </c>
      <c r="H652" s="222">
        <v>234</v>
      </c>
      <c r="I652" s="223">
        <v>1420.1069</v>
      </c>
    </row>
    <row r="653" spans="1:9" x14ac:dyDescent="0.25">
      <c r="A653" s="219" t="s">
        <v>87</v>
      </c>
      <c r="B653" s="220" t="s">
        <v>144</v>
      </c>
      <c r="C653" s="221" t="s">
        <v>32</v>
      </c>
      <c r="D653" s="211">
        <v>46071</v>
      </c>
      <c r="E653" s="224">
        <v>3.15E-2</v>
      </c>
      <c r="F653" s="224">
        <v>1.37E-2</v>
      </c>
      <c r="G653" s="224">
        <v>0</v>
      </c>
      <c r="H653" s="224">
        <v>0</v>
      </c>
      <c r="I653" s="225">
        <v>3.3931</v>
      </c>
    </row>
    <row r="654" spans="1:9" ht="19.8" thickBot="1" x14ac:dyDescent="0.3">
      <c r="A654" s="226" t="s">
        <v>205</v>
      </c>
      <c r="B654" s="227" t="s">
        <v>144</v>
      </c>
      <c r="C654" s="228" t="s">
        <v>32</v>
      </c>
      <c r="D654" s="212">
        <v>46071</v>
      </c>
      <c r="E654" s="229"/>
      <c r="F654" s="229"/>
      <c r="G654" s="229"/>
      <c r="H654" s="229"/>
      <c r="I654" s="230">
        <v>0</v>
      </c>
    </row>
    <row r="655" spans="1:9" ht="20.399999999999999" thickTop="1" thickBot="1" x14ac:dyDescent="0.3">
      <c r="A655" s="215" t="s">
        <v>85</v>
      </c>
      <c r="B655" s="216" t="s">
        <v>144</v>
      </c>
      <c r="C655" s="217" t="s">
        <v>290</v>
      </c>
      <c r="D655" s="209">
        <v>46070</v>
      </c>
      <c r="E655" s="218">
        <v>61</v>
      </c>
      <c r="F655" s="218">
        <v>133</v>
      </c>
      <c r="G655" s="218">
        <v>266</v>
      </c>
      <c r="H655" s="218">
        <v>56</v>
      </c>
      <c r="I655" s="218">
        <v>516</v>
      </c>
    </row>
    <row r="656" spans="1:9" ht="19.8" thickTop="1" x14ac:dyDescent="0.25">
      <c r="A656" s="219" t="s">
        <v>86</v>
      </c>
      <c r="B656" s="220" t="s">
        <v>144</v>
      </c>
      <c r="C656" s="221" t="s">
        <v>290</v>
      </c>
      <c r="D656" s="210">
        <v>46070</v>
      </c>
      <c r="E656" s="222">
        <v>59.078499999999998</v>
      </c>
      <c r="F656" s="222">
        <v>131.17789999999999</v>
      </c>
      <c r="G656" s="222">
        <v>266</v>
      </c>
      <c r="H656" s="222">
        <v>56</v>
      </c>
      <c r="I656" s="223">
        <v>512.25639999999999</v>
      </c>
    </row>
    <row r="657" spans="1:9" x14ac:dyDescent="0.25">
      <c r="A657" s="219" t="s">
        <v>87</v>
      </c>
      <c r="B657" s="220" t="s">
        <v>144</v>
      </c>
      <c r="C657" s="221" t="s">
        <v>290</v>
      </c>
      <c r="D657" s="211">
        <v>46070</v>
      </c>
      <c r="E657" s="224">
        <v>3.15E-2</v>
      </c>
      <c r="F657" s="224">
        <v>1.37E-2</v>
      </c>
      <c r="G657" s="224">
        <v>0</v>
      </c>
      <c r="H657" s="224">
        <v>0</v>
      </c>
      <c r="I657" s="225">
        <v>3.7435999999999998</v>
      </c>
    </row>
    <row r="658" spans="1:9" ht="19.8" thickBot="1" x14ac:dyDescent="0.3">
      <c r="A658" s="226" t="s">
        <v>205</v>
      </c>
      <c r="B658" s="227" t="s">
        <v>144</v>
      </c>
      <c r="C658" s="228" t="s">
        <v>290</v>
      </c>
      <c r="D658" s="212">
        <v>46070</v>
      </c>
      <c r="E658" s="229"/>
      <c r="F658" s="229"/>
      <c r="G658" s="229"/>
      <c r="H658" s="229"/>
      <c r="I658" s="230">
        <v>0</v>
      </c>
    </row>
    <row r="659" spans="1:9" ht="20.399999999999999" thickTop="1" thickBot="1" x14ac:dyDescent="0.3">
      <c r="A659" s="215" t="s">
        <v>85</v>
      </c>
      <c r="B659" s="216" t="s">
        <v>144</v>
      </c>
      <c r="C659" s="217" t="s">
        <v>291</v>
      </c>
      <c r="D659" s="209">
        <v>46069</v>
      </c>
      <c r="E659" s="218">
        <v>39</v>
      </c>
      <c r="F659" s="218">
        <v>239</v>
      </c>
      <c r="G659" s="218">
        <v>263</v>
      </c>
      <c r="H659" s="218">
        <v>115</v>
      </c>
      <c r="I659" s="218">
        <v>656</v>
      </c>
    </row>
    <row r="660" spans="1:9" ht="19.8" thickTop="1" x14ac:dyDescent="0.25">
      <c r="A660" s="219" t="s">
        <v>86</v>
      </c>
      <c r="B660" s="220" t="s">
        <v>144</v>
      </c>
      <c r="C660" s="221" t="s">
        <v>291</v>
      </c>
      <c r="D660" s="210">
        <v>46069</v>
      </c>
      <c r="E660" s="222">
        <v>37.771500000000003</v>
      </c>
      <c r="F660" s="222">
        <v>235.72569999999999</v>
      </c>
      <c r="G660" s="222">
        <v>263</v>
      </c>
      <c r="H660" s="222">
        <v>115</v>
      </c>
      <c r="I660" s="223">
        <v>651.49720000000002</v>
      </c>
    </row>
    <row r="661" spans="1:9" x14ac:dyDescent="0.25">
      <c r="A661" s="219" t="s">
        <v>87</v>
      </c>
      <c r="B661" s="220" t="s">
        <v>144</v>
      </c>
      <c r="C661" s="221" t="s">
        <v>291</v>
      </c>
      <c r="D661" s="211">
        <v>46069</v>
      </c>
      <c r="E661" s="224">
        <v>3.15E-2</v>
      </c>
      <c r="F661" s="224">
        <v>1.37E-2</v>
      </c>
      <c r="G661" s="224">
        <v>0</v>
      </c>
      <c r="H661" s="224">
        <v>0</v>
      </c>
      <c r="I661" s="225">
        <v>4.5028000000000006</v>
      </c>
    </row>
    <row r="662" spans="1:9" ht="19.8" thickBot="1" x14ac:dyDescent="0.3">
      <c r="A662" s="226" t="s">
        <v>205</v>
      </c>
      <c r="B662" s="227" t="s">
        <v>144</v>
      </c>
      <c r="C662" s="228" t="s">
        <v>291</v>
      </c>
      <c r="D662" s="212">
        <v>46069</v>
      </c>
      <c r="E662" s="229"/>
      <c r="F662" s="229"/>
      <c r="G662" s="229"/>
      <c r="H662" s="229"/>
      <c r="I662" s="230">
        <v>0</v>
      </c>
    </row>
    <row r="663" spans="1:9" ht="20.399999999999999" thickTop="1" thickBot="1" x14ac:dyDescent="0.3">
      <c r="A663" s="215" t="s">
        <v>85</v>
      </c>
      <c r="B663" s="216" t="s">
        <v>144</v>
      </c>
      <c r="C663" s="217" t="s">
        <v>93</v>
      </c>
      <c r="D663" s="209">
        <v>46068</v>
      </c>
      <c r="E663" s="218">
        <v>95</v>
      </c>
      <c r="F663" s="218">
        <v>152</v>
      </c>
      <c r="G663" s="218">
        <v>22</v>
      </c>
      <c r="H663" s="218">
        <v>27</v>
      </c>
      <c r="I663" s="218">
        <v>296</v>
      </c>
    </row>
    <row r="664" spans="1:9" ht="19.8" thickTop="1" x14ac:dyDescent="0.25">
      <c r="A664" s="219" t="s">
        <v>86</v>
      </c>
      <c r="B664" s="220" t="s">
        <v>144</v>
      </c>
      <c r="C664" s="221" t="s">
        <v>93</v>
      </c>
      <c r="D664" s="210">
        <v>46068</v>
      </c>
      <c r="E664" s="222">
        <v>92.007499999999993</v>
      </c>
      <c r="F664" s="222">
        <v>149.91759999999999</v>
      </c>
      <c r="G664" s="222">
        <v>22</v>
      </c>
      <c r="H664" s="222">
        <v>27</v>
      </c>
      <c r="I664" s="223">
        <v>290.92509999999999</v>
      </c>
    </row>
    <row r="665" spans="1:9" x14ac:dyDescent="0.25">
      <c r="A665" s="219" t="s">
        <v>87</v>
      </c>
      <c r="B665" s="220" t="s">
        <v>144</v>
      </c>
      <c r="C665" s="221" t="s">
        <v>93</v>
      </c>
      <c r="D665" s="211">
        <v>46068</v>
      </c>
      <c r="E665" s="224">
        <v>3.15E-2</v>
      </c>
      <c r="F665" s="224">
        <v>1.37E-2</v>
      </c>
      <c r="G665" s="224">
        <v>0</v>
      </c>
      <c r="H665" s="224">
        <v>0</v>
      </c>
      <c r="I665" s="225">
        <v>5.0749000000000004</v>
      </c>
    </row>
    <row r="666" spans="1:9" ht="19.8" thickBot="1" x14ac:dyDescent="0.3">
      <c r="A666" s="226" t="s">
        <v>205</v>
      </c>
      <c r="B666" s="227" t="s">
        <v>144</v>
      </c>
      <c r="C666" s="228" t="s">
        <v>93</v>
      </c>
      <c r="D666" s="212">
        <v>46068</v>
      </c>
      <c r="E666" s="229"/>
      <c r="F666" s="229"/>
      <c r="G666" s="229"/>
      <c r="H666" s="229"/>
      <c r="I666" s="230">
        <v>0</v>
      </c>
    </row>
    <row r="667" spans="1:9" ht="20.399999999999999" thickTop="1" thickBot="1" x14ac:dyDescent="0.3">
      <c r="A667" s="215" t="s">
        <v>85</v>
      </c>
      <c r="B667" s="216" t="s">
        <v>144</v>
      </c>
      <c r="C667" s="217" t="s">
        <v>92</v>
      </c>
      <c r="D667" s="209">
        <v>46067</v>
      </c>
      <c r="E667" s="218">
        <v>0</v>
      </c>
      <c r="F667" s="218">
        <v>46.5</v>
      </c>
      <c r="G667" s="218">
        <v>50</v>
      </c>
      <c r="H667" s="218">
        <v>81.5</v>
      </c>
      <c r="I667" s="218">
        <v>178</v>
      </c>
    </row>
    <row r="668" spans="1:9" ht="19.8" thickTop="1" x14ac:dyDescent="0.25">
      <c r="A668" s="219" t="s">
        <v>86</v>
      </c>
      <c r="B668" s="220" t="s">
        <v>144</v>
      </c>
      <c r="C668" s="221" t="s">
        <v>92</v>
      </c>
      <c r="D668" s="210">
        <v>46067</v>
      </c>
      <c r="E668" s="222">
        <v>0</v>
      </c>
      <c r="F668" s="222">
        <v>45.862949999999998</v>
      </c>
      <c r="G668" s="222">
        <v>50</v>
      </c>
      <c r="H668" s="222">
        <v>81.5</v>
      </c>
      <c r="I668" s="223">
        <v>177.36295000000001</v>
      </c>
    </row>
    <row r="669" spans="1:9" x14ac:dyDescent="0.25">
      <c r="A669" s="219" t="s">
        <v>87</v>
      </c>
      <c r="B669" s="220" t="s">
        <v>144</v>
      </c>
      <c r="C669" s="221" t="s">
        <v>92</v>
      </c>
      <c r="D669" s="211">
        <v>46067</v>
      </c>
      <c r="E669" s="224">
        <v>3.15E-2</v>
      </c>
      <c r="F669" s="224">
        <v>1.37E-2</v>
      </c>
      <c r="G669" s="224">
        <v>0</v>
      </c>
      <c r="H669" s="224">
        <v>0</v>
      </c>
      <c r="I669" s="225">
        <v>0.63705000000000001</v>
      </c>
    </row>
    <row r="670" spans="1:9" ht="19.8" thickBot="1" x14ac:dyDescent="0.3">
      <c r="A670" s="226" t="s">
        <v>205</v>
      </c>
      <c r="B670" s="227" t="s">
        <v>144</v>
      </c>
      <c r="C670" s="228" t="s">
        <v>92</v>
      </c>
      <c r="D670" s="212">
        <v>46067</v>
      </c>
      <c r="E670" s="229"/>
      <c r="F670" s="229"/>
      <c r="G670" s="229"/>
      <c r="H670" s="229"/>
      <c r="I670" s="230">
        <v>0</v>
      </c>
    </row>
    <row r="671" spans="1:9" ht="20.399999999999999" thickTop="1" thickBot="1" x14ac:dyDescent="0.3">
      <c r="A671" s="215" t="s">
        <v>85</v>
      </c>
      <c r="B671" s="216" t="s">
        <v>144</v>
      </c>
      <c r="C671" s="217" t="s">
        <v>83</v>
      </c>
      <c r="D671" s="209">
        <v>46066</v>
      </c>
      <c r="E671" s="218">
        <v>104</v>
      </c>
      <c r="F671" s="218">
        <v>209</v>
      </c>
      <c r="G671" s="218">
        <v>243.5</v>
      </c>
      <c r="H671" s="218">
        <v>58</v>
      </c>
      <c r="I671" s="218">
        <v>614.5</v>
      </c>
    </row>
    <row r="672" spans="1:9" ht="19.8" thickTop="1" x14ac:dyDescent="0.25">
      <c r="A672" s="219" t="s">
        <v>86</v>
      </c>
      <c r="B672" s="220" t="s">
        <v>144</v>
      </c>
      <c r="C672" s="221" t="s">
        <v>83</v>
      </c>
      <c r="D672" s="210">
        <v>46066</v>
      </c>
      <c r="E672" s="222">
        <v>100.724</v>
      </c>
      <c r="F672" s="222">
        <v>206.13669999999999</v>
      </c>
      <c r="G672" s="222">
        <v>243.5</v>
      </c>
      <c r="H672" s="222">
        <v>58</v>
      </c>
      <c r="I672" s="223">
        <v>608.36069999999995</v>
      </c>
    </row>
    <row r="673" spans="1:9" x14ac:dyDescent="0.25">
      <c r="A673" s="219" t="s">
        <v>87</v>
      </c>
      <c r="B673" s="220" t="s">
        <v>144</v>
      </c>
      <c r="C673" s="221" t="s">
        <v>83</v>
      </c>
      <c r="D673" s="211">
        <v>46066</v>
      </c>
      <c r="E673" s="224">
        <v>3.15E-2</v>
      </c>
      <c r="F673" s="224">
        <v>1.37E-2</v>
      </c>
      <c r="G673" s="224">
        <v>0</v>
      </c>
      <c r="H673" s="224">
        <v>0</v>
      </c>
      <c r="I673" s="225">
        <v>6.1393000000000004</v>
      </c>
    </row>
    <row r="674" spans="1:9" ht="19.8" thickBot="1" x14ac:dyDescent="0.3">
      <c r="A674" s="226" t="s">
        <v>205</v>
      </c>
      <c r="B674" s="227" t="s">
        <v>144</v>
      </c>
      <c r="C674" s="228" t="s">
        <v>83</v>
      </c>
      <c r="D674" s="212">
        <v>46066</v>
      </c>
      <c r="E674" s="229"/>
      <c r="F674" s="229"/>
      <c r="G674" s="229"/>
      <c r="H674" s="229"/>
      <c r="I674" s="230">
        <v>0</v>
      </c>
    </row>
    <row r="675" spans="1:9" ht="20.399999999999999" thickTop="1" thickBot="1" x14ac:dyDescent="0.3">
      <c r="A675" s="215" t="s">
        <v>85</v>
      </c>
      <c r="B675" s="216" t="s">
        <v>144</v>
      </c>
      <c r="C675" s="217" t="s">
        <v>294</v>
      </c>
      <c r="D675" s="209">
        <v>46065</v>
      </c>
      <c r="E675" s="218">
        <v>45</v>
      </c>
      <c r="F675" s="218">
        <v>172.5</v>
      </c>
      <c r="G675" s="218">
        <v>555.5</v>
      </c>
      <c r="H675" s="218">
        <v>28.5</v>
      </c>
      <c r="I675" s="218">
        <v>801.5</v>
      </c>
    </row>
    <row r="676" spans="1:9" ht="19.8" thickTop="1" x14ac:dyDescent="0.25">
      <c r="A676" s="219" t="s">
        <v>86</v>
      </c>
      <c r="B676" s="220" t="s">
        <v>144</v>
      </c>
      <c r="C676" s="221" t="s">
        <v>294</v>
      </c>
      <c r="D676" s="210">
        <v>46065</v>
      </c>
      <c r="E676" s="222">
        <v>43.582500000000003</v>
      </c>
      <c r="F676" s="222">
        <v>170.13675000000001</v>
      </c>
      <c r="G676" s="222">
        <v>555.5</v>
      </c>
      <c r="H676" s="222">
        <v>28.5</v>
      </c>
      <c r="I676" s="223">
        <v>797.71924999999999</v>
      </c>
    </row>
    <row r="677" spans="1:9" x14ac:dyDescent="0.25">
      <c r="A677" s="219" t="s">
        <v>87</v>
      </c>
      <c r="B677" s="220" t="s">
        <v>144</v>
      </c>
      <c r="C677" s="221" t="s">
        <v>294</v>
      </c>
      <c r="D677" s="211">
        <v>46065</v>
      </c>
      <c r="E677" s="224">
        <v>3.15E-2</v>
      </c>
      <c r="F677" s="224">
        <v>1.37E-2</v>
      </c>
      <c r="G677" s="224">
        <v>0</v>
      </c>
      <c r="H677" s="224">
        <v>0</v>
      </c>
      <c r="I677" s="225">
        <v>3.7807499999999998</v>
      </c>
    </row>
    <row r="678" spans="1:9" ht="19.8" thickBot="1" x14ac:dyDescent="0.3">
      <c r="A678" s="226" t="s">
        <v>205</v>
      </c>
      <c r="B678" s="227" t="s">
        <v>144</v>
      </c>
      <c r="C678" s="228" t="s">
        <v>294</v>
      </c>
      <c r="D678" s="212">
        <v>46065</v>
      </c>
      <c r="E678" s="229"/>
      <c r="F678" s="229"/>
      <c r="G678" s="229"/>
      <c r="H678" s="229"/>
      <c r="I678" s="230">
        <v>0</v>
      </c>
    </row>
    <row r="679" spans="1:9" ht="20.399999999999999" thickTop="1" thickBot="1" x14ac:dyDescent="0.3">
      <c r="A679" s="215" t="s">
        <v>85</v>
      </c>
      <c r="B679" s="216" t="s">
        <v>144</v>
      </c>
      <c r="C679" s="217" t="s">
        <v>32</v>
      </c>
      <c r="D679" s="209">
        <v>46064</v>
      </c>
      <c r="E679" s="218">
        <v>118</v>
      </c>
      <c r="F679" s="218">
        <v>237</v>
      </c>
      <c r="G679" s="218">
        <v>308.75</v>
      </c>
      <c r="H679" s="218">
        <v>176.25</v>
      </c>
      <c r="I679" s="218">
        <v>840</v>
      </c>
    </row>
    <row r="680" spans="1:9" ht="19.8" thickTop="1" x14ac:dyDescent="0.25">
      <c r="A680" s="219" t="s">
        <v>86</v>
      </c>
      <c r="B680" s="220" t="s">
        <v>144</v>
      </c>
      <c r="C680" s="221" t="s">
        <v>32</v>
      </c>
      <c r="D680" s="210">
        <v>46064</v>
      </c>
      <c r="E680" s="222">
        <v>114.283</v>
      </c>
      <c r="F680" s="222">
        <v>233.75309999999999</v>
      </c>
      <c r="G680" s="222">
        <v>308.75</v>
      </c>
      <c r="H680" s="222">
        <v>176.25</v>
      </c>
      <c r="I680" s="223">
        <v>833.03610000000003</v>
      </c>
    </row>
    <row r="681" spans="1:9" x14ac:dyDescent="0.25">
      <c r="A681" s="219" t="s">
        <v>87</v>
      </c>
      <c r="B681" s="220" t="s">
        <v>144</v>
      </c>
      <c r="C681" s="221" t="s">
        <v>32</v>
      </c>
      <c r="D681" s="211">
        <v>46064</v>
      </c>
      <c r="E681" s="224">
        <v>3.15E-2</v>
      </c>
      <c r="F681" s="224">
        <v>1.37E-2</v>
      </c>
      <c r="G681" s="224">
        <v>0</v>
      </c>
      <c r="H681" s="224">
        <v>0</v>
      </c>
      <c r="I681" s="225">
        <v>6.9639000000000006</v>
      </c>
    </row>
    <row r="682" spans="1:9" ht="19.8" thickBot="1" x14ac:dyDescent="0.3">
      <c r="A682" s="226" t="s">
        <v>205</v>
      </c>
      <c r="B682" s="227" t="s">
        <v>144</v>
      </c>
      <c r="C682" s="228" t="s">
        <v>32</v>
      </c>
      <c r="D682" s="212">
        <v>46064</v>
      </c>
      <c r="E682" s="229"/>
      <c r="F682" s="229"/>
      <c r="G682" s="229"/>
      <c r="H682" s="229"/>
      <c r="I682" s="230">
        <v>0</v>
      </c>
    </row>
    <row r="683" spans="1:9" ht="20.399999999999999" thickTop="1" thickBot="1" x14ac:dyDescent="0.3">
      <c r="A683" s="215" t="s">
        <v>85</v>
      </c>
      <c r="B683" s="216" t="s">
        <v>144</v>
      </c>
      <c r="C683" s="217" t="s">
        <v>290</v>
      </c>
      <c r="D683" s="209">
        <v>46063</v>
      </c>
      <c r="E683" s="218">
        <v>126</v>
      </c>
      <c r="F683" s="218">
        <v>260.60000000000002</v>
      </c>
      <c r="G683" s="218">
        <v>173.5</v>
      </c>
      <c r="H683" s="218">
        <v>158.89999999999998</v>
      </c>
      <c r="I683" s="218">
        <v>719</v>
      </c>
    </row>
    <row r="684" spans="1:9" ht="19.8" thickTop="1" x14ac:dyDescent="0.25">
      <c r="A684" s="219" t="s">
        <v>86</v>
      </c>
      <c r="B684" s="220" t="s">
        <v>144</v>
      </c>
      <c r="C684" s="221" t="s">
        <v>290</v>
      </c>
      <c r="D684" s="210">
        <v>46063</v>
      </c>
      <c r="E684" s="222">
        <v>122.03100000000001</v>
      </c>
      <c r="F684" s="222">
        <v>257.02978000000002</v>
      </c>
      <c r="G684" s="222">
        <v>173.5</v>
      </c>
      <c r="H684" s="222">
        <v>158.89999999999998</v>
      </c>
      <c r="I684" s="223">
        <v>711.46078</v>
      </c>
    </row>
    <row r="685" spans="1:9" x14ac:dyDescent="0.25">
      <c r="A685" s="219" t="s">
        <v>87</v>
      </c>
      <c r="B685" s="220" t="s">
        <v>144</v>
      </c>
      <c r="C685" s="221" t="s">
        <v>290</v>
      </c>
      <c r="D685" s="211">
        <v>46063</v>
      </c>
      <c r="E685" s="224">
        <v>3.15E-2</v>
      </c>
      <c r="F685" s="224">
        <v>1.37E-2</v>
      </c>
      <c r="G685" s="224">
        <v>0</v>
      </c>
      <c r="H685" s="224">
        <v>0</v>
      </c>
      <c r="I685" s="225">
        <v>7.5392200000000003</v>
      </c>
    </row>
    <row r="686" spans="1:9" ht="19.8" thickBot="1" x14ac:dyDescent="0.3">
      <c r="A686" s="226" t="s">
        <v>205</v>
      </c>
      <c r="B686" s="227" t="s">
        <v>144</v>
      </c>
      <c r="C686" s="228" t="s">
        <v>290</v>
      </c>
      <c r="D686" s="212">
        <v>46063</v>
      </c>
      <c r="E686" s="229"/>
      <c r="F686" s="229"/>
      <c r="G686" s="229"/>
      <c r="H686" s="229"/>
      <c r="I686" s="230">
        <v>0</v>
      </c>
    </row>
    <row r="687" spans="1:9" ht="20.399999999999999" thickTop="1" thickBot="1" x14ac:dyDescent="0.3">
      <c r="A687" s="215" t="s">
        <v>85</v>
      </c>
      <c r="B687" s="216" t="s">
        <v>144</v>
      </c>
      <c r="C687" s="217" t="s">
        <v>291</v>
      </c>
      <c r="D687" s="209">
        <v>46062</v>
      </c>
      <c r="E687" s="218">
        <v>79.5</v>
      </c>
      <c r="F687" s="218">
        <v>267.5</v>
      </c>
      <c r="G687" s="218">
        <v>505</v>
      </c>
      <c r="H687" s="218">
        <v>99</v>
      </c>
      <c r="I687" s="218">
        <v>951</v>
      </c>
    </row>
    <row r="688" spans="1:9" ht="19.8" thickTop="1" x14ac:dyDescent="0.25">
      <c r="A688" s="219" t="s">
        <v>86</v>
      </c>
      <c r="B688" s="220" t="s">
        <v>144</v>
      </c>
      <c r="C688" s="221" t="s">
        <v>291</v>
      </c>
      <c r="D688" s="210">
        <v>46062</v>
      </c>
      <c r="E688" s="222">
        <v>76.995750000000001</v>
      </c>
      <c r="F688" s="222">
        <v>263.83524999999997</v>
      </c>
      <c r="G688" s="222">
        <v>505</v>
      </c>
      <c r="H688" s="222">
        <v>99</v>
      </c>
      <c r="I688" s="223">
        <v>944.8309999999999</v>
      </c>
    </row>
    <row r="689" spans="1:9" x14ac:dyDescent="0.25">
      <c r="A689" s="219" t="s">
        <v>87</v>
      </c>
      <c r="B689" s="220" t="s">
        <v>144</v>
      </c>
      <c r="C689" s="221" t="s">
        <v>291</v>
      </c>
      <c r="D689" s="211">
        <v>46062</v>
      </c>
      <c r="E689" s="224">
        <v>3.15E-2</v>
      </c>
      <c r="F689" s="224">
        <v>1.37E-2</v>
      </c>
      <c r="G689" s="224">
        <v>0</v>
      </c>
      <c r="H689" s="224">
        <v>0</v>
      </c>
      <c r="I689" s="225">
        <v>6.1690000000000005</v>
      </c>
    </row>
    <row r="690" spans="1:9" ht="19.8" thickBot="1" x14ac:dyDescent="0.3">
      <c r="A690" s="226" t="s">
        <v>205</v>
      </c>
      <c r="B690" s="227" t="s">
        <v>144</v>
      </c>
      <c r="C690" s="228" t="s">
        <v>291</v>
      </c>
      <c r="D690" s="212">
        <v>46062</v>
      </c>
      <c r="E690" s="229"/>
      <c r="F690" s="229"/>
      <c r="G690" s="229"/>
      <c r="H690" s="229"/>
      <c r="I690" s="230">
        <v>0</v>
      </c>
    </row>
    <row r="691" spans="1:9" ht="20.399999999999999" thickTop="1" thickBot="1" x14ac:dyDescent="0.3">
      <c r="A691" s="215" t="s">
        <v>85</v>
      </c>
      <c r="B691" s="216" t="s">
        <v>144</v>
      </c>
      <c r="C691" s="217" t="s">
        <v>93</v>
      </c>
      <c r="D691" s="209">
        <v>46061</v>
      </c>
      <c r="E691" s="218">
        <v>83</v>
      </c>
      <c r="F691" s="218">
        <v>168</v>
      </c>
      <c r="G691" s="218">
        <v>456.5</v>
      </c>
      <c r="H691" s="218">
        <v>59</v>
      </c>
      <c r="I691" s="218">
        <v>766.5</v>
      </c>
    </row>
    <row r="692" spans="1:9" ht="19.8" thickTop="1" x14ac:dyDescent="0.25">
      <c r="A692" s="219" t="s">
        <v>86</v>
      </c>
      <c r="B692" s="220" t="s">
        <v>144</v>
      </c>
      <c r="C692" s="221" t="s">
        <v>93</v>
      </c>
      <c r="D692" s="210">
        <v>46061</v>
      </c>
      <c r="E692" s="222">
        <v>80.385499999999993</v>
      </c>
      <c r="F692" s="222">
        <v>165.69839999999999</v>
      </c>
      <c r="G692" s="222">
        <v>456.5</v>
      </c>
      <c r="H692" s="222">
        <v>59</v>
      </c>
      <c r="I692" s="223">
        <v>761.58389999999997</v>
      </c>
    </row>
    <row r="693" spans="1:9" x14ac:dyDescent="0.25">
      <c r="A693" s="219" t="s">
        <v>87</v>
      </c>
      <c r="B693" s="220" t="s">
        <v>144</v>
      </c>
      <c r="C693" s="221" t="s">
        <v>93</v>
      </c>
      <c r="D693" s="211">
        <v>46061</v>
      </c>
      <c r="E693" s="224">
        <v>3.15E-2</v>
      </c>
      <c r="F693" s="224">
        <v>1.37E-2</v>
      </c>
      <c r="G693" s="224">
        <v>0</v>
      </c>
      <c r="H693" s="224">
        <v>0</v>
      </c>
      <c r="I693" s="225">
        <v>4.9161000000000001</v>
      </c>
    </row>
    <row r="694" spans="1:9" ht="19.8" thickBot="1" x14ac:dyDescent="0.3">
      <c r="A694" s="226" t="s">
        <v>205</v>
      </c>
      <c r="B694" s="227" t="s">
        <v>144</v>
      </c>
      <c r="C694" s="228" t="s">
        <v>93</v>
      </c>
      <c r="D694" s="212">
        <v>46061</v>
      </c>
      <c r="E694" s="229"/>
      <c r="F694" s="229"/>
      <c r="G694" s="229"/>
      <c r="H694" s="229"/>
      <c r="I694" s="230">
        <v>0</v>
      </c>
    </row>
    <row r="695" spans="1:9" ht="20.399999999999999" thickTop="1" thickBot="1" x14ac:dyDescent="0.3">
      <c r="A695" s="215" t="s">
        <v>85</v>
      </c>
      <c r="B695" s="216" t="s">
        <v>144</v>
      </c>
      <c r="C695" s="217" t="s">
        <v>92</v>
      </c>
      <c r="D695" s="209">
        <v>46060</v>
      </c>
      <c r="E695" s="218">
        <v>20</v>
      </c>
      <c r="F695" s="218">
        <v>140</v>
      </c>
      <c r="G695" s="218">
        <v>57.5</v>
      </c>
      <c r="H695" s="218">
        <v>267</v>
      </c>
      <c r="I695" s="218">
        <v>484.5</v>
      </c>
    </row>
    <row r="696" spans="1:9" ht="19.8" thickTop="1" x14ac:dyDescent="0.25">
      <c r="A696" s="219" t="s">
        <v>86</v>
      </c>
      <c r="B696" s="220" t="s">
        <v>144</v>
      </c>
      <c r="C696" s="221" t="s">
        <v>92</v>
      </c>
      <c r="D696" s="210">
        <v>46060</v>
      </c>
      <c r="E696" s="222">
        <v>19.37</v>
      </c>
      <c r="F696" s="222">
        <v>138.08199999999999</v>
      </c>
      <c r="G696" s="222">
        <v>57.5</v>
      </c>
      <c r="H696" s="222">
        <v>267</v>
      </c>
      <c r="I696" s="223">
        <v>481.952</v>
      </c>
    </row>
    <row r="697" spans="1:9" x14ac:dyDescent="0.25">
      <c r="A697" s="219" t="s">
        <v>87</v>
      </c>
      <c r="B697" s="220" t="s">
        <v>144</v>
      </c>
      <c r="C697" s="221" t="s">
        <v>92</v>
      </c>
      <c r="D697" s="211">
        <v>46060</v>
      </c>
      <c r="E697" s="224">
        <v>3.15E-2</v>
      </c>
      <c r="F697" s="224">
        <v>1.37E-2</v>
      </c>
      <c r="G697" s="224">
        <v>0</v>
      </c>
      <c r="H697" s="224">
        <v>0</v>
      </c>
      <c r="I697" s="225">
        <v>2.548</v>
      </c>
    </row>
    <row r="698" spans="1:9" ht="19.8" thickBot="1" x14ac:dyDescent="0.3">
      <c r="A698" s="226" t="s">
        <v>205</v>
      </c>
      <c r="B698" s="227" t="s">
        <v>144</v>
      </c>
      <c r="C698" s="228" t="s">
        <v>92</v>
      </c>
      <c r="D698" s="212">
        <v>46060</v>
      </c>
      <c r="E698" s="229"/>
      <c r="F698" s="229"/>
      <c r="G698" s="229"/>
      <c r="H698" s="229"/>
      <c r="I698" s="230">
        <v>0</v>
      </c>
    </row>
    <row r="699" spans="1:9" ht="20.399999999999999" thickTop="1" thickBot="1" x14ac:dyDescent="0.3">
      <c r="A699" s="215" t="s">
        <v>85</v>
      </c>
      <c r="B699" s="216" t="s">
        <v>144</v>
      </c>
      <c r="C699" s="217" t="s">
        <v>83</v>
      </c>
      <c r="D699" s="209">
        <v>46059</v>
      </c>
      <c r="E699" s="218">
        <v>45</v>
      </c>
      <c r="F699" s="218">
        <v>183</v>
      </c>
      <c r="G699" s="218">
        <v>257.75</v>
      </c>
      <c r="H699" s="218">
        <v>124.25</v>
      </c>
      <c r="I699" s="218">
        <v>610</v>
      </c>
    </row>
    <row r="700" spans="1:9" ht="19.8" thickTop="1" x14ac:dyDescent="0.25">
      <c r="A700" s="219" t="s">
        <v>86</v>
      </c>
      <c r="B700" s="220" t="s">
        <v>144</v>
      </c>
      <c r="C700" s="221" t="s">
        <v>83</v>
      </c>
      <c r="D700" s="210">
        <v>46059</v>
      </c>
      <c r="E700" s="222">
        <v>43.582500000000003</v>
      </c>
      <c r="F700" s="222">
        <v>180.49289999999999</v>
      </c>
      <c r="G700" s="222">
        <v>257.75</v>
      </c>
      <c r="H700" s="222">
        <v>124.25</v>
      </c>
      <c r="I700" s="223">
        <v>606.07539999999995</v>
      </c>
    </row>
    <row r="701" spans="1:9" x14ac:dyDescent="0.25">
      <c r="A701" s="219" t="s">
        <v>87</v>
      </c>
      <c r="B701" s="220" t="s">
        <v>144</v>
      </c>
      <c r="C701" s="221" t="s">
        <v>83</v>
      </c>
      <c r="D701" s="211">
        <v>46059</v>
      </c>
      <c r="E701" s="224">
        <v>3.15E-2</v>
      </c>
      <c r="F701" s="224">
        <v>1.37E-2</v>
      </c>
      <c r="G701" s="224">
        <v>0</v>
      </c>
      <c r="H701" s="224">
        <v>0</v>
      </c>
      <c r="I701" s="225">
        <v>3.9245999999999999</v>
      </c>
    </row>
    <row r="702" spans="1:9" ht="19.8" thickBot="1" x14ac:dyDescent="0.3">
      <c r="A702" s="226" t="s">
        <v>205</v>
      </c>
      <c r="B702" s="227" t="s">
        <v>144</v>
      </c>
      <c r="C702" s="228" t="s">
        <v>83</v>
      </c>
      <c r="D702" s="212">
        <v>46059</v>
      </c>
      <c r="E702" s="229"/>
      <c r="F702" s="229"/>
      <c r="G702" s="229"/>
      <c r="H702" s="229"/>
      <c r="I702" s="230">
        <v>0</v>
      </c>
    </row>
    <row r="703" spans="1:9" ht="20.399999999999999" thickTop="1" thickBot="1" x14ac:dyDescent="0.3">
      <c r="A703" s="215" t="s">
        <v>85</v>
      </c>
      <c r="B703" s="216" t="s">
        <v>144</v>
      </c>
      <c r="C703" s="217" t="s">
        <v>294</v>
      </c>
      <c r="D703" s="209">
        <v>46058</v>
      </c>
      <c r="E703" s="218">
        <v>206</v>
      </c>
      <c r="F703" s="218">
        <v>86</v>
      </c>
      <c r="G703" s="218">
        <v>207.5</v>
      </c>
      <c r="H703" s="218">
        <v>55.5</v>
      </c>
      <c r="I703" s="218">
        <v>555</v>
      </c>
    </row>
    <row r="704" spans="1:9" ht="19.8" thickTop="1" x14ac:dyDescent="0.25">
      <c r="A704" s="219" t="s">
        <v>86</v>
      </c>
      <c r="B704" s="220" t="s">
        <v>144</v>
      </c>
      <c r="C704" s="221" t="s">
        <v>294</v>
      </c>
      <c r="D704" s="210">
        <v>46058</v>
      </c>
      <c r="E704" s="222">
        <v>199.511</v>
      </c>
      <c r="F704" s="222">
        <v>84.821799999999996</v>
      </c>
      <c r="G704" s="222">
        <v>207.5</v>
      </c>
      <c r="H704" s="222">
        <v>55.5</v>
      </c>
      <c r="I704" s="223">
        <v>547.33280000000002</v>
      </c>
    </row>
    <row r="705" spans="1:9" x14ac:dyDescent="0.25">
      <c r="A705" s="219" t="s">
        <v>87</v>
      </c>
      <c r="B705" s="220" t="s">
        <v>144</v>
      </c>
      <c r="C705" s="221" t="s">
        <v>294</v>
      </c>
      <c r="D705" s="211">
        <v>46058</v>
      </c>
      <c r="E705" s="224">
        <v>3.15E-2</v>
      </c>
      <c r="F705" s="224">
        <v>1.37E-2</v>
      </c>
      <c r="G705" s="224">
        <v>0</v>
      </c>
      <c r="H705" s="224">
        <v>0</v>
      </c>
      <c r="I705" s="225">
        <v>7.6672000000000002</v>
      </c>
    </row>
    <row r="706" spans="1:9" ht="19.8" thickBot="1" x14ac:dyDescent="0.3">
      <c r="A706" s="226" t="s">
        <v>205</v>
      </c>
      <c r="B706" s="227" t="s">
        <v>144</v>
      </c>
      <c r="C706" s="228" t="s">
        <v>294</v>
      </c>
      <c r="D706" s="212">
        <v>46058</v>
      </c>
      <c r="E706" s="229"/>
      <c r="F706" s="229"/>
      <c r="G706" s="229"/>
      <c r="H706" s="229"/>
      <c r="I706" s="230">
        <v>0</v>
      </c>
    </row>
    <row r="707" spans="1:9" ht="20.399999999999999" thickTop="1" thickBot="1" x14ac:dyDescent="0.3">
      <c r="A707" s="215" t="s">
        <v>85</v>
      </c>
      <c r="B707" s="216" t="s">
        <v>144</v>
      </c>
      <c r="C707" s="217" t="s">
        <v>32</v>
      </c>
      <c r="D707" s="209">
        <v>46057</v>
      </c>
      <c r="E707" s="218">
        <v>23</v>
      </c>
      <c r="F707" s="218">
        <v>163</v>
      </c>
      <c r="G707" s="218">
        <v>96</v>
      </c>
      <c r="H707" s="218">
        <v>181</v>
      </c>
      <c r="I707" s="218">
        <v>463</v>
      </c>
    </row>
    <row r="708" spans="1:9" ht="19.8" thickTop="1" x14ac:dyDescent="0.25">
      <c r="A708" s="219" t="s">
        <v>86</v>
      </c>
      <c r="B708" s="220" t="s">
        <v>144</v>
      </c>
      <c r="C708" s="221" t="s">
        <v>32</v>
      </c>
      <c r="D708" s="210">
        <v>46057</v>
      </c>
      <c r="E708" s="222">
        <v>22.275500000000001</v>
      </c>
      <c r="F708" s="222">
        <v>160.76689999999999</v>
      </c>
      <c r="G708" s="222">
        <v>96</v>
      </c>
      <c r="H708" s="222">
        <v>181</v>
      </c>
      <c r="I708" s="223">
        <v>460.04239999999999</v>
      </c>
    </row>
    <row r="709" spans="1:9" x14ac:dyDescent="0.25">
      <c r="A709" s="219" t="s">
        <v>87</v>
      </c>
      <c r="B709" s="220" t="s">
        <v>144</v>
      </c>
      <c r="C709" s="221" t="s">
        <v>32</v>
      </c>
      <c r="D709" s="211">
        <v>46057</v>
      </c>
      <c r="E709" s="224">
        <v>3.15E-2</v>
      </c>
      <c r="F709" s="224">
        <v>1.37E-2</v>
      </c>
      <c r="G709" s="224">
        <v>0</v>
      </c>
      <c r="H709" s="224">
        <v>0</v>
      </c>
      <c r="I709" s="225">
        <v>2.9575999999999998</v>
      </c>
    </row>
    <row r="710" spans="1:9" ht="19.8" thickBot="1" x14ac:dyDescent="0.3">
      <c r="A710" s="226" t="s">
        <v>205</v>
      </c>
      <c r="B710" s="227" t="s">
        <v>144</v>
      </c>
      <c r="C710" s="228" t="s">
        <v>32</v>
      </c>
      <c r="D710" s="212">
        <v>46057</v>
      </c>
      <c r="E710" s="229"/>
      <c r="F710" s="229"/>
      <c r="G710" s="229"/>
      <c r="H710" s="229"/>
      <c r="I710" s="230">
        <v>0</v>
      </c>
    </row>
    <row r="711" spans="1:9" ht="20.399999999999999" thickTop="1" thickBot="1" x14ac:dyDescent="0.3">
      <c r="A711" s="215" t="s">
        <v>85</v>
      </c>
      <c r="B711" s="216" t="s">
        <v>144</v>
      </c>
      <c r="C711" s="217" t="s">
        <v>290</v>
      </c>
      <c r="D711" s="209">
        <v>46056</v>
      </c>
      <c r="E711" s="218">
        <v>0</v>
      </c>
      <c r="F711" s="218">
        <v>249</v>
      </c>
      <c r="G711" s="218">
        <v>165.1</v>
      </c>
      <c r="H711" s="218">
        <v>164.39999999999998</v>
      </c>
      <c r="I711" s="218">
        <v>578.5</v>
      </c>
    </row>
    <row r="712" spans="1:9" ht="19.8" thickTop="1" x14ac:dyDescent="0.25">
      <c r="A712" s="219" t="s">
        <v>86</v>
      </c>
      <c r="B712" s="220" t="s">
        <v>144</v>
      </c>
      <c r="C712" s="221" t="s">
        <v>290</v>
      </c>
      <c r="D712" s="210">
        <v>46056</v>
      </c>
      <c r="E712" s="222">
        <v>0</v>
      </c>
      <c r="F712" s="222">
        <v>245.58869999999999</v>
      </c>
      <c r="G712" s="222">
        <v>165.1</v>
      </c>
      <c r="H712" s="222">
        <v>164.39999999999998</v>
      </c>
      <c r="I712" s="223">
        <v>575.08870000000002</v>
      </c>
    </row>
    <row r="713" spans="1:9" x14ac:dyDescent="0.25">
      <c r="A713" s="219" t="s">
        <v>87</v>
      </c>
      <c r="B713" s="220" t="s">
        <v>144</v>
      </c>
      <c r="C713" s="221" t="s">
        <v>290</v>
      </c>
      <c r="D713" s="211">
        <v>46056</v>
      </c>
      <c r="E713" s="224">
        <v>3.15E-2</v>
      </c>
      <c r="F713" s="224">
        <v>1.37E-2</v>
      </c>
      <c r="G713" s="224">
        <v>0</v>
      </c>
      <c r="H713" s="224">
        <v>0</v>
      </c>
      <c r="I713" s="225">
        <v>3.4113000000000002</v>
      </c>
    </row>
    <row r="714" spans="1:9" ht="19.8" thickBot="1" x14ac:dyDescent="0.3">
      <c r="A714" s="226" t="s">
        <v>205</v>
      </c>
      <c r="B714" s="227" t="s">
        <v>144</v>
      </c>
      <c r="C714" s="228" t="s">
        <v>290</v>
      </c>
      <c r="D714" s="212">
        <v>46056</v>
      </c>
      <c r="E714" s="229"/>
      <c r="F714" s="229"/>
      <c r="G714" s="229"/>
      <c r="H714" s="229"/>
      <c r="I714" s="230">
        <v>0</v>
      </c>
    </row>
    <row r="715" spans="1:9" ht="20.399999999999999" thickTop="1" thickBot="1" x14ac:dyDescent="0.3">
      <c r="A715" s="215" t="s">
        <v>85</v>
      </c>
      <c r="B715" s="216" t="s">
        <v>144</v>
      </c>
      <c r="C715" s="217" t="s">
        <v>291</v>
      </c>
      <c r="D715" s="209">
        <v>46055</v>
      </c>
      <c r="E715" s="218">
        <v>44</v>
      </c>
      <c r="F715" s="218">
        <v>466</v>
      </c>
      <c r="G715" s="218">
        <f>44+164.75</f>
        <v>208.75</v>
      </c>
      <c r="H715" s="218">
        <v>381.75</v>
      </c>
      <c r="I715" s="218">
        <v>1056.5</v>
      </c>
    </row>
    <row r="716" spans="1:9" ht="19.8" thickTop="1" x14ac:dyDescent="0.25">
      <c r="A716" s="219" t="s">
        <v>86</v>
      </c>
      <c r="B716" s="220" t="s">
        <v>144</v>
      </c>
      <c r="C716" s="221" t="s">
        <v>291</v>
      </c>
      <c r="D716" s="210">
        <v>46055</v>
      </c>
      <c r="E716" s="222">
        <v>42.613999999999997</v>
      </c>
      <c r="F716" s="222">
        <v>459.61579999999998</v>
      </c>
      <c r="G716" s="222">
        <v>164.75</v>
      </c>
      <c r="H716" s="222">
        <v>381.75</v>
      </c>
      <c r="I716" s="223">
        <v>1048.7298000000001</v>
      </c>
    </row>
    <row r="717" spans="1:9" x14ac:dyDescent="0.25">
      <c r="A717" s="219" t="s">
        <v>87</v>
      </c>
      <c r="B717" s="220" t="s">
        <v>144</v>
      </c>
      <c r="C717" s="221" t="s">
        <v>291</v>
      </c>
      <c r="D717" s="211">
        <v>46055</v>
      </c>
      <c r="E717" s="224">
        <v>3.15E-2</v>
      </c>
      <c r="F717" s="224">
        <v>1.37E-2</v>
      </c>
      <c r="G717" s="224">
        <v>0</v>
      </c>
      <c r="H717" s="224">
        <v>0</v>
      </c>
      <c r="I717" s="225">
        <v>7.7702</v>
      </c>
    </row>
    <row r="718" spans="1:9" ht="19.8" thickBot="1" x14ac:dyDescent="0.3">
      <c r="A718" s="226" t="s">
        <v>205</v>
      </c>
      <c r="B718" s="227" t="s">
        <v>144</v>
      </c>
      <c r="C718" s="228" t="s">
        <v>291</v>
      </c>
      <c r="D718" s="212">
        <v>46055</v>
      </c>
      <c r="E718" s="229"/>
      <c r="F718" s="229"/>
      <c r="G718" s="229"/>
      <c r="H718" s="229"/>
      <c r="I718" s="230">
        <v>0</v>
      </c>
    </row>
    <row r="719" spans="1:9" ht="20.399999999999999" thickTop="1" thickBot="1" x14ac:dyDescent="0.3">
      <c r="A719" s="215" t="s">
        <v>85</v>
      </c>
      <c r="B719" s="216" t="s">
        <v>144</v>
      </c>
      <c r="C719" s="217" t="s">
        <v>93</v>
      </c>
      <c r="D719" s="209">
        <v>46054</v>
      </c>
      <c r="E719" s="218">
        <v>23</v>
      </c>
      <c r="F719" s="218">
        <v>177.9</v>
      </c>
      <c r="G719" s="218">
        <v>92</v>
      </c>
      <c r="H719" s="218">
        <v>116.10000000000002</v>
      </c>
      <c r="I719" s="218">
        <v>409</v>
      </c>
    </row>
    <row r="720" spans="1:9" ht="19.8" thickTop="1" x14ac:dyDescent="0.25">
      <c r="A720" s="219" t="s">
        <v>86</v>
      </c>
      <c r="B720" s="220" t="s">
        <v>144</v>
      </c>
      <c r="C720" s="221" t="s">
        <v>93</v>
      </c>
      <c r="D720" s="210">
        <v>46054</v>
      </c>
      <c r="E720" s="222">
        <v>22.275500000000001</v>
      </c>
      <c r="F720" s="222">
        <v>175.46277000000001</v>
      </c>
      <c r="G720" s="222">
        <v>92</v>
      </c>
      <c r="H720" s="222">
        <v>116.10000000000002</v>
      </c>
      <c r="I720" s="223">
        <v>405.83827000000002</v>
      </c>
    </row>
    <row r="721" spans="1:9" x14ac:dyDescent="0.25">
      <c r="A721" s="219" t="s">
        <v>87</v>
      </c>
      <c r="B721" s="220" t="s">
        <v>144</v>
      </c>
      <c r="C721" s="221" t="s">
        <v>93</v>
      </c>
      <c r="D721" s="211">
        <v>46054</v>
      </c>
      <c r="E721" s="224">
        <v>3.15E-2</v>
      </c>
      <c r="F721" s="224">
        <v>1.37E-2</v>
      </c>
      <c r="G721" s="224">
        <v>0</v>
      </c>
      <c r="H721" s="224">
        <v>0</v>
      </c>
      <c r="I721" s="225">
        <v>3.1617299999999999</v>
      </c>
    </row>
    <row r="722" spans="1:9" ht="19.8" thickBot="1" x14ac:dyDescent="0.3">
      <c r="A722" s="226" t="s">
        <v>205</v>
      </c>
      <c r="B722" s="227" t="s">
        <v>144</v>
      </c>
      <c r="C722" s="228" t="s">
        <v>93</v>
      </c>
      <c r="D722" s="212">
        <v>46054</v>
      </c>
      <c r="E722" s="229"/>
      <c r="F722" s="229"/>
      <c r="G722" s="229"/>
      <c r="H722" s="229"/>
      <c r="I722" s="230">
        <v>0</v>
      </c>
    </row>
    <row r="723" spans="1:9" ht="20.399999999999999" thickTop="1" thickBot="1" x14ac:dyDescent="0.3">
      <c r="A723" s="215" t="s">
        <v>85</v>
      </c>
      <c r="B723" s="216" t="s">
        <v>141</v>
      </c>
      <c r="C723" s="217" t="s">
        <v>92</v>
      </c>
      <c r="D723" s="209">
        <v>46053</v>
      </c>
      <c r="E723" s="218">
        <v>45</v>
      </c>
      <c r="F723" s="218">
        <v>93.25</v>
      </c>
      <c r="G723" s="218">
        <v>186</v>
      </c>
      <c r="H723" s="218">
        <v>39.75</v>
      </c>
      <c r="I723" s="218">
        <v>364</v>
      </c>
    </row>
    <row r="724" spans="1:9" ht="19.8" thickTop="1" x14ac:dyDescent="0.25">
      <c r="A724" s="219" t="s">
        <v>86</v>
      </c>
      <c r="B724" s="220" t="s">
        <v>141</v>
      </c>
      <c r="C724" s="221" t="s">
        <v>92</v>
      </c>
      <c r="D724" s="210">
        <v>46053</v>
      </c>
      <c r="E724" s="222">
        <v>43.582500000000003</v>
      </c>
      <c r="F724" s="222">
        <v>91.972475000000003</v>
      </c>
      <c r="G724" s="222">
        <v>186</v>
      </c>
      <c r="H724" s="222">
        <v>39.75</v>
      </c>
      <c r="I724" s="223">
        <v>361.30497500000001</v>
      </c>
    </row>
    <row r="725" spans="1:9" x14ac:dyDescent="0.25">
      <c r="A725" s="219" t="s">
        <v>87</v>
      </c>
      <c r="B725" s="220" t="s">
        <v>141</v>
      </c>
      <c r="C725" s="221" t="s">
        <v>92</v>
      </c>
      <c r="D725" s="211">
        <v>46053</v>
      </c>
      <c r="E725" s="224">
        <v>3.15E-2</v>
      </c>
      <c r="F725" s="224">
        <v>1.37E-2</v>
      </c>
      <c r="G725" s="224">
        <v>0</v>
      </c>
      <c r="H725" s="224">
        <v>0</v>
      </c>
      <c r="I725" s="225">
        <v>2.6950250000000002</v>
      </c>
    </row>
    <row r="726" spans="1:9" ht="19.8" thickBot="1" x14ac:dyDescent="0.3">
      <c r="A726" s="226" t="s">
        <v>205</v>
      </c>
      <c r="B726" s="227" t="s">
        <v>141</v>
      </c>
      <c r="C726" s="228" t="s">
        <v>92</v>
      </c>
      <c r="D726" s="212">
        <v>46053</v>
      </c>
      <c r="E726" s="229"/>
      <c r="F726" s="229"/>
      <c r="G726" s="229"/>
      <c r="H726" s="229"/>
      <c r="I726" s="230">
        <v>0</v>
      </c>
    </row>
    <row r="727" spans="1:9" ht="20.399999999999999" thickTop="1" thickBot="1" x14ac:dyDescent="0.3">
      <c r="A727" s="215" t="s">
        <v>85</v>
      </c>
      <c r="B727" s="216" t="s">
        <v>141</v>
      </c>
      <c r="C727" s="217" t="s">
        <v>83</v>
      </c>
      <c r="D727" s="209">
        <v>46052</v>
      </c>
      <c r="E727" s="218">
        <v>39</v>
      </c>
      <c r="F727" s="218">
        <v>36</v>
      </c>
      <c r="G727" s="218">
        <v>52</v>
      </c>
      <c r="H727" s="218">
        <v>165</v>
      </c>
      <c r="I727" s="218">
        <v>292</v>
      </c>
    </row>
    <row r="728" spans="1:9" ht="19.8" thickTop="1" x14ac:dyDescent="0.25">
      <c r="A728" s="219" t="s">
        <v>86</v>
      </c>
      <c r="B728" s="220" t="s">
        <v>141</v>
      </c>
      <c r="C728" s="221" t="s">
        <v>83</v>
      </c>
      <c r="D728" s="210">
        <v>46052</v>
      </c>
      <c r="E728" s="222">
        <v>37.771500000000003</v>
      </c>
      <c r="F728" s="222">
        <v>35.506799999999998</v>
      </c>
      <c r="G728" s="222">
        <v>52</v>
      </c>
      <c r="H728" s="222">
        <v>165</v>
      </c>
      <c r="I728" s="223">
        <v>290.2783</v>
      </c>
    </row>
    <row r="729" spans="1:9" x14ac:dyDescent="0.25">
      <c r="A729" s="219" t="s">
        <v>87</v>
      </c>
      <c r="B729" s="220" t="s">
        <v>141</v>
      </c>
      <c r="C729" s="221" t="s">
        <v>83</v>
      </c>
      <c r="D729" s="211">
        <v>46052</v>
      </c>
      <c r="E729" s="224">
        <v>3.15E-2</v>
      </c>
      <c r="F729" s="224">
        <v>1.37E-2</v>
      </c>
      <c r="G729" s="224">
        <v>0</v>
      </c>
      <c r="H729" s="224">
        <v>0</v>
      </c>
      <c r="I729" s="225">
        <v>1.7217</v>
      </c>
    </row>
    <row r="730" spans="1:9" ht="19.8" thickBot="1" x14ac:dyDescent="0.3">
      <c r="A730" s="226" t="s">
        <v>205</v>
      </c>
      <c r="B730" s="227" t="s">
        <v>141</v>
      </c>
      <c r="C730" s="228" t="s">
        <v>83</v>
      </c>
      <c r="D730" s="212">
        <v>46052</v>
      </c>
      <c r="E730" s="229"/>
      <c r="F730" s="229"/>
      <c r="G730" s="229"/>
      <c r="H730" s="229"/>
      <c r="I730" s="230">
        <v>0</v>
      </c>
    </row>
    <row r="731" spans="1:9" ht="20.399999999999999" thickTop="1" thickBot="1" x14ac:dyDescent="0.3">
      <c r="A731" s="215" t="s">
        <v>85</v>
      </c>
      <c r="B731" s="216" t="s">
        <v>141</v>
      </c>
      <c r="C731" s="217" t="s">
        <v>294</v>
      </c>
      <c r="D731" s="209">
        <v>46051</v>
      </c>
      <c r="E731" s="218">
        <v>44</v>
      </c>
      <c r="F731" s="218">
        <v>240</v>
      </c>
      <c r="G731" s="218">
        <v>144</v>
      </c>
      <c r="H731" s="218">
        <v>71</v>
      </c>
      <c r="I731" s="218">
        <v>499</v>
      </c>
    </row>
    <row r="732" spans="1:9" ht="19.8" thickTop="1" x14ac:dyDescent="0.25">
      <c r="A732" s="219" t="s">
        <v>86</v>
      </c>
      <c r="B732" s="220" t="s">
        <v>141</v>
      </c>
      <c r="C732" s="221" t="s">
        <v>294</v>
      </c>
      <c r="D732" s="210">
        <v>46051</v>
      </c>
      <c r="E732" s="222">
        <v>42.613999999999997</v>
      </c>
      <c r="F732" s="222">
        <v>236.71199999999999</v>
      </c>
      <c r="G732" s="222">
        <v>144</v>
      </c>
      <c r="H732" s="222">
        <v>71</v>
      </c>
      <c r="I732" s="223">
        <v>494.32599999999996</v>
      </c>
    </row>
    <row r="733" spans="1:9" x14ac:dyDescent="0.25">
      <c r="A733" s="219" t="s">
        <v>87</v>
      </c>
      <c r="B733" s="220" t="s">
        <v>141</v>
      </c>
      <c r="C733" s="221" t="s">
        <v>294</v>
      </c>
      <c r="D733" s="211">
        <v>46051</v>
      </c>
      <c r="E733" s="224">
        <v>3.15E-2</v>
      </c>
      <c r="F733" s="224">
        <v>1.37E-2</v>
      </c>
      <c r="G733" s="224">
        <v>0</v>
      </c>
      <c r="H733" s="224">
        <v>0</v>
      </c>
      <c r="I733" s="225">
        <v>4.6740000000000004</v>
      </c>
    </row>
    <row r="734" spans="1:9" ht="19.8" thickBot="1" x14ac:dyDescent="0.3">
      <c r="A734" s="226" t="s">
        <v>205</v>
      </c>
      <c r="B734" s="227" t="s">
        <v>141</v>
      </c>
      <c r="C734" s="228" t="s">
        <v>294</v>
      </c>
      <c r="D734" s="212">
        <v>46051</v>
      </c>
      <c r="E734" s="229"/>
      <c r="F734" s="229"/>
      <c r="G734" s="229"/>
      <c r="H734" s="229"/>
      <c r="I734" s="230">
        <v>0</v>
      </c>
    </row>
    <row r="735" spans="1:9" ht="20.399999999999999" thickTop="1" thickBot="1" x14ac:dyDescent="0.3">
      <c r="A735" s="215" t="s">
        <v>85</v>
      </c>
      <c r="B735" s="216" t="s">
        <v>141</v>
      </c>
      <c r="C735" s="217" t="s">
        <v>32</v>
      </c>
      <c r="D735" s="209">
        <v>46050</v>
      </c>
      <c r="E735" s="218">
        <v>40</v>
      </c>
      <c r="F735" s="218">
        <v>168</v>
      </c>
      <c r="G735" s="218">
        <v>550</v>
      </c>
      <c r="H735" s="218">
        <v>256</v>
      </c>
      <c r="I735" s="218">
        <v>1014</v>
      </c>
    </row>
    <row r="736" spans="1:9" ht="19.8" thickTop="1" x14ac:dyDescent="0.25">
      <c r="A736" s="219" t="s">
        <v>86</v>
      </c>
      <c r="B736" s="220" t="s">
        <v>141</v>
      </c>
      <c r="C736" s="221" t="s">
        <v>32</v>
      </c>
      <c r="D736" s="210">
        <v>46050</v>
      </c>
      <c r="E736" s="222">
        <v>38.74</v>
      </c>
      <c r="F736" s="222">
        <v>165.69839999999999</v>
      </c>
      <c r="G736" s="222">
        <v>550</v>
      </c>
      <c r="H736" s="222">
        <v>256</v>
      </c>
      <c r="I736" s="223">
        <v>1010.4384</v>
      </c>
    </row>
    <row r="737" spans="1:9" x14ac:dyDescent="0.25">
      <c r="A737" s="219" t="s">
        <v>87</v>
      </c>
      <c r="B737" s="220" t="s">
        <v>141</v>
      </c>
      <c r="C737" s="221" t="s">
        <v>32</v>
      </c>
      <c r="D737" s="211">
        <v>46050</v>
      </c>
      <c r="E737" s="224">
        <v>3.15E-2</v>
      </c>
      <c r="F737" s="224">
        <v>1.37E-2</v>
      </c>
      <c r="G737" s="224">
        <v>0</v>
      </c>
      <c r="H737" s="224">
        <v>0</v>
      </c>
      <c r="I737" s="225">
        <v>3.5616000000000003</v>
      </c>
    </row>
    <row r="738" spans="1:9" ht="19.8" thickBot="1" x14ac:dyDescent="0.3">
      <c r="A738" s="226" t="s">
        <v>205</v>
      </c>
      <c r="B738" s="227" t="s">
        <v>141</v>
      </c>
      <c r="C738" s="228" t="s">
        <v>32</v>
      </c>
      <c r="D738" s="212">
        <v>46050</v>
      </c>
      <c r="E738" s="229"/>
      <c r="F738" s="229"/>
      <c r="G738" s="229"/>
      <c r="H738" s="229"/>
      <c r="I738" s="230">
        <v>0</v>
      </c>
    </row>
    <row r="739" spans="1:9" ht="20.399999999999999" thickTop="1" thickBot="1" x14ac:dyDescent="0.3">
      <c r="A739" s="215" t="s">
        <v>85</v>
      </c>
      <c r="B739" s="216" t="s">
        <v>141</v>
      </c>
      <c r="C739" s="217" t="s">
        <v>290</v>
      </c>
      <c r="D739" s="209">
        <v>46049</v>
      </c>
      <c r="E739" s="218">
        <v>44</v>
      </c>
      <c r="F739" s="218">
        <v>239</v>
      </c>
      <c r="G739" s="218">
        <v>390</v>
      </c>
      <c r="H739" s="218">
        <v>117</v>
      </c>
      <c r="I739" s="218">
        <v>790</v>
      </c>
    </row>
    <row r="740" spans="1:9" ht="19.8" thickTop="1" x14ac:dyDescent="0.25">
      <c r="A740" s="219" t="s">
        <v>86</v>
      </c>
      <c r="B740" s="220" t="s">
        <v>141</v>
      </c>
      <c r="C740" s="221" t="s">
        <v>290</v>
      </c>
      <c r="D740" s="210">
        <v>46049</v>
      </c>
      <c r="E740" s="222">
        <v>42.613999999999997</v>
      </c>
      <c r="F740" s="222">
        <v>235.72569999999999</v>
      </c>
      <c r="G740" s="222">
        <v>390</v>
      </c>
      <c r="H740" s="222">
        <v>117</v>
      </c>
      <c r="I740" s="223">
        <v>785.33969999999999</v>
      </c>
    </row>
    <row r="741" spans="1:9" x14ac:dyDescent="0.25">
      <c r="A741" s="219" t="s">
        <v>87</v>
      </c>
      <c r="B741" s="220" t="s">
        <v>141</v>
      </c>
      <c r="C741" s="221" t="s">
        <v>290</v>
      </c>
      <c r="D741" s="211">
        <v>46049</v>
      </c>
      <c r="E741" s="224">
        <v>3.15E-2</v>
      </c>
      <c r="F741" s="224">
        <v>1.37E-2</v>
      </c>
      <c r="G741" s="224">
        <v>0</v>
      </c>
      <c r="H741" s="224">
        <v>0</v>
      </c>
      <c r="I741" s="225">
        <v>4.6603000000000003</v>
      </c>
    </row>
    <row r="742" spans="1:9" ht="19.8" thickBot="1" x14ac:dyDescent="0.3">
      <c r="A742" s="226" t="s">
        <v>205</v>
      </c>
      <c r="B742" s="227" t="s">
        <v>141</v>
      </c>
      <c r="C742" s="228" t="s">
        <v>290</v>
      </c>
      <c r="D742" s="212">
        <v>46049</v>
      </c>
      <c r="E742" s="229"/>
      <c r="F742" s="229"/>
      <c r="G742" s="229"/>
      <c r="H742" s="229"/>
      <c r="I742" s="230">
        <v>0</v>
      </c>
    </row>
    <row r="743" spans="1:9" ht="20.399999999999999" thickTop="1" thickBot="1" x14ac:dyDescent="0.3">
      <c r="A743" s="215" t="s">
        <v>85</v>
      </c>
      <c r="B743" s="216" t="s">
        <v>141</v>
      </c>
      <c r="C743" s="217" t="s">
        <v>291</v>
      </c>
      <c r="D743" s="209">
        <v>46048</v>
      </c>
      <c r="E743" s="218">
        <v>45</v>
      </c>
      <c r="F743" s="218">
        <v>218</v>
      </c>
      <c r="G743" s="218">
        <v>149</v>
      </c>
      <c r="H743" s="218">
        <v>231</v>
      </c>
      <c r="I743" s="218">
        <v>643</v>
      </c>
    </row>
    <row r="744" spans="1:9" ht="19.8" thickTop="1" x14ac:dyDescent="0.25">
      <c r="A744" s="219" t="s">
        <v>86</v>
      </c>
      <c r="B744" s="220" t="s">
        <v>141</v>
      </c>
      <c r="C744" s="221" t="s">
        <v>291</v>
      </c>
      <c r="D744" s="210">
        <v>46048</v>
      </c>
      <c r="E744" s="222">
        <v>43.582500000000003</v>
      </c>
      <c r="F744" s="222">
        <v>215.01339999999999</v>
      </c>
      <c r="G744" s="222">
        <v>149</v>
      </c>
      <c r="H744" s="222">
        <v>231</v>
      </c>
      <c r="I744" s="223">
        <v>638.59590000000003</v>
      </c>
    </row>
    <row r="745" spans="1:9" x14ac:dyDescent="0.25">
      <c r="A745" s="219" t="s">
        <v>87</v>
      </c>
      <c r="B745" s="220" t="s">
        <v>141</v>
      </c>
      <c r="C745" s="221" t="s">
        <v>291</v>
      </c>
      <c r="D745" s="211">
        <v>46048</v>
      </c>
      <c r="E745" s="224">
        <v>3.15E-2</v>
      </c>
      <c r="F745" s="224">
        <v>1.37E-2</v>
      </c>
      <c r="G745" s="224">
        <v>0</v>
      </c>
      <c r="H745" s="224">
        <v>0</v>
      </c>
      <c r="I745" s="225">
        <v>4.4040999999999997</v>
      </c>
    </row>
    <row r="746" spans="1:9" ht="19.8" thickBot="1" x14ac:dyDescent="0.3">
      <c r="A746" s="226" t="s">
        <v>205</v>
      </c>
      <c r="B746" s="227" t="s">
        <v>141</v>
      </c>
      <c r="C746" s="228" t="s">
        <v>291</v>
      </c>
      <c r="D746" s="212">
        <v>46048</v>
      </c>
      <c r="E746" s="229"/>
      <c r="F746" s="229"/>
      <c r="G746" s="229"/>
      <c r="H746" s="229"/>
      <c r="I746" s="230">
        <v>0</v>
      </c>
    </row>
    <row r="747" spans="1:9" ht="20.399999999999999" thickTop="1" thickBot="1" x14ac:dyDescent="0.3">
      <c r="A747" s="215" t="s">
        <v>85</v>
      </c>
      <c r="B747" s="216" t="s">
        <v>141</v>
      </c>
      <c r="C747" s="217" t="s">
        <v>93</v>
      </c>
      <c r="D747" s="209">
        <v>46047</v>
      </c>
      <c r="E747" s="218">
        <v>80</v>
      </c>
      <c r="F747" s="218">
        <v>266</v>
      </c>
      <c r="G747" s="218">
        <v>51</v>
      </c>
      <c r="H747" s="218">
        <v>29</v>
      </c>
      <c r="I747" s="218">
        <v>426</v>
      </c>
    </row>
    <row r="748" spans="1:9" ht="19.8" thickTop="1" x14ac:dyDescent="0.25">
      <c r="A748" s="219" t="s">
        <v>86</v>
      </c>
      <c r="B748" s="220" t="s">
        <v>141</v>
      </c>
      <c r="C748" s="221" t="s">
        <v>93</v>
      </c>
      <c r="D748" s="210">
        <v>46047</v>
      </c>
      <c r="E748" s="222">
        <v>77.48</v>
      </c>
      <c r="F748" s="222">
        <v>262.35579999999999</v>
      </c>
      <c r="G748" s="222">
        <v>51</v>
      </c>
      <c r="H748" s="222">
        <v>29</v>
      </c>
      <c r="I748" s="223">
        <v>419.83580000000001</v>
      </c>
    </row>
    <row r="749" spans="1:9" x14ac:dyDescent="0.25">
      <c r="A749" s="219" t="s">
        <v>87</v>
      </c>
      <c r="B749" s="220" t="s">
        <v>141</v>
      </c>
      <c r="C749" s="221" t="s">
        <v>93</v>
      </c>
      <c r="D749" s="211">
        <v>46047</v>
      </c>
      <c r="E749" s="224">
        <v>3.15E-2</v>
      </c>
      <c r="F749" s="224">
        <v>1.37E-2</v>
      </c>
      <c r="G749" s="224">
        <v>0</v>
      </c>
      <c r="H749" s="224">
        <v>0</v>
      </c>
      <c r="I749" s="225">
        <v>6.1642000000000001</v>
      </c>
    </row>
    <row r="750" spans="1:9" ht="19.8" thickBot="1" x14ac:dyDescent="0.3">
      <c r="A750" s="226" t="s">
        <v>205</v>
      </c>
      <c r="B750" s="227" t="s">
        <v>141</v>
      </c>
      <c r="C750" s="228" t="s">
        <v>93</v>
      </c>
      <c r="D750" s="212">
        <v>46047</v>
      </c>
      <c r="E750" s="229"/>
      <c r="F750" s="229"/>
      <c r="G750" s="229"/>
      <c r="H750" s="229"/>
      <c r="I750" s="230">
        <v>0</v>
      </c>
    </row>
    <row r="751" spans="1:9" ht="20.399999999999999" thickTop="1" thickBot="1" x14ac:dyDescent="0.3">
      <c r="A751" s="215" t="s">
        <v>85</v>
      </c>
      <c r="B751" s="216" t="s">
        <v>141</v>
      </c>
      <c r="C751" s="217" t="s">
        <v>92</v>
      </c>
      <c r="D751" s="209">
        <v>46046</v>
      </c>
      <c r="E751" s="218">
        <v>0</v>
      </c>
      <c r="F751" s="218">
        <v>40</v>
      </c>
      <c r="G751" s="218">
        <v>329</v>
      </c>
      <c r="H751" s="218">
        <v>54</v>
      </c>
      <c r="I751" s="218">
        <v>423</v>
      </c>
    </row>
    <row r="752" spans="1:9" ht="19.8" thickTop="1" x14ac:dyDescent="0.25">
      <c r="A752" s="219" t="s">
        <v>86</v>
      </c>
      <c r="B752" s="220" t="s">
        <v>141</v>
      </c>
      <c r="C752" s="221" t="s">
        <v>92</v>
      </c>
      <c r="D752" s="210">
        <v>46046</v>
      </c>
      <c r="E752" s="222">
        <v>0</v>
      </c>
      <c r="F752" s="222">
        <v>39.451999999999998</v>
      </c>
      <c r="G752" s="222">
        <v>329</v>
      </c>
      <c r="H752" s="222">
        <v>54</v>
      </c>
      <c r="I752" s="223">
        <v>422.452</v>
      </c>
    </row>
    <row r="753" spans="1:9" x14ac:dyDescent="0.25">
      <c r="A753" s="219" t="s">
        <v>87</v>
      </c>
      <c r="B753" s="220" t="s">
        <v>141</v>
      </c>
      <c r="C753" s="221" t="s">
        <v>92</v>
      </c>
      <c r="D753" s="211">
        <v>46046</v>
      </c>
      <c r="E753" s="224">
        <v>3.15E-2</v>
      </c>
      <c r="F753" s="224">
        <v>1.37E-2</v>
      </c>
      <c r="G753" s="224">
        <v>0</v>
      </c>
      <c r="H753" s="224">
        <v>0</v>
      </c>
      <c r="I753" s="225">
        <v>0.54800000000000004</v>
      </c>
    </row>
    <row r="754" spans="1:9" ht="19.8" thickBot="1" x14ac:dyDescent="0.3">
      <c r="A754" s="226" t="s">
        <v>205</v>
      </c>
      <c r="B754" s="227" t="s">
        <v>141</v>
      </c>
      <c r="C754" s="228" t="s">
        <v>92</v>
      </c>
      <c r="D754" s="212">
        <v>46046</v>
      </c>
      <c r="E754" s="229"/>
      <c r="F754" s="229"/>
      <c r="G754" s="229"/>
      <c r="H754" s="229"/>
      <c r="I754" s="230">
        <v>0</v>
      </c>
    </row>
    <row r="755" spans="1:9" ht="20.399999999999999" thickTop="1" thickBot="1" x14ac:dyDescent="0.3">
      <c r="A755" s="215" t="s">
        <v>85</v>
      </c>
      <c r="B755" s="216" t="s">
        <v>141</v>
      </c>
      <c r="C755" s="217" t="s">
        <v>83</v>
      </c>
      <c r="D755" s="209">
        <v>46045</v>
      </c>
      <c r="E755" s="218">
        <v>0</v>
      </c>
      <c r="F755" s="218">
        <v>192</v>
      </c>
      <c r="G755" s="218">
        <v>100</v>
      </c>
      <c r="H755" s="218">
        <v>95</v>
      </c>
      <c r="I755" s="218">
        <v>387</v>
      </c>
    </row>
    <row r="756" spans="1:9" ht="19.8" thickTop="1" x14ac:dyDescent="0.25">
      <c r="A756" s="219" t="s">
        <v>86</v>
      </c>
      <c r="B756" s="220" t="s">
        <v>141</v>
      </c>
      <c r="C756" s="221" t="s">
        <v>83</v>
      </c>
      <c r="D756" s="210">
        <v>46045</v>
      </c>
      <c r="E756" s="222">
        <v>0</v>
      </c>
      <c r="F756" s="222">
        <v>189.36959999999999</v>
      </c>
      <c r="G756" s="222">
        <v>100</v>
      </c>
      <c r="H756" s="222">
        <v>95</v>
      </c>
      <c r="I756" s="223">
        <v>384.36959999999999</v>
      </c>
    </row>
    <row r="757" spans="1:9" x14ac:dyDescent="0.25">
      <c r="A757" s="219" t="s">
        <v>87</v>
      </c>
      <c r="B757" s="220" t="s">
        <v>141</v>
      </c>
      <c r="C757" s="221" t="s">
        <v>83</v>
      </c>
      <c r="D757" s="211">
        <v>46045</v>
      </c>
      <c r="E757" s="224">
        <v>3.15E-2</v>
      </c>
      <c r="F757" s="224">
        <v>1.37E-2</v>
      </c>
      <c r="G757" s="224">
        <v>0</v>
      </c>
      <c r="H757" s="224">
        <v>0</v>
      </c>
      <c r="I757" s="225">
        <v>2.6303999999999998</v>
      </c>
    </row>
    <row r="758" spans="1:9" ht="19.8" thickBot="1" x14ac:dyDescent="0.3">
      <c r="A758" s="226" t="s">
        <v>205</v>
      </c>
      <c r="B758" s="227" t="s">
        <v>141</v>
      </c>
      <c r="C758" s="228" t="s">
        <v>83</v>
      </c>
      <c r="D758" s="212">
        <v>46045</v>
      </c>
      <c r="E758" s="229"/>
      <c r="F758" s="229"/>
      <c r="G758" s="229"/>
      <c r="H758" s="229"/>
      <c r="I758" s="230">
        <v>0</v>
      </c>
    </row>
    <row r="759" spans="1:9" ht="20.399999999999999" thickTop="1" thickBot="1" x14ac:dyDescent="0.3">
      <c r="A759" s="215" t="s">
        <v>85</v>
      </c>
      <c r="B759" s="216" t="s">
        <v>141</v>
      </c>
      <c r="C759" s="217" t="s">
        <v>294</v>
      </c>
      <c r="D759" s="209">
        <v>46044</v>
      </c>
      <c r="E759" s="218">
        <v>150</v>
      </c>
      <c r="F759" s="218">
        <v>258</v>
      </c>
      <c r="G759" s="218">
        <v>699.35</v>
      </c>
      <c r="H759" s="218">
        <v>28.150000000000091</v>
      </c>
      <c r="I759" s="218">
        <v>1135.5</v>
      </c>
    </row>
    <row r="760" spans="1:9" ht="19.8" thickTop="1" x14ac:dyDescent="0.25">
      <c r="A760" s="219" t="s">
        <v>86</v>
      </c>
      <c r="B760" s="220" t="s">
        <v>141</v>
      </c>
      <c r="C760" s="221" t="s">
        <v>294</v>
      </c>
      <c r="D760" s="210">
        <v>46044</v>
      </c>
      <c r="E760" s="222">
        <v>145.27500000000001</v>
      </c>
      <c r="F760" s="222">
        <v>254.46539999999999</v>
      </c>
      <c r="G760" s="222">
        <v>699.35</v>
      </c>
      <c r="H760" s="222">
        <v>28.150000000000091</v>
      </c>
      <c r="I760" s="223">
        <v>1127.2404000000001</v>
      </c>
    </row>
    <row r="761" spans="1:9" x14ac:dyDescent="0.25">
      <c r="A761" s="219" t="s">
        <v>87</v>
      </c>
      <c r="B761" s="220" t="s">
        <v>141</v>
      </c>
      <c r="C761" s="221" t="s">
        <v>294</v>
      </c>
      <c r="D761" s="211">
        <v>46044</v>
      </c>
      <c r="E761" s="224">
        <v>3.15E-2</v>
      </c>
      <c r="F761" s="224">
        <v>1.37E-2</v>
      </c>
      <c r="G761" s="224">
        <v>0</v>
      </c>
      <c r="H761" s="224">
        <v>0</v>
      </c>
      <c r="I761" s="225">
        <v>8.2595999999999989</v>
      </c>
    </row>
    <row r="762" spans="1:9" ht="19.8" thickBot="1" x14ac:dyDescent="0.3">
      <c r="A762" s="226" t="s">
        <v>205</v>
      </c>
      <c r="B762" s="227" t="s">
        <v>141</v>
      </c>
      <c r="C762" s="228" t="s">
        <v>294</v>
      </c>
      <c r="D762" s="212">
        <v>46044</v>
      </c>
      <c r="E762" s="229"/>
      <c r="F762" s="229"/>
      <c r="G762" s="229"/>
      <c r="H762" s="229"/>
      <c r="I762" s="230">
        <v>0</v>
      </c>
    </row>
    <row r="763" spans="1:9" ht="20.399999999999999" thickTop="1" thickBot="1" x14ac:dyDescent="0.3">
      <c r="A763" s="215" t="s">
        <v>85</v>
      </c>
      <c r="B763" s="216" t="s">
        <v>141</v>
      </c>
      <c r="C763" s="217" t="s">
        <v>32</v>
      </c>
      <c r="D763" s="209">
        <v>46043</v>
      </c>
      <c r="E763" s="218">
        <v>22</v>
      </c>
      <c r="F763" s="218">
        <v>63.4</v>
      </c>
      <c r="G763" s="218">
        <v>194.2</v>
      </c>
      <c r="H763" s="218">
        <v>146.39999999999998</v>
      </c>
      <c r="I763" s="218">
        <v>426</v>
      </c>
    </row>
    <row r="764" spans="1:9" ht="19.8" thickTop="1" x14ac:dyDescent="0.25">
      <c r="A764" s="219" t="s">
        <v>86</v>
      </c>
      <c r="B764" s="220" t="s">
        <v>141</v>
      </c>
      <c r="C764" s="221" t="s">
        <v>32</v>
      </c>
      <c r="D764" s="210">
        <v>46043</v>
      </c>
      <c r="E764" s="222">
        <v>21.306999999999999</v>
      </c>
      <c r="F764" s="222">
        <v>62.531419999999997</v>
      </c>
      <c r="G764" s="222">
        <v>194.2</v>
      </c>
      <c r="H764" s="222">
        <v>146.39999999999998</v>
      </c>
      <c r="I764" s="223">
        <v>424.43841999999995</v>
      </c>
    </row>
    <row r="765" spans="1:9" x14ac:dyDescent="0.25">
      <c r="A765" s="219" t="s">
        <v>87</v>
      </c>
      <c r="B765" s="220" t="s">
        <v>141</v>
      </c>
      <c r="C765" s="221" t="s">
        <v>32</v>
      </c>
      <c r="D765" s="211">
        <v>46043</v>
      </c>
      <c r="E765" s="224">
        <v>3.15E-2</v>
      </c>
      <c r="F765" s="224">
        <v>1.37E-2</v>
      </c>
      <c r="G765" s="224">
        <v>0</v>
      </c>
      <c r="H765" s="224">
        <v>0</v>
      </c>
      <c r="I765" s="225">
        <v>1.5615800000000002</v>
      </c>
    </row>
    <row r="766" spans="1:9" ht="19.8" thickBot="1" x14ac:dyDescent="0.3">
      <c r="A766" s="226" t="s">
        <v>205</v>
      </c>
      <c r="B766" s="227" t="s">
        <v>141</v>
      </c>
      <c r="C766" s="228" t="s">
        <v>32</v>
      </c>
      <c r="D766" s="212">
        <v>46043</v>
      </c>
      <c r="E766" s="229"/>
      <c r="F766" s="229"/>
      <c r="G766" s="229"/>
      <c r="H766" s="229"/>
      <c r="I766" s="230">
        <v>0</v>
      </c>
    </row>
    <row r="767" spans="1:9" ht="20.399999999999999" thickTop="1" thickBot="1" x14ac:dyDescent="0.3">
      <c r="A767" s="215" t="s">
        <v>85</v>
      </c>
      <c r="B767" s="216" t="s">
        <v>141</v>
      </c>
      <c r="C767" s="217" t="s">
        <v>290</v>
      </c>
      <c r="D767" s="209">
        <v>46042</v>
      </c>
      <c r="E767" s="218">
        <v>190</v>
      </c>
      <c r="F767" s="218">
        <v>321</v>
      </c>
      <c r="G767" s="218">
        <v>228</v>
      </c>
      <c r="H767" s="218">
        <v>213</v>
      </c>
      <c r="I767" s="218">
        <v>952</v>
      </c>
    </row>
    <row r="768" spans="1:9" ht="19.8" thickTop="1" x14ac:dyDescent="0.25">
      <c r="A768" s="219" t="s">
        <v>86</v>
      </c>
      <c r="B768" s="220" t="s">
        <v>141</v>
      </c>
      <c r="C768" s="221" t="s">
        <v>290</v>
      </c>
      <c r="D768" s="210">
        <v>46042</v>
      </c>
      <c r="E768" s="222">
        <v>184.01499999999999</v>
      </c>
      <c r="F768" s="222">
        <v>316.60230000000001</v>
      </c>
      <c r="G768" s="222">
        <v>228</v>
      </c>
      <c r="H768" s="222">
        <v>213</v>
      </c>
      <c r="I768" s="223">
        <v>941.6173</v>
      </c>
    </row>
    <row r="769" spans="1:9" x14ac:dyDescent="0.25">
      <c r="A769" s="219" t="s">
        <v>87</v>
      </c>
      <c r="B769" s="220" t="s">
        <v>141</v>
      </c>
      <c r="C769" s="221" t="s">
        <v>290</v>
      </c>
      <c r="D769" s="211">
        <v>46042</v>
      </c>
      <c r="E769" s="224">
        <v>3.15E-2</v>
      </c>
      <c r="F769" s="224">
        <v>1.37E-2</v>
      </c>
      <c r="G769" s="224">
        <v>0</v>
      </c>
      <c r="H769" s="224">
        <v>0</v>
      </c>
      <c r="I769" s="225">
        <v>10.3827</v>
      </c>
    </row>
    <row r="770" spans="1:9" ht="19.8" thickBot="1" x14ac:dyDescent="0.3">
      <c r="A770" s="226" t="s">
        <v>205</v>
      </c>
      <c r="B770" s="227" t="s">
        <v>141</v>
      </c>
      <c r="C770" s="228" t="s">
        <v>290</v>
      </c>
      <c r="D770" s="212">
        <v>46042</v>
      </c>
      <c r="E770" s="229"/>
      <c r="F770" s="229"/>
      <c r="G770" s="229"/>
      <c r="H770" s="229"/>
      <c r="I770" s="230">
        <v>0</v>
      </c>
    </row>
    <row r="771" spans="1:9" ht="20.399999999999999" thickTop="1" thickBot="1" x14ac:dyDescent="0.3">
      <c r="A771" s="215" t="s">
        <v>85</v>
      </c>
      <c r="B771" s="216" t="s">
        <v>141</v>
      </c>
      <c r="C771" s="217" t="s">
        <v>291</v>
      </c>
      <c r="D771" s="209">
        <v>46041</v>
      </c>
      <c r="E771" s="218">
        <v>187</v>
      </c>
      <c r="F771" s="218">
        <v>192</v>
      </c>
      <c r="G771" s="218">
        <v>185.5</v>
      </c>
      <c r="H771" s="218">
        <v>180.5</v>
      </c>
      <c r="I771" s="218">
        <v>745</v>
      </c>
    </row>
    <row r="772" spans="1:9" ht="19.8" thickTop="1" x14ac:dyDescent="0.25">
      <c r="A772" s="219" t="s">
        <v>86</v>
      </c>
      <c r="B772" s="220" t="s">
        <v>141</v>
      </c>
      <c r="C772" s="221" t="s">
        <v>291</v>
      </c>
      <c r="D772" s="210">
        <v>46041</v>
      </c>
      <c r="E772" s="222">
        <v>181.1095</v>
      </c>
      <c r="F772" s="222">
        <v>189.36959999999999</v>
      </c>
      <c r="G772" s="222">
        <v>185.5</v>
      </c>
      <c r="H772" s="222">
        <v>180.5</v>
      </c>
      <c r="I772" s="223">
        <v>736.47910000000002</v>
      </c>
    </row>
    <row r="773" spans="1:9" x14ac:dyDescent="0.25">
      <c r="A773" s="219" t="s">
        <v>87</v>
      </c>
      <c r="B773" s="220" t="s">
        <v>141</v>
      </c>
      <c r="C773" s="221" t="s">
        <v>291</v>
      </c>
      <c r="D773" s="211">
        <v>46041</v>
      </c>
      <c r="E773" s="224">
        <v>3.15E-2</v>
      </c>
      <c r="F773" s="224">
        <v>1.37E-2</v>
      </c>
      <c r="G773" s="224">
        <v>0</v>
      </c>
      <c r="H773" s="224">
        <v>0</v>
      </c>
      <c r="I773" s="225">
        <v>8.520900000000001</v>
      </c>
    </row>
    <row r="774" spans="1:9" ht="19.8" thickBot="1" x14ac:dyDescent="0.3">
      <c r="A774" s="226" t="s">
        <v>205</v>
      </c>
      <c r="B774" s="227" t="s">
        <v>141</v>
      </c>
      <c r="C774" s="228" t="s">
        <v>291</v>
      </c>
      <c r="D774" s="212">
        <v>46041</v>
      </c>
      <c r="E774" s="229"/>
      <c r="F774" s="229"/>
      <c r="G774" s="229"/>
      <c r="H774" s="229"/>
      <c r="I774" s="230">
        <v>0</v>
      </c>
    </row>
    <row r="775" spans="1:9" ht="20.399999999999999" thickTop="1" thickBot="1" x14ac:dyDescent="0.3">
      <c r="A775" s="215" t="s">
        <v>85</v>
      </c>
      <c r="B775" s="216" t="s">
        <v>141</v>
      </c>
      <c r="C775" s="217" t="s">
        <v>93</v>
      </c>
      <c r="D775" s="209">
        <v>46040</v>
      </c>
      <c r="E775" s="218">
        <v>38</v>
      </c>
      <c r="F775" s="218">
        <v>263</v>
      </c>
      <c r="G775" s="218">
        <v>246.5</v>
      </c>
      <c r="H775" s="218">
        <v>28.5</v>
      </c>
      <c r="I775" s="218">
        <v>576</v>
      </c>
    </row>
    <row r="776" spans="1:9" ht="19.8" thickTop="1" x14ac:dyDescent="0.25">
      <c r="A776" s="219" t="s">
        <v>86</v>
      </c>
      <c r="B776" s="220" t="s">
        <v>141</v>
      </c>
      <c r="C776" s="221" t="s">
        <v>93</v>
      </c>
      <c r="D776" s="210">
        <v>46040</v>
      </c>
      <c r="E776" s="222">
        <v>36.802999999999997</v>
      </c>
      <c r="F776" s="222">
        <v>259.39690000000002</v>
      </c>
      <c r="G776" s="222">
        <v>246.5</v>
      </c>
      <c r="H776" s="222">
        <v>28.5</v>
      </c>
      <c r="I776" s="223">
        <v>571.19990000000007</v>
      </c>
    </row>
    <row r="777" spans="1:9" x14ac:dyDescent="0.25">
      <c r="A777" s="219" t="s">
        <v>87</v>
      </c>
      <c r="B777" s="220" t="s">
        <v>141</v>
      </c>
      <c r="C777" s="221" t="s">
        <v>93</v>
      </c>
      <c r="D777" s="211">
        <v>46040</v>
      </c>
      <c r="E777" s="224">
        <v>3.15E-2</v>
      </c>
      <c r="F777" s="224">
        <v>1.37E-2</v>
      </c>
      <c r="G777" s="224">
        <v>0</v>
      </c>
      <c r="H777" s="224">
        <v>0</v>
      </c>
      <c r="I777" s="225">
        <v>4.8001000000000005</v>
      </c>
    </row>
    <row r="778" spans="1:9" ht="19.8" thickBot="1" x14ac:dyDescent="0.3">
      <c r="A778" s="226" t="s">
        <v>205</v>
      </c>
      <c r="B778" s="227" t="s">
        <v>141</v>
      </c>
      <c r="C778" s="228" t="s">
        <v>93</v>
      </c>
      <c r="D778" s="212">
        <v>46040</v>
      </c>
      <c r="E778" s="229"/>
      <c r="F778" s="229"/>
      <c r="G778" s="229"/>
      <c r="H778" s="229"/>
      <c r="I778" s="230">
        <v>0</v>
      </c>
    </row>
    <row r="779" spans="1:9" ht="20.399999999999999" thickTop="1" thickBot="1" x14ac:dyDescent="0.3">
      <c r="A779" s="215" t="s">
        <v>85</v>
      </c>
      <c r="B779" s="216" t="s">
        <v>141</v>
      </c>
      <c r="C779" s="217" t="s">
        <v>92</v>
      </c>
      <c r="D779" s="209">
        <v>46039</v>
      </c>
      <c r="E779" s="218">
        <v>41</v>
      </c>
      <c r="F779" s="218">
        <v>25</v>
      </c>
      <c r="G779" s="218">
        <v>17</v>
      </c>
      <c r="H779" s="218">
        <v>40</v>
      </c>
      <c r="I779" s="218">
        <v>123</v>
      </c>
    </row>
    <row r="780" spans="1:9" ht="19.8" thickTop="1" x14ac:dyDescent="0.25">
      <c r="A780" s="219" t="s">
        <v>86</v>
      </c>
      <c r="B780" s="220" t="s">
        <v>141</v>
      </c>
      <c r="C780" s="221" t="s">
        <v>92</v>
      </c>
      <c r="D780" s="210">
        <v>46039</v>
      </c>
      <c r="E780" s="222">
        <v>39.708500000000001</v>
      </c>
      <c r="F780" s="222">
        <v>24.657499999999999</v>
      </c>
      <c r="G780" s="222">
        <v>17</v>
      </c>
      <c r="H780" s="222">
        <v>40</v>
      </c>
      <c r="I780" s="223">
        <v>121.366</v>
      </c>
    </row>
    <row r="781" spans="1:9" x14ac:dyDescent="0.25">
      <c r="A781" s="219" t="s">
        <v>87</v>
      </c>
      <c r="B781" s="220" t="s">
        <v>141</v>
      </c>
      <c r="C781" s="221" t="s">
        <v>92</v>
      </c>
      <c r="D781" s="211">
        <v>46039</v>
      </c>
      <c r="E781" s="224">
        <v>3.15E-2</v>
      </c>
      <c r="F781" s="224">
        <v>1.37E-2</v>
      </c>
      <c r="G781" s="224">
        <v>0</v>
      </c>
      <c r="H781" s="224">
        <v>0</v>
      </c>
      <c r="I781" s="225">
        <v>1.6340000000000001</v>
      </c>
    </row>
    <row r="782" spans="1:9" ht="19.8" thickBot="1" x14ac:dyDescent="0.3">
      <c r="A782" s="226" t="s">
        <v>205</v>
      </c>
      <c r="B782" s="227" t="s">
        <v>141</v>
      </c>
      <c r="C782" s="228" t="s">
        <v>92</v>
      </c>
      <c r="D782" s="212">
        <v>46039</v>
      </c>
      <c r="E782" s="229"/>
      <c r="F782" s="229"/>
      <c r="G782" s="229"/>
      <c r="H782" s="229"/>
      <c r="I782" s="230">
        <v>0</v>
      </c>
    </row>
    <row r="783" spans="1:9" ht="20.399999999999999" thickTop="1" thickBot="1" x14ac:dyDescent="0.3">
      <c r="A783" s="215" t="s">
        <v>85</v>
      </c>
      <c r="B783" s="216" t="s">
        <v>141</v>
      </c>
      <c r="C783" s="217" t="s">
        <v>83</v>
      </c>
      <c r="D783" s="209">
        <v>46038</v>
      </c>
      <c r="E783" s="218">
        <v>46</v>
      </c>
      <c r="F783" s="218">
        <v>323</v>
      </c>
      <c r="G783" s="218">
        <v>224.5</v>
      </c>
      <c r="H783" s="218">
        <v>27.5</v>
      </c>
      <c r="I783" s="218">
        <v>621</v>
      </c>
    </row>
    <row r="784" spans="1:9" ht="19.8" thickTop="1" x14ac:dyDescent="0.25">
      <c r="A784" s="219" t="s">
        <v>86</v>
      </c>
      <c r="B784" s="220" t="s">
        <v>141</v>
      </c>
      <c r="C784" s="221" t="s">
        <v>83</v>
      </c>
      <c r="D784" s="210">
        <v>46038</v>
      </c>
      <c r="E784" s="222">
        <v>44.551000000000002</v>
      </c>
      <c r="F784" s="222">
        <v>318.57490000000001</v>
      </c>
      <c r="G784" s="222">
        <v>224.5</v>
      </c>
      <c r="H784" s="222">
        <v>27.5</v>
      </c>
      <c r="I784" s="223">
        <v>615.1259</v>
      </c>
    </row>
    <row r="785" spans="1:9" x14ac:dyDescent="0.25">
      <c r="A785" s="219" t="s">
        <v>87</v>
      </c>
      <c r="B785" s="220" t="s">
        <v>141</v>
      </c>
      <c r="C785" s="221" t="s">
        <v>83</v>
      </c>
      <c r="D785" s="211">
        <v>46038</v>
      </c>
      <c r="E785" s="224">
        <v>3.15E-2</v>
      </c>
      <c r="F785" s="224">
        <v>1.37E-2</v>
      </c>
      <c r="G785" s="224">
        <v>0</v>
      </c>
      <c r="H785" s="224">
        <v>0</v>
      </c>
      <c r="I785" s="225">
        <v>5.8741000000000003</v>
      </c>
    </row>
    <row r="786" spans="1:9" ht="19.8" thickBot="1" x14ac:dyDescent="0.3">
      <c r="A786" s="226" t="s">
        <v>205</v>
      </c>
      <c r="B786" s="227" t="s">
        <v>141</v>
      </c>
      <c r="C786" s="228" t="s">
        <v>83</v>
      </c>
      <c r="D786" s="212">
        <v>46038</v>
      </c>
      <c r="E786" s="229"/>
      <c r="F786" s="229"/>
      <c r="G786" s="229"/>
      <c r="H786" s="229"/>
      <c r="I786" s="230">
        <v>0</v>
      </c>
    </row>
    <row r="787" spans="1:9" ht="20.399999999999999" thickTop="1" thickBot="1" x14ac:dyDescent="0.3">
      <c r="A787" s="215" t="s">
        <v>85</v>
      </c>
      <c r="B787" s="216" t="s">
        <v>141</v>
      </c>
      <c r="C787" s="217" t="s">
        <v>294</v>
      </c>
      <c r="D787" s="209">
        <v>46037</v>
      </c>
      <c r="E787" s="218">
        <v>102</v>
      </c>
      <c r="F787" s="218">
        <v>257</v>
      </c>
      <c r="G787" s="218">
        <v>103.5</v>
      </c>
      <c r="H787" s="218">
        <v>182.5</v>
      </c>
      <c r="I787" s="218">
        <v>645</v>
      </c>
    </row>
    <row r="788" spans="1:9" ht="19.8" thickTop="1" x14ac:dyDescent="0.25">
      <c r="A788" s="219" t="s">
        <v>86</v>
      </c>
      <c r="B788" s="220" t="s">
        <v>141</v>
      </c>
      <c r="C788" s="221" t="s">
        <v>294</v>
      </c>
      <c r="D788" s="210">
        <v>46037</v>
      </c>
      <c r="E788" s="222">
        <v>98.787000000000006</v>
      </c>
      <c r="F788" s="222">
        <v>253.47909999999999</v>
      </c>
      <c r="G788" s="222">
        <v>103.5</v>
      </c>
      <c r="H788" s="222">
        <v>182.5</v>
      </c>
      <c r="I788" s="223">
        <v>638.26610000000005</v>
      </c>
    </row>
    <row r="789" spans="1:9" x14ac:dyDescent="0.25">
      <c r="A789" s="219" t="s">
        <v>87</v>
      </c>
      <c r="B789" s="220" t="s">
        <v>141</v>
      </c>
      <c r="C789" s="221" t="s">
        <v>294</v>
      </c>
      <c r="D789" s="211">
        <v>46037</v>
      </c>
      <c r="E789" s="224">
        <v>3.15E-2</v>
      </c>
      <c r="F789" s="224">
        <v>1.37E-2</v>
      </c>
      <c r="G789" s="224">
        <v>0</v>
      </c>
      <c r="H789" s="224">
        <v>0</v>
      </c>
      <c r="I789" s="225">
        <v>6.7339000000000002</v>
      </c>
    </row>
    <row r="790" spans="1:9" ht="19.8" thickBot="1" x14ac:dyDescent="0.3">
      <c r="A790" s="226" t="s">
        <v>205</v>
      </c>
      <c r="B790" s="227" t="s">
        <v>141</v>
      </c>
      <c r="C790" s="228" t="s">
        <v>294</v>
      </c>
      <c r="D790" s="212">
        <v>46037</v>
      </c>
      <c r="E790" s="229"/>
      <c r="F790" s="229"/>
      <c r="G790" s="229"/>
      <c r="H790" s="229"/>
      <c r="I790" s="230">
        <v>0</v>
      </c>
    </row>
    <row r="791" spans="1:9" ht="20.399999999999999" thickTop="1" thickBot="1" x14ac:dyDescent="0.3">
      <c r="A791" s="215" t="s">
        <v>85</v>
      </c>
      <c r="B791" s="216" t="s">
        <v>141</v>
      </c>
      <c r="C791" s="217" t="s">
        <v>32</v>
      </c>
      <c r="D791" s="209">
        <v>46036</v>
      </c>
      <c r="E791" s="218">
        <v>63</v>
      </c>
      <c r="F791" s="218">
        <v>199</v>
      </c>
      <c r="G791" s="218">
        <v>417</v>
      </c>
      <c r="H791" s="218">
        <v>251</v>
      </c>
      <c r="I791" s="218">
        <v>930</v>
      </c>
    </row>
    <row r="792" spans="1:9" ht="19.8" thickTop="1" x14ac:dyDescent="0.25">
      <c r="A792" s="219" t="s">
        <v>86</v>
      </c>
      <c r="B792" s="220" t="s">
        <v>141</v>
      </c>
      <c r="C792" s="221" t="s">
        <v>32</v>
      </c>
      <c r="D792" s="210">
        <v>46036</v>
      </c>
      <c r="E792" s="222">
        <v>61.015500000000003</v>
      </c>
      <c r="F792" s="222">
        <v>196.27369999999999</v>
      </c>
      <c r="G792" s="222">
        <v>417</v>
      </c>
      <c r="H792" s="222">
        <v>251</v>
      </c>
      <c r="I792" s="223">
        <v>925.28919999999994</v>
      </c>
    </row>
    <row r="793" spans="1:9" x14ac:dyDescent="0.25">
      <c r="A793" s="219" t="s">
        <v>87</v>
      </c>
      <c r="B793" s="220" t="s">
        <v>141</v>
      </c>
      <c r="C793" s="221" t="s">
        <v>32</v>
      </c>
      <c r="D793" s="211">
        <v>46036</v>
      </c>
      <c r="E793" s="224">
        <v>3.15E-2</v>
      </c>
      <c r="F793" s="224">
        <v>1.37E-2</v>
      </c>
      <c r="G793" s="224">
        <v>0</v>
      </c>
      <c r="H793" s="224">
        <v>0</v>
      </c>
      <c r="I793" s="225">
        <v>4.7107999999999999</v>
      </c>
    </row>
    <row r="794" spans="1:9" ht="19.8" thickBot="1" x14ac:dyDescent="0.3">
      <c r="A794" s="226" t="s">
        <v>205</v>
      </c>
      <c r="B794" s="227" t="s">
        <v>141</v>
      </c>
      <c r="C794" s="228" t="s">
        <v>32</v>
      </c>
      <c r="D794" s="212">
        <v>46036</v>
      </c>
      <c r="E794" s="229"/>
      <c r="F794" s="229"/>
      <c r="G794" s="229"/>
      <c r="H794" s="229"/>
      <c r="I794" s="230">
        <v>0</v>
      </c>
    </row>
    <row r="795" spans="1:9" ht="20.399999999999999" thickTop="1" thickBot="1" x14ac:dyDescent="0.3">
      <c r="A795" s="215" t="s">
        <v>85</v>
      </c>
      <c r="B795" s="216" t="s">
        <v>141</v>
      </c>
      <c r="C795" s="217" t="s">
        <v>290</v>
      </c>
      <c r="D795" s="209">
        <v>46035</v>
      </c>
      <c r="E795" s="218">
        <v>125</v>
      </c>
      <c r="F795" s="218">
        <v>349.5</v>
      </c>
      <c r="G795" s="218">
        <v>317</v>
      </c>
      <c r="H795" s="218">
        <v>165.5</v>
      </c>
      <c r="I795" s="218">
        <v>957</v>
      </c>
    </row>
    <row r="796" spans="1:9" ht="19.8" thickTop="1" x14ac:dyDescent="0.25">
      <c r="A796" s="219" t="s">
        <v>86</v>
      </c>
      <c r="B796" s="220" t="s">
        <v>141</v>
      </c>
      <c r="C796" s="221" t="s">
        <v>290</v>
      </c>
      <c r="D796" s="210">
        <v>46035</v>
      </c>
      <c r="E796" s="222">
        <v>121.0625</v>
      </c>
      <c r="F796" s="222">
        <v>344.71185000000003</v>
      </c>
      <c r="G796" s="222">
        <v>317</v>
      </c>
      <c r="H796" s="222">
        <v>165.5</v>
      </c>
      <c r="I796" s="223">
        <v>948.27435000000003</v>
      </c>
    </row>
    <row r="797" spans="1:9" x14ac:dyDescent="0.25">
      <c r="A797" s="219" t="s">
        <v>87</v>
      </c>
      <c r="B797" s="220" t="s">
        <v>141</v>
      </c>
      <c r="C797" s="221" t="s">
        <v>290</v>
      </c>
      <c r="D797" s="211">
        <v>46035</v>
      </c>
      <c r="E797" s="224">
        <v>3.15E-2</v>
      </c>
      <c r="F797" s="224">
        <v>1.37E-2</v>
      </c>
      <c r="G797" s="224">
        <v>0</v>
      </c>
      <c r="H797" s="224">
        <v>0</v>
      </c>
      <c r="I797" s="225">
        <v>8.7256499999999999</v>
      </c>
    </row>
    <row r="798" spans="1:9" ht="19.8" thickBot="1" x14ac:dyDescent="0.3">
      <c r="A798" s="226" t="s">
        <v>205</v>
      </c>
      <c r="B798" s="227" t="s">
        <v>141</v>
      </c>
      <c r="C798" s="228" t="s">
        <v>290</v>
      </c>
      <c r="D798" s="212">
        <v>46035</v>
      </c>
      <c r="E798" s="229"/>
      <c r="F798" s="229"/>
      <c r="G798" s="229"/>
      <c r="H798" s="229"/>
      <c r="I798" s="230">
        <v>0</v>
      </c>
    </row>
    <row r="799" spans="1:9" ht="20.399999999999999" thickTop="1" thickBot="1" x14ac:dyDescent="0.3">
      <c r="A799" s="215" t="s">
        <v>85</v>
      </c>
      <c r="B799" s="216" t="s">
        <v>141</v>
      </c>
      <c r="C799" s="217" t="s">
        <v>291</v>
      </c>
      <c r="D799" s="209">
        <v>46034</v>
      </c>
      <c r="E799" s="218">
        <v>122</v>
      </c>
      <c r="F799" s="218">
        <v>336</v>
      </c>
      <c r="G799" s="218">
        <v>358</v>
      </c>
      <c r="H799" s="218">
        <v>200</v>
      </c>
      <c r="I799" s="218">
        <v>1016</v>
      </c>
    </row>
    <row r="800" spans="1:9" ht="19.8" thickTop="1" x14ac:dyDescent="0.25">
      <c r="A800" s="219" t="s">
        <v>86</v>
      </c>
      <c r="B800" s="220" t="s">
        <v>141</v>
      </c>
      <c r="C800" s="221" t="s">
        <v>291</v>
      </c>
      <c r="D800" s="210">
        <v>46034</v>
      </c>
      <c r="E800" s="222">
        <v>118.157</v>
      </c>
      <c r="F800" s="222">
        <v>331.39679999999998</v>
      </c>
      <c r="G800" s="222">
        <v>358</v>
      </c>
      <c r="H800" s="222">
        <v>200</v>
      </c>
      <c r="I800" s="223">
        <v>1007.5537999999999</v>
      </c>
    </row>
    <row r="801" spans="1:9" x14ac:dyDescent="0.25">
      <c r="A801" s="219" t="s">
        <v>87</v>
      </c>
      <c r="B801" s="220" t="s">
        <v>141</v>
      </c>
      <c r="C801" s="221" t="s">
        <v>291</v>
      </c>
      <c r="D801" s="211">
        <v>46034</v>
      </c>
      <c r="E801" s="224">
        <v>3.15E-2</v>
      </c>
      <c r="F801" s="224">
        <v>1.37E-2</v>
      </c>
      <c r="G801" s="224">
        <v>0</v>
      </c>
      <c r="H801" s="224">
        <v>0</v>
      </c>
      <c r="I801" s="225">
        <v>8.446200000000001</v>
      </c>
    </row>
    <row r="802" spans="1:9" ht="19.8" thickBot="1" x14ac:dyDescent="0.3">
      <c r="A802" s="226" t="s">
        <v>205</v>
      </c>
      <c r="B802" s="227" t="s">
        <v>141</v>
      </c>
      <c r="C802" s="228" t="s">
        <v>291</v>
      </c>
      <c r="D802" s="212">
        <v>46034</v>
      </c>
      <c r="E802" s="229"/>
      <c r="F802" s="229"/>
      <c r="G802" s="229"/>
      <c r="H802" s="229"/>
      <c r="I802" s="230">
        <v>0</v>
      </c>
    </row>
    <row r="803" spans="1:9" ht="20.399999999999999" thickTop="1" thickBot="1" x14ac:dyDescent="0.3">
      <c r="A803" s="215" t="s">
        <v>85</v>
      </c>
      <c r="B803" s="216" t="s">
        <v>141</v>
      </c>
      <c r="C803" s="217" t="s">
        <v>93</v>
      </c>
      <c r="D803" s="209">
        <v>46033</v>
      </c>
      <c r="E803" s="218">
        <v>62</v>
      </c>
      <c r="F803" s="218">
        <v>84</v>
      </c>
      <c r="G803" s="218">
        <v>73</v>
      </c>
      <c r="H803" s="218">
        <v>30</v>
      </c>
      <c r="I803" s="218">
        <v>249</v>
      </c>
    </row>
    <row r="804" spans="1:9" ht="19.8" thickTop="1" x14ac:dyDescent="0.25">
      <c r="A804" s="219" t="s">
        <v>86</v>
      </c>
      <c r="B804" s="220" t="s">
        <v>141</v>
      </c>
      <c r="C804" s="221" t="s">
        <v>93</v>
      </c>
      <c r="D804" s="210">
        <v>46033</v>
      </c>
      <c r="E804" s="222">
        <v>60.046999999999997</v>
      </c>
      <c r="F804" s="222">
        <v>82.849199999999996</v>
      </c>
      <c r="G804" s="222">
        <v>73</v>
      </c>
      <c r="H804" s="222">
        <v>30</v>
      </c>
      <c r="I804" s="223">
        <v>245.89619999999999</v>
      </c>
    </row>
    <row r="805" spans="1:9" x14ac:dyDescent="0.25">
      <c r="A805" s="219" t="s">
        <v>87</v>
      </c>
      <c r="B805" s="220" t="s">
        <v>141</v>
      </c>
      <c r="C805" s="221" t="s">
        <v>93</v>
      </c>
      <c r="D805" s="211">
        <v>46033</v>
      </c>
      <c r="E805" s="224">
        <v>3.15E-2</v>
      </c>
      <c r="F805" s="224">
        <v>1.37E-2</v>
      </c>
      <c r="G805" s="224">
        <v>0</v>
      </c>
      <c r="H805" s="224">
        <v>0</v>
      </c>
      <c r="I805" s="225">
        <v>3.1038000000000001</v>
      </c>
    </row>
    <row r="806" spans="1:9" ht="19.8" thickBot="1" x14ac:dyDescent="0.3">
      <c r="A806" s="226" t="s">
        <v>205</v>
      </c>
      <c r="B806" s="227" t="s">
        <v>141</v>
      </c>
      <c r="C806" s="228" t="s">
        <v>93</v>
      </c>
      <c r="D806" s="212">
        <v>46033</v>
      </c>
      <c r="E806" s="229"/>
      <c r="F806" s="229"/>
      <c r="G806" s="229"/>
      <c r="H806" s="229"/>
      <c r="I806" s="230">
        <v>0</v>
      </c>
    </row>
    <row r="807" spans="1:9" ht="20.399999999999999" thickTop="1" thickBot="1" x14ac:dyDescent="0.3">
      <c r="A807" s="215" t="s">
        <v>85</v>
      </c>
      <c r="B807" s="216" t="s">
        <v>141</v>
      </c>
      <c r="C807" s="217" t="s">
        <v>92</v>
      </c>
      <c r="D807" s="209">
        <v>46032</v>
      </c>
      <c r="E807" s="218">
        <v>63</v>
      </c>
      <c r="F807" s="218">
        <v>69</v>
      </c>
      <c r="G807" s="218">
        <v>78</v>
      </c>
      <c r="H807" s="218">
        <v>62</v>
      </c>
      <c r="I807" s="218">
        <v>272</v>
      </c>
    </row>
    <row r="808" spans="1:9" ht="19.8" thickTop="1" x14ac:dyDescent="0.25">
      <c r="A808" s="219" t="s">
        <v>86</v>
      </c>
      <c r="B808" s="220" t="s">
        <v>141</v>
      </c>
      <c r="C808" s="221" t="s">
        <v>92</v>
      </c>
      <c r="D808" s="210">
        <v>46032</v>
      </c>
      <c r="E808" s="222">
        <v>61.015500000000003</v>
      </c>
      <c r="F808" s="222">
        <v>68.054699999999997</v>
      </c>
      <c r="G808" s="222">
        <v>78</v>
      </c>
      <c r="H808" s="222">
        <v>62</v>
      </c>
      <c r="I808" s="223">
        <v>269.0702</v>
      </c>
    </row>
    <row r="809" spans="1:9" x14ac:dyDescent="0.25">
      <c r="A809" s="219" t="s">
        <v>87</v>
      </c>
      <c r="B809" s="220" t="s">
        <v>141</v>
      </c>
      <c r="C809" s="221" t="s">
        <v>92</v>
      </c>
      <c r="D809" s="211">
        <v>46032</v>
      </c>
      <c r="E809" s="224">
        <v>3.15E-2</v>
      </c>
      <c r="F809" s="224">
        <v>1.37E-2</v>
      </c>
      <c r="G809" s="224">
        <v>0</v>
      </c>
      <c r="H809" s="224">
        <v>0</v>
      </c>
      <c r="I809" s="225">
        <v>2.9298000000000002</v>
      </c>
    </row>
    <row r="810" spans="1:9" ht="19.8" thickBot="1" x14ac:dyDescent="0.3">
      <c r="A810" s="226" t="s">
        <v>205</v>
      </c>
      <c r="B810" s="227" t="s">
        <v>141</v>
      </c>
      <c r="C810" s="228" t="s">
        <v>92</v>
      </c>
      <c r="D810" s="212">
        <v>46032</v>
      </c>
      <c r="E810" s="229"/>
      <c r="F810" s="229"/>
      <c r="G810" s="229"/>
      <c r="H810" s="229"/>
      <c r="I810" s="230">
        <v>0</v>
      </c>
    </row>
    <row r="811" spans="1:9" ht="20.399999999999999" thickTop="1" thickBot="1" x14ac:dyDescent="0.3">
      <c r="A811" s="215" t="s">
        <v>85</v>
      </c>
      <c r="B811" s="216" t="s">
        <v>141</v>
      </c>
      <c r="C811" s="217" t="s">
        <v>83</v>
      </c>
      <c r="D811" s="209">
        <v>46031</v>
      </c>
      <c r="E811" s="218">
        <v>103</v>
      </c>
      <c r="F811" s="218">
        <v>308</v>
      </c>
      <c r="G811" s="218">
        <v>273.3</v>
      </c>
      <c r="H811" s="218">
        <v>161.70000000000005</v>
      </c>
      <c r="I811" s="218">
        <v>846</v>
      </c>
    </row>
    <row r="812" spans="1:9" ht="19.8" thickTop="1" x14ac:dyDescent="0.25">
      <c r="A812" s="219" t="s">
        <v>86</v>
      </c>
      <c r="B812" s="220" t="s">
        <v>141</v>
      </c>
      <c r="C812" s="221" t="s">
        <v>83</v>
      </c>
      <c r="D812" s="210">
        <v>46031</v>
      </c>
      <c r="E812" s="222">
        <v>99.755499999999998</v>
      </c>
      <c r="F812" s="222">
        <v>303.78039999999999</v>
      </c>
      <c r="G812" s="222">
        <v>273.3</v>
      </c>
      <c r="H812" s="222">
        <v>161.70000000000005</v>
      </c>
      <c r="I812" s="223">
        <v>838.53590000000008</v>
      </c>
    </row>
    <row r="813" spans="1:9" x14ac:dyDescent="0.25">
      <c r="A813" s="219" t="s">
        <v>87</v>
      </c>
      <c r="B813" s="220" t="s">
        <v>141</v>
      </c>
      <c r="C813" s="221" t="s">
        <v>83</v>
      </c>
      <c r="D813" s="211">
        <v>46031</v>
      </c>
      <c r="E813" s="224">
        <v>3.15E-2</v>
      </c>
      <c r="F813" s="224">
        <v>1.37E-2</v>
      </c>
      <c r="G813" s="224">
        <v>0</v>
      </c>
      <c r="H813" s="224">
        <v>0</v>
      </c>
      <c r="I813" s="225">
        <v>7.4641000000000002</v>
      </c>
    </row>
    <row r="814" spans="1:9" ht="19.8" thickBot="1" x14ac:dyDescent="0.3">
      <c r="A814" s="226" t="s">
        <v>205</v>
      </c>
      <c r="B814" s="227" t="s">
        <v>141</v>
      </c>
      <c r="C814" s="228" t="s">
        <v>83</v>
      </c>
      <c r="D814" s="212">
        <v>46031</v>
      </c>
      <c r="E814" s="229"/>
      <c r="F814" s="229"/>
      <c r="G814" s="229"/>
      <c r="H814" s="229"/>
      <c r="I814" s="230">
        <v>0</v>
      </c>
    </row>
    <row r="815" spans="1:9" ht="20.399999999999999" thickTop="1" thickBot="1" x14ac:dyDescent="0.3">
      <c r="A815" s="215" t="s">
        <v>85</v>
      </c>
      <c r="B815" s="216" t="s">
        <v>141</v>
      </c>
      <c r="C815" s="217" t="s">
        <v>294</v>
      </c>
      <c r="D815" s="209">
        <v>46030</v>
      </c>
      <c r="E815" s="218">
        <v>178.2</v>
      </c>
      <c r="F815" s="218">
        <v>135</v>
      </c>
      <c r="G815" s="218">
        <v>299.5</v>
      </c>
      <c r="H815" s="218">
        <v>207.29999999999995</v>
      </c>
      <c r="I815" s="218">
        <v>820</v>
      </c>
    </row>
    <row r="816" spans="1:9" ht="19.8" thickTop="1" x14ac:dyDescent="0.25">
      <c r="A816" s="219" t="s">
        <v>86</v>
      </c>
      <c r="B816" s="220" t="s">
        <v>141</v>
      </c>
      <c r="C816" s="221" t="s">
        <v>294</v>
      </c>
      <c r="D816" s="210">
        <v>46030</v>
      </c>
      <c r="E816" s="222">
        <v>172.58669999999998</v>
      </c>
      <c r="F816" s="222">
        <v>133.15049999999999</v>
      </c>
      <c r="G816" s="222">
        <v>299.5</v>
      </c>
      <c r="H816" s="222">
        <v>207.29999999999995</v>
      </c>
      <c r="I816" s="223">
        <v>812.53719999999998</v>
      </c>
    </row>
    <row r="817" spans="1:9" x14ac:dyDescent="0.25">
      <c r="A817" s="219" t="s">
        <v>87</v>
      </c>
      <c r="B817" s="220" t="s">
        <v>141</v>
      </c>
      <c r="C817" s="221" t="s">
        <v>294</v>
      </c>
      <c r="D817" s="211">
        <v>46030</v>
      </c>
      <c r="E817" s="224">
        <v>3.15E-2</v>
      </c>
      <c r="F817" s="224">
        <v>1.37E-2</v>
      </c>
      <c r="G817" s="224">
        <v>0</v>
      </c>
      <c r="H817" s="224">
        <v>0</v>
      </c>
      <c r="I817" s="225">
        <v>7.4627999999999997</v>
      </c>
    </row>
    <row r="818" spans="1:9" ht="19.8" thickBot="1" x14ac:dyDescent="0.3">
      <c r="A818" s="226" t="s">
        <v>205</v>
      </c>
      <c r="B818" s="227" t="s">
        <v>141</v>
      </c>
      <c r="C818" s="228" t="s">
        <v>294</v>
      </c>
      <c r="D818" s="212">
        <v>46030</v>
      </c>
      <c r="E818" s="229"/>
      <c r="F818" s="229"/>
      <c r="G818" s="229"/>
      <c r="H818" s="229"/>
      <c r="I818" s="230">
        <v>0</v>
      </c>
    </row>
    <row r="819" spans="1:9" ht="20.399999999999999" thickTop="1" thickBot="1" x14ac:dyDescent="0.3">
      <c r="A819" s="215" t="s">
        <v>85</v>
      </c>
      <c r="B819" s="216" t="s">
        <v>141</v>
      </c>
      <c r="C819" s="217" t="s">
        <v>32</v>
      </c>
      <c r="D819" s="209">
        <v>46029</v>
      </c>
      <c r="E819" s="218">
        <v>238</v>
      </c>
      <c r="F819" s="218">
        <v>169</v>
      </c>
      <c r="G819" s="218">
        <v>558</v>
      </c>
      <c r="H819" s="218">
        <v>195</v>
      </c>
      <c r="I819" s="218">
        <v>1160</v>
      </c>
    </row>
    <row r="820" spans="1:9" ht="19.8" thickTop="1" x14ac:dyDescent="0.25">
      <c r="A820" s="219" t="s">
        <v>86</v>
      </c>
      <c r="B820" s="220" t="s">
        <v>141</v>
      </c>
      <c r="C820" s="221" t="s">
        <v>32</v>
      </c>
      <c r="D820" s="210">
        <v>46029</v>
      </c>
      <c r="E820" s="222">
        <v>230.50299999999999</v>
      </c>
      <c r="F820" s="222">
        <v>166.68469999999999</v>
      </c>
      <c r="G820" s="222">
        <v>558</v>
      </c>
      <c r="H820" s="222">
        <v>195</v>
      </c>
      <c r="I820" s="223">
        <v>1150.1876999999999</v>
      </c>
    </row>
    <row r="821" spans="1:9" x14ac:dyDescent="0.25">
      <c r="A821" s="219" t="s">
        <v>87</v>
      </c>
      <c r="B821" s="220" t="s">
        <v>141</v>
      </c>
      <c r="C821" s="221" t="s">
        <v>32</v>
      </c>
      <c r="D821" s="211">
        <v>46029</v>
      </c>
      <c r="E821" s="224">
        <v>3.15E-2</v>
      </c>
      <c r="F821" s="224">
        <v>1.37E-2</v>
      </c>
      <c r="G821" s="224">
        <v>0</v>
      </c>
      <c r="H821" s="224">
        <v>0</v>
      </c>
      <c r="I821" s="225">
        <v>9.8123000000000005</v>
      </c>
    </row>
    <row r="822" spans="1:9" ht="19.8" thickBot="1" x14ac:dyDescent="0.3">
      <c r="A822" s="226" t="s">
        <v>205</v>
      </c>
      <c r="B822" s="227" t="s">
        <v>141</v>
      </c>
      <c r="C822" s="228" t="s">
        <v>32</v>
      </c>
      <c r="D822" s="212">
        <v>46029</v>
      </c>
      <c r="E822" s="229"/>
      <c r="F822" s="229"/>
      <c r="G822" s="229"/>
      <c r="H822" s="229"/>
      <c r="I822" s="230">
        <v>0</v>
      </c>
    </row>
    <row r="823" spans="1:9" ht="20.399999999999999" thickTop="1" thickBot="1" x14ac:dyDescent="0.3">
      <c r="A823" s="215" t="s">
        <v>85</v>
      </c>
      <c r="B823" s="216" t="s">
        <v>141</v>
      </c>
      <c r="C823" s="217" t="s">
        <v>290</v>
      </c>
      <c r="D823" s="209">
        <v>46028</v>
      </c>
      <c r="E823" s="218">
        <v>82</v>
      </c>
      <c r="F823" s="218">
        <v>295</v>
      </c>
      <c r="G823" s="218">
        <v>374</v>
      </c>
      <c r="H823" s="218">
        <v>198</v>
      </c>
      <c r="I823" s="218">
        <v>949</v>
      </c>
    </row>
    <row r="824" spans="1:9" ht="19.8" thickTop="1" x14ac:dyDescent="0.25">
      <c r="A824" s="219" t="s">
        <v>86</v>
      </c>
      <c r="B824" s="220" t="s">
        <v>141</v>
      </c>
      <c r="C824" s="221" t="s">
        <v>290</v>
      </c>
      <c r="D824" s="210">
        <v>46028</v>
      </c>
      <c r="E824" s="222">
        <v>79.417000000000002</v>
      </c>
      <c r="F824" s="222">
        <v>290.95850000000002</v>
      </c>
      <c r="G824" s="222">
        <v>374</v>
      </c>
      <c r="H824" s="222">
        <v>198</v>
      </c>
      <c r="I824" s="223">
        <v>942.37549999999999</v>
      </c>
    </row>
    <row r="825" spans="1:9" x14ac:dyDescent="0.25">
      <c r="A825" s="219" t="s">
        <v>87</v>
      </c>
      <c r="B825" s="220" t="s">
        <v>141</v>
      </c>
      <c r="C825" s="221" t="s">
        <v>290</v>
      </c>
      <c r="D825" s="211">
        <v>46028</v>
      </c>
      <c r="E825" s="224">
        <v>3.15E-2</v>
      </c>
      <c r="F825" s="224">
        <v>1.37E-2</v>
      </c>
      <c r="G825" s="224">
        <v>0</v>
      </c>
      <c r="H825" s="224">
        <v>0</v>
      </c>
      <c r="I825" s="225">
        <v>6.6245000000000003</v>
      </c>
    </row>
    <row r="826" spans="1:9" ht="19.8" thickBot="1" x14ac:dyDescent="0.3">
      <c r="A826" s="226" t="s">
        <v>205</v>
      </c>
      <c r="B826" s="227" t="s">
        <v>141</v>
      </c>
      <c r="C826" s="228" t="s">
        <v>290</v>
      </c>
      <c r="D826" s="212">
        <v>46028</v>
      </c>
      <c r="E826" s="229"/>
      <c r="F826" s="229"/>
      <c r="G826" s="229"/>
      <c r="H826" s="229"/>
      <c r="I826" s="230">
        <v>0</v>
      </c>
    </row>
    <row r="827" spans="1:9" ht="20.399999999999999" thickTop="1" thickBot="1" x14ac:dyDescent="0.3">
      <c r="A827" s="215" t="s">
        <v>85</v>
      </c>
      <c r="B827" s="216" t="s">
        <v>141</v>
      </c>
      <c r="C827" s="217" t="s">
        <v>291</v>
      </c>
      <c r="D827" s="209">
        <v>46027</v>
      </c>
      <c r="E827" s="218">
        <v>105.5</v>
      </c>
      <c r="F827" s="218">
        <v>124</v>
      </c>
      <c r="G827" s="218">
        <v>730</v>
      </c>
      <c r="H827" s="218">
        <v>297.5</v>
      </c>
      <c r="I827" s="218">
        <v>1257</v>
      </c>
    </row>
    <row r="828" spans="1:9" ht="19.8" thickTop="1" x14ac:dyDescent="0.25">
      <c r="A828" s="219" t="s">
        <v>86</v>
      </c>
      <c r="B828" s="220" t="s">
        <v>141</v>
      </c>
      <c r="C828" s="221" t="s">
        <v>291</v>
      </c>
      <c r="D828" s="210">
        <v>46027</v>
      </c>
      <c r="E828" s="222">
        <v>102.17675</v>
      </c>
      <c r="F828" s="222">
        <v>122.30119999999999</v>
      </c>
      <c r="G828" s="222">
        <v>730</v>
      </c>
      <c r="H828" s="222">
        <v>297.5</v>
      </c>
      <c r="I828" s="223">
        <v>1251.97795</v>
      </c>
    </row>
    <row r="829" spans="1:9" x14ac:dyDescent="0.25">
      <c r="A829" s="219" t="s">
        <v>87</v>
      </c>
      <c r="B829" s="220" t="s">
        <v>141</v>
      </c>
      <c r="C829" s="221" t="s">
        <v>291</v>
      </c>
      <c r="D829" s="211">
        <v>46027</v>
      </c>
      <c r="E829" s="224">
        <v>3.15E-2</v>
      </c>
      <c r="F829" s="224">
        <v>1.37E-2</v>
      </c>
      <c r="G829" s="224">
        <v>0</v>
      </c>
      <c r="H829" s="224">
        <v>0</v>
      </c>
      <c r="I829" s="225">
        <v>5.0220500000000001</v>
      </c>
    </row>
    <row r="830" spans="1:9" ht="19.8" thickBot="1" x14ac:dyDescent="0.3">
      <c r="A830" s="226" t="s">
        <v>205</v>
      </c>
      <c r="B830" s="227" t="s">
        <v>141</v>
      </c>
      <c r="C830" s="228" t="s">
        <v>291</v>
      </c>
      <c r="D830" s="212">
        <v>46027</v>
      </c>
      <c r="E830" s="229"/>
      <c r="F830" s="229"/>
      <c r="G830" s="229"/>
      <c r="H830" s="229"/>
      <c r="I830" s="230">
        <v>0</v>
      </c>
    </row>
    <row r="831" spans="1:9" ht="20.399999999999999" thickTop="1" thickBot="1" x14ac:dyDescent="0.3">
      <c r="A831" s="215" t="s">
        <v>85</v>
      </c>
      <c r="B831" s="216" t="s">
        <v>141</v>
      </c>
      <c r="C831" s="217" t="s">
        <v>93</v>
      </c>
      <c r="D831" s="209">
        <v>46026</v>
      </c>
      <c r="E831" s="218">
        <v>55</v>
      </c>
      <c r="F831" s="218">
        <v>170</v>
      </c>
      <c r="G831" s="218">
        <v>84.4</v>
      </c>
      <c r="H831" s="218">
        <v>391.6</v>
      </c>
      <c r="I831" s="218">
        <v>701</v>
      </c>
    </row>
    <row r="832" spans="1:9" ht="19.8" thickTop="1" x14ac:dyDescent="0.25">
      <c r="A832" s="219" t="s">
        <v>86</v>
      </c>
      <c r="B832" s="220" t="s">
        <v>141</v>
      </c>
      <c r="C832" s="221" t="s">
        <v>93</v>
      </c>
      <c r="D832" s="210">
        <v>46026</v>
      </c>
      <c r="E832" s="222">
        <v>53.267499999999998</v>
      </c>
      <c r="F832" s="222">
        <v>167.67099999999999</v>
      </c>
      <c r="G832" s="222">
        <v>84.4</v>
      </c>
      <c r="H832" s="222">
        <v>391.6</v>
      </c>
      <c r="I832" s="223">
        <v>696.93849999999998</v>
      </c>
    </row>
    <row r="833" spans="1:9" x14ac:dyDescent="0.25">
      <c r="A833" s="219" t="s">
        <v>87</v>
      </c>
      <c r="B833" s="220" t="s">
        <v>141</v>
      </c>
      <c r="C833" s="221" t="s">
        <v>93</v>
      </c>
      <c r="D833" s="211">
        <v>46026</v>
      </c>
      <c r="E833" s="224">
        <v>3.15E-2</v>
      </c>
      <c r="F833" s="224">
        <v>1.37E-2</v>
      </c>
      <c r="G833" s="224">
        <v>0</v>
      </c>
      <c r="H833" s="224">
        <v>0</v>
      </c>
      <c r="I833" s="225">
        <v>4.0615000000000006</v>
      </c>
    </row>
    <row r="834" spans="1:9" ht="19.8" thickBot="1" x14ac:dyDescent="0.3">
      <c r="A834" s="226" t="s">
        <v>205</v>
      </c>
      <c r="B834" s="227" t="s">
        <v>141</v>
      </c>
      <c r="C834" s="228" t="s">
        <v>93</v>
      </c>
      <c r="D834" s="212">
        <v>46026</v>
      </c>
      <c r="E834" s="229"/>
      <c r="F834" s="229"/>
      <c r="G834" s="229"/>
      <c r="H834" s="229"/>
      <c r="I834" s="230">
        <v>0</v>
      </c>
    </row>
    <row r="835" spans="1:9" ht="20.399999999999999" thickTop="1" thickBot="1" x14ac:dyDescent="0.3">
      <c r="A835" s="215" t="s">
        <v>85</v>
      </c>
      <c r="B835" s="216" t="s">
        <v>141</v>
      </c>
      <c r="C835" s="217" t="s">
        <v>92</v>
      </c>
      <c r="D835" s="209">
        <v>46025</v>
      </c>
      <c r="E835" s="218">
        <v>67</v>
      </c>
      <c r="F835" s="218">
        <v>104</v>
      </c>
      <c r="G835" s="218">
        <v>266</v>
      </c>
      <c r="H835" s="218">
        <v>-132</v>
      </c>
      <c r="I835" s="218">
        <v>305</v>
      </c>
    </row>
    <row r="836" spans="1:9" ht="19.8" thickTop="1" x14ac:dyDescent="0.25">
      <c r="A836" s="219" t="s">
        <v>86</v>
      </c>
      <c r="B836" s="220" t="s">
        <v>141</v>
      </c>
      <c r="C836" s="221" t="s">
        <v>92</v>
      </c>
      <c r="D836" s="210">
        <v>46025</v>
      </c>
      <c r="E836" s="222">
        <v>64.889499999999998</v>
      </c>
      <c r="F836" s="222">
        <v>102.5752</v>
      </c>
      <c r="G836" s="222">
        <v>266</v>
      </c>
      <c r="H836" s="222">
        <v>-132</v>
      </c>
      <c r="I836" s="223">
        <v>301.46469999999999</v>
      </c>
    </row>
    <row r="837" spans="1:9" x14ac:dyDescent="0.25">
      <c r="A837" s="219" t="s">
        <v>87</v>
      </c>
      <c r="B837" s="220" t="s">
        <v>141</v>
      </c>
      <c r="C837" s="221" t="s">
        <v>92</v>
      </c>
      <c r="D837" s="211">
        <v>46025</v>
      </c>
      <c r="E837" s="224">
        <v>3.15E-2</v>
      </c>
      <c r="F837" s="224">
        <v>1.37E-2</v>
      </c>
      <c r="G837" s="224">
        <v>0</v>
      </c>
      <c r="H837" s="224">
        <v>0</v>
      </c>
      <c r="I837" s="225">
        <v>3.5353000000000003</v>
      </c>
    </row>
    <row r="838" spans="1:9" ht="19.8" thickBot="1" x14ac:dyDescent="0.3">
      <c r="A838" s="226" t="s">
        <v>205</v>
      </c>
      <c r="B838" s="227" t="s">
        <v>141</v>
      </c>
      <c r="C838" s="228" t="s">
        <v>92</v>
      </c>
      <c r="D838" s="212">
        <v>46025</v>
      </c>
      <c r="E838" s="229"/>
      <c r="F838" s="229"/>
      <c r="G838" s="229"/>
      <c r="H838" s="229"/>
      <c r="I838" s="230">
        <v>0</v>
      </c>
    </row>
    <row r="839" spans="1:9" ht="20.399999999999999" thickTop="1" thickBot="1" x14ac:dyDescent="0.3">
      <c r="A839" s="215" t="s">
        <v>85</v>
      </c>
      <c r="B839" s="216" t="s">
        <v>141</v>
      </c>
      <c r="C839" s="217" t="s">
        <v>83</v>
      </c>
      <c r="D839" s="209">
        <v>46024</v>
      </c>
      <c r="E839" s="218">
        <v>101</v>
      </c>
      <c r="F839" s="218">
        <v>225</v>
      </c>
      <c r="G839" s="218">
        <v>83</v>
      </c>
      <c r="H839" s="218">
        <v>179.5</v>
      </c>
      <c r="I839" s="218">
        <v>588.5</v>
      </c>
    </row>
    <row r="840" spans="1:9" ht="19.8" thickTop="1" x14ac:dyDescent="0.25">
      <c r="A840" s="219" t="s">
        <v>86</v>
      </c>
      <c r="B840" s="220" t="s">
        <v>141</v>
      </c>
      <c r="C840" s="221" t="s">
        <v>83</v>
      </c>
      <c r="D840" s="210">
        <v>46024</v>
      </c>
      <c r="E840" s="222">
        <v>97.8185</v>
      </c>
      <c r="F840" s="222">
        <v>221.91749999999999</v>
      </c>
      <c r="G840" s="222">
        <v>83</v>
      </c>
      <c r="H840" s="222">
        <v>179.5</v>
      </c>
      <c r="I840" s="223">
        <v>582.23599999999999</v>
      </c>
    </row>
    <row r="841" spans="1:9" x14ac:dyDescent="0.25">
      <c r="A841" s="219" t="s">
        <v>87</v>
      </c>
      <c r="B841" s="220" t="s">
        <v>141</v>
      </c>
      <c r="C841" s="221" t="s">
        <v>83</v>
      </c>
      <c r="D841" s="211">
        <v>46024</v>
      </c>
      <c r="E841" s="224">
        <v>3.15E-2</v>
      </c>
      <c r="F841" s="224">
        <v>1.37E-2</v>
      </c>
      <c r="G841" s="224">
        <v>0</v>
      </c>
      <c r="H841" s="224">
        <v>0</v>
      </c>
      <c r="I841" s="225">
        <v>6.2640000000000002</v>
      </c>
    </row>
    <row r="842" spans="1:9" ht="19.8" thickBot="1" x14ac:dyDescent="0.3">
      <c r="A842" s="226" t="s">
        <v>205</v>
      </c>
      <c r="B842" s="227" t="s">
        <v>141</v>
      </c>
      <c r="C842" s="228" t="s">
        <v>83</v>
      </c>
      <c r="D842" s="212">
        <v>46024</v>
      </c>
      <c r="E842" s="229"/>
      <c r="F842" s="229"/>
      <c r="G842" s="229"/>
      <c r="H842" s="229"/>
      <c r="I842" s="230">
        <v>0</v>
      </c>
    </row>
    <row r="843" spans="1:9" ht="20.399999999999999" thickTop="1" thickBot="1" x14ac:dyDescent="0.3">
      <c r="A843" s="215" t="s">
        <v>85</v>
      </c>
      <c r="B843" s="216" t="s">
        <v>141</v>
      </c>
      <c r="C843" s="217" t="s">
        <v>294</v>
      </c>
      <c r="D843" s="209">
        <v>46023</v>
      </c>
      <c r="E843" s="218"/>
      <c r="F843" s="218"/>
      <c r="G843" s="218"/>
      <c r="H843" s="218">
        <v>0</v>
      </c>
      <c r="I843" s="218">
        <v>0</v>
      </c>
    </row>
    <row r="844" spans="1:9" ht="19.8" thickTop="1" x14ac:dyDescent="0.25">
      <c r="A844" s="219" t="s">
        <v>86</v>
      </c>
      <c r="B844" s="220" t="s">
        <v>141</v>
      </c>
      <c r="C844" s="221" t="s">
        <v>294</v>
      </c>
      <c r="D844" s="210">
        <v>46023</v>
      </c>
      <c r="E844" s="222">
        <v>0</v>
      </c>
      <c r="F844" s="222">
        <v>0</v>
      </c>
      <c r="G844" s="222">
        <v>0</v>
      </c>
      <c r="H844" s="222">
        <v>0</v>
      </c>
      <c r="I844" s="223">
        <v>0</v>
      </c>
    </row>
    <row r="845" spans="1:9" x14ac:dyDescent="0.25">
      <c r="A845" s="219" t="s">
        <v>87</v>
      </c>
      <c r="B845" s="220" t="s">
        <v>141</v>
      </c>
      <c r="C845" s="221" t="s">
        <v>294</v>
      </c>
      <c r="D845" s="211">
        <v>46023</v>
      </c>
      <c r="E845" s="224">
        <v>3.15E-2</v>
      </c>
      <c r="F845" s="224">
        <v>1.37E-2</v>
      </c>
      <c r="G845" s="224">
        <v>0</v>
      </c>
      <c r="H845" s="224">
        <v>0</v>
      </c>
      <c r="I845" s="225">
        <v>0</v>
      </c>
    </row>
    <row r="846" spans="1:9" ht="19.8" thickBot="1" x14ac:dyDescent="0.3">
      <c r="A846" s="226" t="s">
        <v>205</v>
      </c>
      <c r="B846" s="227" t="s">
        <v>141</v>
      </c>
      <c r="C846" s="228" t="s">
        <v>294</v>
      </c>
      <c r="D846" s="212">
        <v>46023</v>
      </c>
      <c r="E846" s="229"/>
      <c r="F846" s="229"/>
      <c r="G846" s="229"/>
      <c r="H846" s="229"/>
      <c r="I846" s="230">
        <v>0</v>
      </c>
    </row>
    <row r="847" spans="1:9" ht="19.8" thickTop="1" x14ac:dyDescent="0.25"/>
  </sheetData>
  <phoneticPr fontId="8" type="noConversion"/>
  <conditionalFormatting sqref="O21:O51">
    <cfRule type="cellIs" dxfId="323" priority="58" operator="lessThan">
      <formula>0</formula>
    </cfRule>
  </conditionalFormatting>
  <conditionalFormatting sqref="O21:O51">
    <cfRule type="cellIs" dxfId="322" priority="57" operator="greaterThan">
      <formula>$P21</formula>
    </cfRule>
  </conditionalFormatting>
  <conditionalFormatting sqref="O53:O105">
    <cfRule type="colorScale" priority="2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3:N105">
    <cfRule type="colorScale" priority="3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3:M105">
    <cfRule type="colorScale" priority="30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:L105">
    <cfRule type="colorScale" priority="3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3:Q105">
    <cfRule type="colorScale" priority="30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:P105">
    <cfRule type="colorScale" priority="3004">
      <colorScale>
        <cfvo type="min"/>
        <cfvo type="num" val="1214"/>
        <cfvo type="max"/>
        <color rgb="FFF8696B"/>
        <color rgb="FFFFEB84"/>
        <color rgb="FF63BE7B"/>
      </colorScale>
    </cfRule>
  </conditionalFormatting>
  <conditionalFormatting sqref="D2:D5 D7:D846">
    <cfRule type="timePeriod" dxfId="321" priority="1" timePeriod="yesterday">
      <formula>FLOOR(D2,1)=TODAY()-1</formula>
    </cfRule>
    <cfRule type="timePeriod" dxfId="320" priority="2" timePeriod="today">
      <formula>FLOOR(D2,1)=TODAY()</formula>
    </cfRule>
  </conditionalFormatting>
  <pageMargins left="0.511811024" right="0.511811024" top="0.78740157499999996" bottom="0.78740157499999996" header="0.31496062000000002" footer="0.31496062000000002"/>
  <ignoredErrors>
    <ignoredError sqref="N3:N5 P21" calculatedColumn="1"/>
  </ignoredErrors>
  <drawing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4267C-60A1-4B27-AA59-90A44A2EF5BA}">
  <sheetPr codeName="Planilha1"/>
  <dimension ref="A1:CI2394"/>
  <sheetViews>
    <sheetView showGridLines="0" tabSelected="1" topLeftCell="A823" zoomScaleNormal="100" workbookViewId="0">
      <selection activeCell="I957" sqref="I956:I957"/>
    </sheetView>
  </sheetViews>
  <sheetFormatPr defaultRowHeight="13.8" x14ac:dyDescent="0.25"/>
  <cols>
    <col min="1" max="1" width="15.8984375" bestFit="1" customWidth="1"/>
    <col min="2" max="2" width="15.59765625" bestFit="1" customWidth="1"/>
    <col min="3" max="3" width="8.09765625" customWidth="1"/>
    <col min="4" max="4" width="10.09765625" bestFit="1" customWidth="1"/>
    <col min="5" max="5" width="11.19921875" customWidth="1"/>
    <col min="6" max="7" width="11.69921875" bestFit="1" customWidth="1"/>
    <col min="8" max="8" width="7.3984375" bestFit="1" customWidth="1"/>
    <col min="9" max="10" width="9.8984375" bestFit="1" customWidth="1"/>
    <col min="11" max="11" width="11.59765625" customWidth="1"/>
    <col min="12" max="12" width="7.59765625" bestFit="1" customWidth="1"/>
    <col min="13" max="13" width="13.69921875" customWidth="1"/>
    <col min="14" max="14" width="13.09765625" bestFit="1" customWidth="1"/>
    <col min="15" max="16" width="14.19921875" bestFit="1" customWidth="1"/>
    <col min="17" max="17" width="11.69921875" bestFit="1" customWidth="1"/>
    <col min="18" max="18" width="12" bestFit="1" customWidth="1"/>
    <col min="19" max="19" width="10.5" bestFit="1" customWidth="1"/>
    <col min="20" max="20" width="10.296875" bestFit="1" customWidth="1"/>
    <col min="21" max="21" width="8.09765625" bestFit="1" customWidth="1"/>
    <col min="22" max="22" width="14.09765625" bestFit="1" customWidth="1"/>
    <col min="23" max="23" width="12.3984375" bestFit="1" customWidth="1"/>
    <col min="24" max="25" width="0.5" customWidth="1"/>
    <col min="26" max="26" width="10.8984375" bestFit="1" customWidth="1"/>
    <col min="27" max="27" width="14.296875" bestFit="1" customWidth="1"/>
    <col min="28" max="28" width="14.09765625" bestFit="1" customWidth="1"/>
    <col min="29" max="29" width="14.19921875" bestFit="1" customWidth="1"/>
    <col min="30" max="30" width="18.5" bestFit="1" customWidth="1"/>
    <col min="31" max="31" width="15.3984375" customWidth="1"/>
    <col min="32" max="32" width="13.5" customWidth="1"/>
    <col min="33" max="33" width="10.296875" customWidth="1"/>
    <col min="34" max="34" width="9.3984375" bestFit="1" customWidth="1"/>
    <col min="35" max="39" width="11.8984375" bestFit="1" customWidth="1"/>
    <col min="40" max="40" width="12" bestFit="1" customWidth="1"/>
    <col min="42" max="42" width="9.59765625" bestFit="1" customWidth="1"/>
    <col min="43" max="47" width="8" bestFit="1" customWidth="1"/>
    <col min="49" max="49" width="7.5" customWidth="1"/>
    <col min="50" max="50" width="8.3984375" customWidth="1"/>
    <col min="51" max="51" width="5.8984375" bestFit="1" customWidth="1"/>
    <col min="54" max="54" width="18.3984375" style="7" customWidth="1"/>
    <col min="55" max="55" width="12.09765625" customWidth="1"/>
    <col min="56" max="56" width="9.09765625" bestFit="1" customWidth="1"/>
    <col min="57" max="57" width="18.3984375" customWidth="1"/>
    <col min="58" max="58" width="15.59765625" bestFit="1" customWidth="1"/>
    <col min="59" max="59" width="10.69921875" customWidth="1"/>
  </cols>
  <sheetData>
    <row r="1" spans="1:87" ht="42.6" thickTop="1" thickBot="1" x14ac:dyDescent="0.3">
      <c r="A1" s="35" t="s">
        <v>4</v>
      </c>
      <c r="B1" s="35" t="s">
        <v>23</v>
      </c>
      <c r="C1" s="102" t="s">
        <v>20</v>
      </c>
      <c r="D1" s="35" t="s">
        <v>25</v>
      </c>
      <c r="E1" s="35" t="s">
        <v>33</v>
      </c>
      <c r="F1" s="35" t="s">
        <v>26</v>
      </c>
      <c r="G1" s="35" t="s">
        <v>7</v>
      </c>
      <c r="H1" s="35" t="s">
        <v>8</v>
      </c>
      <c r="I1" s="35" t="s">
        <v>24</v>
      </c>
      <c r="J1" s="35" t="s">
        <v>22</v>
      </c>
      <c r="K1" s="35" t="s">
        <v>181</v>
      </c>
      <c r="L1" s="35" t="s">
        <v>209</v>
      </c>
      <c r="M1" s="35" t="s">
        <v>27</v>
      </c>
      <c r="N1" s="35" t="s">
        <v>28</v>
      </c>
      <c r="O1" s="35" t="s">
        <v>21</v>
      </c>
      <c r="P1" s="35" t="s">
        <v>29</v>
      </c>
      <c r="Q1" s="103" t="s">
        <v>235</v>
      </c>
      <c r="R1" s="103" t="s">
        <v>95</v>
      </c>
      <c r="S1" s="103" t="s">
        <v>155</v>
      </c>
      <c r="T1" s="104" t="s">
        <v>156</v>
      </c>
      <c r="U1" s="105" t="s">
        <v>157</v>
      </c>
      <c r="V1" s="35" t="s">
        <v>158</v>
      </c>
      <c r="W1" s="35" t="s">
        <v>159</v>
      </c>
      <c r="Z1" s="1" t="s">
        <v>5</v>
      </c>
      <c r="AA1" s="35" t="s">
        <v>10</v>
      </c>
      <c r="AB1" s="35" t="s">
        <v>11</v>
      </c>
      <c r="AC1" s="35" t="s">
        <v>12</v>
      </c>
      <c r="AD1" s="35" t="s">
        <v>13</v>
      </c>
      <c r="AE1" s="35" t="s">
        <v>14</v>
      </c>
      <c r="AF1" s="35" t="s">
        <v>229</v>
      </c>
      <c r="AG1" s="35" t="s">
        <v>230</v>
      </c>
      <c r="AH1" s="1" t="s">
        <v>5</v>
      </c>
      <c r="AI1" s="148" t="s">
        <v>10</v>
      </c>
      <c r="AJ1" s="148" t="s">
        <v>11</v>
      </c>
      <c r="AK1" s="148" t="s">
        <v>12</v>
      </c>
      <c r="AL1" s="148" t="s">
        <v>13</v>
      </c>
      <c r="AM1" s="148" t="s">
        <v>14</v>
      </c>
      <c r="AN1" s="148" t="s">
        <v>247</v>
      </c>
      <c r="AO1" s="148" t="s">
        <v>231</v>
      </c>
      <c r="AP1" s="1" t="s">
        <v>5</v>
      </c>
      <c r="AQ1" s="35" t="s">
        <v>10</v>
      </c>
      <c r="AR1" s="35" t="s">
        <v>11</v>
      </c>
      <c r="AS1" s="35" t="s">
        <v>12</v>
      </c>
      <c r="AT1" s="35" t="s">
        <v>13</v>
      </c>
      <c r="AU1" s="35" t="s">
        <v>14</v>
      </c>
      <c r="AV1" s="35" t="s">
        <v>236</v>
      </c>
      <c r="AW1" s="35" t="s">
        <v>237</v>
      </c>
      <c r="AX1" s="35" t="s">
        <v>239</v>
      </c>
      <c r="BB1" s="233" t="s">
        <v>355</v>
      </c>
      <c r="BC1" s="234" t="s">
        <v>356</v>
      </c>
      <c r="BD1" s="234" t="s">
        <v>357</v>
      </c>
      <c r="BE1" s="234" t="s">
        <v>358</v>
      </c>
      <c r="BF1" s="234" t="s">
        <v>359</v>
      </c>
      <c r="BG1" s="234" t="s">
        <v>360</v>
      </c>
    </row>
    <row r="2" spans="1:87" ht="14.4" thickTop="1" x14ac:dyDescent="0.25">
      <c r="A2" s="42" t="s">
        <v>10</v>
      </c>
      <c r="B2" s="53" cm="1">
        <f t="array" ref="B2">SUMIF(preçodiario[data],registroEstoque[data],preçodiario[OVO BRANCO A])</f>
        <v>15.278182701652089</v>
      </c>
      <c r="C2" s="45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2" s="68">
        <f>6+8*12+3*8+7</f>
        <v>133</v>
      </c>
      <c r="E2" s="68" cm="1">
        <f t="array" ref="E2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>6</v>
      </c>
      <c r="F2" s="47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2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2" s="48" t="str">
        <f>IFERROR(controleEstoque[[#This Row],[lucro]]/controleEstoque[[#This Row],[valor saída]],"")</f>
        <v/>
      </c>
      <c r="I2" s="47">
        <v>18</v>
      </c>
      <c r="J2" s="47">
        <v>17</v>
      </c>
      <c r="K2" s="64">
        <f>IF(controleEstoque[[#This Row],[preço]]*12=0,"",controleEstoque[[#This Row],[preço]]*12)</f>
        <v>183.33819241982508</v>
      </c>
      <c r="L2" s="133">
        <f ca="1">IF(controleEstoque[[#This Row],[preço]]=0,"",IF(U27&lt;2,2+controleEstoque[[#This Row],[preço]],controleEstoque[[#This Row],[preço]]+$W$18))</f>
        <v>21.414967383733014</v>
      </c>
      <c r="M2" s="64">
        <f>IF(controleEstoque[[#This Row],[varejo]]-controleEstoque[[#This Row],[preço]]=0,"",controleEstoque[[#This Row],[varejo]]-controleEstoque[[#This Row],[preço]])</f>
        <v>2.7218172983479114</v>
      </c>
      <c r="N2" s="64">
        <f>IF(controleEstoque[[#This Row],[atacado]]-controleEstoque[[#This Row],[preço]]=0,"",controleEstoque[[#This Row],[atacado]]-controleEstoque[[#This Row],[preço]])</f>
        <v>1.7218172983479114</v>
      </c>
      <c r="O2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11.083333333333334</v>
      </c>
      <c r="P2" s="65">
        <f>IFERROR(controleEstoque[[#This Row],[estoque]]*12*controleEstoque[[#This Row],[preço]],"")</f>
        <v>2031.9982993197277</v>
      </c>
      <c r="Q2" s="117">
        <f ca="1">IFERROR(((O2*12)/estoque!$S2+TODAY())-3,"")</f>
        <v>46243.895522388062</v>
      </c>
      <c r="R2" s="54" t="str" cm="1">
        <f t="array" aca="1" ref="R2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Abaixar Preço</v>
      </c>
      <c r="S2" s="66" cm="1">
        <f t="array" aca="1" ref="S2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9.5714285714285712</v>
      </c>
      <c r="T2" s="66">
        <f ca="1">IF(controleEstoque[[#This Row],[média]]="","",IFERROR(controleEstoque[[#This Row],[média]]-controleEstoque[[#This Row],[média atacado]],controleEstoque[[#This Row],[média]]))</f>
        <v>8.7142857142857135</v>
      </c>
      <c r="U2" s="66" cm="1">
        <f t="array" ref="U2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>0.8571428571428571</v>
      </c>
      <c r="V2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7.1785714285714279</v>
      </c>
      <c r="W2" s="71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2" s="116" cm="1">
        <f t="array" ref="Z2">registroEstoque[data]</f>
        <v>46232</v>
      </c>
      <c r="AA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9.5714285714285712</v>
      </c>
      <c r="AB2" s="82" cm="1">
        <f t="array" aca="1" ref="AB2" ca="1"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5</v>
      </c>
      <c r="AC2" s="82" t="str" cm="1">
        <f t="array" aca="1" ref="AC2" ca="1"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/>
      </c>
      <c r="AD2" s="82" cm="1">
        <f t="array" aca="1" ref="AD2" ca="1"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7.2857142857142856</v>
      </c>
      <c r="AE2" s="82" cm="1">
        <f t="array" aca="1" ref="AE2" ca="1"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Row],[data]]-(6+IF(AND(registroEstoque[data]=TODAY(),SUMIF(vendaAno[data],FluxoMédiaEstoque[[#This Row],[data]],vendaAno[valor de venda])=0),1,0)),estoque[data],"&lt;="&amp;FluxoMédiaEstoque[[#This Row],[data]])/7)</f>
        <v>3.8571428571428572</v>
      </c>
      <c r="AF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25.714285714285715</v>
      </c>
      <c r="AG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43.449572459125974</v>
      </c>
      <c r="AH2" s="116" cm="1">
        <f t="array" ref="AH2">registroEstoque[data]</f>
        <v>46232</v>
      </c>
      <c r="AI2" s="1" t="str" cm="1">
        <f t="array" ref="AI2">IFERROR(_xlfn.IFS(AQ2="","Sem Produto",AND(AQ2/(AA2/12)&gt;0,AQ2/(AA2/12)&lt;=2),"Acabando",AND(AQ2/(AA2/12)&gt;2,AQ2/(AA2/12)&lt;=3),"Fazer Pedido",AND(AQ2/(AA2/12)&gt;3,AQ2/(AA2/12)&lt;=7),"OK",AND(AQ2/(AA2/12)&gt;7,AQ2/(AA2/12)&lt;=14),"Abaixar Preço",AND(AQ2/(AA2/12)&gt;14,AQ2/(AA2/12)&lt;=20),"Estabilizando",AQ2/(AA2/12)&gt;20,"Instavel"),"Instavel")</f>
        <v>Abaixar Preço</v>
      </c>
      <c r="AJ2" s="1" t="str" cm="1">
        <f t="array" aca="1" ref="AJ2" ca="1">IFERROR(_xlfn.IFS(AR2="","Sem Produto",AND(AR2/(AB2/12)&gt;0,AR2/(AB2/12)&lt;=2),"Acabando",AND(AR2/(AB2/12)&gt;2,AR2/(AB2/12)&lt;=3),"Fazer Pedido",AND(AR2/(AB2/12)&gt;3,AR2/(AB2/12)&lt;=7),"OK",AND(AR2/(AB2/12)&gt;7,AR2/(AB2/12)&lt;=14),"Abaixar Preço",AND(AR2/(AB2/12)&gt;14,AR2/(AB2/12)&lt;=20),"Estabilizando",AR2/(AB2/12)&gt;20,"Instavel"),"Instavel")</f>
        <v>OK</v>
      </c>
      <c r="AK2" s="1" t="str" cm="1">
        <f t="array" aca="1" ref="AK2" ca="1">IFERROR(_xlfn.IFS(AS2="","Sem Produto",AND(AS2/(AC2/12)&gt;0,AS2/(AC2/12)&lt;=2),"Acabando",AND(AS2/(AC2/12)&gt;2,AS2/(AC2/12)&lt;=3),"Fazer Pedido",AND(AS2/(AC2/12)&gt;3,AS2/(AC2/12)&lt;=7),"OK",AND(AS2/(AC2/12)&gt;7,AS2/(AC2/12)&lt;=14),"Abaixar Preço",AND(AS2/(AC2/12)&gt;14,AS2/(AC2/12)&lt;=20),"Estabilizando",AS2/(AC2/12)&gt;20,"Instavel"),"Instavel")</f>
        <v>Instavel</v>
      </c>
      <c r="AL2" s="1" t="str" cm="1">
        <f t="array" aca="1" ref="AL2" ca="1">IFERROR(_xlfn.IFS(AT2="","Sem Produto",AND(AT2/(AD2/12)&gt;0,AT2/(AD2/12)&lt;=2),"Acabando",AND(AT2/(AD2/12)&gt;2,AT2/(AD2/12)&lt;=3),"Fazer Pedido",AND(AT2/(AD2/12)&gt;3,AT2/(AD2/12)&lt;=7),"OK",AND(AT2/(AD2/12)&gt;7,AT2/(AD2/12)&lt;=14),"Abaixar Preço",AND(AT2/(AD2/12)&gt;14,AT2/(AD2/12)&lt;=20),"Estabilizando",AT2/(AD2/12)&gt;20,"Instavel"),"Instavel")</f>
        <v>OK</v>
      </c>
      <c r="AM2" s="1" t="str" cm="1">
        <f t="array" aca="1" ref="AM2" ca="1">IFERROR(_xlfn.IFS(AU2="","Sem Produto",AND(AU2/(AE2/12)&gt;0,AU2/(AE2/12)&lt;=2),"Acabando",AND(AU2/(AE2/12)&gt;2,AU2/(AE2/12)&lt;=3),"Fazer Pedido",AND(AU2/(AE2/12)&gt;3,AU2/(AE2/12)&lt;=7),"OK",AND(AU2/(AE2/12)&gt;7,AU2/(AE2/12)&lt;=14),"Abaixar Preço",AND(AU2/(AE2/12)&gt;14,AU2/(AE2/12)&lt;=20),"Estabilizando",AU2/(AE2/12)&gt;20,"Instavel"),"Instavel")</f>
        <v>Estabilizando</v>
      </c>
      <c r="AN2" s="1" t="str">
        <f ca="1">IF(SUMIF(vendaAno[data],SituaçãoEstoqueFluxo[[#This Row],[data]],vendaAno[estoque])=0,"Algo errado",IF(AND(AX2/AW2&gt;0,AX2/AW2&lt;=1),"Alerta",IF(AND(AX2/AW2&gt;1,AX2/AW2&lt;=1.5),"Fazer pedido",IF(AND(AX2/AW2&gt;1.5,AX2/AW2&lt;=2),"Ok",IF(AND(AX2/AW2&gt;2,AX2/AW2&lt;=2.5),"Estabilizando",IF(AND(AX2/AW2&gt;2.5,AX2/AW2&lt;=3),"Cheio","Abaixar preço"))))))</f>
        <v>Abaixar preço</v>
      </c>
      <c r="AO2" s="82">
        <f>IF(SUMIFS(estoque[quantidade],estoque[fornecedor],"&lt;&gt;saída",estoque[data],SituaçãoEstoqueFluxo[[#This Row],[data]])-SUMIFS(estoque[quantidade],estoque[fornecedor],"saída",estoque[data],SituaçãoEstoqueFluxo[[#This Row],[data]])=0,-FluxoMédiaEstoque[[#This Row],[média de venda movel]],SUMIFS(estoque[quantidade],estoque[fornecedor],"&lt;&gt;saída",estoque[data],SituaçãoEstoqueFluxo[[#This Row],[data]])-SUMIFS(estoque[quantidade],estoque[fornecedor],"saída",estoque[data],SituaçãoEstoqueFluxo[[#This Row],[data]]))</f>
        <v>-28</v>
      </c>
      <c r="AP2" s="116" cm="1">
        <f t="array" ref="AP2">registroEstoque[data]</f>
        <v>46232</v>
      </c>
      <c r="AQ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11.083333333333334</v>
      </c>
      <c r="AR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1.3333333333333333</v>
      </c>
      <c r="AS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3.8333333333333335</v>
      </c>
      <c r="AU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6.25</v>
      </c>
      <c r="AV2" s="82" cm="1">
        <f t="array" aca="1" ref="AV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19.285714285714288</v>
      </c>
      <c r="AW2" s="82" cm="1">
        <f t="array" aca="1" ref="AW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6.4285714285714279</v>
      </c>
      <c r="AX2" s="82">
        <f>SUM(FluxoEstoqueDateTime[[#This Row],[OVO BRANCO A]:[OVO BRANCO JUMBO]])-IF(SUMIFS(estoque[quantidade],estoque[fornecedor],"saída",estoque[data],FluxoEstoqueDateTime[[#This Row],[data]])=0,SUMIF(vendaAno[data],FluxoEstoqueDateTime[[#This Row],[data]],vendaAno[venda]),0)</f>
        <v>27.5</v>
      </c>
      <c r="AY2" s="1"/>
      <c r="BB2" s="20">
        <f>controleEstoque[[#This Row],[varejo]]</f>
        <v>18</v>
      </c>
      <c r="BC2" s="20">
        <f>Tabela26[[#This Row],[uma cartela varejo]]/2</f>
        <v>9</v>
      </c>
      <c r="BD2" s="20">
        <f>(Tabela26[[#This Row],[uma cartela varejo]]+5)/30</f>
        <v>0.76666666666666672</v>
      </c>
      <c r="BE2" s="235">
        <f>controleEstoque[[#This Row],[atacado]]</f>
        <v>17</v>
      </c>
      <c r="BF2" s="235">
        <f>Tabela26[[#This Row],[uma cartela atacado]]*6</f>
        <v>102</v>
      </c>
      <c r="BG2" s="235">
        <f>Tabela26[[#This Row],[uma cartela atacado]]*12</f>
        <v>204</v>
      </c>
    </row>
    <row r="3" spans="1:87" ht="15.6" x14ac:dyDescent="0.4">
      <c r="A3" s="43" t="s">
        <v>11</v>
      </c>
      <c r="B3" s="53" cm="1">
        <f t="array" ref="B3">SUMIF(preçodiario[data],registroEstoque[data],preçodiario[OVO BRANCO B])</f>
        <v>14.584252837326604</v>
      </c>
      <c r="C3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3" s="69">
        <v>16</v>
      </c>
      <c r="E3" s="69" cm="1">
        <f t="array" ref="E3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>6</v>
      </c>
      <c r="F3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3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3" s="51" t="str">
        <f>IFERROR(controleEstoque[[#This Row],[lucro]]/controleEstoque[[#This Row],[valor saída]],"")</f>
        <v/>
      </c>
      <c r="I3" s="50">
        <v>17</v>
      </c>
      <c r="J3" s="50">
        <v>16</v>
      </c>
      <c r="K3" s="64">
        <f>IF(controleEstoque[[#This Row],[preço]]*12=0,"",controleEstoque[[#This Row],[preço]]*12)</f>
        <v>175.01103404791925</v>
      </c>
      <c r="L3" s="133">
        <f ca="1">IF(controleEstoque[[#This Row],[preço]]=0,"",IF(U28&lt;2,2+controleEstoque[[#This Row],[preço]],controleEstoque[[#This Row],[preço]]+$W$18))</f>
        <v>20.721037519407531</v>
      </c>
      <c r="M3" s="64">
        <f>IF(controleEstoque[[#This Row],[varejo]]-controleEstoque[[#This Row],[preço]]=0,"",controleEstoque[[#This Row],[varejo]]-controleEstoque[[#This Row],[preço]])</f>
        <v>2.4157471626733962</v>
      </c>
      <c r="N3" s="64">
        <f>IF(controleEstoque[[#This Row],[atacado]]-controleEstoque[[#This Row],[preço]]=0,"",controleEstoque[[#This Row],[atacado]]-controleEstoque[[#This Row],[preço]])</f>
        <v>1.4157471626733962</v>
      </c>
      <c r="O3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1.3333333333333333</v>
      </c>
      <c r="P3" s="65">
        <f>IFERROR(controleEstoque[[#This Row],[estoque]]*12*controleEstoque[[#This Row],[preço]],"")</f>
        <v>233.34804539722566</v>
      </c>
      <c r="Q3" s="117">
        <f ca="1">IFERROR(((O3*12)/estoque!$S3+TODAY())-3,"")</f>
        <v>46233.2</v>
      </c>
      <c r="R3" s="54" t="str" cm="1">
        <f t="array" aca="1" ref="R3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OK</v>
      </c>
      <c r="S3" s="66" cm="1">
        <f t="array" aca="1" ref="S3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5</v>
      </c>
      <c r="T3" s="66">
        <f ca="1">IF(controleEstoque[[#This Row],[média]]="","",IFERROR(controleEstoque[[#This Row],[média]]-controleEstoque[[#This Row],[média atacado]],controleEstoque[[#This Row],[média]]))</f>
        <v>3.2857142857142856</v>
      </c>
      <c r="U3" s="66" cm="1">
        <f t="array" ref="U3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>1.7142857142857142</v>
      </c>
      <c r="V3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3.75</v>
      </c>
      <c r="W3" s="66">
        <f ca="1">IF(IFERROR(controleEstoque[[#This Row],[proxima remessa caixa]]-controleEstoque[[#This Row],[estoque]],"")&lt;0,"",IFERROR(controleEstoque[[#This Row],[proxima remessa caixa]]-controleEstoque[[#This Row],[estoque]],""))</f>
        <v>2.416666666666667</v>
      </c>
      <c r="Z3" s="116">
        <f>Z2-1</f>
        <v>46231</v>
      </c>
      <c r="AA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8.1428571428571423</v>
      </c>
      <c r="AB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3.7142857142857144</v>
      </c>
      <c r="AF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25.714285714285715</v>
      </c>
      <c r="AG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43.502886304693384</v>
      </c>
      <c r="AH3" s="116">
        <f>AH2-1</f>
        <v>46231</v>
      </c>
      <c r="AI3" s="1" t="str" cm="1">
        <f t="array" ref="AI3">IFERROR(_xlfn.IFS(AQ3="","Sem Produto",AND(AQ3/(AA3/12)&gt;0,AQ3/(AA3/12)&lt;=2),"Acabando",AND(AQ3/(AA3/12)&gt;2,AQ3/(AA3/12)&lt;=3),"Fazer Pedido",AND(AQ3/(AA3/12)&gt;3,AQ3/(AA3/12)&lt;=7),"OK",AND(AQ3/(AA3/12)&gt;7,AQ3/(AA3/12)&lt;=14),"Abaixar Preço",AND(AQ3/(AA3/12)&gt;14,AQ3/(AA3/12)&lt;=20),"Estabilizando",AQ3/(AA3/12)&gt;20,"Instavel"),"Instavel")</f>
        <v>Estabilizando</v>
      </c>
      <c r="AJ3" s="1" t="str" cm="1">
        <f t="array" ref="AJ3">IFERROR(_xlfn.IFS(AR3="","Sem Produto",AND(AR3/(AB3/12)&gt;0,AR3/(AB3/12)&lt;=2),"Acabando",AND(AR3/(AB3/12)&gt;2,AR3/(AB3/12)&lt;=3),"Fazer Pedido",AND(AR3/(AB3/12)&gt;3,AR3/(AB3/12)&lt;=7),"OK",AND(AR3/(AB3/12)&gt;7,AR3/(AB3/12)&lt;=14),"Abaixar Preço",AND(AR3/(AB3/12)&gt;14,AR3/(AB3/12)&lt;=20),"Estabilizando",AR3/(AB3/12)&gt;20,"Instavel"),"Instavel")</f>
        <v>OK</v>
      </c>
      <c r="AK3" s="1" t="str" cm="1">
        <f t="array" ref="AK3">IFERROR(_xlfn.IFS(AS3="","Sem Produto",AND(AS3/(AC3/12)&gt;0,AS3/(AC3/12)&lt;=2),"Acabando",AND(AS3/(AC3/12)&gt;2,AS3/(AC3/12)&lt;=3),"Fazer Pedido",AND(AS3/(AC3/12)&gt;3,AS3/(AC3/12)&lt;=7),"OK",AND(AS3/(AC3/12)&gt;7,AS3/(AC3/12)&lt;=14),"Abaixar Preço",AND(AS3/(AC3/12)&gt;14,AS3/(AC3/12)&lt;=20),"Estabilizando",AS3/(AC3/12)&gt;20,"Instavel"),"Instavel")</f>
        <v>Instavel</v>
      </c>
      <c r="AL3" s="1" t="str" cm="1">
        <f t="array" ref="AL3">IFERROR(_xlfn.IFS(AT3="","Sem Produto",AND(AT3/(AD3/12)&gt;0,AT3/(AD3/12)&lt;=2),"Acabando",AND(AT3/(AD3/12)&gt;2,AT3/(AD3/12)&lt;=3),"Fazer Pedido",AND(AT3/(AD3/12)&gt;3,AT3/(AD3/12)&lt;=7),"OK",AND(AT3/(AD3/12)&gt;7,AT3/(AD3/12)&lt;=14),"Abaixar Preço",AND(AT3/(AD3/12)&gt;14,AT3/(AD3/12)&lt;=20),"Estabilizando",AT3/(AD3/12)&gt;20,"Instavel"),"Instavel")</f>
        <v>OK</v>
      </c>
      <c r="AM3" s="1" t="str" cm="1">
        <f t="array" ref="AM3">IFERROR(_xlfn.IFS(AU3="","Sem Produto",AND(AU3/(AE3/12)&gt;0,AU3/(AE3/12)&lt;=2),"Acabando",AND(AU3/(AE3/12)&gt;2,AU3/(AE3/12)&lt;=3),"Fazer Pedido",AND(AU3/(AE3/12)&gt;3,AU3/(AE3/12)&lt;=7),"OK",AND(AU3/(AE3/12)&gt;7,AU3/(AE3/12)&lt;=14),"Abaixar Preço",AND(AU3/(AE3/12)&gt;14,AU3/(AE3/12)&lt;=20),"Estabilizando",AU3/(AE3/12)&gt;20,"Instavel"),"Instavel")</f>
        <v>Instavel</v>
      </c>
      <c r="AN3" s="1" t="str">
        <f ca="1">IF(SUMIF(vendaAno[data],SituaçãoEstoqueFluxo[[#This Row],[data]],vendaAno[estoque])=0,"Algo errado",IF(AND(AX3/AW3&gt;0,AX3/AW3&lt;=1),"Alerta",IF(AND(AX3/AW3&gt;1,AX3/AW3&lt;=1.5),"Fazer pedido",IF(AND(AX3/AW3&gt;1.5,AX3/AW3&lt;=2),"Ok",IF(AND(AX3/AW3&gt;2,AX3/AW3&lt;=2.5),"Estabilizando",IF(AND(AX3/AW3&gt;2.5,AX3/AW3&lt;=3),"Cheio","Abaixar preço"))))))</f>
        <v>Abaixar preço</v>
      </c>
      <c r="AO3" s="82">
        <f>SUMIFS(estoque[quantidade],estoque[fornecedor],"&lt;&gt;saída",estoque[data],SituaçãoEstoqueFluxo[[#This Row],[data]])-SUMIFS(estoque[quantidade],estoque[fornecedor],"saída",estoque[data],SituaçãoEstoqueFluxo[[#This Row],[data]])</f>
        <v>-15</v>
      </c>
      <c r="AP3" s="116">
        <f>AP2-1</f>
        <v>46231</v>
      </c>
      <c r="AQ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12.083333333333334</v>
      </c>
      <c r="AR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2.0833333333333335</v>
      </c>
      <c r="AS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</v>
      </c>
      <c r="AV3" s="82" cm="1">
        <f t="array" aca="1" ref="AV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19.285714285714288</v>
      </c>
      <c r="AW3" s="82" cm="1">
        <f t="array" aca="1" ref="AW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6.4285714285714279</v>
      </c>
      <c r="AX3" s="82">
        <f>SUM(FluxoEstoqueDateTime[[#This Row],[OVO BRANCO A]:[OVO BRANCO JUMBO]])</f>
        <v>29.833333333333336</v>
      </c>
      <c r="AY3" s="1"/>
      <c r="BB3" s="259">
        <f>controleEstoque[[#This Row],[varejo]]</f>
        <v>17</v>
      </c>
      <c r="BC3" s="20">
        <f>Tabela26[[#This Row],[uma cartela varejo]]/2</f>
        <v>8.5</v>
      </c>
      <c r="BD3" s="20">
        <f>(Tabela26[[#This Row],[uma cartela varejo]]+5)/30</f>
        <v>0.73333333333333328</v>
      </c>
      <c r="BE3" s="235">
        <f>controleEstoque[[#This Row],[atacado]]</f>
        <v>16</v>
      </c>
      <c r="BF3" s="235">
        <f>Tabela26[[#This Row],[uma cartela atacado]]*6</f>
        <v>96</v>
      </c>
      <c r="BG3" s="235">
        <f>Tabela26[[#This Row],[uma cartela atacado]]*12</f>
        <v>192</v>
      </c>
    </row>
    <row r="4" spans="1:87" x14ac:dyDescent="0.25">
      <c r="A4" s="43" t="s">
        <v>12</v>
      </c>
      <c r="B4" s="53" cm="1">
        <f t="array" ref="B4">SUMIF(preçodiario[data],registroEstoque[data],preçodiario[OVO BRANCO C])</f>
        <v>12.5</v>
      </c>
      <c r="C4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4" s="110">
        <v>60</v>
      </c>
      <c r="E4" s="69" t="str" cm="1">
        <f t="array" ref="E4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4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4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4" s="51" t="str">
        <f>IFERROR(controleEstoque[[#This Row],[lucro]]/controleEstoque[[#This Row],[valor saída]],"")</f>
        <v/>
      </c>
      <c r="I4" s="50">
        <v>15</v>
      </c>
      <c r="J4" s="50">
        <v>14</v>
      </c>
      <c r="K4" s="64">
        <f>IF(controleEstoque[[#This Row],[preço]]*12=0,"",controleEstoque[[#This Row],[preço]]*12)</f>
        <v>150</v>
      </c>
      <c r="L4" s="133">
        <f ca="1">IF(controleEstoque[[#This Row],[preço]]=0,"",IF(U29&lt;2,2+controleEstoque[[#This Row],[preço]],controleEstoque[[#This Row],[preço]]+$W$18))</f>
        <v>18.636784682080926</v>
      </c>
      <c r="M4" s="64">
        <f>IF(controleEstoque[[#This Row],[varejo]]-controleEstoque[[#This Row],[preço]]=0,"",controleEstoque[[#This Row],[varejo]]-controleEstoque[[#This Row],[preço]])</f>
        <v>2.5</v>
      </c>
      <c r="N4" s="64">
        <f>IF(controleEstoque[[#This Row],[atacado]]-controleEstoque[[#This Row],[preço]]=0,"",controleEstoque[[#This Row],[atacado]]-controleEstoque[[#This Row],[preço]])</f>
        <v>1.5</v>
      </c>
      <c r="O4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5</v>
      </c>
      <c r="P4" s="65">
        <f>IFERROR(controleEstoque[[#This Row],[estoque]]*12*controleEstoque[[#This Row],[preço]],"")</f>
        <v>750</v>
      </c>
      <c r="Q4" s="117" t="str">
        <f ca="1">IFERROR(((O4*12)/estoque!$S4+TODAY())-3,"")</f>
        <v/>
      </c>
      <c r="R4" s="54" t="str" cm="1">
        <f t="array" aca="1" ref="R4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INSTAVEL</v>
      </c>
      <c r="S4" s="66" t="str" cm="1">
        <f t="array" aca="1" ref="S4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4" s="66" t="str">
        <f ca="1">IF(controleEstoque[[#This Row],[média]]="","",IFERROR(controleEstoque[[#This Row],[média]]-controleEstoque[[#This Row],[média atacado]],controleEstoque[[#This Row],[média]]))</f>
        <v/>
      </c>
      <c r="U4" s="66" t="str" cm="1">
        <f t="array" ref="U4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4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4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4" s="116">
        <f t="shared" ref="Z4:Z67" si="0">Z3-1</f>
        <v>46230</v>
      </c>
      <c r="AA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41.956840105055498</v>
      </c>
      <c r="AH4" s="116">
        <f t="shared" ref="AH4:AH67" si="1">AH3-1</f>
        <v>46230</v>
      </c>
      <c r="AI4" s="1" t="str" cm="1">
        <f t="array" ref="AI4">IFERROR(_xlfn.IFS(AQ4="","Sem Produto",AND(AQ4/(AA4/12)&gt;0,AQ4/(AA4/12)&lt;=2),"Acabando",AND(AQ4/(AA4/12)&gt;2,AQ4/(AA4/12)&lt;=3),"Fazer Pedido",AND(AQ4/(AA4/12)&gt;3,AQ4/(AA4/12)&lt;=7),"OK",AND(AQ4/(AA4/12)&gt;7,AQ4/(AA4/12)&lt;=14),"Abaixar Preço",AND(AQ4/(AA4/12)&gt;14,AQ4/(AA4/12)&lt;=20),"Estabilizando",AQ4/(AA4/12)&gt;20,"Instavel"),"Instavel")</f>
        <v>Estabilizando</v>
      </c>
      <c r="AJ4" s="1" t="str" cm="1">
        <f t="array" ref="AJ4">IFERROR(_xlfn.IFS(AR4="","Sem Produto",AND(AR4/(AB4/12)&gt;0,AR4/(AB4/12)&lt;=2),"Acabando",AND(AR4/(AB4/12)&gt;2,AR4/(AB4/12)&lt;=3),"Fazer Pedido",AND(AR4/(AB4/12)&gt;3,AR4/(AB4/12)&lt;=7),"OK",AND(AR4/(AB4/12)&gt;7,AR4/(AB4/12)&lt;=14),"Abaixar Preço",AND(AR4/(AB4/12)&gt;14,AR4/(AB4/12)&lt;=20),"Estabilizando",AR4/(AB4/12)&gt;20,"Instavel"),"Instavel")</f>
        <v>OK</v>
      </c>
      <c r="AK4" s="1" t="str" cm="1">
        <f t="array" ref="AK4">IFERROR(_xlfn.IFS(AS4="","Sem Produto",AND(AS4/(AC4/12)&gt;0,AS4/(AC4/12)&lt;=2),"Acabando",AND(AS4/(AC4/12)&gt;2,AS4/(AC4/12)&lt;=3),"Fazer Pedido",AND(AS4/(AC4/12)&gt;3,AS4/(AC4/12)&lt;=7),"OK",AND(AS4/(AC4/12)&gt;7,AS4/(AC4/12)&lt;=14),"Abaixar Preço",AND(AS4/(AC4/12)&gt;14,AS4/(AC4/12)&lt;=20),"Estabilizando",AS4/(AC4/12)&gt;20,"Instavel"),"Instavel")</f>
        <v>Instavel</v>
      </c>
      <c r="AL4" s="1" t="str" cm="1">
        <f t="array" ref="AL4">IFERROR(_xlfn.IFS(AT4="","Sem Produto",AND(AT4/(AD4/12)&gt;0,AT4/(AD4/12)&lt;=2),"Acabando",AND(AT4/(AD4/12)&gt;2,AT4/(AD4/12)&lt;=3),"Fazer Pedido",AND(AT4/(AD4/12)&gt;3,AT4/(AD4/12)&lt;=7),"OK",AND(AT4/(AD4/12)&gt;7,AT4/(AD4/12)&lt;=14),"Abaixar Preço",AND(AT4/(AD4/12)&gt;14,AT4/(AD4/12)&lt;=20),"Estabilizando",AT4/(AD4/12)&gt;20,"Instavel"),"Instavel")</f>
        <v>OK</v>
      </c>
      <c r="AM4" s="1" t="str" cm="1">
        <f t="array" ref="AM4">IFERROR(_xlfn.IFS(AU4="","Sem Produto",AND(AU4/(AE4/12)&gt;0,AU4/(AE4/12)&lt;=2),"Acabando",AND(AU4/(AE4/12)&gt;2,AU4/(AE4/12)&lt;=3),"Fazer Pedido",AND(AU4/(AE4/12)&gt;3,AU4/(AE4/12)&lt;=7),"OK",AND(AU4/(AE4/12)&gt;7,AU4/(AE4/12)&lt;=14),"Abaixar Preço",AND(AU4/(AE4/12)&gt;14,AU4/(AE4/12)&lt;=20),"Estabilizando",AU4/(AE4/12)&gt;20,"Instavel"),"Instavel")</f>
        <v>Estabilizando</v>
      </c>
      <c r="AN4" s="1" t="str">
        <f ca="1">IF(SUMIF(vendaAno[data],SituaçãoEstoqueFluxo[[#This Row],[data]],vendaAno[estoque])=0,"Algo errado",IF(AND(AX4/AW4&gt;0,AX4/AW4&lt;=1),"Alerta",IF(AND(AX4/AW4&gt;1,AX4/AW4&lt;=1.5),"Fazer pedido",IF(AND(AX4/AW4&gt;1.5,AX4/AW4&lt;=2),"Ok",IF(AND(AX4/AW4&gt;2,AX4/AW4&lt;=2.5),"Estabilizando",IF(AND(AX4/AW4&gt;2.5,AX4/AW4&lt;=3),"Cheio","Abaixar preço"))))))</f>
        <v>Abaixar preço</v>
      </c>
      <c r="AO4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4" s="116">
        <f t="shared" ref="AP4:AP67" si="2">AP3-1</f>
        <v>46230</v>
      </c>
      <c r="AQ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12.833333333333334</v>
      </c>
      <c r="AR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2.0833333333333335</v>
      </c>
      <c r="AS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4.416666666666667</v>
      </c>
      <c r="AU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6.75</v>
      </c>
      <c r="AV4" s="82" cm="1">
        <f t="array" aca="1" ref="AV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21.428571428571427</v>
      </c>
      <c r="AW4" s="82" cm="1">
        <f t="array" aca="1" ref="AW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4" s="82">
        <f>SUM(FluxoEstoqueDateTime[[#This Row],[OVO BRANCO A]:[OVO BRANCO JUMBO]])</f>
        <v>31.083333333333336</v>
      </c>
      <c r="AY4" s="1"/>
      <c r="BB4" s="20">
        <f>controleEstoque[[#This Row],[varejo]]</f>
        <v>15</v>
      </c>
      <c r="BC4" s="20">
        <f>Tabela26[[#This Row],[uma cartela varejo]]/2</f>
        <v>7.5</v>
      </c>
      <c r="BD4" s="20">
        <f>(Tabela26[[#This Row],[uma cartela varejo]]+5)/30</f>
        <v>0.66666666666666663</v>
      </c>
      <c r="BE4" s="235">
        <f>controleEstoque[[#This Row],[atacado]]</f>
        <v>14</v>
      </c>
      <c r="BF4" s="235">
        <f>Tabela26[[#This Row],[uma cartela atacado]]*6</f>
        <v>84</v>
      </c>
      <c r="BG4" s="235">
        <f>Tabela26[[#This Row],[uma cartela atacado]]*12</f>
        <v>168</v>
      </c>
      <c r="CI4">
        <f>360/20</f>
        <v>18</v>
      </c>
    </row>
    <row r="5" spans="1:87" x14ac:dyDescent="0.25">
      <c r="A5" s="43" t="s">
        <v>13</v>
      </c>
      <c r="B5" s="53" cm="1">
        <f t="array" ref="B5">SUMIF(preçodiario[data],registroEstoque[data],preçodiario[OVO BRANCO EXTRA])</f>
        <v>15.725438400674655</v>
      </c>
      <c r="C5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5" s="69">
        <f>3*12+9+1</f>
        <v>46</v>
      </c>
      <c r="E5" s="69" t="str" cm="1">
        <f t="array" ref="E5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5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5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5" s="51" t="str">
        <f>IFERROR(controleEstoque[[#This Row],[lucro]]/controleEstoque[[#This Row],[valor saída]],"")</f>
        <v/>
      </c>
      <c r="I5" s="50">
        <v>22</v>
      </c>
      <c r="J5" s="50">
        <v>20</v>
      </c>
      <c r="K5" s="64">
        <f>IF(controleEstoque[[#This Row],[preço]]*12=0,"",controleEstoque[[#This Row],[preço]]*12)</f>
        <v>188.70526080809586</v>
      </c>
      <c r="L5" s="133">
        <f ca="1">IF(controleEstoque[[#This Row],[preço]]=0,"",IF(U30&lt;2,2+controleEstoque[[#This Row],[preço]],controleEstoque[[#This Row],[preço]]+$W$18))</f>
        <v>21.86222308275558</v>
      </c>
      <c r="M5" s="64">
        <f>IF(controleEstoque[[#This Row],[varejo]]-controleEstoque[[#This Row],[preço]]=0,"",controleEstoque[[#This Row],[varejo]]-controleEstoque[[#This Row],[preço]])</f>
        <v>6.2745615993253452</v>
      </c>
      <c r="N5" s="64">
        <f>IF(controleEstoque[[#This Row],[atacado]]-controleEstoque[[#This Row],[preço]]=0,"",controleEstoque[[#This Row],[atacado]]-controleEstoque[[#This Row],[preço]])</f>
        <v>4.2745615993253452</v>
      </c>
      <c r="O5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3.8333333333333335</v>
      </c>
      <c r="P5" s="65">
        <f>IFERROR(controleEstoque[[#This Row],[estoque]]*12*controleEstoque[[#This Row],[preço]],"")</f>
        <v>723.37016643103414</v>
      </c>
      <c r="Q5" s="117">
        <f ca="1">IFERROR(((O5*12)/estoque!$S5+TODAY())-3,"")</f>
        <v>46236.313725490196</v>
      </c>
      <c r="R5" s="54" t="str" cm="1">
        <f t="array" aca="1" ref="R5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OK</v>
      </c>
      <c r="S5" s="66" cm="1">
        <f t="array" aca="1" ref="S5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7.2857142857142856</v>
      </c>
      <c r="T5" s="66">
        <f ca="1">IF(controleEstoque[[#This Row],[média]]="","",IFERROR(controleEstoque[[#This Row],[média]]-controleEstoque[[#This Row],[média atacado]],controleEstoque[[#This Row],[média]]))</f>
        <v>6.4285714285714288</v>
      </c>
      <c r="U5" s="66" cm="1">
        <f t="array" ref="U5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>0.8571428571428571</v>
      </c>
      <c r="V5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5.4642857142857144</v>
      </c>
      <c r="W5" s="66">
        <f ca="1">IF(IFERROR(controleEstoque[[#This Row],[proxima remessa caixa]]-controleEstoque[[#This Row],[estoque]],"")&lt;0,"",IFERROR(controleEstoque[[#This Row],[proxima remessa caixa]]-controleEstoque[[#This Row],[estoque]],""))</f>
        <v>1.6309523809523809</v>
      </c>
      <c r="Z5" s="116">
        <f t="shared" si="0"/>
        <v>46229</v>
      </c>
      <c r="AA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5.2857142857142856</v>
      </c>
      <c r="AF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</v>
      </c>
      <c r="AG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41.501703933616263</v>
      </c>
      <c r="AH5" s="116">
        <f t="shared" si="1"/>
        <v>46229</v>
      </c>
      <c r="AI5" s="1" t="str" cm="1">
        <f t="array" ref="AI5">IFERROR(_xlfn.IFS(AQ5="","Sem Produto",AND(AQ5/(AA5/12)&gt;0,AQ5/(AA5/12)&lt;=2),"Acabando",AND(AQ5/(AA5/12)&gt;2,AQ5/(AA5/12)&lt;=3),"Fazer Pedido",AND(AQ5/(AA5/12)&gt;3,AQ5/(AA5/12)&lt;=7),"OK",AND(AQ5/(AA5/12)&gt;7,AQ5/(AA5/12)&lt;=14),"Abaixar Preço",AND(AQ5/(AA5/12)&gt;14,AQ5/(AA5/12)&lt;=20),"Estabilizando",AQ5/(AA5/12)&gt;20,"Instavel"),"Instavel")</f>
        <v>Instavel</v>
      </c>
      <c r="AJ5" s="1" t="str" cm="1">
        <f t="array" ref="AJ5">IFERROR(_xlfn.IFS(AR5="","Sem Produto",AND(AR5/(AB5/12)&gt;0,AR5/(AB5/12)&lt;=2),"Acabando",AND(AR5/(AB5/12)&gt;2,AR5/(AB5/12)&lt;=3),"Fazer Pedido",AND(AR5/(AB5/12)&gt;3,AR5/(AB5/12)&lt;=7),"OK",AND(AR5/(AB5/12)&gt;7,AR5/(AB5/12)&lt;=14),"Abaixar Preço",AND(AR5/(AB5/12)&gt;14,AR5/(AB5/12)&lt;=20),"Estabilizando",AR5/(AB5/12)&gt;20,"Instavel"),"Instavel")</f>
        <v>OK</v>
      </c>
      <c r="AK5" s="1" t="str" cm="1">
        <f t="array" ref="AK5">IFERROR(_xlfn.IFS(AS5="","Sem Produto",AND(AS5/(AC5/12)&gt;0,AS5/(AC5/12)&lt;=2),"Acabando",AND(AS5/(AC5/12)&gt;2,AS5/(AC5/12)&lt;=3),"Fazer Pedido",AND(AS5/(AC5/12)&gt;3,AS5/(AC5/12)&lt;=7),"OK",AND(AS5/(AC5/12)&gt;7,AS5/(AC5/12)&lt;=14),"Abaixar Preço",AND(AS5/(AC5/12)&gt;14,AS5/(AC5/12)&lt;=20),"Estabilizando",AS5/(AC5/12)&gt;20,"Instavel"),"Instavel")</f>
        <v>Instavel</v>
      </c>
      <c r="AL5" s="1" t="str" cm="1">
        <f t="array" ref="AL5">IFERROR(_xlfn.IFS(AT5="","Sem Produto",AND(AT5/(AD5/12)&gt;0,AT5/(AD5/12)&lt;=2),"Acabando",AND(AT5/(AD5/12)&gt;2,AT5/(AD5/12)&lt;=3),"Fazer Pedido",AND(AT5/(AD5/12)&gt;3,AT5/(AD5/12)&lt;=7),"OK",AND(AT5/(AD5/12)&gt;7,AT5/(AD5/12)&lt;=14),"Abaixar Preço",AND(AT5/(AD5/12)&gt;14,AT5/(AD5/12)&lt;=20),"Estabilizando",AT5/(AD5/12)&gt;20,"Instavel"),"Instavel")</f>
        <v>OK</v>
      </c>
      <c r="AM5" s="1" t="str" cm="1">
        <f t="array" ref="AM5">IFERROR(_xlfn.IFS(AU5="","Sem Produto",AND(AU5/(AE5/12)&gt;0,AU5/(AE5/12)&lt;=2),"Acabando",AND(AU5/(AE5/12)&gt;2,AU5/(AE5/12)&lt;=3),"Fazer Pedido",AND(AU5/(AE5/12)&gt;3,AU5/(AE5/12)&lt;=7),"OK",AND(AU5/(AE5/12)&gt;7,AU5/(AE5/12)&lt;=14),"Abaixar Preço",AND(AU5/(AE5/12)&gt;14,AU5/(AE5/12)&lt;=20),"Estabilizando",AU5/(AE5/12)&gt;20,"Instavel"),"Instavel")</f>
        <v>Estabilizando</v>
      </c>
      <c r="AN5" s="1" t="str">
        <f ca="1">IF(SUMIF(vendaAno[data],SituaçãoEstoqueFluxo[[#This Row],[data]],vendaAno[estoque])=0,"Algo errado",IF(AND(AX5/AW5&gt;0,AX5/AW5&lt;=1),"Alerta",IF(AND(AX5/AW5&gt;1,AX5/AW5&lt;=1.5),"Fazer pedido",IF(AND(AX5/AW5&gt;1.5,AX5/AW5&lt;=2),"Ok",IF(AND(AX5/AW5&gt;2,AX5/AW5&lt;=2.5),"Estabilizando",IF(AND(AX5/AW5&gt;2.5,AX5/AW5&lt;=3),"Cheio","Abaixar preço"))))))</f>
        <v>Abaixar preço</v>
      </c>
      <c r="AO5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5" s="116">
        <f t="shared" si="2"/>
        <v>46229</v>
      </c>
      <c r="AQ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</v>
      </c>
      <c r="AR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3.0833333333333335</v>
      </c>
      <c r="AS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</v>
      </c>
      <c r="AU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5" s="82" cm="1">
        <f t="array" aca="1" ref="AV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20.25</v>
      </c>
      <c r="AW5" s="82" cm="1">
        <f t="array" aca="1" ref="AW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6.75</v>
      </c>
      <c r="AX5" s="82">
        <f>SUM(FluxoEstoqueDateTime[[#This Row],[OVO BRANCO A]:[OVO BRANCO JUMBO]])</f>
        <v>34.083333333333329</v>
      </c>
      <c r="AY5" s="1"/>
      <c r="BB5" s="20">
        <f>controleEstoque[[#This Row],[varejo]]</f>
        <v>22</v>
      </c>
      <c r="BC5" s="20">
        <f>Tabela26[[#This Row],[uma cartela varejo]]/2</f>
        <v>11</v>
      </c>
      <c r="BD5" s="20">
        <f>(Tabela26[[#This Row],[uma cartela varejo]]+5)/30</f>
        <v>0.9</v>
      </c>
      <c r="BE5" s="235">
        <f>controleEstoque[[#This Row],[atacado]]</f>
        <v>20</v>
      </c>
      <c r="BF5" s="235">
        <f>Tabela26[[#This Row],[uma cartela atacado]]*6</f>
        <v>120</v>
      </c>
      <c r="BG5" s="235">
        <f>Tabela26[[#This Row],[uma cartela atacado]]*12</f>
        <v>240</v>
      </c>
    </row>
    <row r="6" spans="1:87" x14ac:dyDescent="0.25">
      <c r="A6" s="43" t="s">
        <v>14</v>
      </c>
      <c r="B6" s="53" cm="1">
        <f t="array" ref="B6">SUMIF(preçodiario[data],registroEstoque[data],preçodiario[OVO BRANCO JUMBO])</f>
        <v>16.50550595238095</v>
      </c>
      <c r="C6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6" s="69">
        <f>12*6+3</f>
        <v>75</v>
      </c>
      <c r="E6" s="69" t="str" cm="1">
        <f t="array" ref="E6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6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6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6" s="51" t="str">
        <f>IFERROR(controleEstoque[[#This Row],[lucro]]/controleEstoque[[#This Row],[valor saída]],"")</f>
        <v/>
      </c>
      <c r="I6" s="50">
        <v>23</v>
      </c>
      <c r="J6" s="50">
        <v>21</v>
      </c>
      <c r="K6" s="64">
        <f>IF(controleEstoque[[#This Row],[preço]]*12=0,"",controleEstoque[[#This Row],[preço]]*12)</f>
        <v>198.06607142857141</v>
      </c>
      <c r="L6" s="133">
        <f ca="1">IF(controleEstoque[[#This Row],[preço]]=0,"",IF(U31&lt;2,2+controleEstoque[[#This Row],[preço]],controleEstoque[[#This Row],[preço]]+$W$18))</f>
        <v>22.642290634461876</v>
      </c>
      <c r="M6" s="64">
        <f>IF(controleEstoque[[#This Row],[varejo]]-controleEstoque[[#This Row],[preço]]=0,"",controleEstoque[[#This Row],[varejo]]-controleEstoque[[#This Row],[preço]])</f>
        <v>6.4944940476190496</v>
      </c>
      <c r="N6" s="64">
        <f>IF(controleEstoque[[#This Row],[atacado]]-controleEstoque[[#This Row],[preço]]=0,"",controleEstoque[[#This Row],[atacado]]-controleEstoque[[#This Row],[preço]])</f>
        <v>4.4944940476190496</v>
      </c>
      <c r="O6" s="129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>6.25</v>
      </c>
      <c r="P6" s="65">
        <f>IFERROR(controleEstoque[[#This Row],[estoque]]*12*controleEstoque[[#This Row],[preço]],"")</f>
        <v>1237.9129464285713</v>
      </c>
      <c r="Q6" s="117">
        <f ca="1">IFERROR(((O6*12)/estoque!$S6+TODAY())-3,"")</f>
        <v>46249.444444444445</v>
      </c>
      <c r="R6" s="54" t="str" cm="1">
        <f t="array" aca="1" ref="R6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>Estabilizando</v>
      </c>
      <c r="S6" s="66" cm="1">
        <f t="array" aca="1" ref="S6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>3.8571428571428572</v>
      </c>
      <c r="T6" s="66">
        <f ca="1">IF(controleEstoque[[#This Row],[média]]="","",IFERROR(controleEstoque[[#This Row],[média]]-controleEstoque[[#This Row],[média atacado]],controleEstoque[[#This Row],[média]]))</f>
        <v>3.8571428571428572</v>
      </c>
      <c r="U6" s="66" t="str" cm="1">
        <f t="array" ref="U6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6" s="67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>2.8928571428571428</v>
      </c>
      <c r="W6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6" s="116">
        <f t="shared" si="0"/>
        <v>46228</v>
      </c>
      <c r="AA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3.4285714285714284</v>
      </c>
      <c r="AB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4.8571428571428568</v>
      </c>
      <c r="AC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24.285714285714285</v>
      </c>
      <c r="AG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39.326935910097959</v>
      </c>
      <c r="AH6" s="116">
        <f t="shared" si="1"/>
        <v>46228</v>
      </c>
      <c r="AI6" s="1" t="str" cm="1">
        <f t="array" ref="AI6">IFERROR(_xlfn.IFS(AQ6="","Sem Produto",AND(AQ6/(AA6/12)&gt;0,AQ6/(AA6/12)&lt;=2),"Acabando",AND(AQ6/(AA6/12)&gt;2,AQ6/(AA6/12)&lt;=3),"Fazer Pedido",AND(AQ6/(AA6/12)&gt;3,AQ6/(AA6/12)&lt;=7),"OK",AND(AQ6/(AA6/12)&gt;7,AQ6/(AA6/12)&lt;=14),"Abaixar Preço",AND(AQ6/(AA6/12)&gt;14,AQ6/(AA6/12)&lt;=20),"Estabilizando",AQ6/(AA6/12)&gt;20,"Instavel"),"Instavel")</f>
        <v>Instavel</v>
      </c>
      <c r="AJ6" s="1" t="str" cm="1">
        <f t="array" ref="AJ6">IFERROR(_xlfn.IFS(AR6="","Sem Produto",AND(AR6/(AB6/12)&gt;0,AR6/(AB6/12)&lt;=2),"Acabando",AND(AR6/(AB6/12)&gt;2,AR6/(AB6/12)&lt;=3),"Fazer Pedido",AND(AR6/(AB6/12)&gt;3,AR6/(AB6/12)&lt;=7),"OK",AND(AR6/(AB6/12)&gt;7,AR6/(AB6/12)&lt;=14),"Abaixar Preço",AND(AR6/(AB6/12)&gt;14,AR6/(AB6/12)&lt;=20),"Estabilizando",AR6/(AB6/12)&gt;20,"Instavel"),"Instavel")</f>
        <v>Abaixar Preço</v>
      </c>
      <c r="AK6" s="1" t="str" cm="1">
        <f t="array" ref="AK6">IFERROR(_xlfn.IFS(AS6="","Sem Produto",AND(AS6/(AC6/12)&gt;0,AS6/(AC6/12)&lt;=2),"Acabando",AND(AS6/(AC6/12)&gt;2,AS6/(AC6/12)&lt;=3),"Fazer Pedido",AND(AS6/(AC6/12)&gt;3,AS6/(AC6/12)&lt;=7),"OK",AND(AS6/(AC6/12)&gt;7,AS6/(AC6/12)&lt;=14),"Abaixar Preço",AND(AS6/(AC6/12)&gt;14,AS6/(AC6/12)&lt;=20),"Estabilizando",AS6/(AC6/12)&gt;20,"Instavel"),"Instavel")</f>
        <v>Instavel</v>
      </c>
      <c r="AL6" s="1" t="str" cm="1">
        <f t="array" ref="AL6">IFERROR(_xlfn.IFS(AT6="","Sem Produto",AND(AT6/(AD6/12)&gt;0,AT6/(AD6/12)&lt;=2),"Acabando",AND(AT6/(AD6/12)&gt;2,AT6/(AD6/12)&lt;=3),"Fazer Pedido",AND(AT6/(AD6/12)&gt;3,AT6/(AD6/12)&lt;=7),"OK",AND(AT6/(AD6/12)&gt;7,AT6/(AD6/12)&lt;=14),"Abaixar Preço",AND(AT6/(AD6/12)&gt;14,AT6/(AD6/12)&lt;=20),"Estabilizando",AT6/(AD6/12)&gt;20,"Instavel"),"Instavel")</f>
        <v>OK</v>
      </c>
      <c r="AM6" s="1" t="str" cm="1">
        <f t="array" ref="AM6">IFERROR(_xlfn.IFS(AU6="","Sem Produto",AND(AU6/(AE6/12)&gt;0,AU6/(AE6/12)&lt;=2),"Acabando",AND(AU6/(AE6/12)&gt;2,AU6/(AE6/12)&lt;=3),"Fazer Pedido",AND(AU6/(AE6/12)&gt;3,AU6/(AE6/12)&lt;=7),"OK",AND(AU6/(AE6/12)&gt;7,AU6/(AE6/12)&lt;=14),"Abaixar Preço",AND(AU6/(AE6/12)&gt;14,AU6/(AE6/12)&lt;=20),"Estabilizando",AU6/(AE6/12)&gt;20,"Instavel"),"Instavel")</f>
        <v>Abaixar Preço</v>
      </c>
      <c r="AN6" s="1" t="str">
        <f ca="1">IF(SUMIF(vendaAno[data],SituaçãoEstoqueFluxo[[#This Row],[data]],vendaAno[estoque])=0,"Algo errado",IF(AND(AX6/AW6&gt;0,AX6/AW6&lt;=1),"Alerta",IF(AND(AX6/AW6&gt;1,AX6/AW6&lt;=1.5),"Fazer pedido",IF(AND(AX6/AW6&gt;1.5,AX6/AW6&lt;=2),"Ok",IF(AND(AX6/AW6&gt;2,AX6/AW6&lt;=2.5),"Estabilizando",IF(AND(AX6/AW6&gt;2.5,AX6/AW6&lt;=3),"Cheio","Abaixar preço"))))))</f>
        <v>Abaixar preço</v>
      </c>
      <c r="AO6" s="82">
        <f>SUMIFS(estoque[quantidade],estoque[fornecedor],"&lt;&gt;saída",estoque[data],SituaçãoEstoqueFluxo[[#This Row],[data]])-SUMIFS(estoque[quantidade],estoque[fornecedor],"saída",estoque[data],SituaçãoEstoqueFluxo[[#This Row],[data]])</f>
        <v>-8</v>
      </c>
      <c r="AP6" s="116">
        <f t="shared" si="2"/>
        <v>46228</v>
      </c>
      <c r="AQ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16</v>
      </c>
      <c r="AR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3.3333333333333335</v>
      </c>
      <c r="AS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5.666666666666667</v>
      </c>
      <c r="AU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6" s="82" cm="1">
        <f t="array" aca="1" ref="AV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18.214285714285712</v>
      </c>
      <c r="AW6" s="82" cm="1">
        <f t="array" aca="1" ref="AW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6.0714285714285721</v>
      </c>
      <c r="AX6" s="82">
        <f>SUM(FluxoEstoqueDateTime[[#This Row],[OVO BRANCO A]:[OVO BRANCO JUMBO]])</f>
        <v>37</v>
      </c>
      <c r="AY6" s="1"/>
      <c r="BB6" s="20">
        <f>controleEstoque[[#This Row],[varejo]]</f>
        <v>23</v>
      </c>
      <c r="BC6" s="20">
        <f>Tabela26[[#This Row],[uma cartela varejo]]/2</f>
        <v>11.5</v>
      </c>
      <c r="BD6" s="20">
        <f>(Tabela26[[#This Row],[uma cartela varejo]]+5)/30</f>
        <v>0.93333333333333335</v>
      </c>
      <c r="BE6" s="235">
        <f>controleEstoque[[#This Row],[atacado]]</f>
        <v>21</v>
      </c>
      <c r="BF6" s="235">
        <f>Tabela26[[#This Row],[uma cartela atacado]]*6</f>
        <v>126</v>
      </c>
      <c r="BG6" s="235">
        <f>Tabela26[[#This Row],[uma cartela atacado]]*12</f>
        <v>252</v>
      </c>
    </row>
    <row r="7" spans="1:87" x14ac:dyDescent="0.25">
      <c r="A7" s="43" t="s">
        <v>15</v>
      </c>
      <c r="B7" s="53" cm="1">
        <f t="array" ref="B7">SUMIF(preçodiario[data],registroEstoque[data],preçodiario[OVO VERMELHO A])</f>
        <v>0</v>
      </c>
      <c r="C7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7" s="69"/>
      <c r="E7" s="69" t="str" cm="1">
        <f t="array" ref="E7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7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7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7" s="51" t="str">
        <f>IFERROR(controleEstoque[[#This Row],[lucro]]/controleEstoque[[#This Row],[valor saída]],"")</f>
        <v/>
      </c>
      <c r="I7" s="50"/>
      <c r="J7" s="50"/>
      <c r="K7" s="64" t="str">
        <f>IF(controleEstoque[[#This Row],[preço]]*12=0,"",controleEstoque[[#This Row],[preço]]*12)</f>
        <v/>
      </c>
      <c r="L7" s="133" t="str">
        <f>IF(controleEstoque[[#This Row],[preço]]=0,"",IF(U32&lt;2,2+controleEstoque[[#This Row],[preço]],controleEstoque[[#This Row],[preço]]+$W$18))</f>
        <v/>
      </c>
      <c r="M7" s="64" t="str">
        <f>IF(controleEstoque[[#This Row],[varejo]]-controleEstoque[[#This Row],[preço]]=0,"",controleEstoque[[#This Row],[varejo]]-controleEstoque[[#This Row],[preço]])</f>
        <v/>
      </c>
      <c r="N7" s="64" t="str">
        <f>IF(controleEstoque[[#This Row],[atacado]]-controleEstoque[[#This Row],[preço]]=0,"",controleEstoque[[#This Row],[atacado]]-controleEstoque[[#This Row],[preço]])</f>
        <v/>
      </c>
      <c r="O7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7" s="65" t="str">
        <f>IFERROR(controleEstoque[[#This Row],[estoque]]*12*controleEstoque[[#This Row],[preço]],"")</f>
        <v/>
      </c>
      <c r="Q7" s="117" t="str">
        <f ca="1">IFERROR(((O7*12)/estoque!$S7+TODAY())-3,"")</f>
        <v/>
      </c>
      <c r="R7" s="54" t="str" cm="1">
        <f t="array" aca="1" ref="R7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7" s="66" t="str" cm="1">
        <f t="array" aca="1" ref="S7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7" s="66" t="str">
        <f ca="1">IF(controleEstoque[[#This Row],[média]]="","",IFERROR(controleEstoque[[#This Row],[média]]-controleEstoque[[#This Row],[média atacado]],controleEstoque[[#This Row],[média]]))</f>
        <v/>
      </c>
      <c r="U7" s="66" t="str" cm="1">
        <f t="array" ref="U7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7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7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7" s="116">
        <f t="shared" si="0"/>
        <v>46227</v>
      </c>
      <c r="AA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25.142857142857142</v>
      </c>
      <c r="AG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39.348975195738248</v>
      </c>
      <c r="AH7" s="116">
        <f t="shared" si="1"/>
        <v>46227</v>
      </c>
      <c r="AI7" s="1" t="str" cm="1">
        <f t="array" ref="AI7">IFERROR(_xlfn.IFS(AQ7="","Sem Produto",AND(AQ7/(AA7/12)&gt;0,AQ7/(AA7/12)&lt;=2),"Acabando",AND(AQ7/(AA7/12)&gt;2,AQ7/(AA7/12)&lt;=3),"Fazer Pedido",AND(AQ7/(AA7/12)&gt;3,AQ7/(AA7/12)&lt;=7),"OK",AND(AQ7/(AA7/12)&gt;7,AQ7/(AA7/12)&lt;=14),"Abaixar Preço",AND(AQ7/(AA7/12)&gt;14,AQ7/(AA7/12)&lt;=20),"Estabilizando",AQ7/(AA7/12)&gt;20,"Instavel"),"Instavel")</f>
        <v>Instavel</v>
      </c>
      <c r="AJ7" s="1" t="str" cm="1">
        <f t="array" ref="AJ7">IFERROR(_xlfn.IFS(AR7="","Sem Produto",AND(AR7/(AB7/12)&gt;0,AR7/(AB7/12)&lt;=2),"Acabando",AND(AR7/(AB7/12)&gt;2,AR7/(AB7/12)&lt;=3),"Fazer Pedido",AND(AR7/(AB7/12)&gt;3,AR7/(AB7/12)&lt;=7),"OK",AND(AR7/(AB7/12)&gt;7,AR7/(AB7/12)&lt;=14),"Abaixar Preço",AND(AR7/(AB7/12)&gt;14,AR7/(AB7/12)&lt;=20),"Estabilizando",AR7/(AB7/12)&gt;20,"Instavel"),"Instavel")</f>
        <v>Abaixar Preço</v>
      </c>
      <c r="AK7" s="1" t="str" cm="1">
        <f t="array" ref="AK7">IFERROR(_xlfn.IFS(AS7="","Sem Produto",AND(AS7/(AC7/12)&gt;0,AS7/(AC7/12)&lt;=2),"Acabando",AND(AS7/(AC7/12)&gt;2,AS7/(AC7/12)&lt;=3),"Fazer Pedido",AND(AS7/(AC7/12)&gt;3,AS7/(AC7/12)&lt;=7),"OK",AND(AS7/(AC7/12)&gt;7,AS7/(AC7/12)&lt;=14),"Abaixar Preço",AND(AS7/(AC7/12)&gt;14,AS7/(AC7/12)&lt;=20),"Estabilizando",AS7/(AC7/12)&gt;20,"Instavel"),"Instavel")</f>
        <v>Instavel</v>
      </c>
      <c r="AL7" s="1" t="str" cm="1">
        <f t="array" ref="AL7">IFERROR(_xlfn.IFS(AT7="","Sem Produto",AND(AT7/(AD7/12)&gt;0,AT7/(AD7/12)&lt;=2),"Acabando",AND(AT7/(AD7/12)&gt;2,AT7/(AD7/12)&lt;=3),"Fazer Pedido",AND(AT7/(AD7/12)&gt;3,AT7/(AD7/12)&lt;=7),"OK",AND(AT7/(AD7/12)&gt;7,AT7/(AD7/12)&lt;=14),"Abaixar Preço",AND(AT7/(AD7/12)&gt;14,AT7/(AD7/12)&lt;=20),"Estabilizando",AT7/(AD7/12)&gt;20,"Instavel"),"Instavel")</f>
        <v>Abaixar Preço</v>
      </c>
      <c r="AM7" s="1" t="str" cm="1">
        <f t="array" ref="AM7">IFERROR(_xlfn.IFS(AU7="","Sem Produto",AND(AU7/(AE7/12)&gt;0,AU7/(AE7/12)&lt;=2),"Acabando",AND(AU7/(AE7/12)&gt;2,AU7/(AE7/12)&lt;=3),"Fazer Pedido",AND(AU7/(AE7/12)&gt;3,AU7/(AE7/12)&lt;=7),"OK",AND(AU7/(AE7/12)&gt;7,AU7/(AE7/12)&lt;=14),"Abaixar Preço",AND(AU7/(AE7/12)&gt;14,AU7/(AE7/12)&lt;=20),"Estabilizando",AU7/(AE7/12)&gt;20,"Instavel"),"Instavel")</f>
        <v>Abaixar Preço</v>
      </c>
      <c r="AN7" s="1" t="str">
        <f ca="1">IF(SUMIF(vendaAno[data],SituaçãoEstoqueFluxo[[#This Row],[data]],vendaAno[estoque])=0,"Algo errado",IF(AND(AX7/AW7&gt;0,AX7/AW7&lt;=1),"Alerta",IF(AND(AX7/AW7&gt;1,AX7/AW7&lt;=1.5),"Fazer pedido",IF(AND(AX7/AW7&gt;1.5,AX7/AW7&lt;=2),"Ok",IF(AND(AX7/AW7&gt;2,AX7/AW7&lt;=2.5),"Estabilizando",IF(AND(AX7/AW7&gt;2.5,AX7/AW7&lt;=3),"Cheio","Abaixar preço"))))))</f>
        <v>Abaixar preço</v>
      </c>
      <c r="AO7" s="82">
        <f>SUMIFS(estoque[quantidade],estoque[fornecedor],"&lt;&gt;saída",estoque[data],SituaçãoEstoqueFluxo[[#This Row],[data]])-SUMIFS(estoque[quantidade],estoque[fornecedor],"saída",estoque[data],SituaçãoEstoqueFluxo[[#This Row],[data]])</f>
        <v>262</v>
      </c>
      <c r="AP7" s="116">
        <f t="shared" si="2"/>
        <v>46227</v>
      </c>
      <c r="AQ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16.083333333333332</v>
      </c>
      <c r="AR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3.3333333333333335</v>
      </c>
      <c r="AS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5.916666666666667</v>
      </c>
      <c r="AU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7.333333333333333</v>
      </c>
      <c r="AV7" s="82" cm="1">
        <f t="array" aca="1" ref="AV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18.857142857142858</v>
      </c>
      <c r="AW7" s="82" cm="1">
        <f t="array" aca="1" ref="AW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6.2857142857142856</v>
      </c>
      <c r="AX7" s="82">
        <f>SUM(FluxoEstoqueDateTime[[#This Row],[OVO BRANCO A]:[OVO BRANCO JUMBO]])</f>
        <v>37.666666666666664</v>
      </c>
      <c r="AY7" s="1"/>
      <c r="BC7" s="7"/>
      <c r="BD7" s="7"/>
      <c r="BE7" s="11"/>
      <c r="BF7" s="11"/>
      <c r="BG7" s="11"/>
    </row>
    <row r="8" spans="1:87" ht="15.6" x14ac:dyDescent="0.25">
      <c r="A8" s="43" t="s">
        <v>16</v>
      </c>
      <c r="B8" s="53" cm="1">
        <f t="array" ref="B8">SUMIF(preçodiario[data],registroEstoque[data],preçodiario[OVO VERMELHO B])</f>
        <v>0</v>
      </c>
      <c r="C8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8" s="69"/>
      <c r="E8" s="69" t="str" cm="1">
        <f t="array" ref="E8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8" s="238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8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8" s="51" t="str">
        <f>IFERROR(controleEstoque[[#This Row],[lucro]]/controleEstoque[[#This Row],[valor saída]],"")</f>
        <v/>
      </c>
      <c r="I8" s="50"/>
      <c r="J8" s="50"/>
      <c r="K8" s="64" t="str">
        <f>IF(controleEstoque[[#This Row],[preço]]*12=0,"",controleEstoque[[#This Row],[preço]]*12)</f>
        <v/>
      </c>
      <c r="L8" s="133" t="str">
        <f>IF(controleEstoque[[#This Row],[preço]]=0,"",IF(U33&lt;2,2+controleEstoque[[#This Row],[preço]],controleEstoque[[#This Row],[preço]]+$W$18))</f>
        <v/>
      </c>
      <c r="M8" s="64" t="str">
        <f>IF(controleEstoque[[#This Row],[varejo]]-controleEstoque[[#This Row],[preço]]=0,"",controleEstoque[[#This Row],[varejo]]-controleEstoque[[#This Row],[preço]])</f>
        <v/>
      </c>
      <c r="N8" s="64" t="str">
        <f>IF(controleEstoque[[#This Row],[atacado]]-controleEstoque[[#This Row],[preço]]=0,"",controleEstoque[[#This Row],[atacado]]-controleEstoque[[#This Row],[preço]])</f>
        <v/>
      </c>
      <c r="O8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8" s="65" t="str">
        <f>IFERROR(controleEstoque[[#This Row],[estoque]]*12*controleEstoque[[#This Row],[preço]],"")</f>
        <v/>
      </c>
      <c r="Q8" s="117" t="str">
        <f ca="1">IFERROR(((O8*12)/estoque!$S8+TODAY())-3,"")</f>
        <v/>
      </c>
      <c r="R8" s="54" t="str" cm="1">
        <f t="array" aca="1" ref="R8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8" s="66" t="str" cm="1">
        <f t="array" aca="1" ref="S8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8" s="66" t="str">
        <f ca="1">IF(controleEstoque[[#This Row],[média]]="","",IFERROR(controleEstoque[[#This Row],[média]]-controleEstoque[[#This Row],[média atacado]],controleEstoque[[#This Row],[média]]))</f>
        <v/>
      </c>
      <c r="U8" s="66" t="str" cm="1">
        <f t="array" ref="U8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8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8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8" s="116">
        <f t="shared" si="0"/>
        <v>46226</v>
      </c>
      <c r="AA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22.428571428571427</v>
      </c>
      <c r="AG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38.86433876035418</v>
      </c>
      <c r="AH8" s="116">
        <f t="shared" si="1"/>
        <v>46226</v>
      </c>
      <c r="AI8" s="1" t="str" cm="1">
        <f t="array" ref="AI8">IFERROR(_xlfn.IFS(AQ8="","Sem Produto",AND(AQ8/(AA8/12)&gt;0,AQ8/(AA8/12)&lt;=2),"Acabando",AND(AQ8/(AA8/12)&gt;2,AQ8/(AA8/12)&lt;=3),"Fazer Pedido",AND(AQ8/(AA8/12)&gt;3,AQ8/(AA8/12)&lt;=7),"OK",AND(AQ8/(AA8/12)&gt;7,AQ8/(AA8/12)&lt;=14),"Abaixar Preço",AND(AQ8/(AA8/12)&gt;14,AQ8/(AA8/12)&lt;=20),"Estabilizando",AQ8/(AA8/12)&gt;20,"Instavel"),"Instavel")</f>
        <v>Estabilizando</v>
      </c>
      <c r="AJ8" s="1" t="str" cm="1">
        <f t="array" ref="AJ8">IFERROR(_xlfn.IFS(AR8="","Sem Produto",AND(AR8/(AB8/12)&gt;0,AR8/(AB8/12)&lt;=2),"Acabando",AND(AR8/(AB8/12)&gt;2,AR8/(AB8/12)&lt;=3),"Fazer Pedido",AND(AR8/(AB8/12)&gt;3,AR8/(AB8/12)&lt;=7),"OK",AND(AR8/(AB8/12)&gt;7,AR8/(AB8/12)&lt;=14),"Abaixar Preço",AND(AR8/(AB8/12)&gt;14,AR8/(AB8/12)&lt;=20),"Estabilizando",AR8/(AB8/12)&gt;20,"Instavel"),"Instavel")</f>
        <v>Abaixar Preço</v>
      </c>
      <c r="AK8" s="1" t="str" cm="1">
        <f t="array" ref="AK8">IFERROR(_xlfn.IFS(AS8="","Sem Produto",AND(AS8/(AC8/12)&gt;0,AS8/(AC8/12)&lt;=2),"Acabando",AND(AS8/(AC8/12)&gt;2,AS8/(AC8/12)&lt;=3),"Fazer Pedido",AND(AS8/(AC8/12)&gt;3,AS8/(AC8/12)&lt;=7),"OK",AND(AS8/(AC8/12)&gt;7,AS8/(AC8/12)&lt;=14),"Abaixar Preço",AND(AS8/(AC8/12)&gt;14,AS8/(AC8/12)&lt;=20),"Estabilizando",AS8/(AC8/12)&gt;20,"Instavel"),"Instavel")</f>
        <v>Sem Produto</v>
      </c>
      <c r="AL8" s="1" t="str" cm="1">
        <f t="array" ref="AL8">IFERROR(_xlfn.IFS(AT8="","Sem Produto",AND(AT8/(AD8/12)&gt;0,AT8/(AD8/12)&lt;=2),"Acabando",AND(AT8/(AD8/12)&gt;2,AT8/(AD8/12)&lt;=3),"Fazer Pedido",AND(AT8/(AD8/12)&gt;3,AT8/(AD8/12)&lt;=7),"OK",AND(AT8/(AD8/12)&gt;7,AT8/(AD8/12)&lt;=14),"Abaixar Preço",AND(AT8/(AD8/12)&gt;14,AT8/(AD8/12)&lt;=20),"Estabilizando",AT8/(AD8/12)&gt;20,"Instavel"),"Instavel")</f>
        <v>OK</v>
      </c>
      <c r="AM8" s="1" t="str" cm="1">
        <f t="array" ref="AM8">IFERROR(_xlfn.IFS(AU8="","Sem Produto",AND(AU8/(AE8/12)&gt;0,AU8/(AE8/12)&lt;=2),"Acabando",AND(AU8/(AE8/12)&gt;2,AU8/(AE8/12)&lt;=3),"Fazer Pedido",AND(AU8/(AE8/12)&gt;3,AU8/(AE8/12)&lt;=7),"OK",AND(AU8/(AE8/12)&gt;7,AU8/(AE8/12)&lt;=14),"Abaixar Preço",AND(AU8/(AE8/12)&gt;14,AU8/(AE8/12)&lt;=20),"Estabilizando",AU8/(AE8/12)&gt;20,"Instavel"),"Instavel")</f>
        <v>OK</v>
      </c>
      <c r="AN8" s="1" t="str">
        <f ca="1">IF(SUMIF(vendaAno[data],SituaçãoEstoqueFluxo[[#This Row],[data]],vendaAno[estoque])=0,"Algo errado",IF(AND(AX8/AW8&gt;0,AX8/AW8&lt;=1),"Alerta",IF(AND(AX8/AW8&gt;1,AX8/AW8&lt;=1.5),"Fazer pedido",IF(AND(AX8/AW8&gt;1.5,AX8/AW8&lt;=2),"Ok",IF(AND(AX8/AW8&gt;2,AX8/AW8&lt;=2.5),"Estabilizando",IF(AND(AX8/AW8&gt;2.5,AX8/AW8&lt;=3),"Cheio","Abaixar preço"))))))</f>
        <v>Cheio</v>
      </c>
      <c r="AO8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8" s="116">
        <f t="shared" si="2"/>
        <v>46226</v>
      </c>
      <c r="AQ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6.333333333333333</v>
      </c>
      <c r="AR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3.9166666666666665</v>
      </c>
      <c r="AS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2.4166666666666665</v>
      </c>
      <c r="AU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8" s="82" cm="1">
        <f t="array" aca="1" ref="AV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16.821428571428573</v>
      </c>
      <c r="AW8" s="82" cm="1">
        <f t="array" aca="1" ref="AW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5.6071428571428568</v>
      </c>
      <c r="AX8" s="82">
        <f>SUM(FluxoEstoqueDateTime[[#This Row],[OVO BRANCO A]:[OVO BRANCO JUMBO]])</f>
        <v>15.833333333333332</v>
      </c>
      <c r="BC8" s="7"/>
      <c r="BD8" s="7"/>
      <c r="BE8" s="11"/>
      <c r="BF8" s="11"/>
      <c r="BG8" s="11"/>
    </row>
    <row r="9" spans="1:87" x14ac:dyDescent="0.25">
      <c r="A9" s="43" t="s">
        <v>17</v>
      </c>
      <c r="B9" s="53" cm="1">
        <f t="array" ref="B9">SUMIF(preçodiario[data],registroEstoque[data],preçodiario[OVO VERMELHO C])</f>
        <v>0</v>
      </c>
      <c r="C9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9" s="69"/>
      <c r="E9" s="243" t="str" cm="1">
        <f t="array" ref="E9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9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9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9" s="51" t="str">
        <f>IFERROR(controleEstoque[[#This Row],[lucro]]/controleEstoque[[#This Row],[valor saída]],"")</f>
        <v/>
      </c>
      <c r="I9" s="50"/>
      <c r="J9" s="50"/>
      <c r="K9" s="64" t="str">
        <f>IF(controleEstoque[[#This Row],[preço]]*12=0,"",controleEstoque[[#This Row],[preço]]*12)</f>
        <v/>
      </c>
      <c r="L9" s="133" t="str">
        <f>IF(controleEstoque[[#This Row],[preço]]=0,"",IF(U34&lt;2,2+controleEstoque[[#This Row],[preço]],controleEstoque[[#This Row],[preço]]+$W$18))</f>
        <v/>
      </c>
      <c r="M9" s="64" t="str">
        <f>IF(controleEstoque[[#This Row],[varejo]]-controleEstoque[[#This Row],[preço]]=0,"",controleEstoque[[#This Row],[varejo]]-controleEstoque[[#This Row],[preço]])</f>
        <v/>
      </c>
      <c r="N9" s="64" t="str">
        <f>IF(controleEstoque[[#This Row],[atacado]]-controleEstoque[[#This Row],[preço]]=0,"",controleEstoque[[#This Row],[atacado]]-controleEstoque[[#This Row],[preço]])</f>
        <v/>
      </c>
      <c r="O9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9" s="65" t="str">
        <f>IFERROR(controleEstoque[[#This Row],[estoque]]*12*controleEstoque[[#This Row],[preço]],"")</f>
        <v/>
      </c>
      <c r="Q9" s="117" t="str">
        <f ca="1">IFERROR(((O9*12)/estoque!$S9+TODAY())-3,"")</f>
        <v/>
      </c>
      <c r="R9" s="54" t="str" cm="1">
        <f t="array" aca="1" ref="R9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9" s="66" t="str" cm="1">
        <f t="array" aca="1" ref="S9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9" s="66" t="str">
        <f ca="1">IF(controleEstoque[[#This Row],[média]]="","",IFERROR(controleEstoque[[#This Row],[média]]-controleEstoque[[#This Row],[média atacado]],controleEstoque[[#This Row],[média]]))</f>
        <v/>
      </c>
      <c r="U9" s="66" t="str" cm="1">
        <f t="array" ref="U9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9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9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9" s="116">
        <f t="shared" si="0"/>
        <v>46225</v>
      </c>
      <c r="AA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</v>
      </c>
      <c r="AC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24.428571428571427</v>
      </c>
      <c r="AG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39.300727952583635</v>
      </c>
      <c r="AH9" s="116">
        <f t="shared" si="1"/>
        <v>46225</v>
      </c>
      <c r="AI9" s="1" t="str" cm="1">
        <f t="array" ref="AI9">IFERROR(_xlfn.IFS(AQ9="","Sem Produto",AND(AQ9/(AA9/12)&gt;0,AQ9/(AA9/12)&lt;=2),"Acabando",AND(AQ9/(AA9/12)&gt;2,AQ9/(AA9/12)&lt;=3),"Fazer Pedido",AND(AQ9/(AA9/12)&gt;3,AQ9/(AA9/12)&lt;=7),"OK",AND(AQ9/(AA9/12)&gt;7,AQ9/(AA9/12)&lt;=14),"Abaixar Preço",AND(AQ9/(AA9/12)&gt;14,AQ9/(AA9/12)&lt;=20),"Estabilizando",AQ9/(AA9/12)&gt;20,"Instavel"),"Instavel")</f>
        <v>Estabilizando</v>
      </c>
      <c r="AJ9" s="1" t="str" cm="1">
        <f t="array" ref="AJ9">IFERROR(_xlfn.IFS(AR9="","Sem Produto",AND(AR9/(AB9/12)&gt;0,AR9/(AB9/12)&lt;=2),"Acabando",AND(AR9/(AB9/12)&gt;2,AR9/(AB9/12)&lt;=3),"Fazer Pedido",AND(AR9/(AB9/12)&gt;3,AR9/(AB9/12)&lt;=7),"OK",AND(AR9/(AB9/12)&gt;7,AR9/(AB9/12)&lt;=14),"Abaixar Preço",AND(AR9/(AB9/12)&gt;14,AR9/(AB9/12)&lt;=20),"Estabilizando",AR9/(AB9/12)&gt;20,"Instavel"),"Instavel")</f>
        <v>Abaixar Preço</v>
      </c>
      <c r="AK9" s="1" t="str" cm="1">
        <f t="array" ref="AK9">IFERROR(_xlfn.IFS(AS9="","Sem Produto",AND(AS9/(AC9/12)&gt;0,AS9/(AC9/12)&lt;=2),"Acabando",AND(AS9/(AC9/12)&gt;2,AS9/(AC9/12)&lt;=3),"Fazer Pedido",AND(AS9/(AC9/12)&gt;3,AS9/(AC9/12)&lt;=7),"OK",AND(AS9/(AC9/12)&gt;7,AS9/(AC9/12)&lt;=14),"Abaixar Preço",AND(AS9/(AC9/12)&gt;14,AS9/(AC9/12)&lt;=20),"Estabilizando",AS9/(AC9/12)&gt;20,"Instavel"),"Instavel")</f>
        <v>Sem Produto</v>
      </c>
      <c r="AL9" s="1" t="str" cm="1">
        <f t="array" ref="AL9">IFERROR(_xlfn.IFS(AT9="","Sem Produto",AND(AT9/(AD9/12)&gt;0,AT9/(AD9/12)&lt;=2),"Acabando",AND(AT9/(AD9/12)&gt;2,AT9/(AD9/12)&lt;=3),"Fazer Pedido",AND(AT9/(AD9/12)&gt;3,AT9/(AD9/12)&lt;=7),"OK",AND(AT9/(AD9/12)&gt;7,AT9/(AD9/12)&lt;=14),"Abaixar Preço",AND(AT9/(AD9/12)&gt;14,AT9/(AD9/12)&lt;=20),"Estabilizando",AT9/(AD9/12)&gt;20,"Instavel"),"Instavel")</f>
        <v>OK</v>
      </c>
      <c r="AM9" s="1" t="str" cm="1">
        <f t="array" ref="AM9">IFERROR(_xlfn.IFS(AU9="","Sem Produto",AND(AU9/(AE9/12)&gt;0,AU9/(AE9/12)&lt;=2),"Acabando",AND(AU9/(AE9/12)&gt;2,AU9/(AE9/12)&lt;=3),"Fazer Pedido",AND(AU9/(AE9/12)&gt;3,AU9/(AE9/12)&lt;=7),"OK",AND(AU9/(AE9/12)&gt;7,AU9/(AE9/12)&lt;=14),"Abaixar Preço",AND(AU9/(AE9/12)&gt;14,AU9/(AE9/12)&lt;=20),"Estabilizando",AU9/(AE9/12)&gt;20,"Instavel"),"Instavel")</f>
        <v>OK</v>
      </c>
      <c r="AN9" s="1" t="str">
        <f ca="1">IF(SUMIF(vendaAno[data],SituaçãoEstoqueFluxo[[#This Row],[data]],vendaAno[estoque])=0,"Algo errado",IF(AND(AX9/AW9&gt;0,AX9/AW9&lt;=1),"Alerta",IF(AND(AX9/AW9&gt;1,AX9/AW9&lt;=1.5),"Fazer pedido",IF(AND(AX9/AW9&gt;1.5,AX9/AW9&lt;=2),"Ok",IF(AND(AX9/AW9&gt;2,AX9/AW9&lt;=2.5),"Estabilizando",IF(AND(AX9/AW9&gt;2.5,AX9/AW9&lt;=3),"Cheio","Abaixar preço"))))))</f>
        <v>Cheio</v>
      </c>
      <c r="AO9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9" s="116">
        <f t="shared" si="2"/>
        <v>46225</v>
      </c>
      <c r="AQ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4.25</v>
      </c>
      <c r="AS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3.5</v>
      </c>
      <c r="AV9" s="82" cm="1">
        <f t="array" aca="1" ref="AV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18.321428571428573</v>
      </c>
      <c r="AW9" s="82" cm="1">
        <f t="array" aca="1" ref="AW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6.1071428571428568</v>
      </c>
      <c r="AX9" s="82">
        <f>SUM(FluxoEstoqueDateTime[[#This Row],[OVO BRANCO A]:[OVO BRANCO JUMBO]])</f>
        <v>17.5</v>
      </c>
      <c r="BC9" s="7"/>
      <c r="BD9" s="7"/>
      <c r="BE9" s="11"/>
      <c r="BF9" s="11"/>
      <c r="BG9" s="11"/>
    </row>
    <row r="10" spans="1:87" x14ac:dyDescent="0.25">
      <c r="A10" s="43" t="s">
        <v>18</v>
      </c>
      <c r="B10" s="53" cm="1">
        <f t="array" ref="B10">SUMIF(preçodiario[data],registroEstoque[data],preçodiario[OVO VERMELHO EXTRA])</f>
        <v>0</v>
      </c>
      <c r="C10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10" s="69"/>
      <c r="E10" s="243" t="str" cm="1">
        <f t="array" ref="E10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10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10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10" s="51" t="str">
        <f>IFERROR(controleEstoque[[#This Row],[lucro]]/controleEstoque[[#This Row],[valor saída]],"")</f>
        <v/>
      </c>
      <c r="I10" s="50"/>
      <c r="J10" s="50"/>
      <c r="K10" s="64" t="str">
        <f>IF(controleEstoque[[#This Row],[preço]]*12=0,"",controleEstoque[[#This Row],[preço]]*12)</f>
        <v/>
      </c>
      <c r="L10" s="133" t="str">
        <f>IF(controleEstoque[[#This Row],[preço]]=0,"",IF(U35&lt;2,2+controleEstoque[[#This Row],[preço]],controleEstoque[[#This Row],[preço]]+$W$18))</f>
        <v/>
      </c>
      <c r="M10" s="64" t="str">
        <f>IF(controleEstoque[[#This Row],[varejo]]-controleEstoque[[#This Row],[preço]]=0,"",controleEstoque[[#This Row],[varejo]]-controleEstoque[[#This Row],[preço]])</f>
        <v/>
      </c>
      <c r="N10" s="64" t="str">
        <f>IF(controleEstoque[[#This Row],[atacado]]-controleEstoque[[#This Row],[preço]]=0,"",controleEstoque[[#This Row],[atacado]]-controleEstoque[[#This Row],[preço]])</f>
        <v/>
      </c>
      <c r="O10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10" s="65" t="str">
        <f>IFERROR(controleEstoque[[#This Row],[estoque]]*12*controleEstoque[[#This Row],[preço]],"")</f>
        <v/>
      </c>
      <c r="Q10" s="117" t="str">
        <f ca="1">IFERROR(((O10*12)/estoque!$S10+TODAY())-3,"")</f>
        <v/>
      </c>
      <c r="R10" s="54" t="str" cm="1">
        <f t="array" aca="1" ref="R10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10" s="66" t="str" cm="1">
        <f t="array" aca="1" ref="S10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10" s="66" t="str">
        <f ca="1">IF(controleEstoque[[#This Row],[média]]="","",IFERROR(controleEstoque[[#This Row],[média]]-controleEstoque[[#This Row],[média atacado]],controleEstoque[[#This Row],[média]]))</f>
        <v/>
      </c>
      <c r="U10" s="66" t="str" cm="1">
        <f t="array" ref="U10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10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10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10" s="116">
        <f t="shared" si="0"/>
        <v>46224</v>
      </c>
      <c r="AA1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1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2.1428571428571428</v>
      </c>
      <c r="AC1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1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22.285714285714285</v>
      </c>
      <c r="AG1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37.298406786674938</v>
      </c>
      <c r="AH10" s="116">
        <f t="shared" si="1"/>
        <v>46224</v>
      </c>
      <c r="AI10" s="1" t="str" cm="1">
        <f t="array" ref="AI10">IFERROR(_xlfn.IFS(AQ10="","Sem Produto",AND(AQ10/(AA10/12)&gt;0,AQ10/(AA10/12)&lt;=2),"Acabando",AND(AQ10/(AA10/12)&gt;2,AQ10/(AA10/12)&lt;=3),"Fazer Pedido",AND(AQ10/(AA10/12)&gt;3,AQ10/(AA10/12)&lt;=7),"OK",AND(AQ10/(AA10/12)&gt;7,AQ10/(AA10/12)&lt;=14),"Abaixar Preço",AND(AQ10/(AA10/12)&gt;14,AQ10/(AA10/12)&lt;=20),"Estabilizando",AQ10/(AA10/12)&gt;20,"Instavel"),"Instavel")</f>
        <v>Estabilizando</v>
      </c>
      <c r="AJ10" s="1" t="str" cm="1">
        <f t="array" ref="AJ10">IFERROR(_xlfn.IFS(AR10="","Sem Produto",AND(AR10/(AB10/12)&gt;0,AR10/(AB10/12)&lt;=2),"Acabando",AND(AR10/(AB10/12)&gt;2,AR10/(AB10/12)&lt;=3),"Fazer Pedido",AND(AR10/(AB10/12)&gt;3,AR10/(AB10/12)&lt;=7),"OK",AND(AR10/(AB10/12)&gt;7,AR10/(AB10/12)&lt;=14),"Abaixar Preço",AND(AR10/(AB10/12)&gt;14,AR10/(AB10/12)&lt;=20),"Estabilizando",AR10/(AB10/12)&gt;20,"Instavel"),"Instavel")</f>
        <v>Instavel</v>
      </c>
      <c r="AK10" s="1" t="str" cm="1">
        <f t="array" ref="AK10">IFERROR(_xlfn.IFS(AS10="","Sem Produto",AND(AS10/(AC10/12)&gt;0,AS10/(AC10/12)&lt;=2),"Acabando",AND(AS10/(AC10/12)&gt;2,AS10/(AC10/12)&lt;=3),"Fazer Pedido",AND(AS10/(AC10/12)&gt;3,AS10/(AC10/12)&lt;=7),"OK",AND(AS10/(AC10/12)&gt;7,AS10/(AC10/12)&lt;=14),"Abaixar Preço",AND(AS10/(AC10/12)&gt;14,AS10/(AC10/12)&lt;=20),"Estabilizando",AS10/(AC10/12)&gt;20,"Instavel"),"Instavel")</f>
        <v>Sem Produto</v>
      </c>
      <c r="AL10" s="1" t="str" cm="1">
        <f t="array" ref="AL10">IFERROR(_xlfn.IFS(AT10="","Sem Produto",AND(AT10/(AD10/12)&gt;0,AT10/(AD10/12)&lt;=2),"Acabando",AND(AT10/(AD10/12)&gt;2,AT10/(AD10/12)&lt;=3),"Fazer Pedido",AND(AT10/(AD10/12)&gt;3,AT10/(AD10/12)&lt;=7),"OK",AND(AT10/(AD10/12)&gt;7,AT10/(AD10/12)&lt;=14),"Abaixar Preço",AND(AT10/(AD10/12)&gt;14,AT10/(AD10/12)&lt;=20),"Estabilizando",AT10/(AD10/12)&gt;20,"Instavel"),"Instavel")</f>
        <v>OK</v>
      </c>
      <c r="AM10" s="1" t="str" cm="1">
        <f t="array" ref="AM10">IFERROR(_xlfn.IFS(AU10="","Sem Produto",AND(AU10/(AE10/12)&gt;0,AU10/(AE10/12)&lt;=2),"Acabando",AND(AU10/(AE10/12)&gt;2,AU10/(AE10/12)&lt;=3),"Fazer Pedido",AND(AU10/(AE10/12)&gt;3,AU10/(AE10/12)&lt;=7),"OK",AND(AU10/(AE10/12)&gt;7,AU10/(AE10/12)&lt;=14),"Abaixar Preço",AND(AU10/(AE10/12)&gt;14,AU10/(AE10/12)&lt;=20),"Estabilizando",AU10/(AE10/12)&gt;20,"Instavel"),"Instavel")</f>
        <v>OK</v>
      </c>
      <c r="AN10" s="1" t="str">
        <f ca="1">IF(SUMIF(vendaAno[data],SituaçãoEstoqueFluxo[[#This Row],[data]],vendaAno[estoque])=0,"Algo errado",IF(AND(AX10/AW10&gt;0,AX10/AW10&lt;=1),"Alerta",IF(AND(AX10/AW10&gt;1,AX10/AW10&lt;=1.5),"Fazer pedido",IF(AND(AX10/AW10&gt;1.5,AX10/AW10&lt;=2),"Ok",IF(AND(AX10/AW10&gt;2,AX10/AW10&lt;=2.5),"Estabilizando",IF(AND(AX10/AW10&gt;2.5,AX10/AW10&lt;=3),"Cheio","Abaixar preço"))))))</f>
        <v>Abaixar preço</v>
      </c>
      <c r="AO10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0" s="116">
        <f t="shared" si="2"/>
        <v>46224</v>
      </c>
      <c r="AQ1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1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3.8333333333333335</v>
      </c>
      <c r="AU1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10" s="82" cm="1">
        <f t="array" aca="1" ref="AV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16.714285714285712</v>
      </c>
      <c r="AW10" s="82" cm="1">
        <f t="array" aca="1" ref="AW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5.5714285714285721</v>
      </c>
      <c r="AX10" s="82">
        <f>SUM(FluxoEstoqueDateTime[[#This Row],[OVO BRANCO A]:[OVO BRANCO JUMBO]])</f>
        <v>19.833333333333332</v>
      </c>
      <c r="BC10" s="7"/>
      <c r="BD10" s="7"/>
      <c r="BE10" s="11"/>
      <c r="BF10" s="11"/>
      <c r="BG10" s="11"/>
    </row>
    <row r="11" spans="1:87" ht="14.4" thickBot="1" x14ac:dyDescent="0.3">
      <c r="A11" s="44" t="s">
        <v>19</v>
      </c>
      <c r="B11" s="53" cm="1">
        <f t="array" ref="B11">SUMIF(preçodiario[data],registroEstoque[data],preçodiario[OVO VERMELHO JUMBO])</f>
        <v>0</v>
      </c>
      <c r="C11" s="49" t="str">
        <f>IF(IFERROR(IF(controleEstoque[[#This Row],[estoque]]="","",controleEstoque[[#This Row],[estoque]]*12)-controleEstoque[[#This Row],[cartelas]],"")=0,"",IFERROR(IF(controleEstoque[[#This Row],[estoque]]="","",controleEstoque[[#This Row],[estoque]]*12)-controleEstoque[[#This Row],[cartelas]],""))</f>
        <v/>
      </c>
      <c r="D11" s="70"/>
      <c r="E11" s="69" t="str" cm="1">
        <f t="array" ref="E11">IF(SUMIFS(aprazo[quantidade],aprazo[produto],controleEstoque[[#This Row],[produto]],aprazo[data],registroEstoque[data],aprazo[atacado],"atacado")=0,"",SUMIFS(aprazo[quantidade],aprazo[produto],controleEstoque[[#This Row],[produto]],aprazo[data],registroEstoque[data],aprazo[atacado],"atacado"))</f>
        <v/>
      </c>
      <c r="F11" s="50" t="str">
        <f>IFERROR(IF(controleEstoque[[#This Row],[venda atacdo]]="",controleEstoque[[#This Row],[saída]],controleEstoque[[#This Row],[saída]]-controleEstoque[[#This Row],[venda atacdo]])*controleEstoque[[#This Row],[varejo]]+IF(controleEstoque[[#This Row],[venda atacdo]]="",0,controleEstoque[[#This Row],[venda atacdo]]*controleEstoque[[#This Row],[atacado]]),"")</f>
        <v/>
      </c>
      <c r="G11" s="50" t="str">
        <f>IFERROR(IF(controleEstoque[[#This Row],[venda atacdo]]="",controleEstoque[[#This Row],[saída]],controleEstoque[[#This Row],[saída]]-controleEstoque[[#This Row],[venda atacdo]])*controleEstoque[[#This Row],[lucro varejo]]+IF(controleEstoque[[#This Row],[venda atacdo]]="",0,controleEstoque[[#This Row],[venda atacdo]]*controleEstoque[[#This Row],[lucro atacado]]),"")</f>
        <v/>
      </c>
      <c r="H11" s="51" t="str">
        <f>IFERROR(controleEstoque[[#This Row],[lucro]]/controleEstoque[[#This Row],[valor saída]],"")</f>
        <v/>
      </c>
      <c r="I11" s="52"/>
      <c r="J11" s="52"/>
      <c r="K11" s="64" t="str">
        <f>IF(controleEstoque[[#This Row],[preço]]*12=0,"",controleEstoque[[#This Row],[preço]]*12)</f>
        <v/>
      </c>
      <c r="L11" s="133" t="str">
        <f>IF(controleEstoque[[#This Row],[preço]]=0,"",IF(U36&lt;2,2+controleEstoque[[#This Row],[preço]],controleEstoque[[#This Row],[preço]]+$W$18))</f>
        <v/>
      </c>
      <c r="M11" s="64" t="str">
        <f>IF(controleEstoque[[#This Row],[varejo]]-controleEstoque[[#This Row],[preço]]=0,"",controleEstoque[[#This Row],[varejo]]-controleEstoque[[#This Row],[preço]])</f>
        <v/>
      </c>
      <c r="N11" s="64" t="str">
        <f>IF(controleEstoque[[#This Row],[atacado]]-controleEstoque[[#This Row],[preço]]=0,"",controleEstoque[[#This Row],[atacado]]-controleEstoque[[#This Row],[preço]])</f>
        <v/>
      </c>
      <c r="O11" s="129" t="str">
        <f>IF((SUMIFS(estoque[quantidade],estoque[fornecedor],"&lt;&gt;saída",estoque[produto],controleEstoque[[#This Row],[produto]])-SUMIFS(estoque[quantidade],estoque[produto],controleEstoque[[#This Row],[produto]],estoque[fornecedor],"saída"))/12=0,"",(SUMIFS(estoque[quantidade],estoque[fornecedor],"&lt;&gt;saída",estoque[produto],controleEstoque[[#This Row],[produto]])-SUMIFS(estoque[quantidade],estoque[produto],controleEstoque[[#This Row],[produto]],estoque[fornecedor],"saída"))/12)</f>
        <v/>
      </c>
      <c r="P11" s="65" t="str">
        <f>IFERROR(controleEstoque[[#This Row],[estoque]]*12*controleEstoque[[#This Row],[preço]],"")</f>
        <v/>
      </c>
      <c r="Q11" s="117" t="str">
        <f ca="1">IFERROR(((O11*12)/estoque!$S11+TODAY())-3,"")</f>
        <v/>
      </c>
      <c r="R11" s="54" t="str" cm="1">
        <f t="array" aca="1" ref="R11" ca="1">IFERROR(_xlfn.IFS(controleEstoque[[#This Row],[estoque]]="","",AND((controleEstoque[[#This Row],[estoque]]*12)/controleEstoque[[#This Row],[média]]&gt;0,(controleEstoque[[#This Row],[estoque]]*12)/controleEstoque[[#This Row],[média]]&lt;=2),"Acabando",AND((controleEstoque[[#This Row],[estoque]]*12)/controleEstoque[[#This Row],[média]]&gt;2,(controleEstoque[[#This Row],[estoque]]*12)/controleEstoque[[#This Row],[média]]&lt;=3),"Fazer Pedido",AND((controleEstoque[[#This Row],[estoque]]*12)/controleEstoque[[#This Row],[média]]&gt;3,(controleEstoque[[#This Row],[estoque]]*12)/controleEstoque[[#This Row],[média]]&lt;=7),"OK",AND((controleEstoque[[#This Row],[estoque]]*12)/controleEstoque[[#This Row],[média]]&gt;7,(controleEstoque[[#This Row],[estoque]]*12)/controleEstoque[[#This Row],[média]]&lt;=14),"Abaixar Preço",AND((controleEstoque[[#This Row],[estoque]]*12)/controleEstoque[[#This Row],[média]]&gt;14,(controleEstoque[[#This Row],[estoque]]*12)/controleEstoque[[#This Row],[média]]&lt;=20),"Estabilizando",(controleEstoque[[#This Row],[estoque]]*12)/controleEstoque[[#This Row],[média]]&gt;20,"INSTAVEL"),"INSTAVEL")</f>
        <v/>
      </c>
      <c r="S11" s="67" t="str" cm="1">
        <f t="array" aca="1" ref="S11" ca="1">IF(SUMIFS(estoque[quantidade],estoque[fornecedor],"saída",estoque[produto],controleEstoque[[#This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venda])=0),1,0),estoque[data],"&lt;="&amp;registroEstoque[data])/7=0,"",SUMIFS(estoque[quantidade],estoque[fornecedor],"saída",estoque[produto],controleEstoque[[#This Row],[produto]],estoque[data],"&gt;="&amp;registroEstoque[data]-6-IF(AND(registroEstoque[data]=TODAY(),SUMIF(vendaAno[data],registroEstoque[data],vendaAno[valor de venda])=0),1,0),estoque[data],"&lt;="&amp;registroEstoque[data])/7)</f>
        <v/>
      </c>
      <c r="T11" s="66" t="str">
        <f ca="1">IF(controleEstoque[[#This Row],[média]]="","",IFERROR(controleEstoque[[#This Row],[média]]-controleEstoque[[#This Row],[média atacado]],controleEstoque[[#This Row],[média]]))</f>
        <v/>
      </c>
      <c r="U11" s="67" t="str" cm="1">
        <f t="array" ref="U11">IF(SUMIFS(aprazo[quantidade],aprazo[produto],controleEstoque[[#This Row],[produto]],aprazo[data],"&gt;="&amp;registroEstoque[data]-7,aprazo[data],"&lt;="&amp;registroEstoque[data],aprazo[atacado],"atacado")/7=0,"",SUMIFS(aprazo[quantidade],aprazo[produto],controleEstoque[[#This Row],[produto]],aprazo[data],"&gt;="&amp;registroEstoque[data]-7,aprazo[data],"&lt;="&amp;registroEstoque[data],aprazo[atacado],"atacado")/7)</f>
        <v/>
      </c>
      <c r="V11" s="67" t="str">
        <f ca="1">IF(controleEstoque[[#This Row],[situação]]="sem produto",(AVERAGEIFS(estoque[quantidade],estoque[produto],controleEstoque[[#This Row],[produto]],estoque[fornecedor],"saída",estoque[data],"&lt;="&amp;_xlfn.MAXIFS(estoque[data],estoque[produto],controleEstoque[[#This Row],[produto]],estoque[quantidade],"&gt;0",estoque[fornecedor],"saída"),estoque[data],"&gt;="&amp;_xlfn.MAXIFS(estoque[data],estoque[produto],controleEstoque[[#This Row],[produto]],estoque[quantidade],"&gt;0",estoque[fornecedor],"saída")-13)*7)/12,IFERROR((controleEstoque[[#This Row],[média]]*9)/12,""))</f>
        <v/>
      </c>
      <c r="W11" s="66" t="str">
        <f ca="1">IF(IFERROR(controleEstoque[[#This Row],[proxima remessa caixa]]-controleEstoque[[#This Row],[estoque]],"")&lt;0,"",IFERROR(controleEstoque[[#This Row],[proxima remessa caixa]]-controleEstoque[[#This Row],[estoque]],""))</f>
        <v/>
      </c>
      <c r="Z11" s="116">
        <f t="shared" si="0"/>
        <v>46223</v>
      </c>
      <c r="AA1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1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2.4285714285714284</v>
      </c>
      <c r="AC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1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1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20.714285714285715</v>
      </c>
      <c r="AG1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38.787656645471941</v>
      </c>
      <c r="AH11" s="116">
        <f t="shared" si="1"/>
        <v>46223</v>
      </c>
      <c r="AI11" s="1" t="str" cm="1">
        <f t="array" ref="AI11">IFERROR(_xlfn.IFS(AQ11="","Sem Produto",AND(AQ11/(AA11/12)&gt;0,AQ11/(AA11/12)&lt;=2),"Acabando",AND(AQ11/(AA11/12)&gt;2,AQ11/(AA11/12)&lt;=3),"Fazer Pedido",AND(AQ11/(AA11/12)&gt;3,AQ11/(AA11/12)&lt;=7),"OK",AND(AQ11/(AA11/12)&gt;7,AQ11/(AA11/12)&lt;=14),"Abaixar Preço",AND(AQ11/(AA11/12)&gt;14,AQ11/(AA11/12)&lt;=20),"Estabilizando",AQ11/(AA11/12)&gt;20,"Instavel"),"Instavel")</f>
        <v>Instavel</v>
      </c>
      <c r="AJ11" s="1" t="str" cm="1">
        <f t="array" ref="AJ11">IFERROR(_xlfn.IFS(AR11="","Sem Produto",AND(AR11/(AB11/12)&gt;0,AR11/(AB11/12)&lt;=2),"Acabando",AND(AR11/(AB11/12)&gt;2,AR11/(AB11/12)&lt;=3),"Fazer Pedido",AND(AR11/(AB11/12)&gt;3,AR11/(AB11/12)&lt;=7),"OK",AND(AR11/(AB11/12)&gt;7,AR11/(AB11/12)&lt;=14),"Abaixar Preço",AND(AR11/(AB11/12)&gt;14,AR11/(AB11/12)&lt;=20),"Estabilizando",AR11/(AB11/12)&gt;20,"Instavel"),"Instavel")</f>
        <v>Instavel</v>
      </c>
      <c r="AK11" s="1" t="str" cm="1">
        <f t="array" ref="AK11">IFERROR(_xlfn.IFS(AS11="","Sem Produto",AND(AS11/(AC11/12)&gt;0,AS11/(AC11/12)&lt;=2),"Acabando",AND(AS11/(AC11/12)&gt;2,AS11/(AC11/12)&lt;=3),"Fazer Pedido",AND(AS11/(AC11/12)&gt;3,AS11/(AC11/12)&lt;=7),"OK",AND(AS11/(AC11/12)&gt;7,AS11/(AC11/12)&lt;=14),"Abaixar Preço",AND(AS11/(AC11/12)&gt;14,AS11/(AC11/12)&lt;=20),"Estabilizando",AS11/(AC11/12)&gt;20,"Instavel"),"Instavel")</f>
        <v>Sem Produto</v>
      </c>
      <c r="AL11" s="1" t="str" cm="1">
        <f t="array" ref="AL11">IFERROR(_xlfn.IFS(AT11="","Sem Produto",AND(AT11/(AD11/12)&gt;0,AT11/(AD11/12)&lt;=2),"Acabando",AND(AT11/(AD11/12)&gt;2,AT11/(AD11/12)&lt;=3),"Fazer Pedido",AND(AT11/(AD11/12)&gt;3,AT11/(AD11/12)&lt;=7),"OK",AND(AT11/(AD11/12)&gt;7,AT11/(AD11/12)&lt;=14),"Abaixar Preço",AND(AT11/(AD11/12)&gt;14,AT11/(AD11/12)&lt;=20),"Estabilizando",AT11/(AD11/12)&gt;20,"Instavel"),"Instavel")</f>
        <v>OK</v>
      </c>
      <c r="AM11" s="1" t="str" cm="1">
        <f t="array" ref="AM11">IFERROR(_xlfn.IFS(AU11="","Sem Produto",AND(AU11/(AE11/12)&gt;0,AU11/(AE11/12)&lt;=2),"Acabando",AND(AU11/(AE11/12)&gt;2,AU11/(AE11/12)&lt;=3),"Fazer Pedido",AND(AU11/(AE11/12)&gt;3,AU11/(AE11/12)&lt;=7),"OK",AND(AU11/(AE11/12)&gt;7,AU11/(AE11/12)&lt;=14),"Abaixar Preço",AND(AU11/(AE11/12)&gt;14,AU11/(AE11/12)&lt;=20),"Estabilizando",AU11/(AE11/12)&gt;20,"Instavel"),"Instavel")</f>
        <v>Abaixar Preço</v>
      </c>
      <c r="AN11" s="1" t="str">
        <f ca="1">IF(SUMIF(vendaAno[data],SituaçãoEstoqueFluxo[[#This Row],[data]],vendaAno[estoque])=0,"Algo errado",IF(AND(AX11/AW11&gt;0,AX11/AW11&lt;=1),"Alerta",IF(AND(AX11/AW11&gt;1,AX11/AW11&lt;=1.5),"Fazer pedido",IF(AND(AX11/AW11&gt;1.5,AX11/AW11&lt;=2),"Ok",IF(AND(AX11/AW11&gt;2,AX11/AW11&lt;=2.5),"Estabilizando",IF(AND(AX11/AW11&gt;2.5,AX11/AW11&lt;=3),"Cheio","Abaixar preço"))))))</f>
        <v>Abaixar preço</v>
      </c>
      <c r="AO11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11" s="116">
        <f t="shared" si="2"/>
        <v>46223</v>
      </c>
      <c r="AQ1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7.333333333333333</v>
      </c>
      <c r="AR1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5.75</v>
      </c>
      <c r="AS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</v>
      </c>
      <c r="AU1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4.666666666666667</v>
      </c>
      <c r="AV11" s="82" cm="1">
        <f t="array" aca="1" ref="AV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15.535714285714285</v>
      </c>
      <c r="AW11" s="82" cm="1">
        <f t="array" aca="1" ref="AW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5.1785714285714288</v>
      </c>
      <c r="AX11" s="82">
        <f>SUM(FluxoEstoqueDateTime[[#This Row],[OVO BRANCO A]:[OVO BRANCO JUMBO]])</f>
        <v>22.75</v>
      </c>
      <c r="BC11" s="7"/>
      <c r="BD11" s="7"/>
      <c r="BE11" s="11"/>
      <c r="BF11" s="11"/>
      <c r="BG11" s="11"/>
    </row>
    <row r="12" spans="1:87" ht="14.4" thickTop="1" x14ac:dyDescent="0.25">
      <c r="A12" t="s">
        <v>0</v>
      </c>
      <c r="B12" t="s">
        <v>4</v>
      </c>
      <c r="C12" t="s">
        <v>1</v>
      </c>
      <c r="D12" t="s">
        <v>2</v>
      </c>
      <c r="E12" t="s">
        <v>3</v>
      </c>
      <c r="F12" t="s">
        <v>5</v>
      </c>
      <c r="G12" t="s">
        <v>9</v>
      </c>
      <c r="H12" t="s">
        <v>6</v>
      </c>
      <c r="K12" t="s">
        <v>5</v>
      </c>
      <c r="L12" t="s">
        <v>161</v>
      </c>
      <c r="M12" t="s">
        <v>160</v>
      </c>
      <c r="N12" t="s">
        <v>219</v>
      </c>
      <c r="O12" t="s">
        <v>162</v>
      </c>
      <c r="P12" t="s">
        <v>163</v>
      </c>
      <c r="Q12" t="s">
        <v>164</v>
      </c>
      <c r="R12" t="s">
        <v>165</v>
      </c>
      <c r="S12" t="s">
        <v>166</v>
      </c>
      <c r="T12" t="s">
        <v>167</v>
      </c>
      <c r="U12" t="s">
        <v>168</v>
      </c>
      <c r="V12" t="s">
        <v>94</v>
      </c>
      <c r="W12" t="s">
        <v>192</v>
      </c>
      <c r="Z12" s="116">
        <f t="shared" si="0"/>
        <v>46222</v>
      </c>
      <c r="AA1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1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3.8571428571428572</v>
      </c>
      <c r="AC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1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1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22.857142857142858</v>
      </c>
      <c r="AG1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38.439830344024614</v>
      </c>
      <c r="AH12" s="116">
        <f t="shared" si="1"/>
        <v>46222</v>
      </c>
      <c r="AI12" s="1" t="str" cm="1">
        <f t="array" ref="AI12">IFERROR(_xlfn.IFS(AQ12="","Sem Produto",AND(AQ12/(AA12/12)&gt;0,AQ12/(AA12/12)&lt;=2),"Acabando",AND(AQ12/(AA12/12)&gt;2,AQ12/(AA12/12)&lt;=3),"Fazer Pedido",AND(AQ12/(AA12/12)&gt;3,AQ12/(AA12/12)&lt;=7),"OK",AND(AQ12/(AA12/12)&gt;7,AQ12/(AA12/12)&lt;=14),"Abaixar Preço",AND(AQ12/(AA12/12)&gt;14,AQ12/(AA12/12)&lt;=20),"Estabilizando",AQ12/(AA12/12)&gt;20,"Instavel"),"Instavel")</f>
        <v>Estabilizando</v>
      </c>
      <c r="AJ12" s="1" t="str" cm="1">
        <f t="array" ref="AJ12">IFERROR(_xlfn.IFS(AR12="","Sem Produto",AND(AR12/(AB12/12)&gt;0,AR12/(AB12/12)&lt;=2),"Acabando",AND(AR12/(AB12/12)&gt;2,AR12/(AB12/12)&lt;=3),"Fazer Pedido",AND(AR12/(AB12/12)&gt;3,AR12/(AB12/12)&lt;=7),"OK",AND(AR12/(AB12/12)&gt;7,AR12/(AB12/12)&lt;=14),"Abaixar Preço",AND(AR12/(AB12/12)&gt;14,AR12/(AB12/12)&lt;=20),"Estabilizando",AR12/(AB12/12)&gt;20,"Instavel"),"Instavel")</f>
        <v>Estabilizando</v>
      </c>
      <c r="AK12" s="1" t="str" cm="1">
        <f t="array" ref="AK12">IFERROR(_xlfn.IFS(AS12="","Sem Produto",AND(AS12/(AC12/12)&gt;0,AS12/(AC12/12)&lt;=2),"Acabando",AND(AS12/(AC12/12)&gt;2,AS12/(AC12/12)&lt;=3),"Fazer Pedido",AND(AS12/(AC12/12)&gt;3,AS12/(AC12/12)&lt;=7),"OK",AND(AS12/(AC12/12)&gt;7,AS12/(AC12/12)&lt;=14),"Abaixar Preço",AND(AS12/(AC12/12)&gt;14,AS12/(AC12/12)&lt;=20),"Estabilizando",AS12/(AC12/12)&gt;20,"Instavel"),"Instavel")</f>
        <v>Sem Produto</v>
      </c>
      <c r="AL12" s="1" t="str" cm="1">
        <f t="array" ref="AL12">IFERROR(_xlfn.IFS(AT12="","Sem Produto",AND(AT12/(AD12/12)&gt;0,AT12/(AD12/12)&lt;=2),"Acabando",AND(AT12/(AD12/12)&gt;2,AT12/(AD12/12)&lt;=3),"Fazer Pedido",AND(AT12/(AD12/12)&gt;3,AT12/(AD12/12)&lt;=7),"OK",AND(AT12/(AD12/12)&gt;7,AT12/(AD12/12)&lt;=14),"Abaixar Preço",AND(AT12/(AD12/12)&gt;14,AT12/(AD12/12)&lt;=20),"Estabilizando",AT12/(AD12/12)&gt;20,"Instavel"),"Instavel")</f>
        <v>Abaixar Preço</v>
      </c>
      <c r="AM12" s="1" t="str" cm="1">
        <f t="array" ref="AM12">IFERROR(_xlfn.IFS(AU12="","Sem Produto",AND(AU12/(AE12/12)&gt;0,AU12/(AE12/12)&lt;=2),"Acabando",AND(AU12/(AE12/12)&gt;2,AU12/(AE12/12)&lt;=3),"Fazer Pedido",AND(AU12/(AE12/12)&gt;3,AU12/(AE12/12)&lt;=7),"OK",AND(AU12/(AE12/12)&gt;7,AU12/(AE12/12)&lt;=14),"Abaixar Preço",AND(AU12/(AE12/12)&gt;14,AU12/(AE12/12)&lt;=20),"Estabilizando",AU12/(AE12/12)&gt;20,"Instavel"),"Instavel")</f>
        <v>Abaixar Preço</v>
      </c>
      <c r="AN12" s="1" t="str">
        <f ca="1">IF(SUMIF(vendaAno[data],SituaçãoEstoqueFluxo[[#This Row],[data]],vendaAno[estoque])=0,"Algo errado",IF(AND(AX12/AW12&gt;0,AX12/AW12&lt;=1),"Alerta",IF(AND(AX12/AW12&gt;1,AX12/AW12&lt;=1.5),"Fazer pedido",IF(AND(AX12/AW12&gt;1.5,AX12/AW12&lt;=2),"Ok",IF(AND(AX12/AW12&gt;2,AX12/AW12&lt;=2.5),"Estabilizando",IF(AND(AX12/AW12&gt;2.5,AX12/AW12&lt;=3),"Cheio","Abaixar preço"))))))</f>
        <v>Abaixar preço</v>
      </c>
      <c r="AO12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12" s="116">
        <f t="shared" si="2"/>
        <v>46222</v>
      </c>
      <c r="AQ1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1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6.166666666666667</v>
      </c>
      <c r="AS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</v>
      </c>
      <c r="AU1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12" s="82" cm="1">
        <f t="array" aca="1" ref="AV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17.142857142857142</v>
      </c>
      <c r="AW12" s="82" cm="1">
        <f t="array" aca="1" ref="AW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5.7142857142857144</v>
      </c>
      <c r="AX12" s="82">
        <f>SUM(FluxoEstoqueDateTime[[#This Row],[OVO BRANCO A]:[OVO BRANCO JUMBO]])</f>
        <v>24.833333333333332</v>
      </c>
      <c r="BH12" t="e">
        <f>ACCRINT(200,12,15,12,222,2,1,2)</f>
        <v>#NUM!</v>
      </c>
    </row>
    <row r="13" spans="1:87" x14ac:dyDescent="0.25">
      <c r="A13" s="4" t="s">
        <v>31</v>
      </c>
      <c r="B13" s="55" t="s">
        <v>12</v>
      </c>
      <c r="C13" s="5">
        <v>60</v>
      </c>
      <c r="D13" s="56">
        <v>150</v>
      </c>
      <c r="E13" s="56">
        <f>(registroEstoque[[#This Row],[quantidade]]/12)*registroEstoque[[#This Row],[valor]]</f>
        <v>750</v>
      </c>
      <c r="F13" s="6">
        <v>46232</v>
      </c>
      <c r="G13" s="4" t="str">
        <f>TEXT(registroEstoque[[#This Row],[data]],"ddd")</f>
        <v>qua</v>
      </c>
      <c r="H13" s="4" t="str">
        <f>TEXT(registroEstoque[[#This Row],[data]],"mmm")</f>
        <v>jul</v>
      </c>
      <c r="K13" s="28">
        <f ca="1">IF(registroEstoque[[#This Row],[data]]&gt;TODAY(),TODAY(),registroEstoque[[#This Row],[data]])</f>
        <v>46232</v>
      </c>
      <c r="L13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12</v>
      </c>
      <c r="M13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9</v>
      </c>
      <c r="N13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3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4</v>
      </c>
      <c r="P13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3</v>
      </c>
      <c r="Q13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3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3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3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3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3" t="s">
        <v>193</v>
      </c>
      <c r="W13" s="82">
        <f ca="1">(SUM(controleEstoque[estoque])*12)/SUM(controleEstoque[média])</f>
        <v>12.833333333333332</v>
      </c>
      <c r="Z13" s="116">
        <f t="shared" si="0"/>
        <v>46221</v>
      </c>
      <c r="AA1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1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27.428571428571427</v>
      </c>
      <c r="AG1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38.965611718009072</v>
      </c>
      <c r="AH13" s="116">
        <f t="shared" si="1"/>
        <v>46221</v>
      </c>
      <c r="AI13" s="1" t="str" cm="1">
        <f t="array" ref="AI13">IFERROR(_xlfn.IFS(AQ13="","Sem Produto",AND(AQ13/(AA13/12)&gt;0,AQ13/(AA13/12)&lt;=2),"Acabando",AND(AQ13/(AA13/12)&gt;2,AQ13/(AA13/12)&lt;=3),"Fazer Pedido",AND(AQ13/(AA13/12)&gt;3,AQ13/(AA13/12)&lt;=7),"OK",AND(AQ13/(AA13/12)&gt;7,AQ13/(AA13/12)&lt;=14),"Abaixar Preço",AND(AQ13/(AA13/12)&gt;14,AQ13/(AA13/12)&lt;=20),"Estabilizando",AQ13/(AA13/12)&gt;20,"Instavel"),"Instavel")</f>
        <v>Estabilizando</v>
      </c>
      <c r="AJ13" s="1" t="str" cm="1">
        <f t="array" ref="AJ13">IFERROR(_xlfn.IFS(AR13="","Sem Produto",AND(AR13/(AB13/12)&gt;0,AR13/(AB13/12)&lt;=2),"Acabando",AND(AR13/(AB13/12)&gt;2,AR13/(AB13/12)&lt;=3),"Fazer Pedido",AND(AR13/(AB13/12)&gt;3,AR13/(AB13/12)&lt;=7),"OK",AND(AR13/(AB13/12)&gt;7,AR13/(AB13/12)&lt;=14),"Abaixar Preço",AND(AR13/(AB13/12)&gt;14,AR13/(AB13/12)&lt;=20),"Estabilizando",AR13/(AB13/12)&gt;20,"Instavel"),"Instavel")</f>
        <v>Abaixar Preço</v>
      </c>
      <c r="AK13" s="1" t="str" cm="1">
        <f t="array" ref="AK13">IFERROR(_xlfn.IFS(AS13="","Sem Produto",AND(AS13/(AC13/12)&gt;0,AS13/(AC13/12)&lt;=2),"Acabando",AND(AS13/(AC13/12)&gt;2,AS13/(AC13/12)&lt;=3),"Fazer Pedido",AND(AS13/(AC13/12)&gt;3,AS13/(AC13/12)&lt;=7),"OK",AND(AS13/(AC13/12)&gt;7,AS13/(AC13/12)&lt;=14),"Abaixar Preço",AND(AS13/(AC13/12)&gt;14,AS13/(AC13/12)&lt;=20),"Estabilizando",AS13/(AC13/12)&gt;20,"Instavel"),"Instavel")</f>
        <v>Sem Produto</v>
      </c>
      <c r="AL13" s="1" t="str" cm="1">
        <f t="array" ref="AL13">IFERROR(_xlfn.IFS(AT13="","Sem Produto",AND(AT13/(AD13/12)&gt;0,AT13/(AD13/12)&lt;=2),"Acabando",AND(AT13/(AD13/12)&gt;2,AT13/(AD13/12)&lt;=3),"Fazer Pedido",AND(AT13/(AD13/12)&gt;3,AT13/(AD13/12)&lt;=7),"OK",AND(AT13/(AD13/12)&gt;7,AT13/(AD13/12)&lt;=14),"Abaixar Preço",AND(AT13/(AD13/12)&gt;14,AT13/(AD13/12)&lt;=20),"Estabilizando",AT13/(AD13/12)&gt;20,"Instavel"),"Instavel")</f>
        <v>Abaixar Preço</v>
      </c>
      <c r="AM13" s="1" t="str" cm="1">
        <f t="array" ref="AM13">IFERROR(_xlfn.IFS(AU13="","Sem Produto",AND(AU13/(AE13/12)&gt;0,AU13/(AE13/12)&lt;=2),"Acabando",AND(AU13/(AE13/12)&gt;2,AU13/(AE13/12)&lt;=3),"Fazer Pedido",AND(AU13/(AE13/12)&gt;3,AU13/(AE13/12)&lt;=7),"OK",AND(AU13/(AE13/12)&gt;7,AU13/(AE13/12)&lt;=14),"Abaixar Preço",AND(AU13/(AE13/12)&gt;14,AU13/(AE13/12)&lt;=20),"Estabilizando",AU13/(AE13/12)&gt;20,"Instavel"),"Instavel")</f>
        <v>Abaixar Preço</v>
      </c>
      <c r="AN13" s="1" t="str">
        <f ca="1">IF(SUMIF(vendaAno[data],SituaçãoEstoqueFluxo[[#This Row],[data]],vendaAno[estoque])=0,"Algo errado",IF(AND(AX13/AW13&gt;0,AX13/AW13&lt;=1),"Alerta",IF(AND(AX13/AW13&gt;1,AX13/AW13&lt;=1.5),"Fazer pedido",IF(AND(AX13/AW13&gt;1.5,AX13/AW13&lt;=2),"Ok",IF(AND(AX13/AW13&gt;2,AX13/AW13&lt;=2.5),"Estabilizando",IF(AND(AX13/AW13&gt;2.5,AX13/AW13&lt;=3),"Cheio","Abaixar preço"))))))</f>
        <v>Abaixar preço</v>
      </c>
      <c r="AO13" s="82">
        <f>SUMIFS(estoque[quantidade],estoque[fornecedor],"&lt;&gt;saída",estoque[data],SituaçãoEstoqueFluxo[[#This Row],[data]])-SUMIFS(estoque[quantidade],estoque[fornecedor],"saída",estoque[data],SituaçãoEstoqueFluxo[[#This Row],[data]])</f>
        <v>-14</v>
      </c>
      <c r="AP13" s="116">
        <f t="shared" si="2"/>
        <v>46221</v>
      </c>
      <c r="AQ1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1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6.166666666666667</v>
      </c>
      <c r="AS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1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5.583333333333333</v>
      </c>
      <c r="AV13" s="82" cm="1">
        <f t="array" aca="1" ref="AV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20.571428571428569</v>
      </c>
      <c r="AW13" s="82" cm="1">
        <f t="array" aca="1" ref="AW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6.8571428571428568</v>
      </c>
      <c r="AX13" s="82">
        <f>SUM(FluxoEstoqueDateTime[[#This Row],[OVO BRANCO A]:[OVO BRANCO JUMBO]])</f>
        <v>26.166666666666668</v>
      </c>
    </row>
    <row r="14" spans="1:87" x14ac:dyDescent="0.25">
      <c r="A14" t="s">
        <v>0</v>
      </c>
      <c r="B14" t="s">
        <v>4</v>
      </c>
      <c r="C14" t="s">
        <v>1</v>
      </c>
      <c r="D14" t="s">
        <v>2</v>
      </c>
      <c r="E14" t="s">
        <v>3</v>
      </c>
      <c r="F14" t="s">
        <v>5</v>
      </c>
      <c r="G14" t="s">
        <v>9</v>
      </c>
      <c r="H14" t="s">
        <v>6</v>
      </c>
      <c r="I14" t="s">
        <v>7</v>
      </c>
      <c r="J14" t="s">
        <v>8</v>
      </c>
      <c r="K14" s="28">
        <f t="shared" ref="K14:K19" ca="1" si="3">K13-1</f>
        <v>46231</v>
      </c>
      <c r="L14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9</v>
      </c>
      <c r="M14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6.2857142857142856</v>
      </c>
      <c r="N14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4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3</v>
      </c>
      <c r="P14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3</v>
      </c>
      <c r="Q14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4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4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4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4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4" t="s">
        <v>29</v>
      </c>
      <c r="W14" s="8">
        <f ca="1">SUM(EstatisSemana[[valor va]:[valor ata]])</f>
        <v>6274.780308541327</v>
      </c>
      <c r="Z14" s="116">
        <f t="shared" si="0"/>
        <v>46220</v>
      </c>
      <c r="AA1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5.5714285714285712</v>
      </c>
      <c r="AB1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</v>
      </c>
      <c r="AC1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</v>
      </c>
      <c r="AG1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38.068951713243976</v>
      </c>
      <c r="AH14" s="116">
        <f t="shared" si="1"/>
        <v>46220</v>
      </c>
      <c r="AI14" s="1" t="str" cm="1">
        <f t="array" ref="AI14">IFERROR(_xlfn.IFS(AQ14="","Sem Produto",AND(AQ14/(AA14/12)&gt;0,AQ14/(AA14/12)&lt;=2),"Acabando",AND(AQ14/(AA14/12)&gt;2,AQ14/(AA14/12)&lt;=3),"Fazer Pedido",AND(AQ14/(AA14/12)&gt;3,AQ14/(AA14/12)&lt;=7),"OK",AND(AQ14/(AA14/12)&gt;7,AQ14/(AA14/12)&lt;=14),"Abaixar Preço",AND(AQ14/(AA14/12)&gt;14,AQ14/(AA14/12)&lt;=20),"Estabilizando",AQ14/(AA14/12)&gt;20,"Instavel"),"Instavel")</f>
        <v>Estabilizando</v>
      </c>
      <c r="AJ14" s="1" t="str" cm="1">
        <f t="array" ref="AJ14">IFERROR(_xlfn.IFS(AR14="","Sem Produto",AND(AR14/(AB14/12)&gt;0,AR14/(AB14/12)&lt;=2),"Acabando",AND(AR14/(AB14/12)&gt;2,AR14/(AB14/12)&lt;=3),"Fazer Pedido",AND(AR14/(AB14/12)&gt;3,AR14/(AB14/12)&lt;=7),"OK",AND(AR14/(AB14/12)&gt;7,AR14/(AB14/12)&lt;=14),"Abaixar Preço",AND(AR14/(AB14/12)&gt;14,AR14/(AB14/12)&lt;=20),"Estabilizando",AR14/(AB14/12)&gt;20,"Instavel"),"Instavel")</f>
        <v>Estabilizando</v>
      </c>
      <c r="AK14" s="1" t="str" cm="1">
        <f t="array" ref="AK14">IFERROR(_xlfn.IFS(AS14="","Sem Produto",AND(AS14/(AC14/12)&gt;0,AS14/(AC14/12)&lt;=2),"Acabando",AND(AS14/(AC14/12)&gt;2,AS14/(AC14/12)&lt;=3),"Fazer Pedido",AND(AS14/(AC14/12)&gt;3,AS14/(AC14/12)&lt;=7),"OK",AND(AS14/(AC14/12)&gt;7,AS14/(AC14/12)&lt;=14),"Abaixar Preço",AND(AS14/(AC14/12)&gt;14,AS14/(AC14/12)&lt;=20),"Estabilizando",AS14/(AC14/12)&gt;20,"Instavel"),"Instavel")</f>
        <v>Sem Produto</v>
      </c>
      <c r="AL14" s="1" t="str" cm="1">
        <f t="array" ref="AL14">IFERROR(_xlfn.IFS(AT14="","Sem Produto",AND(AT14/(AD14/12)&gt;0,AT14/(AD14/12)&lt;=2),"Acabando",AND(AT14/(AD14/12)&gt;2,AT14/(AD14/12)&lt;=3),"Fazer Pedido",AND(AT14/(AD14/12)&gt;3,AT14/(AD14/12)&lt;=7),"OK",AND(AT14/(AD14/12)&gt;7,AT14/(AD14/12)&lt;=14),"Abaixar Preço",AND(AT14/(AD14/12)&gt;14,AT14/(AD14/12)&lt;=20),"Estabilizando",AT14/(AD14/12)&gt;20,"Instavel"),"Instavel")</f>
        <v>Abaixar Preço</v>
      </c>
      <c r="AM14" s="1" t="str" cm="1">
        <f t="array" ref="AM14">IFERROR(_xlfn.IFS(AU14="","Sem Produto",AND(AU14/(AE14/12)&gt;0,AU14/(AE14/12)&lt;=2),"Acabando",AND(AU14/(AE14/12)&gt;2,AU14/(AE14/12)&lt;=3),"Fazer Pedido",AND(AU14/(AE14/12)&gt;3,AU14/(AE14/12)&lt;=7),"OK",AND(AU14/(AE14/12)&gt;7,AU14/(AE14/12)&lt;=14),"Abaixar Preço",AND(AU14/(AE14/12)&gt;14,AU14/(AE14/12)&lt;=20),"Estabilizando",AU14/(AE14/12)&gt;20,"Instavel"),"Instavel")</f>
        <v>Abaixar Preço</v>
      </c>
      <c r="AN14" s="1" t="str">
        <f ca="1">IF(SUMIF(vendaAno[data],SituaçãoEstoqueFluxo[[#This Row],[data]],vendaAno[estoque])=0,"Algo errado",IF(AND(AX14/AW14&gt;0,AX14/AW14&lt;=1),"Alerta",IF(AND(AX14/AW14&gt;1,AX14/AW14&lt;=1.5),"Fazer pedido",IF(AND(AX14/AW14&gt;1.5,AX14/AW14&lt;=2),"Ok",IF(AND(AX14/AW14&gt;2,AX14/AW14&lt;=2.5),"Estabilizando",IF(AND(AX14/AW14&gt;2.5,AX14/AW14&lt;=3),"Cheio","Abaixar preço"))))))</f>
        <v>Abaixar preço</v>
      </c>
      <c r="AO14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14" s="116">
        <f t="shared" si="2"/>
        <v>46220</v>
      </c>
      <c r="AQ1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1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1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14" s="82" cm="1">
        <f t="array" aca="1" ref="AV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21.75</v>
      </c>
      <c r="AW14" s="82" cm="1">
        <f t="array" aca="1" ref="AW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7.25</v>
      </c>
      <c r="AX14" s="82">
        <f>SUM(FluxoEstoqueDateTime[[#This Row],[OVO BRANCO A]:[OVO BRANCO JUMBO]])</f>
        <v>27.333333333333332</v>
      </c>
    </row>
    <row r="15" spans="1:87" x14ac:dyDescent="0.25">
      <c r="A15" s="4" t="s">
        <v>20</v>
      </c>
      <c r="B15" s="55" t="s">
        <v>14</v>
      </c>
      <c r="C15" s="5">
        <v>3</v>
      </c>
      <c r="D15" s="56">
        <v>23</v>
      </c>
      <c r="E15" s="56">
        <v>69</v>
      </c>
      <c r="F15" s="157">
        <v>46232</v>
      </c>
      <c r="G15" s="4" t="s">
        <v>32</v>
      </c>
      <c r="H15" s="4" t="s">
        <v>149</v>
      </c>
      <c r="I15" s="153">
        <v>19.48</v>
      </c>
      <c r="J15" s="12">
        <v>0.28236930641821956</v>
      </c>
      <c r="K15" s="28">
        <f t="shared" ca="1" si="3"/>
        <v>46230</v>
      </c>
      <c r="L15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14</v>
      </c>
      <c r="M15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12</v>
      </c>
      <c r="N15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5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7</v>
      </c>
      <c r="P15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3</v>
      </c>
      <c r="Q15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5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5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5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5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5" t="s">
        <v>194</v>
      </c>
      <c r="W15" s="8">
        <f ca="1">SUM(EstatisSemana[[lucro va]:[lucro ata]])</f>
        <v>1298.1508509647683</v>
      </c>
      <c r="Z15" s="116">
        <f t="shared" si="0"/>
        <v>46219</v>
      </c>
      <c r="AA1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6.8571428571428568</v>
      </c>
      <c r="AB1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5.1428571428571432</v>
      </c>
      <c r="AC1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1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29.571428571428573</v>
      </c>
      <c r="AG1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39.341780063377904</v>
      </c>
      <c r="AH15" s="116">
        <f t="shared" si="1"/>
        <v>46219</v>
      </c>
      <c r="AI15" s="1" t="str" cm="1">
        <f t="array" ref="AI15">IFERROR(_xlfn.IFS(AQ15="","Sem Produto",AND(AQ15/(AA15/12)&gt;0,AQ15/(AA15/12)&lt;=2),"Acabando",AND(AQ15/(AA15/12)&gt;2,AQ15/(AA15/12)&lt;=3),"Fazer Pedido",AND(AQ15/(AA15/12)&gt;3,AQ15/(AA15/12)&lt;=7),"OK",AND(AQ15/(AA15/12)&gt;7,AQ15/(AA15/12)&lt;=14),"Abaixar Preço",AND(AQ15/(AA15/12)&gt;14,AQ15/(AA15/12)&lt;=20),"Estabilizando",AQ15/(AA15/12)&gt;20,"Instavel"),"Instavel")</f>
        <v>Estabilizando</v>
      </c>
      <c r="AJ15" s="1" t="str" cm="1">
        <f t="array" ref="AJ15">IFERROR(_xlfn.IFS(AR15="","Sem Produto",AND(AR15/(AB15/12)&gt;0,AR15/(AB15/12)&lt;=2),"Acabando",AND(AR15/(AB15/12)&gt;2,AR15/(AB15/12)&lt;=3),"Fazer Pedido",AND(AR15/(AB15/12)&gt;3,AR15/(AB15/12)&lt;=7),"OK",AND(AR15/(AB15/12)&gt;7,AR15/(AB15/12)&lt;=14),"Abaixar Preço",AND(AR15/(AB15/12)&gt;14,AR15/(AB15/12)&lt;=20),"Estabilizando",AR15/(AB15/12)&gt;20,"Instavel"),"Instavel")</f>
        <v>Estabilizando</v>
      </c>
      <c r="AK15" s="1" t="str" cm="1">
        <f t="array" ref="AK15">IFERROR(_xlfn.IFS(AS15="","Sem Produto",AND(AS15/(AC15/12)&gt;0,AS15/(AC15/12)&lt;=2),"Acabando",AND(AS15/(AC15/12)&gt;2,AS15/(AC15/12)&lt;=3),"Fazer Pedido",AND(AS15/(AC15/12)&gt;3,AS15/(AC15/12)&lt;=7),"OK",AND(AS15/(AC15/12)&gt;7,AS15/(AC15/12)&lt;=14),"Abaixar Preço",AND(AS15/(AC15/12)&gt;14,AS15/(AC15/12)&lt;=20),"Estabilizando",AS15/(AC15/12)&gt;20,"Instavel"),"Instavel")</f>
        <v>Sem Produto</v>
      </c>
      <c r="AL15" s="1" t="str" cm="1">
        <f t="array" ref="AL15">IFERROR(_xlfn.IFS(AT15="","Sem Produto",AND(AT15/(AD15/12)&gt;0,AT15/(AD15/12)&lt;=2),"Acabando",AND(AT15/(AD15/12)&gt;2,AT15/(AD15/12)&lt;=3),"Fazer Pedido",AND(AT15/(AD15/12)&gt;3,AT15/(AD15/12)&lt;=7),"OK",AND(AT15/(AD15/12)&gt;7,AT15/(AD15/12)&lt;=14),"Abaixar Preço",AND(AT15/(AD15/12)&gt;14,AT15/(AD15/12)&lt;=20),"Estabilizando",AT15/(AD15/12)&gt;20,"Instavel"),"Instavel")</f>
        <v>Abaixar Preço</v>
      </c>
      <c r="AM15" s="1" t="str" cm="1">
        <f t="array" ref="AM15">IFERROR(_xlfn.IFS(AU15="","Sem Produto",AND(AU15/(AE15/12)&gt;0,AU15/(AE15/12)&lt;=2),"Acabando",AND(AU15/(AE15/12)&gt;2,AU15/(AE15/12)&lt;=3),"Fazer Pedido",AND(AU15/(AE15/12)&gt;3,AU15/(AE15/12)&lt;=7),"OK",AND(AU15/(AE15/12)&gt;7,AU15/(AE15/12)&lt;=14),"Abaixar Preço",AND(AU15/(AE15/12)&gt;14,AU15/(AE15/12)&lt;=20),"Estabilizando",AU15/(AE15/12)&gt;20,"Instavel"),"Instavel")</f>
        <v>Abaixar Preço</v>
      </c>
      <c r="AN15" s="1" t="str">
        <f ca="1">IF(SUMIF(vendaAno[data],SituaçãoEstoqueFluxo[[#This Row],[data]],vendaAno[estoque])=0,"Algo errado",IF(AND(AX15/AW15&gt;0,AX15/AW15&lt;=1),"Alerta",IF(AND(AX15/AW15&gt;1,AX15/AW15&lt;=1.5),"Fazer pedido",IF(AND(AX15/AW15&gt;1.5,AX15/AW15&lt;=2),"Ok",IF(AND(AX15/AW15&gt;2,AX15/AW15&lt;=2.5),"Estabilizando",IF(AND(AX15/AW15&gt;2.5,AX15/AW15&lt;=3),"Cheio","Abaixar preço"))))))</f>
        <v>Abaixar preço</v>
      </c>
      <c r="AO15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15" s="116">
        <f t="shared" si="2"/>
        <v>46219</v>
      </c>
      <c r="AQ1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8.5833333333333339</v>
      </c>
      <c r="AR1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15" s="82" cm="1">
        <f t="array" aca="1" ref="AV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22.178571428571427</v>
      </c>
      <c r="AW15" s="82" cm="1">
        <f t="array" aca="1" ref="AW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7.3928571428571432</v>
      </c>
      <c r="AX15" s="82">
        <f>SUM(FluxoEstoqueDateTime[[#This Row],[OVO BRANCO A]:[OVO BRANCO JUMBO]])</f>
        <v>28.916666666666668</v>
      </c>
    </row>
    <row r="16" spans="1:87" x14ac:dyDescent="0.25">
      <c r="A16" s="4" t="s">
        <v>20</v>
      </c>
      <c r="B16" s="55" t="s">
        <v>13</v>
      </c>
      <c r="C16" s="5">
        <v>4</v>
      </c>
      <c r="D16" s="56">
        <v>22</v>
      </c>
      <c r="E16" s="56">
        <v>88</v>
      </c>
      <c r="F16" s="157">
        <v>46232</v>
      </c>
      <c r="G16" s="4" t="s">
        <v>32</v>
      </c>
      <c r="H16" s="4" t="s">
        <v>149</v>
      </c>
      <c r="I16" s="153">
        <v>25.1</v>
      </c>
      <c r="J16" s="12">
        <v>0.28520734542387932</v>
      </c>
      <c r="K16" s="28">
        <f t="shared" ca="1" si="3"/>
        <v>46229</v>
      </c>
      <c r="L16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24</v>
      </c>
      <c r="M16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3</v>
      </c>
      <c r="N16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6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8</v>
      </c>
      <c r="P16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6.1428571428571432</v>
      </c>
      <c r="Q16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6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6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6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6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6" t="s">
        <v>8</v>
      </c>
      <c r="W16" s="10">
        <f ca="1">W15/W14</f>
        <v>0.20688387276247833</v>
      </c>
      <c r="Z16" s="116">
        <f t="shared" si="0"/>
        <v>46218</v>
      </c>
      <c r="AA1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1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29.428571428571427</v>
      </c>
      <c r="AG1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39.276185238147619</v>
      </c>
      <c r="AH16" s="116">
        <f t="shared" si="1"/>
        <v>46218</v>
      </c>
      <c r="AI16" s="1" t="str" cm="1">
        <f t="array" ref="AI16">IFERROR(_xlfn.IFS(AQ16="","Sem Produto",AND(AQ16/(AA16/12)&gt;0,AQ16/(AA16/12)&lt;=2),"Acabando",AND(AQ16/(AA16/12)&gt;2,AQ16/(AA16/12)&lt;=3),"Fazer Pedido",AND(AQ16/(AA16/12)&gt;3,AQ16/(AA16/12)&lt;=7),"OK",AND(AQ16/(AA16/12)&gt;7,AQ16/(AA16/12)&lt;=14),"Abaixar Preço",AND(AQ16/(AA16/12)&gt;14,AQ16/(AA16/12)&lt;=20),"Estabilizando",AQ16/(AA16/12)&gt;20,"Instavel"),"Instavel")</f>
        <v>Estabilizando</v>
      </c>
      <c r="AJ16" s="1" t="str" cm="1">
        <f t="array" ref="AJ16">IFERROR(_xlfn.IFS(AR16="","Sem Produto",AND(AR16/(AB16/12)&gt;0,AR16/(AB16/12)&lt;=2),"Acabando",AND(AR16/(AB16/12)&gt;2,AR16/(AB16/12)&lt;=3),"Fazer Pedido",AND(AR16/(AB16/12)&gt;3,AR16/(AB16/12)&lt;=7),"OK",AND(AR16/(AB16/12)&gt;7,AR16/(AB16/12)&lt;=14),"Abaixar Preço",AND(AR16/(AB16/12)&gt;14,AR16/(AB16/12)&lt;=20),"Estabilizando",AR16/(AB16/12)&gt;20,"Instavel"),"Instavel")</f>
        <v>Abaixar Preço</v>
      </c>
      <c r="AK16" s="1" t="str" cm="1">
        <f t="array" ref="AK16">IFERROR(_xlfn.IFS(AS16="","Sem Produto",AND(AS16/(AC16/12)&gt;0,AS16/(AC16/12)&lt;=2),"Acabando",AND(AS16/(AC16/12)&gt;2,AS16/(AC16/12)&lt;=3),"Fazer Pedido",AND(AS16/(AC16/12)&gt;3,AS16/(AC16/12)&lt;=7),"OK",AND(AS16/(AC16/12)&gt;7,AS16/(AC16/12)&lt;=14),"Abaixar Preço",AND(AS16/(AC16/12)&gt;14,AS16/(AC16/12)&lt;=20),"Estabilizando",AS16/(AC16/12)&gt;20,"Instavel"),"Instavel")</f>
        <v>Sem Produto</v>
      </c>
      <c r="AL16" s="1" t="str" cm="1">
        <f t="array" ref="AL16">IFERROR(_xlfn.IFS(AT16="","Sem Produto",AND(AT16/(AD16/12)&gt;0,AT16/(AD16/12)&lt;=2),"Acabando",AND(AT16/(AD16/12)&gt;2,AT16/(AD16/12)&lt;=3),"Fazer Pedido",AND(AT16/(AD16/12)&gt;3,AT16/(AD16/12)&lt;=7),"OK",AND(AT16/(AD16/12)&gt;7,AT16/(AD16/12)&lt;=14),"Abaixar Preço",AND(AT16/(AD16/12)&gt;14,AT16/(AD16/12)&lt;=20),"Estabilizando",AT16/(AD16/12)&gt;20,"Instavel"),"Instavel")</f>
        <v>Abaixar Preço</v>
      </c>
      <c r="AM16" s="1" t="str" cm="1">
        <f t="array" ref="AM16">IFERROR(_xlfn.IFS(AU16="","Sem Produto",AND(AU16/(AE16/12)&gt;0,AU16/(AE16/12)&lt;=2),"Acabando",AND(AU16/(AE16/12)&gt;2,AU16/(AE16/12)&lt;=3),"Fazer Pedido",AND(AU16/(AE16/12)&gt;3,AU16/(AE16/12)&lt;=7),"OK",AND(AU16/(AE16/12)&gt;7,AU16/(AE16/12)&lt;=14),"Abaixar Preço",AND(AU16/(AE16/12)&gt;14,AU16/(AE16/12)&lt;=20),"Estabilizando",AU16/(AE16/12)&gt;20,"Instavel"),"Instavel")</f>
        <v>Estabilizando</v>
      </c>
      <c r="AN16" s="1" t="str">
        <f ca="1">IF(SUMIF(vendaAno[data],SituaçãoEstoqueFluxo[[#This Row],[data]],vendaAno[estoque])=0,"Algo errado",IF(AND(AX16/AW16&gt;0,AX16/AW16&lt;=1),"Alerta",IF(AND(AX16/AW16&gt;1,AX16/AW16&lt;=1.5),"Fazer pedido",IF(AND(AX16/AW16&gt;1.5,AX16/AW16&lt;=2),"Ok",IF(AND(AX16/AW16&gt;2,AX16/AW16&lt;=2.5),"Estabilizando",IF(AND(AX16/AW16&gt;2.5,AX16/AW16&lt;=3),"Cheio","Abaixar preço"))))))</f>
        <v>Abaixar preço</v>
      </c>
      <c r="AO16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16" s="116">
        <f t="shared" si="2"/>
        <v>46218</v>
      </c>
      <c r="AQ1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9.1666666666666661</v>
      </c>
      <c r="AR1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8.1666666666666661</v>
      </c>
      <c r="AU1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7.833333333333333</v>
      </c>
      <c r="AV16" s="82" cm="1">
        <f t="array" aca="1" ref="AV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22.071428571428573</v>
      </c>
      <c r="AW16" s="82" cm="1">
        <f t="array" aca="1" ref="AW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7.3571428571428568</v>
      </c>
      <c r="AX16" s="82">
        <f>SUM(FluxoEstoqueDateTime[[#This Row],[OVO BRANCO A]:[OVO BRANCO JUMBO]])</f>
        <v>31.749999999999996</v>
      </c>
    </row>
    <row r="17" spans="1:79" x14ac:dyDescent="0.25">
      <c r="A17" s="4" t="s">
        <v>20</v>
      </c>
      <c r="B17" s="55" t="s">
        <v>11</v>
      </c>
      <c r="C17" s="5">
        <v>9</v>
      </c>
      <c r="D17" s="56">
        <v>17</v>
      </c>
      <c r="E17" s="56">
        <v>147</v>
      </c>
      <c r="F17" s="157">
        <v>46232</v>
      </c>
      <c r="G17" s="4" t="s">
        <v>32</v>
      </c>
      <c r="H17" s="4" t="s">
        <v>149</v>
      </c>
      <c r="I17" s="153">
        <v>15.74</v>
      </c>
      <c r="J17" s="12">
        <v>0.10708656098000385</v>
      </c>
      <c r="K17" s="28">
        <f t="shared" ca="1" si="3"/>
        <v>46228</v>
      </c>
      <c r="L17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1</v>
      </c>
      <c r="M17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5.2857142857142856</v>
      </c>
      <c r="N17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7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3</v>
      </c>
      <c r="P17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4</v>
      </c>
      <c r="Q17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7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7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7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7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7" t="s">
        <v>213</v>
      </c>
      <c r="W17" s="82">
        <f ca="1">SUM(Tabela42[[AB]:[JV]])</f>
        <v>197.71428571428569</v>
      </c>
      <c r="Z17" s="116">
        <f t="shared" si="0"/>
        <v>46217</v>
      </c>
      <c r="AA1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1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39.101663469039238</v>
      </c>
      <c r="AH17" s="116">
        <f t="shared" si="1"/>
        <v>46217</v>
      </c>
      <c r="AI17" s="1" t="str" cm="1">
        <f t="array" ref="AI17">IFERROR(_xlfn.IFS(AQ17="","Sem Produto",AND(AQ17/(AA17/12)&gt;0,AQ17/(AA17/12)&lt;=2),"Acabando",AND(AQ17/(AA17/12)&gt;2,AQ17/(AA17/12)&lt;=3),"Fazer Pedido",AND(AQ17/(AA17/12)&gt;3,AQ17/(AA17/12)&lt;=7),"OK",AND(AQ17/(AA17/12)&gt;7,AQ17/(AA17/12)&lt;=14),"Abaixar Preço",AND(AQ17/(AA17/12)&gt;14,AQ17/(AA17/12)&lt;=20),"Estabilizando",AQ17/(AA17/12)&gt;20,"Instavel"),"Instavel")</f>
        <v>Estabilizando</v>
      </c>
      <c r="AJ17" s="1" t="str" cm="1">
        <f t="array" ref="AJ17">IFERROR(_xlfn.IFS(AR17="","Sem Produto",AND(AR17/(AB17/12)&gt;0,AR17/(AB17/12)&lt;=2),"Acabando",AND(AR17/(AB17/12)&gt;2,AR17/(AB17/12)&lt;=3),"Fazer Pedido",AND(AR17/(AB17/12)&gt;3,AR17/(AB17/12)&lt;=7),"OK",AND(AR17/(AB17/12)&gt;7,AR17/(AB17/12)&lt;=14),"Abaixar Preço",AND(AR17/(AB17/12)&gt;14,AR17/(AB17/12)&lt;=20),"Estabilizando",AR17/(AB17/12)&gt;20,"Instavel"),"Instavel")</f>
        <v>Estabilizando</v>
      </c>
      <c r="AK17" s="1" t="str" cm="1">
        <f t="array" ref="AK17">IFERROR(_xlfn.IFS(AS17="","Sem Produto",AND(AS17/(AC17/12)&gt;0,AS17/(AC17/12)&lt;=2),"Acabando",AND(AS17/(AC17/12)&gt;2,AS17/(AC17/12)&lt;=3),"Fazer Pedido",AND(AS17/(AC17/12)&gt;3,AS17/(AC17/12)&lt;=7),"OK",AND(AS17/(AC17/12)&gt;7,AS17/(AC17/12)&lt;=14),"Abaixar Preço",AND(AS17/(AC17/12)&gt;14,AS17/(AC17/12)&lt;=20),"Estabilizando",AS17/(AC17/12)&gt;20,"Instavel"),"Instavel")</f>
        <v>Sem Produto</v>
      </c>
      <c r="AL17" s="1" t="str" cm="1">
        <f t="array" ref="AL17">IFERROR(_xlfn.IFS(AT17="","Sem Produto",AND(AT17/(AD17/12)&gt;0,AT17/(AD17/12)&lt;=2),"Acabando",AND(AT17/(AD17/12)&gt;2,AT17/(AD17/12)&lt;=3),"Fazer Pedido",AND(AT17/(AD17/12)&gt;3,AT17/(AD17/12)&lt;=7),"OK",AND(AT17/(AD17/12)&gt;7,AT17/(AD17/12)&lt;=14),"Abaixar Preço",AND(AT17/(AD17/12)&gt;14,AT17/(AD17/12)&lt;=20),"Estabilizando",AT17/(AD17/12)&gt;20,"Instavel"),"Instavel")</f>
        <v>Abaixar Preço</v>
      </c>
      <c r="AM17" s="1" t="str" cm="1">
        <f t="array" ref="AM17">IFERROR(_xlfn.IFS(AU17="","Sem Produto",AND(AU17/(AE17/12)&gt;0,AU17/(AE17/12)&lt;=2),"Acabando",AND(AU17/(AE17/12)&gt;2,AU17/(AE17/12)&lt;=3),"Fazer Pedido",AND(AU17/(AE17/12)&gt;3,AU17/(AE17/12)&lt;=7),"OK",AND(AU17/(AE17/12)&gt;7,AU17/(AE17/12)&lt;=14),"Abaixar Preço",AND(AU17/(AE17/12)&gt;14,AU17/(AE17/12)&lt;=20),"Estabilizando",AU17/(AE17/12)&gt;20,"Instavel"),"Instavel")</f>
        <v>Estabilizando</v>
      </c>
      <c r="AN17" s="1" t="str">
        <f ca="1">IF(SUMIF(vendaAno[data],SituaçãoEstoqueFluxo[[#This Row],[data]],vendaAno[estoque])=0,"Algo errado",IF(AND(AX17/AW17&gt;0,AX17/AW17&lt;=1),"Alerta",IF(AND(AX17/AW17&gt;1,AX17/AW17&lt;=1.5),"Fazer pedido",IF(AND(AX17/AW17&gt;1.5,AX17/AW17&lt;=2),"Ok",IF(AND(AX17/AW17&gt;2,AX17/AW17&lt;=2.5),"Estabilizando",IF(AND(AX17/AW17&gt;2.5,AX17/AW17&lt;=3),"Cheio","Abaixar preço"))))))</f>
        <v>Abaixar preço</v>
      </c>
      <c r="AO17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7" s="116">
        <f t="shared" si="2"/>
        <v>46217</v>
      </c>
      <c r="AQ1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1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6.75</v>
      </c>
      <c r="AS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8.75</v>
      </c>
      <c r="AU1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7" s="82" cm="1">
        <f t="array" aca="1" ref="AV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22.928571428571431</v>
      </c>
      <c r="AW17" s="82" cm="1">
        <f t="array" aca="1" ref="AW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7" s="82">
        <f>SUM(FluxoEstoqueDateTime[[#This Row],[OVO BRANCO A]:[OVO BRANCO JUMBO]])</f>
        <v>32.833333333333329</v>
      </c>
    </row>
    <row r="18" spans="1:79" x14ac:dyDescent="0.25">
      <c r="A18" s="4" t="s">
        <v>20</v>
      </c>
      <c r="B18" s="55" t="s">
        <v>10</v>
      </c>
      <c r="C18" s="5">
        <v>12</v>
      </c>
      <c r="D18" s="56">
        <v>18</v>
      </c>
      <c r="E18" s="56">
        <v>210</v>
      </c>
      <c r="F18" s="157">
        <v>46232</v>
      </c>
      <c r="G18" s="4" t="s">
        <v>32</v>
      </c>
      <c r="H18" s="4" t="s">
        <v>149</v>
      </c>
      <c r="I18" s="153">
        <v>26.66</v>
      </c>
      <c r="J18" s="12">
        <v>0.1269609884770235</v>
      </c>
      <c r="K18" s="28">
        <f t="shared" ca="1" si="3"/>
        <v>46227</v>
      </c>
      <c r="L18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3</v>
      </c>
      <c r="M18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7</v>
      </c>
      <c r="N18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8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18</v>
      </c>
      <c r="P18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10</v>
      </c>
      <c r="Q18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8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8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8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8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8" t="s">
        <v>180</v>
      </c>
      <c r="W18" s="8">
        <f ca="1">1213.33/W17</f>
        <v>6.1367846820809255</v>
      </c>
      <c r="Z18" s="116">
        <f t="shared" si="0"/>
        <v>46216</v>
      </c>
      <c r="AA1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1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1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7.7142857142857144</v>
      </c>
      <c r="AF1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32.285714285714285</v>
      </c>
      <c r="AG1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38.833562995053178</v>
      </c>
      <c r="AH18" s="116">
        <f t="shared" si="1"/>
        <v>46216</v>
      </c>
      <c r="AI18" s="1" t="str" cm="1">
        <f t="array" ref="AI18">IFERROR(_xlfn.IFS(AQ18="","Sem Produto",AND(AQ18/(AA18/12)&gt;0,AQ18/(AA18/12)&lt;=2),"Acabando",AND(AQ18/(AA18/12)&gt;2,AQ18/(AA18/12)&lt;=3),"Fazer Pedido",AND(AQ18/(AA18/12)&gt;3,AQ18/(AA18/12)&lt;=7),"OK",AND(AQ18/(AA18/12)&gt;7,AQ18/(AA18/12)&lt;=14),"Abaixar Preço",AND(AQ18/(AA18/12)&gt;14,AQ18/(AA18/12)&lt;=20),"Estabilizando",AQ18/(AA18/12)&gt;20,"Instavel"),"Instavel")</f>
        <v>Abaixar Preço</v>
      </c>
      <c r="AJ18" s="1" t="str" cm="1">
        <f t="array" ref="AJ18">IFERROR(_xlfn.IFS(AR18="","Sem Produto",AND(AR18/(AB18/12)&gt;0,AR18/(AB18/12)&lt;=2),"Acabando",AND(AR18/(AB18/12)&gt;2,AR18/(AB18/12)&lt;=3),"Fazer Pedido",AND(AR18/(AB18/12)&gt;3,AR18/(AB18/12)&lt;=7),"OK",AND(AR18/(AB18/12)&gt;7,AR18/(AB18/12)&lt;=14),"Abaixar Preço",AND(AR18/(AB18/12)&gt;14,AR18/(AB18/12)&lt;=20),"Estabilizando",AR18/(AB18/12)&gt;20,"Instavel"),"Instavel")</f>
        <v>Estabilizando</v>
      </c>
      <c r="AK18" s="1" t="str" cm="1">
        <f t="array" ref="AK18">IFERROR(_xlfn.IFS(AS18="","Sem Produto",AND(AS18/(AC18/12)&gt;0,AS18/(AC18/12)&lt;=2),"Acabando",AND(AS18/(AC18/12)&gt;2,AS18/(AC18/12)&lt;=3),"Fazer Pedido",AND(AS18/(AC18/12)&gt;3,AS18/(AC18/12)&lt;=7),"OK",AND(AS18/(AC18/12)&gt;7,AS18/(AC18/12)&lt;=14),"Abaixar Preço",AND(AS18/(AC18/12)&gt;14,AS18/(AC18/12)&lt;=20),"Estabilizando",AS18/(AC18/12)&gt;20,"Instavel"),"Instavel")</f>
        <v>Sem Produto</v>
      </c>
      <c r="AL18" s="1" t="str" cm="1">
        <f t="array" ref="AL18">IFERROR(_xlfn.IFS(AT18="","Sem Produto",AND(AT18/(AD18/12)&gt;0,AT18/(AD18/12)&lt;=2),"Acabando",AND(AT18/(AD18/12)&gt;2,AT18/(AD18/12)&lt;=3),"Fazer Pedido",AND(AT18/(AD18/12)&gt;3,AT18/(AD18/12)&lt;=7),"OK",AND(AT18/(AD18/12)&gt;7,AT18/(AD18/12)&lt;=14),"Abaixar Preço",AND(AT18/(AD18/12)&gt;14,AT18/(AD18/12)&lt;=20),"Estabilizando",AT18/(AD18/12)&gt;20,"Instavel"),"Instavel")</f>
        <v>Abaixar Preço</v>
      </c>
      <c r="AM18" s="1" t="str" cm="1">
        <f t="array" ref="AM18">IFERROR(_xlfn.IFS(AU18="","Sem Produto",AND(AU18/(AE18/12)&gt;0,AU18/(AE18/12)&lt;=2),"Acabando",AND(AU18/(AE18/12)&gt;2,AU18/(AE18/12)&lt;=3),"Fazer Pedido",AND(AU18/(AE18/12)&gt;3,AU18/(AE18/12)&lt;=7),"OK",AND(AU18/(AE18/12)&gt;7,AU18/(AE18/12)&lt;=14),"Abaixar Preço",AND(AU18/(AE18/12)&gt;14,AU18/(AE18/12)&lt;=20),"Estabilizando",AU18/(AE18/12)&gt;20,"Instavel"),"Instavel")</f>
        <v>Abaixar Preço</v>
      </c>
      <c r="AN18" s="1" t="str">
        <f ca="1">IF(SUMIF(vendaAno[data],SituaçãoEstoqueFluxo[[#This Row],[data]],vendaAno[estoque])=0,"Algo errado",IF(AND(AX18/AW18&gt;0,AX18/AW18&lt;=1),"Alerta",IF(AND(AX18/AW18&gt;1,AX18/AW18&lt;=1.5),"Fazer pedido",IF(AND(AX18/AW18&gt;1.5,AX18/AW18&lt;=2),"Ok",IF(AND(AX18/AW18&gt;2,AX18/AW18&lt;=2.5),"Estabilizando",IF(AND(AX18/AW18&gt;2.5,AX18/AW18&lt;=3),"Cheio","Abaixar preço"))))))</f>
        <v>Abaixar preço</v>
      </c>
      <c r="AO18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18" s="116">
        <f t="shared" si="2"/>
        <v>46216</v>
      </c>
      <c r="AQ1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1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8" s="82" cm="1">
        <f t="array" aca="1" ref="AV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24.214285714285719</v>
      </c>
      <c r="AW18" s="82" cm="1">
        <f t="array" aca="1" ref="AW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8.0714285714285712</v>
      </c>
      <c r="AX18" s="82">
        <f>SUM(FluxoEstoqueDateTime[[#This Row],[OVO BRANCO A]:[OVO BRANCO JUMBO]])</f>
        <v>34.833333333333329</v>
      </c>
    </row>
    <row r="19" spans="1:79" x14ac:dyDescent="0.25">
      <c r="A19" s="4" t="s">
        <v>20</v>
      </c>
      <c r="B19" s="55" t="s">
        <v>14</v>
      </c>
      <c r="C19" s="5">
        <v>3</v>
      </c>
      <c r="D19" s="56">
        <v>23</v>
      </c>
      <c r="E19" s="56">
        <v>69</v>
      </c>
      <c r="F19" s="157">
        <v>46231</v>
      </c>
      <c r="G19" s="4" t="s">
        <v>290</v>
      </c>
      <c r="H19" s="4" t="s">
        <v>149</v>
      </c>
      <c r="I19" s="153">
        <v>19.48</v>
      </c>
      <c r="J19" s="12">
        <v>0.28236930641821956</v>
      </c>
      <c r="K19" s="28">
        <f t="shared" ca="1" si="3"/>
        <v>46226</v>
      </c>
      <c r="L19" s="82">
        <f ca="1">IF(SUMIFS(estoque[quantidade],estoque[fornecedor],"&lt;&gt;saída",estoque[produto],$A$2)-SUMIFS(estoque[quantidade],estoque[fornecedor],"saída",estoque[produto],$A$2)=0,"",IF(SUMIFS(estoque[quantidade],estoque[fornecedor],"saída",estoque[produto],$A$2,estoque[data],Tabela42[[#This Row],[data]])=0,SUMIFS(estoque[quantidade],estoque[fornecedor],"saída",estoque[produto],$A$2,estoque[data],"&lt;="&amp;Tabela42[[#This Row],[data]],estoque[data],"&gt;="&amp;Tabela42[[#This Row],[data]]-7)/7,SUMIFS(estoque[quantidade],estoque[fornecedor],"saída",estoque[produto],$A$2,estoque[data],Tabela42[[#This Row],[data]])))</f>
        <v>4</v>
      </c>
      <c r="M19" s="82">
        <f ca="1">IF(SUMIFS(estoque[quantidade],estoque[fornecedor],"&lt;&gt;saída",estoque[produto],$A$3)-SUMIFS(estoque[quantidade],estoque[fornecedor],"saída",estoque[produto],$A$3)=0,"",IF(SUMIFS(estoque[quantidade],estoque[fornecedor],"saída",estoque[produto],$A$3,estoque[data],Tabela42[[#This Row],[data]])=0,SUMIFS(estoque[quantidade],estoque[fornecedor],"saída",estoque[produto],$A$3,estoque[data],"&lt;="&amp;Tabela42[[#This Row],[data]],estoque[data],"&gt;="&amp;Tabela42[[#This Row],[data]]-7)/7,SUMIFS(estoque[quantidade],estoque[fornecedor],"saída",estoque[produto],$A$3,estoque[data],Tabela42[[#This Row],[data]])))</f>
        <v>4</v>
      </c>
      <c r="N19" s="82">
        <f ca="1">IF(SUMIFS(estoque[quantidade],estoque[fornecedor],"&lt;&gt;saída",estoque[produto],$A$4)-SUMIFS(estoque[quantidade],estoque[fornecedor],"saída",estoque[produto],$A$4)=0,"",IF(SUMIFS(estoque[quantidade],estoque[fornecedor],"saída",estoque[produto],$A$4,estoque[data],Tabela42[[#This Row],[data]])=0,SUMIFS(estoque[quantidade],estoque[fornecedor],"saída",estoque[produto],$A$4,estoque[data],"&lt;="&amp;Tabela42[[#This Row],[data]],estoque[data],"&gt;="&amp;Tabela42[[#This Row],[data]]-7)/7,SUMIFS(estoque[quantidade],estoque[fornecedor],"saída",estoque[produto],$A$4,estoque[data],Tabela42[[#This Row],[data]])))</f>
        <v>0</v>
      </c>
      <c r="O19" s="82">
        <f ca="1">IF(SUMIFS(estoque[quantidade],estoque[fornecedor],"&lt;&gt;saída",estoque[produto],$A$5)-SUMIFS(estoque[quantidade],estoque[fornecedor],"saída",estoque[produto],$A$5)=0,"",IF(SUMIFS(estoque[quantidade],estoque[fornecedor],"saída",estoque[produto],$A$5,estoque[data],Tabela42[[#This Row],[data]])=0,SUMIFS(estoque[quantidade],estoque[fornecedor],"saída",estoque[produto],$A$5,estoque[data],"&lt;="&amp;Tabela42[[#This Row],[data]],estoque[data],"&gt;="&amp;Tabela42[[#This Row],[data]]-7)/7,SUMIFS(estoque[quantidade],estoque[fornecedor],"saída",estoque[produto],$A$5,estoque[data],Tabela42[[#This Row],[data]])))</f>
        <v>8</v>
      </c>
      <c r="P19" s="82">
        <f ca="1">IF(SUMIFS(estoque[quantidade],estoque[fornecedor],"&lt;&gt;saída",estoque[produto],$A$6)-SUMIFS(estoque[quantidade],estoque[fornecedor],"saída",estoque[produto],$A$6)=0,"",IF(SUMIFS(estoque[quantidade],estoque[fornecedor],"saída",estoque[produto],$A$6,estoque[data],Tabela42[[#This Row],[data]])=0,SUMIFS(estoque[quantidade],estoque[fornecedor],"saída",estoque[produto],$A$6,estoque[data],"&lt;="&amp;Tabela42[[#This Row],[data]],estoque[data],"&gt;="&amp;Tabela42[[#This Row],[data]]-7)/7,SUMIFS(estoque[quantidade],estoque[fornecedor],"saída",estoque[produto],$A$6,estoque[data],Tabela42[[#This Row],[data]])))</f>
        <v>4</v>
      </c>
      <c r="Q19" s="82" t="str">
        <f>IF(SUMIFS(estoque[quantidade],estoque[fornecedor],"&lt;&gt;saída",estoque[produto],$A$7)-SUMIFS(estoque[quantidade],estoque[fornecedor],"saída",estoque[produto],$A$7)=0,"",IF(SUMIFS(estoque[quantidade],estoque[fornecedor],"saída",estoque[produto],$A$7,estoque[data],Tabela42[[#This Row],[data]])=0,SUMIFS(estoque[quantidade],estoque[fornecedor],"saída",estoque[produto],$A$7,estoque[data],"&lt;="&amp;Tabela42[[#This Row],[data]],estoque[data],"&gt;="&amp;Tabela42[[#This Row],[data]]-7)/7,SUMIFS(estoque[quantidade],estoque[fornecedor],"saída",estoque[produto],$A$7,estoque[data],Tabela42[[#This Row],[data]])))</f>
        <v/>
      </c>
      <c r="R19" s="82" t="str">
        <f>IF(SUMIFS(estoque[quantidade],estoque[fornecedor],"&lt;&gt;saída",estoque[produto],$A$8)-SUMIFS(estoque[quantidade],estoque[fornecedor],"saída",estoque[produto],$A$8)=0,"",IF(SUMIFS(estoque[quantidade],estoque[fornecedor],"saída",estoque[produto],$A$8,estoque[data],Tabela42[[#This Row],[data]])=0,SUMIFS(estoque[quantidade],estoque[fornecedor],"saída",estoque[produto],$A$8,estoque[data],"&lt;="&amp;Tabela42[[#This Row],[data]],estoque[data],"&gt;="&amp;Tabela42[[#This Row],[data]]-7)/7,SUMIFS(estoque[quantidade],estoque[fornecedor],"saída",estoque[produto],$A$8,estoque[data],Tabela42[[#This Row],[data]])))</f>
        <v/>
      </c>
      <c r="S19" s="82" t="str">
        <f>IF(SUMIFS(estoque[quantidade],estoque[fornecedor],"&lt;&gt;saída",estoque[produto],$A$9)-SUMIFS(estoque[quantidade],estoque[fornecedor],"saída",estoque[produto],$A$9)=0,"",IF(SUMIFS(estoque[quantidade],estoque[fornecedor],"saída",estoque[produto],$A$9,estoque[data],Tabela42[[#This Row],[data]])=0,SUMIFS(estoque[quantidade],estoque[fornecedor],"saída",estoque[produto],$A$9,estoque[data],"&lt;="&amp;Tabela42[[#This Row],[data]],estoque[data],"&gt;="&amp;Tabela42[[#This Row],[data]]-7)/7,SUMIFS(estoque[quantidade],estoque[fornecedor],"saída",estoque[produto],$A$9,estoque[data],Tabela42[[#This Row],[data]])))</f>
        <v/>
      </c>
      <c r="T19" s="82" t="str">
        <f>IF(SUMIFS(estoque[quantidade],estoque[fornecedor],"&lt;&gt;saída",estoque[produto],$A$10)-SUMIFS(estoque[quantidade],estoque[fornecedor],"saída",estoque[produto],$A$10)=0,"",IF(SUMIFS(estoque[quantidade],estoque[fornecedor],"saída",estoque[produto],$A$10,estoque[data],Tabela42[[#This Row],[data]])=0,SUMIFS(estoque[quantidade],estoque[fornecedor],"saída",estoque[produto],$A$10,estoque[data],"&lt;="&amp;Tabela42[[#This Row],[data]],estoque[data],"&gt;="&amp;Tabela42[[#This Row],[data]]-7)/7,SUMIFS(estoque[quantidade],estoque[fornecedor],"saída",estoque[produto],$A$10,estoque[data],Tabela42[[#This Row],[data]])))</f>
        <v/>
      </c>
      <c r="U19" s="82" t="str">
        <f>IF(SUMIFS(estoque[quantidade],estoque[fornecedor],"&lt;&gt;saída",estoque[produto],$A$11)-SUMIFS(estoque[quantidade],estoque[fornecedor],"saída",estoque[produto],$A$11)=0,"",IF(SUMIFS(estoque[quantidade],estoque[fornecedor],"saída",estoque[produto],$A$11,estoque[data],Tabela42[[#This Row],[data]])=0,SUMIFS(estoque[quantidade],estoque[fornecedor],"saída",estoque[produto],$A$11,estoque[data],"&lt;="&amp;Tabela42[[#This Row],[data]],estoque[data],"&gt;="&amp;Tabela42[[#This Row],[data]]-7)/7,SUMIFS(estoque[quantidade],estoque[fornecedor],"saída",estoque[produto],$A$11,estoque[data],Tabela42[[#This Row],[data]])))</f>
        <v/>
      </c>
      <c r="V19" s="7" t="s">
        <v>211</v>
      </c>
      <c r="W19" s="9">
        <f ca="1">W17*W20</f>
        <v>777.76657044815545</v>
      </c>
      <c r="Z19" s="116">
        <f t="shared" si="0"/>
        <v>46215</v>
      </c>
      <c r="AA1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1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30.285714285714285</v>
      </c>
      <c r="AG1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37.681593978485793</v>
      </c>
      <c r="AH19" s="116">
        <f t="shared" si="1"/>
        <v>46215</v>
      </c>
      <c r="AI19" s="1" t="str" cm="1">
        <f t="array" ref="AI19">IFERROR(_xlfn.IFS(AQ19="","Sem Produto",AND(AQ19/(AA19/12)&gt;0,AQ19/(AA19/12)&lt;=2),"Acabando",AND(AQ19/(AA19/12)&gt;2,AQ19/(AA19/12)&lt;=3),"Fazer Pedido",AND(AQ19/(AA19/12)&gt;3,AQ19/(AA19/12)&lt;=7),"OK",AND(AQ19/(AA19/12)&gt;7,AQ19/(AA19/12)&lt;=14),"Abaixar Preço",AND(AQ19/(AA19/12)&gt;14,AQ19/(AA19/12)&lt;=20),"Estabilizando",AQ19/(AA19/12)&gt;20,"Instavel"),"Instavel")</f>
        <v>Estabilizando</v>
      </c>
      <c r="AJ19" s="1" t="str" cm="1">
        <f t="array" ref="AJ19">IFERROR(_xlfn.IFS(AR19="","Sem Produto",AND(AR19/(AB19/12)&gt;0,AR19/(AB19/12)&lt;=2),"Acabando",AND(AR19/(AB19/12)&gt;2,AR19/(AB19/12)&lt;=3),"Fazer Pedido",AND(AR19/(AB19/12)&gt;3,AR19/(AB19/12)&lt;=7),"OK",AND(AR19/(AB19/12)&gt;7,AR19/(AB19/12)&lt;=14),"Abaixar Preço",AND(AR19/(AB19/12)&gt;14,AR19/(AB19/12)&lt;=20),"Estabilizando",AR19/(AB19/12)&gt;20,"Instavel"),"Instavel")</f>
        <v>Instavel</v>
      </c>
      <c r="AK19" s="1" t="str" cm="1">
        <f t="array" ref="AK19">IFERROR(_xlfn.IFS(AS19="","Sem Produto",AND(AS19/(AC19/12)&gt;0,AS19/(AC19/12)&lt;=2),"Acabando",AND(AS19/(AC19/12)&gt;2,AS19/(AC19/12)&lt;=3),"Fazer Pedido",AND(AS19/(AC19/12)&gt;3,AS19/(AC19/12)&lt;=7),"OK",AND(AS19/(AC19/12)&gt;7,AS19/(AC19/12)&lt;=14),"Abaixar Preço",AND(AS19/(AC19/12)&gt;14,AS19/(AC19/12)&lt;=20),"Estabilizando",AS19/(AC19/12)&gt;20,"Instavel"),"Instavel")</f>
        <v>Sem Produto</v>
      </c>
      <c r="AL19" s="1" t="str" cm="1">
        <f t="array" ref="AL19">IFERROR(_xlfn.IFS(AT19="","Sem Produto",AND(AT19/(AD19/12)&gt;0,AT19/(AD19/12)&lt;=2),"Acabando",AND(AT19/(AD19/12)&gt;2,AT19/(AD19/12)&lt;=3),"Fazer Pedido",AND(AT19/(AD19/12)&gt;3,AT19/(AD19/12)&lt;=7),"OK",AND(AT19/(AD19/12)&gt;7,AT19/(AD19/12)&lt;=14),"Abaixar Preço",AND(AT19/(AD19/12)&gt;14,AT19/(AD19/12)&lt;=20),"Estabilizando",AT19/(AD19/12)&gt;20,"Instavel"),"Instavel")</f>
        <v>Abaixar Preço</v>
      </c>
      <c r="AM19" s="1" t="str" cm="1">
        <f t="array" ref="AM19">IFERROR(_xlfn.IFS(AU19="","Sem Produto",AND(AU19/(AE19/12)&gt;0,AU19/(AE19/12)&lt;=2),"Acabando",AND(AU19/(AE19/12)&gt;2,AU19/(AE19/12)&lt;=3),"Fazer Pedido",AND(AU19/(AE19/12)&gt;3,AU19/(AE19/12)&lt;=7),"OK",AND(AU19/(AE19/12)&gt;7,AU19/(AE19/12)&lt;=14),"Abaixar Preço",AND(AU19/(AE19/12)&gt;14,AU19/(AE19/12)&lt;=20),"Estabilizando",AU19/(AE19/12)&gt;20,"Instavel"),"Instavel")</f>
        <v>Abaixar Preço</v>
      </c>
      <c r="AN19" s="1" t="str">
        <f ca="1">IF(SUMIF(vendaAno[data],SituaçãoEstoqueFluxo[[#This Row],[data]],vendaAno[estoque])=0,"Algo errado",IF(AND(AX19/AW19&gt;0,AX19/AW19&lt;=1),"Alerta",IF(AND(AX19/AW19&gt;1,AX19/AW19&lt;=1.5),"Fazer pedido",IF(AND(AX19/AW19&gt;1.5,AX19/AW19&lt;=2),"Ok",IF(AND(AX19/AW19&gt;2,AX19/AW19&lt;=2.5),"Estabilizando",IF(AND(AX19/AW19&gt;2.5,AX19/AW19&lt;=3),"Cheio","Abaixar preço"))))))</f>
        <v>Abaixar preço</v>
      </c>
      <c r="AO19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19" s="116">
        <f t="shared" si="2"/>
        <v>46215</v>
      </c>
      <c r="AQ1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10.5</v>
      </c>
      <c r="AR1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</v>
      </c>
      <c r="AU1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19" s="82" cm="1">
        <f t="array" aca="1" ref="AV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22.714285714285712</v>
      </c>
      <c r="AW19" s="82" cm="1">
        <f t="array" aca="1" ref="AW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7.5714285714285721</v>
      </c>
      <c r="AX19" s="82">
        <f>SUM(FluxoEstoqueDateTime[[#This Row],[OVO BRANCO A]:[OVO BRANCO JUMBO]])</f>
        <v>38.166666666666664</v>
      </c>
    </row>
    <row r="20" spans="1:79" x14ac:dyDescent="0.25">
      <c r="A20" s="4" t="s">
        <v>20</v>
      </c>
      <c r="B20" s="55" t="s">
        <v>13</v>
      </c>
      <c r="C20" s="5">
        <v>3</v>
      </c>
      <c r="D20" s="56">
        <v>22</v>
      </c>
      <c r="E20" s="56">
        <v>66</v>
      </c>
      <c r="F20" s="157">
        <v>46231</v>
      </c>
      <c r="G20" s="4" t="s">
        <v>290</v>
      </c>
      <c r="H20" s="4" t="s">
        <v>149</v>
      </c>
      <c r="I20" s="153">
        <v>18.82</v>
      </c>
      <c r="J20" s="12">
        <v>0.28520734542387932</v>
      </c>
      <c r="K20" s="72" t="s">
        <v>227</v>
      </c>
      <c r="L20" s="72" t="s">
        <v>22</v>
      </c>
      <c r="M20" s="72" t="s">
        <v>102</v>
      </c>
      <c r="N20" s="72" t="s">
        <v>169</v>
      </c>
      <c r="O20" s="72" t="s">
        <v>170</v>
      </c>
      <c r="P20" s="72" t="s">
        <v>7</v>
      </c>
      <c r="Q20" s="73" t="s">
        <v>171</v>
      </c>
      <c r="R20" s="72" t="s">
        <v>172</v>
      </c>
      <c r="S20" s="72" t="s">
        <v>173</v>
      </c>
      <c r="T20" s="72" t="s">
        <v>174</v>
      </c>
      <c r="U20" s="72" t="s">
        <v>175</v>
      </c>
      <c r="V20" s="82" t="s">
        <v>220</v>
      </c>
      <c r="W20" s="7">
        <f ca="1">SUM(EstatisSemana[[lucro va]:[lucro ata]])/SUM(EstatisSemana[[varejo]:[atacado]])</f>
        <v>3.9337904574689948</v>
      </c>
      <c r="Z20" s="116">
        <f t="shared" si="0"/>
        <v>46214</v>
      </c>
      <c r="AA2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5.4285714285714288</v>
      </c>
      <c r="AB2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2.2857142857142856</v>
      </c>
      <c r="AC2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2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2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2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2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37.455293673098268</v>
      </c>
      <c r="AH20" s="116">
        <f t="shared" si="1"/>
        <v>46214</v>
      </c>
      <c r="AI20" s="1" t="str" cm="1">
        <f t="array" ref="AI20">IFERROR(_xlfn.IFS(AQ20="","Sem Produto",AND(AQ20/(AA20/12)&gt;0,AQ20/(AA20/12)&lt;=2),"Acabando",AND(AQ20/(AA20/12)&gt;2,AQ20/(AA20/12)&lt;=3),"Fazer Pedido",AND(AQ20/(AA20/12)&gt;3,AQ20/(AA20/12)&lt;=7),"OK",AND(AQ20/(AA20/12)&gt;7,AQ20/(AA20/12)&lt;=14),"Abaixar Preço",AND(AQ20/(AA20/12)&gt;14,AQ20/(AA20/12)&lt;=20),"Estabilizando",AQ20/(AA20/12)&gt;20,"Instavel"),"Instavel")</f>
        <v>Instavel</v>
      </c>
      <c r="AJ20" s="1" t="str" cm="1">
        <f t="array" ref="AJ20">IFERROR(_xlfn.IFS(AR20="","Sem Produto",AND(AR20/(AB20/12)&gt;0,AR20/(AB20/12)&lt;=2),"Acabando",AND(AR20/(AB20/12)&gt;2,AR20/(AB20/12)&lt;=3),"Fazer Pedido",AND(AR20/(AB20/12)&gt;3,AR20/(AB20/12)&lt;=7),"OK",AND(AR20/(AB20/12)&gt;7,AR20/(AB20/12)&lt;=14),"Abaixar Preço",AND(AR20/(AB20/12)&gt;14,AR20/(AB20/12)&lt;=20),"Estabilizando",AR20/(AB20/12)&gt;20,"Instavel"),"Instavel")</f>
        <v>Instavel</v>
      </c>
      <c r="AK20" s="1" t="str" cm="1">
        <f t="array" ref="AK20">IFERROR(_xlfn.IFS(AS20="","Sem Produto",AND(AS20/(AC20/12)&gt;0,AS20/(AC20/12)&lt;=2),"Acabando",AND(AS20/(AC20/12)&gt;2,AS20/(AC20/12)&lt;=3),"Fazer Pedido",AND(AS20/(AC20/12)&gt;3,AS20/(AC20/12)&lt;=7),"OK",AND(AS20/(AC20/12)&gt;7,AS20/(AC20/12)&lt;=14),"Abaixar Preço",AND(AS20/(AC20/12)&gt;14,AS20/(AC20/12)&lt;=20),"Estabilizando",AS20/(AC20/12)&gt;20,"Instavel"),"Instavel")</f>
        <v>Sem Produto</v>
      </c>
      <c r="AL20" s="1" t="str" cm="1">
        <f t="array" ref="AL20">IFERROR(_xlfn.IFS(AT20="","Sem Produto",AND(AT20/(AD20/12)&gt;0,AT20/(AD20/12)&lt;=2),"Acabando",AND(AT20/(AD20/12)&gt;2,AT20/(AD20/12)&lt;=3),"Fazer Pedido",AND(AT20/(AD20/12)&gt;3,AT20/(AD20/12)&lt;=7),"OK",AND(AT20/(AD20/12)&gt;7,AT20/(AD20/12)&lt;=14),"Abaixar Preço",AND(AT20/(AD20/12)&gt;14,AT20/(AD20/12)&lt;=20),"Estabilizando",AT20/(AD20/12)&gt;20,"Instavel"),"Instavel")</f>
        <v>Abaixar Preço</v>
      </c>
      <c r="AM20" s="1" t="str" cm="1">
        <f t="array" ref="AM20">IFERROR(_xlfn.IFS(AU20="","Sem Produto",AND(AU20/(AE20/12)&gt;0,AU20/(AE20/12)&lt;=2),"Acabando",AND(AU20/(AE20/12)&gt;2,AU20/(AE20/12)&lt;=3),"Fazer Pedido",AND(AU20/(AE20/12)&gt;3,AU20/(AE20/12)&lt;=7),"OK",AND(AU20/(AE20/12)&gt;7,AU20/(AE20/12)&lt;=14),"Abaixar Preço",AND(AU20/(AE20/12)&gt;14,AU20/(AE20/12)&lt;=20),"Estabilizando",AU20/(AE20/12)&gt;20,"Instavel"),"Instavel")</f>
        <v>Estabilizando</v>
      </c>
      <c r="AN20" s="1" t="str">
        <f ca="1">IF(SUMIF(vendaAno[data],SituaçãoEstoqueFluxo[[#This Row],[data]],vendaAno[estoque])=0,"Algo errado",IF(AND(AX20/AW20&gt;0,AX20/AW20&lt;=1),"Alerta",IF(AND(AX20/AW20&gt;1,AX20/AW20&lt;=1.5),"Fazer pedido",IF(AND(AX20/AW20&gt;1.5,AX20/AW20&lt;=2),"Ok",IF(AND(AX20/AW20&gt;2,AX20/AW20&lt;=2.5),"Estabilizando",IF(AND(AX20/AW20&gt;2.5,AX20/AW20&lt;=3),"Cheio","Abaixar preço"))))))</f>
        <v>Abaixar preço</v>
      </c>
      <c r="AO20" s="82">
        <f>SUMIFS(estoque[quantidade],estoque[fornecedor],"&lt;&gt;saída",estoque[data],SituaçãoEstoqueFluxo[[#This Row],[data]])-SUMIFS(estoque[quantidade],estoque[fornecedor],"saída",estoque[data],SituaçãoEstoqueFluxo[[#This Row],[data]])</f>
        <v>335</v>
      </c>
      <c r="AP20" s="116">
        <f t="shared" si="2"/>
        <v>46214</v>
      </c>
      <c r="AQ2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11.666666666666666</v>
      </c>
      <c r="AR2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9.25</v>
      </c>
      <c r="AS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11.666666666666666</v>
      </c>
      <c r="AU2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9.5833333333333339</v>
      </c>
      <c r="AV20" s="82" cm="1">
        <f t="array" aca="1" ref="AV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20" s="82" cm="1">
        <f t="array" aca="1" ref="AW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20" s="82">
        <f>SUM(FluxoEstoqueDateTime[[#This Row],[OVO BRANCO A]:[OVO BRANCO JUMBO]])</f>
        <v>42.166666666666664</v>
      </c>
    </row>
    <row r="21" spans="1:79" x14ac:dyDescent="0.25">
      <c r="A21" s="4" t="s">
        <v>20</v>
      </c>
      <c r="B21" s="55" t="s">
        <v>10</v>
      </c>
      <c r="C21" s="5">
        <v>9</v>
      </c>
      <c r="D21" s="56">
        <v>18</v>
      </c>
      <c r="E21" s="56">
        <v>162</v>
      </c>
      <c r="F21" s="157">
        <v>46231</v>
      </c>
      <c r="G21" s="4" t="s">
        <v>290</v>
      </c>
      <c r="H21" s="4" t="s">
        <v>149</v>
      </c>
      <c r="I21" s="153">
        <v>24.5</v>
      </c>
      <c r="J21" s="12">
        <v>0.15121207213043952</v>
      </c>
      <c r="K21" s="118" t="s">
        <v>10</v>
      </c>
      <c r="L21" s="74" cm="1">
        <f t="array" aca="1" ref="L21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3.5</v>
      </c>
      <c r="M21" s="74" cm="1">
        <f t="array" aca="1" ref="M21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20.666666666666668</v>
      </c>
      <c r="N21" s="8" cm="1">
        <f t="array" aca="1" ref="N21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3650</v>
      </c>
      <c r="O21" s="8" cm="1">
        <f t="array" aca="1" ref="O21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4611</v>
      </c>
      <c r="P21" s="8" cm="1">
        <f t="array" aca="1" ref="P21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820.09999999999991</v>
      </c>
      <c r="Q21" s="10">
        <f ca="1">IF(IFERROR(EstatisMês[[#This Row],[lucro]]/EstatisMês[[#This Row],[valor venda]],0)=0,"",IFERROR(EstatisMês[[#This Row],[lucro]]/EstatisMês[[#This Row],[valor venda]],0))</f>
        <v>0.1778572977662112</v>
      </c>
      <c r="R21" s="10">
        <f ca="1">IFERROR(EstatisMês[[#This Row],[lucro]]/SUM(EstatisMês[lucro]),"")</f>
        <v>0.2111841868082629</v>
      </c>
      <c r="S21" s="10">
        <f ca="1">IFERROR(EstatisMês[[#This Row],[valor venda]]/SUM(EstatisMês[valor venda]),"")</f>
        <v>0.25559866962305988</v>
      </c>
      <c r="T21" s="10">
        <f ca="1">IFERROR((EstatisMês[[#This Row],[venda]]-EstatisMês[[#This Row],[atacado]])/(SUM(EstatisMês[venda])-SUM(EstatisMês[atacado])),"")</f>
        <v>0.25558312655086851</v>
      </c>
      <c r="U21" s="10">
        <f ca="1">IFERROR(EstatisMês[[#This Row],[atacado]]/SUM(EstatisMês[atacado]),"")</f>
        <v>0.3888888888888889</v>
      </c>
      <c r="V21" t="s">
        <v>217</v>
      </c>
      <c r="W21" s="82">
        <f ca="1">173.33/W20</f>
        <v>44.061828374946217</v>
      </c>
      <c r="Z21" s="116">
        <f t="shared" si="0"/>
        <v>46213</v>
      </c>
      <c r="AA2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2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2.7142857142857144</v>
      </c>
      <c r="AC2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2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11.285714285714286</v>
      </c>
      <c r="AE2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2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2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39.658745926157415</v>
      </c>
      <c r="AH21" s="116">
        <f t="shared" si="1"/>
        <v>46213</v>
      </c>
      <c r="AI21" s="1" t="str" cm="1">
        <f t="array" ref="AI21">IFERROR(_xlfn.IFS(AQ21="","Sem Produto",AND(AQ21/(AA21/12)&gt;0,AQ21/(AA21/12)&lt;=2),"Acabando",AND(AQ21/(AA21/12)&gt;2,AQ21/(AA21/12)&lt;=3),"Fazer Pedido",AND(AQ21/(AA21/12)&gt;3,AQ21/(AA21/12)&lt;=7),"OK",AND(AQ21/(AA21/12)&gt;7,AQ21/(AA21/12)&lt;=14),"Abaixar Preço",AND(AQ21/(AA21/12)&gt;14,AQ21/(AA21/12)&lt;=20),"Estabilizando",AQ21/(AA21/12)&gt;20,"Instavel"),"Instavel")</f>
        <v>Fazer Pedido</v>
      </c>
      <c r="AJ21" s="1" t="str" cm="1">
        <f t="array" ref="AJ21">IFERROR(_xlfn.IFS(AR21="","Sem Produto",AND(AR21/(AB21/12)&gt;0,AR21/(AB21/12)&lt;=2),"Acabando",AND(AR21/(AB21/12)&gt;2,AR21/(AB21/12)&lt;=3),"Fazer Pedido",AND(AR21/(AB21/12)&gt;3,AR21/(AB21/12)&lt;=7),"OK",AND(AR21/(AB21/12)&gt;7,AR21/(AB21/12)&lt;=14),"Abaixar Preço",AND(AR21/(AB21/12)&gt;14,AR21/(AB21/12)&lt;=20),"Estabilizando",AR21/(AB21/12)&gt;20,"Instavel"),"Instavel")</f>
        <v>Estabilizando</v>
      </c>
      <c r="AK21" s="1" t="str" cm="1">
        <f t="array" ref="AK21">IFERROR(_xlfn.IFS(AS21="","Sem Produto",AND(AS21/(AC21/12)&gt;0,AS21/(AC21/12)&lt;=2),"Acabando",AND(AS21/(AC21/12)&gt;2,AS21/(AC21/12)&lt;=3),"Fazer Pedido",AND(AS21/(AC21/12)&gt;3,AS21/(AC21/12)&lt;=7),"OK",AND(AS21/(AC21/12)&gt;7,AS21/(AC21/12)&lt;=14),"Abaixar Preço",AND(AS21/(AC21/12)&gt;14,AS21/(AC21/12)&lt;=20),"Estabilizando",AS21/(AC21/12)&gt;20,"Instavel"),"Instavel")</f>
        <v>Sem Produto</v>
      </c>
      <c r="AL21" s="1" t="str" cm="1">
        <f t="array" ref="AL21">IFERROR(_xlfn.IFS(AT21="","Sem Produto",AND(AT21/(AD21/12)&gt;0,AT21/(AD21/12)&lt;=2),"Acabando",AND(AT21/(AD21/12)&gt;2,AT21/(AD21/12)&lt;=3),"Fazer Pedido",AND(AT21/(AD21/12)&gt;3,AT21/(AD21/12)&lt;=7),"OK",AND(AT21/(AD21/12)&gt;7,AT21/(AD21/12)&lt;=14),"Abaixar Preço",AND(AT21/(AD21/12)&gt;14,AT21/(AD21/12)&lt;=20),"Estabilizando",AT21/(AD21/12)&gt;20,"Instavel"),"Instavel")</f>
        <v>Fazer Pedido</v>
      </c>
      <c r="AM21" s="1" t="str" cm="1">
        <f t="array" ref="AM21">IFERROR(_xlfn.IFS(AU21="","Sem Produto",AND(AU21/(AE21/12)&gt;0,AU21/(AE21/12)&lt;=2),"Acabando",AND(AU21/(AE21/12)&gt;2,AU21/(AE21/12)&lt;=3),"Fazer Pedido",AND(AU21/(AE21/12)&gt;3,AU21/(AE21/12)&lt;=7),"OK",AND(AU21/(AE21/12)&gt;7,AU21/(AE21/12)&lt;=14),"Abaixar Preço",AND(AU21/(AE21/12)&gt;14,AU21/(AE21/12)&lt;=20),"Estabilizando",AU21/(AE21/12)&gt;20,"Instavel"),"Instavel")</f>
        <v>Abaixar Preço</v>
      </c>
      <c r="AN21" s="1" t="str">
        <f ca="1">IF(SUMIF(vendaAno[data],SituaçãoEstoqueFluxo[[#This Row],[data]],vendaAno[estoque])=0,"Algo errado",IF(AND(AX21/AW21&gt;0,AX21/AW21&lt;=1),"Alerta",IF(AND(AX21/AW21&gt;1,AX21/AW21&lt;=1.5),"Fazer pedido",IF(AND(AX21/AW21&gt;1.5,AX21/AW21&lt;=2),"Ok",IF(AND(AX21/AW21&gt;2,AX21/AW21&lt;=2.5),"Estabilizando",IF(AND(AX21/AW21&gt;2.5,AX21/AW21&lt;=3),"Cheio","Abaixar preço"))))))</f>
        <v>Ok</v>
      </c>
      <c r="AO21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21" s="116">
        <f t="shared" si="2"/>
        <v>46213</v>
      </c>
      <c r="AQ2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2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2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2.5833333333333335</v>
      </c>
      <c r="AU2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21" s="82" cm="1">
        <f t="array" aca="1" ref="AV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21.964285714285712</v>
      </c>
      <c r="AW21" s="82" cm="1">
        <f t="array" aca="1" ref="AW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21" s="82">
        <f>SUM(FluxoEstoqueDateTime[[#This Row],[OVO BRANCO A]:[OVO BRANCO JUMBO]])</f>
        <v>14.25</v>
      </c>
    </row>
    <row r="22" spans="1:79" x14ac:dyDescent="0.25">
      <c r="A22" s="4" t="s">
        <v>20</v>
      </c>
      <c r="B22" s="55" t="s">
        <v>14</v>
      </c>
      <c r="C22" s="5">
        <v>3</v>
      </c>
      <c r="D22" s="56">
        <v>23</v>
      </c>
      <c r="E22" s="56">
        <v>69</v>
      </c>
      <c r="F22" s="157">
        <v>46230</v>
      </c>
      <c r="G22" s="4" t="s">
        <v>291</v>
      </c>
      <c r="H22" s="4" t="s">
        <v>149</v>
      </c>
      <c r="I22" s="153">
        <v>19.48</v>
      </c>
      <c r="J22" s="12">
        <v>0.28236930641821956</v>
      </c>
      <c r="K22" s="118" t="s">
        <v>11</v>
      </c>
      <c r="L22" s="74" cm="1">
        <f t="array" aca="1" ref="L22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2.5</v>
      </c>
      <c r="M22" s="74" cm="1">
        <f t="array" aca="1" ref="M22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13</v>
      </c>
      <c r="N22" s="9" cm="1">
        <f t="array" aca="1" ref="N22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875</v>
      </c>
      <c r="O22" s="8" cm="1">
        <f t="array" aca="1" ref="O22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2733</v>
      </c>
      <c r="P22" s="8" cm="1">
        <f t="array" aca="1" ref="P22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457.78000000000014</v>
      </c>
      <c r="Q22" s="10">
        <f ca="1">IF(IFERROR(EstatisMês[[#This Row],[lucro]]/EstatisMês[[#This Row],[valor venda]],0)=0,"",IFERROR(EstatisMês[[#This Row],[lucro]]/EstatisMês[[#This Row],[valor venda]],0))</f>
        <v>0.16750091474570075</v>
      </c>
      <c r="R22" s="10">
        <f ca="1">IFERROR(EstatisMês[[#This Row],[lucro]]/SUM(EstatisMês[lucro]),"")</f>
        <v>0.11788305942822416</v>
      </c>
      <c r="S22" s="10">
        <f ca="1">IFERROR(EstatisMês[[#This Row],[valor venda]]/SUM(EstatisMês[valor venda]),"")</f>
        <v>0.15149667405764966</v>
      </c>
      <c r="T22" s="10">
        <f ca="1">IFERROR((EstatisMês[[#This Row],[venda]]-EstatisMês[[#This Row],[atacado]])/(SUM(EstatisMês[venda])-SUM(EstatisMês[atacado])),"")</f>
        <v>0.15632754342431759</v>
      </c>
      <c r="U22" s="10">
        <f ca="1">IFERROR(EstatisMês[[#This Row],[atacado]]/SUM(EstatisMês[atacado]),"")</f>
        <v>0.27777777777777779</v>
      </c>
      <c r="V22" s="107" t="s">
        <v>222</v>
      </c>
      <c r="W22" s="8" cm="1">
        <f t="array" aca="1" ref="W22" ca="1">AVERAGEIFS(vendaAno[valor de venda],vendaAno[data],"&lt;="&amp;IF(registroEstoque[data]&gt;TODAY(),TODAY(),registroEstoque[data]),vendaAno[data],"&gt;="&amp;IF(registroEstoque[data]&gt;TODAY(),TODAY(),registroEstoque[data])-6)</f>
        <v>498.14285714285717</v>
      </c>
      <c r="Z22" s="116">
        <f t="shared" si="0"/>
        <v>46212</v>
      </c>
      <c r="AA2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2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2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2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2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30.714285714285715</v>
      </c>
      <c r="AG2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39.602076492279586</v>
      </c>
      <c r="AH22" s="116">
        <f t="shared" si="1"/>
        <v>46212</v>
      </c>
      <c r="AI22" s="1" t="str" cm="1">
        <f t="array" ref="AI22">IFERROR(_xlfn.IFS(AQ22="","Sem Produto",AND(AQ22/(AA22/12)&gt;0,AQ22/(AA22/12)&lt;=2),"Acabando",AND(AQ22/(AA22/12)&gt;2,AQ22/(AA22/12)&lt;=3),"Fazer Pedido",AND(AQ22/(AA22/12)&gt;3,AQ22/(AA22/12)&lt;=7),"OK",AND(AQ22/(AA22/12)&gt;7,AQ22/(AA22/12)&lt;=14),"Abaixar Preço",AND(AQ22/(AA22/12)&gt;14,AQ22/(AA22/12)&lt;=20),"Estabilizando",AQ22/(AA22/12)&gt;20,"Instavel"),"Instavel")</f>
        <v>OK</v>
      </c>
      <c r="AJ22" s="1" t="str" cm="1">
        <f t="array" ref="AJ22">IFERROR(_xlfn.IFS(AR22="","Sem Produto",AND(AR22/(AB22/12)&gt;0,AR22/(AB22/12)&lt;=2),"Acabando",AND(AR22/(AB22/12)&gt;2,AR22/(AB22/12)&lt;=3),"Fazer Pedido",AND(AR22/(AB22/12)&gt;3,AR22/(AB22/12)&lt;=7),"OK",AND(AR22/(AB22/12)&gt;7,AR22/(AB22/12)&lt;=14),"Abaixar Preço",AND(AR22/(AB22/12)&gt;14,AR22/(AB22/12)&lt;=20),"Estabilizando",AR22/(AB22/12)&gt;20,"Instavel"),"Instavel")</f>
        <v>Estabilizando</v>
      </c>
      <c r="AK22" s="1" t="str" cm="1">
        <f t="array" ref="AK22">IFERROR(_xlfn.IFS(AS22="","Sem Produto",AND(AS22/(AC22/12)&gt;0,AS22/(AC22/12)&lt;=2),"Acabando",AND(AS22/(AC22/12)&gt;2,AS22/(AC22/12)&lt;=3),"Fazer Pedido",AND(AS22/(AC22/12)&gt;3,AS22/(AC22/12)&lt;=7),"OK",AND(AS22/(AC22/12)&gt;7,AS22/(AC22/12)&lt;=14),"Abaixar Preço",AND(AS22/(AC22/12)&gt;14,AS22/(AC22/12)&lt;=20),"Estabilizando",AS22/(AC22/12)&gt;20,"Instavel"),"Instavel")</f>
        <v>Instavel</v>
      </c>
      <c r="AL22" s="1" t="str" cm="1">
        <f t="array" ref="AL22">IFERROR(_xlfn.IFS(AT22="","Sem Produto",AND(AT22/(AD22/12)&gt;0,AT22/(AD22/12)&lt;=2),"Acabando",AND(AT22/(AD22/12)&gt;2,AT22/(AD22/12)&lt;=3),"Fazer Pedido",AND(AT22/(AD22/12)&gt;3,AT22/(AD22/12)&lt;=7),"OK",AND(AT22/(AD22/12)&gt;7,AT22/(AD22/12)&lt;=14),"Abaixar Preço",AND(AT22/(AD22/12)&gt;14,AT22/(AD22/12)&lt;=20),"Estabilizando",AT22/(AD22/12)&gt;20,"Instavel"),"Instavel")</f>
        <v>OK</v>
      </c>
      <c r="AM22" s="1" t="str" cm="1">
        <f t="array" ref="AM22">IFERROR(_xlfn.IFS(AU22="","Sem Produto",AND(AU22/(AE22/12)&gt;0,AU22/(AE22/12)&lt;=2),"Acabando",AND(AU22/(AE22/12)&gt;2,AU22/(AE22/12)&lt;=3),"Fazer Pedido",AND(AU22/(AE22/12)&gt;3,AU22/(AE22/12)&lt;=7),"OK",AND(AU22/(AE22/12)&gt;7,AU22/(AE22/12)&lt;=14),"Abaixar Preço",AND(AU22/(AE22/12)&gt;14,AU22/(AE22/12)&lt;=20),"Estabilizando",AU22/(AE22/12)&gt;20,"Instavel"),"Instavel")</f>
        <v>Abaixar Preço</v>
      </c>
      <c r="AN22" s="1" t="str">
        <f ca="1">IF(SUMIF(vendaAno[data],SituaçãoEstoqueFluxo[[#This Row],[data]],vendaAno[estoque])=0,"Algo errado",IF(AND(AX22/AW22&gt;0,AX22/AW22&lt;=1),"Alerta",IF(AND(AX22/AW22&gt;1,AX22/AW22&lt;=1.5),"Fazer pedido",IF(AND(AX22/AW22&gt;1.5,AX22/AW22&lt;=2),"Ok",IF(AND(AX22/AW22&gt;2,AX22/AW22&lt;=2.5),"Estabilizando",IF(AND(AX22/AW22&gt;2.5,AX22/AW22&lt;=3),"Cheio","Abaixar preço"))))))</f>
        <v>Estabilizando</v>
      </c>
      <c r="AO22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22" s="116">
        <f t="shared" si="2"/>
        <v>46212</v>
      </c>
      <c r="AQ2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2.5833333333333335</v>
      </c>
      <c r="AR2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4.416666666666667</v>
      </c>
      <c r="AS2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3.25</v>
      </c>
      <c r="AU2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5.833333333333333</v>
      </c>
      <c r="AV22" s="82" cm="1">
        <f t="array" aca="1" ref="AV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23.035714285714288</v>
      </c>
      <c r="AW22" s="82" cm="1">
        <f t="array" aca="1" ref="AW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7.6785714285714279</v>
      </c>
      <c r="AX22" s="82">
        <f>SUM(FluxoEstoqueDateTime[[#This Row],[OVO BRANCO A]:[OVO BRANCO JUMBO]])</f>
        <v>16.166666666666664</v>
      </c>
    </row>
    <row r="23" spans="1:79" x14ac:dyDescent="0.25">
      <c r="A23" s="4" t="s">
        <v>20</v>
      </c>
      <c r="B23" s="55" t="s">
        <v>13</v>
      </c>
      <c r="C23" s="5">
        <v>7</v>
      </c>
      <c r="D23" s="56">
        <v>22</v>
      </c>
      <c r="E23" s="56">
        <v>154</v>
      </c>
      <c r="F23" s="157">
        <v>46230</v>
      </c>
      <c r="G23" s="4" t="s">
        <v>291</v>
      </c>
      <c r="H23" s="4" t="s">
        <v>149</v>
      </c>
      <c r="I23" s="153">
        <v>43.92</v>
      </c>
      <c r="J23" s="12">
        <v>0.28520734542387932</v>
      </c>
      <c r="K23" s="118" t="s">
        <v>12</v>
      </c>
      <c r="L23" s="74" t="str" cm="1">
        <f t="array" aca="1" ref="L23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/>
      </c>
      <c r="M23" s="74" cm="1">
        <f t="array" aca="1" ref="M23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0.75</v>
      </c>
      <c r="N23" s="9" cm="1">
        <f t="array" aca="1" ref="N23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750</v>
      </c>
      <c r="O23" s="8" cm="1">
        <f t="array" aca="1" ref="O23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135</v>
      </c>
      <c r="P23" s="8" cm="1">
        <f t="array" aca="1" ref="P23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10.51</v>
      </c>
      <c r="Q23" s="10">
        <f ca="1">IF(IFERROR(EstatisMês[[#This Row],[lucro]]/EstatisMês[[#This Row],[valor venda]],0)=0,"",IFERROR(EstatisMês[[#This Row],[lucro]]/EstatisMês[[#This Row],[valor venda]],0))</f>
        <v>7.7851851851851853E-2</v>
      </c>
      <c r="R23" s="10">
        <f ca="1">IFERROR(EstatisMês[[#This Row],[lucro]]/SUM(EstatisMês[lucro]),"")</f>
        <v>2.7064331220032233E-3</v>
      </c>
      <c r="S23" s="10">
        <f ca="1">IFERROR(EstatisMês[[#This Row],[valor venda]]/SUM(EstatisMês[valor venda]),"")</f>
        <v>7.4833702882483371E-3</v>
      </c>
      <c r="T23" s="10" t="str">
        <f ca="1">IFERROR((EstatisMês[[#This Row],[venda]]-EstatisMês[[#This Row],[atacado]])/(SUM(EstatisMês[venda])-SUM(EstatisMês[atacado])),"")</f>
        <v/>
      </c>
      <c r="U23" s="10" t="str">
        <f ca="1">IFERROR(EstatisMês[[#This Row],[atacado]]/SUM(EstatisMês[atacado]),"")</f>
        <v/>
      </c>
      <c r="V23" t="s">
        <v>221</v>
      </c>
      <c r="W23" s="8" cm="1">
        <f t="array" aca="1" ref="W23" ca="1">AVERAGEIFS(vendaAno[lucro],vendaAno[data],"&lt;="&amp;registroEstoque[data],vendaAno[data],"&gt;="&amp;registroEstoque[data]-6)</f>
        <v>102.58</v>
      </c>
      <c r="Z23" s="116">
        <f t="shared" si="0"/>
        <v>46211</v>
      </c>
      <c r="AA2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2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2.8571428571428572</v>
      </c>
      <c r="AC2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2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11.857142857142858</v>
      </c>
      <c r="AE2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2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2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40.012518559196216</v>
      </c>
      <c r="AH23" s="116">
        <f t="shared" si="1"/>
        <v>46211</v>
      </c>
      <c r="AI23" s="1" t="str" cm="1">
        <f t="array" ref="AI23">IFERROR(_xlfn.IFS(AQ23="","Sem Produto",AND(AQ23/(AA23/12)&gt;0,AQ23/(AA23/12)&lt;=2),"Acabando",AND(AQ23/(AA23/12)&gt;2,AQ23/(AA23/12)&lt;=3),"Fazer Pedido",AND(AQ23/(AA23/12)&gt;3,AQ23/(AA23/12)&lt;=7),"OK",AND(AQ23/(AA23/12)&gt;7,AQ23/(AA23/12)&lt;=14),"Abaixar Preço",AND(AQ23/(AA23/12)&gt;14,AQ23/(AA23/12)&lt;=20),"Estabilizando",AQ23/(AA23/12)&gt;20,"Instavel"),"Instavel")</f>
        <v>OK</v>
      </c>
      <c r="AJ23" s="1" t="str" cm="1">
        <f t="array" ref="AJ23">IFERROR(_xlfn.IFS(AR23="","Sem Produto",AND(AR23/(AB23/12)&gt;0,AR23/(AB23/12)&lt;=2),"Acabando",AND(AR23/(AB23/12)&gt;2,AR23/(AB23/12)&lt;=3),"Fazer Pedido",AND(AR23/(AB23/12)&gt;3,AR23/(AB23/12)&lt;=7),"OK",AND(AR23/(AB23/12)&gt;7,AR23/(AB23/12)&lt;=14),"Abaixar Preço",AND(AR23/(AB23/12)&gt;14,AR23/(AB23/12)&lt;=20),"Estabilizando",AR23/(AB23/12)&gt;20,"Instavel"),"Instavel")</f>
        <v>Instavel</v>
      </c>
      <c r="AK23" s="1" t="str" cm="1">
        <f t="array" ref="AK23">IFERROR(_xlfn.IFS(AS23="","Sem Produto",AND(AS23/(AC23/12)&gt;0,AS23/(AC23/12)&lt;=2),"Acabando",AND(AS23/(AC23/12)&gt;2,AS23/(AC23/12)&lt;=3),"Fazer Pedido",AND(AS23/(AC23/12)&gt;3,AS23/(AC23/12)&lt;=7),"OK",AND(AS23/(AC23/12)&gt;7,AS23/(AC23/12)&lt;=14),"Abaixar Preço",AND(AS23/(AC23/12)&gt;14,AS23/(AC23/12)&lt;=20),"Estabilizando",AS23/(AC23/12)&gt;20,"Instavel"),"Instavel")</f>
        <v>Acabando</v>
      </c>
      <c r="AL23" s="1" t="str" cm="1">
        <f t="array" ref="AL23">IFERROR(_xlfn.IFS(AT23="","Sem Produto",AND(AT23/(AD23/12)&gt;0,AT23/(AD23/12)&lt;=2),"Acabando",AND(AT23/(AD23/12)&gt;2,AT23/(AD23/12)&lt;=3),"Fazer Pedido",AND(AT23/(AD23/12)&gt;3,AT23/(AD23/12)&lt;=7),"OK",AND(AT23/(AD23/12)&gt;7,AT23/(AD23/12)&lt;=14),"Abaixar Preço",AND(AT23/(AD23/12)&gt;14,AT23/(AD23/12)&lt;=20),"Estabilizando",AT23/(AD23/12)&gt;20,"Instavel"),"Instavel")</f>
        <v>OK</v>
      </c>
      <c r="AM23" s="1" t="str" cm="1">
        <f t="array" ref="AM23">IFERROR(_xlfn.IFS(AU23="","Sem Produto",AND(AU23/(AE23/12)&gt;0,AU23/(AE23/12)&lt;=2),"Acabando",AND(AU23/(AE23/12)&gt;2,AU23/(AE23/12)&lt;=3),"Fazer Pedido",AND(AU23/(AE23/12)&gt;3,AU23/(AE23/12)&lt;=7),"OK",AND(AU23/(AE23/12)&gt;7,AU23/(AE23/12)&lt;=14),"Abaixar Preço",AND(AU23/(AE23/12)&gt;14,AU23/(AE23/12)&lt;=20),"Estabilizando",AU23/(AE23/12)&gt;20,"Instavel"),"Instavel")</f>
        <v>Abaixar Preço</v>
      </c>
      <c r="AN23" s="1" t="str">
        <f ca="1">IF(SUMIF(vendaAno[data],SituaçãoEstoqueFluxo[[#This Row],[data]],vendaAno[estoque])=0,"Algo errado",IF(AND(AX23/AW23&gt;0,AX23/AW23&lt;=1),"Alerta",IF(AND(AX23/AW23&gt;1,AX23/AW23&lt;=1.5),"Fazer pedido",IF(AND(AX23/AW23&gt;1.5,AX23/AW23&lt;=2),"Ok",IF(AND(AX23/AW23&gt;2,AX23/AW23&lt;=2.5),"Estabilizando",IF(AND(AX23/AW23&gt;2.5,AX23/AW23&lt;=3),"Cheio","Abaixar preço"))))))</f>
        <v>Estabilizando</v>
      </c>
      <c r="AO23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23" s="116">
        <f t="shared" si="2"/>
        <v>46211</v>
      </c>
      <c r="AQ2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2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5.083333333333333</v>
      </c>
      <c r="AS2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4.333333333333333</v>
      </c>
      <c r="AU2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6.333333333333333</v>
      </c>
      <c r="AV23" s="82" cm="1">
        <f t="array" aca="1" ref="AV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23" s="82" cm="1">
        <f t="array" aca="1" ref="AW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23" s="82">
        <f>SUM(FluxoEstoqueDateTime[[#This Row],[OVO BRANCO A]:[OVO BRANCO JUMBO]])</f>
        <v>18.916666666666664</v>
      </c>
      <c r="CA23">
        <f>19*2-50</f>
        <v>-12</v>
      </c>
    </row>
    <row r="24" spans="1:79" x14ac:dyDescent="0.25">
      <c r="A24" s="4" t="s">
        <v>20</v>
      </c>
      <c r="B24" s="55" t="s">
        <v>11</v>
      </c>
      <c r="C24" s="5">
        <v>12</v>
      </c>
      <c r="D24" s="56">
        <v>17</v>
      </c>
      <c r="E24" s="56">
        <v>204</v>
      </c>
      <c r="F24" s="157">
        <v>46230</v>
      </c>
      <c r="G24" s="4" t="s">
        <v>291</v>
      </c>
      <c r="H24" s="4" t="s">
        <v>149</v>
      </c>
      <c r="I24" s="153">
        <v>28.99</v>
      </c>
      <c r="J24" s="12">
        <v>0.14210277427490575</v>
      </c>
      <c r="K24" s="118" t="s">
        <v>13</v>
      </c>
      <c r="L24" s="74" cm="1">
        <f t="array" aca="1" ref="L24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>3</v>
      </c>
      <c r="M24" s="74" cm="1">
        <f t="array" aca="1" ref="M24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25.666666666666668</v>
      </c>
      <c r="N24" s="9" cm="1">
        <f t="array" aca="1" ref="N24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3750</v>
      </c>
      <c r="O24" s="8" cm="1">
        <f t="array" aca="1" ref="O24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6168</v>
      </c>
      <c r="P24" s="8" cm="1">
        <f t="array" aca="1" ref="P24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1341.0600000000006</v>
      </c>
      <c r="Q24" s="10">
        <f ca="1">IF(IFERROR(EstatisMês[[#This Row],[lucro]]/EstatisMês[[#This Row],[valor venda]],0)=0,"",IFERROR(EstatisMês[[#This Row],[lucro]]/EstatisMês[[#This Row],[valor venda]],0))</f>
        <v>0.21742217898832694</v>
      </c>
      <c r="R24" s="10">
        <f ca="1">IFERROR(EstatisMês[[#This Row],[lucro]]/SUM(EstatisMês[lucro]),"")</f>
        <v>0.34533674620301086</v>
      </c>
      <c r="S24" s="10">
        <f ca="1">IFERROR(EstatisMês[[#This Row],[valor venda]]/SUM(EstatisMês[valor venda]),"")</f>
        <v>0.3419068736141907</v>
      </c>
      <c r="T24" s="10">
        <f ca="1">IFERROR((EstatisMês[[#This Row],[venda]]-EstatisMês[[#This Row],[atacado]])/(SUM(EstatisMês[venda])-SUM(EstatisMês[atacado])),"")</f>
        <v>0.33746898263027297</v>
      </c>
      <c r="U24" s="10">
        <f ca="1">IFERROR(EstatisMês[[#This Row],[atacado]]/SUM(EstatisMês[atacado]),"")</f>
        <v>0.33333333333333331</v>
      </c>
      <c r="V24" t="s">
        <v>224</v>
      </c>
      <c r="W24" s="108" cm="1">
        <f t="array" aca="1" ref="W24" ca="1">AVERAGEIFS(vendaAno[venda],vendaAno[data],"&lt;="&amp;IF(registroEstoque[data]&gt;TODAY(),TODAY(),registroEstoque[data]),vendaAno[data],"&gt;="&amp;IF(registroEstoque[data]&gt;TODAY(),TODAY(),registroEstoque[data])-6)</f>
        <v>2.1428571428571428</v>
      </c>
      <c r="Z24" s="116">
        <f t="shared" si="0"/>
        <v>46210</v>
      </c>
      <c r="AA2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2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2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2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11.285714285714286</v>
      </c>
      <c r="AE2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2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35.285714285714285</v>
      </c>
      <c r="AG2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41.139371750891257</v>
      </c>
      <c r="AH24" s="116">
        <f t="shared" si="1"/>
        <v>46210</v>
      </c>
      <c r="AI24" s="1" t="str" cm="1">
        <f t="array" ref="AI24">IFERROR(_xlfn.IFS(AQ24="","Sem Produto",AND(AQ24/(AA24/12)&gt;0,AQ24/(AA24/12)&lt;=2),"Acabando",AND(AQ24/(AA24/12)&gt;2,AQ24/(AA24/12)&lt;=3),"Fazer Pedido",AND(AQ24/(AA24/12)&gt;3,AQ24/(AA24/12)&lt;=7),"OK",AND(AQ24/(AA24/12)&gt;7,AQ24/(AA24/12)&lt;=14),"Abaixar Preço",AND(AQ24/(AA24/12)&gt;14,AQ24/(AA24/12)&lt;=20),"Estabilizando",AQ24/(AA24/12)&gt;20,"Instavel"),"Instavel")</f>
        <v>OK</v>
      </c>
      <c r="AJ24" s="1" t="str" cm="1">
        <f t="array" ref="AJ24">IFERROR(_xlfn.IFS(AR24="","Sem Produto",AND(AR24/(AB24/12)&gt;0,AR24/(AB24/12)&lt;=2),"Acabando",AND(AR24/(AB24/12)&gt;2,AR24/(AB24/12)&lt;=3),"Fazer Pedido",AND(AR24/(AB24/12)&gt;3,AR24/(AB24/12)&lt;=7),"OK",AND(AR24/(AB24/12)&gt;7,AR24/(AB24/12)&lt;=14),"Abaixar Preço",AND(AR24/(AB24/12)&gt;14,AR24/(AB24/12)&lt;=20),"Estabilizando",AR24/(AB24/12)&gt;20,"Instavel"),"Instavel")</f>
        <v>Estabilizando</v>
      </c>
      <c r="AK24" s="1" t="str" cm="1">
        <f t="array" ref="AK24">IFERROR(_xlfn.IFS(AS24="","Sem Produto",AND(AS24/(AC24/12)&gt;0,AS24/(AC24/12)&lt;=2),"Acabando",AND(AS24/(AC24/12)&gt;2,AS24/(AC24/12)&lt;=3),"Fazer Pedido",AND(AS24/(AC24/12)&gt;3,AS24/(AC24/12)&lt;=7),"OK",AND(AS24/(AC24/12)&gt;7,AS24/(AC24/12)&lt;=14),"Abaixar Preço",AND(AS24/(AC24/12)&gt;14,AS24/(AC24/12)&lt;=20),"Estabilizando",AS24/(AC24/12)&gt;20,"Instavel"),"Instavel")</f>
        <v>Acabando</v>
      </c>
      <c r="AL24" s="1" t="str" cm="1">
        <f t="array" ref="AL24">IFERROR(_xlfn.IFS(AT24="","Sem Produto",AND(AT24/(AD24/12)&gt;0,AT24/(AD24/12)&lt;=2),"Acabando",AND(AT24/(AD24/12)&gt;2,AT24/(AD24/12)&lt;=3),"Fazer Pedido",AND(AT24/(AD24/12)&gt;3,AT24/(AD24/12)&lt;=7),"OK",AND(AT24/(AD24/12)&gt;7,AT24/(AD24/12)&lt;=14),"Abaixar Preço",AND(AT24/(AD24/12)&gt;14,AT24/(AD24/12)&lt;=20),"Estabilizando",AT24/(AD24/12)&gt;20,"Instavel"),"Instavel")</f>
        <v>OK</v>
      </c>
      <c r="AM24" s="1" t="str" cm="1">
        <f t="array" ref="AM24">IFERROR(_xlfn.IFS(AU24="","Sem Produto",AND(AU24/(AE24/12)&gt;0,AU24/(AE24/12)&lt;=2),"Acabando",AND(AU24/(AE24/12)&gt;2,AU24/(AE24/12)&lt;=3),"Fazer Pedido",AND(AU24/(AE24/12)&gt;3,AU24/(AE24/12)&lt;=7),"OK",AND(AU24/(AE24/12)&gt;7,AU24/(AE24/12)&lt;=14),"Abaixar Preço",AND(AU24/(AE24/12)&gt;14,AU24/(AE24/12)&lt;=20),"Estabilizando",AU24/(AE24/12)&gt;20,"Instavel"),"Instavel")</f>
        <v>Abaixar Preço</v>
      </c>
      <c r="AN24" s="1" t="str">
        <f ca="1">IF(SUMIF(vendaAno[data],SituaçãoEstoqueFluxo[[#This Row],[data]],vendaAno[estoque])=0,"Algo errado",IF(AND(AX24/AW24&gt;0,AX24/AW24&lt;=1),"Alerta",IF(AND(AX24/AW24&gt;1,AX24/AW24&lt;=1.5),"Fazer pedido",IF(AND(AX24/AW24&gt;1.5,AX24/AW24&lt;=2),"Ok",IF(AND(AX24/AW24&gt;2,AX24/AW24&lt;=2.5),"Estabilizando",IF(AND(AX24/AW24&gt;2.5,AX24/AW24&lt;=3),"Cheio","Abaixar preço"))))))</f>
        <v>Estabilizando</v>
      </c>
      <c r="AO24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24" s="116">
        <f t="shared" si="2"/>
        <v>46210</v>
      </c>
      <c r="AQ2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3.1666666666666665</v>
      </c>
      <c r="AR2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5.083333333333333</v>
      </c>
      <c r="AS2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5.5</v>
      </c>
      <c r="AU2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24" s="82" cm="1">
        <f t="array" aca="1" ref="AV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26.464285714285719</v>
      </c>
      <c r="AW24" s="82" cm="1">
        <f t="array" aca="1" ref="AW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8.8214285714285712</v>
      </c>
      <c r="AX24" s="82">
        <f>SUM(FluxoEstoqueDateTime[[#This Row],[OVO BRANCO A]:[OVO BRANCO JUMBO]])</f>
        <v>20.666666666666668</v>
      </c>
    </row>
    <row r="25" spans="1:79" x14ac:dyDescent="0.25">
      <c r="A25" s="4" t="s">
        <v>20</v>
      </c>
      <c r="B25" s="55" t="s">
        <v>10</v>
      </c>
      <c r="C25" s="5">
        <v>14</v>
      </c>
      <c r="D25" s="56">
        <v>18</v>
      </c>
      <c r="E25" s="56">
        <v>252</v>
      </c>
      <c r="F25" s="157">
        <v>46230</v>
      </c>
      <c r="G25" s="4" t="s">
        <v>291</v>
      </c>
      <c r="H25" s="4" t="s">
        <v>149</v>
      </c>
      <c r="I25" s="153">
        <v>38.11</v>
      </c>
      <c r="J25" s="12">
        <v>0.15121207213043944</v>
      </c>
      <c r="K25" s="118" t="s">
        <v>14</v>
      </c>
      <c r="L25" s="74" t="str" cm="1">
        <f t="array" aca="1" ref="L25" ca="1">IF(SUMIFS(aprazo[quantidade],aprazo[produto],EstatisMês[[#This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=0,"",SUMIFS(aprazo[quantidade],aprazo[produto],EstatisMês[[#This Row],[30dias movel]],aprazo[atacado],"atacado",aprazo[data],"&lt;="&amp;IF(registroEstoque[data]&gt;TODAY(),TODAY(),registroEstoque[data]),aprazo[data],"&gt;="&amp;IF(registroEstoque[data]&gt;TODAY(),TODAY(),registroEstoque[data])-31)/12)</f>
        <v/>
      </c>
      <c r="M25" s="74" cm="1">
        <f t="array" aca="1" ref="M25" ca="1">IF(SUMIFS(estoque[quantidade],estoque[fornecedor],"saída",estoque[produto],EstatisMês[[#This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=0,"",SUMIFS(estoque[quantidade],estoque[fornecedor],"saída",estoque[produto],EstatisMês[[#This Row],[30dias movel]],estoque[data],"&lt;="&amp;IF(registroEstoque[data]&gt;TODAY(),TODAY(),registroEstoque[data]),estoque[data],"&gt;="&amp;IF(registroEstoque[data]&gt;TODAY(),TODAY(),registroEstoque[data])-31)/12)</f>
        <v>16.083333333333332</v>
      </c>
      <c r="N25" s="9" cm="1">
        <f t="array" aca="1" ref="N25" ca="1">IF(SUMIFS(estoque[valor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total],estoque[fornecedor],"&lt;&gt;saída",estoque[produto],EstatisMês[[#This Row],[30dias movel]],estoque[data],"&lt;="&amp;IF(registroEstoque[data]&gt;TODAY(),TODAY(),registroEstoque[data]),estoque[data],"&gt;="&amp;IF(registroEstoque[data]&gt;TODAY(),TODAY(),registroEstoque[data])-31))</f>
        <v>3925</v>
      </c>
      <c r="O25" s="8" cm="1">
        <f t="array" aca="1" ref="O25" ca="1">IF(SUMIFS(estoque[valor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movel]],estoque[data],"&lt;="&amp;IF(registroEstoque[data]&gt;TODAY(),TODAY(),registroEstoque[data]),estoque[data],"&gt;="&amp;IF(registroEstoque[data]&gt;TODAY(),TODAY(),registroEstoque[data])-31)=0,"",SUMIFS(estoque[valor total],estoque[fornecedor],"saída",estoque[produto],EstatisMês[[#This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4393</v>
      </c>
      <c r="P25" s="8" cm="1">
        <f t="array" aca="1" ref="P25" ca="1">IF(SUMIFS(estoque[lucro],estoque[fornecedor],"saída",estoque[produto],EstatisMês[[#This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=0,"",SUMIFS(estoque[lucro],estoque[fornecedor],"saída",estoque[produto],EstatisMês[[#This Row],[30dias movel]],estoque[data],"&lt;="&amp;IF(registroEstoque[data]&gt;TODAY(),TODAY(),registroEstoque[data]),estoque[data],"&gt;="&amp;IF(registroEstoque[data]&gt;TODAY(),TODAY(),registroEstoque[data])-31))</f>
        <v>1253.8900000000001</v>
      </c>
      <c r="Q25" s="10">
        <f ca="1">IF(IFERROR(EstatisMês[[#This Row],[lucro]]/EstatisMês[[#This Row],[valor venda]],0)=0,"",IFERROR(EstatisMês[[#This Row],[lucro]]/EstatisMês[[#This Row],[valor venda]],0))</f>
        <v>0.2854290917368541</v>
      </c>
      <c r="R25" s="10">
        <f ca="1">IFERROR(EstatisMês[[#This Row],[lucro]]/SUM(EstatisMês[lucro]),"")</f>
        <v>0.32288957443849875</v>
      </c>
      <c r="S25" s="10">
        <f ca="1">IFERROR(EstatisMês[[#This Row],[valor venda]]/SUM(EstatisMês[valor venda]),"")</f>
        <v>0.24351441241685143</v>
      </c>
      <c r="T25" s="10" t="str">
        <f ca="1">IFERROR((EstatisMês[[#This Row],[venda]]-EstatisMês[[#This Row],[atacado]])/(SUM(EstatisMês[venda])-SUM(EstatisMês[atacado])),"")</f>
        <v/>
      </c>
      <c r="U25" s="10" t="str">
        <f ca="1">IFERROR(EstatisMês[[#This Row],[atacado]]/SUM(EstatisMês[atacado]),"")</f>
        <v/>
      </c>
      <c r="Z25" s="116">
        <f t="shared" si="0"/>
        <v>46209</v>
      </c>
      <c r="AA2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2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2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2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2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2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36.714285714285715</v>
      </c>
      <c r="AG2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41.834907963936907</v>
      </c>
      <c r="AH25" s="116">
        <f t="shared" si="1"/>
        <v>46209</v>
      </c>
      <c r="AI25" s="1" t="str" cm="1">
        <f t="array" ref="AI25">IFERROR(_xlfn.IFS(AQ25="","Sem Produto",AND(AQ25/(AA25/12)&gt;0,AQ25/(AA25/12)&lt;=2),"Acabando",AND(AQ25/(AA25/12)&gt;2,AQ25/(AA25/12)&lt;=3),"Fazer Pedido",AND(AQ25/(AA25/12)&gt;3,AQ25/(AA25/12)&lt;=7),"OK",AND(AQ25/(AA25/12)&gt;7,AQ25/(AA25/12)&lt;=14),"Abaixar Preço",AND(AQ25/(AA25/12)&gt;14,AQ25/(AA25/12)&lt;=20),"Estabilizando",AQ25/(AA25/12)&gt;20,"Instavel"),"Instavel")</f>
        <v>OK</v>
      </c>
      <c r="AJ25" s="1" t="str" cm="1">
        <f t="array" ref="AJ25">IFERROR(_xlfn.IFS(AR25="","Sem Produto",AND(AR25/(AB25/12)&gt;0,AR25/(AB25/12)&lt;=2),"Acabando",AND(AR25/(AB25/12)&gt;2,AR25/(AB25/12)&lt;=3),"Fazer Pedido",AND(AR25/(AB25/12)&gt;3,AR25/(AB25/12)&lt;=7),"OK",AND(AR25/(AB25/12)&gt;7,AR25/(AB25/12)&lt;=14),"Abaixar Preço",AND(AR25/(AB25/12)&gt;14,AR25/(AB25/12)&lt;=20),"Estabilizando",AR25/(AB25/12)&gt;20,"Instavel"),"Instavel")</f>
        <v>Abaixar Preço</v>
      </c>
      <c r="AK25" s="1" t="str" cm="1">
        <f t="array" ref="AK25">IFERROR(_xlfn.IFS(AS25="","Sem Produto",AND(AS25/(AC25/12)&gt;0,AS25/(AC25/12)&lt;=2),"Acabando",AND(AS25/(AC25/12)&gt;2,AS25/(AC25/12)&lt;=3),"Fazer Pedido",AND(AS25/(AC25/12)&gt;3,AS25/(AC25/12)&lt;=7),"OK",AND(AS25/(AC25/12)&gt;7,AS25/(AC25/12)&lt;=14),"Abaixar Preço",AND(AS25/(AC25/12)&gt;14,AS25/(AC25/12)&lt;=20),"Estabilizando",AS25/(AC25/12)&gt;20,"Instavel"),"Instavel")</f>
        <v>Acabando</v>
      </c>
      <c r="AL25" s="1" t="str" cm="1">
        <f t="array" ref="AL25">IFERROR(_xlfn.IFS(AT25="","Sem Produto",AND(AT25/(AD25/12)&gt;0,AT25/(AD25/12)&lt;=2),"Acabando",AND(AT25/(AD25/12)&gt;2,AT25/(AD25/12)&lt;=3),"Fazer Pedido",AND(AT25/(AD25/12)&gt;3,AT25/(AD25/12)&lt;=7),"OK",AND(AT25/(AD25/12)&gt;7,AT25/(AD25/12)&lt;=14),"Abaixar Preço",AND(AT25/(AD25/12)&gt;14,AT25/(AD25/12)&lt;=20),"Estabilizando",AT25/(AD25/12)&gt;20,"Instavel"),"Instavel")</f>
        <v>OK</v>
      </c>
      <c r="AM25" s="1" t="str" cm="1">
        <f t="array" ref="AM25">IFERROR(_xlfn.IFS(AU25="","Sem Produto",AND(AU25/(AE25/12)&gt;0,AU25/(AE25/12)&lt;=2),"Acabando",AND(AU25/(AE25/12)&gt;2,AU25/(AE25/12)&lt;=3),"Fazer Pedido",AND(AU25/(AE25/12)&gt;3,AU25/(AE25/12)&lt;=7),"OK",AND(AU25/(AE25/12)&gt;7,AU25/(AE25/12)&lt;=14),"Abaixar Preço",AND(AU25/(AE25/12)&gt;14,AU25/(AE25/12)&lt;=20),"Estabilizando",AU25/(AE25/12)&gt;20,"Instavel"),"Instavel")</f>
        <v>Abaixar Preço</v>
      </c>
      <c r="AN25" s="1" t="str">
        <f ca="1">IF(SUMIF(vendaAno[data],SituaçãoEstoqueFluxo[[#This Row],[data]],vendaAno[estoque])=0,"Algo errado",IF(AND(AX25/AW25&gt;0,AX25/AW25&lt;=1),"Alerta",IF(AND(AX25/AW25&gt;1,AX25/AW25&lt;=1.5),"Fazer pedido",IF(AND(AX25/AW25&gt;1.5,AX25/AW25&lt;=2),"Ok",IF(AND(AX25/AW25&gt;2,AX25/AW25&lt;=2.5),"Estabilizando",IF(AND(AX25/AW25&gt;2.5,AX25/AW25&lt;=3),"Cheio","Abaixar preço"))))))</f>
        <v>Cheio</v>
      </c>
      <c r="AO25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25" s="116">
        <f t="shared" si="2"/>
        <v>46209</v>
      </c>
      <c r="AQ2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</v>
      </c>
      <c r="AR2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2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2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7.416666666666667</v>
      </c>
      <c r="AV25" s="82" cm="1">
        <f t="array" aca="1" ref="AV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27.535714285714288</v>
      </c>
      <c r="AW25" s="82" cm="1">
        <f t="array" aca="1" ref="AW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9.1785714285714288</v>
      </c>
      <c r="AX25" s="82">
        <f>SUM(FluxoEstoqueDateTime[[#This Row],[OVO BRANCO A]:[OVO BRANCO JUMBO]])</f>
        <v>23.666666666666668</v>
      </c>
    </row>
    <row r="26" spans="1:79" x14ac:dyDescent="0.25">
      <c r="A26" s="4" t="s">
        <v>20</v>
      </c>
      <c r="B26" s="55" t="s">
        <v>13</v>
      </c>
      <c r="C26" s="5">
        <v>8</v>
      </c>
      <c r="D26" s="56">
        <v>22</v>
      </c>
      <c r="E26" s="56">
        <v>176</v>
      </c>
      <c r="F26" s="157">
        <v>46229</v>
      </c>
      <c r="G26" s="4" t="s">
        <v>93</v>
      </c>
      <c r="H26" s="4" t="s">
        <v>149</v>
      </c>
      <c r="I26" s="153">
        <v>50.2</v>
      </c>
      <c r="J26" s="12">
        <v>0.28520734542387932</v>
      </c>
      <c r="K26" s="72" t="s">
        <v>4</v>
      </c>
      <c r="L26" s="72" t="s">
        <v>24</v>
      </c>
      <c r="M26" s="72" t="s">
        <v>22</v>
      </c>
      <c r="N26" s="72" t="s">
        <v>188</v>
      </c>
      <c r="O26" s="72" t="s">
        <v>189</v>
      </c>
      <c r="P26" s="72" t="s">
        <v>190</v>
      </c>
      <c r="Q26" s="73" t="s">
        <v>191</v>
      </c>
      <c r="R26" s="72" t="s">
        <v>8</v>
      </c>
      <c r="S26" s="77" t="s">
        <v>223</v>
      </c>
      <c r="T26" s="72" t="s">
        <v>228</v>
      </c>
      <c r="U26" s="72" t="s">
        <v>195</v>
      </c>
      <c r="Z26" s="116">
        <f t="shared" si="0"/>
        <v>46208</v>
      </c>
      <c r="AA2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2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6.1428571428571432</v>
      </c>
      <c r="AC2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2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2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2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35.571428571428569</v>
      </c>
      <c r="AG2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42.991931386904959</v>
      </c>
      <c r="AH26" s="116">
        <f t="shared" si="1"/>
        <v>46208</v>
      </c>
      <c r="AI26" s="1" t="str" cm="1">
        <f t="array" ref="AI26">IFERROR(_xlfn.IFS(AQ26="","Sem Produto",AND(AQ26/(AA26/12)&gt;0,AQ26/(AA26/12)&lt;=2),"Acabando",AND(AQ26/(AA26/12)&gt;2,AQ26/(AA26/12)&lt;=3),"Fazer Pedido",AND(AQ26/(AA26/12)&gt;3,AQ26/(AA26/12)&lt;=7),"OK",AND(AQ26/(AA26/12)&gt;7,AQ26/(AA26/12)&lt;=14),"Abaixar Preço",AND(AQ26/(AA26/12)&gt;14,AQ26/(AA26/12)&lt;=20),"Estabilizando",AQ26/(AA26/12)&gt;20,"Instavel"),"Instavel")</f>
        <v>OK</v>
      </c>
      <c r="AJ26" s="1" t="str" cm="1">
        <f t="array" ref="AJ26">IFERROR(_xlfn.IFS(AR26="","Sem Produto",AND(AR26/(AB26/12)&gt;0,AR26/(AB26/12)&lt;=2),"Acabando",AND(AR26/(AB26/12)&gt;2,AR26/(AB26/12)&lt;=3),"Fazer Pedido",AND(AR26/(AB26/12)&gt;3,AR26/(AB26/12)&lt;=7),"OK",AND(AR26/(AB26/12)&gt;7,AR26/(AB26/12)&lt;=14),"Abaixar Preço",AND(AR26/(AB26/12)&gt;14,AR26/(AB26/12)&lt;=20),"Estabilizando",AR26/(AB26/12)&gt;20,"Instavel"),"Instavel")</f>
        <v>Abaixar Preço</v>
      </c>
      <c r="AK26" s="1" t="str" cm="1">
        <f t="array" ref="AK26">IFERROR(_xlfn.IFS(AS26="","Sem Produto",AND(AS26/(AC26/12)&gt;0,AS26/(AC26/12)&lt;=2),"Acabando",AND(AS26/(AC26/12)&gt;2,AS26/(AC26/12)&lt;=3),"Fazer Pedido",AND(AS26/(AC26/12)&gt;3,AS26/(AC26/12)&lt;=7),"OK",AND(AS26/(AC26/12)&gt;7,AS26/(AC26/12)&lt;=14),"Abaixar Preço",AND(AS26/(AC26/12)&gt;14,AS26/(AC26/12)&lt;=20),"Estabilizando",AS26/(AC26/12)&gt;20,"Instavel"),"Instavel")</f>
        <v>Acabando</v>
      </c>
      <c r="AL26" s="1" t="str" cm="1">
        <f t="array" ref="AL26">IFERROR(_xlfn.IFS(AT26="","Sem Produto",AND(AT26/(AD26/12)&gt;0,AT26/(AD26/12)&lt;=2),"Acabando",AND(AT26/(AD26/12)&gt;2,AT26/(AD26/12)&lt;=3),"Fazer Pedido",AND(AT26/(AD26/12)&gt;3,AT26/(AD26/12)&lt;=7),"OK",AND(AT26/(AD26/12)&gt;7,AT26/(AD26/12)&lt;=14),"Abaixar Preço",AND(AT26/(AD26/12)&gt;14,AT26/(AD26/12)&lt;=20),"Estabilizando",AT26/(AD26/12)&gt;20,"Instavel"),"Instavel")</f>
        <v>Abaixar Preço</v>
      </c>
      <c r="AM26" s="1" t="str" cm="1">
        <f t="array" ref="AM26">IFERROR(_xlfn.IFS(AU26="","Sem Produto",AND(AU26/(AE26/12)&gt;0,AU26/(AE26/12)&lt;=2),"Acabando",AND(AU26/(AE26/12)&gt;2,AU26/(AE26/12)&lt;=3),"Fazer Pedido",AND(AU26/(AE26/12)&gt;3,AU26/(AE26/12)&lt;=7),"OK",AND(AU26/(AE26/12)&gt;7,AU26/(AE26/12)&lt;=14),"Abaixar Preço",AND(AU26/(AE26/12)&gt;14,AU26/(AE26/12)&lt;=20),"Estabilizando",AU26/(AE26/12)&gt;20,"Instavel"),"Instavel")</f>
        <v>Estabilizando</v>
      </c>
      <c r="AN26" s="1" t="str">
        <f ca="1">IF(SUMIF(vendaAno[data],SituaçãoEstoqueFluxo[[#This Row],[data]],vendaAno[estoque])=0,"Algo errado",IF(AND(AX26/AW26&gt;0,AX26/AW26&lt;=1),"Alerta",IF(AND(AX26/AW26&gt;1,AX26/AW26&lt;=1.5),"Fazer pedido",IF(AND(AX26/AW26&gt;1.5,AX26/AW26&lt;=2),"Ok",IF(AND(AX26/AW26&gt;2,AX26/AW26&lt;=2.5),"Estabilizando",IF(AND(AX26/AW26&gt;2.5,AX26/AW26&lt;=3),"Cheio","Abaixar preço"))))))</f>
        <v>Cheio</v>
      </c>
      <c r="AO26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26" s="116">
        <f t="shared" si="2"/>
        <v>46208</v>
      </c>
      <c r="AQ2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2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2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7.416666666666667</v>
      </c>
      <c r="AU2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26" s="82" cm="1">
        <f t="array" aca="1" ref="AV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26.678571428571431</v>
      </c>
      <c r="AW26" s="82" cm="1">
        <f t="array" aca="1" ref="AW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8.8928571428571423</v>
      </c>
      <c r="AX26" s="82">
        <f>SUM(FluxoEstoqueDateTime[[#This Row],[OVO BRANCO A]:[OVO BRANCO JUMBO]])</f>
        <v>25.833333333333332</v>
      </c>
    </row>
    <row r="27" spans="1:79" x14ac:dyDescent="0.25">
      <c r="A27" s="4" t="s">
        <v>20</v>
      </c>
      <c r="B27" s="55" t="s">
        <v>11</v>
      </c>
      <c r="C27" s="5">
        <v>3</v>
      </c>
      <c r="D27" s="56">
        <v>17</v>
      </c>
      <c r="E27" s="56">
        <v>51</v>
      </c>
      <c r="F27" s="157">
        <v>46229</v>
      </c>
      <c r="G27" s="4" t="s">
        <v>93</v>
      </c>
      <c r="H27" s="4" t="s">
        <v>149</v>
      </c>
      <c r="I27" s="153">
        <v>7.25</v>
      </c>
      <c r="J27" s="12">
        <v>0.14210277427490575</v>
      </c>
      <c r="K27" s="118" t="s">
        <v>10</v>
      </c>
      <c r="L27" s="83">
        <f ca="1">IFERROR(IF(EstatisSemana[[#This Row],[atacado]]="",O2*12,O2*12-EstatisSemana[[#This Row],[atacado]]),"")</f>
        <v>121.08955223880596</v>
      </c>
      <c r="M27" s="83">
        <f ca="1">IFERROR(((O2*12)*U2)/S2,"")</f>
        <v>11.91044776119403</v>
      </c>
      <c r="N27" s="155">
        <f ca="1">IFERROR(EstatisSemana[[#This Row],[varejo]]*I2,"")</f>
        <v>2179.6119402985073</v>
      </c>
      <c r="O27" s="84">
        <f ca="1">IFERROR(EstatisSemana[[#This Row],[atacado]]*J2,"")</f>
        <v>202.47761194029852</v>
      </c>
      <c r="P27" s="84">
        <f ca="1">IFERROR(EstatisSemana[[#This Row],[varejo]]*M2,"")</f>
        <v>329.58363793278517</v>
      </c>
      <c r="Q27" s="84">
        <f ca="1">IF(EstatisSemana[[#This Row],[atacado]]="","",EstatisSemana[[#This Row],[atacado]]*N2)</f>
        <v>20.507614986293035</v>
      </c>
      <c r="R27" s="85">
        <f ca="1">IFERROR(SUM(EstatisSemana[[#This Row],[lucro va]:[lucro ata]])/SUM(EstatisSemana[[#This Row],[valor va]:[valor ata]]),"")</f>
        <v>0.14696813249109172</v>
      </c>
      <c r="S27" s="86">
        <f ca="1">IFERROR(($W$22*P21)/(O21-P21),"")</f>
        <v>107.7651631915527</v>
      </c>
      <c r="T27" s="84">
        <f>IFERROR(AVERAGEIF(estoque[produto],A2,estoque[lucro]),"")</f>
        <v>26.27299187954311</v>
      </c>
      <c r="U27" s="84">
        <f ca="1">IFERROR(SUM(EstatisSemana[[#This Row],[lucro va]:[lucro ata]])/SUM(EstatisSemana[[#This Row],[varejo]:[atacado]]),"")</f>
        <v>2.6322650595419415</v>
      </c>
      <c r="Z27" s="116">
        <f t="shared" si="0"/>
        <v>46207</v>
      </c>
      <c r="AA2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11.857142857142858</v>
      </c>
      <c r="AB2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2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2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2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2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36.428571428571431</v>
      </c>
      <c r="AG2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42.90763032715271</v>
      </c>
      <c r="AH27" s="116">
        <f t="shared" si="1"/>
        <v>46207</v>
      </c>
      <c r="AI27" s="1" t="str" cm="1">
        <f t="array" ref="AI27">IFERROR(_xlfn.IFS(AQ27="","Sem Produto",AND(AQ27/(AA27/12)&gt;0,AQ27/(AA27/12)&lt;=2),"Acabando",AND(AQ27/(AA27/12)&gt;2,AQ27/(AA27/12)&lt;=3),"Fazer Pedido",AND(AQ27/(AA27/12)&gt;3,AQ27/(AA27/12)&lt;=7),"OK",AND(AQ27/(AA27/12)&gt;7,AQ27/(AA27/12)&lt;=14),"Abaixar Preço",AND(AQ27/(AA27/12)&gt;14,AQ27/(AA27/12)&lt;=20),"Estabilizando",AQ27/(AA27/12)&gt;20,"Instavel"),"Instavel")</f>
        <v>OK</v>
      </c>
      <c r="AJ27" s="1" t="str" cm="1">
        <f t="array" ref="AJ27">IFERROR(_xlfn.IFS(AR27="","Sem Produto",AND(AR27/(AB27/12)&gt;0,AR27/(AB27/12)&lt;=2),"Acabando",AND(AR27/(AB27/12)&gt;2,AR27/(AB27/12)&lt;=3),"Fazer Pedido",AND(AR27/(AB27/12)&gt;3,AR27/(AB27/12)&lt;=7),"OK",AND(AR27/(AB27/12)&gt;7,AR27/(AB27/12)&lt;=14),"Abaixar Preço",AND(AR27/(AB27/12)&gt;14,AR27/(AB27/12)&lt;=20),"Estabilizando",AR27/(AB27/12)&gt;20,"Instavel"),"Instavel")</f>
        <v>Abaixar Preço</v>
      </c>
      <c r="AK27" s="1" t="str" cm="1">
        <f t="array" ref="AK27">IFERROR(_xlfn.IFS(AS27="","Sem Produto",AND(AS27/(AC27/12)&gt;0,AS27/(AC27/12)&lt;=2),"Acabando",AND(AS27/(AC27/12)&gt;2,AS27/(AC27/12)&lt;=3),"Fazer Pedido",AND(AS27/(AC27/12)&gt;3,AS27/(AC27/12)&lt;=7),"OK",AND(AS27/(AC27/12)&gt;7,AS27/(AC27/12)&lt;=14),"Abaixar Preço",AND(AS27/(AC27/12)&gt;14,AS27/(AC27/12)&lt;=20),"Estabilizando",AS27/(AC27/12)&gt;20,"Instavel"),"Instavel")</f>
        <v>Acabando</v>
      </c>
      <c r="AL27" s="1" t="str" cm="1">
        <f t="array" ref="AL27">IFERROR(_xlfn.IFS(AT27="","Sem Produto",AND(AT27/(AD27/12)&gt;0,AT27/(AD27/12)&lt;=2),"Acabando",AND(AT27/(AD27/12)&gt;2,AT27/(AD27/12)&lt;=3),"Fazer Pedido",AND(AT27/(AD27/12)&gt;3,AT27/(AD27/12)&lt;=7),"OK",AND(AT27/(AD27/12)&gt;7,AT27/(AD27/12)&lt;=14),"Abaixar Preço",AND(AT27/(AD27/12)&gt;14,AT27/(AD27/12)&lt;=20),"Estabilizando",AT27/(AD27/12)&gt;20,"Instavel"),"Instavel")</f>
        <v>Abaixar Preço</v>
      </c>
      <c r="AM27" s="1" t="str" cm="1">
        <f t="array" ref="AM27">IFERROR(_xlfn.IFS(AU27="","Sem Produto",AND(AU27/(AE27/12)&gt;0,AU27/(AE27/12)&lt;=2),"Acabando",AND(AU27/(AE27/12)&gt;2,AU27/(AE27/12)&lt;=3),"Fazer Pedido",AND(AU27/(AE27/12)&gt;3,AU27/(AE27/12)&lt;=7),"OK",AND(AU27/(AE27/12)&gt;7,AU27/(AE27/12)&lt;=14),"Abaixar Preço",AND(AU27/(AE27/12)&gt;14,AU27/(AE27/12)&lt;=20),"Estabilizando",AU27/(AE27/12)&gt;20,"Instavel"),"Instavel")</f>
        <v>Estabilizando</v>
      </c>
      <c r="AN27" s="1" t="str">
        <f ca="1">IF(SUMIF(vendaAno[data],SituaçãoEstoqueFluxo[[#This Row],[data]],vendaAno[estoque])=0,"Algo errado",IF(AND(AX27/AW27&gt;0,AX27/AW27&lt;=1),"Alerta",IF(AND(AX27/AW27&gt;1,AX27/AW27&lt;=1.5),"Fazer pedido",IF(AND(AX27/AW27&gt;1.5,AX27/AW27&lt;=2),"Ok",IF(AND(AX27/AW27&gt;2,AX27/AW27&lt;=2.5),"Estabilizando",IF(AND(AX27/AW27&gt;2.5,AX27/AW27&lt;=3),"Cheio","Abaixar preço"))))))</f>
        <v>Abaixar preço</v>
      </c>
      <c r="AO27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27" s="116">
        <f t="shared" si="2"/>
        <v>46207</v>
      </c>
      <c r="AQ2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2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5.583333333333333</v>
      </c>
      <c r="AS2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2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27" s="82" cm="1">
        <f t="array" aca="1" ref="AV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27.321428571428573</v>
      </c>
      <c r="AW27" s="82" cm="1">
        <f t="array" aca="1" ref="AW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9.1071428571428577</v>
      </c>
      <c r="AX27" s="82">
        <f>SUM(FluxoEstoqueDateTime[[#This Row],[OVO BRANCO A]:[OVO BRANCO JUMBO]])</f>
        <v>27.416666666666671</v>
      </c>
    </row>
    <row r="28" spans="1:79" x14ac:dyDescent="0.25">
      <c r="A28" s="4" t="s">
        <v>20</v>
      </c>
      <c r="B28" s="55" t="s">
        <v>10</v>
      </c>
      <c r="C28" s="5">
        <v>24</v>
      </c>
      <c r="D28" s="56">
        <v>18</v>
      </c>
      <c r="E28" s="56">
        <v>432</v>
      </c>
      <c r="F28" s="157">
        <v>46229</v>
      </c>
      <c r="G28" s="4" t="s">
        <v>93</v>
      </c>
      <c r="H28" s="4" t="s">
        <v>149</v>
      </c>
      <c r="I28" s="153">
        <v>65.319999999999993</v>
      </c>
      <c r="J28" s="12">
        <v>0.15121207213043933</v>
      </c>
      <c r="K28" s="118" t="s">
        <v>11</v>
      </c>
      <c r="L28" s="83">
        <f ca="1">IFERROR(IF(EstatisSemana[[#This Row],[atacado]]="",O3*12,O3*12-EstatisSemana[[#This Row],[atacado]]),"")</f>
        <v>10.514285714285714</v>
      </c>
      <c r="M28" s="83">
        <f ca="1">IFERROR(((O3*12)*U3)/S3,"")</f>
        <v>5.4857142857142858</v>
      </c>
      <c r="N28" s="155">
        <f ca="1">IFERROR(EstatisSemana[[#This Row],[varejo]]*I3,"")</f>
        <v>178.74285714285713</v>
      </c>
      <c r="O28" s="84">
        <f ca="1">IFERROR(EstatisSemana[[#This Row],[atacado]]*J3,"")</f>
        <v>87.771428571428572</v>
      </c>
      <c r="P28" s="84">
        <f ca="1">IFERROR(EstatisSemana[[#This Row],[varejo]]*M3,"")</f>
        <v>25.399855881823136</v>
      </c>
      <c r="Q28" s="84">
        <f ca="1">IF(EstatisSemana[[#This Row],[atacado]]="","",EstatisSemana[[#This Row],[atacado]]*N3)</f>
        <v>7.7663844352369162</v>
      </c>
      <c r="R28" s="85">
        <f ca="1">IFERROR(SUM(EstatisSemana[[#This Row],[lucro va]:[lucro ata]])/SUM(EstatisSemana[[#This Row],[valor va]:[valor ata]]),"")</f>
        <v>0.12444451233888312</v>
      </c>
      <c r="S28" s="84">
        <f ca="1">IFERROR(($W$22*P22)/(O22-P22),"")</f>
        <v>100.22759871258923</v>
      </c>
      <c r="T28" s="84">
        <f>IFERROR(AVERAGEIF(estoque[produto],A3,estoque[lucro]),"")</f>
        <v>23.565216603529635</v>
      </c>
      <c r="U28" s="84">
        <f ca="1">IFERROR(SUM(EstatisSemana[[#This Row],[lucro va]:[lucro ata]])/SUM(EstatisSemana[[#This Row],[varejo]:[atacado]]),"")</f>
        <v>2.0728900198162532</v>
      </c>
      <c r="W28">
        <f>102-32</f>
        <v>70</v>
      </c>
      <c r="Z28" s="116">
        <f t="shared" si="0"/>
        <v>46206</v>
      </c>
      <c r="AA2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8.1428571428571423</v>
      </c>
      <c r="AB2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2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2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2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2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32.857142857142854</v>
      </c>
      <c r="AG2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42.429489772025811</v>
      </c>
      <c r="AH28" s="116">
        <f t="shared" si="1"/>
        <v>46206</v>
      </c>
      <c r="AI28" s="1" t="str" cm="1">
        <f t="array" ref="AI28">IFERROR(_xlfn.IFS(AQ28="","Sem Produto",AND(AQ28/(AA28/12)&gt;0,AQ28/(AA28/12)&lt;=2),"Acabando",AND(AQ28/(AA28/12)&gt;2,AQ28/(AA28/12)&lt;=3),"Fazer Pedido",AND(AQ28/(AA28/12)&gt;3,AQ28/(AA28/12)&lt;=7),"OK",AND(AQ28/(AA28/12)&gt;7,AQ28/(AA28/12)&lt;=14),"Abaixar Preço",AND(AQ28/(AA28/12)&gt;14,AQ28/(AA28/12)&lt;=20),"Estabilizando",AQ28/(AA28/12)&gt;20,"Instavel"),"Instavel")</f>
        <v>Abaixar Preço</v>
      </c>
      <c r="AJ28" s="1" t="str" cm="1">
        <f t="array" ref="AJ28">IFERROR(_xlfn.IFS(AR28="","Sem Produto",AND(AR28/(AB28/12)&gt;0,AR28/(AB28/12)&lt;=2),"Acabando",AND(AR28/(AB28/12)&gt;2,AR28/(AB28/12)&lt;=3),"Fazer Pedido",AND(AR28/(AB28/12)&gt;3,AR28/(AB28/12)&lt;=7),"OK",AND(AR28/(AB28/12)&gt;7,AR28/(AB28/12)&lt;=14),"Abaixar Preço",AND(AR28/(AB28/12)&gt;14,AR28/(AB28/12)&lt;=20),"Estabilizando",AR28/(AB28/12)&gt;20,"Instavel"),"Instavel")</f>
        <v>Abaixar Preço</v>
      </c>
      <c r="AK28" s="1" t="str" cm="1">
        <f t="array" ref="AK28">IFERROR(_xlfn.IFS(AS28="","Sem Produto",AND(AS28/(AC28/12)&gt;0,AS28/(AC28/12)&lt;=2),"Acabando",AND(AS28/(AC28/12)&gt;2,AS28/(AC28/12)&lt;=3),"Fazer Pedido",AND(AS28/(AC28/12)&gt;3,AS28/(AC28/12)&lt;=7),"OK",AND(AS28/(AC28/12)&gt;7,AS28/(AC28/12)&lt;=14),"Abaixar Preço",AND(AS28/(AC28/12)&gt;14,AS28/(AC28/12)&lt;=20),"Estabilizando",AS28/(AC28/12)&gt;20,"Instavel"),"Instavel")</f>
        <v>Acabando</v>
      </c>
      <c r="AL28" s="1" t="str" cm="1">
        <f t="array" ref="AL28">IFERROR(_xlfn.IFS(AT28="","Sem Produto",AND(AT28/(AD28/12)&gt;0,AT28/(AD28/12)&lt;=2),"Acabando",AND(AT28/(AD28/12)&gt;2,AT28/(AD28/12)&lt;=3),"Fazer Pedido",AND(AT28/(AD28/12)&gt;3,AT28/(AD28/12)&lt;=7),"OK",AND(AT28/(AD28/12)&gt;7,AT28/(AD28/12)&lt;=14),"Abaixar Preço",AND(AT28/(AD28/12)&gt;14,AT28/(AD28/12)&lt;=20),"Estabilizando",AT28/(AD28/12)&gt;20,"Instavel"),"Instavel")</f>
        <v>Abaixar Preço</v>
      </c>
      <c r="AM28" s="1" t="str" cm="1">
        <f t="array" ref="AM28">IFERROR(_xlfn.IFS(AU28="","Sem Produto",AND(AU28/(AE28/12)&gt;0,AU28/(AE28/12)&lt;=2),"Acabando",AND(AU28/(AE28/12)&gt;2,AU28/(AE28/12)&lt;=3),"Fazer Pedido",AND(AU28/(AE28/12)&gt;3,AU28/(AE28/12)&lt;=7),"OK",AND(AU28/(AE28/12)&gt;7,AU28/(AE28/12)&lt;=14),"Abaixar Preço",AND(AU28/(AE28/12)&gt;14,AU28/(AE28/12)&lt;=20),"Estabilizando",AU28/(AE28/12)&gt;20,"Instavel"),"Instavel")</f>
        <v>Estabilizando</v>
      </c>
      <c r="AN28" s="1" t="str">
        <f ca="1">IF(SUMIF(vendaAno[data],SituaçãoEstoqueFluxo[[#This Row],[data]],vendaAno[estoque])=0,"Algo errado",IF(AND(AX28/AW28&gt;0,AX28/AW28&lt;=1),"Alerta",IF(AND(AX28/AW28&gt;1,AX28/AW28&lt;=1.5),"Fazer pedido",IF(AND(AX28/AW28&gt;1.5,AX28/AW28&lt;=2),"Ok",IF(AND(AX28/AW28&gt;2,AX28/AW28&lt;=2.5),"Estabilizando",IF(AND(AX28/AW28&gt;2.5,AX28/AW28&lt;=3),"Cheio","Abaixar preço"))))))</f>
        <v>Abaixar preço</v>
      </c>
      <c r="AO28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28" s="116">
        <f t="shared" si="2"/>
        <v>46206</v>
      </c>
      <c r="AQ2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</v>
      </c>
      <c r="AR2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5.916666666666667</v>
      </c>
      <c r="AS2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2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9.1666666666666661</v>
      </c>
      <c r="AV28" s="82" cm="1">
        <f t="array" aca="1" ref="AV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24.642857142857142</v>
      </c>
      <c r="AW28" s="82" cm="1">
        <f t="array" aca="1" ref="AW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8.2142857142857135</v>
      </c>
      <c r="AX28" s="82">
        <f>SUM(FluxoEstoqueDateTime[[#This Row],[OVO BRANCO A]:[OVO BRANCO JUMBO]])</f>
        <v>31.333333333333336</v>
      </c>
    </row>
    <row r="29" spans="1:79" x14ac:dyDescent="0.25">
      <c r="A29" s="4" t="s">
        <v>20</v>
      </c>
      <c r="B29" s="55" t="s">
        <v>14</v>
      </c>
      <c r="C29" s="5">
        <v>4</v>
      </c>
      <c r="D29" s="56">
        <v>23</v>
      </c>
      <c r="E29" s="56">
        <v>92</v>
      </c>
      <c r="F29" s="157">
        <v>46228</v>
      </c>
      <c r="G29" s="4" t="s">
        <v>92</v>
      </c>
      <c r="H29" s="4" t="s">
        <v>149</v>
      </c>
      <c r="I29" s="153">
        <v>27</v>
      </c>
      <c r="J29" s="12">
        <v>0.29343297101449278</v>
      </c>
      <c r="K29" s="118" t="s">
        <v>12</v>
      </c>
      <c r="L29" s="83">
        <f ca="1">IFERROR(IF(EstatisSemana[[#This Row],[atacado]]="",O4*12,O4*12-EstatisSemana[[#This Row],[atacado]]),"")</f>
        <v>60</v>
      </c>
      <c r="M29" s="83" t="str">
        <f ca="1">IFERROR(((O4*12)*U4)/S4,"")</f>
        <v/>
      </c>
      <c r="N29" s="155">
        <f ca="1">IFERROR(EstatisSemana[[#This Row],[varejo]]*I4,"")</f>
        <v>900</v>
      </c>
      <c r="O29" s="84" t="str">
        <f ca="1">IFERROR(EstatisSemana[[#This Row],[atacado]]*J4,"")</f>
        <v/>
      </c>
      <c r="P29" s="84">
        <f ca="1">IFERROR(EstatisSemana[[#This Row],[varejo]]*M4,"")</f>
        <v>150</v>
      </c>
      <c r="Q29" s="84" t="str">
        <f ca="1">IF(EstatisSemana[[#This Row],[atacado]]="","",EstatisSemana[[#This Row],[atacado]]*N4)</f>
        <v/>
      </c>
      <c r="R29" s="85">
        <f ca="1">IFERROR(SUM(EstatisSemana[[#This Row],[lucro va]:[lucro ata]])/SUM(EstatisSemana[[#This Row],[valor va]:[valor ata]]),"")</f>
        <v>0.16666666666666666</v>
      </c>
      <c r="S29" s="84">
        <f ca="1">IFERROR(($W$22*P23)/(O23-P23),"")</f>
        <v>42.055437614036698</v>
      </c>
      <c r="T29" s="84">
        <f>IFERROR(AVERAGEIF(estoque[produto],A4,estoque[lucro]),"")</f>
        <v>5.9329292929292912</v>
      </c>
      <c r="U29" s="84">
        <f ca="1">IFERROR(SUM(EstatisSemana[[#This Row],[lucro va]:[lucro ata]])/SUM(EstatisSemana[[#This Row],[varejo]:[atacado]]),"")</f>
        <v>2.5</v>
      </c>
      <c r="Z29" s="116">
        <f t="shared" si="0"/>
        <v>46205</v>
      </c>
      <c r="AA2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2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2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2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2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2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30.428571428571427</v>
      </c>
      <c r="AG2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43.709054530817134</v>
      </c>
      <c r="AH29" s="116">
        <f t="shared" si="1"/>
        <v>46205</v>
      </c>
      <c r="AI29" s="1" t="str" cm="1">
        <f t="array" ref="AI29">IFERROR(_xlfn.IFS(AQ29="","Sem Produto",AND(AQ29/(AA29/12)&gt;0,AQ29/(AA29/12)&lt;=2),"Acabando",AND(AQ29/(AA29/12)&gt;2,AQ29/(AA29/12)&lt;=3),"Fazer Pedido",AND(AQ29/(AA29/12)&gt;3,AQ29/(AA29/12)&lt;=7),"OK",AND(AQ29/(AA29/12)&gt;7,AQ29/(AA29/12)&lt;=14),"Abaixar Preço",AND(AQ29/(AA29/12)&gt;14,AQ29/(AA29/12)&lt;=20),"Estabilizando",AQ29/(AA29/12)&gt;20,"Instavel"),"Instavel")</f>
        <v>Estabilizando</v>
      </c>
      <c r="AJ29" s="1" t="str" cm="1">
        <f t="array" ref="AJ29">IFERROR(_xlfn.IFS(AR29="","Sem Produto",AND(AR29/(AB29/12)&gt;0,AR29/(AB29/12)&lt;=2),"Acabando",AND(AR29/(AB29/12)&gt;2,AR29/(AB29/12)&lt;=3),"Fazer Pedido",AND(AR29/(AB29/12)&gt;3,AR29/(AB29/12)&lt;=7),"OK",AND(AR29/(AB29/12)&gt;7,AR29/(AB29/12)&lt;=14),"Abaixar Preço",AND(AR29/(AB29/12)&gt;14,AR29/(AB29/12)&lt;=20),"Estabilizando",AR29/(AB29/12)&gt;20,"Instavel"),"Instavel")</f>
        <v>Abaixar Preço</v>
      </c>
      <c r="AK29" s="1" t="str" cm="1">
        <f t="array" ref="AK29">IFERROR(_xlfn.IFS(AS29="","Sem Produto",AND(AS29/(AC29/12)&gt;0,AS29/(AC29/12)&lt;=2),"Acabando",AND(AS29/(AC29/12)&gt;2,AS29/(AC29/12)&lt;=3),"Fazer Pedido",AND(AS29/(AC29/12)&gt;3,AS29/(AC29/12)&lt;=7),"OK",AND(AS29/(AC29/12)&gt;7,AS29/(AC29/12)&lt;=14),"Abaixar Preço",AND(AS29/(AC29/12)&gt;14,AS29/(AC29/12)&lt;=20),"Estabilizando",AS29/(AC29/12)&gt;20,"Instavel"),"Instavel")</f>
        <v>Acabando</v>
      </c>
      <c r="AL29" s="1" t="str" cm="1">
        <f t="array" ref="AL29">IFERROR(_xlfn.IFS(AT29="","Sem Produto",AND(AT29/(AD29/12)&gt;0,AT29/(AD29/12)&lt;=2),"Acabando",AND(AT29/(AD29/12)&gt;2,AT29/(AD29/12)&lt;=3),"Fazer Pedido",AND(AT29/(AD29/12)&gt;3,AT29/(AD29/12)&lt;=7),"OK",AND(AT29/(AD29/12)&gt;7,AT29/(AD29/12)&lt;=14),"Abaixar Preço",AND(AT29/(AD29/12)&gt;14,AT29/(AD29/12)&lt;=20),"Estabilizando",AT29/(AD29/12)&gt;20,"Instavel"),"Instavel")</f>
        <v>Abaixar Preço</v>
      </c>
      <c r="AM29" s="1" t="str" cm="1">
        <f t="array" ref="AM29">IFERROR(_xlfn.IFS(AU29="","Sem Produto",AND(AU29/(AE29/12)&gt;0,AU29/(AE29/12)&lt;=2),"Acabando",AND(AU29/(AE29/12)&gt;2,AU29/(AE29/12)&lt;=3),"Fazer Pedido",AND(AU29/(AE29/12)&gt;3,AU29/(AE29/12)&lt;=7),"OK",AND(AU29/(AE29/12)&gt;7,AU29/(AE29/12)&lt;=14),"Abaixar Preço",AND(AU29/(AE29/12)&gt;14,AU29/(AE29/12)&lt;=20),"Estabilizando",AU29/(AE29/12)&gt;20,"Instavel"),"Instavel")</f>
        <v>Instavel</v>
      </c>
      <c r="AN29" s="1" t="str">
        <f ca="1">IF(SUMIF(vendaAno[data],SituaçãoEstoqueFluxo[[#This Row],[data]],vendaAno[estoque])=0,"Algo errado",IF(AND(AX29/AW29&gt;0,AX29/AW29&lt;=1),"Alerta",IF(AND(AX29/AW29&gt;1,AX29/AW29&lt;=1.5),"Fazer pedido",IF(AND(AX29/AW29&gt;1.5,AX29/AW29&lt;=2),"Ok",IF(AND(AX29/AW29&gt;2,AX29/AW29&lt;=2.5),"Estabilizando",IF(AND(AX29/AW29&gt;2.5,AX29/AW29&lt;=3),"Cheio","Abaixar preço"))))))</f>
        <v>Abaixar preço</v>
      </c>
      <c r="AO29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29" s="116">
        <f t="shared" si="2"/>
        <v>46205</v>
      </c>
      <c r="AQ2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2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2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2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2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9.9166666666666661</v>
      </c>
      <c r="AV29" s="82" cm="1">
        <f t="array" aca="1" ref="AV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22.821428571428569</v>
      </c>
      <c r="AW29" s="82" cm="1">
        <f t="array" aca="1" ref="AW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7.6071428571428568</v>
      </c>
      <c r="AX29" s="82">
        <f>SUM(FluxoEstoqueDateTime[[#This Row],[OVO BRANCO A]:[OVO BRANCO JUMBO]])</f>
        <v>34.083333333333336</v>
      </c>
    </row>
    <row r="30" spans="1:79" x14ac:dyDescent="0.25">
      <c r="A30" s="4" t="s">
        <v>20</v>
      </c>
      <c r="B30" s="55" t="s">
        <v>13</v>
      </c>
      <c r="C30" s="5">
        <v>3</v>
      </c>
      <c r="D30" s="56">
        <v>20</v>
      </c>
      <c r="E30" s="56">
        <v>60</v>
      </c>
      <c r="F30" s="157">
        <v>46228</v>
      </c>
      <c r="G30" s="4" t="s">
        <v>92</v>
      </c>
      <c r="H30" s="4" t="s">
        <v>149</v>
      </c>
      <c r="I30" s="153">
        <v>13.49</v>
      </c>
      <c r="J30" s="12">
        <v>0.22488962472406177</v>
      </c>
      <c r="K30" s="118" t="s">
        <v>13</v>
      </c>
      <c r="L30" s="83">
        <f ca="1">IFERROR(IF(EstatisSemana[[#This Row],[atacado]]="",O5*12,O5*12-EstatisSemana[[#This Row],[atacado]]),"")</f>
        <v>40.588235294117645</v>
      </c>
      <c r="M30" s="83">
        <f ca="1">IFERROR(((O5*12)*U5)/S5,"")</f>
        <v>5.4117647058823524</v>
      </c>
      <c r="N30" s="155">
        <f ca="1">IFERROR(EstatisSemana[[#This Row],[varejo]]*I5,"")</f>
        <v>892.94117647058818</v>
      </c>
      <c r="O30" s="84">
        <f ca="1">IFERROR(EstatisSemana[[#This Row],[atacado]]*J5,"")</f>
        <v>108.23529411764704</v>
      </c>
      <c r="P30" s="84">
        <f ca="1">IFERROR(EstatisSemana[[#This Row],[varejo]]*M5,"")</f>
        <v>254.67338256085225</v>
      </c>
      <c r="Q30" s="84">
        <f ca="1">IF(EstatisSemana[[#This Row],[atacado]]="","",EstatisSemana[[#This Row],[atacado]]*N5)</f>
        <v>23.132921596348925</v>
      </c>
      <c r="R30" s="85">
        <f ca="1">IFERROR(SUM(EstatisSemana[[#This Row],[lucro va]:[lucro ata]])/SUM(EstatisSemana[[#This Row],[valor va]:[valor ata]]),"")</f>
        <v>0.27747985726629965</v>
      </c>
      <c r="S30" s="84">
        <f ca="1">IFERROR(($W$22*P24)/(O24-P24),"")</f>
        <v>138.39812800656324</v>
      </c>
      <c r="T30" s="84">
        <f>IFERROR(AVERAGEIF(estoque[produto],A5,estoque[lucro]),"")</f>
        <v>44.555868544600983</v>
      </c>
      <c r="U30" s="84">
        <f ca="1">IFERROR(SUM(EstatisSemana[[#This Row],[lucro va]:[lucro ata]])/SUM(EstatisSemana[[#This Row],[varejo]:[atacado]]),"")</f>
        <v>6.0392674816782863</v>
      </c>
      <c r="Z30" s="116">
        <f t="shared" si="0"/>
        <v>46204</v>
      </c>
      <c r="AA3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3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3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3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3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29.142857142857142</v>
      </c>
      <c r="AG3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43.942634868952489</v>
      </c>
      <c r="AH30" s="116">
        <f t="shared" si="1"/>
        <v>46204</v>
      </c>
      <c r="AI30" s="1" t="str" cm="1">
        <f t="array" ref="AI30">IFERROR(_xlfn.IFS(AQ30="","Sem Produto",AND(AQ30/(AA30/12)&gt;0,AQ30/(AA30/12)&lt;=2),"Acabando",AND(AQ30/(AA30/12)&gt;2,AQ30/(AA30/12)&lt;=3),"Fazer Pedido",AND(AQ30/(AA30/12)&gt;3,AQ30/(AA30/12)&lt;=7),"OK",AND(AQ30/(AA30/12)&gt;7,AQ30/(AA30/12)&lt;=14),"Abaixar Preço",AND(AQ30/(AA30/12)&gt;14,AQ30/(AA30/12)&lt;=20),"Estabilizando",AQ30/(AA30/12)&gt;20,"Instavel"),"Instavel")</f>
        <v>Estabilizando</v>
      </c>
      <c r="AJ30" s="1" t="str" cm="1">
        <f t="array" ref="AJ30">IFERROR(_xlfn.IFS(AR30="","Sem Produto",AND(AR30/(AB30/12)&gt;0,AR30/(AB30/12)&lt;=2),"Acabando",AND(AR30/(AB30/12)&gt;2,AR30/(AB30/12)&lt;=3),"Fazer Pedido",AND(AR30/(AB30/12)&gt;3,AR30/(AB30/12)&lt;=7),"OK",AND(AR30/(AB30/12)&gt;7,AR30/(AB30/12)&lt;=14),"Abaixar Preço",AND(AR30/(AB30/12)&gt;14,AR30/(AB30/12)&lt;=20),"Estabilizando",AR30/(AB30/12)&gt;20,"Instavel"),"Instavel")</f>
        <v>Abaixar Preço</v>
      </c>
      <c r="AK30" s="1" t="str" cm="1">
        <f t="array" ref="AK30">IFERROR(_xlfn.IFS(AS30="","Sem Produto",AND(AS30/(AC30/12)&gt;0,AS30/(AC30/12)&lt;=2),"Acabando",AND(AS30/(AC30/12)&gt;2,AS30/(AC30/12)&lt;=3),"Fazer Pedido",AND(AS30/(AC30/12)&gt;3,AS30/(AC30/12)&lt;=7),"OK",AND(AS30/(AC30/12)&gt;7,AS30/(AC30/12)&lt;=14),"Abaixar Preço",AND(AS30/(AC30/12)&gt;14,AS30/(AC30/12)&lt;=20),"Estabilizando",AS30/(AC30/12)&gt;20,"Instavel"),"Instavel")</f>
        <v>OK</v>
      </c>
      <c r="AL30" s="1" t="str" cm="1">
        <f t="array" ref="AL30">IFERROR(_xlfn.IFS(AT30="","Sem Produto",AND(AT30/(AD30/12)&gt;0,AT30/(AD30/12)&lt;=2),"Acabando",AND(AT30/(AD30/12)&gt;2,AT30/(AD30/12)&lt;=3),"Fazer Pedido",AND(AT30/(AD30/12)&gt;3,AT30/(AD30/12)&lt;=7),"OK",AND(AT30/(AD30/12)&gt;7,AT30/(AD30/12)&lt;=14),"Abaixar Preço",AND(AT30/(AD30/12)&gt;14,AT30/(AD30/12)&lt;=20),"Estabilizando",AT30/(AD30/12)&gt;20,"Instavel"),"Instavel")</f>
        <v>Abaixar Preço</v>
      </c>
      <c r="AM30" s="1" t="str" cm="1">
        <f t="array" ref="AM30">IFERROR(_xlfn.IFS(AU30="","Sem Produto",AND(AU30/(AE30/12)&gt;0,AU30/(AE30/12)&lt;=2),"Acabando",AND(AU30/(AE30/12)&gt;2,AU30/(AE30/12)&lt;=3),"Fazer Pedido",AND(AU30/(AE30/12)&gt;3,AU30/(AE30/12)&lt;=7),"OK",AND(AU30/(AE30/12)&gt;7,AU30/(AE30/12)&lt;=14),"Abaixar Preço",AND(AU30/(AE30/12)&gt;14,AU30/(AE30/12)&lt;=20),"Estabilizando",AU30/(AE30/12)&gt;20,"Instavel"),"Instavel")</f>
        <v>Instavel</v>
      </c>
      <c r="AN30" s="1" t="str">
        <f ca="1">IF(SUMIF(vendaAno[data],SituaçãoEstoqueFluxo[[#This Row],[data]],vendaAno[estoque])=0,"Algo errado",IF(AND(AX30/AW30&gt;0,AX30/AW30&lt;=1),"Alerta",IF(AND(AX30/AW30&gt;1,AX30/AW30&lt;=1.5),"Fazer pedido",IF(AND(AX30/AW30&gt;1.5,AX30/AW30&lt;=2),"Ok",IF(AND(AX30/AW30&gt;2,AX30/AW30&lt;=2.5),"Estabilizando",IF(AND(AX30/AW30&gt;2.5,AX30/AW30&lt;=3),"Cheio","Abaixar preço"))))))</f>
        <v>Abaixar preço</v>
      </c>
      <c r="AO30" s="82">
        <f>SUMIFS(estoque[quantidade],estoque[fornecedor],"&lt;&gt;saída",estoque[data],SituaçãoEstoqueFluxo[[#This Row],[data]])-SUMIFS(estoque[quantidade],estoque[fornecedor],"saída",estoque[data],SituaçãoEstoqueFluxo[[#This Row],[data]])</f>
        <v>139</v>
      </c>
      <c r="AP30" s="116">
        <f t="shared" si="2"/>
        <v>46204</v>
      </c>
      <c r="AQ3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8.75</v>
      </c>
      <c r="AR3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6.75</v>
      </c>
      <c r="AS3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3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3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10.666666666666666</v>
      </c>
      <c r="AV30" s="82" cm="1">
        <f t="array" aca="1" ref="AV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21.857142857142858</v>
      </c>
      <c r="AW30" s="82" cm="1">
        <f t="array" aca="1" ref="AW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7.2857142857142856</v>
      </c>
      <c r="AX30" s="82">
        <f>SUM(FluxoEstoqueDateTime[[#This Row],[OVO BRANCO A]:[OVO BRANCO JUMBO]])</f>
        <v>37.833333333333329</v>
      </c>
    </row>
    <row r="31" spans="1:79" x14ac:dyDescent="0.25">
      <c r="A31" s="4" t="s">
        <v>20</v>
      </c>
      <c r="B31" s="55" t="s">
        <v>10</v>
      </c>
      <c r="C31" s="5">
        <v>1</v>
      </c>
      <c r="D31" s="56">
        <v>19</v>
      </c>
      <c r="E31" s="56">
        <v>19</v>
      </c>
      <c r="F31" s="157">
        <v>46228</v>
      </c>
      <c r="G31" s="4" t="s">
        <v>92</v>
      </c>
      <c r="H31" s="4" t="s">
        <v>149</v>
      </c>
      <c r="I31" s="153">
        <v>3.94</v>
      </c>
      <c r="J31" s="12">
        <v>0.20739348370927305</v>
      </c>
      <c r="K31" s="118" t="s">
        <v>14</v>
      </c>
      <c r="L31" s="83">
        <f ca="1">IFERROR(IF(EstatisSemana[[#This Row],[atacado]]="",O6*12,O6*12-EstatisSemana[[#This Row],[atacado]]),"")</f>
        <v>75</v>
      </c>
      <c r="M31" s="83" t="str">
        <f ca="1">IFERROR(((O6*12)*U6)/S6,"")</f>
        <v/>
      </c>
      <c r="N31" s="155">
        <f ca="1">IFERROR(EstatisSemana[[#This Row],[varejo]]*I6,"")</f>
        <v>1725</v>
      </c>
      <c r="O31" s="84" t="str">
        <f ca="1">IFERROR(EstatisSemana[[#This Row],[atacado]]*J6,"")</f>
        <v/>
      </c>
      <c r="P31" s="84">
        <f ca="1">IFERROR(EstatisSemana[[#This Row],[varejo]]*M6,"")</f>
        <v>487.08705357142873</v>
      </c>
      <c r="Q31" s="84" t="str">
        <f ca="1">IF(EstatisSemana[[#This Row],[atacado]]="","",EstatisSemana[[#This Row],[atacado]]*N6)</f>
        <v/>
      </c>
      <c r="R31" s="85">
        <f ca="1">IFERROR(SUM(EstatisSemana[[#This Row],[lucro va]:[lucro ata]])/SUM(EstatisSemana[[#This Row],[valor va]:[valor ata]]),"")</f>
        <v>0.28236930641821956</v>
      </c>
      <c r="S31" s="84">
        <f ca="1">IFERROR(($W$22*P25)/(O25-P25),"")</f>
        <v>198.97880199892879</v>
      </c>
      <c r="T31" s="84">
        <f>IFERROR(AVERAGEIF(estoque[produto],A6,estoque[lucro]),"")</f>
        <v>33.44947368421051</v>
      </c>
      <c r="U31" s="84">
        <f ca="1">IFERROR(SUM(EstatisSemana[[#This Row],[lucro va]:[lucro ata]])/SUM(EstatisSemana[[#This Row],[varejo]:[atacado]]),"")</f>
        <v>6.4944940476190496</v>
      </c>
      <c r="Z31" s="116">
        <f t="shared" si="0"/>
        <v>46203</v>
      </c>
      <c r="AA3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3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3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3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3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3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3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44.017081450987739</v>
      </c>
      <c r="AH31" s="116">
        <f t="shared" si="1"/>
        <v>46203</v>
      </c>
      <c r="AI31" s="1" t="str" cm="1">
        <f t="array" ref="AI31">IFERROR(_xlfn.IFS(AQ31="","Sem Produto",AND(AQ31/(AA31/12)&gt;0,AQ31/(AA31/12)&lt;=2),"Acabando",AND(AQ31/(AA31/12)&gt;2,AQ31/(AA31/12)&lt;=3),"Fazer Pedido",AND(AQ31/(AA31/12)&gt;3,AQ31/(AA31/12)&lt;=7),"OK",AND(AQ31/(AA31/12)&gt;7,AQ31/(AA31/12)&lt;=14),"Abaixar Preço",AND(AQ31/(AA31/12)&gt;14,AQ31/(AA31/12)&lt;=20),"Estabilizando",AQ31/(AA31/12)&gt;20,"Instavel"),"Instavel")</f>
        <v>Instavel</v>
      </c>
      <c r="AJ31" s="1" t="str" cm="1">
        <f t="array" ref="AJ31">IFERROR(_xlfn.IFS(AR31="","Sem Produto",AND(AR31/(AB31/12)&gt;0,AR31/(AB31/12)&lt;=2),"Acabando",AND(AR31/(AB31/12)&gt;2,AR31/(AB31/12)&lt;=3),"Fazer Pedido",AND(AR31/(AB31/12)&gt;3,AR31/(AB31/12)&lt;=7),"OK",AND(AR31/(AB31/12)&gt;7,AR31/(AB31/12)&lt;=14),"Abaixar Preço",AND(AR31/(AB31/12)&gt;14,AR31/(AB31/12)&lt;=20),"Estabilizando",AR31/(AB31/12)&gt;20,"Instavel"),"Instavel")</f>
        <v>Estabilizando</v>
      </c>
      <c r="AK31" s="1" t="str" cm="1">
        <f t="array" ref="AK31">IFERROR(_xlfn.IFS(AS31="","Sem Produto",AND(AS31/(AC31/12)&gt;0,AS31/(AC31/12)&lt;=2),"Acabando",AND(AS31/(AC31/12)&gt;2,AS31/(AC31/12)&lt;=3),"Fazer Pedido",AND(AS31/(AC31/12)&gt;3,AS31/(AC31/12)&lt;=7),"OK",AND(AS31/(AC31/12)&gt;7,AS31/(AC31/12)&lt;=14),"Abaixar Preço",AND(AS31/(AC31/12)&gt;14,AS31/(AC31/12)&lt;=20),"Estabilizando",AS31/(AC31/12)&gt;20,"Instavel"),"Instavel")</f>
        <v>OK</v>
      </c>
      <c r="AL31" s="1" t="str" cm="1">
        <f t="array" ref="AL31">IFERROR(_xlfn.IFS(AT31="","Sem Produto",AND(AT31/(AD31/12)&gt;0,AT31/(AD31/12)&lt;=2),"Acabando",AND(AT31/(AD31/12)&gt;2,AT31/(AD31/12)&lt;=3),"Fazer Pedido",AND(AT31/(AD31/12)&gt;3,AT31/(AD31/12)&lt;=7),"OK",AND(AT31/(AD31/12)&gt;7,AT31/(AD31/12)&lt;=14),"Abaixar Preço",AND(AT31/(AD31/12)&gt;14,AT31/(AD31/12)&lt;=20),"Estabilizando",AT31/(AD31/12)&gt;20,"Instavel"),"Instavel")</f>
        <v>Abaixar Preço</v>
      </c>
      <c r="AM31" s="1" t="str" cm="1">
        <f t="array" ref="AM31">IFERROR(_xlfn.IFS(AU31="","Sem Produto",AND(AU31/(AE31/12)&gt;0,AU31/(AE31/12)&lt;=2),"Acabando",AND(AU31/(AE31/12)&gt;2,AU31/(AE31/12)&lt;=3),"Fazer Pedido",AND(AU31/(AE31/12)&gt;3,AU31/(AE31/12)&lt;=7),"OK",AND(AU31/(AE31/12)&gt;7,AU31/(AE31/12)&lt;=14),"Abaixar Preço",AND(AU31/(AE31/12)&gt;14,AU31/(AE31/12)&lt;=20),"Estabilizando",AU31/(AE31/12)&gt;20,"Instavel"),"Instavel")</f>
        <v>Fazer Pedido</v>
      </c>
      <c r="AN31" s="1" t="str">
        <f ca="1">IF(SUMIF(vendaAno[data],SituaçãoEstoqueFluxo[[#This Row],[data]],vendaAno[estoque])=0,"Algo errado",IF(AND(AX31/AW31&gt;0,AX31/AW31&lt;=1),"Alerta",IF(AND(AX31/AW31&gt;1,AX31/AW31&lt;=1.5),"Fazer pedido",IF(AND(AX31/AW31&gt;1.5,AX31/AW31&lt;=2),"Ok",IF(AND(AX31/AW31&gt;2,AX31/AW31&lt;=2.5),"Estabilizando",IF(AND(AX31/AW31&gt;2.5,AX31/AW31&lt;=3),"Cheio","Abaixar preço"))))))</f>
        <v>Abaixar preço</v>
      </c>
      <c r="AO31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31" s="116">
        <f t="shared" si="2"/>
        <v>46203</v>
      </c>
      <c r="AQ3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10.416666666666666</v>
      </c>
      <c r="AR3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3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3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7.083333333333333</v>
      </c>
      <c r="AU3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</v>
      </c>
      <c r="AV31" s="82" cm="1">
        <f t="array" aca="1" ref="AV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31" s="82" cm="1">
        <f t="array" aca="1" ref="AW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31" s="82">
        <f>SUM(FluxoEstoqueDateTime[[#This Row],[OVO BRANCO A]:[OVO BRANCO JUMBO]])</f>
        <v>26.249999999999996</v>
      </c>
    </row>
    <row r="32" spans="1:79" x14ac:dyDescent="0.25">
      <c r="A32" s="4" t="s">
        <v>31</v>
      </c>
      <c r="B32" s="55" t="s">
        <v>12</v>
      </c>
      <c r="C32" s="5">
        <v>60</v>
      </c>
      <c r="D32" s="56">
        <v>150</v>
      </c>
      <c r="E32" s="56">
        <v>750</v>
      </c>
      <c r="F32" s="157">
        <v>46227</v>
      </c>
      <c r="G32" s="4" t="s">
        <v>83</v>
      </c>
      <c r="H32" s="4" t="s">
        <v>149</v>
      </c>
      <c r="I32" s="153"/>
      <c r="J32" s="12"/>
      <c r="K32" s="72" t="s">
        <v>226</v>
      </c>
      <c r="L32" s="72" t="s">
        <v>22</v>
      </c>
      <c r="M32" s="72" t="s">
        <v>102</v>
      </c>
      <c r="N32" s="72" t="s">
        <v>169</v>
      </c>
      <c r="O32" s="72" t="s">
        <v>170</v>
      </c>
      <c r="P32" s="72" t="s">
        <v>7</v>
      </c>
      <c r="Q32" s="73" t="s">
        <v>8</v>
      </c>
      <c r="R32" s="72" t="s">
        <v>172</v>
      </c>
      <c r="S32" s="72" t="s">
        <v>173</v>
      </c>
      <c r="T32" s="72" t="s">
        <v>174</v>
      </c>
      <c r="U32" s="72" t="s">
        <v>175</v>
      </c>
      <c r="Z32" s="116">
        <f t="shared" si="0"/>
        <v>46202</v>
      </c>
      <c r="AA3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3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3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3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3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3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45.393780671374202</v>
      </c>
      <c r="AH32" s="116">
        <f t="shared" si="1"/>
        <v>46202</v>
      </c>
      <c r="AI32" s="1" t="str" cm="1">
        <f t="array" ref="AI32">IFERROR(_xlfn.IFS(AQ32="","Sem Produto",AND(AQ32/(AA32/12)&gt;0,AQ32/(AA32/12)&lt;=2),"Acabando",AND(AQ32/(AA32/12)&gt;2,AQ32/(AA32/12)&lt;=3),"Fazer Pedido",AND(AQ32/(AA32/12)&gt;3,AQ32/(AA32/12)&lt;=7),"OK",AND(AQ32/(AA32/12)&gt;7,AQ32/(AA32/12)&lt;=14),"Abaixar Preço",AND(AQ32/(AA32/12)&gt;14,AQ32/(AA32/12)&lt;=20),"Estabilizando",AQ32/(AA32/12)&gt;20,"Instavel"),"Instavel")</f>
        <v>Abaixar Preço</v>
      </c>
      <c r="AJ32" s="1" t="str" cm="1">
        <f t="array" ref="AJ32">IFERROR(_xlfn.IFS(AR32="","Sem Produto",AND(AR32/(AB32/12)&gt;0,AR32/(AB32/12)&lt;=2),"Acabando",AND(AR32/(AB32/12)&gt;2,AR32/(AB32/12)&lt;=3),"Fazer Pedido",AND(AR32/(AB32/12)&gt;3,AR32/(AB32/12)&lt;=7),"OK",AND(AR32/(AB32/12)&gt;7,AR32/(AB32/12)&lt;=14),"Abaixar Preço",AND(AR32/(AB32/12)&gt;14,AR32/(AB32/12)&lt;=20),"Estabilizando",AR32/(AB32/12)&gt;20,"Instavel"),"Instavel")</f>
        <v>Instavel</v>
      </c>
      <c r="AK32" s="1" t="str" cm="1">
        <f t="array" ref="AK32">IFERROR(_xlfn.IFS(AS32="","Sem Produto",AND(AS32/(AC32/12)&gt;0,AS32/(AC32/12)&lt;=2),"Acabando",AND(AS32/(AC32/12)&gt;2,AS32/(AC32/12)&lt;=3),"Fazer Pedido",AND(AS32/(AC32/12)&gt;3,AS32/(AC32/12)&lt;=7),"OK",AND(AS32/(AC32/12)&gt;7,AS32/(AC32/12)&lt;=14),"Abaixar Preço",AND(AS32/(AC32/12)&gt;14,AS32/(AC32/12)&lt;=20),"Estabilizando",AS32/(AC32/12)&gt;20,"Instavel"),"Instavel")</f>
        <v>OK</v>
      </c>
      <c r="AL32" s="1" t="str" cm="1">
        <f t="array" ref="AL32">IFERROR(_xlfn.IFS(AT32="","Sem Produto",AND(AT32/(AD32/12)&gt;0,AT32/(AD32/12)&lt;=2),"Acabando",AND(AT32/(AD32/12)&gt;2,AT32/(AD32/12)&lt;=3),"Fazer Pedido",AND(AT32/(AD32/12)&gt;3,AT32/(AD32/12)&lt;=7),"OK",AND(AT32/(AD32/12)&gt;7,AT32/(AD32/12)&lt;=14),"Abaixar Preço",AND(AT32/(AD32/12)&gt;14,AT32/(AD32/12)&lt;=20),"Estabilizando",AT32/(AD32/12)&gt;20,"Instavel"),"Instavel")</f>
        <v>Abaixar Preço</v>
      </c>
      <c r="AM32" s="1" t="str" cm="1">
        <f t="array" ref="AM32">IFERROR(_xlfn.IFS(AU32="","Sem Produto",AND(AU32/(AE32/12)&gt;0,AU32/(AE32/12)&lt;=2),"Acabando",AND(AU32/(AE32/12)&gt;2,AU32/(AE32/12)&lt;=3),"Fazer Pedido",AND(AU32/(AE32/12)&gt;3,AU32/(AE32/12)&lt;=7),"OK",AND(AU32/(AE32/12)&gt;7,AU32/(AE32/12)&lt;=14),"Abaixar Preço",AND(AU32/(AE32/12)&gt;14,AU32/(AE32/12)&lt;=20),"Estabilizando",AU32/(AE32/12)&gt;20,"Instavel"),"Instavel")</f>
        <v>OK</v>
      </c>
      <c r="AN32" s="1" t="str">
        <f ca="1">IF(SUMIF(vendaAno[data],SituaçãoEstoqueFluxo[[#This Row],[data]],vendaAno[estoque])=0,"Algo errado",IF(AND(AX32/AW32&gt;0,AX32/AW32&lt;=1),"Alerta",IF(AND(AX32/AW32&gt;1,AX32/AW32&lt;=1.5),"Fazer pedido",IF(AND(AX32/AW32&gt;1.5,AX32/AW32&lt;=2),"Ok",IF(AND(AX32/AW32&gt;2,AX32/AW32&lt;=2.5),"Estabilizando",IF(AND(AX32/AW32&gt;2.5,AX32/AW32&lt;=3),"Cheio","Abaixar preço"))))))</f>
        <v>Abaixar preço</v>
      </c>
      <c r="AO32" s="82">
        <f>SUMIFS(estoque[quantidade],estoque[fornecedor],"&lt;&gt;saída",estoque[data],SituaçãoEstoqueFluxo[[#This Row],[data]])-SUMIFS(estoque[quantidade],estoque[fornecedor],"saída",estoque[data],SituaçãoEstoqueFluxo[[#This Row],[data]])</f>
        <v>-18</v>
      </c>
      <c r="AP32" s="116">
        <f t="shared" si="2"/>
        <v>46202</v>
      </c>
      <c r="AQ3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</v>
      </c>
      <c r="AR3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</v>
      </c>
      <c r="AS3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0.66666666666666663</v>
      </c>
      <c r="AT3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7.666666666666667</v>
      </c>
      <c r="AU3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1.75</v>
      </c>
      <c r="AV32" s="82" cm="1">
        <f t="array" aca="1" ref="AV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32" s="82" cm="1">
        <f t="array" aca="1" ref="AW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32" s="82">
        <f>SUM(FluxoEstoqueDateTime[[#This Row],[OVO BRANCO A]:[OVO BRANCO JUMBO]])</f>
        <v>30.083333333333336</v>
      </c>
    </row>
    <row r="33" spans="1:50" ht="27" customHeight="1" x14ac:dyDescent="0.25">
      <c r="A33" s="4" t="s">
        <v>31</v>
      </c>
      <c r="B33" s="55" t="s">
        <v>14</v>
      </c>
      <c r="C33" s="5">
        <v>60</v>
      </c>
      <c r="D33" s="56">
        <v>200</v>
      </c>
      <c r="E33" s="56">
        <v>1000</v>
      </c>
      <c r="F33" s="157">
        <v>46227</v>
      </c>
      <c r="G33" s="4" t="s">
        <v>83</v>
      </c>
      <c r="H33" s="4" t="s">
        <v>149</v>
      </c>
      <c r="I33" s="153"/>
      <c r="J33" s="12"/>
      <c r="K33" s="118" t="s">
        <v>10</v>
      </c>
      <c r="L33" s="81">
        <f>IF(SUMIFS(aprazo[quantidade],aprazo[produto],EstatisMês55[[#This Row],[global]],aprazo[atacado],"atacado")/12=0,"",SUMIFS(aprazo[quantidade],aprazo[produto],EstatisMês55[[#This Row],[global]],aprazo[atacado],"atacado")/12)</f>
        <v>26.916666666666668</v>
      </c>
      <c r="M33" s="81">
        <f>IF(SUMIFS(estoque[quantidade],estoque[fornecedor],"saída",estoque[produto],EstatisMês55[[#This Row],[global]])/12=0,"",SUMIFS(estoque[quantidade],estoque[fornecedor],"saída",estoque[produto],EstatisMês55[[#This Row],[global]])/12)</f>
        <v>135.33333333333334</v>
      </c>
      <c r="N33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27040.42</v>
      </c>
      <c r="O33" s="8">
        <f>IF(SUMIFS(estoque[valor total],estoque[fornecedor],"saída",estoque[produto],EstatisMês55[[#This Row],[global]])=0,"",SUMIFS(estoque[valor total],estoque[fornecedor],"saída",estoque[produto],EstatisMês55[[#This Row],[global]]))</f>
        <v>30344</v>
      </c>
      <c r="P33" s="8">
        <f>IF(SUMIFS(estoque[lucro],estoque[fornecedor],"saída",estoque[produto],EstatisMês55[[#This Row],[global]])=0,"",SUMIFS(estoque[lucro],estoque[fornecedor],"saída",estoque[produto],EstatisMês55[[#This Row],[global]]))</f>
        <v>5333.4173515472512</v>
      </c>
      <c r="Q33" s="10">
        <f>IF(IFERROR(EstatisMês55[[#This Row],[lucro]]/EstatisMês55[[#This Row],[valor venda]],0)=0,"",IFERROR(EstatisMês55[[#This Row],[lucro]]/EstatisMês55[[#This Row],[valor venda]],0))</f>
        <v>0.17576513813430172</v>
      </c>
      <c r="R33" s="10">
        <f>IFERROR(EstatisMês55[[#This Row],[lucro]]/SUM(EstatisMês55[lucro]),"")</f>
        <v>0.20159533459128381</v>
      </c>
      <c r="S33" s="10">
        <f>IFERROR(EstatisMês55[[#This Row],[valor venda]]/SUM(EstatisMês55[valor venda]),"")</f>
        <v>0.23152136178264734</v>
      </c>
      <c r="T33" s="10">
        <f>IFERROR((EstatisMês55[[#This Row],[venda]]-EstatisMês55[[#This Row],[atacado]])/(SUM(EstatisMês55[venda])-SUM(EstatisMês55[atacado])),"")</f>
        <v>0.23771240635848712</v>
      </c>
      <c r="U33" s="10">
        <f>IFERROR(EstatisMês55[[#This Row],[atacado]]/SUM(EstatisMês55[atacado]),"")</f>
        <v>0.23767476085356881</v>
      </c>
      <c r="Z33" s="116">
        <f t="shared" si="0"/>
        <v>46201</v>
      </c>
      <c r="AA3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12.142857142857142</v>
      </c>
      <c r="AB3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4.8571428571428568</v>
      </c>
      <c r="AC3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3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3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3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46.750663247258593</v>
      </c>
      <c r="AH33" s="116">
        <f t="shared" si="1"/>
        <v>46201</v>
      </c>
      <c r="AI33" s="1" t="str" cm="1">
        <f t="array" ref="AI33">IFERROR(_xlfn.IFS(AQ33="","Sem Produto",AND(AQ33/(AA33/12)&gt;0,AQ33/(AA33/12)&lt;=2),"Acabando",AND(AQ33/(AA33/12)&gt;2,AQ33/(AA33/12)&lt;=3),"Fazer Pedido",AND(AQ33/(AA33/12)&gt;3,AQ33/(AA33/12)&lt;=7),"OK",AND(AQ33/(AA33/12)&gt;7,AQ33/(AA33/12)&lt;=14),"Abaixar Preço",AND(AQ33/(AA33/12)&gt;14,AQ33/(AA33/12)&lt;=20),"Estabilizando",AQ33/(AA33/12)&gt;20,"Instavel"),"Instavel")</f>
        <v>Abaixar Preço</v>
      </c>
      <c r="AJ33" s="1" t="str" cm="1">
        <f t="array" ref="AJ33">IFERROR(_xlfn.IFS(AR33="","Sem Produto",AND(AR33/(AB33/12)&gt;0,AR33/(AB33/12)&lt;=2),"Acabando",AND(AR33/(AB33/12)&gt;2,AR33/(AB33/12)&lt;=3),"Fazer Pedido",AND(AR33/(AB33/12)&gt;3,AR33/(AB33/12)&lt;=7),"OK",AND(AR33/(AB33/12)&gt;7,AR33/(AB33/12)&lt;=14),"Abaixar Preço",AND(AR33/(AB33/12)&gt;14,AR33/(AB33/12)&lt;=20),"Estabilizando",AR33/(AB33/12)&gt;20,"Instavel"),"Instavel")</f>
        <v>Instavel</v>
      </c>
      <c r="AK33" s="1" t="str" cm="1">
        <f t="array" ref="AK33">IFERROR(_xlfn.IFS(AS33="","Sem Produto",AND(AS33/(AC33/12)&gt;0,AS33/(AC33/12)&lt;=2),"Acabando",AND(AS33/(AC33/12)&gt;2,AS33/(AC33/12)&lt;=3),"Fazer Pedido",AND(AS33/(AC33/12)&gt;3,AS33/(AC33/12)&lt;=7),"OK",AND(AS33/(AC33/12)&gt;7,AS33/(AC33/12)&lt;=14),"Abaixar Preço",AND(AS33/(AC33/12)&gt;14,AS33/(AC33/12)&lt;=20),"Estabilizando",AS33/(AC33/12)&gt;20,"Instavel"),"Instavel")</f>
        <v>OK</v>
      </c>
      <c r="AL33" s="1" t="str" cm="1">
        <f t="array" ref="AL33">IFERROR(_xlfn.IFS(AT33="","Sem Produto",AND(AT33/(AD33/12)&gt;0,AT33/(AD33/12)&lt;=2),"Acabando",AND(AT33/(AD33/12)&gt;2,AT33/(AD33/12)&lt;=3),"Fazer Pedido",AND(AT33/(AD33/12)&gt;3,AT33/(AD33/12)&lt;=7),"OK",AND(AT33/(AD33/12)&gt;7,AT33/(AD33/12)&lt;=14),"Abaixar Preço",AND(AT33/(AD33/12)&gt;14,AT33/(AD33/12)&lt;=20),"Estabilizando",AT33/(AD33/12)&gt;20,"Instavel"),"Instavel")</f>
        <v>Abaixar Preço</v>
      </c>
      <c r="AM33" s="1" t="str" cm="1">
        <f t="array" ref="AM33">IFERROR(_xlfn.IFS(AU33="","Sem Produto",AND(AU33/(AE33/12)&gt;0,AU33/(AE33/12)&lt;=2),"Acabando",AND(AU33/(AE33/12)&gt;2,AU33/(AE33/12)&lt;=3),"Fazer Pedido",AND(AU33/(AE33/12)&gt;3,AU33/(AE33/12)&lt;=7),"OK",AND(AU33/(AE33/12)&gt;7,AU33/(AE33/12)&lt;=14),"Abaixar Preço",AND(AU33/(AE33/12)&gt;14,AU33/(AE33/12)&lt;=20),"Estabilizando",AU33/(AE33/12)&gt;20,"Instavel"),"Instavel")</f>
        <v>OK</v>
      </c>
      <c r="AN33" s="1" t="str">
        <f ca="1">IF(SUMIF(vendaAno[data],SituaçãoEstoqueFluxo[[#This Row],[data]],vendaAno[estoque])=0,"Algo errado",IF(AND(AX33/AW33&gt;0,AX33/AW33&lt;=1),"Alerta",IF(AND(AX33/AW33&gt;1,AX33/AW33&lt;=1.5),"Fazer pedido",IF(AND(AX33/AW33&gt;1.5,AX33/AW33&lt;=2),"Ok",IF(AND(AX33/AW33&gt;2,AX33/AW33&lt;=2.5),"Estabilizando",IF(AND(AX33/AW33&gt;2.5,AX33/AW33&lt;=3),"Cheio","Abaixar preço"))))))</f>
        <v>Abaixar preço</v>
      </c>
      <c r="AO33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33" s="116">
        <f t="shared" si="2"/>
        <v>46201</v>
      </c>
      <c r="AQ3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3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9.0833333333333339</v>
      </c>
      <c r="AS3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0.75</v>
      </c>
      <c r="AT3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8.75</v>
      </c>
      <c r="AU3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33" s="82" cm="1">
        <f t="array" aca="1" ref="AV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26.142857142857139</v>
      </c>
      <c r="AW33" s="82" cm="1">
        <f t="array" aca="1" ref="AW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33" s="82">
        <f>SUM(FluxoEstoqueDateTime[[#This Row],[OVO BRANCO A]:[OVO BRANCO JUMBO]])</f>
        <v>31.583333333333332</v>
      </c>
    </row>
    <row r="34" spans="1:50" x14ac:dyDescent="0.25">
      <c r="A34" s="4" t="s">
        <v>31</v>
      </c>
      <c r="B34" s="55" t="s">
        <v>13</v>
      </c>
      <c r="C34" s="5">
        <v>60</v>
      </c>
      <c r="D34" s="56">
        <v>190</v>
      </c>
      <c r="E34" s="56">
        <v>950</v>
      </c>
      <c r="F34" s="157">
        <v>46227</v>
      </c>
      <c r="G34" s="4" t="s">
        <v>83</v>
      </c>
      <c r="H34" s="4" t="s">
        <v>149</v>
      </c>
      <c r="I34" s="153"/>
      <c r="J34" s="12"/>
      <c r="K34" s="118" t="s">
        <v>11</v>
      </c>
      <c r="L34" s="81">
        <f>IF(SUMIFS(aprazo[quantidade],aprazo[produto],EstatisMês55[[#This Row],[global]],aprazo[atacado],"atacado")/12=0,"",SUMIFS(aprazo[quantidade],aprazo[produto],EstatisMês55[[#This Row],[global]],aprazo[atacado],"atacado")/12)</f>
        <v>62</v>
      </c>
      <c r="M34" s="81">
        <f>IF(SUMIFS(estoque[quantidade],estoque[fornecedor],"saída",estoque[produto],EstatisMês55[[#This Row],[global]])/12=0,"",SUMIFS(estoque[quantidade],estoque[fornecedor],"saída",estoque[produto],EstatisMês55[[#This Row],[global]])/12)</f>
        <v>148.25</v>
      </c>
      <c r="N34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25951.81</v>
      </c>
      <c r="O34" s="8">
        <f>IF(SUMIFS(estoque[valor total],estoque[fornecedor],"saída",estoque[produto],EstatisMês55[[#This Row],[global]])=0,"",SUMIFS(estoque[valor total],estoque[fornecedor],"saída",estoque[produto],EstatisMês55[[#This Row],[global]]))</f>
        <v>30408.5</v>
      </c>
      <c r="P34" s="8">
        <f>IF(SUMIFS(estoque[lucro],estoque[fornecedor],"saída",estoque[produto],EstatisMês55[[#This Row],[global]])=0,"",SUMIFS(estoque[lucro],estoque[fornecedor],"saída",estoque[produto],EstatisMês55[[#This Row],[global]]))</f>
        <v>4689.4781041023971</v>
      </c>
      <c r="Q34" s="10">
        <f>IF(IFERROR(EstatisMês55[[#This Row],[lucro]]/EstatisMês55[[#This Row],[valor venda]],0)=0,"",IFERROR(EstatisMês55[[#This Row],[lucro]]/EstatisMês55[[#This Row],[valor venda]],0))</f>
        <v>0.15421602854801772</v>
      </c>
      <c r="R34" s="10">
        <f>IFERROR(EstatisMês55[[#This Row],[lucro]]/SUM(EstatisMês55[lucro]),"")</f>
        <v>0.1772553777702702</v>
      </c>
      <c r="S34" s="10">
        <f>IFERROR(EstatisMês55[[#This Row],[valor venda]]/SUM(EstatisMês55[valor venda]),"")</f>
        <v>0.23201348964433272</v>
      </c>
      <c r="T34" s="10">
        <f>IFERROR((EstatisMês55[[#This Row],[venda]]-EstatisMês55[[#This Row],[atacado]])/(SUM(EstatisMês55[venda])-SUM(EstatisMês55[atacado])),"")</f>
        <v>0.18911017723369267</v>
      </c>
      <c r="U34" s="10">
        <f>IFERROR(EstatisMês55[[#This Row],[atacado]]/SUM(EstatisMês55[atacado]),"")</f>
        <v>0.54746136865342165</v>
      </c>
      <c r="Z34" s="116">
        <f t="shared" si="0"/>
        <v>46200</v>
      </c>
      <c r="AA3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11.714285714285714</v>
      </c>
      <c r="AB3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3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3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12.857142857142858</v>
      </c>
      <c r="AE3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3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3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49.188063593631881</v>
      </c>
      <c r="AH34" s="116">
        <f t="shared" si="1"/>
        <v>46200</v>
      </c>
      <c r="AI34" s="1" t="str" cm="1">
        <f t="array" ref="AI34">IFERROR(_xlfn.IFS(AQ34="","Sem Produto",AND(AQ34/(AA34/12)&gt;0,AQ34/(AA34/12)&lt;=2),"Acabando",AND(AQ34/(AA34/12)&gt;2,AQ34/(AA34/12)&lt;=3),"Fazer Pedido",AND(AQ34/(AA34/12)&gt;3,AQ34/(AA34/12)&lt;=7),"OK",AND(AQ34/(AA34/12)&gt;7,AQ34/(AA34/12)&lt;=14),"Abaixar Preço",AND(AQ34/(AA34/12)&gt;14,AQ34/(AA34/12)&lt;=20),"Estabilizando",AQ34/(AA34/12)&gt;20,"Instavel"),"Instavel")</f>
        <v>Abaixar Preço</v>
      </c>
      <c r="AJ34" s="1" t="str" cm="1">
        <f t="array" ref="AJ34">IFERROR(_xlfn.IFS(AR34="","Sem Produto",AND(AR34/(AB34/12)&gt;0,AR34/(AB34/12)&lt;=2),"Acabando",AND(AR34/(AB34/12)&gt;2,AR34/(AB34/12)&lt;=3),"Fazer Pedido",AND(AR34/(AB34/12)&gt;3,AR34/(AB34/12)&lt;=7),"OK",AND(AR34/(AB34/12)&gt;7,AR34/(AB34/12)&lt;=14),"Abaixar Preço",AND(AR34/(AB34/12)&gt;14,AR34/(AB34/12)&lt;=20),"Estabilizando",AR34/(AB34/12)&gt;20,"Instavel"),"Instavel")</f>
        <v>Estabilizando</v>
      </c>
      <c r="AK34" s="1" t="str" cm="1">
        <f t="array" ref="AK34">IFERROR(_xlfn.IFS(AS34="","Sem Produto",AND(AS34/(AC34/12)&gt;0,AS34/(AC34/12)&lt;=2),"Acabando",AND(AS34/(AC34/12)&gt;2,AS34/(AC34/12)&lt;=3),"Fazer Pedido",AND(AS34/(AC34/12)&gt;3,AS34/(AC34/12)&lt;=7),"OK",AND(AS34/(AC34/12)&gt;7,AS34/(AC34/12)&lt;=14),"Abaixar Preço",AND(AS34/(AC34/12)&gt;14,AS34/(AC34/12)&lt;=20),"Estabilizando",AS34/(AC34/12)&gt;20,"Instavel"),"Instavel")</f>
        <v>OK</v>
      </c>
      <c r="AL34" s="1" t="str" cm="1">
        <f t="array" ref="AL34">IFERROR(_xlfn.IFS(AT34="","Sem Produto",AND(AT34/(AD34/12)&gt;0,AT34/(AD34/12)&lt;=2),"Acabando",AND(AT34/(AD34/12)&gt;2,AT34/(AD34/12)&lt;=3),"Fazer Pedido",AND(AT34/(AD34/12)&gt;3,AT34/(AD34/12)&lt;=7),"OK",AND(AT34/(AD34/12)&gt;7,AT34/(AD34/12)&lt;=14),"Abaixar Preço",AND(AT34/(AD34/12)&gt;14,AT34/(AD34/12)&lt;=20),"Estabilizando",AT34/(AD34/12)&gt;20,"Instavel"),"Instavel")</f>
        <v>Abaixar Preço</v>
      </c>
      <c r="AM34" s="1" t="str" cm="1">
        <f t="array" ref="AM34">IFERROR(_xlfn.IFS(AU34="","Sem Produto",AND(AU34/(AE34/12)&gt;0,AU34/(AE34/12)&lt;=2),"Acabando",AND(AU34/(AE34/12)&gt;2,AU34/(AE34/12)&lt;=3),"Fazer Pedido",AND(AU34/(AE34/12)&gt;3,AU34/(AE34/12)&lt;=7),"OK",AND(AU34/(AE34/12)&gt;7,AU34/(AE34/12)&lt;=14),"Abaixar Preço",AND(AU34/(AE34/12)&gt;14,AU34/(AE34/12)&lt;=20),"Estabilizando",AU34/(AE34/12)&gt;20,"Instavel"),"Instavel")</f>
        <v>OK</v>
      </c>
      <c r="AN34" s="1" t="str">
        <f ca="1">IF(SUMIF(vendaAno[data],SituaçãoEstoqueFluxo[[#This Row],[data]],vendaAno[estoque])=0,"Algo errado",IF(AND(AX34/AW34&gt;0,AX34/AW34&lt;=1),"Alerta",IF(AND(AX34/AW34&gt;1,AX34/AW34&lt;=1.5),"Fazer pedido",IF(AND(AX34/AW34&gt;1.5,AX34/AW34&lt;=2),"Ok",IF(AND(AX34/AW34&gt;2,AX34/AW34&lt;=2.5),"Estabilizando",IF(AND(AX34/AW34&gt;2.5,AX34/AW34&lt;=3),"Cheio","Abaixar preço"))))))</f>
        <v>Abaixar preço</v>
      </c>
      <c r="AO34" s="82">
        <f>SUMIFS(estoque[quantidade],estoque[fornecedor],"&lt;&gt;saída",estoque[data],SituaçãoEstoqueFluxo[[#This Row],[data]])-SUMIFS(estoque[quantidade],estoque[fornecedor],"saída",estoque[data],SituaçãoEstoqueFluxo[[#This Row],[data]])</f>
        <v>-22</v>
      </c>
      <c r="AP34" s="116">
        <f t="shared" si="2"/>
        <v>46200</v>
      </c>
      <c r="AQ3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11.75</v>
      </c>
      <c r="AR3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3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0.75</v>
      </c>
      <c r="AT3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3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2.3333333333333335</v>
      </c>
      <c r="AV34" s="82" cm="1">
        <f t="array" aca="1" ref="AV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</v>
      </c>
      <c r="AW34" s="82" cm="1">
        <f t="array" aca="1" ref="AW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34" s="82">
        <f>SUM(FluxoEstoqueDateTime[[#This Row],[OVO BRANCO A]:[OVO BRANCO JUMBO]])</f>
        <v>33.666666666666671</v>
      </c>
    </row>
    <row r="35" spans="1:50" x14ac:dyDescent="0.25">
      <c r="A35" s="4" t="s">
        <v>31</v>
      </c>
      <c r="B35" s="55" t="s">
        <v>10</v>
      </c>
      <c r="C35" s="5">
        <v>120</v>
      </c>
      <c r="D35" s="56">
        <v>185</v>
      </c>
      <c r="E35" s="56">
        <v>1850</v>
      </c>
      <c r="F35" s="157">
        <v>46227</v>
      </c>
      <c r="G35" s="4" t="s">
        <v>83</v>
      </c>
      <c r="H35" s="4" t="s">
        <v>149</v>
      </c>
      <c r="I35" s="153"/>
      <c r="J35" s="12"/>
      <c r="K35" s="118" t="s">
        <v>12</v>
      </c>
      <c r="L35" s="81">
        <f>IF(SUMIFS(aprazo[quantidade],aprazo[produto],EstatisMês55[[#This Row],[global]],aprazo[atacado],"atacado")/12=0,"",SUMIFS(aprazo[quantidade],aprazo[produto],EstatisMês55[[#This Row],[global]],aprazo[atacado],"atacado")/12)</f>
        <v>2.75</v>
      </c>
      <c r="M35" s="81">
        <f>IF(SUMIFS(estoque[quantidade],estoque[fornecedor],"saída",estoque[produto],EstatisMês55[[#This Row],[global]])/12=0,"",SUMIFS(estoque[quantidade],estoque[fornecedor],"saída",estoque[produto],EstatisMês55[[#This Row],[global]])/12)</f>
        <v>27.75</v>
      </c>
      <c r="N35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5111.25</v>
      </c>
      <c r="O35" s="8">
        <f>IF(SUMIFS(estoque[valor total],estoque[fornecedor],"saída",estoque[produto],EstatisMês55[[#This Row],[global]])=0,"",SUMIFS(estoque[valor total],estoque[fornecedor],"saída",estoque[produto],EstatisMês55[[#This Row],[global]]))</f>
        <v>4948.5</v>
      </c>
      <c r="P35" s="8">
        <f>IF(SUMIFS(estoque[lucro],estoque[fornecedor],"saída",estoque[produto],EstatisMês55[[#This Row],[global]])=0,"",SUMIFS(estoque[lucro],estoque[fornecedor],"saída",estoque[produto],EstatisMês55[[#This Row],[global]]))</f>
        <v>587.35999999999979</v>
      </c>
      <c r="Q35" s="10">
        <f>IF(IFERROR(EstatisMês55[[#This Row],[lucro]]/EstatisMês55[[#This Row],[valor venda]],0)=0,"",IFERROR(EstatisMês55[[#This Row],[lucro]]/EstatisMês55[[#This Row],[valor venda]],0))</f>
        <v>0.11869455390522377</v>
      </c>
      <c r="R35" s="10">
        <f>IFERROR(EstatisMês55[[#This Row],[lucro]]/SUM(EstatisMês55[lucro]),"")</f>
        <v>2.220134445154294E-2</v>
      </c>
      <c r="S35" s="10">
        <f>IFERROR(EstatisMês55[[#This Row],[valor venda]]/SUM(EstatisMês55[valor venda]),"")</f>
        <v>3.7756507341861006E-2</v>
      </c>
      <c r="T35" s="10">
        <f>IFERROR((EstatisMês55[[#This Row],[venda]]-EstatisMês55[[#This Row],[atacado]])/(SUM(EstatisMês55[venda])-SUM(EstatisMês55[atacado])),"")</f>
        <v>5.4814544125708013E-2</v>
      </c>
      <c r="U35" s="10">
        <f>IFERROR(EstatisMês55[[#This Row],[atacado]]/SUM(EstatisMês55[atacado]),"")</f>
        <v>2.4282560706401765E-2</v>
      </c>
      <c r="W35" s="95"/>
      <c r="Z35" s="116">
        <f t="shared" si="0"/>
        <v>46199</v>
      </c>
      <c r="AA3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13.857142857142858</v>
      </c>
      <c r="AB3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3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3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11.714285714285714</v>
      </c>
      <c r="AE3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3.7142857142857144</v>
      </c>
      <c r="AF3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3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49.786561788815497</v>
      </c>
      <c r="AH35" s="116">
        <f t="shared" si="1"/>
        <v>46199</v>
      </c>
      <c r="AI35" s="1" t="str" cm="1">
        <f t="array" ref="AI35">IFERROR(_xlfn.IFS(AQ35="","Sem Produto",AND(AQ35/(AA35/12)&gt;0,AQ35/(AA35/12)&lt;=2),"Acabando",AND(AQ35/(AA35/12)&gt;2,AQ35/(AA35/12)&lt;=3),"Fazer Pedido",AND(AQ35/(AA35/12)&gt;3,AQ35/(AA35/12)&lt;=7),"OK",AND(AQ35/(AA35/12)&gt;7,AQ35/(AA35/12)&lt;=14),"Abaixar Preço",AND(AQ35/(AA35/12)&gt;14,AQ35/(AA35/12)&lt;=20),"Estabilizando",AQ35/(AA35/12)&gt;20,"Instavel"),"Instavel")</f>
        <v>Abaixar Preço</v>
      </c>
      <c r="AJ35" s="1" t="str" cm="1">
        <f t="array" ref="AJ35">IFERROR(_xlfn.IFS(AR35="","Sem Produto",AND(AR35/(AB35/12)&gt;0,AR35/(AB35/12)&lt;=2),"Acabando",AND(AR35/(AB35/12)&gt;2,AR35/(AB35/12)&lt;=3),"Fazer Pedido",AND(AR35/(AB35/12)&gt;3,AR35/(AB35/12)&lt;=7),"OK",AND(AR35/(AB35/12)&gt;7,AR35/(AB35/12)&lt;=14),"Abaixar Preço",AND(AR35/(AB35/12)&gt;14,AR35/(AB35/12)&lt;=20),"Estabilizando",AR35/(AB35/12)&gt;20,"Instavel"),"Instavel")</f>
        <v>Estabilizando</v>
      </c>
      <c r="AK35" s="1" t="str" cm="1">
        <f t="array" ref="AK35">IFERROR(_xlfn.IFS(AS35="","Sem Produto",AND(AS35/(AC35/12)&gt;0,AS35/(AC35/12)&lt;=2),"Acabando",AND(AS35/(AC35/12)&gt;2,AS35/(AC35/12)&lt;=3),"Fazer Pedido",AND(AS35/(AC35/12)&gt;3,AS35/(AC35/12)&lt;=7),"OK",AND(AS35/(AC35/12)&gt;7,AS35/(AC35/12)&lt;=14),"Abaixar Preço",AND(AS35/(AC35/12)&gt;14,AS35/(AC35/12)&lt;=20),"Estabilizando",AS35/(AC35/12)&gt;20,"Instavel"),"Instavel")</f>
        <v>OK</v>
      </c>
      <c r="AL35" s="1" t="str" cm="1">
        <f t="array" ref="AL35">IFERROR(_xlfn.IFS(AT35="","Sem Produto",AND(AT35/(AD35/12)&gt;0,AT35/(AD35/12)&lt;=2),"Acabando",AND(AT35/(AD35/12)&gt;2,AT35/(AD35/12)&lt;=3),"Fazer Pedido",AND(AT35/(AD35/12)&gt;3,AT35/(AD35/12)&lt;=7),"OK",AND(AT35/(AD35/12)&gt;7,AT35/(AD35/12)&lt;=14),"Abaixar Preço",AND(AT35/(AD35/12)&gt;14,AT35/(AD35/12)&lt;=20),"Estabilizando",AT35/(AD35/12)&gt;20,"Instavel"),"Instavel")</f>
        <v>Abaixar Preço</v>
      </c>
      <c r="AM35" s="1" t="str" cm="1">
        <f t="array" ref="AM35">IFERROR(_xlfn.IFS(AU35="","Sem Produto",AND(AU35/(AE35/12)&gt;0,AU35/(AE35/12)&lt;=2),"Acabando",AND(AU35/(AE35/12)&gt;2,AU35/(AE35/12)&lt;=3),"Fazer Pedido",AND(AU35/(AE35/12)&gt;3,AU35/(AE35/12)&lt;=7),"OK",AND(AU35/(AE35/12)&gt;7,AU35/(AE35/12)&lt;=14),"Abaixar Preço",AND(AU35/(AE35/12)&gt;14,AU35/(AE35/12)&lt;=20),"Estabilizando",AU35/(AE35/12)&gt;20,"Instavel"),"Instavel")</f>
        <v>Abaixar Preço</v>
      </c>
      <c r="AN35" s="1" t="str">
        <f ca="1">IF(SUMIF(vendaAno[data],SituaçãoEstoqueFluxo[[#This Row],[data]],vendaAno[estoque])=0,"Algo errado",IF(AND(AX35/AW35&gt;0,AX35/AW35&lt;=1),"Alerta",IF(AND(AX35/AW35&gt;1,AX35/AW35&lt;=1.5),"Fazer pedido",IF(AND(AX35/AW35&gt;1.5,AX35/AW35&lt;=2),"Ok",IF(AND(AX35/AW35&gt;2,AX35/AW35&lt;=2.5),"Estabilizando",IF(AND(AX35/AW35&gt;2.5,AX35/AW35&lt;=3),"Cheio","Abaixar preço"))))))</f>
        <v>Abaixar preço</v>
      </c>
      <c r="AO35" s="82">
        <f>SUMIFS(estoque[quantidade],estoque[fornecedor],"&lt;&gt;saída",estoque[data],SituaçãoEstoqueFluxo[[#This Row],[data]])-SUMIFS(estoque[quantidade],estoque[fornecedor],"saída",estoque[data],SituaçãoEstoqueFluxo[[#This Row],[data]])</f>
        <v>332</v>
      </c>
      <c r="AP35" s="116">
        <f t="shared" si="2"/>
        <v>46199</v>
      </c>
      <c r="AQ3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11.75</v>
      </c>
      <c r="AR3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9.5833333333333339</v>
      </c>
      <c r="AS3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0.83333333333333337</v>
      </c>
      <c r="AT3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10.583333333333334</v>
      </c>
      <c r="AU3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2.75</v>
      </c>
      <c r="AV35" s="82" cm="1">
        <f t="array" aca="1" ref="AV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27.857142857142861</v>
      </c>
      <c r="AW35" s="82" cm="1">
        <f t="array" aca="1" ref="AW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35" s="82">
        <f>SUM(FluxoEstoqueDateTime[[#This Row],[OVO BRANCO A]:[OVO BRANCO JUMBO]])</f>
        <v>35.5</v>
      </c>
    </row>
    <row r="36" spans="1:50" x14ac:dyDescent="0.25">
      <c r="A36" s="4" t="s">
        <v>20</v>
      </c>
      <c r="B36" s="55" t="s">
        <v>14</v>
      </c>
      <c r="C36" s="5">
        <v>10</v>
      </c>
      <c r="D36" s="56">
        <v>23</v>
      </c>
      <c r="E36" s="56">
        <v>230</v>
      </c>
      <c r="F36" s="157">
        <v>46227</v>
      </c>
      <c r="G36" s="4" t="s">
        <v>83</v>
      </c>
      <c r="H36" s="4" t="s">
        <v>149</v>
      </c>
      <c r="I36" s="153">
        <v>67.489999999999995</v>
      </c>
      <c r="J36" s="12">
        <v>0.29343297101449278</v>
      </c>
      <c r="K36" s="118" t="s">
        <v>13</v>
      </c>
      <c r="L36" s="81">
        <f>IF(SUMIFS(aprazo[quantidade],aprazo[produto],EstatisMês55[[#This Row],[global]],aprazo[atacado],"atacado")/12=0,"",SUMIFS(aprazo[quantidade],aprazo[produto],EstatisMês55[[#This Row],[global]],aprazo[atacado],"atacado")/12)</f>
        <v>17.75</v>
      </c>
      <c r="M36" s="81">
        <f>IF(SUMIFS(estoque[quantidade],estoque[fornecedor],"saída",estoque[produto],EstatisMês55[[#This Row],[global]])/12=0,"",SUMIFS(estoque[quantidade],estoque[fornecedor],"saída",estoque[produto],EstatisMês55[[#This Row],[global]])/12)</f>
        <v>168.25</v>
      </c>
      <c r="N36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32603.74</v>
      </c>
      <c r="O36" s="8">
        <f>IF(SUMIFS(estoque[valor total],estoque[fornecedor],"saída",estoque[produto],EstatisMês55[[#This Row],[global]])=0,"",SUMIFS(estoque[valor total],estoque[fornecedor],"saída",estoque[produto],EstatisMês55[[#This Row],[global]]))</f>
        <v>41423.5</v>
      </c>
      <c r="P36" s="8">
        <f>IF(SUMIFS(estoque[lucro],estoque[fornecedor],"saída",estoque[produto],EstatisMês55[[#This Row],[global]])=0,"",SUMIFS(estoque[lucro],estoque[fornecedor],"saída",estoque[produto],EstatisMês55[[#This Row],[global]]))</f>
        <v>9490.4000000000087</v>
      </c>
      <c r="Q36" s="10">
        <f>IF(IFERROR(EstatisMês55[[#This Row],[lucro]]/EstatisMês55[[#This Row],[valor venda]],0)=0,"",IFERROR(EstatisMês55[[#This Row],[lucro]]/EstatisMês55[[#This Row],[valor venda]],0))</f>
        <v>0.22910666650572764</v>
      </c>
      <c r="R36" s="10">
        <f>IFERROR(EstatisMês55[[#This Row],[lucro]]/SUM(EstatisMês55[lucro]),"")</f>
        <v>0.35872316702350077</v>
      </c>
      <c r="S36" s="10">
        <f>IFERROR(EstatisMês55[[#This Row],[valor venda]]/SUM(EstatisMês55[valor venda]),"")</f>
        <v>0.31605672059726775</v>
      </c>
      <c r="T36" s="10">
        <f>IFERROR((EstatisMês55[[#This Row],[venda]]-EstatisMês55[[#This Row],[atacado]])/(SUM(EstatisMês55[venda])-SUM(EstatisMês55[atacado])),"")</f>
        <v>0.32998355563676224</v>
      </c>
      <c r="U36" s="10">
        <f>IFERROR(EstatisMês55[[#This Row],[atacado]]/SUM(EstatisMês55[atacado]),"")</f>
        <v>0.15673289183222958</v>
      </c>
      <c r="Z36" s="116">
        <f t="shared" si="0"/>
        <v>46198</v>
      </c>
      <c r="AA3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14</v>
      </c>
      <c r="AB3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4.8571428571428568</v>
      </c>
      <c r="AC3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3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3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3.7142857142857144</v>
      </c>
      <c r="AF3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36.142857142857146</v>
      </c>
      <c r="AG3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48.579789296436225</v>
      </c>
      <c r="AH36" s="116">
        <f t="shared" si="1"/>
        <v>46198</v>
      </c>
      <c r="AI36" s="1" t="str" cm="1">
        <f t="array" ref="AI36">IFERROR(_xlfn.IFS(AQ36="","Sem Produto",AND(AQ36/(AA36/12)&gt;0,AQ36/(AA36/12)&lt;=2),"Acabando",AND(AQ36/(AA36/12)&gt;2,AQ36/(AA36/12)&lt;=3),"Fazer Pedido",AND(AQ36/(AA36/12)&gt;3,AQ36/(AA36/12)&lt;=7),"OK",AND(AQ36/(AA36/12)&gt;7,AQ36/(AA36/12)&lt;=14),"Abaixar Preço",AND(AQ36/(AA36/12)&gt;14,AQ36/(AA36/12)&lt;=20),"Estabilizando",AQ36/(AA36/12)&gt;20,"Instavel"),"Instavel")</f>
        <v>Acabando</v>
      </c>
      <c r="AJ36" s="1" t="str" cm="1">
        <f t="array" ref="AJ36">IFERROR(_xlfn.IFS(AR36="","Sem Produto",AND(AR36/(AB36/12)&gt;0,AR36/(AB36/12)&lt;=2),"Acabando",AND(AR36/(AB36/12)&gt;2,AR36/(AB36/12)&lt;=3),"Fazer Pedido",AND(AR36/(AB36/12)&gt;3,AR36/(AB36/12)&lt;=7),"OK",AND(AR36/(AB36/12)&gt;7,AR36/(AB36/12)&lt;=14),"Abaixar Preço",AND(AR36/(AB36/12)&gt;14,AR36/(AB36/12)&lt;=20),"Estabilizando",AR36/(AB36/12)&gt;20,"Instavel"),"Instavel")</f>
        <v>Acabando</v>
      </c>
      <c r="AK36" s="1" t="str" cm="1">
        <f t="array" ref="AK36">IFERROR(_xlfn.IFS(AS36="","Sem Produto",AND(AS36/(AC36/12)&gt;0,AS36/(AC36/12)&lt;=2),"Acabando",AND(AS36/(AC36/12)&gt;2,AS36/(AC36/12)&lt;=3),"Fazer Pedido",AND(AS36/(AC36/12)&gt;3,AS36/(AC36/12)&lt;=7),"OK",AND(AS36/(AC36/12)&gt;7,AS36/(AC36/12)&lt;=14),"Abaixar Preço",AND(AS36/(AC36/12)&gt;14,AS36/(AC36/12)&lt;=20),"Estabilizando",AS36/(AC36/12)&gt;20,"Instavel"),"Instavel")</f>
        <v>Abaixar Preço</v>
      </c>
      <c r="AL36" s="1" t="str" cm="1">
        <f t="array" ref="AL36">IFERROR(_xlfn.IFS(AT36="","Sem Produto",AND(AT36/(AD36/12)&gt;0,AT36/(AD36/12)&lt;=2),"Acabando",AND(AT36/(AD36/12)&gt;2,AT36/(AD36/12)&lt;=3),"Fazer Pedido",AND(AT36/(AD36/12)&gt;3,AT36/(AD36/12)&lt;=7),"OK",AND(AT36/(AD36/12)&gt;7,AT36/(AD36/12)&lt;=14),"Abaixar Preço",AND(AT36/(AD36/12)&gt;14,AT36/(AD36/12)&lt;=20),"Estabilizando",AT36/(AD36/12)&gt;20,"Instavel"),"Instavel")</f>
        <v>Fazer Pedido</v>
      </c>
      <c r="AM36" s="1" t="str" cm="1">
        <f t="array" ref="AM36">IFERROR(_xlfn.IFS(AU36="","Sem Produto",AND(AU36/(AE36/12)&gt;0,AU36/(AE36/12)&lt;=2),"Acabando",AND(AU36/(AE36/12)&gt;2,AU36/(AE36/12)&lt;=3),"Fazer Pedido",AND(AU36/(AE36/12)&gt;3,AU36/(AE36/12)&lt;=7),"OK",AND(AU36/(AE36/12)&gt;7,AU36/(AE36/12)&lt;=14),"Abaixar Preço",AND(AU36/(AE36/12)&gt;14,AU36/(AE36/12)&lt;=20),"Estabilizando",AU36/(AE36/12)&gt;20,"Instavel"),"Instavel")</f>
        <v>OK</v>
      </c>
      <c r="AN36" s="1" t="str">
        <f ca="1">IF(SUMIF(vendaAno[data],SituaçãoEstoqueFluxo[[#This Row],[data]],vendaAno[estoque])=0,"Algo errado",IF(AND(AX36/AW36&gt;0,AX36/AW36&lt;=1),"Alerta",IF(AND(AX36/AW36&gt;1,AX36/AW36&lt;=1.5),"Fazer pedido",IF(AND(AX36/AW36&gt;1.5,AX36/AW36&lt;=2),"Ok",IF(AND(AX36/AW36&gt;2,AX36/AW36&lt;=2.5),"Estabilizando",IF(AND(AX36/AW36&gt;2.5,AX36/AW36&lt;=3),"Cheio","Abaixar preço"))))))</f>
        <v>Alerta</v>
      </c>
      <c r="AO36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36" s="116">
        <f t="shared" si="2"/>
        <v>46198</v>
      </c>
      <c r="AQ3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1.75</v>
      </c>
      <c r="AR3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0.16666666666666666</v>
      </c>
      <c r="AS3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1.0833333333333333</v>
      </c>
      <c r="AT3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3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36" s="82" cm="1">
        <f t="array" aca="1" ref="AV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27.107142857142861</v>
      </c>
      <c r="AW36" s="82" cm="1">
        <f t="array" aca="1" ref="AW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9.0357142857142865</v>
      </c>
      <c r="AX36" s="82">
        <f>SUM(FluxoEstoqueDateTime[[#This Row],[OVO BRANCO A]:[OVO BRANCO JUMBO]])</f>
        <v>7.833333333333333</v>
      </c>
    </row>
    <row r="37" spans="1:50" x14ac:dyDescent="0.25">
      <c r="A37" s="4" t="s">
        <v>20</v>
      </c>
      <c r="B37" s="55" t="s">
        <v>13</v>
      </c>
      <c r="C37" s="5">
        <v>18</v>
      </c>
      <c r="D37" s="56">
        <v>20</v>
      </c>
      <c r="E37" s="56">
        <v>354</v>
      </c>
      <c r="F37" s="157">
        <v>46227</v>
      </c>
      <c r="G37" s="4" t="s">
        <v>83</v>
      </c>
      <c r="H37" s="4" t="s">
        <v>149</v>
      </c>
      <c r="I37" s="153">
        <v>74.959999999999994</v>
      </c>
      <c r="J37" s="12">
        <v>0.21175216073633396</v>
      </c>
      <c r="K37" s="118" t="s">
        <v>14</v>
      </c>
      <c r="L37" s="81">
        <f>IF(SUMIFS(aprazo[quantidade],aprazo[produto],EstatisMês55[[#This Row],[global]],aprazo[atacado],"atacado")/12=0,"",SUMIFS(aprazo[quantidade],aprazo[produto],EstatisMês55[[#This Row],[global]],aprazo[atacado],"atacado")/12)</f>
        <v>3.8333333333333335</v>
      </c>
      <c r="M37" s="81">
        <f>IF(SUMIFS(estoque[quantidade],estoque[fornecedor],"saída",estoque[produto],EstatisMês55[[#This Row],[global]])/12=0,"",SUMIFS(estoque[quantidade],estoque[fornecedor],"saída",estoque[produto],EstatisMês55[[#This Row],[global]])/12)</f>
        <v>89.75</v>
      </c>
      <c r="N37" s="8">
        <f>IF(SUMIFS(estoque[valor total],estoque[fornecedor],"&lt;&gt;saída",estoque[produto],EstatisMês55[[#This Row],[global]])=0,"",SUMIFS(estoque[valor total],estoque[fornecedor],"&lt;&gt;saída",estoque[produto],EstatisMês55[[#This Row],[global]]))</f>
        <v>18890</v>
      </c>
      <c r="O37" s="8">
        <f>IF(SUMIFS(estoque[valor total],estoque[fornecedor],"saída",estoque[produto],EstatisMês55[[#This Row],[global]])=0,"",SUMIFS(estoque[valor total],estoque[fornecedor],"saída",estoque[produto],EstatisMês55[[#This Row],[global]]))</f>
        <v>23939</v>
      </c>
      <c r="P37" s="8">
        <f>IF(SUMIFS(estoque[lucro],estoque[fornecedor],"saída",estoque[produto],EstatisMês55[[#This Row],[global]])=0,"",SUMIFS(estoque[lucro],estoque[fornecedor],"saída",estoque[produto],EstatisMês55[[#This Row],[global]]))</f>
        <v>6355.3999999999969</v>
      </c>
      <c r="Q37" s="10">
        <f>IF(IFERROR(EstatisMês55[[#This Row],[lucro]]/EstatisMês55[[#This Row],[valor venda]],0)=0,"",IFERROR(EstatisMês55[[#This Row],[lucro]]/EstatisMês55[[#This Row],[valor venda]],0))</f>
        <v>0.26548310288650306</v>
      </c>
      <c r="R37" s="10">
        <f>IFERROR(EstatisMês55[[#This Row],[lucro]]/SUM(EstatisMês55[lucro]),"")</f>
        <v>0.24022477616340232</v>
      </c>
      <c r="S37" s="10">
        <f>IFERROR(EstatisMês55[[#This Row],[valor venda]]/SUM(EstatisMês55[valor venda]),"")</f>
        <v>0.18265192063389121</v>
      </c>
      <c r="T37" s="10">
        <f>IFERROR((EstatisMês55[[#This Row],[venda]]-EstatisMês55[[#This Row],[atacado]])/(SUM(EstatisMês55[venda])-SUM(EstatisMês55[atacado])),"")</f>
        <v>0.1883793166453499</v>
      </c>
      <c r="U37" s="10">
        <f>IFERROR(EstatisMês55[[#This Row],[atacado]]/SUM(EstatisMês55[atacado]),"")</f>
        <v>3.3848417954378221E-2</v>
      </c>
      <c r="Z37" s="116">
        <f t="shared" si="0"/>
        <v>46197</v>
      </c>
      <c r="AA3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13.142857142857142</v>
      </c>
      <c r="AB3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3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3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3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2.8571428571428572</v>
      </c>
      <c r="AF3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3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55.252950805548373</v>
      </c>
      <c r="AH37" s="116">
        <f t="shared" si="1"/>
        <v>46197</v>
      </c>
      <c r="AI37" s="1" t="str" cm="1">
        <f t="array" ref="AI37">IFERROR(_xlfn.IFS(AQ37="","Sem Produto",AND(AQ37/(AA37/12)&gt;0,AQ37/(AA37/12)&lt;=2),"Acabando",AND(AQ37/(AA37/12)&gt;2,AQ37/(AA37/12)&lt;=3),"Fazer Pedido",AND(AQ37/(AA37/12)&gt;3,AQ37/(AA37/12)&lt;=7),"OK",AND(AQ37/(AA37/12)&gt;7,AQ37/(AA37/12)&lt;=14),"Abaixar Preço",AND(AQ37/(AA37/12)&gt;14,AQ37/(AA37/12)&lt;=20),"Estabilizando",AQ37/(AA37/12)&gt;20,"Instavel"),"Instavel")</f>
        <v>Fazer Pedido</v>
      </c>
      <c r="AJ37" s="1" t="str" cm="1">
        <f t="array" ref="AJ37">IFERROR(_xlfn.IFS(AR37="","Sem Produto",AND(AR37/(AB37/12)&gt;0,AR37/(AB37/12)&lt;=2),"Acabando",AND(AR37/(AB37/12)&gt;2,AR37/(AB37/12)&lt;=3),"Fazer Pedido",AND(AR37/(AB37/12)&gt;3,AR37/(AB37/12)&lt;=7),"OK",AND(AR37/(AB37/12)&gt;7,AR37/(AB37/12)&lt;=14),"Abaixar Preço",AND(AR37/(AB37/12)&gt;14,AR37/(AB37/12)&lt;=20),"Estabilizando",AR37/(AB37/12)&gt;20,"Instavel"),"Instavel")</f>
        <v>Acabando</v>
      </c>
      <c r="AK37" s="1" t="str" cm="1">
        <f t="array" ref="AK37">IFERROR(_xlfn.IFS(AS37="","Sem Produto",AND(AS37/(AC37/12)&gt;0,AS37/(AC37/12)&lt;=2),"Acabando",AND(AS37/(AC37/12)&gt;2,AS37/(AC37/12)&lt;=3),"Fazer Pedido",AND(AS37/(AC37/12)&gt;3,AS37/(AC37/12)&lt;=7),"OK",AND(AS37/(AC37/12)&gt;7,AS37/(AC37/12)&lt;=14),"Abaixar Preço",AND(AS37/(AC37/12)&gt;14,AS37/(AC37/12)&lt;=20),"Estabilizando",AS37/(AC37/12)&gt;20,"Instavel"),"Instavel")</f>
        <v>Abaixar Preço</v>
      </c>
      <c r="AL37" s="1" t="str" cm="1">
        <f t="array" ref="AL37">IFERROR(_xlfn.IFS(AT37="","Sem Produto",AND(AT37/(AD37/12)&gt;0,AT37/(AD37/12)&lt;=2),"Acabando",AND(AT37/(AD37/12)&gt;2,AT37/(AD37/12)&lt;=3),"Fazer Pedido",AND(AT37/(AD37/12)&gt;3,AT37/(AD37/12)&lt;=7),"OK",AND(AT37/(AD37/12)&gt;7,AT37/(AD37/12)&lt;=14),"Abaixar Preço",AND(AT37/(AD37/12)&gt;14,AT37/(AD37/12)&lt;=20),"Estabilizando",AT37/(AD37/12)&gt;20,"Instavel"),"Instavel")</f>
        <v>OK</v>
      </c>
      <c r="AM37" s="1" t="str" cm="1">
        <f t="array" ref="AM37">IFERROR(_xlfn.IFS(AU37="","Sem Produto",AND(AU37/(AE37/12)&gt;0,AU37/(AE37/12)&lt;=2),"Acabando",AND(AU37/(AE37/12)&gt;2,AU37/(AE37/12)&lt;=3),"Fazer Pedido",AND(AU37/(AE37/12)&gt;3,AU37/(AE37/12)&lt;=7),"OK",AND(AU37/(AE37/12)&gt;7,AU37/(AE37/12)&lt;=14),"Abaixar Preço",AND(AU37/(AE37/12)&gt;14,AU37/(AE37/12)&lt;=20),"Estabilizando",AU37/(AE37/12)&gt;20,"Instavel"),"Instavel")</f>
        <v>Abaixar Preço</v>
      </c>
      <c r="AN37" s="1" t="str">
        <f ca="1">IF(SUMIF(vendaAno[data],SituaçãoEstoqueFluxo[[#This Row],[data]],vendaAno[estoque])=0,"Algo errado",IF(AND(AX37/AW37&gt;0,AX37/AW37&lt;=1),"Alerta",IF(AND(AX37/AW37&gt;1,AX37/AW37&lt;=1.5),"Fazer pedido",IF(AND(AX37/AW37&gt;1.5,AX37/AW37&lt;=2),"Ok",IF(AND(AX37/AW37&gt;2,AX37/AW37&lt;=2.5),"Estabilizando",IF(AND(AX37/AW37&gt;2.5,AX37/AW37&lt;=3),"Cheio","Abaixar preço"))))))</f>
        <v>Fazer pedido</v>
      </c>
      <c r="AO37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37" s="116">
        <f t="shared" si="2"/>
        <v>46197</v>
      </c>
      <c r="AQ3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3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0.5</v>
      </c>
      <c r="AS3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1.3333333333333333</v>
      </c>
      <c r="AT3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3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</v>
      </c>
      <c r="AV37" s="82" cm="1">
        <f t="array" aca="1" ref="AV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27.750000000000004</v>
      </c>
      <c r="AW37" s="82" cm="1">
        <f t="array" aca="1" ref="AW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37" s="82">
        <f>SUM(FluxoEstoqueDateTime[[#This Row],[OVO BRANCO A]:[OVO BRANCO JUMBO]])</f>
        <v>10.833333333333334</v>
      </c>
    </row>
    <row r="38" spans="1:50" x14ac:dyDescent="0.25">
      <c r="A38" s="4" t="s">
        <v>20</v>
      </c>
      <c r="B38" s="55" t="s">
        <v>11</v>
      </c>
      <c r="C38" s="5">
        <v>7</v>
      </c>
      <c r="D38" s="56">
        <v>18</v>
      </c>
      <c r="E38" s="56">
        <v>126</v>
      </c>
      <c r="F38" s="157">
        <v>46227</v>
      </c>
      <c r="G38" s="4" t="s">
        <v>83</v>
      </c>
      <c r="H38" s="4" t="s">
        <v>149</v>
      </c>
      <c r="I38" s="153">
        <v>23.91</v>
      </c>
      <c r="J38" s="12">
        <v>0.18976373125963322</v>
      </c>
      <c r="K38" s="72" t="s">
        <v>141</v>
      </c>
      <c r="L38" s="72" t="s">
        <v>22</v>
      </c>
      <c r="M38" s="72" t="s">
        <v>102</v>
      </c>
      <c r="N38" s="72" t="s">
        <v>169</v>
      </c>
      <c r="O38" s="72" t="s">
        <v>170</v>
      </c>
      <c r="P38" s="72" t="s">
        <v>7</v>
      </c>
      <c r="Q38" s="73" t="s">
        <v>171</v>
      </c>
      <c r="R38" s="72" t="s">
        <v>172</v>
      </c>
      <c r="S38" s="72" t="s">
        <v>173</v>
      </c>
      <c r="T38" s="72" t="s">
        <v>174</v>
      </c>
      <c r="U38" s="72" t="s">
        <v>175</v>
      </c>
      <c r="Z38" s="116">
        <f t="shared" si="0"/>
        <v>46196</v>
      </c>
      <c r="AA3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3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3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3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3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3.2857142857142856</v>
      </c>
      <c r="AF3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34.571428571428569</v>
      </c>
      <c r="AG3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55.655472554300943</v>
      </c>
      <c r="AH38" s="116">
        <f t="shared" si="1"/>
        <v>46196</v>
      </c>
      <c r="AI38" s="1" t="str" cm="1">
        <f t="array" ref="AI38">IFERROR(_xlfn.IFS(AQ38="","Sem Produto",AND(AQ38/(AA38/12)&gt;0,AQ38/(AA38/12)&lt;=2),"Acabando",AND(AQ38/(AA38/12)&gt;2,AQ38/(AA38/12)&lt;=3),"Fazer Pedido",AND(AQ38/(AA38/12)&gt;3,AQ38/(AA38/12)&lt;=7),"OK",AND(AQ38/(AA38/12)&gt;7,AQ38/(AA38/12)&lt;=14),"Abaixar Preço",AND(AQ38/(AA38/12)&gt;14,AQ38/(AA38/12)&lt;=20),"Estabilizando",AQ38/(AA38/12)&gt;20,"Instavel"),"Instavel")</f>
        <v>OK</v>
      </c>
      <c r="AJ38" s="1" t="str" cm="1">
        <f t="array" ref="AJ38">IFERROR(_xlfn.IFS(AR38="","Sem Produto",AND(AR38/(AB38/12)&gt;0,AR38/(AB38/12)&lt;=2),"Acabando",AND(AR38/(AB38/12)&gt;2,AR38/(AB38/12)&lt;=3),"Fazer Pedido",AND(AR38/(AB38/12)&gt;3,AR38/(AB38/12)&lt;=7),"OK",AND(AR38/(AB38/12)&gt;7,AR38/(AB38/12)&lt;=14),"Abaixar Preço",AND(AR38/(AB38/12)&gt;14,AR38/(AB38/12)&lt;=20),"Estabilizando",AR38/(AB38/12)&gt;20,"Instavel"),"Instavel")</f>
        <v>Acabando</v>
      </c>
      <c r="AK38" s="1" t="str" cm="1">
        <f t="array" ref="AK38">IFERROR(_xlfn.IFS(AS38="","Sem Produto",AND(AS38/(AC38/12)&gt;0,AS38/(AC38/12)&lt;=2),"Acabando",AND(AS38/(AC38/12)&gt;2,AS38/(AC38/12)&lt;=3),"Fazer Pedido",AND(AS38/(AC38/12)&gt;3,AS38/(AC38/12)&lt;=7),"OK",AND(AS38/(AC38/12)&gt;7,AS38/(AC38/12)&lt;=14),"Abaixar Preço",AND(AS38/(AC38/12)&gt;14,AS38/(AC38/12)&lt;=20),"Estabilizando",AS38/(AC38/12)&gt;20,"Instavel"),"Instavel")</f>
        <v>Abaixar Preço</v>
      </c>
      <c r="AL38" s="1" t="str" cm="1">
        <f t="array" ref="AL38">IFERROR(_xlfn.IFS(AT38="","Sem Produto",AND(AT38/(AD38/12)&gt;0,AT38/(AD38/12)&lt;=2),"Acabando",AND(AT38/(AD38/12)&gt;2,AT38/(AD38/12)&lt;=3),"Fazer Pedido",AND(AT38/(AD38/12)&gt;3,AT38/(AD38/12)&lt;=7),"OK",AND(AT38/(AD38/12)&gt;7,AT38/(AD38/12)&lt;=14),"Abaixar Preço",AND(AT38/(AD38/12)&gt;14,AT38/(AD38/12)&lt;=20),"Estabilizando",AT38/(AD38/12)&gt;20,"Instavel"),"Instavel")</f>
        <v>OK</v>
      </c>
      <c r="AM38" s="1" t="str" cm="1">
        <f t="array" ref="AM38">IFERROR(_xlfn.IFS(AU38="","Sem Produto",AND(AU38/(AE38/12)&gt;0,AU38/(AE38/12)&lt;=2),"Acabando",AND(AU38/(AE38/12)&gt;2,AU38/(AE38/12)&lt;=3),"Fazer Pedido",AND(AU38/(AE38/12)&gt;3,AU38/(AE38/12)&lt;=7),"OK",AND(AU38/(AE38/12)&gt;7,AU38/(AE38/12)&lt;=14),"Abaixar Preço",AND(AU38/(AE38/12)&gt;14,AU38/(AE38/12)&lt;=20),"Estabilizando",AU38/(AE38/12)&gt;20,"Instavel"),"Instavel")</f>
        <v>Abaixar Preço</v>
      </c>
      <c r="AN38" s="1" t="str">
        <f ca="1">IF(SUMIF(vendaAno[data],SituaçãoEstoqueFluxo[[#This Row],[data]],vendaAno[estoque])=0,"Algo errado",IF(AND(AX38/AW38&gt;0,AX38/AW38&lt;=1),"Alerta",IF(AND(AX38/AW38&gt;1,AX38/AW38&lt;=1.5),"Fazer pedido",IF(AND(AX38/AW38&gt;1.5,AX38/AW38&lt;=2),"Ok",IF(AND(AX38/AW38&gt;2,AX38/AW38&lt;=2.5),"Estabilizando",IF(AND(AX38/AW38&gt;2.5,AX38/AW38&lt;=3),"Cheio","Abaixar preço"))))))</f>
        <v>Ok</v>
      </c>
      <c r="AO38" s="82">
        <f>SUMIFS(estoque[quantidade],estoque[fornecedor],"&lt;&gt;saída",estoque[data],SituaçãoEstoqueFluxo[[#This Row],[data]])-SUMIFS(estoque[quantidade],estoque[fornecedor],"saída",estoque[data],SituaçãoEstoqueFluxo[[#This Row],[data]])</f>
        <v>-70</v>
      </c>
      <c r="AP38" s="116">
        <f t="shared" si="2"/>
        <v>46196</v>
      </c>
      <c r="AQ3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3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0.66666666666666663</v>
      </c>
      <c r="AS3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1.3333333333333333</v>
      </c>
      <c r="AT3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4.833333333333333</v>
      </c>
      <c r="AU3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2.75</v>
      </c>
      <c r="AV38" s="82" cm="1">
        <f t="array" aca="1" ref="AV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25.928571428571427</v>
      </c>
      <c r="AW38" s="82" cm="1">
        <f t="array" aca="1" ref="AW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8.6428571428571423</v>
      </c>
      <c r="AX38" s="82">
        <f>SUM(FluxoEstoqueDateTime[[#This Row],[OVO BRANCO A]:[OVO BRANCO JUMBO]])</f>
        <v>13.083333333333332</v>
      </c>
    </row>
    <row r="39" spans="1:50" x14ac:dyDescent="0.25">
      <c r="A39" s="4" t="s">
        <v>20</v>
      </c>
      <c r="B39" s="55" t="s">
        <v>10</v>
      </c>
      <c r="C39" s="5">
        <v>3</v>
      </c>
      <c r="D39" s="56">
        <v>19</v>
      </c>
      <c r="E39" s="56">
        <v>57</v>
      </c>
      <c r="F39" s="157">
        <v>46227</v>
      </c>
      <c r="G39" s="4" t="s">
        <v>83</v>
      </c>
      <c r="H39" s="4" t="s">
        <v>149</v>
      </c>
      <c r="I39" s="153">
        <v>11.82</v>
      </c>
      <c r="J39" s="12">
        <v>0.20739348370927296</v>
      </c>
      <c r="K39" s="119" t="s">
        <v>10</v>
      </c>
      <c r="L39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5.666666666666667</v>
      </c>
      <c r="M39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20.916666666666668</v>
      </c>
      <c r="N39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4940.42</v>
      </c>
      <c r="O39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4632</v>
      </c>
      <c r="P39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704.6573515472536</v>
      </c>
      <c r="Q39" s="10">
        <f>IF(IFERROR(EstatisMês5557[[#This Row],[lucro]]/EstatisMês5557[[#This Row],[valor venda]],0)=0,"",IFERROR(EstatisMês5557[[#This Row],[lucro]]/EstatisMês5557[[#This Row],[valor venda]],0))</f>
        <v>0.15212809834785268</v>
      </c>
      <c r="R39" s="10">
        <f>IFERROR(EstatisMês5557[[#This Row],[lucro]]/SUM(EstatisMês5557[lucro]),"")</f>
        <v>0.17769359313119268</v>
      </c>
      <c r="S39" s="10">
        <f>IFERROR(EstatisMês5557[[#This Row],[valor venda]]/SUM(EstatisMês5557[valor venda]),"")</f>
        <v>0.22671430669081297</v>
      </c>
      <c r="T39" s="10">
        <f>IFERROR((EstatisMês5557[[#This Row],[venda]]-EstatisMês5557[[#This Row],[atacado]])/(SUM(EstatisMês5557[venda])-SUM(EstatisMês5557[atacado])),"")</f>
        <v>0.22399020807833545</v>
      </c>
      <c r="U39" s="10">
        <f>IFERROR(EstatisMês5557[[#This Row],[atacado]]/SUM(EstatisMês5557[atacado]),"")</f>
        <v>0.28451882845188287</v>
      </c>
      <c r="Z39" s="116">
        <f t="shared" si="0"/>
        <v>46195</v>
      </c>
      <c r="AA3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5.4285714285714288</v>
      </c>
      <c r="AB3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3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3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3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3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3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59.505897887323968</v>
      </c>
      <c r="AH39" s="116">
        <f t="shared" si="1"/>
        <v>46195</v>
      </c>
      <c r="AI39" s="1" t="str" cm="1">
        <f t="array" ref="AI39">IFERROR(_xlfn.IFS(AQ39="","Sem Produto",AND(AQ39/(AA39/12)&gt;0,AQ39/(AA39/12)&lt;=2),"Acabando",AND(AQ39/(AA39/12)&gt;2,AQ39/(AA39/12)&lt;=3),"Fazer Pedido",AND(AQ39/(AA39/12)&gt;3,AQ39/(AA39/12)&lt;=7),"OK",AND(AQ39/(AA39/12)&gt;7,AQ39/(AA39/12)&lt;=14),"Abaixar Preço",AND(AQ39/(AA39/12)&gt;14,AQ39/(AA39/12)&lt;=20),"Estabilizando",AQ39/(AA39/12)&gt;20,"Instavel"),"Instavel")</f>
        <v>Estabilizando</v>
      </c>
      <c r="AJ39" s="1" t="str" cm="1">
        <f t="array" ref="AJ39">IFERROR(_xlfn.IFS(AR39="","Sem Produto",AND(AR39/(AB39/12)&gt;0,AR39/(AB39/12)&lt;=2),"Acabando",AND(AR39/(AB39/12)&gt;2,AR39/(AB39/12)&lt;=3),"Fazer Pedido",AND(AR39/(AB39/12)&gt;3,AR39/(AB39/12)&lt;=7),"OK",AND(AR39/(AB39/12)&gt;7,AR39/(AB39/12)&lt;=14),"Abaixar Preço",AND(AR39/(AB39/12)&gt;14,AR39/(AB39/12)&lt;=20),"Estabilizando",AR39/(AB39/12)&gt;20,"Instavel"),"Instavel")</f>
        <v>Acabando</v>
      </c>
      <c r="AK39" s="1" t="str" cm="1">
        <f t="array" ref="AK39">IFERROR(_xlfn.IFS(AS39="","Sem Produto",AND(AS39/(AC39/12)&gt;0,AS39/(AC39/12)&lt;=2),"Acabando",AND(AS39/(AC39/12)&gt;2,AS39/(AC39/12)&lt;=3),"Fazer Pedido",AND(AS39/(AC39/12)&gt;3,AS39/(AC39/12)&lt;=7),"OK",AND(AS39/(AC39/12)&gt;7,AS39/(AC39/12)&lt;=14),"Abaixar Preço",AND(AS39/(AC39/12)&gt;14,AS39/(AC39/12)&lt;=20),"Estabilizando",AS39/(AC39/12)&gt;20,"Instavel"),"Instavel")</f>
        <v>Abaixar Preço</v>
      </c>
      <c r="AL39" s="1" t="str" cm="1">
        <f t="array" ref="AL39">IFERROR(_xlfn.IFS(AT39="","Sem Produto",AND(AT39/(AD39/12)&gt;0,AT39/(AD39/12)&lt;=2),"Acabando",AND(AT39/(AD39/12)&gt;2,AT39/(AD39/12)&lt;=3),"Fazer Pedido",AND(AT39/(AD39/12)&gt;3,AT39/(AD39/12)&lt;=7),"OK",AND(AT39/(AD39/12)&gt;7,AT39/(AD39/12)&lt;=14),"Abaixar Preço",AND(AT39/(AD39/12)&gt;14,AT39/(AD39/12)&lt;=20),"Estabilizando",AT39/(AD39/12)&gt;20,"Instavel"),"Instavel")</f>
        <v>Abaixar Preço</v>
      </c>
      <c r="AM39" s="1" t="str" cm="1">
        <f t="array" ref="AM39">IFERROR(_xlfn.IFS(AU39="","Sem Produto",AND(AU39/(AE39/12)&gt;0,AU39/(AE39/12)&lt;=2),"Acabando",AND(AU39/(AE39/12)&gt;2,AU39/(AE39/12)&lt;=3),"Fazer Pedido",AND(AU39/(AE39/12)&gt;3,AU39/(AE39/12)&lt;=7),"OK",AND(AU39/(AE39/12)&gt;7,AU39/(AE39/12)&lt;=14),"Abaixar Preço",AND(AU39/(AE39/12)&gt;14,AU39/(AE39/12)&lt;=20),"Estabilizando",AU39/(AE39/12)&gt;20,"Instavel"),"Instavel")</f>
        <v>Abaixar Preço</v>
      </c>
      <c r="AN39" s="1" t="str">
        <f ca="1">IF(SUMIF(vendaAno[data],SituaçãoEstoqueFluxo[[#This Row],[data]],vendaAno[estoque])=0,"Algo errado",IF(AND(AX39/AW39&gt;0,AX39/AW39&lt;=1),"Alerta",IF(AND(AX39/AW39&gt;1,AX39/AW39&lt;=1.5),"Fazer pedido",IF(AND(AX39/AW39&gt;1.5,AX39/AW39&lt;=2),"Ok",IF(AND(AX39/AW39&gt;2,AX39/AW39&lt;=2.5),"Estabilizando",IF(AND(AX39/AW39&gt;2.5,AX39/AW39&lt;=3),"Cheio","Abaixar preço"))))))</f>
        <v>Cheio</v>
      </c>
      <c r="AO39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39" s="116">
        <f t="shared" si="2"/>
        <v>46195</v>
      </c>
      <c r="AQ3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3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</v>
      </c>
      <c r="AS3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1.5833333333333333</v>
      </c>
      <c r="AT3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3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3.0833333333333335</v>
      </c>
      <c r="AV39" s="82" cm="1">
        <f t="array" aca="1" ref="AV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39" s="82" cm="1">
        <f t="array" aca="1" ref="AW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39" s="82">
        <f>SUM(FluxoEstoqueDateTime[[#This Row],[OVO BRANCO A]:[OVO BRANCO JUMBO]])</f>
        <v>18.916666666666664</v>
      </c>
    </row>
    <row r="40" spans="1:50" x14ac:dyDescent="0.25">
      <c r="A40" s="4" t="s">
        <v>20</v>
      </c>
      <c r="B40" s="55" t="s">
        <v>14</v>
      </c>
      <c r="C40" s="5">
        <v>4</v>
      </c>
      <c r="D40" s="56">
        <v>23</v>
      </c>
      <c r="E40" s="56">
        <v>92</v>
      </c>
      <c r="F40" s="157">
        <v>46226</v>
      </c>
      <c r="G40" s="4" t="s">
        <v>294</v>
      </c>
      <c r="H40" s="4" t="s">
        <v>149</v>
      </c>
      <c r="I40" s="153">
        <v>27</v>
      </c>
      <c r="J40" s="12">
        <v>0.29343297101449278</v>
      </c>
      <c r="K40" s="119" t="s">
        <v>11</v>
      </c>
      <c r="L40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7.75</v>
      </c>
      <c r="M40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15.333333333333334</v>
      </c>
      <c r="N40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4511.8099999999995</v>
      </c>
      <c r="O40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3086</v>
      </c>
      <c r="P40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375.18810410240042</v>
      </c>
      <c r="Q40" s="10">
        <f>IF(IFERROR(EstatisMês5557[[#This Row],[lucro]]/EstatisMês5557[[#This Row],[valor venda]],0)=0,"",IFERROR(EstatisMês5557[[#This Row],[lucro]]/EstatisMês5557[[#This Row],[valor venda]],0))</f>
        <v>0.12157748026649398</v>
      </c>
      <c r="R40" s="10">
        <f>IFERROR(EstatisMês5557[[#This Row],[lucro]]/SUM(EstatisMês5557[lucro]),"")</f>
        <v>9.4611263434132759E-2</v>
      </c>
      <c r="S40" s="10">
        <f>IFERROR(EstatisMês5557[[#This Row],[valor venda]]/SUM(EstatisMês5557[valor venda]),"")</f>
        <v>0.15104498066663405</v>
      </c>
      <c r="T40" s="10">
        <f>IFERROR((EstatisMês5557[[#This Row],[venda]]-EstatisMês5557[[#This Row],[atacado]])/(SUM(EstatisMês5557[venda])-SUM(EstatisMês5557[atacado])),"")</f>
        <v>0.11138310893512855</v>
      </c>
      <c r="U40" s="10">
        <f>IFERROR(EstatisMês5557[[#This Row],[atacado]]/SUM(EstatisMês5557[atacado]),"")</f>
        <v>0.38912133891213385</v>
      </c>
      <c r="Z40" s="116">
        <f t="shared" si="0"/>
        <v>46194</v>
      </c>
      <c r="AA4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</v>
      </c>
      <c r="AB4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4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4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4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4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4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67.071365135752359</v>
      </c>
      <c r="AH40" s="116">
        <f t="shared" si="1"/>
        <v>46194</v>
      </c>
      <c r="AI40" s="1" t="str" cm="1">
        <f t="array" ref="AI40">IFERROR(_xlfn.IFS(AQ40="","Sem Produto",AND(AQ40/(AA40/12)&gt;0,AQ40/(AA40/12)&lt;=2),"Acabando",AND(AQ40/(AA40/12)&gt;2,AQ40/(AA40/12)&lt;=3),"Fazer Pedido",AND(AQ40/(AA40/12)&gt;3,AQ40/(AA40/12)&lt;=7),"OK",AND(AQ40/(AA40/12)&gt;7,AQ40/(AA40/12)&lt;=14),"Abaixar Preço",AND(AQ40/(AA40/12)&gt;14,AQ40/(AA40/12)&lt;=20),"Estabilizando",AQ40/(AA40/12)&gt;20,"Instavel"),"Instavel")</f>
        <v>Instavel</v>
      </c>
      <c r="AJ40" s="1" t="str" cm="1">
        <f t="array" ref="AJ40">IFERROR(_xlfn.IFS(AR40="","Sem Produto",AND(AR40/(AB40/12)&gt;0,AR40/(AB40/12)&lt;=2),"Acabando",AND(AR40/(AB40/12)&gt;2,AR40/(AB40/12)&lt;=3),"Fazer Pedido",AND(AR40/(AB40/12)&gt;3,AR40/(AB40/12)&lt;=7),"OK",AND(AR40/(AB40/12)&gt;7,AR40/(AB40/12)&lt;=14),"Abaixar Preço",AND(AR40/(AB40/12)&gt;14,AR40/(AB40/12)&lt;=20),"Estabilizando",AR40/(AB40/12)&gt;20,"Instavel"),"Instavel")</f>
        <v>Fazer Pedido</v>
      </c>
      <c r="AK40" s="1" t="str" cm="1">
        <f t="array" ref="AK40">IFERROR(_xlfn.IFS(AS40="","Sem Produto",AND(AS40/(AC40/12)&gt;0,AS40/(AC40/12)&lt;=2),"Acabando",AND(AS40/(AC40/12)&gt;2,AS40/(AC40/12)&lt;=3),"Fazer Pedido",AND(AS40/(AC40/12)&gt;3,AS40/(AC40/12)&lt;=7),"OK",AND(AS40/(AC40/12)&gt;7,AS40/(AC40/12)&lt;=14),"Abaixar Preço",AND(AS40/(AC40/12)&gt;14,AS40/(AC40/12)&lt;=20),"Estabilizando",AS40/(AC40/12)&gt;20,"Instavel"),"Instavel")</f>
        <v>Abaixar Preço</v>
      </c>
      <c r="AL40" s="1" t="str" cm="1">
        <f t="array" ref="AL40">IFERROR(_xlfn.IFS(AT40="","Sem Produto",AND(AT40/(AD40/12)&gt;0,AT40/(AD40/12)&lt;=2),"Acabando",AND(AT40/(AD40/12)&gt;2,AT40/(AD40/12)&lt;=3),"Fazer Pedido",AND(AT40/(AD40/12)&gt;3,AT40/(AD40/12)&lt;=7),"OK",AND(AT40/(AD40/12)&gt;7,AT40/(AD40/12)&lt;=14),"Abaixar Preço",AND(AT40/(AD40/12)&gt;14,AT40/(AD40/12)&lt;=20),"Estabilizando",AT40/(AD40/12)&gt;20,"Instavel"),"Instavel")</f>
        <v>Abaixar Preço</v>
      </c>
      <c r="AM40" s="1" t="str" cm="1">
        <f t="array" ref="AM40">IFERROR(_xlfn.IFS(AU40="","Sem Produto",AND(AU40/(AE40/12)&gt;0,AU40/(AE40/12)&lt;=2),"Acabando",AND(AU40/(AE40/12)&gt;2,AU40/(AE40/12)&lt;=3),"Fazer Pedido",AND(AU40/(AE40/12)&gt;3,AU40/(AE40/12)&lt;=7),"OK",AND(AU40/(AE40/12)&gt;7,AU40/(AE40/12)&lt;=14),"Abaixar Preço",AND(AU40/(AE40/12)&gt;14,AU40/(AE40/12)&lt;=20),"Estabilizando",AU40/(AE40/12)&gt;20,"Instavel"),"Instavel")</f>
        <v>Abaixar Preço</v>
      </c>
      <c r="AN40" s="1" t="str">
        <f ca="1">IF(SUMIF(vendaAno[data],SituaçãoEstoqueFluxo[[#This Row],[data]],vendaAno[estoque])=0,"Algo errado",IF(AND(AX40/AW40&gt;0,AX40/AW40&lt;=1),"Alerta",IF(AND(AX40/AW40&gt;1,AX40/AW40&lt;=1.5),"Fazer pedido",IF(AND(AX40/AW40&gt;1.5,AX40/AW40&lt;=2),"Ok",IF(AND(AX40/AW40&gt;2,AX40/AW40&lt;=2.5),"Estabilizando",IF(AND(AX40/AW40&gt;2.5,AX40/AW40&lt;=3),"Cheio","Abaixar preço"))))))</f>
        <v>Abaixar preço</v>
      </c>
      <c r="AO40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40" s="116">
        <f t="shared" si="2"/>
        <v>46194</v>
      </c>
      <c r="AQ4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8.25</v>
      </c>
      <c r="AR4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1.9166666666666667</v>
      </c>
      <c r="AS4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1.6666666666666667</v>
      </c>
      <c r="AT4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7.75</v>
      </c>
      <c r="AU4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3.3333333333333335</v>
      </c>
      <c r="AV40" s="82" cm="1">
        <f t="array" aca="1" ref="AV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40" s="82" cm="1">
        <f t="array" aca="1" ref="AW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40" s="82">
        <f>SUM(FluxoEstoqueDateTime[[#This Row],[OVO BRANCO A]:[OVO BRANCO JUMBO]])</f>
        <v>22.916666666666664</v>
      </c>
    </row>
    <row r="41" spans="1:50" x14ac:dyDescent="0.25">
      <c r="A41" s="4" t="s">
        <v>20</v>
      </c>
      <c r="B41" s="55" t="s">
        <v>13</v>
      </c>
      <c r="C41" s="5">
        <v>8</v>
      </c>
      <c r="D41" s="56">
        <v>20</v>
      </c>
      <c r="E41" s="56">
        <v>160</v>
      </c>
      <c r="F41" s="157">
        <v>46226</v>
      </c>
      <c r="G41" s="4" t="s">
        <v>294</v>
      </c>
      <c r="H41" s="4" t="s">
        <v>149</v>
      </c>
      <c r="I41" s="153">
        <v>35.979999999999997</v>
      </c>
      <c r="J41" s="12">
        <v>0.22488962472406185</v>
      </c>
      <c r="K41" s="119" t="s">
        <v>12</v>
      </c>
      <c r="L41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2</v>
      </c>
      <c r="M41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10.166666666666666</v>
      </c>
      <c r="N41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2141.25</v>
      </c>
      <c r="O41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1923</v>
      </c>
      <c r="P41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211.92999999999995</v>
      </c>
      <c r="Q41" s="10">
        <f>IF(IFERROR(EstatisMês5557[[#This Row],[lucro]]/EstatisMês5557[[#This Row],[valor venda]],0)=0,"",IFERROR(EstatisMês5557[[#This Row],[lucro]]/EstatisMês5557[[#This Row],[valor venda]],0))</f>
        <v>0.11020800832033278</v>
      </c>
      <c r="R41" s="10">
        <f>IFERROR(EstatisMês5557[[#This Row],[lucro]]/SUM(EstatisMês5557[lucro]),"")</f>
        <v>5.3442432849958442E-2</v>
      </c>
      <c r="S41" s="10">
        <f>IFERROR(EstatisMês5557[[#This Row],[valor venda]]/SUM(EstatisMês5557[valor venda]),"")</f>
        <v>9.4121677842494256E-2</v>
      </c>
      <c r="T41" s="10">
        <f>IFERROR((EstatisMês5557[[#This Row],[venda]]-EstatisMês5557[[#This Row],[atacado]])/(SUM(EstatisMês5557[venda])-SUM(EstatisMês5557[atacado])),"")</f>
        <v>0.11995104039167689</v>
      </c>
      <c r="U41" s="10">
        <f>IFERROR(EstatisMês5557[[#This Row],[atacado]]/SUM(EstatisMês5557[atacado]),"")</f>
        <v>0.100418410041841</v>
      </c>
      <c r="Z41" s="116">
        <f t="shared" si="0"/>
        <v>46193</v>
      </c>
      <c r="AA4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2.7142857142857144</v>
      </c>
      <c r="AB4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4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4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4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</v>
      </c>
      <c r="AF4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4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67.76984758117959</v>
      </c>
      <c r="AH41" s="116">
        <f t="shared" si="1"/>
        <v>46193</v>
      </c>
      <c r="AI41" s="1" t="str" cm="1">
        <f t="array" ref="AI41">IFERROR(_xlfn.IFS(AQ41="","Sem Produto",AND(AQ41/(AA41/12)&gt;0,AQ41/(AA41/12)&lt;=2),"Acabando",AND(AQ41/(AA41/12)&gt;2,AQ41/(AA41/12)&lt;=3),"Fazer Pedido",AND(AQ41/(AA41/12)&gt;3,AQ41/(AA41/12)&lt;=7),"OK",AND(AQ41/(AA41/12)&gt;7,AQ41/(AA41/12)&lt;=14),"Abaixar Preço",AND(AQ41/(AA41/12)&gt;14,AQ41/(AA41/12)&lt;=20),"Estabilizando",AQ41/(AA41/12)&gt;20,"Instavel"),"Instavel")</f>
        <v>Instavel</v>
      </c>
      <c r="AJ41" s="1" t="str" cm="1">
        <f t="array" ref="AJ41">IFERROR(_xlfn.IFS(AR41="","Sem Produto",AND(AR41/(AB41/12)&gt;0,AR41/(AB41/12)&lt;=2),"Acabando",AND(AR41/(AB41/12)&gt;2,AR41/(AB41/12)&lt;=3),"Fazer Pedido",AND(AR41/(AB41/12)&gt;3,AR41/(AB41/12)&lt;=7),"OK",AND(AR41/(AB41/12)&gt;7,AR41/(AB41/12)&lt;=14),"Abaixar Preço",AND(AR41/(AB41/12)&gt;14,AR41/(AB41/12)&lt;=20),"Estabilizando",AR41/(AB41/12)&gt;20,"Instavel"),"Instavel")</f>
        <v>OK</v>
      </c>
      <c r="AK41" s="1" t="str" cm="1">
        <f t="array" ref="AK41">IFERROR(_xlfn.IFS(AS41="","Sem Produto",AND(AS41/(AC41/12)&gt;0,AS41/(AC41/12)&lt;=2),"Acabando",AND(AS41/(AC41/12)&gt;2,AS41/(AC41/12)&lt;=3),"Fazer Pedido",AND(AS41/(AC41/12)&gt;3,AS41/(AC41/12)&lt;=7),"OK",AND(AS41/(AC41/12)&gt;7,AS41/(AC41/12)&lt;=14),"Abaixar Preço",AND(AS41/(AC41/12)&gt;14,AS41/(AC41/12)&lt;=20),"Estabilizando",AS41/(AC41/12)&gt;20,"Instavel"),"Instavel")</f>
        <v>Estabilizando</v>
      </c>
      <c r="AL41" s="1" t="str" cm="1">
        <f t="array" ref="AL41">IFERROR(_xlfn.IFS(AT41="","Sem Produto",AND(AT41/(AD41/12)&gt;0,AT41/(AD41/12)&lt;=2),"Acabando",AND(AT41/(AD41/12)&gt;2,AT41/(AD41/12)&lt;=3),"Fazer Pedido",AND(AT41/(AD41/12)&gt;3,AT41/(AD41/12)&lt;=7),"OK",AND(AT41/(AD41/12)&gt;7,AT41/(AD41/12)&lt;=14),"Abaixar Preço",AND(AT41/(AD41/12)&gt;14,AT41/(AD41/12)&lt;=20),"Estabilizando",AT41/(AD41/12)&gt;20,"Instavel"),"Instavel")</f>
        <v>Abaixar Preço</v>
      </c>
      <c r="AM41" s="1" t="str" cm="1">
        <f t="array" ref="AM41">IFERROR(_xlfn.IFS(AU41="","Sem Produto",AND(AU41/(AE41/12)&gt;0,AU41/(AE41/12)&lt;=2),"Acabando",AND(AU41/(AE41/12)&gt;2,AU41/(AE41/12)&lt;=3),"Fazer Pedido",AND(AU41/(AE41/12)&gt;3,AU41/(AE41/12)&lt;=7),"OK",AND(AU41/(AE41/12)&gt;7,AU41/(AE41/12)&lt;=14),"Abaixar Preço",AND(AU41/(AE41/12)&gt;14,AU41/(AE41/12)&lt;=20),"Estabilizando",AU41/(AE41/12)&gt;20,"Instavel"),"Instavel")</f>
        <v>Estabilizando</v>
      </c>
      <c r="AN41" s="1" t="str">
        <f ca="1">IF(SUMIF(vendaAno[data],SituaçãoEstoqueFluxo[[#This Row],[data]],vendaAno[estoque])=0,"Algo errado",IF(AND(AX41/AW41&gt;0,AX41/AW41&lt;=1),"Alerta",IF(AND(AX41/AW41&gt;1,AX41/AW41&lt;=1.5),"Fazer pedido",IF(AND(AX41/AW41&gt;1.5,AX41/AW41&lt;=2),"Ok",IF(AND(AX41/AW41&gt;2,AX41/AW41&lt;=2.5),"Estabilizando",IF(AND(AX41/AW41&gt;2.5,AX41/AW41&lt;=3),"Cheio","Abaixar preço"))))))</f>
        <v>Abaixar preço</v>
      </c>
      <c r="AO41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41" s="116">
        <f t="shared" si="2"/>
        <v>46193</v>
      </c>
      <c r="AQ4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8.5833333333333339</v>
      </c>
      <c r="AR4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4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4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</v>
      </c>
      <c r="AU4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41" s="82" cm="1">
        <f t="array" aca="1" ref="AV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41" s="82" cm="1">
        <f t="array" aca="1" ref="AW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41" s="82">
        <f>SUM(FluxoEstoqueDateTime[[#This Row],[OVO BRANCO A]:[OVO BRANCO JUMBO]])</f>
        <v>26.250000000000004</v>
      </c>
    </row>
    <row r="42" spans="1:50" x14ac:dyDescent="0.25">
      <c r="A42" s="4" t="s">
        <v>20</v>
      </c>
      <c r="B42" s="55" t="s">
        <v>11</v>
      </c>
      <c r="C42" s="5">
        <v>4</v>
      </c>
      <c r="D42" s="56">
        <v>18</v>
      </c>
      <c r="E42" s="56">
        <v>72</v>
      </c>
      <c r="F42" s="157">
        <v>46226</v>
      </c>
      <c r="G42" s="4" t="s">
        <v>294</v>
      </c>
      <c r="H42" s="4" t="s">
        <v>149</v>
      </c>
      <c r="I42" s="153">
        <v>13.66</v>
      </c>
      <c r="J42" s="12">
        <v>0.18976373125963322</v>
      </c>
      <c r="K42" s="119" t="s">
        <v>13</v>
      </c>
      <c r="L42" s="81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>4.5</v>
      </c>
      <c r="M42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35.25</v>
      </c>
      <c r="N42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8283.74</v>
      </c>
      <c r="O42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8923</v>
      </c>
      <c r="P42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2106.7899999999995</v>
      </c>
      <c r="Q42" s="10">
        <f>IF(IFERROR(EstatisMês5557[[#This Row],[lucro]]/EstatisMês5557[[#This Row],[valor venda]],0)=0,"",IFERROR(EstatisMês5557[[#This Row],[lucro]]/EstatisMês5557[[#This Row],[valor venda]],0))</f>
        <v>0.23610781127423508</v>
      </c>
      <c r="R42" s="10">
        <f>IFERROR(EstatisMês5557[[#This Row],[lucro]]/SUM(EstatisMês5557[lucro]),"")</f>
        <v>0.53126967915804246</v>
      </c>
      <c r="S42" s="10">
        <f>IFERROR(EstatisMês5557[[#This Row],[valor venda]]/SUM(EstatisMês5557[valor venda]),"")</f>
        <v>0.43673828985365376</v>
      </c>
      <c r="T42" s="10">
        <f>IFERROR((EstatisMês5557[[#This Row],[venda]]-EstatisMês5557[[#This Row],[atacado]])/(SUM(EstatisMês5557[venda])-SUM(EstatisMês5557[atacado])),"")</f>
        <v>0.45165238678090586</v>
      </c>
      <c r="U42" s="10">
        <f>IFERROR(EstatisMês5557[[#This Row],[atacado]]/SUM(EstatisMês5557[atacado]),"")</f>
        <v>0.22594142259414224</v>
      </c>
      <c r="Z42" s="116">
        <f t="shared" si="0"/>
        <v>46192</v>
      </c>
      <c r="AA4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3.1428571428571428</v>
      </c>
      <c r="AB4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4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4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4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</v>
      </c>
      <c r="AF4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26.142857142857142</v>
      </c>
      <c r="AG4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72.114107081959759</v>
      </c>
      <c r="AH42" s="116">
        <f t="shared" si="1"/>
        <v>46192</v>
      </c>
      <c r="AI42" s="1" t="str" cm="1">
        <f t="array" ref="AI42">IFERROR(_xlfn.IFS(AQ42="","Sem Produto",AND(AQ42/(AA42/12)&gt;0,AQ42/(AA42/12)&lt;=2),"Acabando",AND(AQ42/(AA42/12)&gt;2,AQ42/(AA42/12)&lt;=3),"Fazer Pedido",AND(AQ42/(AA42/12)&gt;3,AQ42/(AA42/12)&lt;=7),"OK",AND(AQ42/(AA42/12)&gt;7,AQ42/(AA42/12)&lt;=14),"Abaixar Preço",AND(AQ42/(AA42/12)&gt;14,AQ42/(AA42/12)&lt;=20),"Estabilizando",AQ42/(AA42/12)&gt;20,"Instavel"),"Instavel")</f>
        <v>Instavel</v>
      </c>
      <c r="AJ42" s="1" t="str" cm="1">
        <f t="array" ref="AJ42">IFERROR(_xlfn.IFS(AR42="","Sem Produto",AND(AR42/(AB42/12)&gt;0,AR42/(AB42/12)&lt;=2),"Acabando",AND(AR42/(AB42/12)&gt;2,AR42/(AB42/12)&lt;=3),"Fazer Pedido",AND(AR42/(AB42/12)&gt;3,AR42/(AB42/12)&lt;=7),"OK",AND(AR42/(AB42/12)&gt;7,AR42/(AB42/12)&lt;=14),"Abaixar Preço",AND(AR42/(AB42/12)&gt;14,AR42/(AB42/12)&lt;=20),"Estabilizando",AR42/(AB42/12)&gt;20,"Instavel"),"Instavel")</f>
        <v>OK</v>
      </c>
      <c r="AK42" s="1" t="str" cm="1">
        <f t="array" ref="AK42">IFERROR(_xlfn.IFS(AS42="","Sem Produto",AND(AS42/(AC42/12)&gt;0,AS42/(AC42/12)&lt;=2),"Acabando",AND(AS42/(AC42/12)&gt;2,AS42/(AC42/12)&lt;=3),"Fazer Pedido",AND(AS42/(AC42/12)&gt;3,AS42/(AC42/12)&lt;=7),"OK",AND(AS42/(AC42/12)&gt;7,AS42/(AC42/12)&lt;=14),"Abaixar Preço",AND(AS42/(AC42/12)&gt;14,AS42/(AC42/12)&lt;=20),"Estabilizando",AS42/(AC42/12)&gt;20,"Instavel"),"Instavel")</f>
        <v>Estabilizando</v>
      </c>
      <c r="AL42" s="1" t="str" cm="1">
        <f t="array" ref="AL42">IFERROR(_xlfn.IFS(AT42="","Sem Produto",AND(AT42/(AD42/12)&gt;0,AT42/(AD42/12)&lt;=2),"Acabando",AND(AT42/(AD42/12)&gt;2,AT42/(AD42/12)&lt;=3),"Fazer Pedido",AND(AT42/(AD42/12)&gt;3,AT42/(AD42/12)&lt;=7),"OK",AND(AT42/(AD42/12)&gt;7,AT42/(AD42/12)&lt;=14),"Abaixar Preço",AND(AT42/(AD42/12)&gt;14,AT42/(AD42/12)&lt;=20),"Estabilizando",AT42/(AD42/12)&gt;20,"Instavel"),"Instavel")</f>
        <v>Estabilizando</v>
      </c>
      <c r="AM42" s="1" t="str" cm="1">
        <f t="array" ref="AM42">IFERROR(_xlfn.IFS(AU42="","Sem Produto",AND(AU42/(AE42/12)&gt;0,AU42/(AE42/12)&lt;=2),"Acabando",AND(AU42/(AE42/12)&gt;2,AU42/(AE42/12)&lt;=3),"Fazer Pedido",AND(AU42/(AE42/12)&gt;3,AU42/(AE42/12)&lt;=7),"OK",AND(AU42/(AE42/12)&gt;7,AU42/(AE42/12)&lt;=14),"Abaixar Preço",AND(AU42/(AE42/12)&gt;14,AU42/(AE42/12)&lt;=20),"Estabilizando",AU42/(AE42/12)&gt;20,"Instavel"),"Instavel")</f>
        <v>Estabilizando</v>
      </c>
      <c r="AN42" s="1" t="str">
        <f ca="1">IF(SUMIF(vendaAno[data],SituaçãoEstoqueFluxo[[#This Row],[data]],vendaAno[estoque])=0,"Algo errado",IF(AND(AX42/AW42&gt;0,AX42/AW42&lt;=1),"Alerta",IF(AND(AX42/AW42&gt;1,AX42/AW42&lt;=1.5),"Fazer pedido",IF(AND(AX42/AW42&gt;1.5,AX42/AW42&lt;=2),"Ok",IF(AND(AX42/AW42&gt;2,AX42/AW42&lt;=2.5),"Estabilizando",IF(AND(AX42/AW42&gt;2.5,AX42/AW42&lt;=3),"Cheio","Abaixar preço"))))))</f>
        <v>Abaixar preço</v>
      </c>
      <c r="AO42" s="82">
        <f>SUMIFS(estoque[quantidade],estoque[fornecedor],"&lt;&gt;saída",estoque[data],SituaçãoEstoqueFluxo[[#This Row],[data]])-SUMIFS(estoque[quantidade],estoque[fornecedor],"saída",estoque[data],SituaçãoEstoqueFluxo[[#This Row],[data]])</f>
        <v>-9</v>
      </c>
      <c r="AP42" s="116">
        <f t="shared" si="2"/>
        <v>46192</v>
      </c>
      <c r="AQ4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9.8333333333333339</v>
      </c>
      <c r="AR4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4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4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9.4166666666666661</v>
      </c>
      <c r="AU4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3.9166666666666665</v>
      </c>
      <c r="AV42" s="82" cm="1">
        <f t="array" aca="1" ref="AV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19.607142857142858</v>
      </c>
      <c r="AW42" s="82" cm="1">
        <f t="array" aca="1" ref="AW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6.5357142857142856</v>
      </c>
      <c r="AX42" s="82">
        <f>SUM(FluxoEstoqueDateTime[[#This Row],[OVO BRANCO A]:[OVO BRANCO JUMBO]])</f>
        <v>28.166666666666668</v>
      </c>
    </row>
    <row r="43" spans="1:50" x14ac:dyDescent="0.25">
      <c r="A43" s="4" t="s">
        <v>20</v>
      </c>
      <c r="B43" s="55" t="s">
        <v>10</v>
      </c>
      <c r="C43" s="5">
        <v>4</v>
      </c>
      <c r="D43" s="56">
        <v>19</v>
      </c>
      <c r="E43" s="56">
        <v>76</v>
      </c>
      <c r="F43" s="157">
        <v>46226</v>
      </c>
      <c r="G43" s="4" t="s">
        <v>294</v>
      </c>
      <c r="H43" s="4" t="s">
        <v>149</v>
      </c>
      <c r="I43" s="153">
        <v>15.76</v>
      </c>
      <c r="J43" s="12">
        <v>0.20739348370927296</v>
      </c>
      <c r="K43" s="119" t="s">
        <v>14</v>
      </c>
      <c r="L43" s="81" t="str">
        <f>IF(SUMIFS(aprazo[quantidade],aprazo[produto],EstatisMês5557[[#This Row],[jan]],aprazo[atacado],"atacado",aprazo[[mês ]],EstatisMês5557[[#Headers],[jan]])/12=0,"",SUMIFS(aprazo[quantidade],aprazo[produto],EstatisMês5557[[#This Row],[jan]],aprazo[atacado],"atacado",aprazo[[mês ]],EstatisMês5557[[#Headers],[jan]])/12)</f>
        <v/>
      </c>
      <c r="M43" s="81">
        <f>IF(SUMIFS(estoque[quantidade],estoque[fornecedor],"saída",estoque[produto],EstatisMês5557[[#This Row],[jan]],estoque[mês],EstatisMês5557[[#Headers],[jan]])/12=0,"",SUMIFS(estoque[quantidade],estoque[fornecedor],"saída",estoque[produto],EstatisMês5557[[#This Row],[jan]],estoque[mês],EstatisMês5557[[#Headers],[jan]])/12)</f>
        <v>6.333333333333333</v>
      </c>
      <c r="N43" s="8">
        <f>IF(SUMIFS(estoque[valor total],estoque[fornecedor],"&lt;&gt;saída",estoque[produto],EstatisMês5557[[#This Row],[jan]],estoque[mês],EstatisMês5557[[#Headers],[jan]])=0,"",SUMIFS(estoque[valor total],estoque[fornecedor],"&lt;&gt;saída",estoque[produto],EstatisMês5557[[#This Row],[jan]],estoque[mês],EstatisMês5557[[#Headers],[jan]]))</f>
        <v>2860</v>
      </c>
      <c r="O43" s="8">
        <f>IF(SUMIFS(estoque[valor total],estoque[fornecedor],"saída",estoque[produto],EstatisMês5557[[#This Row],[jan]],estoque[mês],EstatisMês5557[[#Headers],[jan]])=0,"",SUMIFS(estoque[valor total],estoque[fornecedor],"saída",estoque[produto],EstatisMês5557[[#This Row],[jan]],estoque[mês],EstatisMês5557[[#Headers],[jan]]))</f>
        <v>1867</v>
      </c>
      <c r="P43" s="8">
        <f>IF(SUMIFS(estoque[lucro],estoque[fornecedor],"saída",estoque[produto],EstatisMês5557[[#This Row],[jan]],estoque[mês],EstatisMês5557[[#Headers],[jan]])=0,"",SUMIFS(estoque[lucro],estoque[fornecedor],"saída",estoque[produto],EstatisMês5557[[#This Row],[jan]],estoque[mês],EstatisMês5557[[#Headers],[jan]]))</f>
        <v>567.0100000000001</v>
      </c>
      <c r="Q43" s="10">
        <f>IF(IFERROR(EstatisMês5557[[#This Row],[lucro]]/EstatisMês5557[[#This Row],[valor venda]],0)=0,"",IFERROR(EstatisMês5557[[#This Row],[lucro]]/EstatisMês5557[[#This Row],[valor venda]],0))</f>
        <v>0.30370112479914307</v>
      </c>
      <c r="R43" s="10">
        <f>IFERROR(EstatisMês5557[[#This Row],[lucro]]/SUM(EstatisMês5557[lucro]),"")</f>
        <v>0.14298303142667365</v>
      </c>
      <c r="S43" s="10">
        <f>IFERROR(EstatisMês5557[[#This Row],[valor venda]]/SUM(EstatisMês5557[valor venda]),"")</f>
        <v>9.1380744946404968E-2</v>
      </c>
      <c r="T43" s="10" t="str">
        <f>IFERROR((EstatisMês5557[[#This Row],[venda]]-EstatisMês5557[[#This Row],[atacado]])/(SUM(EstatisMês5557[venda])-SUM(EstatisMês5557[atacado])),"")</f>
        <v/>
      </c>
      <c r="U43" s="10" t="str">
        <f>IFERROR(EstatisMês5557[[#This Row],[atacado]]/SUM(EstatisMês5557[atacado]),"")</f>
        <v/>
      </c>
      <c r="Z43" s="116">
        <f t="shared" si="0"/>
        <v>46191</v>
      </c>
      <c r="AA4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4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4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4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4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4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4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73.553999575641853</v>
      </c>
      <c r="AH43" s="116">
        <f t="shared" si="1"/>
        <v>46191</v>
      </c>
      <c r="AI43" s="1" t="str" cm="1">
        <f t="array" ref="AI43">IFERROR(_xlfn.IFS(AQ43="","Sem Produto",AND(AQ43/(AA43/12)&gt;0,AQ43/(AA43/12)&lt;=2),"Acabando",AND(AQ43/(AA43/12)&gt;2,AQ43/(AA43/12)&lt;=3),"Fazer Pedido",AND(AQ43/(AA43/12)&gt;3,AQ43/(AA43/12)&lt;=7),"OK",AND(AQ43/(AA43/12)&gt;7,AQ43/(AA43/12)&lt;=14),"Abaixar Preço",AND(AQ43/(AA43/12)&gt;14,AQ43/(AA43/12)&lt;=20),"Estabilizando",AQ43/(AA43/12)&gt;20,"Instavel"),"Instavel")</f>
        <v>Estabilizando</v>
      </c>
      <c r="AJ43" s="1" t="str" cm="1">
        <f t="array" ref="AJ43">IFERROR(_xlfn.IFS(AR43="","Sem Produto",AND(AR43/(AB43/12)&gt;0,AR43/(AB43/12)&lt;=2),"Acabando",AND(AR43/(AB43/12)&gt;2,AR43/(AB43/12)&lt;=3),"Fazer Pedido",AND(AR43/(AB43/12)&gt;3,AR43/(AB43/12)&lt;=7),"OK",AND(AR43/(AB43/12)&gt;7,AR43/(AB43/12)&lt;=14),"Abaixar Preço",AND(AR43/(AB43/12)&gt;14,AR43/(AB43/12)&lt;=20),"Estabilizando",AR43/(AB43/12)&gt;20,"Instavel"),"Instavel")</f>
        <v>OK</v>
      </c>
      <c r="AK43" s="1" t="str" cm="1">
        <f t="array" ref="AK43">IFERROR(_xlfn.IFS(AS43="","Sem Produto",AND(AS43/(AC43/12)&gt;0,AS43/(AC43/12)&lt;=2),"Acabando",AND(AS43/(AC43/12)&gt;2,AS43/(AC43/12)&lt;=3),"Fazer Pedido",AND(AS43/(AC43/12)&gt;3,AS43/(AC43/12)&lt;=7),"OK",AND(AS43/(AC43/12)&gt;7,AS43/(AC43/12)&lt;=14),"Abaixar Preço",AND(AS43/(AC43/12)&gt;14,AS43/(AC43/12)&lt;=20),"Estabilizando",AS43/(AC43/12)&gt;20,"Instavel"),"Instavel")</f>
        <v>Estabilizando</v>
      </c>
      <c r="AL43" s="1" t="str" cm="1">
        <f t="array" ref="AL43">IFERROR(_xlfn.IFS(AT43="","Sem Produto",AND(AT43/(AD43/12)&gt;0,AT43/(AD43/12)&lt;=2),"Acabando",AND(AT43/(AD43/12)&gt;2,AT43/(AD43/12)&lt;=3),"Fazer Pedido",AND(AT43/(AD43/12)&gt;3,AT43/(AD43/12)&lt;=7),"OK",AND(AT43/(AD43/12)&gt;7,AT43/(AD43/12)&lt;=14),"Abaixar Preço",AND(AT43/(AD43/12)&gt;14,AT43/(AD43/12)&lt;=20),"Estabilizando",AT43/(AD43/12)&gt;20,"Instavel"),"Instavel")</f>
        <v>Estabilizando</v>
      </c>
      <c r="AM43" s="1" t="str" cm="1">
        <f t="array" ref="AM43">IFERROR(_xlfn.IFS(AU43="","Sem Produto",AND(AU43/(AE43/12)&gt;0,AU43/(AE43/12)&lt;=2),"Acabando",AND(AU43/(AE43/12)&gt;2,AU43/(AE43/12)&lt;=3),"Fazer Pedido",AND(AU43/(AE43/12)&gt;3,AU43/(AE43/12)&lt;=7),"OK",AND(AU43/(AE43/12)&gt;7,AU43/(AE43/12)&lt;=14),"Abaixar Preço",AND(AU43/(AE43/12)&gt;14,AU43/(AE43/12)&lt;=20),"Estabilizando",AU43/(AE43/12)&gt;20,"Instavel"),"Instavel")</f>
        <v>Abaixar Preço</v>
      </c>
      <c r="AN43" s="1" t="str">
        <f ca="1">IF(SUMIF(vendaAno[data],SituaçãoEstoqueFluxo[[#This Row],[data]],vendaAno[estoque])=0,"Algo errado",IF(AND(AX43/AW43&gt;0,AX43/AW43&lt;=1),"Alerta",IF(AND(AX43/AW43&gt;1,AX43/AW43&lt;=1.5),"Fazer pedido",IF(AND(AX43/AW43&gt;1.5,AX43/AW43&lt;=2),"Ok",IF(AND(AX43/AW43&gt;2,AX43/AW43&lt;=2.5),"Estabilizando",IF(AND(AX43/AW43&gt;2.5,AX43/AW43&lt;=3),"Cheio","Abaixar preço"))))))</f>
        <v>Abaixar preço</v>
      </c>
      <c r="AO43" s="82">
        <f>SUMIFS(estoque[quantidade],estoque[fornecedor],"&lt;&gt;saída",estoque[data],SituaçãoEstoqueFluxo[[#This Row],[data]])-SUMIFS(estoque[quantidade],estoque[fornecedor],"saída",estoque[data],SituaçãoEstoqueFluxo[[#This Row],[data]])</f>
        <v>246</v>
      </c>
      <c r="AP43" s="116">
        <f t="shared" si="2"/>
        <v>46191</v>
      </c>
      <c r="AQ4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9.9166666666666661</v>
      </c>
      <c r="AR4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</v>
      </c>
      <c r="AS4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4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4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</v>
      </c>
      <c r="AV43" s="82" cm="1">
        <f t="array" aca="1" ref="AV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21.428571428571427</v>
      </c>
      <c r="AW43" s="82" cm="1">
        <f t="array" aca="1" ref="AW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43" s="82">
        <f>SUM(FluxoEstoqueDateTime[[#This Row],[OVO BRANCO A]:[OVO BRANCO JUMBO]])</f>
        <v>28.916666666666664</v>
      </c>
    </row>
    <row r="44" spans="1:50" x14ac:dyDescent="0.25">
      <c r="A44" s="4" t="s">
        <v>20</v>
      </c>
      <c r="B44" s="55" t="s">
        <v>14</v>
      </c>
      <c r="C44" s="5">
        <v>2</v>
      </c>
      <c r="D44" s="56">
        <v>23</v>
      </c>
      <c r="E44" s="56">
        <v>46</v>
      </c>
      <c r="F44" s="157">
        <v>46225</v>
      </c>
      <c r="G44" s="4" t="s">
        <v>32</v>
      </c>
      <c r="H44" s="4" t="s">
        <v>149</v>
      </c>
      <c r="I44" s="153">
        <v>13.5</v>
      </c>
      <c r="J44" s="12">
        <v>0.29343297101449278</v>
      </c>
      <c r="Z44" s="116">
        <f t="shared" si="0"/>
        <v>46190</v>
      </c>
      <c r="AA4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4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4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4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4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4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65.032222467446488</v>
      </c>
      <c r="AH44" s="116">
        <f t="shared" si="1"/>
        <v>46190</v>
      </c>
      <c r="AI44" s="1" t="str" cm="1">
        <f t="array" ref="AI44">IFERROR(_xlfn.IFS(AQ44="","Sem Produto",AND(AQ44/(AA44/12)&gt;0,AQ44/(AA44/12)&lt;=2),"Acabando",AND(AQ44/(AA44/12)&gt;2,AQ44/(AA44/12)&lt;=3),"Fazer Pedido",AND(AQ44/(AA44/12)&gt;3,AQ44/(AA44/12)&lt;=7),"OK",AND(AQ44/(AA44/12)&gt;7,AQ44/(AA44/12)&lt;=14),"Abaixar Preço",AND(AQ44/(AA44/12)&gt;14,AQ44/(AA44/12)&lt;=20),"Estabilizando",AQ44/(AA44/12)&gt;20,"Instavel"),"Instavel")</f>
        <v>Sem Produto</v>
      </c>
      <c r="AJ44" s="1" t="str" cm="1">
        <f t="array" ref="AJ44">IFERROR(_xlfn.IFS(AR44="","Sem Produto",AND(AR44/(AB44/12)&gt;0,AR44/(AB44/12)&lt;=2),"Acabando",AND(AR44/(AB44/12)&gt;2,AR44/(AB44/12)&lt;=3),"Fazer Pedido",AND(AR44/(AB44/12)&gt;3,AR44/(AB44/12)&lt;=7),"OK",AND(AR44/(AB44/12)&gt;7,AR44/(AB44/12)&lt;=14),"Abaixar Preço",AND(AR44/(AB44/12)&gt;14,AR44/(AB44/12)&lt;=20),"Estabilizando",AR44/(AB44/12)&gt;20,"Instavel"),"Instavel")</f>
        <v>Abaixar Preço</v>
      </c>
      <c r="AK44" s="1" t="str" cm="1">
        <f t="array" ref="AK44">IFERROR(_xlfn.IFS(AS44="","Sem Produto",AND(AS44/(AC44/12)&gt;0,AS44/(AC44/12)&lt;=2),"Acabando",AND(AS44/(AC44/12)&gt;2,AS44/(AC44/12)&lt;=3),"Fazer Pedido",AND(AS44/(AC44/12)&gt;3,AS44/(AC44/12)&lt;=7),"OK",AND(AS44/(AC44/12)&gt;7,AS44/(AC44/12)&lt;=14),"Abaixar Preço",AND(AS44/(AC44/12)&gt;14,AS44/(AC44/12)&lt;=20),"Estabilizando",AS44/(AC44/12)&gt;20,"Instavel"),"Instavel")</f>
        <v>Instavel</v>
      </c>
      <c r="AL44" s="1" t="str" cm="1">
        <f t="array" ref="AL44">IFERROR(_xlfn.IFS(AT44="","Sem Produto",AND(AT44/(AD44/12)&gt;0,AT44/(AD44/12)&lt;=2),"Acabando",AND(AT44/(AD44/12)&gt;2,AT44/(AD44/12)&lt;=3),"Fazer Pedido",AND(AT44/(AD44/12)&gt;3,AT44/(AD44/12)&lt;=7),"OK",AND(AT44/(AD44/12)&gt;7,AT44/(AD44/12)&lt;=14),"Abaixar Preço",AND(AT44/(AD44/12)&gt;14,AT44/(AD44/12)&lt;=20),"Estabilizando",AT44/(AD44/12)&gt;20,"Instavel"),"Instavel")</f>
        <v>Acabando</v>
      </c>
      <c r="AM44" s="1" t="str" cm="1">
        <f t="array" ref="AM44">IFERROR(_xlfn.IFS(AU44="","Sem Produto",AND(AU44/(AE44/12)&gt;0,AU44/(AE44/12)&lt;=2),"Acabando",AND(AU44/(AE44/12)&gt;2,AU44/(AE44/12)&lt;=3),"Fazer Pedido",AND(AU44/(AE44/12)&gt;3,AU44/(AE44/12)&lt;=7),"OK",AND(AU44/(AE44/12)&gt;7,AU44/(AE44/12)&lt;=14),"Abaixar Preço",AND(AU44/(AE44/12)&gt;14,AU44/(AE44/12)&lt;=20),"Estabilizando",AU44/(AE44/12)&gt;20,"Instavel"),"Instavel")</f>
        <v>Acabando</v>
      </c>
      <c r="AN44" s="1" t="str">
        <f ca="1">IF(SUMIF(vendaAno[data],SituaçãoEstoqueFluxo[[#This Row],[data]],vendaAno[estoque])=0,"Algo errado",IF(AND(AX44/AW44&gt;0,AX44/AW44&lt;=1),"Alerta",IF(AND(AX44/AW44&gt;1,AX44/AW44&lt;=1.5),"Fazer pedido",IF(AND(AX44/AW44&gt;1.5,AX44/AW44&lt;=2),"Ok",IF(AND(AX44/AW44&gt;2,AX44/AW44&lt;=2.5),"Estabilizando",IF(AND(AX44/AW44&gt;2.5,AX44/AW44&lt;=3),"Cheio","Abaixar preço"))))))</f>
        <v>Fazer pedido</v>
      </c>
      <c r="AO44" s="82">
        <f>SUMIFS(estoque[quantidade],estoque[fornecedor],"&lt;&gt;saída",estoque[data],SituaçãoEstoqueFluxo[[#This Row],[data]])-SUMIFS(estoque[quantidade],estoque[fornecedor],"saída",estoque[data],SituaçãoEstoqueFluxo[[#This Row],[data]])</f>
        <v>-10</v>
      </c>
      <c r="AP44" s="116">
        <f t="shared" si="2"/>
        <v>46190</v>
      </c>
      <c r="AQ4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</v>
      </c>
      <c r="AS4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4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0.83333333333333337</v>
      </c>
      <c r="AU4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44" s="82" cm="1">
        <f t="array" aca="1" ref="AV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44" s="82" cm="1">
        <f t="array" aca="1" ref="AW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44" s="82">
        <f>SUM(FluxoEstoqueDateTime[[#This Row],[OVO BRANCO A]:[OVO BRANCO JUMBO]])</f>
        <v>8.4166666666666661</v>
      </c>
    </row>
    <row r="45" spans="1:50" x14ac:dyDescent="0.25">
      <c r="A45" s="4" t="s">
        <v>20</v>
      </c>
      <c r="B45" s="55" t="s">
        <v>13</v>
      </c>
      <c r="C45" s="5">
        <v>9</v>
      </c>
      <c r="D45" s="56">
        <v>20</v>
      </c>
      <c r="E45" s="56">
        <v>180</v>
      </c>
      <c r="F45" s="157">
        <v>46225</v>
      </c>
      <c r="G45" s="4" t="s">
        <v>32</v>
      </c>
      <c r="H45" s="4" t="s">
        <v>149</v>
      </c>
      <c r="I45" s="153">
        <v>40.479999999999997</v>
      </c>
      <c r="J45" s="12">
        <v>0.22488962472406174</v>
      </c>
      <c r="Z45" s="116">
        <f t="shared" si="0"/>
        <v>46189</v>
      </c>
      <c r="AA4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4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7.7142857142857144</v>
      </c>
      <c r="AC4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4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4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4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66.665384615384625</v>
      </c>
      <c r="AH45" s="116">
        <f t="shared" si="1"/>
        <v>46189</v>
      </c>
      <c r="AI45" s="1" t="str" cm="1">
        <f t="array" ref="AI45">IFERROR(_xlfn.IFS(AQ45="","Sem Produto",AND(AQ45/(AA45/12)&gt;0,AQ45/(AA45/12)&lt;=2),"Acabando",AND(AQ45/(AA45/12)&gt;2,AQ45/(AA45/12)&lt;=3),"Fazer Pedido",AND(AQ45/(AA45/12)&gt;3,AQ45/(AA45/12)&lt;=7),"OK",AND(AQ45/(AA45/12)&gt;7,AQ45/(AA45/12)&lt;=14),"Abaixar Preço",AND(AQ45/(AA45/12)&gt;14,AQ45/(AA45/12)&lt;=20),"Estabilizando",AQ45/(AA45/12)&gt;20,"Instavel"),"Instavel")</f>
        <v>Sem Produto</v>
      </c>
      <c r="AJ45" s="1" t="str" cm="1">
        <f t="array" ref="AJ45">IFERROR(_xlfn.IFS(AR45="","Sem Produto",AND(AR45/(AB45/12)&gt;0,AR45/(AB45/12)&lt;=2),"Acabando",AND(AR45/(AB45/12)&gt;2,AR45/(AB45/12)&lt;=3),"Fazer Pedido",AND(AR45/(AB45/12)&gt;3,AR45/(AB45/12)&lt;=7),"OK",AND(AR45/(AB45/12)&gt;7,AR45/(AB45/12)&lt;=14),"Abaixar Preço",AND(AR45/(AB45/12)&gt;14,AR45/(AB45/12)&lt;=20),"Estabilizando",AR45/(AB45/12)&gt;20,"Instavel"),"Instavel")</f>
        <v>Abaixar Preço</v>
      </c>
      <c r="AK45" s="1" t="str" cm="1">
        <f t="array" ref="AK45">IFERROR(_xlfn.IFS(AS45="","Sem Produto",AND(AS45/(AC45/12)&gt;0,AS45/(AC45/12)&lt;=2),"Acabando",AND(AS45/(AC45/12)&gt;2,AS45/(AC45/12)&lt;=3),"Fazer Pedido",AND(AS45/(AC45/12)&gt;3,AS45/(AC45/12)&lt;=7),"OK",AND(AS45/(AC45/12)&gt;7,AS45/(AC45/12)&lt;=14),"Abaixar Preço",AND(AS45/(AC45/12)&gt;14,AS45/(AC45/12)&lt;=20),"Estabilizando",AS45/(AC45/12)&gt;20,"Instavel"),"Instavel")</f>
        <v>Instavel</v>
      </c>
      <c r="AL45" s="1" t="str" cm="1">
        <f t="array" ref="AL45">IFERROR(_xlfn.IFS(AT45="","Sem Produto",AND(AT45/(AD45/12)&gt;0,AT45/(AD45/12)&lt;=2),"Acabando",AND(AT45/(AD45/12)&gt;2,AT45/(AD45/12)&lt;=3),"Fazer Pedido",AND(AT45/(AD45/12)&gt;3,AT45/(AD45/12)&lt;=7),"OK",AND(AT45/(AD45/12)&gt;7,AT45/(AD45/12)&lt;=14),"Abaixar Preço",AND(AT45/(AD45/12)&gt;14,AT45/(AD45/12)&lt;=20),"Estabilizando",AT45/(AD45/12)&gt;20,"Instavel"),"Instavel")</f>
        <v>Acabando</v>
      </c>
      <c r="AM45" s="1" t="str" cm="1">
        <f t="array" ref="AM45">IFERROR(_xlfn.IFS(AU45="","Sem Produto",AND(AU45/(AE45/12)&gt;0,AU45/(AE45/12)&lt;=2),"Acabando",AND(AU45/(AE45/12)&gt;2,AU45/(AE45/12)&lt;=3),"Fazer Pedido",AND(AU45/(AE45/12)&gt;3,AU45/(AE45/12)&lt;=7),"OK",AND(AU45/(AE45/12)&gt;7,AU45/(AE45/12)&lt;=14),"Abaixar Preço",AND(AU45/(AE45/12)&gt;14,AU45/(AE45/12)&lt;=20),"Estabilizando",AU45/(AE45/12)&gt;20,"Instavel"),"Instavel")</f>
        <v>OK</v>
      </c>
      <c r="AN45" s="1" t="str">
        <f ca="1">IF(SUMIF(vendaAno[data],SituaçãoEstoqueFluxo[[#This Row],[data]],vendaAno[estoque])=0,"Algo errado",IF(AND(AX45/AW45&gt;0,AX45/AW45&lt;=1),"Alerta",IF(AND(AX45/AW45&gt;1,AX45/AW45&lt;=1.5),"Fazer pedido",IF(AND(AX45/AW45&gt;1.5,AX45/AW45&lt;=2),"Ok",IF(AND(AX45/AW45&gt;2,AX45/AW45&lt;=2.5),"Estabilizando",IF(AND(AX45/AW45&gt;2.5,AX45/AW45&lt;=3),"Cheio","Abaixar preço"))))))</f>
        <v>Fazer pedido</v>
      </c>
      <c r="AO45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45" s="116">
        <f t="shared" si="2"/>
        <v>46189</v>
      </c>
      <c r="AQ4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5.166666666666667</v>
      </c>
      <c r="AS4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4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0.83333333333333337</v>
      </c>
      <c r="AU4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0.66666666666666663</v>
      </c>
      <c r="AV45" s="82" cm="1">
        <f t="array" aca="1" ref="AV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45" s="82" cm="1">
        <f t="array" aca="1" ref="AW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45" s="82">
        <f>SUM(FluxoEstoqueDateTime[[#This Row],[OVO BRANCO A]:[OVO BRANCO JUMBO]])</f>
        <v>9.25</v>
      </c>
    </row>
    <row r="46" spans="1:50" x14ac:dyDescent="0.25">
      <c r="A46" s="4" t="s">
        <v>20</v>
      </c>
      <c r="B46" s="55" t="s">
        <v>11</v>
      </c>
      <c r="C46" s="5">
        <v>14</v>
      </c>
      <c r="D46" s="56">
        <v>18</v>
      </c>
      <c r="E46" s="56">
        <v>243</v>
      </c>
      <c r="F46" s="157">
        <v>46225</v>
      </c>
      <c r="G46" s="4" t="s">
        <v>32</v>
      </c>
      <c r="H46" s="4" t="s">
        <v>149</v>
      </c>
      <c r="I46" s="153">
        <v>38.82</v>
      </c>
      <c r="J46" s="12">
        <v>0.15975498056554557</v>
      </c>
      <c r="Z46" s="116">
        <f t="shared" si="0"/>
        <v>46188</v>
      </c>
      <c r="AA4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4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4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4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4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1.8571428571428572</v>
      </c>
      <c r="AF4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30.714285714285715</v>
      </c>
      <c r="AG4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77.381071035528151</v>
      </c>
      <c r="AH46" s="116">
        <f t="shared" si="1"/>
        <v>46188</v>
      </c>
      <c r="AI46" s="1" t="str" cm="1">
        <f t="array" ref="AI46">IFERROR(_xlfn.IFS(AQ46="","Sem Produto",AND(AQ46/(AA46/12)&gt;0,AQ46/(AA46/12)&lt;=2),"Acabando",AND(AQ46/(AA46/12)&gt;2,AQ46/(AA46/12)&lt;=3),"Fazer Pedido",AND(AQ46/(AA46/12)&gt;3,AQ46/(AA46/12)&lt;=7),"OK",AND(AQ46/(AA46/12)&gt;7,AQ46/(AA46/12)&lt;=14),"Abaixar Preço",AND(AQ46/(AA46/12)&gt;14,AQ46/(AA46/12)&lt;=20),"Estabilizando",AQ46/(AA46/12)&gt;20,"Instavel"),"Instavel")</f>
        <v>Sem Produto</v>
      </c>
      <c r="AJ46" s="1" t="str" cm="1">
        <f t="array" ref="AJ46">IFERROR(_xlfn.IFS(AR46="","Sem Produto",AND(AR46/(AB46/12)&gt;0,AR46/(AB46/12)&lt;=2),"Acabando",AND(AR46/(AB46/12)&gt;2,AR46/(AB46/12)&lt;=3),"Fazer Pedido",AND(AR46/(AB46/12)&gt;3,AR46/(AB46/12)&lt;=7),"OK",AND(AR46/(AB46/12)&gt;7,AR46/(AB46/12)&lt;=14),"Abaixar Preço",AND(AR46/(AB46/12)&gt;14,AR46/(AB46/12)&lt;=20),"Estabilizando",AR46/(AB46/12)&gt;20,"Instavel"),"Instavel")</f>
        <v>Abaixar Preço</v>
      </c>
      <c r="AK46" s="1" t="str" cm="1">
        <f t="array" ref="AK46">IFERROR(_xlfn.IFS(AS46="","Sem Produto",AND(AS46/(AC46/12)&gt;0,AS46/(AC46/12)&lt;=2),"Acabando",AND(AS46/(AC46/12)&gt;2,AS46/(AC46/12)&lt;=3),"Fazer Pedido",AND(AS46/(AC46/12)&gt;3,AS46/(AC46/12)&lt;=7),"OK",AND(AS46/(AC46/12)&gt;7,AS46/(AC46/12)&lt;=14),"Abaixar Preço",AND(AS46/(AC46/12)&gt;14,AS46/(AC46/12)&lt;=20),"Estabilizando",AS46/(AC46/12)&gt;20,"Instavel"),"Instavel")</f>
        <v>Instavel</v>
      </c>
      <c r="AL46" s="1" t="str" cm="1">
        <f t="array" ref="AL46">IFERROR(_xlfn.IFS(AT46="","Sem Produto",AND(AT46/(AD46/12)&gt;0,AT46/(AD46/12)&lt;=2),"Acabando",AND(AT46/(AD46/12)&gt;2,AT46/(AD46/12)&lt;=3),"Fazer Pedido",AND(AT46/(AD46/12)&gt;3,AT46/(AD46/12)&lt;=7),"OK",AND(AT46/(AD46/12)&gt;7,AT46/(AD46/12)&lt;=14),"Abaixar Preço",AND(AT46/(AD46/12)&gt;14,AT46/(AD46/12)&lt;=20),"Estabilizando",AT46/(AD46/12)&gt;20,"Instavel"),"Instavel")</f>
        <v>Fazer Pedido</v>
      </c>
      <c r="AM46" s="1" t="str" cm="1">
        <f t="array" ref="AM46">IFERROR(_xlfn.IFS(AU46="","Sem Produto",AND(AU46/(AE46/12)&gt;0,AU46/(AE46/12)&lt;=2),"Acabando",AND(AU46/(AE46/12)&gt;2,AU46/(AE46/12)&lt;=3),"Fazer Pedido",AND(AU46/(AE46/12)&gt;3,AU46/(AE46/12)&lt;=7),"OK",AND(AU46/(AE46/12)&gt;7,AU46/(AE46/12)&lt;=14),"Abaixar Preço",AND(AU46/(AE46/12)&gt;14,AU46/(AE46/12)&lt;=20),"Estabilizando",AU46/(AE46/12)&gt;20,"Instavel"),"Instavel")</f>
        <v>OK</v>
      </c>
      <c r="AN46" s="1" t="str">
        <f ca="1">IF(SUMIF(vendaAno[data],SituaçãoEstoqueFluxo[[#This Row],[data]],vendaAno[estoque])=0,"Algo errado",IF(AND(AX46/AW46&gt;0,AX46/AW46&lt;=1),"Alerta",IF(AND(AX46/AW46&gt;1,AX46/AW46&lt;=1.5),"Fazer pedido",IF(AND(AX46/AW46&gt;1.5,AX46/AW46&lt;=2),"Ok",IF(AND(AX46/AW46&gt;2,AX46/AW46&lt;=2.5),"Estabilizando",IF(AND(AX46/AW46&gt;2.5,AX46/AW46&lt;=3),"Cheio","Abaixar preço"))))))</f>
        <v>Fazer pedido</v>
      </c>
      <c r="AO46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46" s="116">
        <f t="shared" si="2"/>
        <v>46188</v>
      </c>
      <c r="AQ4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4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4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4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0.91666666666666663</v>
      </c>
      <c r="AV46" s="82" cm="1">
        <f t="array" aca="1" ref="AV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23.035714285714288</v>
      </c>
      <c r="AW46" s="82" cm="1">
        <f t="array" aca="1" ref="AW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7.6785714285714279</v>
      </c>
      <c r="AX46" s="82">
        <f>SUM(FluxoEstoqueDateTime[[#This Row],[OVO BRANCO A]:[OVO BRANCO JUMBO]])</f>
        <v>11.166666666666666</v>
      </c>
    </row>
    <row r="47" spans="1:50" x14ac:dyDescent="0.25">
      <c r="A47" s="4" t="s">
        <v>20</v>
      </c>
      <c r="B47" s="55" t="s">
        <v>10</v>
      </c>
      <c r="C47" s="5">
        <v>2</v>
      </c>
      <c r="D47" s="56">
        <v>19</v>
      </c>
      <c r="E47" s="56">
        <v>38</v>
      </c>
      <c r="F47" s="157">
        <v>46225</v>
      </c>
      <c r="G47" s="4" t="s">
        <v>32</v>
      </c>
      <c r="H47" s="4" t="s">
        <v>149</v>
      </c>
      <c r="I47" s="153">
        <v>7.88</v>
      </c>
      <c r="J47" s="12">
        <v>0.20739348370927305</v>
      </c>
      <c r="Z47" s="116">
        <f t="shared" si="0"/>
        <v>46187</v>
      </c>
      <c r="AA4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11.714285714285714</v>
      </c>
      <c r="AB4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4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4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4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1.1428571428571428</v>
      </c>
      <c r="AF4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4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72.868055697967719</v>
      </c>
      <c r="AH47" s="116">
        <f t="shared" si="1"/>
        <v>46187</v>
      </c>
      <c r="AI47" s="1" t="str" cm="1">
        <f t="array" ref="AI47">IFERROR(_xlfn.IFS(AQ47="","Sem Produto",AND(AQ47/(AA47/12)&gt;0,AQ47/(AA47/12)&lt;=2),"Acabando",AND(AQ47/(AA47/12)&gt;2,AQ47/(AA47/12)&lt;=3),"Fazer Pedido",AND(AQ47/(AA47/12)&gt;3,AQ47/(AA47/12)&lt;=7),"OK",AND(AQ47/(AA47/12)&gt;7,AQ47/(AA47/12)&lt;=14),"Abaixar Preço",AND(AQ47/(AA47/12)&gt;14,AQ47/(AA47/12)&lt;=20),"Estabilizando",AQ47/(AA47/12)&gt;20,"Instavel"),"Instavel")</f>
        <v>Sem Produto</v>
      </c>
      <c r="AJ47" s="1" t="str" cm="1">
        <f t="array" ref="AJ47">IFERROR(_xlfn.IFS(AR47="","Sem Produto",AND(AR47/(AB47/12)&gt;0,AR47/(AB47/12)&lt;=2),"Acabando",AND(AR47/(AB47/12)&gt;2,AR47/(AB47/12)&lt;=3),"Fazer Pedido",AND(AR47/(AB47/12)&gt;3,AR47/(AB47/12)&lt;=7),"OK",AND(AR47/(AB47/12)&gt;7,AR47/(AB47/12)&lt;=14),"Abaixar Preço",AND(AR47/(AB47/12)&gt;14,AR47/(AB47/12)&lt;=20),"Estabilizando",AR47/(AB47/12)&gt;20,"Instavel"),"Instavel")</f>
        <v>Abaixar Preço</v>
      </c>
      <c r="AK47" s="1" t="str" cm="1">
        <f t="array" ref="AK47">IFERROR(_xlfn.IFS(AS47="","Sem Produto",AND(AS47/(AC47/12)&gt;0,AS47/(AC47/12)&lt;=2),"Acabando",AND(AS47/(AC47/12)&gt;2,AS47/(AC47/12)&lt;=3),"Fazer Pedido",AND(AS47/(AC47/12)&gt;3,AS47/(AC47/12)&lt;=7),"OK",AND(AS47/(AC47/12)&gt;7,AS47/(AC47/12)&lt;=14),"Abaixar Preço",AND(AS47/(AC47/12)&gt;14,AS47/(AC47/12)&lt;=20),"Estabilizando",AS47/(AC47/12)&gt;20,"Instavel"),"Instavel")</f>
        <v>Instavel</v>
      </c>
      <c r="AL47" s="1" t="str" cm="1">
        <f t="array" ref="AL47">IFERROR(_xlfn.IFS(AT47="","Sem Produto",AND(AT47/(AD47/12)&gt;0,AT47/(AD47/12)&lt;=2),"Acabando",AND(AT47/(AD47/12)&gt;2,AT47/(AD47/12)&lt;=3),"Fazer Pedido",AND(AT47/(AD47/12)&gt;3,AT47/(AD47/12)&lt;=7),"OK",AND(AT47/(AD47/12)&gt;7,AT47/(AD47/12)&lt;=14),"Abaixar Preço",AND(AT47/(AD47/12)&gt;14,AT47/(AD47/12)&lt;=20),"Estabilizando",AT47/(AD47/12)&gt;20,"Instavel"),"Instavel")</f>
        <v>OK</v>
      </c>
      <c r="AM47" s="1" t="str" cm="1">
        <f t="array" ref="AM47">IFERROR(_xlfn.IFS(AU47="","Sem Produto",AND(AU47/(AE47/12)&gt;0,AU47/(AE47/12)&lt;=2),"Acabando",AND(AU47/(AE47/12)&gt;2,AU47/(AE47/12)&lt;=3),"Fazer Pedido",AND(AU47/(AE47/12)&gt;3,AU47/(AE47/12)&lt;=7),"OK",AND(AU47/(AE47/12)&gt;7,AU47/(AE47/12)&lt;=14),"Abaixar Preço",AND(AU47/(AE47/12)&gt;14,AU47/(AE47/12)&lt;=20),"Estabilizando",AU47/(AE47/12)&gt;20,"Instavel"),"Instavel")</f>
        <v>Abaixar Preço</v>
      </c>
      <c r="AN47" s="1" t="str">
        <f ca="1">IF(SUMIF(vendaAno[data],SituaçãoEstoqueFluxo[[#This Row],[data]],vendaAno[estoque])=0,"Algo errado",IF(AND(AX47/AW47&gt;0,AX47/AW47&lt;=1),"Alerta",IF(AND(AX47/AW47&gt;1,AX47/AW47&lt;=1.5),"Fazer pedido",IF(AND(AX47/AW47&gt;1.5,AX47/AW47&lt;=2),"Ok",IF(AND(AX47/AW47&gt;2,AX47/AW47&lt;=2.5),"Estabilizando",IF(AND(AX47/AW47&gt;2.5,AX47/AW47&lt;=3),"Cheio","Abaixar preço"))))))</f>
        <v>Ok</v>
      </c>
      <c r="AO47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47" s="116">
        <f t="shared" si="2"/>
        <v>46187</v>
      </c>
      <c r="AQ4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4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4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4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2.5833333333333335</v>
      </c>
      <c r="AU4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1.3333333333333333</v>
      </c>
      <c r="AV47" s="82" cm="1">
        <f t="array" aca="1" ref="AV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21.964285714285712</v>
      </c>
      <c r="AW47" s="82" cm="1">
        <f t="array" aca="1" ref="AW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47" s="82">
        <f>SUM(FluxoEstoqueDateTime[[#This Row],[OVO BRANCO A]:[OVO BRANCO JUMBO]])</f>
        <v>14.166666666666668</v>
      </c>
    </row>
    <row r="48" spans="1:50" x14ac:dyDescent="0.25">
      <c r="A48" s="4" t="s">
        <v>20</v>
      </c>
      <c r="B48" s="55" t="s">
        <v>11</v>
      </c>
      <c r="C48" s="5">
        <v>1</v>
      </c>
      <c r="D48" s="56">
        <v>18</v>
      </c>
      <c r="E48" s="56">
        <v>0</v>
      </c>
      <c r="F48" s="157">
        <v>46225</v>
      </c>
      <c r="G48" s="4" t="s">
        <v>32</v>
      </c>
      <c r="H48" s="4" t="s">
        <v>149</v>
      </c>
      <c r="I48" s="153">
        <v>-14.58</v>
      </c>
      <c r="J48" s="12">
        <v>0</v>
      </c>
      <c r="Z48" s="116">
        <f t="shared" si="0"/>
        <v>46186</v>
      </c>
      <c r="AA4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13.571428571428571</v>
      </c>
      <c r="AB4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6.1428571428571432</v>
      </c>
      <c r="AC4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4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6.4285714285714288</v>
      </c>
      <c r="AE4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4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4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70.993241859512608</v>
      </c>
      <c r="AH48" s="116">
        <f t="shared" si="1"/>
        <v>46186</v>
      </c>
      <c r="AI48" s="1" t="str" cm="1">
        <f t="array" ref="AI48">IFERROR(_xlfn.IFS(AQ48="","Sem Produto",AND(AQ48/(AA48/12)&gt;0,AQ48/(AA48/12)&lt;=2),"Acabando",AND(AQ48/(AA48/12)&gt;2,AQ48/(AA48/12)&lt;=3),"Fazer Pedido",AND(AQ48/(AA48/12)&gt;3,AQ48/(AA48/12)&lt;=7),"OK",AND(AQ48/(AA48/12)&gt;7,AQ48/(AA48/12)&lt;=14),"Abaixar Preço",AND(AQ48/(AA48/12)&gt;14,AQ48/(AA48/12)&lt;=20),"Estabilizando",AQ48/(AA48/12)&gt;20,"Instavel"),"Instavel")</f>
        <v>Acabando</v>
      </c>
      <c r="AJ48" s="1" t="str" cm="1">
        <f t="array" ref="AJ48">IFERROR(_xlfn.IFS(AR48="","Sem Produto",AND(AR48/(AB48/12)&gt;0,AR48/(AB48/12)&lt;=2),"Acabando",AND(AR48/(AB48/12)&gt;2,AR48/(AB48/12)&lt;=3),"Fazer Pedido",AND(AR48/(AB48/12)&gt;3,AR48/(AB48/12)&lt;=7),"OK",AND(AR48/(AB48/12)&gt;7,AR48/(AB48/12)&lt;=14),"Abaixar Preço",AND(AR48/(AB48/12)&gt;14,AR48/(AB48/12)&lt;=20),"Estabilizando",AR48/(AB48/12)&gt;20,"Instavel"),"Instavel")</f>
        <v>Estabilizando</v>
      </c>
      <c r="AK48" s="1" t="str" cm="1">
        <f t="array" ref="AK48">IFERROR(_xlfn.IFS(AS48="","Sem Produto",AND(AS48/(AC48/12)&gt;0,AS48/(AC48/12)&lt;=2),"Acabando",AND(AS48/(AC48/12)&gt;2,AS48/(AC48/12)&lt;=3),"Fazer Pedido",AND(AS48/(AC48/12)&gt;3,AS48/(AC48/12)&lt;=7),"OK",AND(AS48/(AC48/12)&gt;7,AS48/(AC48/12)&lt;=14),"Abaixar Preço",AND(AS48/(AC48/12)&gt;14,AS48/(AC48/12)&lt;=20),"Estabilizando",AS48/(AC48/12)&gt;20,"Instavel"),"Instavel")</f>
        <v>Instavel</v>
      </c>
      <c r="AL48" s="1" t="str" cm="1">
        <f t="array" ref="AL48">IFERROR(_xlfn.IFS(AT48="","Sem Produto",AND(AT48/(AD48/12)&gt;0,AT48/(AD48/12)&lt;=2),"Acabando",AND(AT48/(AD48/12)&gt;2,AT48/(AD48/12)&lt;=3),"Fazer Pedido",AND(AT48/(AD48/12)&gt;3,AT48/(AD48/12)&lt;=7),"OK",AND(AT48/(AD48/12)&gt;7,AT48/(AD48/12)&lt;=14),"Abaixar Preço",AND(AT48/(AD48/12)&gt;14,AT48/(AD48/12)&lt;=20),"Estabilizando",AT48/(AD48/12)&gt;20,"Instavel"),"Instavel")</f>
        <v>Abaixar Preço</v>
      </c>
      <c r="AM48" s="1" t="str" cm="1">
        <f t="array" ref="AM48">IFERROR(_xlfn.IFS(AU48="","Sem Produto",AND(AU48/(AE48/12)&gt;0,AU48/(AE48/12)&lt;=2),"Acabando",AND(AU48/(AE48/12)&gt;2,AU48/(AE48/12)&lt;=3),"Fazer Pedido",AND(AU48/(AE48/12)&gt;3,AU48/(AE48/12)&lt;=7),"OK",AND(AU48/(AE48/12)&gt;7,AU48/(AE48/12)&lt;=14),"Abaixar Preço",AND(AU48/(AE48/12)&gt;14,AU48/(AE48/12)&lt;=20),"Estabilizando",AU48/(AE48/12)&gt;20,"Instavel"),"Instavel")</f>
        <v>Abaixar Preço</v>
      </c>
      <c r="AN48" s="1" t="str">
        <f ca="1">IF(SUMIF(vendaAno[data],SituaçãoEstoqueFluxo[[#This Row],[data]],vendaAno[estoque])=0,"Algo errado",IF(AND(AX48/AW48&gt;0,AX48/AW48&lt;=1),"Alerta",IF(AND(AX48/AW48&gt;1,AX48/AW48&lt;=1.5),"Fazer pedido",IF(AND(AX48/AW48&gt;1.5,AX48/AW48&lt;=2),"Ok",IF(AND(AX48/AW48&gt;2,AX48/AW48&lt;=2.5),"Estabilizando",IF(AND(AX48/AW48&gt;2.5,AX48/AW48&lt;=3),"Cheio","Abaixar preço"))))))</f>
        <v>Estabilizando</v>
      </c>
      <c r="AO48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48" s="116">
        <f t="shared" si="2"/>
        <v>46186</v>
      </c>
      <c r="AQ4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0.16666666666666666</v>
      </c>
      <c r="AR4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8.6666666666666661</v>
      </c>
      <c r="AS4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4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4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1.4166666666666667</v>
      </c>
      <c r="AV48" s="82" cm="1">
        <f t="array" aca="1" ref="AV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21.428571428571431</v>
      </c>
      <c r="AW48" s="82" cm="1">
        <f t="array" aca="1" ref="AW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48" s="82">
        <f>SUM(FluxoEstoqueDateTime[[#This Row],[OVO BRANCO A]:[OVO BRANCO JUMBO]])</f>
        <v>17</v>
      </c>
    </row>
    <row r="49" spans="1:50" x14ac:dyDescent="0.25">
      <c r="A49" s="4" t="s">
        <v>20</v>
      </c>
      <c r="B49" s="55" t="s">
        <v>14</v>
      </c>
      <c r="C49" s="5">
        <v>12</v>
      </c>
      <c r="D49" s="56">
        <v>23</v>
      </c>
      <c r="E49" s="56">
        <v>276</v>
      </c>
      <c r="F49" s="157">
        <v>46224</v>
      </c>
      <c r="G49" s="4" t="s">
        <v>290</v>
      </c>
      <c r="H49" s="4" t="s">
        <v>149</v>
      </c>
      <c r="I49" s="153">
        <v>80.989999999999995</v>
      </c>
      <c r="J49" s="12">
        <v>0.29343297101449278</v>
      </c>
      <c r="Z49" s="116">
        <f t="shared" si="0"/>
        <v>46185</v>
      </c>
      <c r="AA4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11.571428571428571</v>
      </c>
      <c r="AB4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4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4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4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4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26.571428571428573</v>
      </c>
      <c r="AG4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69.366310217957249</v>
      </c>
      <c r="AH49" s="116">
        <f t="shared" si="1"/>
        <v>46185</v>
      </c>
      <c r="AI49" s="1" t="str" cm="1">
        <f t="array" ref="AI49">IFERROR(_xlfn.IFS(AQ49="","Sem Produto",AND(AQ49/(AA49/12)&gt;0,AQ49/(AA49/12)&lt;=2),"Acabando",AND(AQ49/(AA49/12)&gt;2,AQ49/(AA49/12)&lt;=3),"Fazer Pedido",AND(AQ49/(AA49/12)&gt;3,AQ49/(AA49/12)&lt;=7),"OK",AND(AQ49/(AA49/12)&gt;7,AQ49/(AA49/12)&lt;=14),"Abaixar Preço",AND(AQ49/(AA49/12)&gt;14,AQ49/(AA49/12)&lt;=20),"Estabilizando",AQ49/(AA49/12)&gt;20,"Instavel"),"Instavel")</f>
        <v>Acabando</v>
      </c>
      <c r="AJ49" s="1" t="str" cm="1">
        <f t="array" ref="AJ49">IFERROR(_xlfn.IFS(AR49="","Sem Produto",AND(AR49/(AB49/12)&gt;0,AR49/(AB49/12)&lt;=2),"Acabando",AND(AR49/(AB49/12)&gt;2,AR49/(AB49/12)&lt;=3),"Fazer Pedido",AND(AR49/(AB49/12)&gt;3,AR49/(AB49/12)&lt;=7),"OK",AND(AR49/(AB49/12)&gt;7,AR49/(AB49/12)&lt;=14),"Abaixar Preço",AND(AR49/(AB49/12)&gt;14,AR49/(AB49/12)&lt;=20),"Estabilizando",AR49/(AB49/12)&gt;20,"Instavel"),"Instavel")</f>
        <v>Estabilizando</v>
      </c>
      <c r="AK49" s="1" t="str" cm="1">
        <f t="array" ref="AK49">IFERROR(_xlfn.IFS(AS49="","Sem Produto",AND(AS49/(AC49/12)&gt;0,AS49/(AC49/12)&lt;=2),"Acabando",AND(AS49/(AC49/12)&gt;2,AS49/(AC49/12)&lt;=3),"Fazer Pedido",AND(AS49/(AC49/12)&gt;3,AS49/(AC49/12)&lt;=7),"OK",AND(AS49/(AC49/12)&gt;7,AS49/(AC49/12)&lt;=14),"Abaixar Preço",AND(AS49/(AC49/12)&gt;14,AS49/(AC49/12)&lt;=20),"Estabilizando",AS49/(AC49/12)&gt;20,"Instavel"),"Instavel")</f>
        <v>Instavel</v>
      </c>
      <c r="AL49" s="1" t="str" cm="1">
        <f t="array" ref="AL49">IFERROR(_xlfn.IFS(AT49="","Sem Produto",AND(AT49/(AD49/12)&gt;0,AT49/(AD49/12)&lt;=2),"Acabando",AND(AT49/(AD49/12)&gt;2,AT49/(AD49/12)&lt;=3),"Fazer Pedido",AND(AT49/(AD49/12)&gt;3,AT49/(AD49/12)&lt;=7),"OK",AND(AT49/(AD49/12)&gt;7,AT49/(AD49/12)&lt;=14),"Abaixar Preço",AND(AT49/(AD49/12)&gt;14,AT49/(AD49/12)&lt;=20),"Estabilizando",AT49/(AD49/12)&gt;20,"Instavel"),"Instavel")</f>
        <v>OK</v>
      </c>
      <c r="AM49" s="1" t="str" cm="1">
        <f t="array" ref="AM49">IFERROR(_xlfn.IFS(AU49="","Sem Produto",AND(AU49/(AE49/12)&gt;0,AU49/(AE49/12)&lt;=2),"Acabando",AND(AU49/(AE49/12)&gt;2,AU49/(AE49/12)&lt;=3),"Fazer Pedido",AND(AU49/(AE49/12)&gt;3,AU49/(AE49/12)&lt;=7),"OK",AND(AU49/(AE49/12)&gt;7,AU49/(AE49/12)&lt;=14),"Abaixar Preço",AND(AU49/(AE49/12)&gt;14,AU49/(AE49/12)&lt;=20),"Estabilizando",AU49/(AE49/12)&gt;20,"Instavel"),"Instavel")</f>
        <v>Estabilizando</v>
      </c>
      <c r="AN49" s="1" t="str">
        <f ca="1">IF(SUMIF(vendaAno[data],SituaçãoEstoqueFluxo[[#This Row],[data]],vendaAno[estoque])=0,"Algo errado",IF(AND(AX49/AW49&gt;0,AX49/AW49&lt;=1),"Alerta",IF(AND(AX49/AW49&gt;1,AX49/AW49&lt;=1.5),"Fazer pedido",IF(AND(AX49/AW49&gt;1.5,AX49/AW49&lt;=2),"Ok",IF(AND(AX49/AW49&gt;2,AX49/AW49&lt;=2.5),"Estabilizando",IF(AND(AX49/AW49&gt;2.5,AX49/AW49&lt;=3),"Cheio","Abaixar preço"))))))</f>
        <v>Cheio</v>
      </c>
      <c r="AO49" s="82">
        <f>SUMIFS(estoque[quantidade],estoque[fornecedor],"&lt;&gt;saída",estoque[data],SituaçãoEstoqueFluxo[[#This Row],[data]])-SUMIFS(estoque[quantidade],estoque[fornecedor],"saída",estoque[data],SituaçãoEstoqueFluxo[[#This Row],[data]])</f>
        <v>46</v>
      </c>
      <c r="AP49" s="116">
        <f t="shared" si="2"/>
        <v>46185</v>
      </c>
      <c r="AQ4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4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9.1666666666666661</v>
      </c>
      <c r="AS4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4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4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1.6666666666666667</v>
      </c>
      <c r="AV49" s="82" cm="1">
        <f t="array" aca="1" ref="AV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19.928571428571427</v>
      </c>
      <c r="AW49" s="82" cm="1">
        <f t="array" aca="1" ref="AW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6.6428571428571432</v>
      </c>
      <c r="AX49" s="82">
        <f>SUM(FluxoEstoqueDateTime[[#This Row],[OVO BRANCO A]:[OVO BRANCO JUMBO]])</f>
        <v>19.416666666666668</v>
      </c>
    </row>
    <row r="50" spans="1:50" x14ac:dyDescent="0.25">
      <c r="A50" s="4" t="s">
        <v>20</v>
      </c>
      <c r="B50" s="55" t="s">
        <v>13</v>
      </c>
      <c r="C50" s="5">
        <v>14</v>
      </c>
      <c r="D50" s="56">
        <v>20</v>
      </c>
      <c r="E50" s="56">
        <v>274</v>
      </c>
      <c r="F50" s="157">
        <v>46224</v>
      </c>
      <c r="G50" s="4" t="s">
        <v>290</v>
      </c>
      <c r="H50" s="4" t="s">
        <v>149</v>
      </c>
      <c r="I50" s="153">
        <v>56.97</v>
      </c>
      <c r="J50" s="12">
        <v>0.20791640482750845</v>
      </c>
      <c r="Z50" s="116">
        <f t="shared" si="0"/>
        <v>46184</v>
      </c>
      <c r="AA5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5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5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5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8.1428571428571423</v>
      </c>
      <c r="AE5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1.4285714285714286</v>
      </c>
      <c r="AF5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27.285714285714285</v>
      </c>
      <c r="AG5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64.866724141309248</v>
      </c>
      <c r="AH50" s="116">
        <f t="shared" si="1"/>
        <v>46184</v>
      </c>
      <c r="AI50" s="1" t="str" cm="1">
        <f t="array" ref="AI50">IFERROR(_xlfn.IFS(AQ50="","Sem Produto",AND(AQ50/(AA50/12)&gt;0,AQ50/(AA50/12)&lt;=2),"Acabando",AND(AQ50/(AA50/12)&gt;2,AQ50/(AA50/12)&lt;=3),"Fazer Pedido",AND(AQ50/(AA50/12)&gt;3,AQ50/(AA50/12)&lt;=7),"OK",AND(AQ50/(AA50/12)&gt;7,AQ50/(AA50/12)&lt;=14),"Abaixar Preço",AND(AQ50/(AA50/12)&gt;14,AQ50/(AA50/12)&lt;=20),"Estabilizando",AQ50/(AA50/12)&gt;20,"Instavel"),"Instavel")</f>
        <v>OK</v>
      </c>
      <c r="AJ50" s="1" t="str" cm="1">
        <f t="array" ref="AJ50">IFERROR(_xlfn.IFS(AR50="","Sem Produto",AND(AR50/(AB50/12)&gt;0,AR50/(AB50/12)&lt;=2),"Acabando",AND(AR50/(AB50/12)&gt;2,AR50/(AB50/12)&lt;=3),"Fazer Pedido",AND(AR50/(AB50/12)&gt;3,AR50/(AB50/12)&lt;=7),"OK",AND(AR50/(AB50/12)&gt;7,AR50/(AB50/12)&lt;=14),"Abaixar Preço",AND(AR50/(AB50/12)&gt;14,AR50/(AB50/12)&lt;=20),"Estabilizando",AR50/(AB50/12)&gt;20,"Instavel"),"Instavel")</f>
        <v>Estabilizando</v>
      </c>
      <c r="AK50" s="1" t="str" cm="1">
        <f t="array" ref="AK50">IFERROR(_xlfn.IFS(AS50="","Sem Produto",AND(AS50/(AC50/12)&gt;0,AS50/(AC50/12)&lt;=2),"Acabando",AND(AS50/(AC50/12)&gt;2,AS50/(AC50/12)&lt;=3),"Fazer Pedido",AND(AS50/(AC50/12)&gt;3,AS50/(AC50/12)&lt;=7),"OK",AND(AS50/(AC50/12)&gt;7,AS50/(AC50/12)&lt;=14),"Abaixar Preço",AND(AS50/(AC50/12)&gt;14,AS50/(AC50/12)&lt;=20),"Estabilizando",AS50/(AC50/12)&gt;20,"Instavel"),"Instavel")</f>
        <v>Instavel</v>
      </c>
      <c r="AL50" s="1" t="str" cm="1">
        <f t="array" ref="AL50">IFERROR(_xlfn.IFS(AT50="","Sem Produto",AND(AT50/(AD50/12)&gt;0,AT50/(AD50/12)&lt;=2),"Acabando",AND(AT50/(AD50/12)&gt;2,AT50/(AD50/12)&lt;=3),"Fazer Pedido",AND(AT50/(AD50/12)&gt;3,AT50/(AD50/12)&lt;=7),"OK",AND(AT50/(AD50/12)&gt;7,AT50/(AD50/12)&lt;=14),"Abaixar Preço",AND(AT50/(AD50/12)&gt;14,AT50/(AD50/12)&lt;=20),"Estabilizando",AT50/(AD50/12)&gt;20,"Instavel"),"Instavel")</f>
        <v>Sem Produto</v>
      </c>
      <c r="AM50" s="1" t="str" cm="1">
        <f t="array" ref="AM50">IFERROR(_xlfn.IFS(AU50="","Sem Produto",AND(AU50/(AE50/12)&gt;0,AU50/(AE50/12)&lt;=2),"Acabando",AND(AU50/(AE50/12)&gt;2,AU50/(AE50/12)&lt;=3),"Fazer Pedido",AND(AU50/(AE50/12)&gt;3,AU50/(AE50/12)&lt;=7),"OK",AND(AU50/(AE50/12)&gt;7,AU50/(AE50/12)&lt;=14),"Abaixar Preço",AND(AU50/(AE50/12)&gt;14,AU50/(AE50/12)&lt;=20),"Estabilizando",AU50/(AE50/12)&gt;20,"Instavel"),"Instavel")</f>
        <v>Sem Produto</v>
      </c>
      <c r="AN50" s="1" t="str">
        <f ca="1">IF(SUMIF(vendaAno[data],SituaçãoEstoqueFluxo[[#This Row],[data]],vendaAno[estoque])=0,"Algo errado",IF(AND(AX50/AW50&gt;0,AX50/AW50&lt;=1),"Alerta",IF(AND(AX50/AW50&gt;1,AX50/AW50&lt;=1.5),"Fazer pedido",IF(AND(AX50/AW50&gt;1.5,AX50/AW50&lt;=2),"Ok",IF(AND(AX50/AW50&gt;2,AX50/AW50&lt;=2.5),"Estabilizando",IF(AND(AX50/AW50&gt;2.5,AX50/AW50&lt;=3),"Cheio","Abaixar preço"))))))</f>
        <v>Estabilizando</v>
      </c>
      <c r="AO50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50" s="116">
        <f t="shared" si="2"/>
        <v>46184</v>
      </c>
      <c r="AQ5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5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9.1666666666666661</v>
      </c>
      <c r="AS5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5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5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50" s="82" cm="1">
        <f t="array" aca="1" ref="AV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20.464285714285715</v>
      </c>
      <c r="AW50" s="82" cm="1">
        <f t="array" aca="1" ref="AW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6.8214285714285721</v>
      </c>
      <c r="AX50" s="82">
        <f>SUM(FluxoEstoqueDateTime[[#This Row],[OVO BRANCO A]:[OVO BRANCO JUMBO]])</f>
        <v>15.583333333333332</v>
      </c>
    </row>
    <row r="51" spans="1:50" x14ac:dyDescent="0.25">
      <c r="A51" s="4" t="s">
        <v>20</v>
      </c>
      <c r="B51" s="55" t="s">
        <v>11</v>
      </c>
      <c r="C51" s="5">
        <v>3</v>
      </c>
      <c r="D51" s="56">
        <v>18</v>
      </c>
      <c r="E51" s="56">
        <v>54</v>
      </c>
      <c r="F51" s="157">
        <v>46224</v>
      </c>
      <c r="G51" s="4" t="s">
        <v>290</v>
      </c>
      <c r="H51" s="4" t="s">
        <v>149</v>
      </c>
      <c r="I51" s="153">
        <v>10.25</v>
      </c>
      <c r="J51" s="12">
        <v>0.18976373125963322</v>
      </c>
      <c r="Z51" s="116">
        <f t="shared" si="0"/>
        <v>46183</v>
      </c>
      <c r="AA5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10.857142857142858</v>
      </c>
      <c r="AB5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5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5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5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5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29.285714285714285</v>
      </c>
      <c r="AG5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67.448700670070792</v>
      </c>
      <c r="AH51" s="116">
        <f t="shared" si="1"/>
        <v>46183</v>
      </c>
      <c r="AI51" s="1" t="str" cm="1">
        <f t="array" ref="AI51">IFERROR(_xlfn.IFS(AQ51="","Sem Produto",AND(AQ51/(AA51/12)&gt;0,AQ51/(AA51/12)&lt;=2),"Acabando",AND(AQ51/(AA51/12)&gt;2,AQ51/(AA51/12)&lt;=3),"Fazer Pedido",AND(AQ51/(AA51/12)&gt;3,AQ51/(AA51/12)&lt;=7),"OK",AND(AQ51/(AA51/12)&gt;7,AQ51/(AA51/12)&lt;=14),"Abaixar Preço",AND(AQ51/(AA51/12)&gt;14,AQ51/(AA51/12)&lt;=20),"Estabilizando",AQ51/(AA51/12)&gt;20,"Instavel"),"Instavel")</f>
        <v>OK</v>
      </c>
      <c r="AJ51" s="1" t="str" cm="1">
        <f t="array" ref="AJ51">IFERROR(_xlfn.IFS(AR51="","Sem Produto",AND(AR51/(AB51/12)&gt;0,AR51/(AB51/12)&lt;=2),"Acabando",AND(AR51/(AB51/12)&gt;2,AR51/(AB51/12)&lt;=3),"Fazer Pedido",AND(AR51/(AB51/12)&gt;3,AR51/(AB51/12)&lt;=7),"OK",AND(AR51/(AB51/12)&gt;7,AR51/(AB51/12)&lt;=14),"Abaixar Preço",AND(AR51/(AB51/12)&gt;14,AR51/(AB51/12)&lt;=20),"Estabilizando",AR51/(AB51/12)&gt;20,"Instavel"),"Instavel")</f>
        <v>Estabilizando</v>
      </c>
      <c r="AK51" s="1" t="str" cm="1">
        <f t="array" ref="AK51">IFERROR(_xlfn.IFS(AS51="","Sem Produto",AND(AS51/(AC51/12)&gt;0,AS51/(AC51/12)&lt;=2),"Acabando",AND(AS51/(AC51/12)&gt;2,AS51/(AC51/12)&lt;=3),"Fazer Pedido",AND(AS51/(AC51/12)&gt;3,AS51/(AC51/12)&lt;=7),"OK",AND(AS51/(AC51/12)&gt;7,AS51/(AC51/12)&lt;=14),"Abaixar Preço",AND(AS51/(AC51/12)&gt;14,AS51/(AC51/12)&lt;=20),"Estabilizando",AS51/(AC51/12)&gt;20,"Instavel"),"Instavel")</f>
        <v>Instavel</v>
      </c>
      <c r="AL51" s="1" t="str" cm="1">
        <f t="array" ref="AL51">IFERROR(_xlfn.IFS(AT51="","Sem Produto",AND(AT51/(AD51/12)&gt;0,AT51/(AD51/12)&lt;=2),"Acabando",AND(AT51/(AD51/12)&gt;2,AT51/(AD51/12)&lt;=3),"Fazer Pedido",AND(AT51/(AD51/12)&gt;3,AT51/(AD51/12)&lt;=7),"OK",AND(AT51/(AD51/12)&gt;7,AT51/(AD51/12)&lt;=14),"Abaixar Preço",AND(AT51/(AD51/12)&gt;14,AT51/(AD51/12)&lt;=20),"Estabilizando",AT51/(AD51/12)&gt;20,"Instavel"),"Instavel")</f>
        <v>Acabando</v>
      </c>
      <c r="AM51" s="1" t="str" cm="1">
        <f t="array" ref="AM51">IFERROR(_xlfn.IFS(AU51="","Sem Produto",AND(AU51/(AE51/12)&gt;0,AU51/(AE51/12)&lt;=2),"Acabando",AND(AU51/(AE51/12)&gt;2,AU51/(AE51/12)&lt;=3),"Fazer Pedido",AND(AU51/(AE51/12)&gt;3,AU51/(AE51/12)&lt;=7),"OK",AND(AU51/(AE51/12)&gt;7,AU51/(AE51/12)&lt;=14),"Abaixar Preço",AND(AU51/(AE51/12)&gt;14,AU51/(AE51/12)&lt;=20),"Estabilizando",AU51/(AE51/12)&gt;20,"Instavel"),"Instavel")</f>
        <v>Sem Produto</v>
      </c>
      <c r="AN51" s="1" t="str">
        <f ca="1">IF(SUMIF(vendaAno[data],SituaçãoEstoqueFluxo[[#This Row],[data]],vendaAno[estoque])=0,"Algo errado",IF(AND(AX51/AW51&gt;0,AX51/AW51&lt;=1),"Alerta",IF(AND(AX51/AW51&gt;1,AX51/AW51&lt;=1.5),"Fazer pedido",IF(AND(AX51/AW51&gt;1.5,AX51/AW51&lt;=2),"Ok",IF(AND(AX51/AW51&gt;2,AX51/AW51&lt;=2.5),"Estabilizando",IF(AND(AX51/AW51&gt;2.5,AX51/AW51&lt;=3),"Cheio","Abaixar preço"))))))</f>
        <v>Estabilizando</v>
      </c>
      <c r="AO51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51" s="116">
        <f t="shared" si="2"/>
        <v>46183</v>
      </c>
      <c r="AQ5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5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</v>
      </c>
      <c r="AS5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5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0.75</v>
      </c>
      <c r="AU5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51" s="82" cm="1">
        <f t="array" aca="1" ref="AV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21.964285714285719</v>
      </c>
      <c r="AW51" s="82" cm="1">
        <f t="array" aca="1" ref="AW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7.3214285714285721</v>
      </c>
      <c r="AX51" s="82">
        <f>SUM(FluxoEstoqueDateTime[[#This Row],[OVO BRANCO A]:[OVO BRANCO JUMBO]])</f>
        <v>18</v>
      </c>
    </row>
    <row r="52" spans="1:50" x14ac:dyDescent="0.25">
      <c r="A52" s="4" t="s">
        <v>20</v>
      </c>
      <c r="B52" s="55" t="s">
        <v>10</v>
      </c>
      <c r="C52" s="5">
        <v>6</v>
      </c>
      <c r="D52" s="56">
        <v>19</v>
      </c>
      <c r="E52" s="56">
        <v>114</v>
      </c>
      <c r="F52" s="157">
        <v>46224</v>
      </c>
      <c r="G52" s="4" t="s">
        <v>290</v>
      </c>
      <c r="H52" s="4" t="s">
        <v>149</v>
      </c>
      <c r="I52" s="153">
        <v>23.64</v>
      </c>
      <c r="J52" s="12">
        <v>0.20739348370927305</v>
      </c>
      <c r="Z52" s="116">
        <f t="shared" si="0"/>
        <v>46182</v>
      </c>
      <c r="AA5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5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5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5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5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5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28.571428571428573</v>
      </c>
      <c r="AG5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64.804740807208432</v>
      </c>
      <c r="AH52" s="116">
        <f t="shared" si="1"/>
        <v>46182</v>
      </c>
      <c r="AI52" s="1" t="str" cm="1">
        <f t="array" ref="AI52">IFERROR(_xlfn.IFS(AQ52="","Sem Produto",AND(AQ52/(AA52/12)&gt;0,AQ52/(AA52/12)&lt;=2),"Acabando",AND(AQ52/(AA52/12)&gt;2,AQ52/(AA52/12)&lt;=3),"Fazer Pedido",AND(AQ52/(AA52/12)&gt;3,AQ52/(AA52/12)&lt;=7),"OK",AND(AQ52/(AA52/12)&gt;7,AQ52/(AA52/12)&lt;=14),"Abaixar Preço",AND(AQ52/(AA52/12)&gt;14,AQ52/(AA52/12)&lt;=20),"Estabilizando",AQ52/(AA52/12)&gt;20,"Instavel"),"Instavel")</f>
        <v>Abaixar Preço</v>
      </c>
      <c r="AJ52" s="1" t="str" cm="1">
        <f t="array" ref="AJ52">IFERROR(_xlfn.IFS(AR52="","Sem Produto",AND(AR52/(AB52/12)&gt;0,AR52/(AB52/12)&lt;=2),"Acabando",AND(AR52/(AB52/12)&gt;2,AR52/(AB52/12)&lt;=3),"Fazer Pedido",AND(AR52/(AB52/12)&gt;3,AR52/(AB52/12)&lt;=7),"OK",AND(AR52/(AB52/12)&gt;7,AR52/(AB52/12)&lt;=14),"Abaixar Preço",AND(AR52/(AB52/12)&gt;14,AR52/(AB52/12)&lt;=20),"Estabilizando",AR52/(AB52/12)&gt;20,"Instavel"),"Instavel")</f>
        <v>Estabilizando</v>
      </c>
      <c r="AK52" s="1" t="str" cm="1">
        <f t="array" ref="AK52">IFERROR(_xlfn.IFS(AS52="","Sem Produto",AND(AS52/(AC52/12)&gt;0,AS52/(AC52/12)&lt;=2),"Acabando",AND(AS52/(AC52/12)&gt;2,AS52/(AC52/12)&lt;=3),"Fazer Pedido",AND(AS52/(AC52/12)&gt;3,AS52/(AC52/12)&lt;=7),"OK",AND(AS52/(AC52/12)&gt;7,AS52/(AC52/12)&lt;=14),"Abaixar Preço",AND(AS52/(AC52/12)&gt;14,AS52/(AC52/12)&lt;=20),"Estabilizando",AS52/(AC52/12)&gt;20,"Instavel"),"Instavel")</f>
        <v>Instavel</v>
      </c>
      <c r="AL52" s="1" t="str" cm="1">
        <f t="array" ref="AL52">IFERROR(_xlfn.IFS(AT52="","Sem Produto",AND(AT52/(AD52/12)&gt;0,AT52/(AD52/12)&lt;=2),"Acabando",AND(AT52/(AD52/12)&gt;2,AT52/(AD52/12)&lt;=3),"Fazer Pedido",AND(AT52/(AD52/12)&gt;3,AT52/(AD52/12)&lt;=7),"OK",AND(AT52/(AD52/12)&gt;7,AT52/(AD52/12)&lt;=14),"Abaixar Preço",AND(AT52/(AD52/12)&gt;14,AT52/(AD52/12)&lt;=20),"Estabilizando",AT52/(AD52/12)&gt;20,"Instavel"),"Instavel")</f>
        <v>Acabando</v>
      </c>
      <c r="AM52" s="1" t="str" cm="1">
        <f t="array" ref="AM52">IFERROR(_xlfn.IFS(AU52="","Sem Produto",AND(AU52/(AE52/12)&gt;0,AU52/(AE52/12)&lt;=2),"Acabando",AND(AU52/(AE52/12)&gt;2,AU52/(AE52/12)&lt;=3),"Fazer Pedido",AND(AU52/(AE52/12)&gt;3,AU52/(AE52/12)&lt;=7),"OK",AND(AU52/(AE52/12)&gt;7,AU52/(AE52/12)&lt;=14),"Abaixar Preço",AND(AU52/(AE52/12)&gt;14,AU52/(AE52/12)&lt;=20),"Estabilizando",AU52/(AE52/12)&gt;20,"Instavel"),"Instavel")</f>
        <v>Sem Produto</v>
      </c>
      <c r="AN52" s="1" t="str">
        <f ca="1">IF(SUMIF(vendaAno[data],SituaçãoEstoqueFluxo[[#This Row],[data]],vendaAno[estoque])=0,"Algo errado",IF(AND(AX52/AW52&gt;0,AX52/AW52&lt;=1),"Alerta",IF(AND(AX52/AW52&gt;1,AX52/AW52&lt;=1.5),"Fazer pedido",IF(AND(AX52/AW52&gt;1.5,AX52/AW52&lt;=2),"Ok",IF(AND(AX52/AW52&gt;2,AX52/AW52&lt;=2.5),"Estabilizando",IF(AND(AX52/AW52&gt;2.5,AX52/AW52&lt;=3),"Cheio","Abaixar preço"))))))</f>
        <v>Cheio</v>
      </c>
      <c r="AO52" s="82">
        <f>SUMIFS(estoque[quantidade],estoque[fornecedor],"&lt;&gt;saída",estoque[data],SituaçãoEstoqueFluxo[[#This Row],[data]])-SUMIFS(estoque[quantidade],estoque[fornecedor],"saída",estoque[data],SituaçãoEstoqueFluxo[[#This Row],[data]])</f>
        <v>-37</v>
      </c>
      <c r="AP52" s="116">
        <f t="shared" si="2"/>
        <v>46182</v>
      </c>
      <c r="AQ5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5.833333333333333</v>
      </c>
      <c r="AR5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9.6666666666666661</v>
      </c>
      <c r="AS5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3.0833333333333335</v>
      </c>
      <c r="AT5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1.4166666666666667</v>
      </c>
      <c r="AU5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52" s="82" cm="1">
        <f t="array" aca="1" ref="AV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21.428571428571431</v>
      </c>
      <c r="AW52" s="82" cm="1">
        <f t="array" aca="1" ref="AW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7.1428571428571432</v>
      </c>
      <c r="AX52" s="82">
        <f>SUM(FluxoEstoqueDateTime[[#This Row],[OVO BRANCO A]:[OVO BRANCO JUMBO]])</f>
        <v>20</v>
      </c>
    </row>
    <row r="53" spans="1:50" x14ac:dyDescent="0.25">
      <c r="A53" s="4" t="s">
        <v>20</v>
      </c>
      <c r="B53" s="55" t="s">
        <v>14</v>
      </c>
      <c r="C53" s="5">
        <v>4</v>
      </c>
      <c r="D53" s="56">
        <v>23</v>
      </c>
      <c r="E53" s="56">
        <v>92</v>
      </c>
      <c r="F53" s="157">
        <v>46223</v>
      </c>
      <c r="G53" s="4" t="s">
        <v>291</v>
      </c>
      <c r="H53" s="4" t="s">
        <v>149</v>
      </c>
      <c r="I53" s="153">
        <v>27</v>
      </c>
      <c r="J53" s="12">
        <v>0.29343297101449278</v>
      </c>
      <c r="Z53" s="116">
        <f t="shared" si="0"/>
        <v>46181</v>
      </c>
      <c r="AA5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5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4.5714285714285712</v>
      </c>
      <c r="AC5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5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5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5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5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53.95374115688724</v>
      </c>
      <c r="AH53" s="116">
        <f t="shared" si="1"/>
        <v>46181</v>
      </c>
      <c r="AI53" s="1" t="str" cm="1">
        <f t="array" ref="AI53">IFERROR(_xlfn.IFS(AQ53="","Sem Produto",AND(AQ53/(AA53/12)&gt;0,AQ53/(AA53/12)&lt;=2),"Acabando",AND(AQ53/(AA53/12)&gt;2,AQ53/(AA53/12)&lt;=3),"Fazer Pedido",AND(AQ53/(AA53/12)&gt;3,AQ53/(AA53/12)&lt;=7),"OK",AND(AQ53/(AA53/12)&gt;7,AQ53/(AA53/12)&lt;=14),"Abaixar Preço",AND(AQ53/(AA53/12)&gt;14,AQ53/(AA53/12)&lt;=20),"Estabilizando",AQ53/(AA53/12)&gt;20,"Instavel"),"Instavel")</f>
        <v>Abaixar Preço</v>
      </c>
      <c r="AJ53" s="1" t="str" cm="1">
        <f t="array" ref="AJ53">IFERROR(_xlfn.IFS(AR53="","Sem Produto",AND(AR53/(AB53/12)&gt;0,AR53/(AB53/12)&lt;=2),"Acabando",AND(AR53/(AB53/12)&gt;2,AR53/(AB53/12)&lt;=3),"Fazer Pedido",AND(AR53/(AB53/12)&gt;3,AR53/(AB53/12)&lt;=7),"OK",AND(AR53/(AB53/12)&gt;7,AR53/(AB53/12)&lt;=14),"Abaixar Preço",AND(AR53/(AB53/12)&gt;14,AR53/(AB53/12)&lt;=20),"Estabilizando",AR53/(AB53/12)&gt;20,"Instavel"),"Instavel")</f>
        <v>Instavel</v>
      </c>
      <c r="AK53" s="1" t="str" cm="1">
        <f t="array" ref="AK53">IFERROR(_xlfn.IFS(AS53="","Sem Produto",AND(AS53/(AC53/12)&gt;0,AS53/(AC53/12)&lt;=2),"Acabando",AND(AS53/(AC53/12)&gt;2,AS53/(AC53/12)&lt;=3),"Fazer Pedido",AND(AS53/(AC53/12)&gt;3,AS53/(AC53/12)&lt;=7),"OK",AND(AS53/(AC53/12)&gt;7,AS53/(AC53/12)&lt;=14),"Abaixar Preço",AND(AS53/(AC53/12)&gt;14,AS53/(AC53/12)&lt;=20),"Estabilizando",AS53/(AC53/12)&gt;20,"Instavel"),"Instavel")</f>
        <v>Instavel</v>
      </c>
      <c r="AL53" s="1" t="str" cm="1">
        <f t="array" ref="AL53">IFERROR(_xlfn.IFS(AT53="","Sem Produto",AND(AT53/(AD53/12)&gt;0,AT53/(AD53/12)&lt;=2),"Acabando",AND(AT53/(AD53/12)&gt;2,AT53/(AD53/12)&lt;=3),"Fazer Pedido",AND(AT53/(AD53/12)&gt;3,AT53/(AD53/12)&lt;=7),"OK",AND(AT53/(AD53/12)&gt;7,AT53/(AD53/12)&lt;=14),"Abaixar Preço",AND(AT53/(AD53/12)&gt;14,AT53/(AD53/12)&lt;=20),"Estabilizando",AT53/(AD53/12)&gt;20,"Instavel"),"Instavel")</f>
        <v>OK</v>
      </c>
      <c r="AM53" s="1" t="str" cm="1">
        <f t="array" ref="AM53">IFERROR(_xlfn.IFS(AU53="","Sem Produto",AND(AU53/(AE53/12)&gt;0,AU53/(AE53/12)&lt;=2),"Acabando",AND(AU53/(AE53/12)&gt;2,AU53/(AE53/12)&lt;=3),"Fazer Pedido",AND(AU53/(AE53/12)&gt;3,AU53/(AE53/12)&lt;=7),"OK",AND(AU53/(AE53/12)&gt;7,AU53/(AE53/12)&lt;=14),"Abaixar Preço",AND(AU53/(AE53/12)&gt;14,AU53/(AE53/12)&lt;=20),"Estabilizando",AU53/(AE53/12)&gt;20,"Instavel"),"Instavel")</f>
        <v>Sem Produto</v>
      </c>
      <c r="AN53" s="1" t="str">
        <f ca="1">IF(SUMIF(vendaAno[data],SituaçãoEstoqueFluxo[[#This Row],[data]],vendaAno[estoque])=0,"Algo errado",IF(AND(AX53/AW53&gt;0,AX53/AW53&lt;=1),"Alerta",IF(AND(AX53/AW53&gt;1,AX53/AW53&lt;=1.5),"Fazer pedido",IF(AND(AX53/AW53&gt;1.5,AX53/AW53&lt;=2),"Ok",IF(AND(AX53/AW53&gt;2,AX53/AW53&lt;=2.5),"Estabilizando",IF(AND(AX53/AW53&gt;2.5,AX53/AW53&lt;=3),"Cheio","Abaixar preço"))))))</f>
        <v>Abaixar preço</v>
      </c>
      <c r="AO53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53" s="116">
        <f t="shared" si="2"/>
        <v>46181</v>
      </c>
      <c r="AQ5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5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</v>
      </c>
      <c r="AS5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5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2.3333333333333335</v>
      </c>
      <c r="AU5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53" s="82" cm="1">
        <f t="array" aca="1" ref="AV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53" s="82" cm="1">
        <f t="array" aca="1" ref="AW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53" s="82">
        <f>SUM(FluxoEstoqueDateTime[[#This Row],[OVO BRANCO A]:[OVO BRANCO JUMBO]])</f>
        <v>23.083333333333332</v>
      </c>
    </row>
    <row r="54" spans="1:50" x14ac:dyDescent="0.25">
      <c r="A54" s="4" t="s">
        <v>20</v>
      </c>
      <c r="B54" s="55" t="s">
        <v>13</v>
      </c>
      <c r="C54" s="5">
        <v>12</v>
      </c>
      <c r="D54" s="56">
        <v>20</v>
      </c>
      <c r="E54" s="56">
        <v>240</v>
      </c>
      <c r="F54" s="157">
        <v>46223</v>
      </c>
      <c r="G54" s="4" t="s">
        <v>291</v>
      </c>
      <c r="H54" s="4" t="s">
        <v>149</v>
      </c>
      <c r="I54" s="153">
        <v>53.97</v>
      </c>
      <c r="J54" s="12">
        <v>0.22488962472406185</v>
      </c>
      <c r="Z54" s="116">
        <f t="shared" si="0"/>
        <v>46180</v>
      </c>
      <c r="AA5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5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3.1428571428571428</v>
      </c>
      <c r="AC5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5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5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5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5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56.679886638046703</v>
      </c>
      <c r="AH54" s="116">
        <f t="shared" si="1"/>
        <v>46180</v>
      </c>
      <c r="AI54" s="1" t="str" cm="1">
        <f t="array" ref="AI54">IFERROR(_xlfn.IFS(AQ54="","Sem Produto",AND(AQ54/(AA54/12)&gt;0,AQ54/(AA54/12)&lt;=2),"Acabando",AND(AQ54/(AA54/12)&gt;2,AQ54/(AA54/12)&lt;=3),"Fazer Pedido",AND(AQ54/(AA54/12)&gt;3,AQ54/(AA54/12)&lt;=7),"OK",AND(AQ54/(AA54/12)&gt;7,AQ54/(AA54/12)&lt;=14),"Abaixar Preço",AND(AQ54/(AA54/12)&gt;14,AQ54/(AA54/12)&lt;=20),"Estabilizando",AQ54/(AA54/12)&gt;20,"Instavel"),"Instavel")</f>
        <v>Abaixar Preço</v>
      </c>
      <c r="AJ54" s="1" t="str" cm="1">
        <f t="array" ref="AJ54">IFERROR(_xlfn.IFS(AR54="","Sem Produto",AND(AR54/(AB54/12)&gt;0,AR54/(AB54/12)&lt;=2),"Acabando",AND(AR54/(AB54/12)&gt;2,AR54/(AB54/12)&lt;=3),"Fazer Pedido",AND(AR54/(AB54/12)&gt;3,AR54/(AB54/12)&lt;=7),"OK",AND(AR54/(AB54/12)&gt;7,AR54/(AB54/12)&lt;=14),"Abaixar Preço",AND(AR54/(AB54/12)&gt;14,AR54/(AB54/12)&lt;=20),"Estabilizando",AR54/(AB54/12)&gt;20,"Instavel"),"Instavel")</f>
        <v>Instavel</v>
      </c>
      <c r="AK54" s="1" t="str" cm="1">
        <f t="array" ref="AK54">IFERROR(_xlfn.IFS(AS54="","Sem Produto",AND(AS54/(AC54/12)&gt;0,AS54/(AC54/12)&lt;=2),"Acabando",AND(AS54/(AC54/12)&gt;2,AS54/(AC54/12)&lt;=3),"Fazer Pedido",AND(AS54/(AC54/12)&gt;3,AS54/(AC54/12)&lt;=7),"OK",AND(AS54/(AC54/12)&gt;7,AS54/(AC54/12)&lt;=14),"Abaixar Preço",AND(AS54/(AC54/12)&gt;14,AS54/(AC54/12)&lt;=20),"Estabilizando",AS54/(AC54/12)&gt;20,"Instavel"),"Instavel")</f>
        <v>Instavel</v>
      </c>
      <c r="AL54" s="1" t="str" cm="1">
        <f t="array" ref="AL54">IFERROR(_xlfn.IFS(AT54="","Sem Produto",AND(AT54/(AD54/12)&gt;0,AT54/(AD54/12)&lt;=2),"Acabando",AND(AT54/(AD54/12)&gt;2,AT54/(AD54/12)&lt;=3),"Fazer Pedido",AND(AT54/(AD54/12)&gt;3,AT54/(AD54/12)&lt;=7),"OK",AND(AT54/(AD54/12)&gt;7,AT54/(AD54/12)&lt;=14),"Abaixar Preço",AND(AT54/(AD54/12)&gt;14,AT54/(AD54/12)&lt;=20),"Estabilizando",AT54/(AD54/12)&gt;20,"Instavel"),"Instavel")</f>
        <v>OK</v>
      </c>
      <c r="AM54" s="1" t="str" cm="1">
        <f t="array" ref="AM54">IFERROR(_xlfn.IFS(AU54="","Sem Produto",AND(AU54/(AE54/12)&gt;0,AU54/(AE54/12)&lt;=2),"Acabando",AND(AU54/(AE54/12)&gt;2,AU54/(AE54/12)&lt;=3),"Fazer Pedido",AND(AU54/(AE54/12)&gt;3,AU54/(AE54/12)&lt;=7),"OK",AND(AU54/(AE54/12)&gt;7,AU54/(AE54/12)&lt;=14),"Abaixar Preço",AND(AU54/(AE54/12)&gt;14,AU54/(AE54/12)&lt;=20),"Estabilizando",AU54/(AE54/12)&gt;20,"Instavel"),"Instavel")</f>
        <v>Sem Produto</v>
      </c>
      <c r="AN54" s="1" t="str">
        <f ca="1">IF(SUMIF(vendaAno[data],SituaçãoEstoqueFluxo[[#This Row],[data]],vendaAno[estoque])=0,"Algo errado",IF(AND(AX54/AW54&gt;0,AX54/AW54&lt;=1),"Alerta",IF(AND(AX54/AW54&gt;1,AX54/AW54&lt;=1.5),"Fazer pedido",IF(AND(AX54/AW54&gt;1.5,AX54/AW54&lt;=2),"Ok",IF(AND(AX54/AW54&gt;2,AX54/AW54&lt;=2.5),"Estabilizando",IF(AND(AX54/AW54&gt;2.5,AX54/AW54&lt;=3),"Cheio","Abaixar preço"))))))</f>
        <v>Abaixar preço</v>
      </c>
      <c r="AO54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54" s="116">
        <f t="shared" si="2"/>
        <v>46180</v>
      </c>
      <c r="AQ5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5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12.25</v>
      </c>
      <c r="AS5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5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5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54" s="82" cm="1">
        <f t="array" aca="1" ref="AV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54" s="82" cm="1">
        <f t="array" aca="1" ref="AW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54" s="82">
        <f>SUM(FluxoEstoqueDateTime[[#This Row],[OVO BRANCO A]:[OVO BRANCO JUMBO]])</f>
        <v>25.25</v>
      </c>
    </row>
    <row r="55" spans="1:50" x14ac:dyDescent="0.25">
      <c r="A55" s="4" t="s">
        <v>20</v>
      </c>
      <c r="B55" s="55" t="s">
        <v>11</v>
      </c>
      <c r="C55" s="5">
        <v>5</v>
      </c>
      <c r="D55" s="56">
        <v>18</v>
      </c>
      <c r="E55" s="56">
        <v>90</v>
      </c>
      <c r="F55" s="157">
        <v>46223</v>
      </c>
      <c r="G55" s="4" t="s">
        <v>291</v>
      </c>
      <c r="H55" s="4" t="s">
        <v>149</v>
      </c>
      <c r="I55" s="153">
        <v>17.079999999999998</v>
      </c>
      <c r="J55" s="12">
        <v>0.18976373125963322</v>
      </c>
      <c r="Z55" s="116">
        <f t="shared" si="0"/>
        <v>46179</v>
      </c>
      <c r="AA5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5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3.7142857142857144</v>
      </c>
      <c r="AC5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5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5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5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31.428571428571427</v>
      </c>
      <c r="AG5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56.400828279840262</v>
      </c>
      <c r="AH55" s="116">
        <f t="shared" si="1"/>
        <v>46179</v>
      </c>
      <c r="AI55" s="1" t="str" cm="1">
        <f t="array" ref="AI55">IFERROR(_xlfn.IFS(AQ55="","Sem Produto",AND(AQ55/(AA55/12)&gt;0,AQ55/(AA55/12)&lt;=2),"Acabando",AND(AQ55/(AA55/12)&gt;2,AQ55/(AA55/12)&lt;=3),"Fazer Pedido",AND(AQ55/(AA55/12)&gt;3,AQ55/(AA55/12)&lt;=7),"OK",AND(AQ55/(AA55/12)&gt;7,AQ55/(AA55/12)&lt;=14),"Abaixar Preço",AND(AQ55/(AA55/12)&gt;14,AQ55/(AA55/12)&lt;=20),"Estabilizando",AQ55/(AA55/12)&gt;20,"Instavel"),"Instavel")</f>
        <v>Abaixar Preço</v>
      </c>
      <c r="AJ55" s="1" t="str" cm="1">
        <f t="array" ref="AJ55">IFERROR(_xlfn.IFS(AR55="","Sem Produto",AND(AR55/(AB55/12)&gt;0,AR55/(AB55/12)&lt;=2),"Acabando",AND(AR55/(AB55/12)&gt;2,AR55/(AB55/12)&lt;=3),"Fazer Pedido",AND(AR55/(AB55/12)&gt;3,AR55/(AB55/12)&lt;=7),"OK",AND(AR55/(AB55/12)&gt;7,AR55/(AB55/12)&lt;=14),"Abaixar Preço",AND(AR55/(AB55/12)&gt;14,AR55/(AB55/12)&lt;=20),"Estabilizando",AR55/(AB55/12)&gt;20,"Instavel"),"Instavel")</f>
        <v>Instavel</v>
      </c>
      <c r="AK55" s="1" t="str" cm="1">
        <f t="array" ref="AK55">IFERROR(_xlfn.IFS(AS55="","Sem Produto",AND(AS55/(AC55/12)&gt;0,AS55/(AC55/12)&lt;=2),"Acabando",AND(AS55/(AC55/12)&gt;2,AS55/(AC55/12)&lt;=3),"Fazer Pedido",AND(AS55/(AC55/12)&gt;3,AS55/(AC55/12)&lt;=7),"OK",AND(AS55/(AC55/12)&gt;7,AS55/(AC55/12)&lt;=14),"Abaixar Preço",AND(AS55/(AC55/12)&gt;14,AS55/(AC55/12)&lt;=20),"Estabilizando",AS55/(AC55/12)&gt;20,"Instavel"),"Instavel")</f>
        <v>Instavel</v>
      </c>
      <c r="AL55" s="1" t="str" cm="1">
        <f t="array" ref="AL55">IFERROR(_xlfn.IFS(AT55="","Sem Produto",AND(AT55/(AD55/12)&gt;0,AT55/(AD55/12)&lt;=2),"Acabando",AND(AT55/(AD55/12)&gt;2,AT55/(AD55/12)&lt;=3),"Fazer Pedido",AND(AT55/(AD55/12)&gt;3,AT55/(AD55/12)&lt;=7),"OK",AND(AT55/(AD55/12)&gt;7,AT55/(AD55/12)&lt;=14),"Abaixar Preço",AND(AT55/(AD55/12)&gt;14,AT55/(AD55/12)&lt;=20),"Estabilizando",AT55/(AD55/12)&gt;20,"Instavel"),"Instavel")</f>
        <v>OK</v>
      </c>
      <c r="AM55" s="1" t="str" cm="1">
        <f t="array" ref="AM55">IFERROR(_xlfn.IFS(AU55="","Sem Produto",AND(AU55/(AE55/12)&gt;0,AU55/(AE55/12)&lt;=2),"Acabando",AND(AU55/(AE55/12)&gt;2,AU55/(AE55/12)&lt;=3),"Fazer Pedido",AND(AU55/(AE55/12)&gt;3,AU55/(AE55/12)&lt;=7),"OK",AND(AU55/(AE55/12)&gt;7,AU55/(AE55/12)&lt;=14),"Abaixar Preço",AND(AU55/(AE55/12)&gt;14,AU55/(AE55/12)&lt;=20),"Estabilizando",AU55/(AE55/12)&gt;20,"Instavel"),"Instavel")</f>
        <v>Acabando</v>
      </c>
      <c r="AN55" s="1" t="str">
        <f ca="1">IF(SUMIF(vendaAno[data],SituaçãoEstoqueFluxo[[#This Row],[data]],vendaAno[estoque])=0,"Algo errado",IF(AND(AX55/AW55&gt;0,AX55/AW55&lt;=1),"Alerta",IF(AND(AX55/AW55&gt;1,AX55/AW55&lt;=1.5),"Fazer pedido",IF(AND(AX55/AW55&gt;1.5,AX55/AW55&lt;=2),"Ok",IF(AND(AX55/AW55&gt;2,AX55/AW55&lt;=2.5),"Estabilizando",IF(AND(AX55/AW55&gt;2.5,AX55/AW55&lt;=3),"Cheio","Abaixar preço"))))))</f>
        <v>Abaixar preço</v>
      </c>
      <c r="AO55" s="82">
        <f>SUMIFS(estoque[quantidade],estoque[fornecedor],"&lt;&gt;saída",estoque[data],SituaçãoEstoqueFluxo[[#This Row],[data]])-SUMIFS(estoque[quantidade],estoque[fornecedor],"saída",estoque[data],SituaçãoEstoqueFluxo[[#This Row],[data]])</f>
        <v>-15</v>
      </c>
      <c r="AP55" s="116">
        <f t="shared" si="2"/>
        <v>46179</v>
      </c>
      <c r="AQ5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5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12.25</v>
      </c>
      <c r="AS5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3.75</v>
      </c>
      <c r="AU5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55" s="82" cm="1">
        <f t="array" aca="1" ref="AV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23.571428571428573</v>
      </c>
      <c r="AW55" s="82" cm="1">
        <f t="array" aca="1" ref="AW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7.8571428571428568</v>
      </c>
      <c r="AX55" s="82">
        <f>SUM(FluxoEstoqueDateTime[[#This Row],[OVO BRANCO A]:[OVO BRANCO JUMBO]])</f>
        <v>27.666666666666671</v>
      </c>
    </row>
    <row r="56" spans="1:50" x14ac:dyDescent="0.25">
      <c r="A56" s="4" t="s">
        <v>20</v>
      </c>
      <c r="B56" s="55" t="s">
        <v>10</v>
      </c>
      <c r="C56" s="5">
        <v>3</v>
      </c>
      <c r="D56" s="56">
        <v>19</v>
      </c>
      <c r="E56" s="56">
        <v>57</v>
      </c>
      <c r="F56" s="157">
        <v>46223</v>
      </c>
      <c r="G56" s="4" t="s">
        <v>291</v>
      </c>
      <c r="H56" s="4" t="s">
        <v>149</v>
      </c>
      <c r="I56" s="153">
        <v>11.82</v>
      </c>
      <c r="J56" s="12">
        <v>0.20739348370927316</v>
      </c>
      <c r="Z56" s="116">
        <f t="shared" si="0"/>
        <v>46178</v>
      </c>
      <c r="AA5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11.428571428571429</v>
      </c>
      <c r="AB5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5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5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5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8.4285714285714288</v>
      </c>
      <c r="AF5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35.857142857142854</v>
      </c>
      <c r="AG5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55.424263656746838</v>
      </c>
      <c r="AH56" s="116">
        <f t="shared" si="1"/>
        <v>46178</v>
      </c>
      <c r="AI56" s="1" t="str" cm="1">
        <f t="array" ref="AI56">IFERROR(_xlfn.IFS(AQ56="","Sem Produto",AND(AQ56/(AA56/12)&gt;0,AQ56/(AA56/12)&lt;=2),"Acabando",AND(AQ56/(AA56/12)&gt;2,AQ56/(AA56/12)&lt;=3),"Fazer Pedido",AND(AQ56/(AA56/12)&gt;3,AQ56/(AA56/12)&lt;=7),"OK",AND(AQ56/(AA56/12)&gt;7,AQ56/(AA56/12)&lt;=14),"Abaixar Preço",AND(AQ56/(AA56/12)&gt;14,AQ56/(AA56/12)&lt;=20),"Estabilizando",AQ56/(AA56/12)&gt;20,"Instavel"),"Instavel")</f>
        <v>Abaixar Preço</v>
      </c>
      <c r="AJ56" s="1" t="str" cm="1">
        <f t="array" ref="AJ56">IFERROR(_xlfn.IFS(AR56="","Sem Produto",AND(AR56/(AB56/12)&gt;0,AR56/(AB56/12)&lt;=2),"Acabando",AND(AR56/(AB56/12)&gt;2,AR56/(AB56/12)&lt;=3),"Fazer Pedido",AND(AR56/(AB56/12)&gt;3,AR56/(AB56/12)&lt;=7),"OK",AND(AR56/(AB56/12)&gt;7,AR56/(AB56/12)&lt;=14),"Abaixar Preço",AND(AR56/(AB56/12)&gt;14,AR56/(AB56/12)&lt;=20),"Estabilizando",AR56/(AB56/12)&gt;20,"Instavel"),"Instavel")</f>
        <v>Instavel</v>
      </c>
      <c r="AK56" s="1" t="str" cm="1">
        <f t="array" ref="AK56">IFERROR(_xlfn.IFS(AS56="","Sem Produto",AND(AS56/(AC56/12)&gt;0,AS56/(AC56/12)&lt;=2),"Acabando",AND(AS56/(AC56/12)&gt;2,AS56/(AC56/12)&lt;=3),"Fazer Pedido",AND(AS56/(AC56/12)&gt;3,AS56/(AC56/12)&lt;=7),"OK",AND(AS56/(AC56/12)&gt;7,AS56/(AC56/12)&lt;=14),"Abaixar Preço",AND(AS56/(AC56/12)&gt;14,AS56/(AC56/12)&lt;=20),"Estabilizando",AS56/(AC56/12)&gt;20,"Instavel"),"Instavel")</f>
        <v>Estabilizando</v>
      </c>
      <c r="AL56" s="1" t="str" cm="1">
        <f t="array" ref="AL56">IFERROR(_xlfn.IFS(AT56="","Sem Produto",AND(AT56/(AD56/12)&gt;0,AT56/(AD56/12)&lt;=2),"Acabando",AND(AT56/(AD56/12)&gt;2,AT56/(AD56/12)&lt;=3),"Fazer Pedido",AND(AT56/(AD56/12)&gt;3,AT56/(AD56/12)&lt;=7),"OK",AND(AT56/(AD56/12)&gt;7,AT56/(AD56/12)&lt;=14),"Abaixar Preço",AND(AT56/(AD56/12)&gt;14,AT56/(AD56/12)&lt;=20),"Estabilizando",AT56/(AD56/12)&gt;20,"Instavel"),"Instavel")</f>
        <v>OK</v>
      </c>
      <c r="AM56" s="1" t="str" cm="1">
        <f t="array" ref="AM56">IFERROR(_xlfn.IFS(AU56="","Sem Produto",AND(AU56/(AE56/12)&gt;0,AU56/(AE56/12)&lt;=2),"Acabando",AND(AU56/(AE56/12)&gt;2,AU56/(AE56/12)&lt;=3),"Fazer Pedido",AND(AU56/(AE56/12)&gt;3,AU56/(AE56/12)&lt;=7),"OK",AND(AU56/(AE56/12)&gt;7,AU56/(AE56/12)&lt;=14),"Abaixar Preço",AND(AU56/(AE56/12)&gt;14,AU56/(AE56/12)&lt;=20),"Estabilizando",AU56/(AE56/12)&gt;20,"Instavel"),"Instavel")</f>
        <v>Acabando</v>
      </c>
      <c r="AN56" s="1" t="str">
        <f ca="1">IF(SUMIF(vendaAno[data],SituaçãoEstoqueFluxo[[#This Row],[data]],vendaAno[estoque])=0,"Algo errado",IF(AND(AX56/AW56&gt;0,AX56/AW56&lt;=1),"Alerta",IF(AND(AX56/AW56&gt;1,AX56/AW56&lt;=1.5),"Fazer pedido",IF(AND(AX56/AW56&gt;1.5,AX56/AW56&lt;=2),"Ok",IF(AND(AX56/AW56&gt;2,AX56/AW56&lt;=2.5),"Estabilizando",IF(AND(AX56/AW56&gt;2.5,AX56/AW56&lt;=3),"Cheio","Abaixar preço"))))))</f>
        <v>Abaixar preço</v>
      </c>
      <c r="AO56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56" s="116">
        <f t="shared" si="2"/>
        <v>46178</v>
      </c>
      <c r="AQ5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5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12.666666666666666</v>
      </c>
      <c r="AS5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</v>
      </c>
      <c r="AU5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0.41666666666666669</v>
      </c>
      <c r="AV56" s="82" cm="1">
        <f t="array" aca="1" ref="AV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26.892857142857142</v>
      </c>
      <c r="AW56" s="82" cm="1">
        <f t="array" aca="1" ref="AW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8.9642857142857135</v>
      </c>
      <c r="AX56" s="82">
        <f>SUM(FluxoEstoqueDateTime[[#This Row],[OVO BRANCO A]:[OVO BRANCO JUMBO]])</f>
        <v>28.916666666666668</v>
      </c>
    </row>
    <row r="57" spans="1:50" x14ac:dyDescent="0.25">
      <c r="A57" s="4" t="s">
        <v>20</v>
      </c>
      <c r="B57" s="55" t="s">
        <v>14</v>
      </c>
      <c r="C57" s="5">
        <v>1</v>
      </c>
      <c r="D57" s="56">
        <v>23</v>
      </c>
      <c r="E57" s="56">
        <v>0</v>
      </c>
      <c r="F57" s="157">
        <v>46223</v>
      </c>
      <c r="G57" s="4" t="s">
        <v>291</v>
      </c>
      <c r="H57" s="4" t="s">
        <v>149</v>
      </c>
      <c r="I57" s="153">
        <v>-16.25</v>
      </c>
      <c r="J57" s="12"/>
      <c r="Z57" s="116">
        <f t="shared" si="0"/>
        <v>46177</v>
      </c>
      <c r="AA5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5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5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2.2857142857142856</v>
      </c>
      <c r="AD5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5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</v>
      </c>
      <c r="AF5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33.285714285714285</v>
      </c>
      <c r="AG5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56.437980379552258</v>
      </c>
      <c r="AH57" s="116">
        <f t="shared" si="1"/>
        <v>46177</v>
      </c>
      <c r="AI57" s="1" t="str" cm="1">
        <f t="array" ref="AI57">IFERROR(_xlfn.IFS(AQ57="","Sem Produto",AND(AQ57/(AA57/12)&gt;0,AQ57/(AA57/12)&lt;=2),"Acabando",AND(AQ57/(AA57/12)&gt;2,AQ57/(AA57/12)&lt;=3),"Fazer Pedido",AND(AQ57/(AA57/12)&gt;3,AQ57/(AA57/12)&lt;=7),"OK",AND(AQ57/(AA57/12)&gt;7,AQ57/(AA57/12)&lt;=14),"Abaixar Preço",AND(AQ57/(AA57/12)&gt;14,AQ57/(AA57/12)&lt;=20),"Estabilizando",AQ57/(AA57/12)&gt;20,"Instavel"),"Instavel")</f>
        <v>Abaixar Preço</v>
      </c>
      <c r="AJ57" s="1" t="str" cm="1">
        <f t="array" ref="AJ57">IFERROR(_xlfn.IFS(AR57="","Sem Produto",AND(AR57/(AB57/12)&gt;0,AR57/(AB57/12)&lt;=2),"Acabando",AND(AR57/(AB57/12)&gt;2,AR57/(AB57/12)&lt;=3),"Fazer Pedido",AND(AR57/(AB57/12)&gt;3,AR57/(AB57/12)&lt;=7),"OK",AND(AR57/(AB57/12)&gt;7,AR57/(AB57/12)&lt;=14),"Abaixar Preço",AND(AR57/(AB57/12)&gt;14,AR57/(AB57/12)&lt;=20),"Estabilizando",AR57/(AB57/12)&gt;20,"Instavel"),"Instavel")</f>
        <v>Instavel</v>
      </c>
      <c r="AK57" s="1" t="str" cm="1">
        <f t="array" ref="AK57">IFERROR(_xlfn.IFS(AS57="","Sem Produto",AND(AS57/(AC57/12)&gt;0,AS57/(AC57/12)&lt;=2),"Acabando",AND(AS57/(AC57/12)&gt;2,AS57/(AC57/12)&lt;=3),"Fazer Pedido",AND(AS57/(AC57/12)&gt;3,AS57/(AC57/12)&lt;=7),"OK",AND(AS57/(AC57/12)&gt;7,AS57/(AC57/12)&lt;=14),"Abaixar Preço",AND(AS57/(AC57/12)&gt;14,AS57/(AC57/12)&lt;=20),"Estabilizando",AS57/(AC57/12)&gt;20,"Instavel"),"Instavel")</f>
        <v>Estabilizando</v>
      </c>
      <c r="AL57" s="1" t="str" cm="1">
        <f t="array" ref="AL57">IFERROR(_xlfn.IFS(AT57="","Sem Produto",AND(AT57/(AD57/12)&gt;0,AT57/(AD57/12)&lt;=2),"Acabando",AND(AT57/(AD57/12)&gt;2,AT57/(AD57/12)&lt;=3),"Fazer Pedido",AND(AT57/(AD57/12)&gt;3,AT57/(AD57/12)&lt;=7),"OK",AND(AT57/(AD57/12)&gt;7,AT57/(AD57/12)&lt;=14),"Abaixar Preço",AND(AT57/(AD57/12)&gt;14,AT57/(AD57/12)&lt;=20),"Estabilizando",AT57/(AD57/12)&gt;20,"Instavel"),"Instavel")</f>
        <v>OK</v>
      </c>
      <c r="AM57" s="1" t="str" cm="1">
        <f t="array" ref="AM57">IFERROR(_xlfn.IFS(AU57="","Sem Produto",AND(AU57/(AE57/12)&gt;0,AU57/(AE57/12)&lt;=2),"Acabando",AND(AU57/(AE57/12)&gt;2,AU57/(AE57/12)&lt;=3),"Fazer Pedido",AND(AU57/(AE57/12)&gt;3,AU57/(AE57/12)&lt;=7),"OK",AND(AU57/(AE57/12)&gt;7,AU57/(AE57/12)&lt;=14),"Abaixar Preço",AND(AU57/(AE57/12)&gt;14,AU57/(AE57/12)&lt;=20),"Estabilizando",AU57/(AE57/12)&gt;20,"Instavel"),"Instavel")</f>
        <v>Acabando</v>
      </c>
      <c r="AN57" s="1" t="str">
        <f ca="1">IF(SUMIF(vendaAno[data],SituaçãoEstoqueFluxo[[#This Row],[data]],vendaAno[estoque])=0,"Algo errado",IF(AND(AX57/AW57&gt;0,AX57/AW57&lt;=1),"Alerta",IF(AND(AX57/AW57&gt;1,AX57/AW57&lt;=1.5),"Fazer pedido",IF(AND(AX57/AW57&gt;1.5,AX57/AW57&lt;=2),"Ok",IF(AND(AX57/AW57&gt;2,AX57/AW57&lt;=2.5),"Estabilizando",IF(AND(AX57/AW57&gt;2.5,AX57/AW57&lt;=3),"Cheio","Abaixar preço"))))))</f>
        <v>Abaixar preço</v>
      </c>
      <c r="AO57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57" s="116">
        <f t="shared" si="2"/>
        <v>46177</v>
      </c>
      <c r="AQ5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5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12.833333333333334</v>
      </c>
      <c r="AS5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5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0.83333333333333337</v>
      </c>
      <c r="AV57" s="82" cm="1">
        <f t="array" aca="1" ref="AV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24.964285714285712</v>
      </c>
      <c r="AW57" s="82" cm="1">
        <f t="array" aca="1" ref="AW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8.3214285714285712</v>
      </c>
      <c r="AX57" s="82">
        <f>SUM(FluxoEstoqueDateTime[[#This Row],[OVO BRANCO A]:[OVO BRANCO JUMBO]])</f>
        <v>31.5</v>
      </c>
    </row>
    <row r="58" spans="1:50" x14ac:dyDescent="0.25">
      <c r="A58" s="4" t="s">
        <v>20</v>
      </c>
      <c r="B58" s="55" t="s">
        <v>14</v>
      </c>
      <c r="C58" s="5">
        <v>6</v>
      </c>
      <c r="D58" s="56">
        <v>23</v>
      </c>
      <c r="E58" s="56">
        <v>138</v>
      </c>
      <c r="F58" s="157">
        <v>46222</v>
      </c>
      <c r="G58" s="4" t="s">
        <v>93</v>
      </c>
      <c r="H58" s="4" t="s">
        <v>149</v>
      </c>
      <c r="I58" s="153">
        <v>40.49</v>
      </c>
      <c r="J58" s="12">
        <v>0.29343297101449278</v>
      </c>
      <c r="Z58" s="116">
        <f t="shared" si="0"/>
        <v>46176</v>
      </c>
      <c r="AA5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5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3.5714285714285716</v>
      </c>
      <c r="AC5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5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5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8.1428571428571423</v>
      </c>
      <c r="AF5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</v>
      </c>
      <c r="AG5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52.756192676132905</v>
      </c>
      <c r="AH58" s="116">
        <f t="shared" si="1"/>
        <v>46176</v>
      </c>
      <c r="AI58" s="1" t="str" cm="1">
        <f t="array" ref="AI58">IFERROR(_xlfn.IFS(AQ58="","Sem Produto",AND(AQ58/(AA58/12)&gt;0,AQ58/(AA58/12)&lt;=2),"Acabando",AND(AQ58/(AA58/12)&gt;2,AQ58/(AA58/12)&lt;=3),"Fazer Pedido",AND(AQ58/(AA58/12)&gt;3,AQ58/(AA58/12)&lt;=7),"OK",AND(AQ58/(AA58/12)&gt;7,AQ58/(AA58/12)&lt;=14),"Abaixar Preço",AND(AQ58/(AA58/12)&gt;14,AQ58/(AA58/12)&lt;=20),"Estabilizando",AQ58/(AA58/12)&gt;20,"Instavel"),"Instavel")</f>
        <v>Estabilizando</v>
      </c>
      <c r="AJ58" s="1" t="str" cm="1">
        <f t="array" ref="AJ58">IFERROR(_xlfn.IFS(AR58="","Sem Produto",AND(AR58/(AB58/12)&gt;0,AR58/(AB58/12)&lt;=2),"Acabando",AND(AR58/(AB58/12)&gt;2,AR58/(AB58/12)&lt;=3),"Fazer Pedido",AND(AR58/(AB58/12)&gt;3,AR58/(AB58/12)&lt;=7),"OK",AND(AR58/(AB58/12)&gt;7,AR58/(AB58/12)&lt;=14),"Abaixar Preço",AND(AR58/(AB58/12)&gt;14,AR58/(AB58/12)&lt;=20),"Estabilizando",AR58/(AB58/12)&gt;20,"Instavel"),"Instavel")</f>
        <v>Instavel</v>
      </c>
      <c r="AK58" s="1" t="str" cm="1">
        <f t="array" ref="AK58">IFERROR(_xlfn.IFS(AS58="","Sem Produto",AND(AS58/(AC58/12)&gt;0,AS58/(AC58/12)&lt;=2),"Acabando",AND(AS58/(AC58/12)&gt;2,AS58/(AC58/12)&lt;=3),"Fazer Pedido",AND(AS58/(AC58/12)&gt;3,AS58/(AC58/12)&lt;=7),"OK",AND(AS58/(AC58/12)&gt;7,AS58/(AC58/12)&lt;=14),"Abaixar Preço",AND(AS58/(AC58/12)&gt;14,AS58/(AC58/12)&lt;=20),"Estabilizando",AS58/(AC58/12)&gt;20,"Instavel"),"Instavel")</f>
        <v>Estabilizando</v>
      </c>
      <c r="AL58" s="1" t="str" cm="1">
        <f t="array" ref="AL58">IFERROR(_xlfn.IFS(AT58="","Sem Produto",AND(AT58/(AD58/12)&gt;0,AT58/(AD58/12)&lt;=2),"Acabando",AND(AT58/(AD58/12)&gt;2,AT58/(AD58/12)&lt;=3),"Fazer Pedido",AND(AT58/(AD58/12)&gt;3,AT58/(AD58/12)&lt;=7),"OK",AND(AT58/(AD58/12)&gt;7,AT58/(AD58/12)&lt;=14),"Abaixar Preço",AND(AT58/(AD58/12)&gt;14,AT58/(AD58/12)&lt;=20),"Estabilizando",AT58/(AD58/12)&gt;20,"Instavel"),"Instavel")</f>
        <v>Abaixar Preço</v>
      </c>
      <c r="AM58" s="1" t="str" cm="1">
        <f t="array" ref="AM58">IFERROR(_xlfn.IFS(AU58="","Sem Produto",AND(AU58/(AE58/12)&gt;0,AU58/(AE58/12)&lt;=2),"Acabando",AND(AU58/(AE58/12)&gt;2,AU58/(AE58/12)&lt;=3),"Fazer Pedido",AND(AU58/(AE58/12)&gt;3,AU58/(AE58/12)&lt;=7),"OK",AND(AU58/(AE58/12)&gt;7,AU58/(AE58/12)&lt;=14),"Abaixar Preço",AND(AU58/(AE58/12)&gt;14,AU58/(AE58/12)&lt;=20),"Estabilizando",AU58/(AE58/12)&gt;20,"Instavel"),"Instavel")</f>
        <v>Acabando</v>
      </c>
      <c r="AN58" s="1" t="str">
        <f ca="1">IF(SUMIF(vendaAno[data],SituaçãoEstoqueFluxo[[#This Row],[data]],vendaAno[estoque])=0,"Algo errado",IF(AND(AX58/AW58&gt;0,AX58/AW58&lt;=1),"Alerta",IF(AND(AX58/AW58&gt;1,AX58/AW58&lt;=1.5),"Fazer pedido",IF(AND(AX58/AW58&gt;1.5,AX58/AW58&lt;=2),"Ok",IF(AND(AX58/AW58&gt;2,AX58/AW58&lt;=2.5),"Estabilizando",IF(AND(AX58/AW58&gt;2.5,AX58/AW58&lt;=3),"Cheio","Abaixar preço"))))))</f>
        <v>Abaixar preço</v>
      </c>
      <c r="AO58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58" s="116">
        <f t="shared" si="2"/>
        <v>46176</v>
      </c>
      <c r="AQ5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5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5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5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5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1.25</v>
      </c>
      <c r="AV58" s="82" cm="1">
        <f t="array" aca="1" ref="AV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</v>
      </c>
      <c r="AW58" s="82" cm="1">
        <f t="array" aca="1" ref="AW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</v>
      </c>
      <c r="AX58" s="82">
        <f>SUM(FluxoEstoqueDateTime[[#This Row],[OVO BRANCO A]:[OVO BRANCO JUMBO]])</f>
        <v>35.083333333333336</v>
      </c>
    </row>
    <row r="59" spans="1:50" x14ac:dyDescent="0.25">
      <c r="A59" s="4" t="s">
        <v>20</v>
      </c>
      <c r="B59" s="55" t="s">
        <v>13</v>
      </c>
      <c r="C59" s="5">
        <v>5</v>
      </c>
      <c r="D59" s="56">
        <v>20</v>
      </c>
      <c r="E59" s="56">
        <v>100</v>
      </c>
      <c r="F59" s="157">
        <v>46222</v>
      </c>
      <c r="G59" s="4" t="s">
        <v>93</v>
      </c>
      <c r="H59" s="4" t="s">
        <v>149</v>
      </c>
      <c r="I59" s="153">
        <v>22.49</v>
      </c>
      <c r="J59" s="12">
        <v>0.22488962472406185</v>
      </c>
      <c r="Z59" s="116">
        <f t="shared" si="0"/>
        <v>46175</v>
      </c>
      <c r="AA5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10.285714285714286</v>
      </c>
      <c r="AB5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2.7142857142857144</v>
      </c>
      <c r="AC5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5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5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8.1428571428571423</v>
      </c>
      <c r="AF5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32.142857142857146</v>
      </c>
      <c r="AG5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51.774643212744799</v>
      </c>
      <c r="AH59" s="116">
        <f t="shared" si="1"/>
        <v>46175</v>
      </c>
      <c r="AI59" s="1" t="str" cm="1">
        <f t="array" ref="AI59">IFERROR(_xlfn.IFS(AQ59="","Sem Produto",AND(AQ59/(AA59/12)&gt;0,AQ59/(AA59/12)&lt;=2),"Acabando",AND(AQ59/(AA59/12)&gt;2,AQ59/(AA59/12)&lt;=3),"Fazer Pedido",AND(AQ59/(AA59/12)&gt;3,AQ59/(AA59/12)&lt;=7),"OK",AND(AQ59/(AA59/12)&gt;7,AQ59/(AA59/12)&lt;=14),"Abaixar Preço",AND(AQ59/(AA59/12)&gt;14,AQ59/(AA59/12)&lt;=20),"Estabilizando",AQ59/(AA59/12)&gt;20,"Instavel"),"Instavel")</f>
        <v>Abaixar Preço</v>
      </c>
      <c r="AJ59" s="1" t="str" cm="1">
        <f t="array" ref="AJ59">IFERROR(_xlfn.IFS(AR59="","Sem Produto",AND(AR59/(AB59/12)&gt;0,AR59/(AB59/12)&lt;=2),"Acabando",AND(AR59/(AB59/12)&gt;2,AR59/(AB59/12)&lt;=3),"Fazer Pedido",AND(AR59/(AB59/12)&gt;3,AR59/(AB59/12)&lt;=7),"OK",AND(AR59/(AB59/12)&gt;7,AR59/(AB59/12)&lt;=14),"Abaixar Preço",AND(AR59/(AB59/12)&gt;14,AR59/(AB59/12)&lt;=20),"Estabilizando",AR59/(AB59/12)&gt;20,"Instavel"),"Instavel")</f>
        <v>Instavel</v>
      </c>
      <c r="AK59" s="1" t="str" cm="1">
        <f t="array" ref="AK59">IFERROR(_xlfn.IFS(AS59="","Sem Produto",AND(AS59/(AC59/12)&gt;0,AS59/(AC59/12)&lt;=2),"Acabando",AND(AS59/(AC59/12)&gt;2,AS59/(AC59/12)&lt;=3),"Fazer Pedido",AND(AS59/(AC59/12)&gt;3,AS59/(AC59/12)&lt;=7),"OK",AND(AS59/(AC59/12)&gt;7,AS59/(AC59/12)&lt;=14),"Abaixar Preço",AND(AS59/(AC59/12)&gt;14,AS59/(AC59/12)&lt;=20),"Estabilizando",AS59/(AC59/12)&gt;20,"Instavel"),"Instavel")</f>
        <v>Estabilizando</v>
      </c>
      <c r="AL59" s="1" t="str" cm="1">
        <f t="array" ref="AL59">IFERROR(_xlfn.IFS(AT59="","Sem Produto",AND(AT59/(AD59/12)&gt;0,AT59/(AD59/12)&lt;=2),"Acabando",AND(AT59/(AD59/12)&gt;2,AT59/(AD59/12)&lt;=3),"Fazer Pedido",AND(AT59/(AD59/12)&gt;3,AT59/(AD59/12)&lt;=7),"OK",AND(AT59/(AD59/12)&gt;7,AT59/(AD59/12)&lt;=14),"Abaixar Preço",AND(AT59/(AD59/12)&gt;14,AT59/(AD59/12)&lt;=20),"Estabilizando",AT59/(AD59/12)&gt;20,"Instavel"),"Instavel")</f>
        <v>Abaixar Preço</v>
      </c>
      <c r="AM59" s="1" t="str" cm="1">
        <f t="array" ref="AM59">IFERROR(_xlfn.IFS(AU59="","Sem Produto",AND(AU59/(AE59/12)&gt;0,AU59/(AE59/12)&lt;=2),"Acabando",AND(AU59/(AE59/12)&gt;2,AU59/(AE59/12)&lt;=3),"Fazer Pedido",AND(AU59/(AE59/12)&gt;3,AU59/(AE59/12)&lt;=7),"OK",AND(AU59/(AE59/12)&gt;7,AU59/(AE59/12)&lt;=14),"Abaixar Preço",AND(AU59/(AE59/12)&gt;14,AU59/(AE59/12)&lt;=20),"Estabilizando",AU59/(AE59/12)&gt;20,"Instavel"),"Instavel")</f>
        <v>Fazer Pedido</v>
      </c>
      <c r="AN59" s="1" t="str">
        <f ca="1">IF(SUMIF(vendaAno[data],SituaçãoEstoqueFluxo[[#This Row],[data]],vendaAno[estoque])=0,"Algo errado",IF(AND(AX59/AW59&gt;0,AX59/AW59&lt;=1),"Alerta",IF(AND(AX59/AW59&gt;1,AX59/AW59&lt;=1.5),"Fazer pedido",IF(AND(AX59/AW59&gt;1.5,AX59/AW59&lt;=2),"Ok",IF(AND(AX59/AW59&gt;2,AX59/AW59&lt;=2.5),"Estabilizando",IF(AND(AX59/AW59&gt;2.5,AX59/AW59&lt;=3),"Cheio","Abaixar preço"))))))</f>
        <v>Abaixar preço</v>
      </c>
      <c r="AO59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59" s="116">
        <f t="shared" si="2"/>
        <v>46175</v>
      </c>
      <c r="AQ5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11.166666666666666</v>
      </c>
      <c r="AR5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13.416666666666666</v>
      </c>
      <c r="AS5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3.5833333333333335</v>
      </c>
      <c r="AT5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5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59" s="82" cm="1">
        <f t="array" aca="1" ref="AV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24.107142857142858</v>
      </c>
      <c r="AW59" s="82" cm="1">
        <f t="array" aca="1" ref="AW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8.0357142857142865</v>
      </c>
      <c r="AX59" s="82">
        <f>SUM(FluxoEstoqueDateTime[[#This Row],[OVO BRANCO A]:[OVO BRANCO JUMBO]])</f>
        <v>36.666666666666664</v>
      </c>
    </row>
    <row r="60" spans="1:50" x14ac:dyDescent="0.25">
      <c r="A60" s="4" t="s">
        <v>20</v>
      </c>
      <c r="B60" s="55" t="s">
        <v>10</v>
      </c>
      <c r="C60" s="5">
        <v>5</v>
      </c>
      <c r="D60" s="56">
        <v>19</v>
      </c>
      <c r="E60" s="56">
        <v>95</v>
      </c>
      <c r="F60" s="157">
        <v>46222</v>
      </c>
      <c r="G60" s="4" t="s">
        <v>93</v>
      </c>
      <c r="H60" s="4" t="s">
        <v>149</v>
      </c>
      <c r="I60" s="153">
        <v>19.7</v>
      </c>
      <c r="J60" s="12">
        <v>0.20739348370927316</v>
      </c>
      <c r="Z60" s="116">
        <f t="shared" si="0"/>
        <v>46174</v>
      </c>
      <c r="AA6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6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5.7142857142857144</v>
      </c>
      <c r="AC6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6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6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6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34.714285714285715</v>
      </c>
      <c r="AG6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51.152147775713203</v>
      </c>
      <c r="AH60" s="116">
        <f t="shared" si="1"/>
        <v>46174</v>
      </c>
      <c r="AI60" s="1" t="str" cm="1">
        <f t="array" ref="AI60">IFERROR(_xlfn.IFS(AQ60="","Sem Produto",AND(AQ60/(AA60/12)&gt;0,AQ60/(AA60/12)&lt;=2),"Acabando",AND(AQ60/(AA60/12)&gt;2,AQ60/(AA60/12)&lt;=3),"Fazer Pedido",AND(AQ60/(AA60/12)&gt;3,AQ60/(AA60/12)&lt;=7),"OK",AND(AQ60/(AA60/12)&gt;7,AQ60/(AA60/12)&lt;=14),"Abaixar Preço",AND(AQ60/(AA60/12)&gt;14,AQ60/(AA60/12)&lt;=20),"Estabilizando",AQ60/(AA60/12)&gt;20,"Instavel"),"Instavel")</f>
        <v>Abaixar Preço</v>
      </c>
      <c r="AJ60" s="1" t="str" cm="1">
        <f t="array" ref="AJ60">IFERROR(_xlfn.IFS(AR60="","Sem Produto",AND(AR60/(AB60/12)&gt;0,AR60/(AB60/12)&lt;=2),"Acabando",AND(AR60/(AB60/12)&gt;2,AR60/(AB60/12)&lt;=3),"Fazer Pedido",AND(AR60/(AB60/12)&gt;3,AR60/(AB60/12)&lt;=7),"OK",AND(AR60/(AB60/12)&gt;7,AR60/(AB60/12)&lt;=14),"Abaixar Preço",AND(AR60/(AB60/12)&gt;14,AR60/(AB60/12)&lt;=20),"Estabilizando",AR60/(AB60/12)&gt;20,"Instavel"),"Instavel")</f>
        <v>Instavel</v>
      </c>
      <c r="AK60" s="1" t="str" cm="1">
        <f t="array" ref="AK60">IFERROR(_xlfn.IFS(AS60="","Sem Produto",AND(AS60/(AC60/12)&gt;0,AS60/(AC60/12)&lt;=2),"Acabando",AND(AS60/(AC60/12)&gt;2,AS60/(AC60/12)&lt;=3),"Fazer Pedido",AND(AS60/(AC60/12)&gt;3,AS60/(AC60/12)&lt;=7),"OK",AND(AS60/(AC60/12)&gt;7,AS60/(AC60/12)&lt;=14),"Abaixar Preço",AND(AS60/(AC60/12)&gt;14,AS60/(AC60/12)&lt;=20),"Estabilizando",AS60/(AC60/12)&gt;20,"Instavel"),"Instavel")</f>
        <v>Instavel</v>
      </c>
      <c r="AL60" s="1" t="str" cm="1">
        <f t="array" ref="AL60">IFERROR(_xlfn.IFS(AT60="","Sem Produto",AND(AT60/(AD60/12)&gt;0,AT60/(AD60/12)&lt;=2),"Acabando",AND(AT60/(AD60/12)&gt;2,AT60/(AD60/12)&lt;=3),"Fazer Pedido",AND(AT60/(AD60/12)&gt;3,AT60/(AD60/12)&lt;=7),"OK",AND(AT60/(AD60/12)&gt;7,AT60/(AD60/12)&lt;=14),"Abaixar Preço",AND(AT60/(AD60/12)&gt;14,AT60/(AD60/12)&lt;=20),"Estabilizando",AT60/(AD60/12)&gt;20,"Instavel"),"Instavel")</f>
        <v>Abaixar Preço</v>
      </c>
      <c r="AM60" s="1" t="str" cm="1">
        <f t="array" ref="AM60">IFERROR(_xlfn.IFS(AU60="","Sem Produto",AND(AU60/(AE60/12)&gt;0,AU60/(AE60/12)&lt;=2),"Acabando",AND(AU60/(AE60/12)&gt;2,AU60/(AE60/12)&lt;=3),"Fazer Pedido",AND(AU60/(AE60/12)&gt;3,AU60/(AE60/12)&lt;=7),"OK",AND(AU60/(AE60/12)&gt;7,AU60/(AE60/12)&lt;=14),"Abaixar Preço",AND(AU60/(AE60/12)&gt;14,AU60/(AE60/12)&lt;=20),"Estabilizando",AU60/(AE60/12)&gt;20,"Instavel"),"Instavel")</f>
        <v>OK</v>
      </c>
      <c r="AN60" s="1" t="str">
        <f ca="1">IF(SUMIF(vendaAno[data],SituaçãoEstoqueFluxo[[#This Row],[data]],vendaAno[estoque])=0,"Algo errado",IF(AND(AX60/AW60&gt;0,AX60/AW60&lt;=1),"Alerta",IF(AND(AX60/AW60&gt;1,AX60/AW60&lt;=1.5),"Fazer pedido",IF(AND(AX60/AW60&gt;1.5,AX60/AW60&lt;=2),"Ok",IF(AND(AX60/AW60&gt;2,AX60/AW60&lt;=2.5),"Estabilizando",IF(AND(AX60/AW60&gt;2.5,AX60/AW60&lt;=3),"Cheio","Abaixar preço"))))))</f>
        <v>Abaixar preço</v>
      </c>
      <c r="AO60" s="82">
        <f>SUMIFS(estoque[quantidade],estoque[fornecedor],"&lt;&gt;saída",estoque[data],SituaçãoEstoqueFluxo[[#This Row],[data]])-SUMIFS(estoque[quantidade],estoque[fornecedor],"saída",estoque[data],SituaçãoEstoqueFluxo[[#This Row],[data]])</f>
        <v>146</v>
      </c>
      <c r="AP60" s="116">
        <f t="shared" si="2"/>
        <v>46174</v>
      </c>
      <c r="AQ6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11.416666666666666</v>
      </c>
      <c r="AR6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13.666666666666666</v>
      </c>
      <c r="AS6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</v>
      </c>
      <c r="AT6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</v>
      </c>
      <c r="AU6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60" s="82" cm="1">
        <f t="array" aca="1" ref="AV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26.035714285714281</v>
      </c>
      <c r="AW60" s="82" cm="1">
        <f t="array" aca="1" ref="AW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8.6785714285714288</v>
      </c>
      <c r="AX60" s="82">
        <f>SUM(FluxoEstoqueDateTime[[#This Row],[OVO BRANCO A]:[OVO BRANCO JUMBO]])</f>
        <v>38.666666666666664</v>
      </c>
    </row>
    <row r="61" spans="1:50" x14ac:dyDescent="0.25">
      <c r="A61" s="4" t="s">
        <v>20</v>
      </c>
      <c r="B61" s="55" t="s">
        <v>11</v>
      </c>
      <c r="C61" s="5">
        <v>3</v>
      </c>
      <c r="D61" s="56">
        <v>18</v>
      </c>
      <c r="E61" s="56">
        <v>54</v>
      </c>
      <c r="F61" s="157">
        <v>46221</v>
      </c>
      <c r="G61" s="4" t="s">
        <v>92</v>
      </c>
      <c r="H61" s="4" t="s">
        <v>149</v>
      </c>
      <c r="I61" s="153">
        <v>10.25</v>
      </c>
      <c r="J61" s="12">
        <v>0.18976373125963311</v>
      </c>
      <c r="Z61" s="116">
        <f t="shared" si="0"/>
        <v>46173</v>
      </c>
      <c r="AA6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6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6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6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6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6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6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46.916999183292511</v>
      </c>
      <c r="AH61" s="116">
        <f t="shared" si="1"/>
        <v>46173</v>
      </c>
      <c r="AI61" s="1" t="str" cm="1">
        <f t="array" ref="AI61">IFERROR(_xlfn.IFS(AQ61="","Sem Produto",AND(AQ61/(AA61/12)&gt;0,AQ61/(AA61/12)&lt;=2),"Acabando",AND(AQ61/(AA61/12)&gt;2,AQ61/(AA61/12)&lt;=3),"Fazer Pedido",AND(AQ61/(AA61/12)&gt;3,AQ61/(AA61/12)&lt;=7),"OK",AND(AQ61/(AA61/12)&gt;7,AQ61/(AA61/12)&lt;=14),"Abaixar Preço",AND(AQ61/(AA61/12)&gt;14,AQ61/(AA61/12)&lt;=20),"Estabilizando",AQ61/(AA61/12)&gt;20,"Instavel"),"Instavel")</f>
        <v>Acabando</v>
      </c>
      <c r="AJ61" s="1" t="str" cm="1">
        <f t="array" ref="AJ61">IFERROR(_xlfn.IFS(AR61="","Sem Produto",AND(AR61/(AB61/12)&gt;0,AR61/(AB61/12)&lt;=2),"Acabando",AND(AR61/(AB61/12)&gt;2,AR61/(AB61/12)&lt;=3),"Fazer Pedido",AND(AR61/(AB61/12)&gt;3,AR61/(AB61/12)&lt;=7),"OK",AND(AR61/(AB61/12)&gt;7,AR61/(AB61/12)&lt;=14),"Abaixar Preço",AND(AR61/(AB61/12)&gt;14,AR61/(AB61/12)&lt;=20),"Estabilizando",AR61/(AB61/12)&gt;20,"Instavel"),"Instavel")</f>
        <v>Instavel</v>
      </c>
      <c r="AK61" s="1" t="str" cm="1">
        <f t="array" ref="AK61">IFERROR(_xlfn.IFS(AS61="","Sem Produto",AND(AS61/(AC61/12)&gt;0,AS61/(AC61/12)&lt;=2),"Acabando",AND(AS61/(AC61/12)&gt;2,AS61/(AC61/12)&lt;=3),"Fazer Pedido",AND(AS61/(AC61/12)&gt;3,AS61/(AC61/12)&lt;=7),"OK",AND(AS61/(AC61/12)&gt;7,AS61/(AC61/12)&lt;=14),"Abaixar Preço",AND(AS61/(AC61/12)&gt;14,AS61/(AC61/12)&lt;=20),"Estabilizando",AS61/(AC61/12)&gt;20,"Instavel"),"Instavel")</f>
        <v>Instavel</v>
      </c>
      <c r="AL61" s="1" t="str" cm="1">
        <f t="array" ref="AL61">IFERROR(_xlfn.IFS(AT61="","Sem Produto",AND(AT61/(AD61/12)&gt;0,AT61/(AD61/12)&lt;=2),"Acabando",AND(AT61/(AD61/12)&gt;2,AT61/(AD61/12)&lt;=3),"Fazer Pedido",AND(AT61/(AD61/12)&gt;3,AT61/(AD61/12)&lt;=7),"OK",AND(AT61/(AD61/12)&gt;7,AT61/(AD61/12)&lt;=14),"Abaixar Preço",AND(AT61/(AD61/12)&gt;14,AT61/(AD61/12)&lt;=20),"Estabilizando",AT61/(AD61/12)&gt;20,"Instavel"),"Instavel")</f>
        <v>Abaixar Preço</v>
      </c>
      <c r="AM61" s="1" t="str" cm="1">
        <f t="array" ref="AM61">IFERROR(_xlfn.IFS(AU61="","Sem Produto",AND(AU61/(AE61/12)&gt;0,AU61/(AE61/12)&lt;=2),"Acabando",AND(AU61/(AE61/12)&gt;2,AU61/(AE61/12)&lt;=3),"Fazer Pedido",AND(AU61/(AE61/12)&gt;3,AU61/(AE61/12)&lt;=7),"OK",AND(AU61/(AE61/12)&gt;7,AU61/(AE61/12)&lt;=14),"Abaixar Preço",AND(AU61/(AE61/12)&gt;14,AU61/(AE61/12)&lt;=20),"Estabilizando",AU61/(AE61/12)&gt;20,"Instavel"),"Instavel")</f>
        <v>OK</v>
      </c>
      <c r="AN61" s="1" t="str">
        <f ca="1">IF(SUMIF(vendaAno[data],SituaçãoEstoqueFluxo[[#This Row],[data]],vendaAno[estoque])=0,"Algo errado",IF(AND(AX61/AW61&gt;0,AX61/AW61&lt;=1),"Alerta",IF(AND(AX61/AW61&gt;1,AX61/AW61&lt;=1.5),"Fazer pedido",IF(AND(AX61/AW61&gt;1.5,AX61/AW61&lt;=2),"Ok",IF(AND(AX61/AW61&gt;2,AX61/AW61&lt;=2.5),"Estabilizando",IF(AND(AX61/AW61&gt;2.5,AX61/AW61&lt;=3),"Cheio","Abaixar preço"))))))</f>
        <v>Abaixar preço</v>
      </c>
      <c r="AO61" s="82">
        <f>SUMIFS(estoque[quantidade],estoque[fornecedor],"&lt;&gt;saída",estoque[data],SituaçãoEstoqueFluxo[[#This Row],[data]])-SUMIFS(estoque[quantidade],estoque[fornecedor],"saída",estoque[data],SituaçãoEstoqueFluxo[[#This Row],[data]])</f>
        <v>-54</v>
      </c>
      <c r="AP61" s="116">
        <f t="shared" si="2"/>
        <v>46173</v>
      </c>
      <c r="AQ6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1.6666666666666667</v>
      </c>
      <c r="AR6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9.0833333333333339</v>
      </c>
      <c r="AS6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4.25</v>
      </c>
      <c r="AT6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8.0833333333333339</v>
      </c>
      <c r="AU6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3.4166666666666665</v>
      </c>
      <c r="AV61" s="82" cm="1">
        <f t="array" aca="1" ref="AV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61" s="82" cm="1">
        <f t="array" aca="1" ref="AW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61" s="82">
        <f>SUM(FluxoEstoqueDateTime[[#This Row],[OVO BRANCO A]:[OVO BRANCO JUMBO]])</f>
        <v>26.500000000000004</v>
      </c>
    </row>
    <row r="62" spans="1:50" x14ac:dyDescent="0.25">
      <c r="A62" s="4" t="s">
        <v>20</v>
      </c>
      <c r="B62" s="55" t="s">
        <v>14</v>
      </c>
      <c r="C62" s="5">
        <v>6</v>
      </c>
      <c r="D62" s="56">
        <v>23</v>
      </c>
      <c r="E62" s="56">
        <v>138</v>
      </c>
      <c r="F62" s="157">
        <v>46221</v>
      </c>
      <c r="G62" s="4" t="s">
        <v>92</v>
      </c>
      <c r="H62" s="4" t="s">
        <v>149</v>
      </c>
      <c r="I62" s="153">
        <v>40.49</v>
      </c>
      <c r="J62" s="12">
        <v>0.29343297101449278</v>
      </c>
      <c r="Z62" s="116">
        <f t="shared" si="0"/>
        <v>46172</v>
      </c>
      <c r="AA6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11.428571428571429</v>
      </c>
      <c r="AB6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</v>
      </c>
      <c r="AC6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6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6.2857142857142856</v>
      </c>
      <c r="AE6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6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6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44.920459224453225</v>
      </c>
      <c r="AH62" s="116">
        <f t="shared" si="1"/>
        <v>46172</v>
      </c>
      <c r="AI62" s="1" t="str" cm="1">
        <f t="array" ref="AI62">IFERROR(_xlfn.IFS(AQ62="","Sem Produto",AND(AQ62/(AA62/12)&gt;0,AQ62/(AA62/12)&lt;=2),"Acabando",AND(AQ62/(AA62/12)&gt;2,AQ62/(AA62/12)&lt;=3),"Fazer Pedido",AND(AQ62/(AA62/12)&gt;3,AQ62/(AA62/12)&lt;=7),"OK",AND(AQ62/(AA62/12)&gt;7,AQ62/(AA62/12)&lt;=14),"Abaixar Preço",AND(AQ62/(AA62/12)&gt;14,AQ62/(AA62/12)&lt;=20),"Estabilizando",AQ62/(AA62/12)&gt;20,"Instavel"),"Instavel")</f>
        <v>OK</v>
      </c>
      <c r="AJ62" s="1" t="str" cm="1">
        <f t="array" ref="AJ62">IFERROR(_xlfn.IFS(AR62="","Sem Produto",AND(AR62/(AB62/12)&gt;0,AR62/(AB62/12)&lt;=2),"Acabando",AND(AR62/(AB62/12)&gt;2,AR62/(AB62/12)&lt;=3),"Fazer Pedido",AND(AR62/(AB62/12)&gt;3,AR62/(AB62/12)&lt;=7),"OK",AND(AR62/(AB62/12)&gt;7,AR62/(AB62/12)&lt;=14),"Abaixar Preço",AND(AR62/(AB62/12)&gt;14,AR62/(AB62/12)&lt;=20),"Estabilizando",AR62/(AB62/12)&gt;20,"Instavel"),"Instavel")</f>
        <v>Estabilizando</v>
      </c>
      <c r="AK62" s="1" t="str" cm="1">
        <f t="array" ref="AK62">IFERROR(_xlfn.IFS(AS62="","Sem Produto",AND(AS62/(AC62/12)&gt;0,AS62/(AC62/12)&lt;=2),"Acabando",AND(AS62/(AC62/12)&gt;2,AS62/(AC62/12)&lt;=3),"Fazer Pedido",AND(AS62/(AC62/12)&gt;3,AS62/(AC62/12)&lt;=7),"OK",AND(AS62/(AC62/12)&gt;7,AS62/(AC62/12)&lt;=14),"Abaixar Preço",AND(AS62/(AC62/12)&gt;14,AS62/(AC62/12)&lt;=20),"Estabilizando",AS62/(AC62/12)&gt;20,"Instavel"),"Instavel")</f>
        <v>Instavel</v>
      </c>
      <c r="AL62" s="1" t="str" cm="1">
        <f t="array" ref="AL62">IFERROR(_xlfn.IFS(AT62="","Sem Produto",AND(AT62/(AD62/12)&gt;0,AT62/(AD62/12)&lt;=2),"Acabando",AND(AT62/(AD62/12)&gt;2,AT62/(AD62/12)&lt;=3),"Fazer Pedido",AND(AT62/(AD62/12)&gt;3,AT62/(AD62/12)&lt;=7),"OK",AND(AT62/(AD62/12)&gt;7,AT62/(AD62/12)&lt;=14),"Abaixar Preço",AND(AT62/(AD62/12)&gt;14,AT62/(AD62/12)&lt;=20),"Estabilizando",AT62/(AD62/12)&gt;20,"Instavel"),"Instavel")</f>
        <v>Estabilizando</v>
      </c>
      <c r="AM62" s="1" t="str" cm="1">
        <f t="array" ref="AM62">IFERROR(_xlfn.IFS(AU62="","Sem Produto",AND(AU62/(AE62/12)&gt;0,AU62/(AE62/12)&lt;=2),"Acabando",AND(AU62/(AE62/12)&gt;2,AU62/(AE62/12)&lt;=3),"Fazer Pedido",AND(AU62/(AE62/12)&gt;3,AU62/(AE62/12)&lt;=7),"OK",AND(AU62/(AE62/12)&gt;7,AU62/(AE62/12)&lt;=14),"Abaixar Preço",AND(AU62/(AE62/12)&gt;14,AU62/(AE62/12)&lt;=20),"Estabilizando",AU62/(AE62/12)&gt;20,"Instavel"),"Instavel")</f>
        <v>Abaixar Preço</v>
      </c>
      <c r="AN62" s="1" t="str">
        <f ca="1">IF(SUMIF(vendaAno[data],SituaçãoEstoqueFluxo[[#This Row],[data]],vendaAno[estoque])=0,"Algo errado",IF(AND(AX62/AW62&gt;0,AX62/AW62&lt;=1),"Alerta",IF(AND(AX62/AW62&gt;1,AX62/AW62&lt;=1.5),"Fazer pedido",IF(AND(AX62/AW62&gt;1.5,AX62/AW62&lt;=2),"Ok",IF(AND(AX62/AW62&gt;2,AX62/AW62&lt;=2.5),"Estabilizando",IF(AND(AX62/AW62&gt;2.5,AX62/AW62&lt;=3),"Cheio","Abaixar preço"))))))</f>
        <v>Abaixar preço</v>
      </c>
      <c r="AO62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62" s="116">
        <f t="shared" si="2"/>
        <v>46172</v>
      </c>
      <c r="AQ6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2.9166666666666665</v>
      </c>
      <c r="AR6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6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6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9.75</v>
      </c>
      <c r="AU6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4.5</v>
      </c>
      <c r="AV62" s="82" cm="1">
        <f t="array" aca="1" ref="AV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22.928571428571431</v>
      </c>
      <c r="AW62" s="82" cm="1">
        <f t="array" aca="1" ref="AW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62" s="82">
        <f>SUM(FluxoEstoqueDateTime[[#This Row],[OVO BRANCO A]:[OVO BRANCO JUMBO]])</f>
        <v>31</v>
      </c>
    </row>
    <row r="63" spans="1:50" x14ac:dyDescent="0.25">
      <c r="A63" s="4" t="s">
        <v>20</v>
      </c>
      <c r="B63" s="55" t="s">
        <v>10</v>
      </c>
      <c r="C63" s="5">
        <v>5</v>
      </c>
      <c r="D63" s="56">
        <v>19</v>
      </c>
      <c r="E63" s="56">
        <v>95</v>
      </c>
      <c r="F63" s="157">
        <v>46221</v>
      </c>
      <c r="G63" s="4" t="s">
        <v>92</v>
      </c>
      <c r="H63" s="4" t="s">
        <v>149</v>
      </c>
      <c r="I63" s="153">
        <v>19.7</v>
      </c>
      <c r="J63" s="12">
        <v>0.20739348370927316</v>
      </c>
      <c r="Z63" s="116">
        <f t="shared" si="0"/>
        <v>46171</v>
      </c>
      <c r="AA6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6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6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6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6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6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6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42.432788730919277</v>
      </c>
      <c r="AH63" s="116">
        <f t="shared" si="1"/>
        <v>46171</v>
      </c>
      <c r="AI63" s="1" t="str" cm="1">
        <f t="array" ref="AI63">IFERROR(_xlfn.IFS(AQ63="","Sem Produto",AND(AQ63/(AA63/12)&gt;0,AQ63/(AA63/12)&lt;=2),"Acabando",AND(AQ63/(AA63/12)&gt;2,AQ63/(AA63/12)&lt;=3),"Fazer Pedido",AND(AQ63/(AA63/12)&gt;3,AQ63/(AA63/12)&lt;=7),"OK",AND(AQ63/(AA63/12)&gt;7,AQ63/(AA63/12)&lt;=14),"Abaixar Preço",AND(AQ63/(AA63/12)&gt;14,AQ63/(AA63/12)&lt;=20),"Estabilizando",AQ63/(AA63/12)&gt;20,"Instavel"),"Instavel")</f>
        <v>Abaixar Preço</v>
      </c>
      <c r="AJ63" s="1" t="str" cm="1">
        <f t="array" ref="AJ63">IFERROR(_xlfn.IFS(AR63="","Sem Produto",AND(AR63/(AB63/12)&gt;0,AR63/(AB63/12)&lt;=2),"Acabando",AND(AR63/(AB63/12)&gt;2,AR63/(AB63/12)&lt;=3),"Fazer Pedido",AND(AR63/(AB63/12)&gt;3,AR63/(AB63/12)&lt;=7),"OK",AND(AR63/(AB63/12)&gt;7,AR63/(AB63/12)&lt;=14),"Abaixar Preço",AND(AR63/(AB63/12)&gt;14,AR63/(AB63/12)&lt;=20),"Estabilizando",AR63/(AB63/12)&gt;20,"Instavel"),"Instavel")</f>
        <v>Estabilizando</v>
      </c>
      <c r="AK63" s="1" t="str" cm="1">
        <f t="array" ref="AK63">IFERROR(_xlfn.IFS(AS63="","Sem Produto",AND(AS63/(AC63/12)&gt;0,AS63/(AC63/12)&lt;=2),"Acabando",AND(AS63/(AC63/12)&gt;2,AS63/(AC63/12)&lt;=3),"Fazer Pedido",AND(AS63/(AC63/12)&gt;3,AS63/(AC63/12)&lt;=7),"OK",AND(AS63/(AC63/12)&gt;7,AS63/(AC63/12)&lt;=14),"Abaixar Preço",AND(AS63/(AC63/12)&gt;14,AS63/(AC63/12)&lt;=20),"Estabilizando",AS63/(AC63/12)&gt;20,"Instavel"),"Instavel")</f>
        <v>Instavel</v>
      </c>
      <c r="AL63" s="1" t="str" cm="1">
        <f t="array" ref="AL63">IFERROR(_xlfn.IFS(AT63="","Sem Produto",AND(AT63/(AD63/12)&gt;0,AT63/(AD63/12)&lt;=2),"Acabando",AND(AT63/(AD63/12)&gt;2,AT63/(AD63/12)&lt;=3),"Fazer Pedido",AND(AT63/(AD63/12)&gt;3,AT63/(AD63/12)&lt;=7),"OK",AND(AT63/(AD63/12)&gt;7,AT63/(AD63/12)&lt;=14),"Abaixar Preço",AND(AT63/(AD63/12)&gt;14,AT63/(AD63/12)&lt;=20),"Estabilizando",AT63/(AD63/12)&gt;20,"Instavel"),"Instavel")</f>
        <v>Estabilizando</v>
      </c>
      <c r="AM63" s="1" t="str" cm="1">
        <f t="array" ref="AM63">IFERROR(_xlfn.IFS(AU63="","Sem Produto",AND(AU63/(AE63/12)&gt;0,AU63/(AE63/12)&lt;=2),"Acabando",AND(AU63/(AE63/12)&gt;2,AU63/(AE63/12)&lt;=3),"Fazer Pedido",AND(AU63/(AE63/12)&gt;3,AU63/(AE63/12)&lt;=7),"OK",AND(AU63/(AE63/12)&gt;7,AU63/(AE63/12)&lt;=14),"Abaixar Preço",AND(AU63/(AE63/12)&gt;14,AU63/(AE63/12)&lt;=20),"Estabilizando",AU63/(AE63/12)&gt;20,"Instavel"),"Instavel")</f>
        <v>Abaixar Preço</v>
      </c>
      <c r="AN63" s="1" t="str">
        <f ca="1">IF(SUMIF(vendaAno[data],SituaçãoEstoqueFluxo[[#This Row],[data]],vendaAno[estoque])=0,"Algo errado",IF(AND(AX63/AW63&gt;0,AX63/AW63&lt;=1),"Alerta",IF(AND(AX63/AW63&gt;1,AX63/AW63&lt;=1.5),"Fazer pedido",IF(AND(AX63/AW63&gt;1.5,AX63/AW63&lt;=2),"Ok",IF(AND(AX63/AW63&gt;2,AX63/AW63&lt;=2.5),"Estabilizando",IF(AND(AX63/AW63&gt;2.5,AX63/AW63&lt;=3),"Cheio","Abaixar preço"))))))</f>
        <v>Abaixar preço</v>
      </c>
      <c r="AO63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63" s="116">
        <f t="shared" si="2"/>
        <v>46171</v>
      </c>
      <c r="AQ6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5.083333333333333</v>
      </c>
      <c r="AR6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9.6666666666666661</v>
      </c>
      <c r="AS6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4.666666666666667</v>
      </c>
      <c r="AT6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6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5.333333333333333</v>
      </c>
      <c r="AV63" s="82" cm="1">
        <f t="array" aca="1" ref="AV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20.035714285714281</v>
      </c>
      <c r="AW63" s="82" cm="1">
        <f t="array" aca="1" ref="AW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63" s="82">
        <f>SUM(FluxoEstoqueDateTime[[#This Row],[OVO BRANCO A]:[OVO BRANCO JUMBO]])</f>
        <v>34.833333333333336</v>
      </c>
    </row>
    <row r="64" spans="1:50" x14ac:dyDescent="0.25">
      <c r="A64" s="4" t="s">
        <v>20</v>
      </c>
      <c r="B64" s="55" t="s">
        <v>13</v>
      </c>
      <c r="C64" s="5">
        <v>6</v>
      </c>
      <c r="D64" s="56">
        <v>20</v>
      </c>
      <c r="E64" s="56">
        <v>114</v>
      </c>
      <c r="F64" s="157">
        <v>46220</v>
      </c>
      <c r="G64" s="4" t="s">
        <v>83</v>
      </c>
      <c r="H64" s="4" t="s">
        <v>149</v>
      </c>
      <c r="I64" s="153">
        <v>20.99</v>
      </c>
      <c r="J64" s="12">
        <v>0.18409434181480194</v>
      </c>
      <c r="Z64" s="116">
        <f t="shared" si="0"/>
        <v>46170</v>
      </c>
      <c r="AA6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6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6.7142857142857144</v>
      </c>
      <c r="AC6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6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6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6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26.714285714285715</v>
      </c>
      <c r="AG6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41.16736098762923</v>
      </c>
      <c r="AH64" s="116">
        <f t="shared" si="1"/>
        <v>46170</v>
      </c>
      <c r="AI64" s="1" t="str" cm="1">
        <f t="array" ref="AI64">IFERROR(_xlfn.IFS(AQ64="","Sem Produto",AND(AQ64/(AA64/12)&gt;0,AQ64/(AA64/12)&lt;=2),"Acabando",AND(AQ64/(AA64/12)&gt;2,AQ64/(AA64/12)&lt;=3),"Fazer Pedido",AND(AQ64/(AA64/12)&gt;3,AQ64/(AA64/12)&lt;=7),"OK",AND(AQ64/(AA64/12)&gt;7,AQ64/(AA64/12)&lt;=14),"Abaixar Preço",AND(AQ64/(AA64/12)&gt;14,AQ64/(AA64/12)&lt;=20),"Estabilizando",AQ64/(AA64/12)&gt;20,"Instavel"),"Instavel")</f>
        <v>Abaixar Preço</v>
      </c>
      <c r="AJ64" s="1" t="str" cm="1">
        <f t="array" ref="AJ64">IFERROR(_xlfn.IFS(AR64="","Sem Produto",AND(AR64/(AB64/12)&gt;0,AR64/(AB64/12)&lt;=2),"Acabando",AND(AR64/(AB64/12)&gt;2,AR64/(AB64/12)&lt;=3),"Fazer Pedido",AND(AR64/(AB64/12)&gt;3,AR64/(AB64/12)&lt;=7),"OK",AND(AR64/(AB64/12)&gt;7,AR64/(AB64/12)&lt;=14),"Abaixar Preço",AND(AR64/(AB64/12)&gt;14,AR64/(AB64/12)&lt;=20),"Estabilizando",AR64/(AB64/12)&gt;20,"Instavel"),"Instavel")</f>
        <v>Estabilizando</v>
      </c>
      <c r="AK64" s="1" t="str" cm="1">
        <f t="array" ref="AK64">IFERROR(_xlfn.IFS(AS64="","Sem Produto",AND(AS64/(AC64/12)&gt;0,AS64/(AC64/12)&lt;=2),"Acabando",AND(AS64/(AC64/12)&gt;2,AS64/(AC64/12)&lt;=3),"Fazer Pedido",AND(AS64/(AC64/12)&gt;3,AS64/(AC64/12)&lt;=7),"OK",AND(AS64/(AC64/12)&gt;7,AS64/(AC64/12)&lt;=14),"Abaixar Preço",AND(AS64/(AC64/12)&gt;14,AS64/(AC64/12)&lt;=20),"Estabilizando",AS64/(AC64/12)&gt;20,"Instavel"),"Instavel")</f>
        <v>Instavel</v>
      </c>
      <c r="AL64" s="1" t="str" cm="1">
        <f t="array" ref="AL64">IFERROR(_xlfn.IFS(AT64="","Sem Produto",AND(AT64/(AD64/12)&gt;0,AT64/(AD64/12)&lt;=2),"Acabando",AND(AT64/(AD64/12)&gt;2,AT64/(AD64/12)&lt;=3),"Fazer Pedido",AND(AT64/(AD64/12)&gt;3,AT64/(AD64/12)&lt;=7),"OK",AND(AT64/(AD64/12)&gt;7,AT64/(AD64/12)&lt;=14),"Abaixar Preço",AND(AT64/(AD64/12)&gt;14,AT64/(AD64/12)&lt;=20),"Estabilizando",AT64/(AD64/12)&gt;20,"Instavel"),"Instavel")</f>
        <v>Instavel</v>
      </c>
      <c r="AM64" s="1" t="str" cm="1">
        <f t="array" ref="AM64">IFERROR(_xlfn.IFS(AU64="","Sem Produto",AND(AU64/(AE64/12)&gt;0,AU64/(AE64/12)&lt;=2),"Acabando",AND(AU64/(AE64/12)&gt;2,AU64/(AE64/12)&lt;=3),"Fazer Pedido",AND(AU64/(AE64/12)&gt;3,AU64/(AE64/12)&lt;=7),"OK",AND(AU64/(AE64/12)&gt;7,AU64/(AE64/12)&lt;=14),"Abaixar Preço",AND(AU64/(AE64/12)&gt;14,AU64/(AE64/12)&lt;=20),"Estabilizando",AU64/(AE64/12)&gt;20,"Instavel"),"Instavel")</f>
        <v>Abaixar Preço</v>
      </c>
      <c r="AN64" s="1" t="str">
        <f ca="1">IF(SUMIF(vendaAno[data],SituaçãoEstoqueFluxo[[#This Row],[data]],vendaAno[estoque])=0,"Algo errado",IF(AND(AX64/AW64&gt;0,AX64/AW64&lt;=1),"Alerta",IF(AND(AX64/AW64&gt;1,AX64/AW64&lt;=1.5),"Fazer pedido",IF(AND(AX64/AW64&gt;1.5,AX64/AW64&lt;=2),"Ok",IF(AND(AX64/AW64&gt;2,AX64/AW64&lt;=2.5),"Estabilizando",IF(AND(AX64/AW64&gt;2.5,AX64/AW64&lt;=3),"Cheio","Abaixar preço"))))))</f>
        <v>Abaixar preço</v>
      </c>
      <c r="AO64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64" s="116">
        <f t="shared" si="2"/>
        <v>46170</v>
      </c>
      <c r="AQ6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5.166666666666667</v>
      </c>
      <c r="AR6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9.8333333333333339</v>
      </c>
      <c r="AS6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4.75</v>
      </c>
      <c r="AT6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6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</v>
      </c>
      <c r="AV64" s="82" cm="1">
        <f t="array" aca="1" ref="AV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20.035714285714288</v>
      </c>
      <c r="AW64" s="82" cm="1">
        <f t="array" aca="1" ref="AW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6.6785714285714279</v>
      </c>
      <c r="AX64" s="82">
        <f>SUM(FluxoEstoqueDateTime[[#This Row],[OVO BRANCO A]:[OVO BRANCO JUMBO]])</f>
        <v>35.916666666666664</v>
      </c>
    </row>
    <row r="65" spans="1:50" x14ac:dyDescent="0.25">
      <c r="A65" s="4" t="s">
        <v>20</v>
      </c>
      <c r="B65" s="55" t="s">
        <v>14</v>
      </c>
      <c r="C65" s="5">
        <v>11</v>
      </c>
      <c r="D65" s="56">
        <v>23</v>
      </c>
      <c r="E65" s="56">
        <v>253</v>
      </c>
      <c r="F65" s="157">
        <v>46220</v>
      </c>
      <c r="G65" s="4" t="s">
        <v>83</v>
      </c>
      <c r="H65" s="4" t="s">
        <v>149</v>
      </c>
      <c r="I65" s="153">
        <v>74.239999999999995</v>
      </c>
      <c r="J65" s="12">
        <v>0.29343297101449278</v>
      </c>
      <c r="Z65" s="116">
        <f t="shared" si="0"/>
        <v>46169</v>
      </c>
      <c r="AA6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6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8.2857142857142865</v>
      </c>
      <c r="AC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5.8571428571428568</v>
      </c>
      <c r="AE6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6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26.428571428571427</v>
      </c>
      <c r="AG6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38.538146287527347</v>
      </c>
      <c r="AH65" s="116">
        <f t="shared" si="1"/>
        <v>46169</v>
      </c>
      <c r="AI65" s="1" t="str" cm="1">
        <f t="array" ref="AI65">IFERROR(_xlfn.IFS(AQ65="","Sem Produto",AND(AQ65/(AA65/12)&gt;0,AQ65/(AA65/12)&lt;=2),"Acabando",AND(AQ65/(AA65/12)&gt;2,AQ65/(AA65/12)&lt;=3),"Fazer Pedido",AND(AQ65/(AA65/12)&gt;3,AQ65/(AA65/12)&lt;=7),"OK",AND(AQ65/(AA65/12)&gt;7,AQ65/(AA65/12)&lt;=14),"Abaixar Preço",AND(AQ65/(AA65/12)&gt;14,AQ65/(AA65/12)&lt;=20),"Estabilizando",AQ65/(AA65/12)&gt;20,"Instavel"),"Instavel")</f>
        <v>Abaixar Preço</v>
      </c>
      <c r="AJ65" s="1" t="str" cm="1">
        <f t="array" ref="AJ65">IFERROR(_xlfn.IFS(AR65="","Sem Produto",AND(AR65/(AB65/12)&gt;0,AR65/(AB65/12)&lt;=2),"Acabando",AND(AR65/(AB65/12)&gt;2,AR65/(AB65/12)&lt;=3),"Fazer Pedido",AND(AR65/(AB65/12)&gt;3,AR65/(AB65/12)&lt;=7),"OK",AND(AR65/(AB65/12)&gt;7,AR65/(AB65/12)&lt;=14),"Abaixar Preço",AND(AR65/(AB65/12)&gt;14,AR65/(AB65/12)&lt;=20),"Estabilizando",AR65/(AB65/12)&gt;20,"Instavel"),"Instavel")</f>
        <v>Estabilizando</v>
      </c>
      <c r="AK65" s="1" t="str" cm="1">
        <f t="array" ref="AK65">IFERROR(_xlfn.IFS(AS65="","Sem Produto",AND(AS65/(AC65/12)&gt;0,AS65/(AC65/12)&lt;=2),"Acabando",AND(AS65/(AC65/12)&gt;2,AS65/(AC65/12)&lt;=3),"Fazer Pedido",AND(AS65/(AC65/12)&gt;3,AS65/(AC65/12)&lt;=7),"OK",AND(AS65/(AC65/12)&gt;7,AS65/(AC65/12)&lt;=14),"Abaixar Preço",AND(AS65/(AC65/12)&gt;14,AS65/(AC65/12)&lt;=20),"Estabilizando",AS65/(AC65/12)&gt;20,"Instavel"),"Instavel")</f>
        <v>Instavel</v>
      </c>
      <c r="AL65" s="1" t="str" cm="1">
        <f t="array" ref="AL65">IFERROR(_xlfn.IFS(AT65="","Sem Produto",AND(AT65/(AD65/12)&gt;0,AT65/(AD65/12)&lt;=2),"Acabando",AND(AT65/(AD65/12)&gt;2,AT65/(AD65/12)&lt;=3),"Fazer Pedido",AND(AT65/(AD65/12)&gt;3,AT65/(AD65/12)&lt;=7),"OK",AND(AT65/(AD65/12)&gt;7,AT65/(AD65/12)&lt;=14),"Abaixar Preço",AND(AT65/(AD65/12)&gt;14,AT65/(AD65/12)&lt;=20),"Estabilizando",AT65/(AD65/12)&gt;20,"Instavel"),"Instavel")</f>
        <v>Instavel</v>
      </c>
      <c r="AM65" s="1" t="str" cm="1">
        <f t="array" ref="AM65">IFERROR(_xlfn.IFS(AU65="","Sem Produto",AND(AU65/(AE65/12)&gt;0,AU65/(AE65/12)&lt;=2),"Acabando",AND(AU65/(AE65/12)&gt;2,AU65/(AE65/12)&lt;=3),"Fazer Pedido",AND(AU65/(AE65/12)&gt;3,AU65/(AE65/12)&lt;=7),"OK",AND(AU65/(AE65/12)&gt;7,AU65/(AE65/12)&lt;=14),"Abaixar Preço",AND(AU65/(AE65/12)&gt;14,AU65/(AE65/12)&lt;=20),"Estabilizando",AU65/(AE65/12)&gt;20,"Instavel"),"Instavel")</f>
        <v>Abaixar Preço</v>
      </c>
      <c r="AN65" s="1" t="str">
        <f ca="1">IF(SUMIF(vendaAno[data],SituaçãoEstoqueFluxo[[#This Row],[data]],vendaAno[estoque])=0,"Algo errado",IF(AND(AX65/AW65&gt;0,AX65/AW65&lt;=1),"Alerta",IF(AND(AX65/AW65&gt;1,AX65/AW65&lt;=1.5),"Fazer pedido",IF(AND(AX65/AW65&gt;1.5,AX65/AW65&lt;=2),"Ok",IF(AND(AX65/AW65&gt;2,AX65/AW65&lt;=2.5),"Estabilizando",IF(AND(AX65/AW65&gt;2.5,AX65/AW65&lt;=3),"Cheio","Abaixar preço"))))))</f>
        <v>Abaixar preço</v>
      </c>
      <c r="AO65" s="82">
        <f>SUMIFS(estoque[quantidade],estoque[fornecedor],"&lt;&gt;saída",estoque[data],SituaçãoEstoqueFluxo[[#This Row],[data]])-SUMIFS(estoque[quantidade],estoque[fornecedor],"saída",estoque[data],SituaçãoEstoqueFluxo[[#This Row],[data]])</f>
        <v>328</v>
      </c>
      <c r="AP65" s="116">
        <f t="shared" si="2"/>
        <v>46169</v>
      </c>
      <c r="AQ6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6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6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6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11.166666666666666</v>
      </c>
      <c r="AU6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</v>
      </c>
      <c r="AV65" s="82" cm="1">
        <f t="array" aca="1" ref="AV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19.821428571428573</v>
      </c>
      <c r="AW65" s="82" cm="1">
        <f t="array" aca="1" ref="AW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6.6071428571428568</v>
      </c>
      <c r="AX65" s="82">
        <f>SUM(FluxoEstoqueDateTime[[#This Row],[OVO BRANCO A]:[OVO BRANCO JUMBO]])</f>
        <v>38.75</v>
      </c>
    </row>
    <row r="66" spans="1:50" x14ac:dyDescent="0.25">
      <c r="A66" s="4" t="s">
        <v>20</v>
      </c>
      <c r="B66" s="55" t="s">
        <v>10</v>
      </c>
      <c r="C66" s="5">
        <v>2</v>
      </c>
      <c r="D66" s="56">
        <v>19</v>
      </c>
      <c r="E66" s="56">
        <v>38</v>
      </c>
      <c r="F66" s="157">
        <v>46220</v>
      </c>
      <c r="G66" s="4" t="s">
        <v>83</v>
      </c>
      <c r="H66" s="4" t="s">
        <v>149</v>
      </c>
      <c r="I66" s="153">
        <v>7.88</v>
      </c>
      <c r="J66" s="12">
        <v>0.20739348370927316</v>
      </c>
      <c r="Z66" s="116">
        <f t="shared" si="0"/>
        <v>46168</v>
      </c>
      <c r="AA6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6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6.4285714285714288</v>
      </c>
      <c r="AE6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6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6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37.535505349235599</v>
      </c>
      <c r="AH66" s="116">
        <f t="shared" si="1"/>
        <v>46168</v>
      </c>
      <c r="AI66" s="1" t="str" cm="1">
        <f t="array" ref="AI66">IFERROR(_xlfn.IFS(AQ66="","Sem Produto",AND(AQ66/(AA66/12)&gt;0,AQ66/(AA66/12)&lt;=2),"Acabando",AND(AQ66/(AA66/12)&gt;2,AQ66/(AA66/12)&lt;=3),"Fazer Pedido",AND(AQ66/(AA66/12)&gt;3,AQ66/(AA66/12)&lt;=7),"OK",AND(AQ66/(AA66/12)&gt;7,AQ66/(AA66/12)&lt;=14),"Abaixar Preço",AND(AQ66/(AA66/12)&gt;14,AQ66/(AA66/12)&lt;=20),"Estabilizando",AQ66/(AA66/12)&gt;20,"Instavel"),"Instavel")</f>
        <v>OK</v>
      </c>
      <c r="AJ66" s="1" t="str" cm="1">
        <f t="array" ref="AJ66">IFERROR(_xlfn.IFS(AR66="","Sem Produto",AND(AR66/(AB66/12)&gt;0,AR66/(AB66/12)&lt;=2),"Acabando",AND(AR66/(AB66/12)&gt;2,AR66/(AB66/12)&lt;=3),"Fazer Pedido",AND(AR66/(AB66/12)&gt;3,AR66/(AB66/12)&lt;=7),"OK",AND(AR66/(AB66/12)&gt;7,AR66/(AB66/12)&lt;=14),"Abaixar Preço",AND(AR66/(AB66/12)&gt;14,AR66/(AB66/12)&lt;=20),"Estabilizando",AR66/(AB66/12)&gt;20,"Instavel"),"Instavel")</f>
        <v>Sem Produto</v>
      </c>
      <c r="AK66" s="1" t="str" cm="1">
        <f t="array" ref="AK66">IFERROR(_xlfn.IFS(AS66="","Sem Produto",AND(AS66/(AC66/12)&gt;0,AS66/(AC66/12)&lt;=2),"Acabando",AND(AS66/(AC66/12)&gt;2,AS66/(AC66/12)&lt;=3),"Fazer Pedido",AND(AS66/(AC66/12)&gt;3,AS66/(AC66/12)&lt;=7),"OK",AND(AS66/(AC66/12)&gt;7,AS66/(AC66/12)&lt;=14),"Abaixar Preço",AND(AS66/(AC66/12)&gt;14,AS66/(AC66/12)&lt;=20),"Estabilizando",AS66/(AC66/12)&gt;20,"Instavel"),"Instavel")</f>
        <v>Sem Produto</v>
      </c>
      <c r="AL66" s="1" t="str" cm="1">
        <f t="array" ref="AL66">IFERROR(_xlfn.IFS(AT66="","Sem Produto",AND(AT66/(AD66/12)&gt;0,AT66/(AD66/12)&lt;=2),"Acabando",AND(AT66/(AD66/12)&gt;2,AT66/(AD66/12)&lt;=3),"Fazer Pedido",AND(AT66/(AD66/12)&gt;3,AT66/(AD66/12)&lt;=7),"OK",AND(AT66/(AD66/12)&gt;7,AT66/(AD66/12)&lt;=14),"Abaixar Preço",AND(AT66/(AD66/12)&gt;14,AT66/(AD66/12)&lt;=20),"Estabilizando",AT66/(AD66/12)&gt;20,"Instavel"),"Instavel")</f>
        <v>Abaixar Preço</v>
      </c>
      <c r="AM66" s="1" t="str" cm="1">
        <f t="array" ref="AM66">IFERROR(_xlfn.IFS(AU66="","Sem Produto",AND(AU66/(AE66/12)&gt;0,AU66/(AE66/12)&lt;=2),"Acabando",AND(AU66/(AE66/12)&gt;2,AU66/(AE66/12)&lt;=3),"Fazer Pedido",AND(AU66/(AE66/12)&gt;3,AU66/(AE66/12)&lt;=7),"OK",AND(AU66/(AE66/12)&gt;7,AU66/(AE66/12)&lt;=14),"Abaixar Preço",AND(AU66/(AE66/12)&gt;14,AU66/(AE66/12)&lt;=20),"Estabilizando",AU66/(AE66/12)&gt;20,"Instavel"),"Instavel")</f>
        <v>OK</v>
      </c>
      <c r="AN66" s="1" t="str">
        <f ca="1">IF(SUMIF(vendaAno[data],SituaçãoEstoqueFluxo[[#This Row],[data]],vendaAno[estoque])=0,"Algo errado",IF(AND(AX66/AW66&gt;0,AX66/AW66&lt;=1),"Alerta",IF(AND(AX66/AW66&gt;1,AX66/AW66&lt;=1.5),"Fazer pedido",IF(AND(AX66/AW66&gt;1.5,AX66/AW66&lt;=2),"Ok",IF(AND(AX66/AW66&gt;2,AX66/AW66&lt;=2.5),"Estabilizando",IF(AND(AX66/AW66&gt;2.5,AX66/AW66&lt;=3),"Cheio","Abaixar preço"))))))</f>
        <v>Ok</v>
      </c>
      <c r="AO66" s="82">
        <f>SUMIFS(estoque[quantidade],estoque[fornecedor],"&lt;&gt;saída",estoque[data],SituaçãoEstoqueFluxo[[#This Row],[data]])-SUMIFS(estoque[quantidade],estoque[fornecedor],"saída",estoque[data],SituaçãoEstoqueFluxo[[#This Row],[data]])</f>
        <v>-42</v>
      </c>
      <c r="AP66" s="116">
        <f t="shared" si="2"/>
        <v>46168</v>
      </c>
      <c r="AQ6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2.1666666666666665</v>
      </c>
      <c r="AR6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6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66" s="82" cm="1">
        <f t="array" aca="1" ref="AV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21.535714285714281</v>
      </c>
      <c r="AW66" s="82" cm="1">
        <f t="array" aca="1" ref="AW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66" s="82">
        <f>SUM(FluxoEstoqueDateTime[[#This Row],[OVO BRANCO A]:[OVO BRANCO JUMBO]])</f>
        <v>11.416666666666668</v>
      </c>
    </row>
    <row r="67" spans="1:50" x14ac:dyDescent="0.25">
      <c r="A67" s="4" t="s">
        <v>20</v>
      </c>
      <c r="B67" s="55" t="s">
        <v>14</v>
      </c>
      <c r="C67" s="5">
        <v>9</v>
      </c>
      <c r="D67" s="56">
        <v>23</v>
      </c>
      <c r="E67" s="56">
        <v>207</v>
      </c>
      <c r="F67" s="157">
        <v>46219</v>
      </c>
      <c r="G67" s="4" t="s">
        <v>294</v>
      </c>
      <c r="H67" s="4" t="s">
        <v>149</v>
      </c>
      <c r="I67" s="153">
        <v>60.74</v>
      </c>
      <c r="J67" s="12">
        <v>0.29343297101449278</v>
      </c>
      <c r="Z67" s="116">
        <f t="shared" si="0"/>
        <v>46167</v>
      </c>
      <c r="AA6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6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6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6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6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37.099507284768215</v>
      </c>
      <c r="AH67" s="116">
        <f t="shared" si="1"/>
        <v>46167</v>
      </c>
      <c r="AI67" s="1" t="str" cm="1">
        <f t="array" ref="AI67">IFERROR(_xlfn.IFS(AQ67="","Sem Produto",AND(AQ67/(AA67/12)&gt;0,AQ67/(AA67/12)&lt;=2),"Acabando",AND(AQ67/(AA67/12)&gt;2,AQ67/(AA67/12)&lt;=3),"Fazer Pedido",AND(AQ67/(AA67/12)&gt;3,AQ67/(AA67/12)&lt;=7),"OK",AND(AQ67/(AA67/12)&gt;7,AQ67/(AA67/12)&lt;=14),"Abaixar Preço",AND(AQ67/(AA67/12)&gt;14,AQ67/(AA67/12)&lt;=20),"Estabilizando",AQ67/(AA67/12)&gt;20,"Instavel"),"Instavel")</f>
        <v>OK</v>
      </c>
      <c r="AJ67" s="1" t="str" cm="1">
        <f t="array" ref="AJ67">IFERROR(_xlfn.IFS(AR67="","Sem Produto",AND(AR67/(AB67/12)&gt;0,AR67/(AB67/12)&lt;=2),"Acabando",AND(AR67/(AB67/12)&gt;2,AR67/(AB67/12)&lt;=3),"Fazer Pedido",AND(AR67/(AB67/12)&gt;3,AR67/(AB67/12)&lt;=7),"OK",AND(AR67/(AB67/12)&gt;7,AR67/(AB67/12)&lt;=14),"Abaixar Preço",AND(AR67/(AB67/12)&gt;14,AR67/(AB67/12)&lt;=20),"Estabilizando",AR67/(AB67/12)&gt;20,"Instavel"),"Instavel")</f>
        <v>Fazer Pedido</v>
      </c>
      <c r="AK67" s="1" t="str" cm="1">
        <f t="array" ref="AK67">IFERROR(_xlfn.IFS(AS67="","Sem Produto",AND(AS67/(AC67/12)&gt;0,AS67/(AC67/12)&lt;=2),"Acabando",AND(AS67/(AC67/12)&gt;2,AS67/(AC67/12)&lt;=3),"Fazer Pedido",AND(AS67/(AC67/12)&gt;3,AS67/(AC67/12)&lt;=7),"OK",AND(AS67/(AC67/12)&gt;7,AS67/(AC67/12)&lt;=14),"Abaixar Preço",AND(AS67/(AC67/12)&gt;14,AS67/(AC67/12)&lt;=20),"Estabilizando",AS67/(AC67/12)&gt;20,"Instavel"),"Instavel")</f>
        <v>Sem Produto</v>
      </c>
      <c r="AL67" s="1" t="str" cm="1">
        <f t="array" ref="AL67">IFERROR(_xlfn.IFS(AT67="","Sem Produto",AND(AT67/(AD67/12)&gt;0,AT67/(AD67/12)&lt;=2),"Acabando",AND(AT67/(AD67/12)&gt;2,AT67/(AD67/12)&lt;=3),"Fazer Pedido",AND(AT67/(AD67/12)&gt;3,AT67/(AD67/12)&lt;=7),"OK",AND(AT67/(AD67/12)&gt;7,AT67/(AD67/12)&lt;=14),"Abaixar Preço",AND(AT67/(AD67/12)&gt;14,AT67/(AD67/12)&lt;=20),"Estabilizando",AT67/(AD67/12)&gt;20,"Instavel"),"Instavel")</f>
        <v>Estabilizando</v>
      </c>
      <c r="AM67" s="1" t="str" cm="1">
        <f t="array" ref="AM67">IFERROR(_xlfn.IFS(AU67="","Sem Produto",AND(AU67/(AE67/12)&gt;0,AU67/(AE67/12)&lt;=2),"Acabando",AND(AU67/(AE67/12)&gt;2,AU67/(AE67/12)&lt;=3),"Fazer Pedido",AND(AU67/(AE67/12)&gt;3,AU67/(AE67/12)&lt;=7),"OK",AND(AU67/(AE67/12)&gt;7,AU67/(AE67/12)&lt;=14),"Abaixar Preço",AND(AU67/(AE67/12)&gt;14,AU67/(AE67/12)&lt;=20),"Estabilizando",AU67/(AE67/12)&gt;20,"Instavel"),"Instavel")</f>
        <v>OK</v>
      </c>
      <c r="AN67" s="1" t="str">
        <f ca="1">IF(SUMIF(vendaAno[data],SituaçãoEstoqueFluxo[[#This Row],[data]],vendaAno[estoque])=0,"Algo errado",IF(AND(AX67/AW67&gt;0,AX67/AW67&lt;=1),"Alerta",IF(AND(AX67/AW67&gt;1,AX67/AW67&lt;=1.5),"Fazer pedido",IF(AND(AX67/AW67&gt;1.5,AX67/AW67&lt;=2),"Ok",IF(AND(AX67/AW67&gt;2,AX67/AW67&lt;=2.5),"Estabilizando",IF(AND(AX67/AW67&gt;2.5,AX67/AW67&lt;=3),"Cheio","Abaixar preço"))))))</f>
        <v>Estabilizando</v>
      </c>
      <c r="AO67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67" s="116">
        <f t="shared" si="2"/>
        <v>46167</v>
      </c>
      <c r="AQ6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</v>
      </c>
      <c r="AR6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</v>
      </c>
      <c r="AS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7.833333333333333</v>
      </c>
      <c r="AU6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2.5833333333333335</v>
      </c>
      <c r="AV67" s="82" cm="1">
        <f t="array" aca="1" ref="AV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21.642857142857139</v>
      </c>
      <c r="AW67" s="82" cm="1">
        <f t="array" aca="1" ref="AW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67" s="82">
        <f>SUM(FluxoEstoqueDateTime[[#This Row],[OVO BRANCO A]:[OVO BRANCO JUMBO]])</f>
        <v>14.916666666666666</v>
      </c>
    </row>
    <row r="68" spans="1:50" x14ac:dyDescent="0.25">
      <c r="A68" s="4" t="s">
        <v>20</v>
      </c>
      <c r="B68" s="55" t="s">
        <v>13</v>
      </c>
      <c r="C68" s="5">
        <v>15</v>
      </c>
      <c r="D68" s="56">
        <v>20</v>
      </c>
      <c r="E68" s="56">
        <v>300</v>
      </c>
      <c r="F68" s="157">
        <v>46219</v>
      </c>
      <c r="G68" s="4" t="s">
        <v>294</v>
      </c>
      <c r="H68" s="4" t="s">
        <v>149</v>
      </c>
      <c r="I68" s="153">
        <v>67.47</v>
      </c>
      <c r="J68" s="12">
        <v>0.22488962472406185</v>
      </c>
      <c r="Z68" s="116">
        <f t="shared" ref="Z68:Z131" si="4">Z67-1</f>
        <v>46166</v>
      </c>
      <c r="AA6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6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6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6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6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6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36.517507875251958</v>
      </c>
      <c r="AH68" s="116">
        <f t="shared" ref="AH68:AH131" si="5">AH67-1</f>
        <v>46166</v>
      </c>
      <c r="AI68" s="1" t="str" cm="1">
        <f t="array" ref="AI68">IFERROR(_xlfn.IFS(AQ68="","Sem Produto",AND(AQ68/(AA68/12)&gt;0,AQ68/(AA68/12)&lt;=2),"Acabando",AND(AQ68/(AA68/12)&gt;2,AQ68/(AA68/12)&lt;=3),"Fazer Pedido",AND(AQ68/(AA68/12)&gt;3,AQ68/(AA68/12)&lt;=7),"OK",AND(AQ68/(AA68/12)&gt;7,AQ68/(AA68/12)&lt;=14),"Abaixar Preço",AND(AQ68/(AA68/12)&gt;14,AQ68/(AA68/12)&lt;=20),"Estabilizando",AQ68/(AA68/12)&gt;20,"Instavel"),"Instavel")</f>
        <v>OK</v>
      </c>
      <c r="AJ68" s="1" t="str" cm="1">
        <f t="array" ref="AJ68">IFERROR(_xlfn.IFS(AR68="","Sem Produto",AND(AR68/(AB68/12)&gt;0,AR68/(AB68/12)&lt;=2),"Acabando",AND(AR68/(AB68/12)&gt;2,AR68/(AB68/12)&lt;=3),"Fazer Pedido",AND(AR68/(AB68/12)&gt;3,AR68/(AB68/12)&lt;=7),"OK",AND(AR68/(AB68/12)&gt;7,AR68/(AB68/12)&lt;=14),"Abaixar Preço",AND(AR68/(AB68/12)&gt;14,AR68/(AB68/12)&lt;=20),"Estabilizando",AR68/(AB68/12)&gt;20,"Instavel"),"Instavel")</f>
        <v>Fazer Pedido</v>
      </c>
      <c r="AK68" s="1" t="str" cm="1">
        <f t="array" ref="AK68">IFERROR(_xlfn.IFS(AS68="","Sem Produto",AND(AS68/(AC68/12)&gt;0,AS68/(AC68/12)&lt;=2),"Acabando",AND(AS68/(AC68/12)&gt;2,AS68/(AC68/12)&lt;=3),"Fazer Pedido",AND(AS68/(AC68/12)&gt;3,AS68/(AC68/12)&lt;=7),"OK",AND(AS68/(AC68/12)&gt;7,AS68/(AC68/12)&lt;=14),"Abaixar Preço",AND(AS68/(AC68/12)&gt;14,AS68/(AC68/12)&lt;=20),"Estabilizando",AS68/(AC68/12)&gt;20,"Instavel"),"Instavel")</f>
        <v>Sem Produto</v>
      </c>
      <c r="AL68" s="1" t="str" cm="1">
        <f t="array" ref="AL68">IFERROR(_xlfn.IFS(AT68="","Sem Produto",AND(AT68/(AD68/12)&gt;0,AT68/(AD68/12)&lt;=2),"Acabando",AND(AT68/(AD68/12)&gt;2,AT68/(AD68/12)&lt;=3),"Fazer Pedido",AND(AT68/(AD68/12)&gt;3,AT68/(AD68/12)&lt;=7),"OK",AND(AT68/(AD68/12)&gt;7,AT68/(AD68/12)&lt;=14),"Abaixar Preço",AND(AT68/(AD68/12)&gt;14,AT68/(AD68/12)&lt;=20),"Estabilizando",AT68/(AD68/12)&gt;20,"Instavel"),"Instavel")</f>
        <v>Estabilizando</v>
      </c>
      <c r="AM68" s="1" t="str" cm="1">
        <f t="array" ref="AM68">IFERROR(_xlfn.IFS(AU68="","Sem Produto",AND(AU68/(AE68/12)&gt;0,AU68/(AE68/12)&lt;=2),"Acabando",AND(AU68/(AE68/12)&gt;2,AU68/(AE68/12)&lt;=3),"Fazer Pedido",AND(AU68/(AE68/12)&gt;3,AU68/(AE68/12)&lt;=7),"OK",AND(AU68/(AE68/12)&gt;7,AU68/(AE68/12)&lt;=14),"Abaixar Preço",AND(AU68/(AE68/12)&gt;14,AU68/(AE68/12)&lt;=20),"Estabilizando",AU68/(AE68/12)&gt;20,"Instavel"),"Instavel")</f>
        <v>OK</v>
      </c>
      <c r="AN68" s="1" t="str">
        <f ca="1">IF(SUMIF(vendaAno[data],SituaçãoEstoqueFluxo[[#This Row],[data]],vendaAno[estoque])=0,"Algo errado",IF(AND(AX68/AW68&gt;0,AX68/AW68&lt;=1),"Alerta",IF(AND(AX68/AW68&gt;1,AX68/AW68&lt;=1.5),"Fazer pedido",IF(AND(AX68/AW68&gt;1.5,AX68/AW68&lt;=2),"Ok",IF(AND(AX68/AW68&gt;2,AX68/AW68&lt;=2.5),"Estabilizando",IF(AND(AX68/AW68&gt;2.5,AX68/AW68&lt;=3),"Cheio","Abaixar preço"))))))</f>
        <v>Estabilizando</v>
      </c>
      <c r="AO68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68" s="116">
        <f t="shared" ref="AP68:AP131" si="6">AP67-1</f>
        <v>46166</v>
      </c>
      <c r="AQ6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3.1666666666666665</v>
      </c>
      <c r="AR6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2.1666666666666665</v>
      </c>
      <c r="AS6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8.1666666666666661</v>
      </c>
      <c r="AU6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3.3333333333333335</v>
      </c>
      <c r="AV68" s="82" cm="1">
        <f t="array" aca="1" ref="AV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22.285714285714281</v>
      </c>
      <c r="AW68" s="82" cm="1">
        <f t="array" aca="1" ref="AW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68" s="82">
        <f>SUM(FluxoEstoqueDateTime[[#This Row],[OVO BRANCO A]:[OVO BRANCO JUMBO]])</f>
        <v>16.833333333333332</v>
      </c>
    </row>
    <row r="69" spans="1:50" x14ac:dyDescent="0.25">
      <c r="A69" s="4" t="s">
        <v>20</v>
      </c>
      <c r="B69" s="55" t="s">
        <v>11</v>
      </c>
      <c r="C69" s="5">
        <v>2</v>
      </c>
      <c r="D69" s="56">
        <v>18</v>
      </c>
      <c r="E69" s="56">
        <v>36</v>
      </c>
      <c r="F69" s="157">
        <v>46219</v>
      </c>
      <c r="G69" s="4" t="s">
        <v>294</v>
      </c>
      <c r="H69" s="4" t="s">
        <v>149</v>
      </c>
      <c r="I69" s="153">
        <v>6.83</v>
      </c>
      <c r="J69" s="12">
        <v>0.18976373125963311</v>
      </c>
      <c r="Z69" s="116">
        <f t="shared" si="4"/>
        <v>46165</v>
      </c>
      <c r="AA6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6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6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6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5.8571428571428568</v>
      </c>
      <c r="AE6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6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28.285714285714285</v>
      </c>
      <c r="AG6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35.148492948658863</v>
      </c>
      <c r="AH69" s="116">
        <f t="shared" si="5"/>
        <v>46165</v>
      </c>
      <c r="AI69" s="1" t="str" cm="1">
        <f t="array" ref="AI69">IFERROR(_xlfn.IFS(AQ69="","Sem Produto",AND(AQ69/(AA69/12)&gt;0,AQ69/(AA69/12)&lt;=2),"Acabando",AND(AQ69/(AA69/12)&gt;2,AQ69/(AA69/12)&lt;=3),"Fazer Pedido",AND(AQ69/(AA69/12)&gt;3,AQ69/(AA69/12)&lt;=7),"OK",AND(AQ69/(AA69/12)&gt;7,AQ69/(AA69/12)&lt;=14),"Abaixar Preço",AND(AQ69/(AA69/12)&gt;14,AQ69/(AA69/12)&lt;=20),"Estabilizando",AQ69/(AA69/12)&gt;20,"Instavel"),"Instavel")</f>
        <v>Abaixar Preço</v>
      </c>
      <c r="AJ69" s="1" t="str" cm="1">
        <f t="array" ref="AJ69">IFERROR(_xlfn.IFS(AR69="","Sem Produto",AND(AR69/(AB69/12)&gt;0,AR69/(AB69/12)&lt;=2),"Acabando",AND(AR69/(AB69/12)&gt;2,AR69/(AB69/12)&lt;=3),"Fazer Pedido",AND(AR69/(AB69/12)&gt;3,AR69/(AB69/12)&lt;=7),"OK",AND(AR69/(AB69/12)&gt;7,AR69/(AB69/12)&lt;=14),"Abaixar Preço",AND(AR69/(AB69/12)&gt;14,AR69/(AB69/12)&lt;=20),"Estabilizando",AR69/(AB69/12)&gt;20,"Instavel"),"Instavel")</f>
        <v>OK</v>
      </c>
      <c r="AK69" s="1" t="str" cm="1">
        <f t="array" ref="AK69">IFERROR(_xlfn.IFS(AS69="","Sem Produto",AND(AS69/(AC69/12)&gt;0,AS69/(AC69/12)&lt;=2),"Acabando",AND(AS69/(AC69/12)&gt;2,AS69/(AC69/12)&lt;=3),"Fazer Pedido",AND(AS69/(AC69/12)&gt;3,AS69/(AC69/12)&lt;=7),"OK",AND(AS69/(AC69/12)&gt;7,AS69/(AC69/12)&lt;=14),"Abaixar Preço",AND(AS69/(AC69/12)&gt;14,AS69/(AC69/12)&lt;=20),"Estabilizando",AS69/(AC69/12)&gt;20,"Instavel"),"Instavel")</f>
        <v>Sem Produto</v>
      </c>
      <c r="AL69" s="1" t="str" cm="1">
        <f t="array" ref="AL69">IFERROR(_xlfn.IFS(AT69="","Sem Produto",AND(AT69/(AD69/12)&gt;0,AT69/(AD69/12)&lt;=2),"Acabando",AND(AT69/(AD69/12)&gt;2,AT69/(AD69/12)&lt;=3),"Fazer Pedido",AND(AT69/(AD69/12)&gt;3,AT69/(AD69/12)&lt;=7),"OK",AND(AT69/(AD69/12)&gt;7,AT69/(AD69/12)&lt;=14),"Abaixar Preço",AND(AT69/(AD69/12)&gt;14,AT69/(AD69/12)&lt;=20),"Estabilizando",AT69/(AD69/12)&gt;20,"Instavel"),"Instavel")</f>
        <v>Estabilizando</v>
      </c>
      <c r="AM69" s="1" t="str" cm="1">
        <f t="array" ref="AM69">IFERROR(_xlfn.IFS(AU69="","Sem Produto",AND(AU69/(AE69/12)&gt;0,AU69/(AE69/12)&lt;=2),"Acabando",AND(AU69/(AE69/12)&gt;2,AU69/(AE69/12)&lt;=3),"Fazer Pedido",AND(AU69/(AE69/12)&gt;3,AU69/(AE69/12)&lt;=7),"OK",AND(AU69/(AE69/12)&gt;7,AU69/(AE69/12)&lt;=14),"Abaixar Preço",AND(AU69/(AE69/12)&gt;14,AU69/(AE69/12)&lt;=20),"Estabilizando",AU69/(AE69/12)&gt;20,"Instavel"),"Instavel")</f>
        <v>OK</v>
      </c>
      <c r="AN69" s="1" t="str">
        <f ca="1">IF(SUMIF(vendaAno[data],SituaçãoEstoqueFluxo[[#This Row],[data]],vendaAno[estoque])=0,"Algo errado",IF(AND(AX69/AW69&gt;0,AX69/AW69&lt;=1),"Alerta",IF(AND(AX69/AW69&gt;1,AX69/AW69&lt;=1.5),"Fazer pedido",IF(AND(AX69/AW69&gt;1.5,AX69/AW69&lt;=2),"Ok",IF(AND(AX69/AW69&gt;2,AX69/AW69&lt;=2.5),"Estabilizando",IF(AND(AX69/AW69&gt;2.5,AX69/AW69&lt;=3),"Cheio","Abaixar preço"))))))</f>
        <v>Cheio</v>
      </c>
      <c r="AO69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69" s="116">
        <f t="shared" si="6"/>
        <v>46165</v>
      </c>
      <c r="AQ6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6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2.9166666666666665</v>
      </c>
      <c r="AS6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6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6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3.9166666666666665</v>
      </c>
      <c r="AV69" s="82" cm="1">
        <f t="array" aca="1" ref="AV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21.214285714285715</v>
      </c>
      <c r="AW69" s="82" cm="1">
        <f t="array" aca="1" ref="AW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7.0714285714285721</v>
      </c>
      <c r="AX69" s="82">
        <f>SUM(FluxoEstoqueDateTime[[#This Row],[OVO BRANCO A]:[OVO BRANCO JUMBO]])</f>
        <v>19.833333333333332</v>
      </c>
    </row>
    <row r="70" spans="1:50" x14ac:dyDescent="0.25">
      <c r="A70" s="4" t="s">
        <v>20</v>
      </c>
      <c r="B70" s="55" t="s">
        <v>10</v>
      </c>
      <c r="C70" s="5">
        <v>7</v>
      </c>
      <c r="D70" s="56">
        <v>19</v>
      </c>
      <c r="E70" s="56">
        <v>133</v>
      </c>
      <c r="F70" s="157">
        <v>46219</v>
      </c>
      <c r="G70" s="4" t="s">
        <v>294</v>
      </c>
      <c r="H70" s="4" t="s">
        <v>149</v>
      </c>
      <c r="I70" s="153">
        <v>27.58</v>
      </c>
      <c r="J70" s="12">
        <v>0.20739348370927316</v>
      </c>
      <c r="Z70" s="116">
        <f t="shared" si="4"/>
        <v>46164</v>
      </c>
      <c r="AA7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7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7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7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7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7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36.168378812199037</v>
      </c>
      <c r="AH70" s="116">
        <f t="shared" si="5"/>
        <v>46164</v>
      </c>
      <c r="AI70" s="1" t="str" cm="1">
        <f t="array" ref="AI70">IFERROR(_xlfn.IFS(AQ70="","Sem Produto",AND(AQ70/(AA70/12)&gt;0,AQ70/(AA70/12)&lt;=2),"Acabando",AND(AQ70/(AA70/12)&gt;2,AQ70/(AA70/12)&lt;=3),"Fazer Pedido",AND(AQ70/(AA70/12)&gt;3,AQ70/(AA70/12)&lt;=7),"OK",AND(AQ70/(AA70/12)&gt;7,AQ70/(AA70/12)&lt;=14),"Abaixar Preço",AND(AQ70/(AA70/12)&gt;14,AQ70/(AA70/12)&lt;=20),"Estabilizando",AQ70/(AA70/12)&gt;20,"Instavel"),"Instavel")</f>
        <v>Abaixar Preço</v>
      </c>
      <c r="AJ70" s="1" t="str" cm="1">
        <f t="array" ref="AJ70">IFERROR(_xlfn.IFS(AR70="","Sem Produto",AND(AR70/(AB70/12)&gt;0,AR70/(AB70/12)&lt;=2),"Acabando",AND(AR70/(AB70/12)&gt;2,AR70/(AB70/12)&lt;=3),"Fazer Pedido",AND(AR70/(AB70/12)&gt;3,AR70/(AB70/12)&lt;=7),"OK",AND(AR70/(AB70/12)&gt;7,AR70/(AB70/12)&lt;=14),"Abaixar Preço",AND(AR70/(AB70/12)&gt;14,AR70/(AB70/12)&lt;=20),"Estabilizando",AR70/(AB70/12)&gt;20,"Instavel"),"Instavel")</f>
        <v>OK</v>
      </c>
      <c r="AK70" s="1" t="str" cm="1">
        <f t="array" ref="AK70">IFERROR(_xlfn.IFS(AS70="","Sem Produto",AND(AS70/(AC70/12)&gt;0,AS70/(AC70/12)&lt;=2),"Acabando",AND(AS70/(AC70/12)&gt;2,AS70/(AC70/12)&lt;=3),"Fazer Pedido",AND(AS70/(AC70/12)&gt;3,AS70/(AC70/12)&lt;=7),"OK",AND(AS70/(AC70/12)&gt;7,AS70/(AC70/12)&lt;=14),"Abaixar Preço",AND(AS70/(AC70/12)&gt;14,AS70/(AC70/12)&lt;=20),"Estabilizando",AS70/(AC70/12)&gt;20,"Instavel"),"Instavel")</f>
        <v>Sem Produto</v>
      </c>
      <c r="AL70" s="1" t="str" cm="1">
        <f t="array" ref="AL70">IFERROR(_xlfn.IFS(AT70="","Sem Produto",AND(AT70/(AD70/12)&gt;0,AT70/(AD70/12)&lt;=2),"Acabando",AND(AT70/(AD70/12)&gt;2,AT70/(AD70/12)&lt;=3),"Fazer Pedido",AND(AT70/(AD70/12)&gt;3,AT70/(AD70/12)&lt;=7),"OK",AND(AT70/(AD70/12)&gt;7,AT70/(AD70/12)&lt;=14),"Abaixar Preço",AND(AT70/(AD70/12)&gt;14,AT70/(AD70/12)&lt;=20),"Estabilizando",AT70/(AD70/12)&gt;20,"Instavel"),"Instavel")</f>
        <v>Instavel</v>
      </c>
      <c r="AM70" s="1" t="str" cm="1">
        <f t="array" ref="AM70">IFERROR(_xlfn.IFS(AU70="","Sem Produto",AND(AU70/(AE70/12)&gt;0,AU70/(AE70/12)&lt;=2),"Acabando",AND(AU70/(AE70/12)&gt;2,AU70/(AE70/12)&lt;=3),"Fazer Pedido",AND(AU70/(AE70/12)&gt;3,AU70/(AE70/12)&lt;=7),"OK",AND(AU70/(AE70/12)&gt;7,AU70/(AE70/12)&lt;=14),"Abaixar Preço",AND(AU70/(AE70/12)&gt;14,AU70/(AE70/12)&lt;=20),"Estabilizando",AU70/(AE70/12)&gt;20,"Instavel"),"Instavel")</f>
        <v>Abaixar Preço</v>
      </c>
      <c r="AN70" s="1" t="str">
        <f ca="1">IF(SUMIF(vendaAno[data],SituaçãoEstoqueFluxo[[#This Row],[data]],vendaAno[estoque])=0,"Algo errado",IF(AND(AX70/AW70&gt;0,AX70/AW70&lt;=1),"Alerta",IF(AND(AX70/AW70&gt;1,AX70/AW70&lt;=1.5),"Fazer pedido",IF(AND(AX70/AW70&gt;1.5,AX70/AW70&lt;=2),"Ok",IF(AND(AX70/AW70&gt;2,AX70/AW70&lt;=2.5),"Estabilizando",IF(AND(AX70/AW70&gt;2.5,AX70/AW70&lt;=3),"Cheio","Abaixar preço"))))))</f>
        <v>Abaixar preço</v>
      </c>
      <c r="AO70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70" s="116">
        <f t="shared" si="6"/>
        <v>46164</v>
      </c>
      <c r="AQ7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4.666666666666667</v>
      </c>
      <c r="AR7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3.4166666666666665</v>
      </c>
      <c r="AS7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</v>
      </c>
      <c r="AU7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70" s="82" cm="1">
        <f t="array" aca="1" ref="AV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70" s="82" cm="1">
        <f t="array" aca="1" ref="AW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70" s="82">
        <f>SUM(FluxoEstoqueDateTime[[#This Row],[OVO BRANCO A]:[OVO BRANCO JUMBO]])</f>
        <v>21.416666666666668</v>
      </c>
    </row>
    <row r="71" spans="1:50" x14ac:dyDescent="0.25">
      <c r="A71" s="4" t="s">
        <v>20</v>
      </c>
      <c r="B71" s="55" t="s">
        <v>14</v>
      </c>
      <c r="C71" s="5">
        <v>1</v>
      </c>
      <c r="D71" s="56">
        <v>23</v>
      </c>
      <c r="E71" s="56">
        <v>0</v>
      </c>
      <c r="F71" s="157">
        <v>46219</v>
      </c>
      <c r="G71" s="4" t="s">
        <v>294</v>
      </c>
      <c r="H71" s="4" t="s">
        <v>149</v>
      </c>
      <c r="I71" s="153">
        <v>-16.25</v>
      </c>
      <c r="J71" s="12">
        <v>0</v>
      </c>
      <c r="Z71" s="116">
        <f t="shared" si="4"/>
        <v>46163</v>
      </c>
      <c r="AA7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7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7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7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7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31.714285714285715</v>
      </c>
      <c r="AG7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37.068078260618265</v>
      </c>
      <c r="AH71" s="116">
        <f t="shared" si="5"/>
        <v>46163</v>
      </c>
      <c r="AI71" s="1" t="str" cm="1">
        <f t="array" ref="AI71">IFERROR(_xlfn.IFS(AQ71="","Sem Produto",AND(AQ71/(AA71/12)&gt;0,AQ71/(AA71/12)&lt;=2),"Acabando",AND(AQ71/(AA71/12)&gt;2,AQ71/(AA71/12)&lt;=3),"Fazer Pedido",AND(AQ71/(AA71/12)&gt;3,AQ71/(AA71/12)&lt;=7),"OK",AND(AQ71/(AA71/12)&gt;7,AQ71/(AA71/12)&lt;=14),"Abaixar Preço",AND(AQ71/(AA71/12)&gt;14,AQ71/(AA71/12)&lt;=20),"Estabilizando",AQ71/(AA71/12)&gt;20,"Instavel"),"Instavel")</f>
        <v>Abaixar Preço</v>
      </c>
      <c r="AJ71" s="1" t="str" cm="1">
        <f t="array" ref="AJ71">IFERROR(_xlfn.IFS(AR71="","Sem Produto",AND(AR71/(AB71/12)&gt;0,AR71/(AB71/12)&lt;=2),"Acabando",AND(AR71/(AB71/12)&gt;2,AR71/(AB71/12)&lt;=3),"Fazer Pedido",AND(AR71/(AB71/12)&gt;3,AR71/(AB71/12)&lt;=7),"OK",AND(AR71/(AB71/12)&gt;7,AR71/(AB71/12)&lt;=14),"Abaixar Preço",AND(AR71/(AB71/12)&gt;14,AR71/(AB71/12)&lt;=20),"Estabilizando",AR71/(AB71/12)&gt;20,"Instavel"),"Instavel")</f>
        <v>OK</v>
      </c>
      <c r="AK71" s="1" t="str" cm="1">
        <f t="array" ref="AK71">IFERROR(_xlfn.IFS(AS71="","Sem Produto",AND(AS71/(AC71/12)&gt;0,AS71/(AC71/12)&lt;=2),"Acabando",AND(AS71/(AC71/12)&gt;2,AS71/(AC71/12)&lt;=3),"Fazer Pedido",AND(AS71/(AC71/12)&gt;3,AS71/(AC71/12)&lt;=7),"OK",AND(AS71/(AC71/12)&gt;7,AS71/(AC71/12)&lt;=14),"Abaixar Preço",AND(AS71/(AC71/12)&gt;14,AS71/(AC71/12)&lt;=20),"Estabilizando",AS71/(AC71/12)&gt;20,"Instavel"),"Instavel")</f>
        <v>Sem Produto</v>
      </c>
      <c r="AL71" s="1" t="str" cm="1">
        <f t="array" ref="AL71">IFERROR(_xlfn.IFS(AT71="","Sem Produto",AND(AT71/(AD71/12)&gt;0,AT71/(AD71/12)&lt;=2),"Acabando",AND(AT71/(AD71/12)&gt;2,AT71/(AD71/12)&lt;=3),"Fazer Pedido",AND(AT71/(AD71/12)&gt;3,AT71/(AD71/12)&lt;=7),"OK",AND(AT71/(AD71/12)&gt;7,AT71/(AD71/12)&lt;=14),"Abaixar Preço",AND(AT71/(AD71/12)&gt;14,AT71/(AD71/12)&lt;=20),"Estabilizando",AT71/(AD71/12)&gt;20,"Instavel"),"Instavel")</f>
        <v>Estabilizando</v>
      </c>
      <c r="AM71" s="1" t="str" cm="1">
        <f t="array" ref="AM71">IFERROR(_xlfn.IFS(AU71="","Sem Produto",AND(AU71/(AE71/12)&gt;0,AU71/(AE71/12)&lt;=2),"Acabando",AND(AU71/(AE71/12)&gt;2,AU71/(AE71/12)&lt;=3),"Fazer Pedido",AND(AU71/(AE71/12)&gt;3,AU71/(AE71/12)&lt;=7),"OK",AND(AU71/(AE71/12)&gt;7,AU71/(AE71/12)&lt;=14),"Abaixar Preço",AND(AU71/(AE71/12)&gt;14,AU71/(AE71/12)&lt;=20),"Estabilizando",AU71/(AE71/12)&gt;20,"Instavel"),"Instavel")</f>
        <v>Abaixar Preço</v>
      </c>
      <c r="AN71" s="1" t="str">
        <f ca="1">IF(SUMIF(vendaAno[data],SituaçãoEstoqueFluxo[[#This Row],[data]],vendaAno[estoque])=0,"Algo errado",IF(AND(AX71/AW71&gt;0,AX71/AW71&lt;=1),"Alerta",IF(AND(AX71/AW71&gt;1,AX71/AW71&lt;=1.5),"Fazer pedido",IF(AND(AX71/AW71&gt;1.5,AX71/AW71&lt;=2),"Ok",IF(AND(AX71/AW71&gt;2,AX71/AW71&lt;=2.5),"Estabilizando",IF(AND(AX71/AW71&gt;2.5,AX71/AW71&lt;=3),"Cheio","Abaixar preço"))))))</f>
        <v>Cheio</v>
      </c>
      <c r="AO71" s="82">
        <f>SUMIFS(estoque[quantidade],estoque[fornecedor],"&lt;&gt;saída",estoque[data],SituaçãoEstoqueFluxo[[#This Row],[data]])-SUMIFS(estoque[quantidade],estoque[fornecedor],"saída",estoque[data],SituaçãoEstoqueFluxo[[#This Row],[data]])</f>
        <v>-32</v>
      </c>
      <c r="AP71" s="116">
        <f t="shared" si="6"/>
        <v>46163</v>
      </c>
      <c r="AQ7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4.833333333333333</v>
      </c>
      <c r="AR7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7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7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71" s="82" cm="1">
        <f t="array" aca="1" ref="AV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23.785714285714288</v>
      </c>
      <c r="AW71" s="82" cm="1">
        <f t="array" aca="1" ref="AW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7.9285714285714279</v>
      </c>
      <c r="AX71" s="82">
        <f>SUM(FluxoEstoqueDateTime[[#This Row],[OVO BRANCO A]:[OVO BRANCO JUMBO]])</f>
        <v>22.5</v>
      </c>
    </row>
    <row r="72" spans="1:50" x14ac:dyDescent="0.25">
      <c r="A72" s="4" t="s">
        <v>20</v>
      </c>
      <c r="B72" s="55" t="s">
        <v>10</v>
      </c>
      <c r="C72" s="5">
        <v>3</v>
      </c>
      <c r="D72" s="56">
        <v>19</v>
      </c>
      <c r="E72" s="56">
        <v>57</v>
      </c>
      <c r="F72" s="157">
        <v>46218</v>
      </c>
      <c r="G72" s="4" t="s">
        <v>32</v>
      </c>
      <c r="H72" s="4" t="s">
        <v>149</v>
      </c>
      <c r="I72" s="153">
        <v>11.82</v>
      </c>
      <c r="J72" s="12">
        <v>0.20739348370927316</v>
      </c>
      <c r="Z72" s="116">
        <f t="shared" si="4"/>
        <v>46162</v>
      </c>
      <c r="AA7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7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8.8571428571428577</v>
      </c>
      <c r="AC7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6.7142857142857144</v>
      </c>
      <c r="AE7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7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7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36.627204534756785</v>
      </c>
      <c r="AH72" s="116">
        <f t="shared" si="5"/>
        <v>46162</v>
      </c>
      <c r="AI72" s="1" t="str" cm="1">
        <f t="array" ref="AI72">IFERROR(_xlfn.IFS(AQ72="","Sem Produto",AND(AQ72/(AA72/12)&gt;0,AQ72/(AA72/12)&lt;=2),"Acabando",AND(AQ72/(AA72/12)&gt;2,AQ72/(AA72/12)&lt;=3),"Fazer Pedido",AND(AQ72/(AA72/12)&gt;3,AQ72/(AA72/12)&lt;=7),"OK",AND(AQ72/(AA72/12)&gt;7,AQ72/(AA72/12)&lt;=14),"Abaixar Preço",AND(AQ72/(AA72/12)&gt;14,AQ72/(AA72/12)&lt;=20),"Estabilizando",AQ72/(AA72/12)&gt;20,"Instavel"),"Instavel")</f>
        <v>Abaixar Preço</v>
      </c>
      <c r="AJ72" s="1" t="str" cm="1">
        <f t="array" ref="AJ72">IFERROR(_xlfn.IFS(AR72="","Sem Produto",AND(AR72/(AB72/12)&gt;0,AR72/(AB72/12)&lt;=2),"Acabando",AND(AR72/(AB72/12)&gt;2,AR72/(AB72/12)&lt;=3),"Fazer Pedido",AND(AR72/(AB72/12)&gt;3,AR72/(AB72/12)&lt;=7),"OK",AND(AR72/(AB72/12)&gt;7,AR72/(AB72/12)&lt;=14),"Abaixar Preço",AND(AR72/(AB72/12)&gt;14,AR72/(AB72/12)&lt;=20),"Estabilizando",AR72/(AB72/12)&gt;20,"Instavel"),"Instavel")</f>
        <v>OK</v>
      </c>
      <c r="AK72" s="1" t="str" cm="1">
        <f t="array" ref="AK72">IFERROR(_xlfn.IFS(AS72="","Sem Produto",AND(AS72/(AC72/12)&gt;0,AS72/(AC72/12)&lt;=2),"Acabando",AND(AS72/(AC72/12)&gt;2,AS72/(AC72/12)&lt;=3),"Fazer Pedido",AND(AS72/(AC72/12)&gt;3,AS72/(AC72/12)&lt;=7),"OK",AND(AS72/(AC72/12)&gt;7,AS72/(AC72/12)&lt;=14),"Abaixar Preço",AND(AS72/(AC72/12)&gt;14,AS72/(AC72/12)&lt;=20),"Estabilizando",AS72/(AC72/12)&gt;20,"Instavel"),"Instavel")</f>
        <v>Sem Produto</v>
      </c>
      <c r="AL72" s="1" t="str" cm="1">
        <f t="array" ref="AL72">IFERROR(_xlfn.IFS(AT72="","Sem Produto",AND(AT72/(AD72/12)&gt;0,AT72/(AD72/12)&lt;=2),"Acabando",AND(AT72/(AD72/12)&gt;2,AT72/(AD72/12)&lt;=3),"Fazer Pedido",AND(AT72/(AD72/12)&gt;3,AT72/(AD72/12)&lt;=7),"OK",AND(AT72/(AD72/12)&gt;7,AT72/(AD72/12)&lt;=14),"Abaixar Preço",AND(AT72/(AD72/12)&gt;14,AT72/(AD72/12)&lt;=20),"Estabilizando",AT72/(AD72/12)&gt;20,"Instavel"),"Instavel")</f>
        <v>Estabilizando</v>
      </c>
      <c r="AM72" s="1" t="str" cm="1">
        <f t="array" ref="AM72">IFERROR(_xlfn.IFS(AU72="","Sem Produto",AND(AU72/(AE72/12)&gt;0,AU72/(AE72/12)&lt;=2),"Acabando",AND(AU72/(AE72/12)&gt;2,AU72/(AE72/12)&lt;=3),"Fazer Pedido",AND(AU72/(AE72/12)&gt;3,AU72/(AE72/12)&lt;=7),"OK",AND(AU72/(AE72/12)&gt;7,AU72/(AE72/12)&lt;=14),"Abaixar Preço",AND(AU72/(AE72/12)&gt;14,AU72/(AE72/12)&lt;=20),"Estabilizando",AU72/(AE72/12)&gt;20,"Instavel"),"Instavel")</f>
        <v>Abaixar Preço</v>
      </c>
      <c r="AN72" s="1" t="str">
        <f ca="1">IF(SUMIF(vendaAno[data],SituaçãoEstoqueFluxo[[#This Row],[data]],vendaAno[estoque])=0,"Algo errado",IF(AND(AX72/AW72&gt;0,AX72/AW72&lt;=1),"Alerta",IF(AND(AX72/AW72&gt;1,AX72/AW72&lt;=1.5),"Fazer pedido",IF(AND(AX72/AW72&gt;1.5,AX72/AW72&lt;=2),"Ok",IF(AND(AX72/AW72&gt;2,AX72/AW72&lt;=2.5),"Estabilizando",IF(AND(AX72/AW72&gt;2.5,AX72/AW72&lt;=3),"Cheio","Abaixar preço"))))))</f>
        <v>Abaixar preço</v>
      </c>
      <c r="AO72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72" s="116">
        <f t="shared" si="6"/>
        <v>46162</v>
      </c>
      <c r="AQ7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7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4.833333333333333</v>
      </c>
      <c r="AS7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7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5.416666666666667</v>
      </c>
      <c r="AV72" s="82" cm="1">
        <f t="array" aca="1" ref="AV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22.607142857142861</v>
      </c>
      <c r="AW72" s="82" cm="1">
        <f t="array" aca="1" ref="AW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72" s="82">
        <f>SUM(FluxoEstoqueDateTime[[#This Row],[OVO BRANCO A]:[OVO BRANCO JUMBO]])</f>
        <v>25.166666666666668</v>
      </c>
    </row>
    <row r="73" spans="1:50" x14ac:dyDescent="0.25">
      <c r="A73" s="4" t="s">
        <v>20</v>
      </c>
      <c r="B73" s="55" t="s">
        <v>14</v>
      </c>
      <c r="C73" s="5">
        <v>1</v>
      </c>
      <c r="D73" s="56">
        <v>23</v>
      </c>
      <c r="E73" s="56">
        <v>23</v>
      </c>
      <c r="F73" s="157">
        <v>46218</v>
      </c>
      <c r="G73" s="4" t="s">
        <v>32</v>
      </c>
      <c r="H73" s="4" t="s">
        <v>149</v>
      </c>
      <c r="I73" s="153">
        <v>6.75</v>
      </c>
      <c r="J73" s="12">
        <v>0.29343297101449278</v>
      </c>
      <c r="Z73" s="116">
        <f t="shared" si="4"/>
        <v>46161</v>
      </c>
      <c r="AA7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7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7.4285714285714288</v>
      </c>
      <c r="AC7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7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7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7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38.055170914624213</v>
      </c>
      <c r="AH73" s="116">
        <f t="shared" si="5"/>
        <v>46161</v>
      </c>
      <c r="AI73" s="1" t="str" cm="1">
        <f t="array" ref="AI73">IFERROR(_xlfn.IFS(AQ73="","Sem Produto",AND(AQ73/(AA73/12)&gt;0,AQ73/(AA73/12)&lt;=2),"Acabando",AND(AQ73/(AA73/12)&gt;2,AQ73/(AA73/12)&lt;=3),"Fazer Pedido",AND(AQ73/(AA73/12)&gt;3,AQ73/(AA73/12)&lt;=7),"OK",AND(AQ73/(AA73/12)&gt;7,AQ73/(AA73/12)&lt;=14),"Abaixar Preço",AND(AQ73/(AA73/12)&gt;14,AQ73/(AA73/12)&lt;=20),"Estabilizando",AQ73/(AA73/12)&gt;20,"Instavel"),"Instavel")</f>
        <v>OK</v>
      </c>
      <c r="AJ73" s="1" t="str" cm="1">
        <f t="array" ref="AJ73">IFERROR(_xlfn.IFS(AR73="","Sem Produto",AND(AR73/(AB73/12)&gt;0,AR73/(AB73/12)&lt;=2),"Acabando",AND(AR73/(AB73/12)&gt;2,AR73/(AB73/12)&lt;=3),"Fazer Pedido",AND(AR73/(AB73/12)&gt;3,AR73/(AB73/12)&lt;=7),"OK",AND(AR73/(AB73/12)&gt;7,AR73/(AB73/12)&lt;=14),"Abaixar Preço",AND(AR73/(AB73/12)&gt;14,AR73/(AB73/12)&lt;=20),"Estabilizando",AR73/(AB73/12)&gt;20,"Instavel"),"Instavel")</f>
        <v>Abaixar Preço</v>
      </c>
      <c r="AK73" s="1" t="str" cm="1">
        <f t="array" ref="AK73">IFERROR(_xlfn.IFS(AS73="","Sem Produto",AND(AS73/(AC73/12)&gt;0,AS73/(AC73/12)&lt;=2),"Acabando",AND(AS73/(AC73/12)&gt;2,AS73/(AC73/12)&lt;=3),"Fazer Pedido",AND(AS73/(AC73/12)&gt;3,AS73/(AC73/12)&lt;=7),"OK",AND(AS73/(AC73/12)&gt;7,AS73/(AC73/12)&lt;=14),"Abaixar Preço",AND(AS73/(AC73/12)&gt;14,AS73/(AC73/12)&lt;=20),"Estabilizando",AS73/(AC73/12)&gt;20,"Instavel"),"Instavel")</f>
        <v>Sem Produto</v>
      </c>
      <c r="AL73" s="1" t="str" cm="1">
        <f t="array" ref="AL73">IFERROR(_xlfn.IFS(AT73="","Sem Produto",AND(AT73/(AD73/12)&gt;0,AT73/(AD73/12)&lt;=2),"Acabando",AND(AT73/(AD73/12)&gt;2,AT73/(AD73/12)&lt;=3),"Fazer Pedido",AND(AT73/(AD73/12)&gt;3,AT73/(AD73/12)&lt;=7),"OK",AND(AT73/(AD73/12)&gt;7,AT73/(AD73/12)&lt;=14),"Abaixar Preço",AND(AT73/(AD73/12)&gt;14,AT73/(AD73/12)&lt;=20),"Estabilizando",AT73/(AD73/12)&gt;20,"Instavel"),"Instavel")</f>
        <v>Estabilizando</v>
      </c>
      <c r="AM73" s="1" t="str" cm="1">
        <f t="array" ref="AM73">IFERROR(_xlfn.IFS(AU73="","Sem Produto",AND(AU73/(AE73/12)&gt;0,AU73/(AE73/12)&lt;=2),"Acabando",AND(AU73/(AE73/12)&gt;2,AU73/(AE73/12)&lt;=3),"Fazer Pedido",AND(AU73/(AE73/12)&gt;3,AU73/(AE73/12)&lt;=7),"OK",AND(AU73/(AE73/12)&gt;7,AU73/(AE73/12)&lt;=14),"Abaixar Preço",AND(AU73/(AE73/12)&gt;14,AU73/(AE73/12)&lt;=20),"Estabilizando",AU73/(AE73/12)&gt;20,"Instavel"),"Instavel")</f>
        <v>Estabilizando</v>
      </c>
      <c r="AN73" s="1" t="str">
        <f ca="1">IF(SUMIF(vendaAno[data],SituaçãoEstoqueFluxo[[#This Row],[data]],vendaAno[estoque])=0,"Algo errado",IF(AND(AX73/AW73&gt;0,AX73/AW73&lt;=1),"Alerta",IF(AND(AX73/AW73&gt;1,AX73/AW73&lt;=1.5),"Fazer pedido",IF(AND(AX73/AW73&gt;1.5,AX73/AW73&lt;=2),"Ok",IF(AND(AX73/AW73&gt;2,AX73/AW73&lt;=2.5),"Estabilizando",IF(AND(AX73/AW73&gt;2.5,AX73/AW73&lt;=3),"Cheio","Abaixar preço"))))))</f>
        <v>Abaixar preço</v>
      </c>
      <c r="AO73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73" s="116">
        <f t="shared" si="6"/>
        <v>46161</v>
      </c>
      <c r="AQ7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5.583333333333333</v>
      </c>
      <c r="AR7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5.666666666666667</v>
      </c>
      <c r="AS7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10.416666666666666</v>
      </c>
      <c r="AU7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</v>
      </c>
      <c r="AV73" s="82" cm="1">
        <f t="array" aca="1" ref="AV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21.642857142857142</v>
      </c>
      <c r="AW73" s="82" cm="1">
        <f t="array" aca="1" ref="AW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73" s="82">
        <f>SUM(FluxoEstoqueDateTime[[#This Row],[OVO BRANCO A]:[OVO BRANCO JUMBO]])</f>
        <v>28.166666666666664</v>
      </c>
    </row>
    <row r="74" spans="1:50" x14ac:dyDescent="0.25">
      <c r="A74" s="4" t="s">
        <v>20</v>
      </c>
      <c r="B74" s="55" t="s">
        <v>13</v>
      </c>
      <c r="C74" s="5">
        <v>7</v>
      </c>
      <c r="D74" s="56">
        <v>20</v>
      </c>
      <c r="E74" s="56">
        <v>140</v>
      </c>
      <c r="F74" s="157">
        <v>46218</v>
      </c>
      <c r="G74" s="4" t="s">
        <v>32</v>
      </c>
      <c r="H74" s="4" t="s">
        <v>149</v>
      </c>
      <c r="I74" s="153">
        <v>31.48</v>
      </c>
      <c r="J74" s="12">
        <v>0.22488962472406182</v>
      </c>
      <c r="Z74" s="116">
        <f t="shared" si="4"/>
        <v>46160</v>
      </c>
      <c r="AA7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7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7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7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</v>
      </c>
      <c r="AG7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36.44878623669829</v>
      </c>
      <c r="AH74" s="116">
        <f t="shared" si="5"/>
        <v>46160</v>
      </c>
      <c r="AI74" s="1" t="str" cm="1">
        <f t="array" ref="AI74">IFERROR(_xlfn.IFS(AQ74="","Sem Produto",AND(AQ74/(AA74/12)&gt;0,AQ74/(AA74/12)&lt;=2),"Acabando",AND(AQ74/(AA74/12)&gt;2,AQ74/(AA74/12)&lt;=3),"Fazer Pedido",AND(AQ74/(AA74/12)&gt;3,AQ74/(AA74/12)&lt;=7),"OK",AND(AQ74/(AA74/12)&gt;7,AQ74/(AA74/12)&lt;=14),"Abaixar Preço",AND(AQ74/(AA74/12)&gt;14,AQ74/(AA74/12)&lt;=20),"Estabilizando",AQ74/(AA74/12)&gt;20,"Instavel"),"Instavel")</f>
        <v>Abaixar Preço</v>
      </c>
      <c r="AJ74" s="1" t="str" cm="1">
        <f t="array" ref="AJ74">IFERROR(_xlfn.IFS(AR74="","Sem Produto",AND(AR74/(AB74/12)&gt;0,AR74/(AB74/12)&lt;=2),"Acabando",AND(AR74/(AB74/12)&gt;2,AR74/(AB74/12)&lt;=3),"Fazer Pedido",AND(AR74/(AB74/12)&gt;3,AR74/(AB74/12)&lt;=7),"OK",AND(AR74/(AB74/12)&gt;7,AR74/(AB74/12)&lt;=14),"Abaixar Preço",AND(AR74/(AB74/12)&gt;14,AR74/(AB74/12)&lt;=20),"Estabilizando",AR74/(AB74/12)&gt;20,"Instavel"),"Instavel")</f>
        <v>Estabilizando</v>
      </c>
      <c r="AK74" s="1" t="str" cm="1">
        <f t="array" ref="AK74">IFERROR(_xlfn.IFS(AS74="","Sem Produto",AND(AS74/(AC74/12)&gt;0,AS74/(AC74/12)&lt;=2),"Acabando",AND(AS74/(AC74/12)&gt;2,AS74/(AC74/12)&lt;=3),"Fazer Pedido",AND(AS74/(AC74/12)&gt;3,AS74/(AC74/12)&lt;=7),"OK",AND(AS74/(AC74/12)&gt;7,AS74/(AC74/12)&lt;=14),"Abaixar Preço",AND(AS74/(AC74/12)&gt;14,AS74/(AC74/12)&lt;=20),"Estabilizando",AS74/(AC74/12)&gt;20,"Instavel"),"Instavel")</f>
        <v>Sem Produto</v>
      </c>
      <c r="AL74" s="1" t="str" cm="1">
        <f t="array" ref="AL74">IFERROR(_xlfn.IFS(AT74="","Sem Produto",AND(AT74/(AD74/12)&gt;0,AT74/(AD74/12)&lt;=2),"Acabando",AND(AT74/(AD74/12)&gt;2,AT74/(AD74/12)&lt;=3),"Fazer Pedido",AND(AT74/(AD74/12)&gt;3,AT74/(AD74/12)&lt;=7),"OK",AND(AT74/(AD74/12)&gt;7,AT74/(AD74/12)&lt;=14),"Abaixar Preço",AND(AT74/(AD74/12)&gt;14,AT74/(AD74/12)&lt;=20),"Estabilizando",AT74/(AD74/12)&gt;20,"Instavel"),"Instavel")</f>
        <v>Estabilizando</v>
      </c>
      <c r="AM74" s="1" t="str" cm="1">
        <f t="array" ref="AM74">IFERROR(_xlfn.IFS(AU74="","Sem Produto",AND(AU74/(AE74/12)&gt;0,AU74/(AE74/12)&lt;=2),"Acabando",AND(AU74/(AE74/12)&gt;2,AU74/(AE74/12)&lt;=3),"Fazer Pedido",AND(AU74/(AE74/12)&gt;3,AU74/(AE74/12)&lt;=7),"OK",AND(AU74/(AE74/12)&gt;7,AU74/(AE74/12)&lt;=14),"Abaixar Preço",AND(AU74/(AE74/12)&gt;14,AU74/(AE74/12)&lt;=20),"Estabilizando",AU74/(AE74/12)&gt;20,"Instavel"),"Instavel")</f>
        <v>Estabilizando</v>
      </c>
      <c r="AN74" s="1" t="str">
        <f ca="1">IF(SUMIF(vendaAno[data],SituaçãoEstoqueFluxo[[#This Row],[data]],vendaAno[estoque])=0,"Algo errado",IF(AND(AX74/AW74&gt;0,AX74/AW74&lt;=1),"Alerta",IF(AND(AX74/AW74&gt;1,AX74/AW74&lt;=1.5),"Fazer pedido",IF(AND(AX74/AW74&gt;1.5,AX74/AW74&lt;=2),"Ok",IF(AND(AX74/AW74&gt;2,AX74/AW74&lt;=2.5),"Estabilizando",IF(AND(AX74/AW74&gt;2.5,AX74/AW74&lt;=3),"Cheio","Abaixar preço"))))))</f>
        <v>Abaixar preço</v>
      </c>
      <c r="AO74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74" s="116">
        <f t="shared" si="6"/>
        <v>46160</v>
      </c>
      <c r="AQ7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7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7.25</v>
      </c>
      <c r="AS7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7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6.916666666666667</v>
      </c>
      <c r="AV74" s="82" cm="1">
        <f t="array" aca="1" ref="AV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19.5</v>
      </c>
      <c r="AW74" s="82" cm="1">
        <f t="array" aca="1" ref="AW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6.5</v>
      </c>
      <c r="AX74" s="82">
        <f>SUM(FluxoEstoqueDateTime[[#This Row],[OVO BRANCO A]:[OVO BRANCO JUMBO]])</f>
        <v>31.750000000000004</v>
      </c>
    </row>
    <row r="75" spans="1:50" x14ac:dyDescent="0.25">
      <c r="A75" s="4" t="s">
        <v>20</v>
      </c>
      <c r="B75" s="55" t="s">
        <v>11</v>
      </c>
      <c r="C75" s="5">
        <v>2</v>
      </c>
      <c r="D75" s="56">
        <v>18</v>
      </c>
      <c r="E75" s="56">
        <v>36</v>
      </c>
      <c r="F75" s="157">
        <v>46218</v>
      </c>
      <c r="G75" s="4" t="s">
        <v>32</v>
      </c>
      <c r="H75" s="4" t="s">
        <v>149</v>
      </c>
      <c r="I75" s="153">
        <v>6.83</v>
      </c>
      <c r="J75" s="12">
        <v>0.18976373125963303</v>
      </c>
      <c r="Z75" s="116">
        <f t="shared" si="4"/>
        <v>46159</v>
      </c>
      <c r="AA7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7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</v>
      </c>
      <c r="AC7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7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7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28.428571428571427</v>
      </c>
      <c r="AG7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38.497142793365917</v>
      </c>
      <c r="AH75" s="116">
        <f t="shared" si="5"/>
        <v>46159</v>
      </c>
      <c r="AI75" s="1" t="str" cm="1">
        <f t="array" ref="AI75">IFERROR(_xlfn.IFS(AQ75="","Sem Produto",AND(AQ75/(AA75/12)&gt;0,AQ75/(AA75/12)&lt;=2),"Acabando",AND(AQ75/(AA75/12)&gt;2,AQ75/(AA75/12)&lt;=3),"Fazer Pedido",AND(AQ75/(AA75/12)&gt;3,AQ75/(AA75/12)&lt;=7),"OK",AND(AQ75/(AA75/12)&gt;7,AQ75/(AA75/12)&lt;=14),"Abaixar Preço",AND(AQ75/(AA75/12)&gt;14,AQ75/(AA75/12)&lt;=20),"Estabilizando",AQ75/(AA75/12)&gt;20,"Instavel"),"Instavel")</f>
        <v>Abaixar Preço</v>
      </c>
      <c r="AJ75" s="1" t="str" cm="1">
        <f t="array" ref="AJ75">IFERROR(_xlfn.IFS(AR75="","Sem Produto",AND(AR75/(AB75/12)&gt;0,AR75/(AB75/12)&lt;=2),"Acabando",AND(AR75/(AB75/12)&gt;2,AR75/(AB75/12)&lt;=3),"Fazer Pedido",AND(AR75/(AB75/12)&gt;3,AR75/(AB75/12)&lt;=7),"OK",AND(AR75/(AB75/12)&gt;7,AR75/(AB75/12)&lt;=14),"Abaixar Preço",AND(AR75/(AB75/12)&gt;14,AR75/(AB75/12)&lt;=20),"Estabilizando",AR75/(AB75/12)&gt;20,"Instavel"),"Instavel")</f>
        <v>Abaixar Preço</v>
      </c>
      <c r="AK75" s="1" t="str" cm="1">
        <f t="array" ref="AK75">IFERROR(_xlfn.IFS(AS75="","Sem Produto",AND(AS75/(AC75/12)&gt;0,AS75/(AC75/12)&lt;=2),"Acabando",AND(AS75/(AC75/12)&gt;2,AS75/(AC75/12)&lt;=3),"Fazer Pedido",AND(AS75/(AC75/12)&gt;3,AS75/(AC75/12)&lt;=7),"OK",AND(AS75/(AC75/12)&gt;7,AS75/(AC75/12)&lt;=14),"Abaixar Preço",AND(AS75/(AC75/12)&gt;14,AS75/(AC75/12)&lt;=20),"Estabilizando",AS75/(AC75/12)&gt;20,"Instavel"),"Instavel")</f>
        <v>Sem Produto</v>
      </c>
      <c r="AL75" s="1" t="str" cm="1">
        <f t="array" ref="AL75">IFERROR(_xlfn.IFS(AT75="","Sem Produto",AND(AT75/(AD75/12)&gt;0,AT75/(AD75/12)&lt;=2),"Acabando",AND(AT75/(AD75/12)&gt;2,AT75/(AD75/12)&lt;=3),"Fazer Pedido",AND(AT75/(AD75/12)&gt;3,AT75/(AD75/12)&lt;=7),"OK",AND(AT75/(AD75/12)&gt;7,AT75/(AD75/12)&lt;=14),"Abaixar Preço",AND(AT75/(AD75/12)&gt;14,AT75/(AD75/12)&lt;=20),"Estabilizando",AT75/(AD75/12)&gt;20,"Instavel"),"Instavel")</f>
        <v>Estabilizando</v>
      </c>
      <c r="AM75" s="1" t="str" cm="1">
        <f t="array" ref="AM75">IFERROR(_xlfn.IFS(AU75="","Sem Produto",AND(AU75/(AE75/12)&gt;0,AU75/(AE75/12)&lt;=2),"Acabando",AND(AU75/(AE75/12)&gt;2,AU75/(AE75/12)&lt;=3),"Fazer Pedido",AND(AU75/(AE75/12)&gt;3,AU75/(AE75/12)&lt;=7),"OK",AND(AU75/(AE75/12)&gt;7,AU75/(AE75/12)&lt;=14),"Abaixar Preço",AND(AU75/(AE75/12)&gt;14,AU75/(AE75/12)&lt;=20),"Estabilizando",AU75/(AE75/12)&gt;20,"Instavel"),"Instavel")</f>
        <v>Estabilizando</v>
      </c>
      <c r="AN75" s="1" t="str">
        <f ca="1">IF(SUMIF(vendaAno[data],SituaçãoEstoqueFluxo[[#This Row],[data]],vendaAno[estoque])=0,"Algo errado",IF(AND(AX75/AW75&gt;0,AX75/AW75&lt;=1),"Alerta",IF(AND(AX75/AW75&gt;1,AX75/AW75&lt;=1.5),"Fazer pedido",IF(AND(AX75/AW75&gt;1.5,AX75/AW75&lt;=2),"Ok",IF(AND(AX75/AW75&gt;2,AX75/AW75&lt;=2.5),"Estabilizando",IF(AND(AX75/AW75&gt;2.5,AX75/AW75&lt;=3),"Cheio","Abaixar preço"))))))</f>
        <v>Abaixar preço</v>
      </c>
      <c r="AO75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75" s="116">
        <f t="shared" si="6"/>
        <v>46159</v>
      </c>
      <c r="AQ7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7.25</v>
      </c>
      <c r="AR7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8.0833333333333339</v>
      </c>
      <c r="AS7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7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7.583333333333333</v>
      </c>
      <c r="AV75" s="82" cm="1">
        <f t="array" aca="1" ref="AV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21.321428571428569</v>
      </c>
      <c r="AW75" s="82" cm="1">
        <f t="array" aca="1" ref="AW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7.1071428571428568</v>
      </c>
      <c r="AX75" s="82">
        <f>SUM(FluxoEstoqueDateTime[[#This Row],[OVO BRANCO A]:[OVO BRANCO JUMBO]])</f>
        <v>34.166666666666671</v>
      </c>
    </row>
    <row r="76" spans="1:50" x14ac:dyDescent="0.25">
      <c r="A76" s="4" t="s">
        <v>20</v>
      </c>
      <c r="B76" s="55" t="s">
        <v>13</v>
      </c>
      <c r="C76" s="5">
        <v>16</v>
      </c>
      <c r="D76" s="56">
        <v>20</v>
      </c>
      <c r="E76" s="56">
        <v>314</v>
      </c>
      <c r="F76" s="157">
        <v>46217</v>
      </c>
      <c r="G76" s="4" t="s">
        <v>290</v>
      </c>
      <c r="H76" s="4" t="s">
        <v>149</v>
      </c>
      <c r="I76" s="153">
        <v>65.959999999999994</v>
      </c>
      <c r="J76" s="12">
        <v>0.21007859844490379</v>
      </c>
      <c r="M76">
        <v>1000</v>
      </c>
      <c r="Z76" s="116">
        <f t="shared" si="4"/>
        <v>46158</v>
      </c>
      <c r="AA7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7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7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7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7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26.571428571428573</v>
      </c>
      <c r="AG7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39.175857292147676</v>
      </c>
      <c r="AH76" s="116">
        <f t="shared" si="5"/>
        <v>46158</v>
      </c>
      <c r="AI76" s="1" t="str" cm="1">
        <f t="array" ref="AI76">IFERROR(_xlfn.IFS(AQ76="","Sem Produto",AND(AQ76/(AA76/12)&gt;0,AQ76/(AA76/12)&lt;=2),"Acabando",AND(AQ76/(AA76/12)&gt;2,AQ76/(AA76/12)&lt;=3),"Fazer Pedido",AND(AQ76/(AA76/12)&gt;3,AQ76/(AA76/12)&lt;=7),"OK",AND(AQ76/(AA76/12)&gt;7,AQ76/(AA76/12)&lt;=14),"Abaixar Preço",AND(AQ76/(AA76/12)&gt;14,AQ76/(AA76/12)&lt;=20),"Estabilizando",AQ76/(AA76/12)&gt;20,"Instavel"),"Instavel")</f>
        <v>Estabilizando</v>
      </c>
      <c r="AJ76" s="1" t="str" cm="1">
        <f t="array" ref="AJ76">IFERROR(_xlfn.IFS(AR76="","Sem Produto",AND(AR76/(AB76/12)&gt;0,AR76/(AB76/12)&lt;=2),"Acabando",AND(AR76/(AB76/12)&gt;2,AR76/(AB76/12)&lt;=3),"Fazer Pedido",AND(AR76/(AB76/12)&gt;3,AR76/(AB76/12)&lt;=7),"OK",AND(AR76/(AB76/12)&gt;7,AR76/(AB76/12)&lt;=14),"Abaixar Preço",AND(AR76/(AB76/12)&gt;14,AR76/(AB76/12)&lt;=20),"Estabilizando",AR76/(AB76/12)&gt;20,"Instavel"),"Instavel")</f>
        <v>Abaixar Preço</v>
      </c>
      <c r="AK76" s="1" t="str" cm="1">
        <f t="array" ref="AK76">IFERROR(_xlfn.IFS(AS76="","Sem Produto",AND(AS76/(AC76/12)&gt;0,AS76/(AC76/12)&lt;=2),"Acabando",AND(AS76/(AC76/12)&gt;2,AS76/(AC76/12)&lt;=3),"Fazer Pedido",AND(AS76/(AC76/12)&gt;3,AS76/(AC76/12)&lt;=7),"OK",AND(AS76/(AC76/12)&gt;7,AS76/(AC76/12)&lt;=14),"Abaixar Preço",AND(AS76/(AC76/12)&gt;14,AS76/(AC76/12)&lt;=20),"Estabilizando",AS76/(AC76/12)&gt;20,"Instavel"),"Instavel")</f>
        <v>Sem Produto</v>
      </c>
      <c r="AL76" s="1" t="str" cm="1">
        <f t="array" ref="AL76">IFERROR(_xlfn.IFS(AT76="","Sem Produto",AND(AT76/(AD76/12)&gt;0,AT76/(AD76/12)&lt;=2),"Acabando",AND(AT76/(AD76/12)&gt;2,AT76/(AD76/12)&lt;=3),"Fazer Pedido",AND(AT76/(AD76/12)&gt;3,AT76/(AD76/12)&lt;=7),"OK",AND(AT76/(AD76/12)&gt;7,AT76/(AD76/12)&lt;=14),"Abaixar Preço",AND(AT76/(AD76/12)&gt;14,AT76/(AD76/12)&lt;=20),"Estabilizando",AT76/(AD76/12)&gt;20,"Instavel"),"Instavel")</f>
        <v>Estabilizando</v>
      </c>
      <c r="AM76" s="1" t="str" cm="1">
        <f t="array" ref="AM76">IFERROR(_xlfn.IFS(AU76="","Sem Produto",AND(AU76/(AE76/12)&gt;0,AU76/(AE76/12)&lt;=2),"Acabando",AND(AU76/(AE76/12)&gt;2,AU76/(AE76/12)&lt;=3),"Fazer Pedido",AND(AU76/(AE76/12)&gt;3,AU76/(AE76/12)&lt;=7),"OK",AND(AU76/(AE76/12)&gt;7,AU76/(AE76/12)&lt;=14),"Abaixar Preço",AND(AU76/(AE76/12)&gt;14,AU76/(AE76/12)&lt;=20),"Estabilizando",AU76/(AE76/12)&gt;20,"Instavel"),"Instavel")</f>
        <v>Estabilizando</v>
      </c>
      <c r="AN76" s="1" t="str">
        <f ca="1">IF(SUMIF(vendaAno[data],SituaçãoEstoqueFluxo[[#This Row],[data]],vendaAno[estoque])=0,"Algo errado",IF(AND(AX76/AW76&gt;0,AX76/AW76&lt;=1),"Alerta",IF(AND(AX76/AW76&gt;1,AX76/AW76&lt;=1.5),"Fazer pedido",IF(AND(AX76/AW76&gt;1.5,AX76/AW76&lt;=2),"Ok",IF(AND(AX76/AW76&gt;2,AX76/AW76&lt;=2.5),"Estabilizando",IF(AND(AX76/AW76&gt;2.5,AX76/AW76&lt;=3),"Cheio","Abaixar preço"))))))</f>
        <v>Abaixar preço</v>
      </c>
      <c r="AO76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76" s="116">
        <f t="shared" si="6"/>
        <v>46158</v>
      </c>
      <c r="AQ7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7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8.25</v>
      </c>
      <c r="AS7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11.833333333333334</v>
      </c>
      <c r="AU7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76" s="82" cm="1">
        <f t="array" aca="1" ref="AV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19.928571428571427</v>
      </c>
      <c r="AW76" s="82" cm="1">
        <f t="array" aca="1" ref="AW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6.6428571428571432</v>
      </c>
      <c r="AX76" s="82">
        <f>SUM(FluxoEstoqueDateTime[[#This Row],[OVO BRANCO A]:[OVO BRANCO JUMBO]])</f>
        <v>36.333333333333336</v>
      </c>
    </row>
    <row r="77" spans="1:50" x14ac:dyDescent="0.25">
      <c r="A77" s="4" t="s">
        <v>20</v>
      </c>
      <c r="B77" s="55" t="s">
        <v>11</v>
      </c>
      <c r="C77" s="5">
        <v>5</v>
      </c>
      <c r="D77" s="56">
        <v>18</v>
      </c>
      <c r="E77" s="56">
        <v>90</v>
      </c>
      <c r="F77" s="157">
        <v>46217</v>
      </c>
      <c r="G77" s="4" t="s">
        <v>290</v>
      </c>
      <c r="H77" s="4" t="s">
        <v>149</v>
      </c>
      <c r="I77" s="153">
        <v>17.079999999999998</v>
      </c>
      <c r="J77" s="12">
        <v>0.18976373125963314</v>
      </c>
      <c r="M77">
        <v>1560</v>
      </c>
      <c r="Z77" s="116">
        <f t="shared" si="4"/>
        <v>46157</v>
      </c>
      <c r="AA7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7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5.4285714285714288</v>
      </c>
      <c r="AC7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7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7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24.714285714285715</v>
      </c>
      <c r="AG7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38.693726127800147</v>
      </c>
      <c r="AH77" s="116">
        <f t="shared" si="5"/>
        <v>46157</v>
      </c>
      <c r="AI77" s="1" t="str" cm="1">
        <f t="array" ref="AI77">IFERROR(_xlfn.IFS(AQ77="","Sem Produto",AND(AQ77/(AA77/12)&gt;0,AQ77/(AA77/12)&lt;=2),"Acabando",AND(AQ77/(AA77/12)&gt;2,AQ77/(AA77/12)&lt;=3),"Fazer Pedido",AND(AQ77/(AA77/12)&gt;3,AQ77/(AA77/12)&lt;=7),"OK",AND(AQ77/(AA77/12)&gt;7,AQ77/(AA77/12)&lt;=14),"Abaixar Preço",AND(AQ77/(AA77/12)&gt;14,AQ77/(AA77/12)&lt;=20),"Estabilizando",AQ77/(AA77/12)&gt;20,"Instavel"),"Instavel")</f>
        <v>Estabilizando</v>
      </c>
      <c r="AJ77" s="1" t="str" cm="1">
        <f t="array" ref="AJ77">IFERROR(_xlfn.IFS(AR77="","Sem Produto",AND(AR77/(AB77/12)&gt;0,AR77/(AB77/12)&lt;=2),"Acabando",AND(AR77/(AB77/12)&gt;2,AR77/(AB77/12)&lt;=3),"Fazer Pedido",AND(AR77/(AB77/12)&gt;3,AR77/(AB77/12)&lt;=7),"OK",AND(AR77/(AB77/12)&gt;7,AR77/(AB77/12)&lt;=14),"Abaixar Preço",AND(AR77/(AB77/12)&gt;14,AR77/(AB77/12)&lt;=20),"Estabilizando",AR77/(AB77/12)&gt;20,"Instavel"),"Instavel")</f>
        <v>Instavel</v>
      </c>
      <c r="AK77" s="1" t="str" cm="1">
        <f t="array" ref="AK77">IFERROR(_xlfn.IFS(AS77="","Sem Produto",AND(AS77/(AC77/12)&gt;0,AS77/(AC77/12)&lt;=2),"Acabando",AND(AS77/(AC77/12)&gt;2,AS77/(AC77/12)&lt;=3),"Fazer Pedido",AND(AS77/(AC77/12)&gt;3,AS77/(AC77/12)&lt;=7),"OK",AND(AS77/(AC77/12)&gt;7,AS77/(AC77/12)&lt;=14),"Abaixar Preço",AND(AS77/(AC77/12)&gt;14,AS77/(AC77/12)&lt;=20),"Estabilizando",AS77/(AC77/12)&gt;20,"Instavel"),"Instavel")</f>
        <v>Sem Produto</v>
      </c>
      <c r="AL77" s="1" t="str" cm="1">
        <f t="array" ref="AL77">IFERROR(_xlfn.IFS(AT77="","Sem Produto",AND(AT77/(AD77/12)&gt;0,AT77/(AD77/12)&lt;=2),"Acabando",AND(AT77/(AD77/12)&gt;2,AT77/(AD77/12)&lt;=3),"Fazer Pedido",AND(AT77/(AD77/12)&gt;3,AT77/(AD77/12)&lt;=7),"OK",AND(AT77/(AD77/12)&gt;7,AT77/(AD77/12)&lt;=14),"Abaixar Preço",AND(AT77/(AD77/12)&gt;14,AT77/(AD77/12)&lt;=20),"Estabilizando",AT77/(AD77/12)&gt;20,"Instavel"),"Instavel")</f>
        <v>Estabilizando</v>
      </c>
      <c r="AM77" s="1" t="str" cm="1">
        <f t="array" ref="AM77">IFERROR(_xlfn.IFS(AU77="","Sem Produto",AND(AU77/(AE77/12)&gt;0,AU77/(AE77/12)&lt;=2),"Acabando",AND(AU77/(AE77/12)&gt;2,AU77/(AE77/12)&lt;=3),"Fazer Pedido",AND(AU77/(AE77/12)&gt;3,AU77/(AE77/12)&lt;=7),"OK",AND(AU77/(AE77/12)&gt;7,AU77/(AE77/12)&lt;=14),"Abaixar Preço",AND(AU77/(AE77/12)&gt;14,AU77/(AE77/12)&lt;=20),"Estabilizando",AU77/(AE77/12)&gt;20,"Instavel"),"Instavel")</f>
        <v>Estabilizando</v>
      </c>
      <c r="AN77" s="1" t="str">
        <f ca="1">IF(SUMIF(vendaAno[data],SituaçãoEstoqueFluxo[[#This Row],[data]],vendaAno[estoque])=0,"Algo errado",IF(AND(AX77/AW77&gt;0,AX77/AW77&lt;=1),"Alerta",IF(AND(AX77/AW77&gt;1,AX77/AW77&lt;=1.5),"Fazer pedido",IF(AND(AX77/AW77&gt;1.5,AX77/AW77&lt;=2),"Ok",IF(AND(AX77/AW77&gt;2,AX77/AW77&lt;=2.5),"Estabilizando",IF(AND(AX77/AW77&gt;2.5,AX77/AW77&lt;=3),"Cheio","Abaixar preço"))))))</f>
        <v>Abaixar preço</v>
      </c>
      <c r="AO77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77" s="116">
        <f t="shared" si="6"/>
        <v>46157</v>
      </c>
      <c r="AQ7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7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7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11.833333333333334</v>
      </c>
      <c r="AU7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8.4166666666666661</v>
      </c>
      <c r="AV77" s="82" cm="1">
        <f t="array" aca="1" ref="AV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18.535714285714288</v>
      </c>
      <c r="AW77" s="82" cm="1">
        <f t="array" aca="1" ref="AW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6.1785714285714279</v>
      </c>
      <c r="AX77" s="82">
        <f>SUM(FluxoEstoqueDateTime[[#This Row],[OVO BRANCO A]:[OVO BRANCO JUMBO]])</f>
        <v>37.666666666666664</v>
      </c>
    </row>
    <row r="78" spans="1:50" x14ac:dyDescent="0.25">
      <c r="A78" s="4" t="s">
        <v>20</v>
      </c>
      <c r="B78" s="55" t="s">
        <v>10</v>
      </c>
      <c r="C78" s="5">
        <v>3</v>
      </c>
      <c r="D78" s="56">
        <v>19</v>
      </c>
      <c r="E78" s="56">
        <v>57</v>
      </c>
      <c r="F78" s="157">
        <v>46217</v>
      </c>
      <c r="G78" s="4" t="s">
        <v>290</v>
      </c>
      <c r="H78" s="4" t="s">
        <v>149</v>
      </c>
      <c r="I78" s="153">
        <v>11.82</v>
      </c>
      <c r="J78" s="12">
        <v>0.20739348370927316</v>
      </c>
      <c r="T78" s="246"/>
      <c r="U78" s="247"/>
      <c r="Z78" s="116">
        <f t="shared" si="4"/>
        <v>46156</v>
      </c>
      <c r="AA7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7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7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6.1428571428571432</v>
      </c>
      <c r="AE7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5.5714285714285712</v>
      </c>
      <c r="AF7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22.714285714285715</v>
      </c>
      <c r="AG7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39.020600894829251</v>
      </c>
      <c r="AH78" s="116">
        <f t="shared" si="5"/>
        <v>46156</v>
      </c>
      <c r="AI78" s="1" t="str" cm="1">
        <f t="array" ref="AI78">IFERROR(_xlfn.IFS(AQ78="","Sem Produto",AND(AQ78/(AA78/12)&gt;0,AQ78/(AA78/12)&lt;=2),"Acabando",AND(AQ78/(AA78/12)&gt;2,AQ78/(AA78/12)&lt;=3),"Fazer Pedido",AND(AQ78/(AA78/12)&gt;3,AQ78/(AA78/12)&lt;=7),"OK",AND(AQ78/(AA78/12)&gt;7,AQ78/(AA78/12)&lt;=14),"Abaixar Preço",AND(AQ78/(AA78/12)&gt;14,AQ78/(AA78/12)&lt;=20),"Estabilizando",AQ78/(AA78/12)&gt;20,"Instavel"),"Instavel")</f>
        <v>Instavel</v>
      </c>
      <c r="AJ78" s="1" t="str" cm="1">
        <f t="array" ref="AJ78">IFERROR(_xlfn.IFS(AR78="","Sem Produto",AND(AR78/(AB78/12)&gt;0,AR78/(AB78/12)&lt;=2),"Acabando",AND(AR78/(AB78/12)&gt;2,AR78/(AB78/12)&lt;=3),"Fazer Pedido",AND(AR78/(AB78/12)&gt;3,AR78/(AB78/12)&lt;=7),"OK",AND(AR78/(AB78/12)&gt;7,AR78/(AB78/12)&lt;=14),"Abaixar Preço",AND(AR78/(AB78/12)&gt;14,AR78/(AB78/12)&lt;=20),"Estabilizando",AR78/(AB78/12)&gt;20,"Instavel"),"Instavel")</f>
        <v>Estabilizando</v>
      </c>
      <c r="AK78" s="1" t="str" cm="1">
        <f t="array" ref="AK78">IFERROR(_xlfn.IFS(AS78="","Sem Produto",AND(AS78/(AC78/12)&gt;0,AS78/(AC78/12)&lt;=2),"Acabando",AND(AS78/(AC78/12)&gt;2,AS78/(AC78/12)&lt;=3),"Fazer Pedido",AND(AS78/(AC78/12)&gt;3,AS78/(AC78/12)&lt;=7),"OK",AND(AS78/(AC78/12)&gt;7,AS78/(AC78/12)&lt;=14),"Abaixar Preço",AND(AS78/(AC78/12)&gt;14,AS78/(AC78/12)&lt;=20),"Estabilizando",AS78/(AC78/12)&gt;20,"Instavel"),"Instavel")</f>
        <v>Sem Produto</v>
      </c>
      <c r="AL78" s="1" t="str" cm="1">
        <f t="array" ref="AL78">IFERROR(_xlfn.IFS(AT78="","Sem Produto",AND(AT78/(AD78/12)&gt;0,AT78/(AD78/12)&lt;=2),"Acabando",AND(AT78/(AD78/12)&gt;2,AT78/(AD78/12)&lt;=3),"Fazer Pedido",AND(AT78/(AD78/12)&gt;3,AT78/(AD78/12)&lt;=7),"OK",AND(AT78/(AD78/12)&gt;7,AT78/(AD78/12)&lt;=14),"Abaixar Preço",AND(AT78/(AD78/12)&gt;14,AT78/(AD78/12)&lt;=20),"Estabilizando",AT78/(AD78/12)&gt;20,"Instavel"),"Instavel")</f>
        <v>Instavel</v>
      </c>
      <c r="AM78" s="1" t="str" cm="1">
        <f t="array" ref="AM78">IFERROR(_xlfn.IFS(AU78="","Sem Produto",AND(AU78/(AE78/12)&gt;0,AU78/(AE78/12)&lt;=2),"Acabando",AND(AU78/(AE78/12)&gt;2,AU78/(AE78/12)&lt;=3),"Fazer Pedido",AND(AU78/(AE78/12)&gt;3,AU78/(AE78/12)&lt;=7),"OK",AND(AU78/(AE78/12)&gt;7,AU78/(AE78/12)&lt;=14),"Abaixar Preço",AND(AU78/(AE78/12)&gt;14,AU78/(AE78/12)&lt;=20),"Estabilizando",AU78/(AE78/12)&gt;20,"Instavel"),"Instavel")</f>
        <v>Estabilizando</v>
      </c>
      <c r="AN78" s="1" t="str">
        <f ca="1">IF(SUMIF(vendaAno[data],SituaçãoEstoqueFluxo[[#This Row],[data]],vendaAno[estoque])=0,"Algo errado",IF(AND(AX78/AW78&gt;0,AX78/AW78&lt;=1),"Alerta",IF(AND(AX78/AW78&gt;1,AX78/AW78&lt;=1.5),"Fazer pedido",IF(AND(AX78/AW78&gt;1.5,AX78/AW78&lt;=2),"Ok",IF(AND(AX78/AW78&gt;2,AX78/AW78&lt;=2.5),"Estabilizando",IF(AND(AX78/AW78&gt;2.5,AX78/AW78&lt;=3),"Cheio","Abaixar preço"))))))</f>
        <v>Abaixar preço</v>
      </c>
      <c r="AO78" s="82">
        <f>SUMIFS(estoque[quantidade],estoque[fornecedor],"&lt;&gt;saída",estoque[data],SituaçãoEstoqueFluxo[[#This Row],[data]])-SUMIFS(estoque[quantidade],estoque[fornecedor],"saída",estoque[data],SituaçãoEstoqueFluxo[[#This Row],[data]])</f>
        <v>339</v>
      </c>
      <c r="AP78" s="116">
        <f t="shared" si="6"/>
        <v>46156</v>
      </c>
      <c r="AQ7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7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7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13.083333333333334</v>
      </c>
      <c r="AU7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</v>
      </c>
      <c r="AV78" s="82" cm="1">
        <f t="array" aca="1" ref="AV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17.035714285714285</v>
      </c>
      <c r="AW78" s="82" cm="1">
        <f t="array" aca="1" ref="AW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5.6785714285714279</v>
      </c>
      <c r="AX78" s="82">
        <f>SUM(FluxoEstoqueDateTime[[#This Row],[OVO BRANCO A]:[OVO BRANCO JUMBO]])</f>
        <v>41</v>
      </c>
    </row>
    <row r="79" spans="1:50" x14ac:dyDescent="0.25">
      <c r="A79" s="4" t="s">
        <v>20</v>
      </c>
      <c r="B79" s="55" t="s">
        <v>14</v>
      </c>
      <c r="C79" s="5">
        <v>4</v>
      </c>
      <c r="D79" s="56">
        <v>23</v>
      </c>
      <c r="E79" s="56">
        <v>92</v>
      </c>
      <c r="F79" s="157">
        <v>46216</v>
      </c>
      <c r="G79" s="4" t="s">
        <v>291</v>
      </c>
      <c r="H79" s="4" t="s">
        <v>149</v>
      </c>
      <c r="I79" s="153">
        <v>27</v>
      </c>
      <c r="J79" s="12">
        <v>0.29343297101449278</v>
      </c>
      <c r="T79" s="248"/>
      <c r="U79" s="249"/>
      <c r="Z79" s="116">
        <f t="shared" si="4"/>
        <v>46155</v>
      </c>
      <c r="AA7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7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7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7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7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7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24.142857142857142</v>
      </c>
      <c r="AG7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40.150732623326064</v>
      </c>
      <c r="AH79" s="116">
        <f t="shared" si="5"/>
        <v>46155</v>
      </c>
      <c r="AI79" s="1" t="str" cm="1">
        <f t="array" ref="AI79">IFERROR(_xlfn.IFS(AQ79="","Sem Produto",AND(AQ79/(AA79/12)&gt;0,AQ79/(AA79/12)&lt;=2),"Acabando",AND(AQ79/(AA79/12)&gt;2,AQ79/(AA79/12)&lt;=3),"Fazer Pedido",AND(AQ79/(AA79/12)&gt;3,AQ79/(AA79/12)&lt;=7),"OK",AND(AQ79/(AA79/12)&gt;7,AQ79/(AA79/12)&lt;=14),"Abaixar Preço",AND(AQ79/(AA79/12)&gt;14,AQ79/(AA79/12)&lt;=20),"Estabilizando",AQ79/(AA79/12)&gt;20,"Instavel"),"Instavel")</f>
        <v>Estabilizando</v>
      </c>
      <c r="AJ79" s="1" t="str" cm="1">
        <f t="array" ref="AJ79">IFERROR(_xlfn.IFS(AR79="","Sem Produto",AND(AR79/(AB79/12)&gt;0,AR79/(AB79/12)&lt;=2),"Acabando",AND(AR79/(AB79/12)&gt;2,AR79/(AB79/12)&lt;=3),"Fazer Pedido",AND(AR79/(AB79/12)&gt;3,AR79/(AB79/12)&lt;=7),"OK",AND(AR79/(AB79/12)&gt;7,AR79/(AB79/12)&lt;=14),"Abaixar Preço",AND(AR79/(AB79/12)&gt;14,AR79/(AB79/12)&lt;=20),"Estabilizando",AR79/(AB79/12)&gt;20,"Instavel"),"Instavel")</f>
        <v>Sem Produto</v>
      </c>
      <c r="AK79" s="1" t="str" cm="1">
        <f t="array" ref="AK79">IFERROR(_xlfn.IFS(AS79="","Sem Produto",AND(AS79/(AC79/12)&gt;0,AS79/(AC79/12)&lt;=2),"Acabando",AND(AS79/(AC79/12)&gt;2,AS79/(AC79/12)&lt;=3),"Fazer Pedido",AND(AS79/(AC79/12)&gt;3,AS79/(AC79/12)&lt;=7),"OK",AND(AS79/(AC79/12)&gt;7,AS79/(AC79/12)&lt;=14),"Abaixar Preço",AND(AS79/(AC79/12)&gt;14,AS79/(AC79/12)&lt;=20),"Estabilizando",AS79/(AC79/12)&gt;20,"Instavel"),"Instavel")</f>
        <v>Sem Produto</v>
      </c>
      <c r="AL79" s="1" t="str" cm="1">
        <f t="array" ref="AL79">IFERROR(_xlfn.IFS(AT79="","Sem Produto",AND(AT79/(AD79/12)&gt;0,AT79/(AD79/12)&lt;=2),"Acabando",AND(AT79/(AD79/12)&gt;2,AT79/(AD79/12)&lt;=3),"Fazer Pedido",AND(AT79/(AD79/12)&gt;3,AT79/(AD79/12)&lt;=7),"OK",AND(AT79/(AD79/12)&gt;7,AT79/(AD79/12)&lt;=14),"Abaixar Preço",AND(AT79/(AD79/12)&gt;14,AT79/(AD79/12)&lt;=20),"Estabilizando",AT79/(AD79/12)&gt;20,"Instavel"),"Instavel")</f>
        <v>OK</v>
      </c>
      <c r="AM79" s="1" t="str" cm="1">
        <f t="array" ref="AM79">IFERROR(_xlfn.IFS(AU79="","Sem Produto",AND(AU79/(AE79/12)&gt;0,AU79/(AE79/12)&lt;=2),"Acabando",AND(AU79/(AE79/12)&gt;2,AU79/(AE79/12)&lt;=3),"Fazer Pedido",AND(AU79/(AE79/12)&gt;3,AU79/(AE79/12)&lt;=7),"OK",AND(AU79/(AE79/12)&gt;7,AU79/(AE79/12)&lt;=14),"Abaixar Preço",AND(AU79/(AE79/12)&gt;14,AU79/(AE79/12)&lt;=20),"Estabilizando",AU79/(AE79/12)&gt;20,"Instavel"),"Instavel")</f>
        <v>Abaixar Preço</v>
      </c>
      <c r="AN79" s="1" t="str">
        <f ca="1">IF(SUMIF(vendaAno[data],SituaçãoEstoqueFluxo[[#This Row],[data]],vendaAno[estoque])=0,"Algo errado",IF(AND(AX79/AW79&gt;0,AX79/AW79&lt;=1),"Alerta",IF(AND(AX79/AW79&gt;1,AX79/AW79&lt;=1.5),"Fazer pedido",IF(AND(AX79/AW79&gt;1.5,AX79/AW79&lt;=2),"Ok",IF(AND(AX79/AW79&gt;2,AX79/AW79&lt;=2.5),"Estabilizando",IF(AND(AX79/AW79&gt;2.5,AX79/AW79&lt;=3),"Cheio","Abaixar preço"))))))</f>
        <v>Estabilizando</v>
      </c>
      <c r="AO79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79" s="116">
        <f t="shared" si="6"/>
        <v>46155</v>
      </c>
      <c r="AQ7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4.916666666666667</v>
      </c>
      <c r="AR7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7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7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3.5</v>
      </c>
      <c r="AU7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79" s="82" cm="1">
        <f t="array" aca="1" ref="AV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18.107142857142858</v>
      </c>
      <c r="AW79" s="82" cm="1">
        <f t="array" aca="1" ref="AW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6.0357142857142856</v>
      </c>
      <c r="AX79" s="82">
        <f>SUM(FluxoEstoqueDateTime[[#This Row],[OVO BRANCO A]:[OVO BRANCO JUMBO]])</f>
        <v>12.75</v>
      </c>
    </row>
    <row r="80" spans="1:50" x14ac:dyDescent="0.25">
      <c r="A80" s="4" t="s">
        <v>20</v>
      </c>
      <c r="B80" s="55" t="s">
        <v>13</v>
      </c>
      <c r="C80" s="5">
        <v>11</v>
      </c>
      <c r="D80" s="56">
        <v>20</v>
      </c>
      <c r="E80" s="56">
        <v>220</v>
      </c>
      <c r="F80" s="157">
        <v>46216</v>
      </c>
      <c r="G80" s="4" t="s">
        <v>291</v>
      </c>
      <c r="H80" s="4" t="s">
        <v>149</v>
      </c>
      <c r="I80" s="153">
        <v>49.48</v>
      </c>
      <c r="J80" s="12">
        <v>0.22488962472406185</v>
      </c>
      <c r="T80" s="246"/>
      <c r="U80" s="247"/>
      <c r="Z80" s="116">
        <f t="shared" si="4"/>
        <v>46154</v>
      </c>
      <c r="AA8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8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8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8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8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27.571428571428573</v>
      </c>
      <c r="AG8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39.531906596393391</v>
      </c>
      <c r="AH80" s="116">
        <f t="shared" si="5"/>
        <v>46154</v>
      </c>
      <c r="AI80" s="1" t="str" cm="1">
        <f t="array" ref="AI80">IFERROR(_xlfn.IFS(AQ80="","Sem Produto",AND(AQ80/(AA80/12)&gt;0,AQ80/(AA80/12)&lt;=2),"Acabando",AND(AQ80/(AA80/12)&gt;2,AQ80/(AA80/12)&lt;=3),"Fazer Pedido",AND(AQ80/(AA80/12)&gt;3,AQ80/(AA80/12)&lt;=7),"OK",AND(AQ80/(AA80/12)&gt;7,AQ80/(AA80/12)&lt;=14),"Abaixar Preço",AND(AQ80/(AA80/12)&gt;14,AQ80/(AA80/12)&lt;=20),"Estabilizando",AQ80/(AA80/12)&gt;20,"Instavel"),"Instavel")</f>
        <v>Estabilizando</v>
      </c>
      <c r="AJ80" s="1" t="str" cm="1">
        <f t="array" ref="AJ80">IFERROR(_xlfn.IFS(AR80="","Sem Produto",AND(AR80/(AB80/12)&gt;0,AR80/(AB80/12)&lt;=2),"Acabando",AND(AR80/(AB80/12)&gt;2,AR80/(AB80/12)&lt;=3),"Fazer Pedido",AND(AR80/(AB80/12)&gt;3,AR80/(AB80/12)&lt;=7),"OK",AND(AR80/(AB80/12)&gt;7,AR80/(AB80/12)&lt;=14),"Abaixar Preço",AND(AR80/(AB80/12)&gt;14,AR80/(AB80/12)&lt;=20),"Estabilizando",AR80/(AB80/12)&gt;20,"Instavel"),"Instavel")</f>
        <v>Sem Produto</v>
      </c>
      <c r="AK80" s="1" t="str" cm="1">
        <f t="array" ref="AK80">IFERROR(_xlfn.IFS(AS80="","Sem Produto",AND(AS80/(AC80/12)&gt;0,AS80/(AC80/12)&lt;=2),"Acabando",AND(AS80/(AC80/12)&gt;2,AS80/(AC80/12)&lt;=3),"Fazer Pedido",AND(AS80/(AC80/12)&gt;3,AS80/(AC80/12)&lt;=7),"OK",AND(AS80/(AC80/12)&gt;7,AS80/(AC80/12)&lt;=14),"Abaixar Preço",AND(AS80/(AC80/12)&gt;14,AS80/(AC80/12)&lt;=20),"Estabilizando",AS80/(AC80/12)&gt;20,"Instavel"),"Instavel")</f>
        <v>Sem Produto</v>
      </c>
      <c r="AL80" s="1" t="str" cm="1">
        <f t="array" ref="AL80">IFERROR(_xlfn.IFS(AT80="","Sem Produto",AND(AT80/(AD80/12)&gt;0,AT80/(AD80/12)&lt;=2),"Acabando",AND(AT80/(AD80/12)&gt;2,AT80/(AD80/12)&lt;=3),"Fazer Pedido",AND(AT80/(AD80/12)&gt;3,AT80/(AD80/12)&lt;=7),"OK",AND(AT80/(AD80/12)&gt;7,AT80/(AD80/12)&lt;=14),"Abaixar Preço",AND(AT80/(AD80/12)&gt;14,AT80/(AD80/12)&lt;=20),"Estabilizando",AT80/(AD80/12)&gt;20,"Instavel"),"Instavel")</f>
        <v>OK</v>
      </c>
      <c r="AM80" s="1" t="str" cm="1">
        <f t="array" ref="AM80">IFERROR(_xlfn.IFS(AU80="","Sem Produto",AND(AU80/(AE80/12)&gt;0,AU80/(AE80/12)&lt;=2),"Acabando",AND(AU80/(AE80/12)&gt;2,AU80/(AE80/12)&lt;=3),"Fazer Pedido",AND(AU80/(AE80/12)&gt;3,AU80/(AE80/12)&lt;=7),"OK",AND(AU80/(AE80/12)&gt;7,AU80/(AE80/12)&lt;=14),"Abaixar Preço",AND(AU80/(AE80/12)&gt;14,AU80/(AE80/12)&lt;=20),"Estabilizando",AU80/(AE80/12)&gt;20,"Instavel"),"Instavel")</f>
        <v>Abaixar Preço</v>
      </c>
      <c r="AN80" s="1" t="str">
        <f ca="1">IF(SUMIF(vendaAno[data],SituaçãoEstoqueFluxo[[#This Row],[data]],vendaAno[estoque])=0,"Algo errado",IF(AND(AX80/AW80&gt;0,AX80/AW80&lt;=1),"Alerta",IF(AND(AX80/AW80&gt;1,AX80/AW80&lt;=1.5),"Fazer pedido",IF(AND(AX80/AW80&gt;1.5,AX80/AW80&lt;=2),"Ok",IF(AND(AX80/AW80&gt;2,AX80/AW80&lt;=2.5),"Estabilizando",IF(AND(AX80/AW80&gt;2.5,AX80/AW80&lt;=3),"Cheio","Abaixar preço"))))))</f>
        <v>Estabilizando</v>
      </c>
      <c r="AO80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80" s="116">
        <f t="shared" si="6"/>
        <v>46154</v>
      </c>
      <c r="AQ8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8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8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4.25</v>
      </c>
      <c r="AU8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4.5</v>
      </c>
      <c r="AV80" s="82" cm="1">
        <f t="array" aca="1" ref="AV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20.678571428571431</v>
      </c>
      <c r="AW80" s="82" cm="1">
        <f t="array" aca="1" ref="AW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6.8928571428571432</v>
      </c>
      <c r="AX80" s="82">
        <f>SUM(FluxoEstoqueDateTime[[#This Row],[OVO BRANCO A]:[OVO BRANCO JUMBO]])</f>
        <v>15</v>
      </c>
    </row>
    <row r="81" spans="1:50" x14ac:dyDescent="0.25">
      <c r="A81" s="4" t="s">
        <v>20</v>
      </c>
      <c r="B81" s="55" t="s">
        <v>11</v>
      </c>
      <c r="C81" s="5">
        <v>15</v>
      </c>
      <c r="D81" s="56">
        <v>18</v>
      </c>
      <c r="E81" s="56">
        <v>270</v>
      </c>
      <c r="F81" s="157">
        <v>46216</v>
      </c>
      <c r="G81" s="4" t="s">
        <v>291</v>
      </c>
      <c r="H81" s="4" t="s">
        <v>149</v>
      </c>
      <c r="I81" s="153">
        <v>51.24</v>
      </c>
      <c r="J81" s="12">
        <v>0.18976373125963311</v>
      </c>
      <c r="T81" s="248"/>
      <c r="U81" s="249"/>
      <c r="Z81" s="116">
        <f t="shared" si="4"/>
        <v>46153</v>
      </c>
      <c r="AA8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8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8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8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8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8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41.302316483308047</v>
      </c>
      <c r="AH81" s="116">
        <f t="shared" si="5"/>
        <v>46153</v>
      </c>
      <c r="AI81" s="1" t="str" cm="1">
        <f t="array" ref="AI81">IFERROR(_xlfn.IFS(AQ81="","Sem Produto",AND(AQ81/(AA81/12)&gt;0,AQ81/(AA81/12)&lt;=2),"Acabando",AND(AQ81/(AA81/12)&gt;2,AQ81/(AA81/12)&lt;=3),"Fazer Pedido",AND(AQ81/(AA81/12)&gt;3,AQ81/(AA81/12)&lt;=7),"OK",AND(AQ81/(AA81/12)&gt;7,AQ81/(AA81/12)&lt;=14),"Abaixar Preço",AND(AQ81/(AA81/12)&gt;14,AQ81/(AA81/12)&lt;=20),"Estabilizando",AQ81/(AA81/12)&gt;20,"Instavel"),"Instavel")</f>
        <v>Estabilizando</v>
      </c>
      <c r="AJ81" s="1" t="str" cm="1">
        <f t="array" ref="AJ81">IFERROR(_xlfn.IFS(AR81="","Sem Produto",AND(AR81/(AB81/12)&gt;0,AR81/(AB81/12)&lt;=2),"Acabando",AND(AR81/(AB81/12)&gt;2,AR81/(AB81/12)&lt;=3),"Fazer Pedido",AND(AR81/(AB81/12)&gt;3,AR81/(AB81/12)&lt;=7),"OK",AND(AR81/(AB81/12)&gt;7,AR81/(AB81/12)&lt;=14),"Abaixar Preço",AND(AR81/(AB81/12)&gt;14,AR81/(AB81/12)&lt;=20),"Estabilizando",AR81/(AB81/12)&gt;20,"Instavel"),"Instavel")</f>
        <v>Acabando</v>
      </c>
      <c r="AK81" s="1" t="str" cm="1">
        <f t="array" ref="AK81">IFERROR(_xlfn.IFS(AS81="","Sem Produto",AND(AS81/(AC81/12)&gt;0,AS81/(AC81/12)&lt;=2),"Acabando",AND(AS81/(AC81/12)&gt;2,AS81/(AC81/12)&lt;=3),"Fazer Pedido",AND(AS81/(AC81/12)&gt;3,AS81/(AC81/12)&lt;=7),"OK",AND(AS81/(AC81/12)&gt;7,AS81/(AC81/12)&lt;=14),"Abaixar Preço",AND(AS81/(AC81/12)&gt;14,AS81/(AC81/12)&lt;=20),"Estabilizando",AS81/(AC81/12)&gt;20,"Instavel"),"Instavel")</f>
        <v>Sem Produto</v>
      </c>
      <c r="AL81" s="1" t="str" cm="1">
        <f t="array" ref="AL81">IFERROR(_xlfn.IFS(AT81="","Sem Produto",AND(AT81/(AD81/12)&gt;0,AT81/(AD81/12)&lt;=2),"Acabando",AND(AT81/(AD81/12)&gt;2,AT81/(AD81/12)&lt;=3),"Fazer Pedido",AND(AT81/(AD81/12)&gt;3,AT81/(AD81/12)&lt;=7),"OK",AND(AT81/(AD81/12)&gt;7,AT81/(AD81/12)&lt;=14),"Abaixar Preço",AND(AT81/(AD81/12)&gt;14,AT81/(AD81/12)&lt;=20),"Estabilizando",AT81/(AD81/12)&gt;20,"Instavel"),"Instavel")</f>
        <v>Abaixar Preço</v>
      </c>
      <c r="AM81" s="1" t="str" cm="1">
        <f t="array" ref="AM81">IFERROR(_xlfn.IFS(AU81="","Sem Produto",AND(AU81/(AE81/12)&gt;0,AU81/(AE81/12)&lt;=2),"Acabando",AND(AU81/(AE81/12)&gt;2,AU81/(AE81/12)&lt;=3),"Fazer Pedido",AND(AU81/(AE81/12)&gt;3,AU81/(AE81/12)&lt;=7),"OK",AND(AU81/(AE81/12)&gt;7,AU81/(AE81/12)&lt;=14),"Abaixar Preço",AND(AU81/(AE81/12)&gt;14,AU81/(AE81/12)&lt;=20),"Estabilizando",AU81/(AE81/12)&gt;20,"Instavel"),"Instavel")</f>
        <v>Abaixar Preço</v>
      </c>
      <c r="AN81" s="1" t="str">
        <f ca="1">IF(SUMIF(vendaAno[data],SituaçãoEstoqueFluxo[[#This Row],[data]],vendaAno[estoque])=0,"Algo errado",IF(AND(AX81/AW81&gt;0,AX81/AW81&lt;=1),"Alerta",IF(AND(AX81/AW81&gt;1,AX81/AW81&lt;=1.5),"Fazer pedido",IF(AND(AX81/AW81&gt;1.5,AX81/AW81&lt;=2),"Ok",IF(AND(AX81/AW81&gt;2,AX81/AW81&lt;=2.5),"Estabilizando",IF(AND(AX81/AW81&gt;2.5,AX81/AW81&lt;=3),"Cheio","Abaixar preço"))))))</f>
        <v>Estabilizando</v>
      </c>
      <c r="AO81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81" s="116">
        <f t="shared" si="6"/>
        <v>46153</v>
      </c>
      <c r="AQ8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8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0.33333333333333331</v>
      </c>
      <c r="AS8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5.083333333333333</v>
      </c>
      <c r="AU8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81" s="82" cm="1">
        <f t="array" aca="1" ref="AV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81" s="82" cm="1">
        <f t="array" aca="1" ref="AW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81" s="82">
        <f>SUM(FluxoEstoqueDateTime[[#This Row],[OVO BRANCO A]:[OVO BRANCO JUMBO]])</f>
        <v>16.916666666666664</v>
      </c>
    </row>
    <row r="82" spans="1:50" x14ac:dyDescent="0.25">
      <c r="A82" s="4" t="s">
        <v>20</v>
      </c>
      <c r="B82" s="55" t="s">
        <v>10</v>
      </c>
      <c r="C82" s="5">
        <v>10</v>
      </c>
      <c r="D82" s="56">
        <v>19</v>
      </c>
      <c r="E82" s="56">
        <v>190</v>
      </c>
      <c r="F82" s="157">
        <v>46216</v>
      </c>
      <c r="G82" s="4" t="s">
        <v>291</v>
      </c>
      <c r="H82" s="4" t="s">
        <v>149</v>
      </c>
      <c r="I82" s="153">
        <v>39.4</v>
      </c>
      <c r="J82" s="12">
        <v>0.20739348370927316</v>
      </c>
      <c r="N82" s="97"/>
      <c r="Z82" s="116">
        <f t="shared" si="4"/>
        <v>46152</v>
      </c>
      <c r="AA8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8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8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8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8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8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40.165597147950102</v>
      </c>
      <c r="AH82" s="116">
        <f t="shared" si="5"/>
        <v>46152</v>
      </c>
      <c r="AI82" s="1" t="str" cm="1">
        <f t="array" ref="AI82">IFERROR(_xlfn.IFS(AQ82="","Sem Produto",AND(AQ82/(AA82/12)&gt;0,AQ82/(AA82/12)&lt;=2),"Acabando",AND(AQ82/(AA82/12)&gt;2,AQ82/(AA82/12)&lt;=3),"Fazer Pedido",AND(AQ82/(AA82/12)&gt;3,AQ82/(AA82/12)&lt;=7),"OK",AND(AQ82/(AA82/12)&gt;7,AQ82/(AA82/12)&lt;=14),"Abaixar Preço",AND(AQ82/(AA82/12)&gt;14,AQ82/(AA82/12)&lt;=20),"Estabilizando",AQ82/(AA82/12)&gt;20,"Instavel"),"Instavel")</f>
        <v>Estabilizando</v>
      </c>
      <c r="AJ82" s="1" t="str" cm="1">
        <f t="array" ref="AJ82">IFERROR(_xlfn.IFS(AR82="","Sem Produto",AND(AR82/(AB82/12)&gt;0,AR82/(AB82/12)&lt;=2),"Acabando",AND(AR82/(AB82/12)&gt;2,AR82/(AB82/12)&lt;=3),"Fazer Pedido",AND(AR82/(AB82/12)&gt;3,AR82/(AB82/12)&lt;=7),"OK",AND(AR82/(AB82/12)&gt;7,AR82/(AB82/12)&lt;=14),"Abaixar Preço",AND(AR82/(AB82/12)&gt;14,AR82/(AB82/12)&lt;=20),"Estabilizando",AR82/(AB82/12)&gt;20,"Instavel"),"Instavel")</f>
        <v>Fazer Pedido</v>
      </c>
      <c r="AK82" s="1" t="str" cm="1">
        <f t="array" ref="AK82">IFERROR(_xlfn.IFS(AS82="","Sem Produto",AND(AS82/(AC82/12)&gt;0,AS82/(AC82/12)&lt;=2),"Acabando",AND(AS82/(AC82/12)&gt;2,AS82/(AC82/12)&lt;=3),"Fazer Pedido",AND(AS82/(AC82/12)&gt;3,AS82/(AC82/12)&lt;=7),"OK",AND(AS82/(AC82/12)&gt;7,AS82/(AC82/12)&lt;=14),"Abaixar Preço",AND(AS82/(AC82/12)&gt;14,AS82/(AC82/12)&lt;=20),"Estabilizando",AS82/(AC82/12)&gt;20,"Instavel"),"Instavel")</f>
        <v>Sem Produto</v>
      </c>
      <c r="AL82" s="1" t="str" cm="1">
        <f t="array" ref="AL82">IFERROR(_xlfn.IFS(AT82="","Sem Produto",AND(AT82/(AD82/12)&gt;0,AT82/(AD82/12)&lt;=2),"Acabando",AND(AT82/(AD82/12)&gt;2,AT82/(AD82/12)&lt;=3),"Fazer Pedido",AND(AT82/(AD82/12)&gt;3,AT82/(AD82/12)&lt;=7),"OK",AND(AT82/(AD82/12)&gt;7,AT82/(AD82/12)&lt;=14),"Abaixar Preço",AND(AT82/(AD82/12)&gt;14,AT82/(AD82/12)&lt;=20),"Estabilizando",AT82/(AD82/12)&gt;20,"Instavel"),"Instavel")</f>
        <v>Abaixar Preço</v>
      </c>
      <c r="AM82" s="1" t="str" cm="1">
        <f t="array" ref="AM82">IFERROR(_xlfn.IFS(AU82="","Sem Produto",AND(AU82/(AE82/12)&gt;0,AU82/(AE82/12)&lt;=2),"Acabando",AND(AU82/(AE82/12)&gt;2,AU82/(AE82/12)&lt;=3),"Fazer Pedido",AND(AU82/(AE82/12)&gt;3,AU82/(AE82/12)&lt;=7),"OK",AND(AU82/(AE82/12)&gt;7,AU82/(AE82/12)&lt;=14),"Abaixar Preço",AND(AU82/(AE82/12)&gt;14,AU82/(AE82/12)&lt;=20),"Estabilizando",AU82/(AE82/12)&gt;20,"Instavel"),"Instavel")</f>
        <v>Estabilizando</v>
      </c>
      <c r="AN82" s="1" t="str">
        <f ca="1">IF(SUMIF(vendaAno[data],SituaçãoEstoqueFluxo[[#This Row],[data]],vendaAno[estoque])=0,"Algo errado",IF(AND(AX82/AW82&gt;0,AX82/AW82&lt;=1),"Alerta",IF(AND(AX82/AW82&gt;1,AX82/AW82&lt;=1.5),"Fazer pedido",IF(AND(AX82/AW82&gt;1.5,AX82/AW82&lt;=2),"Ok",IF(AND(AX82/AW82&gt;2,AX82/AW82&lt;=2.5),"Estabilizando",IF(AND(AX82/AW82&gt;2.5,AX82/AW82&lt;=3),"Cheio","Abaixar preço"))))))</f>
        <v>Cheio</v>
      </c>
      <c r="AO82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82" s="116">
        <f t="shared" si="6"/>
        <v>46152</v>
      </c>
      <c r="AQ8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8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2.1666666666666665</v>
      </c>
      <c r="AS8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8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82" s="82" cm="1">
        <f t="array" aca="1" ref="AV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20.892857142857146</v>
      </c>
      <c r="AW82" s="82" cm="1">
        <f t="array" aca="1" ref="AW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82" s="82">
        <f>SUM(FluxoEstoqueDateTime[[#This Row],[OVO BRANCO A]:[OVO BRANCO JUMBO]])</f>
        <v>20.75</v>
      </c>
    </row>
    <row r="83" spans="1:50" x14ac:dyDescent="0.25">
      <c r="A83" s="4" t="s">
        <v>20</v>
      </c>
      <c r="B83" s="55" t="s">
        <v>14</v>
      </c>
      <c r="C83" s="5">
        <v>16</v>
      </c>
      <c r="D83" s="56">
        <v>23</v>
      </c>
      <c r="E83" s="56">
        <v>368</v>
      </c>
      <c r="F83" s="157">
        <v>46215</v>
      </c>
      <c r="G83" s="4" t="s">
        <v>93</v>
      </c>
      <c r="H83" s="4" t="s">
        <v>149</v>
      </c>
      <c r="I83" s="153">
        <v>107.98</v>
      </c>
      <c r="J83" s="12">
        <v>0.29343297101449278</v>
      </c>
      <c r="Z83" s="116">
        <f t="shared" si="4"/>
        <v>46151</v>
      </c>
      <c r="AA8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4.8571428571428568</v>
      </c>
      <c r="AB8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8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8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8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8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40.248215682440367</v>
      </c>
      <c r="AH83" s="116">
        <f t="shared" si="5"/>
        <v>46151</v>
      </c>
      <c r="AI83" s="1" t="str" cm="1">
        <f t="array" ref="AI83">IFERROR(_xlfn.IFS(AQ83="","Sem Produto",AND(AQ83/(AA83/12)&gt;0,AQ83/(AA83/12)&lt;=2),"Acabando",AND(AQ83/(AA83/12)&gt;2,AQ83/(AA83/12)&lt;=3),"Fazer Pedido",AND(AQ83/(AA83/12)&gt;3,AQ83/(AA83/12)&lt;=7),"OK",AND(AQ83/(AA83/12)&gt;7,AQ83/(AA83/12)&lt;=14),"Abaixar Preço",AND(AQ83/(AA83/12)&gt;14,AQ83/(AA83/12)&lt;=20),"Estabilizando",AQ83/(AA83/12)&gt;20,"Instavel"),"Instavel")</f>
        <v>Estabilizando</v>
      </c>
      <c r="AJ83" s="1" t="str" cm="1">
        <f t="array" ref="AJ83">IFERROR(_xlfn.IFS(AR83="","Sem Produto",AND(AR83/(AB83/12)&gt;0,AR83/(AB83/12)&lt;=2),"Acabando",AND(AR83/(AB83/12)&gt;2,AR83/(AB83/12)&lt;=3),"Fazer Pedido",AND(AR83/(AB83/12)&gt;3,AR83/(AB83/12)&lt;=7),"OK",AND(AR83/(AB83/12)&gt;7,AR83/(AB83/12)&lt;=14),"Abaixar Preço",AND(AR83/(AB83/12)&gt;14,AR83/(AB83/12)&lt;=20),"Estabilizando",AR83/(AB83/12)&gt;20,"Instavel"),"Instavel")</f>
        <v>OK</v>
      </c>
      <c r="AK83" s="1" t="str" cm="1">
        <f t="array" ref="AK83">IFERROR(_xlfn.IFS(AS83="","Sem Produto",AND(AS83/(AC83/12)&gt;0,AS83/(AC83/12)&lt;=2),"Acabando",AND(AS83/(AC83/12)&gt;2,AS83/(AC83/12)&lt;=3),"Fazer Pedido",AND(AS83/(AC83/12)&gt;3,AS83/(AC83/12)&lt;=7),"OK",AND(AS83/(AC83/12)&gt;7,AS83/(AC83/12)&lt;=14),"Abaixar Preço",AND(AS83/(AC83/12)&gt;14,AS83/(AC83/12)&lt;=20),"Estabilizando",AS83/(AC83/12)&gt;20,"Instavel"),"Instavel")</f>
        <v>Sem Produto</v>
      </c>
      <c r="AL83" s="1" t="str" cm="1">
        <f t="array" ref="AL83">IFERROR(_xlfn.IFS(AT83="","Sem Produto",AND(AT83/(AD83/12)&gt;0,AT83/(AD83/12)&lt;=2),"Acabando",AND(AT83/(AD83/12)&gt;2,AT83/(AD83/12)&lt;=3),"Fazer Pedido",AND(AT83/(AD83/12)&gt;3,AT83/(AD83/12)&lt;=7),"OK",AND(AT83/(AD83/12)&gt;7,AT83/(AD83/12)&lt;=14),"Abaixar Preço",AND(AT83/(AD83/12)&gt;14,AT83/(AD83/12)&lt;=20),"Estabilizando",AT83/(AD83/12)&gt;20,"Instavel"),"Instavel")</f>
        <v>Abaixar Preço</v>
      </c>
      <c r="AM83" s="1" t="str" cm="1">
        <f t="array" ref="AM83">IFERROR(_xlfn.IFS(AU83="","Sem Produto",AND(AU83/(AE83/12)&gt;0,AU83/(AE83/12)&lt;=2),"Acabando",AND(AU83/(AE83/12)&gt;2,AU83/(AE83/12)&lt;=3),"Fazer Pedido",AND(AU83/(AE83/12)&gt;3,AU83/(AE83/12)&lt;=7),"OK",AND(AU83/(AE83/12)&gt;7,AU83/(AE83/12)&lt;=14),"Abaixar Preço",AND(AU83/(AE83/12)&gt;14,AU83/(AE83/12)&lt;=20),"Estabilizando",AU83/(AE83/12)&gt;20,"Instavel"),"Instavel")</f>
        <v>Estabilizando</v>
      </c>
      <c r="AN83" s="1" t="str">
        <f ca="1">IF(SUMIF(vendaAno[data],SituaçãoEstoqueFluxo[[#This Row],[data]],vendaAno[estoque])=0,"Algo errado",IF(AND(AX83/AW83&gt;0,AX83/AW83&lt;=1),"Alerta",IF(AND(AX83/AW83&gt;1,AX83/AW83&lt;=1.5),"Fazer pedido",IF(AND(AX83/AW83&gt;1.5,AX83/AW83&lt;=2),"Ok",IF(AND(AX83/AW83&gt;2,AX83/AW83&lt;=2.5),"Estabilizando",IF(AND(AX83/AW83&gt;2.5,AX83/AW83&lt;=3),"Cheio","Abaixar preço"))))))</f>
        <v>Abaixar preço</v>
      </c>
      <c r="AO83" s="82">
        <f>SUMIFS(estoque[quantidade],estoque[fornecedor],"&lt;&gt;saída",estoque[data],SituaçãoEstoqueFluxo[[#This Row],[data]])-SUMIFS(estoque[quantidade],estoque[fornecedor],"saída",estoque[data],SituaçãoEstoqueFluxo[[#This Row],[data]])</f>
        <v>-3</v>
      </c>
      <c r="AP83" s="116">
        <f t="shared" si="6"/>
        <v>46151</v>
      </c>
      <c r="AQ8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8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2.4166666666666665</v>
      </c>
      <c r="AS8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8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6.416666666666667</v>
      </c>
      <c r="AV83" s="82" cm="1">
        <f t="array" aca="1" ref="AV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83" s="82" cm="1">
        <f t="array" aca="1" ref="AW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83" s="82">
        <f>SUM(FluxoEstoqueDateTime[[#This Row],[OVO BRANCO A]:[OVO BRANCO JUMBO]])</f>
        <v>21.833333333333332</v>
      </c>
    </row>
    <row r="84" spans="1:50" x14ac:dyDescent="0.25">
      <c r="A84" s="4" t="s">
        <v>20</v>
      </c>
      <c r="B84" s="55" t="s">
        <v>13</v>
      </c>
      <c r="C84" s="5">
        <v>8</v>
      </c>
      <c r="D84" s="56">
        <v>20</v>
      </c>
      <c r="E84" s="56">
        <v>160</v>
      </c>
      <c r="F84" s="157">
        <v>46215</v>
      </c>
      <c r="G84" s="4" t="s">
        <v>93</v>
      </c>
      <c r="H84" s="4" t="s">
        <v>149</v>
      </c>
      <c r="I84" s="153">
        <v>35.979999999999997</v>
      </c>
      <c r="J84" s="12">
        <v>0.22488962472406185</v>
      </c>
      <c r="Z84" s="116">
        <f t="shared" si="4"/>
        <v>46150</v>
      </c>
      <c r="AA8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8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11.142857142857142</v>
      </c>
      <c r="AC8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9.1428571428571423</v>
      </c>
      <c r="AE8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8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8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42.333128875407048</v>
      </c>
      <c r="AH84" s="116">
        <f t="shared" si="5"/>
        <v>46150</v>
      </c>
      <c r="AI84" s="1" t="str" cm="1">
        <f t="array" ref="AI84">IFERROR(_xlfn.IFS(AQ84="","Sem Produto",AND(AQ84/(AA84/12)&gt;0,AQ84/(AA84/12)&lt;=2),"Acabando",AND(AQ84/(AA84/12)&gt;2,AQ84/(AA84/12)&lt;=3),"Fazer Pedido",AND(AQ84/(AA84/12)&gt;3,AQ84/(AA84/12)&lt;=7),"OK",AND(AQ84/(AA84/12)&gt;7,AQ84/(AA84/12)&lt;=14),"Abaixar Preço",AND(AQ84/(AA84/12)&gt;14,AQ84/(AA84/12)&lt;=20),"Estabilizando",AQ84/(AA84/12)&gt;20,"Instavel"),"Instavel")</f>
        <v>Abaixar Preço</v>
      </c>
      <c r="AJ84" s="1" t="str" cm="1">
        <f t="array" ref="AJ84">IFERROR(_xlfn.IFS(AR84="","Sem Produto",AND(AR84/(AB84/12)&gt;0,AR84/(AB84/12)&lt;=2),"Acabando",AND(AR84/(AB84/12)&gt;2,AR84/(AB84/12)&lt;=3),"Fazer Pedido",AND(AR84/(AB84/12)&gt;3,AR84/(AB84/12)&lt;=7),"OK",AND(AR84/(AB84/12)&gt;7,AR84/(AB84/12)&lt;=14),"Abaixar Preço",AND(AR84/(AB84/12)&gt;14,AR84/(AB84/12)&lt;=20),"Estabilizando",AR84/(AB84/12)&gt;20,"Instavel"),"Instavel")</f>
        <v>Fazer Pedido</v>
      </c>
      <c r="AK84" s="1" t="str" cm="1">
        <f t="array" ref="AK84">IFERROR(_xlfn.IFS(AS84="","Sem Produto",AND(AS84/(AC84/12)&gt;0,AS84/(AC84/12)&lt;=2),"Acabando",AND(AS84/(AC84/12)&gt;2,AS84/(AC84/12)&lt;=3),"Fazer Pedido",AND(AS84/(AC84/12)&gt;3,AS84/(AC84/12)&lt;=7),"OK",AND(AS84/(AC84/12)&gt;7,AS84/(AC84/12)&lt;=14),"Abaixar Preço",AND(AS84/(AC84/12)&gt;14,AS84/(AC84/12)&lt;=20),"Estabilizando",AS84/(AC84/12)&gt;20,"Instavel"),"Instavel")</f>
        <v>Sem Produto</v>
      </c>
      <c r="AL84" s="1" t="str" cm="1">
        <f t="array" ref="AL84">IFERROR(_xlfn.IFS(AT84="","Sem Produto",AND(AT84/(AD84/12)&gt;0,AT84/(AD84/12)&lt;=2),"Acabando",AND(AT84/(AD84/12)&gt;2,AT84/(AD84/12)&lt;=3),"Fazer Pedido",AND(AT84/(AD84/12)&gt;3,AT84/(AD84/12)&lt;=7),"OK",AND(AT84/(AD84/12)&gt;7,AT84/(AD84/12)&lt;=14),"Abaixar Preço",AND(AT84/(AD84/12)&gt;14,AT84/(AD84/12)&lt;=20),"Estabilizando",AT84/(AD84/12)&gt;20,"Instavel"),"Instavel")</f>
        <v>Abaixar Preço</v>
      </c>
      <c r="AM84" s="1" t="str" cm="1">
        <f t="array" ref="AM84">IFERROR(_xlfn.IFS(AU84="","Sem Produto",AND(AU84/(AE84/12)&gt;0,AU84/(AE84/12)&lt;=2),"Acabando",AND(AU84/(AE84/12)&gt;2,AU84/(AE84/12)&lt;=3),"Fazer Pedido",AND(AU84/(AE84/12)&gt;3,AU84/(AE84/12)&lt;=7),"OK",AND(AU84/(AE84/12)&gt;7,AU84/(AE84/12)&lt;=14),"Abaixar Preço",AND(AU84/(AE84/12)&gt;14,AU84/(AE84/12)&lt;=20),"Estabilizando",AU84/(AE84/12)&gt;20,"Instavel"),"Instavel")</f>
        <v>Estabilizando</v>
      </c>
      <c r="AN84" s="1" t="str">
        <f ca="1">IF(SUMIF(vendaAno[data],SituaçãoEstoqueFluxo[[#This Row],[data]],vendaAno[estoque])=0,"Algo errado",IF(AND(AX84/AW84&gt;0,AX84/AW84&lt;=1),"Alerta",IF(AND(AX84/AW84&gt;1,AX84/AW84&lt;=1.5),"Fazer pedido",IF(AND(AX84/AW84&gt;1.5,AX84/AW84&lt;=2),"Ok",IF(AND(AX84/AW84&gt;2,AX84/AW84&lt;=2.5),"Estabilizando",IF(AND(AX84/AW84&gt;2.5,AX84/AW84&lt;=3),"Cheio","Abaixar preço"))))))</f>
        <v>Cheio</v>
      </c>
      <c r="AO84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84" s="116">
        <f t="shared" si="6"/>
        <v>46150</v>
      </c>
      <c r="AQ8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8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2.5</v>
      </c>
      <c r="AS8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8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6.416666666666667</v>
      </c>
      <c r="AV84" s="82" cm="1">
        <f t="array" aca="1" ref="AV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84" s="82" cm="1">
        <f t="array" aca="1" ref="AW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84" s="82">
        <f>SUM(FluxoEstoqueDateTime[[#This Row],[OVO BRANCO A]:[OVO BRANCO JUMBO]])</f>
        <v>22.083333333333336</v>
      </c>
    </row>
    <row r="85" spans="1:50" x14ac:dyDescent="0.25">
      <c r="A85" s="4" t="s">
        <v>20</v>
      </c>
      <c r="B85" s="55" t="s">
        <v>11</v>
      </c>
      <c r="C85" s="5">
        <v>10</v>
      </c>
      <c r="D85" s="56">
        <v>18</v>
      </c>
      <c r="E85" s="56">
        <v>174</v>
      </c>
      <c r="F85" s="157">
        <v>46215</v>
      </c>
      <c r="G85" s="4" t="s">
        <v>93</v>
      </c>
      <c r="H85" s="4" t="s">
        <v>149</v>
      </c>
      <c r="I85" s="153">
        <v>28.16</v>
      </c>
      <c r="J85" s="12">
        <v>0.1618245495789308</v>
      </c>
      <c r="L85" t="str" cm="1">
        <f t="array" ref="L85:L88">_xlfn.UNIQUE(estoque[fornecedor])</f>
        <v>saída</v>
      </c>
      <c r="Z85" s="116">
        <f t="shared" si="4"/>
        <v>46149</v>
      </c>
      <c r="AA8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8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8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8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8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8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41.882713754646851</v>
      </c>
      <c r="AH85" s="116">
        <f t="shared" si="5"/>
        <v>46149</v>
      </c>
      <c r="AI85" s="1" t="str" cm="1">
        <f t="array" ref="AI85">IFERROR(_xlfn.IFS(AQ85="","Sem Produto",AND(AQ85/(AA85/12)&gt;0,AQ85/(AA85/12)&lt;=2),"Acabando",AND(AQ85/(AA85/12)&gt;2,AQ85/(AA85/12)&lt;=3),"Fazer Pedido",AND(AQ85/(AA85/12)&gt;3,AQ85/(AA85/12)&lt;=7),"OK",AND(AQ85/(AA85/12)&gt;7,AQ85/(AA85/12)&lt;=14),"Abaixar Preço",AND(AQ85/(AA85/12)&gt;14,AQ85/(AA85/12)&lt;=20),"Estabilizando",AQ85/(AA85/12)&gt;20,"Instavel"),"Instavel")</f>
        <v>Abaixar Preço</v>
      </c>
      <c r="AJ85" s="1" t="str" cm="1">
        <f t="array" ref="AJ85">IFERROR(_xlfn.IFS(AR85="","Sem Produto",AND(AR85/(AB85/12)&gt;0,AR85/(AB85/12)&lt;=2),"Acabando",AND(AR85/(AB85/12)&gt;2,AR85/(AB85/12)&lt;=3),"Fazer Pedido",AND(AR85/(AB85/12)&gt;3,AR85/(AB85/12)&lt;=7),"OK",AND(AR85/(AB85/12)&gt;7,AR85/(AB85/12)&lt;=14),"Abaixar Preço",AND(AR85/(AB85/12)&gt;14,AR85/(AB85/12)&lt;=20),"Estabilizando",AR85/(AB85/12)&gt;20,"Instavel"),"Instavel")</f>
        <v>OK</v>
      </c>
      <c r="AK85" s="1" t="str" cm="1">
        <f t="array" ref="AK85">IFERROR(_xlfn.IFS(AS85="","Sem Produto",AND(AS85/(AC85/12)&gt;0,AS85/(AC85/12)&lt;=2),"Acabando",AND(AS85/(AC85/12)&gt;2,AS85/(AC85/12)&lt;=3),"Fazer Pedido",AND(AS85/(AC85/12)&gt;3,AS85/(AC85/12)&lt;=7),"OK",AND(AS85/(AC85/12)&gt;7,AS85/(AC85/12)&lt;=14),"Abaixar Preço",AND(AS85/(AC85/12)&gt;14,AS85/(AC85/12)&lt;=20),"Estabilizando",AS85/(AC85/12)&gt;20,"Instavel"),"Instavel")</f>
        <v>Sem Produto</v>
      </c>
      <c r="AL85" s="1" t="str" cm="1">
        <f t="array" ref="AL85">IFERROR(_xlfn.IFS(AT85="","Sem Produto",AND(AT85/(AD85/12)&gt;0,AT85/(AD85/12)&lt;=2),"Acabando",AND(AT85/(AD85/12)&gt;2,AT85/(AD85/12)&lt;=3),"Fazer Pedido",AND(AT85/(AD85/12)&gt;3,AT85/(AD85/12)&lt;=7),"OK",AND(AT85/(AD85/12)&gt;7,AT85/(AD85/12)&lt;=14),"Abaixar Preço",AND(AT85/(AD85/12)&gt;14,AT85/(AD85/12)&lt;=20),"Estabilizando",AT85/(AD85/12)&gt;20,"Instavel"),"Instavel")</f>
        <v>Abaixar Preço</v>
      </c>
      <c r="AM85" s="1" t="str" cm="1">
        <f t="array" ref="AM85">IFERROR(_xlfn.IFS(AU85="","Sem Produto",AND(AU85/(AE85/12)&gt;0,AU85/(AE85/12)&lt;=2),"Acabando",AND(AU85/(AE85/12)&gt;2,AU85/(AE85/12)&lt;=3),"Fazer Pedido",AND(AU85/(AE85/12)&gt;3,AU85/(AE85/12)&lt;=7),"OK",AND(AU85/(AE85/12)&gt;7,AU85/(AE85/12)&lt;=14),"Abaixar Preço",AND(AU85/(AE85/12)&gt;14,AU85/(AE85/12)&lt;=20),"Estabilizando",AU85/(AE85/12)&gt;20,"Instavel"),"Instavel")</f>
        <v>Estabilizando</v>
      </c>
      <c r="AN85" s="1" t="str">
        <f ca="1">IF(SUMIF(vendaAno[data],SituaçãoEstoqueFluxo[[#This Row],[data]],vendaAno[estoque])=0,"Algo errado",IF(AND(AX85/AW85&gt;0,AX85/AW85&lt;=1),"Alerta",IF(AND(AX85/AW85&gt;1,AX85/AW85&lt;=1.5),"Fazer pedido",IF(AND(AX85/AW85&gt;1.5,AX85/AW85&lt;=2),"Ok",IF(AND(AX85/AW85&gt;2,AX85/AW85&lt;=2.5),"Estabilizando",IF(AND(AX85/AW85&gt;2.5,AX85/AW85&lt;=3),"Cheio","Abaixar preço"))))))</f>
        <v>Abaixar preço</v>
      </c>
      <c r="AO85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85" s="116">
        <f t="shared" si="6"/>
        <v>46149</v>
      </c>
      <c r="AQ8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</v>
      </c>
      <c r="AR8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3.8333333333333335</v>
      </c>
      <c r="AS8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8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6.75</v>
      </c>
      <c r="AV85" s="82" cm="1">
        <f t="array" aca="1" ref="AV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22.285714285714288</v>
      </c>
      <c r="AW85" s="82" cm="1">
        <f t="array" aca="1" ref="AW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85" s="82">
        <f>SUM(FluxoEstoqueDateTime[[#This Row],[OVO BRANCO A]:[OVO BRANCO JUMBO]])</f>
        <v>24.25</v>
      </c>
    </row>
    <row r="86" spans="1:50" x14ac:dyDescent="0.25">
      <c r="A86" s="4" t="s">
        <v>20</v>
      </c>
      <c r="B86" s="55" t="s">
        <v>10</v>
      </c>
      <c r="C86" s="5">
        <v>14</v>
      </c>
      <c r="D86" s="56">
        <v>19</v>
      </c>
      <c r="E86" s="56">
        <v>254</v>
      </c>
      <c r="F86" s="157">
        <v>46215</v>
      </c>
      <c r="G86" s="4" t="s">
        <v>93</v>
      </c>
      <c r="H86" s="4" t="s">
        <v>149</v>
      </c>
      <c r="I86" s="153">
        <v>43.17</v>
      </c>
      <c r="J86" s="12">
        <v>0.16994750656167976</v>
      </c>
      <c r="L86" t="str">
        <v xml:space="preserve">Ovos de ouro </v>
      </c>
      <c r="Z86" s="116">
        <f t="shared" si="4"/>
        <v>46148</v>
      </c>
      <c r="AA8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8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</v>
      </c>
      <c r="AC8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8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8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8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41.660384803950876</v>
      </c>
      <c r="AH86" s="116">
        <f t="shared" si="5"/>
        <v>46148</v>
      </c>
      <c r="AI86" s="1" t="str" cm="1">
        <f t="array" ref="AI86">IFERROR(_xlfn.IFS(AQ86="","Sem Produto",AND(AQ86/(AA86/12)&gt;0,AQ86/(AA86/12)&lt;=2),"Acabando",AND(AQ86/(AA86/12)&gt;2,AQ86/(AA86/12)&lt;=3),"Fazer Pedido",AND(AQ86/(AA86/12)&gt;3,AQ86/(AA86/12)&lt;=7),"OK",AND(AQ86/(AA86/12)&gt;7,AQ86/(AA86/12)&lt;=14),"Abaixar Preço",AND(AQ86/(AA86/12)&gt;14,AQ86/(AA86/12)&lt;=20),"Estabilizando",AQ86/(AA86/12)&gt;20,"Instavel"),"Instavel")</f>
        <v>Abaixar Preço</v>
      </c>
      <c r="AJ86" s="1" t="str" cm="1">
        <f t="array" ref="AJ86">IFERROR(_xlfn.IFS(AR86="","Sem Produto",AND(AR86/(AB86/12)&gt;0,AR86/(AB86/12)&lt;=2),"Acabando",AND(AR86/(AB86/12)&gt;2,AR86/(AB86/12)&lt;=3),"Fazer Pedido",AND(AR86/(AB86/12)&gt;3,AR86/(AB86/12)&lt;=7),"OK",AND(AR86/(AB86/12)&gt;7,AR86/(AB86/12)&lt;=14),"Abaixar Preço",AND(AR86/(AB86/12)&gt;14,AR86/(AB86/12)&lt;=20),"Estabilizando",AR86/(AB86/12)&gt;20,"Instavel"),"Instavel")</f>
        <v>Abaixar Preço</v>
      </c>
      <c r="AK86" s="1" t="str" cm="1">
        <f t="array" ref="AK86">IFERROR(_xlfn.IFS(AS86="","Sem Produto",AND(AS86/(AC86/12)&gt;0,AS86/(AC86/12)&lt;=2),"Acabando",AND(AS86/(AC86/12)&gt;2,AS86/(AC86/12)&lt;=3),"Fazer Pedido",AND(AS86/(AC86/12)&gt;3,AS86/(AC86/12)&lt;=7),"OK",AND(AS86/(AC86/12)&gt;7,AS86/(AC86/12)&lt;=14),"Abaixar Preço",AND(AS86/(AC86/12)&gt;14,AS86/(AC86/12)&lt;=20),"Estabilizando",AS86/(AC86/12)&gt;20,"Instavel"),"Instavel")</f>
        <v>Sem Produto</v>
      </c>
      <c r="AL86" s="1" t="str" cm="1">
        <f t="array" ref="AL86">IFERROR(_xlfn.IFS(AT86="","Sem Produto",AND(AT86/(AD86/12)&gt;0,AT86/(AD86/12)&lt;=2),"Acabando",AND(AT86/(AD86/12)&gt;2,AT86/(AD86/12)&lt;=3),"Fazer Pedido",AND(AT86/(AD86/12)&gt;3,AT86/(AD86/12)&lt;=7),"OK",AND(AT86/(AD86/12)&gt;7,AT86/(AD86/12)&lt;=14),"Abaixar Preço",AND(AT86/(AD86/12)&gt;14,AT86/(AD86/12)&lt;=20),"Estabilizando",AT86/(AD86/12)&gt;20,"Instavel"),"Instavel")</f>
        <v>Abaixar Preço</v>
      </c>
      <c r="AM86" s="1" t="str" cm="1">
        <f t="array" ref="AM86">IFERROR(_xlfn.IFS(AU86="","Sem Produto",AND(AU86/(AE86/12)&gt;0,AU86/(AE86/12)&lt;=2),"Acabando",AND(AU86/(AE86/12)&gt;2,AU86/(AE86/12)&lt;=3),"Fazer Pedido",AND(AU86/(AE86/12)&gt;3,AU86/(AE86/12)&lt;=7),"OK",AND(AU86/(AE86/12)&gt;7,AU86/(AE86/12)&lt;=14),"Abaixar Preço",AND(AU86/(AE86/12)&gt;14,AU86/(AE86/12)&lt;=20),"Estabilizando",AU86/(AE86/12)&gt;20,"Instavel"),"Instavel")</f>
        <v>Estabilizando</v>
      </c>
      <c r="AN86" s="1" t="str">
        <f ca="1">IF(SUMIF(vendaAno[data],SituaçãoEstoqueFluxo[[#This Row],[data]],vendaAno[estoque])=0,"Algo errado",IF(AND(AX86/AW86&gt;0,AX86/AW86&lt;=1),"Alerta",IF(AND(AX86/AW86&gt;1,AX86/AW86&lt;=1.5),"Fazer pedido",IF(AND(AX86/AW86&gt;1.5,AX86/AW86&lt;=2),"Ok",IF(AND(AX86/AW86&gt;2,AX86/AW86&lt;=2.5),"Estabilizando",IF(AND(AX86/AW86&gt;2.5,AX86/AW86&lt;=3),"Cheio","Abaixar preço"))))))</f>
        <v>Abaixar preço</v>
      </c>
      <c r="AO86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86" s="116">
        <f t="shared" si="6"/>
        <v>46148</v>
      </c>
      <c r="AQ8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7.166666666666667</v>
      </c>
      <c r="AR8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4.75</v>
      </c>
      <c r="AS8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7.666666666666667</v>
      </c>
      <c r="AU8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7.25</v>
      </c>
      <c r="AV86" s="82" cm="1">
        <f t="array" aca="1" ref="AV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86" s="82" cm="1">
        <f t="array" aca="1" ref="AW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86" s="82">
        <f>SUM(FluxoEstoqueDateTime[[#This Row],[OVO BRANCO A]:[OVO BRANCO JUMBO]])</f>
        <v>26.833333333333336</v>
      </c>
    </row>
    <row r="87" spans="1:50" x14ac:dyDescent="0.25">
      <c r="A87" s="4" t="s">
        <v>20</v>
      </c>
      <c r="B87" s="55" t="s">
        <v>14</v>
      </c>
      <c r="C87" s="5">
        <v>13</v>
      </c>
      <c r="D87" s="56">
        <v>23</v>
      </c>
      <c r="E87" s="56">
        <v>299</v>
      </c>
      <c r="F87" s="157">
        <v>46214</v>
      </c>
      <c r="G87" s="4" t="s">
        <v>92</v>
      </c>
      <c r="H87" s="4" t="s">
        <v>149</v>
      </c>
      <c r="I87" s="153">
        <v>87.74</v>
      </c>
      <c r="J87" s="12">
        <v>0.29343297101449278</v>
      </c>
      <c r="L87" t="str">
        <v>Gema De Ouro</v>
      </c>
      <c r="Z87" s="116">
        <f t="shared" si="4"/>
        <v>46147</v>
      </c>
      <c r="AA8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8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</v>
      </c>
      <c r="AC8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8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8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8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41.673222945163602</v>
      </c>
      <c r="AH87" s="116">
        <f t="shared" si="5"/>
        <v>46147</v>
      </c>
      <c r="AI87" s="1" t="str" cm="1">
        <f t="array" ref="AI87">IFERROR(_xlfn.IFS(AQ87="","Sem Produto",AND(AQ87/(AA87/12)&gt;0,AQ87/(AA87/12)&lt;=2),"Acabando",AND(AQ87/(AA87/12)&gt;2,AQ87/(AA87/12)&lt;=3),"Fazer Pedido",AND(AQ87/(AA87/12)&gt;3,AQ87/(AA87/12)&lt;=7),"OK",AND(AQ87/(AA87/12)&gt;7,AQ87/(AA87/12)&lt;=14),"Abaixar Preço",AND(AQ87/(AA87/12)&gt;14,AQ87/(AA87/12)&lt;=20),"Estabilizando",AQ87/(AA87/12)&gt;20,"Instavel"),"Instavel")</f>
        <v>Estabilizando</v>
      </c>
      <c r="AJ87" s="1" t="str" cm="1">
        <f t="array" ref="AJ87">IFERROR(_xlfn.IFS(AR87="","Sem Produto",AND(AR87/(AB87/12)&gt;0,AR87/(AB87/12)&lt;=2),"Acabando",AND(AR87/(AB87/12)&gt;2,AR87/(AB87/12)&lt;=3),"Fazer Pedido",AND(AR87/(AB87/12)&gt;3,AR87/(AB87/12)&lt;=7),"OK",AND(AR87/(AB87/12)&gt;7,AR87/(AB87/12)&lt;=14),"Abaixar Preço",AND(AR87/(AB87/12)&gt;14,AR87/(AB87/12)&lt;=20),"Estabilizando",AR87/(AB87/12)&gt;20,"Instavel"),"Instavel")</f>
        <v>Abaixar Preço</v>
      </c>
      <c r="AK87" s="1" t="str" cm="1">
        <f t="array" ref="AK87">IFERROR(_xlfn.IFS(AS87="","Sem Produto",AND(AS87/(AC87/12)&gt;0,AS87/(AC87/12)&lt;=2),"Acabando",AND(AS87/(AC87/12)&gt;2,AS87/(AC87/12)&lt;=3),"Fazer Pedido",AND(AS87/(AC87/12)&gt;3,AS87/(AC87/12)&lt;=7),"OK",AND(AS87/(AC87/12)&gt;7,AS87/(AC87/12)&lt;=14),"Abaixar Preço",AND(AS87/(AC87/12)&gt;14,AS87/(AC87/12)&lt;=20),"Estabilizando",AS87/(AC87/12)&gt;20,"Instavel"),"Instavel")</f>
        <v>Sem Produto</v>
      </c>
      <c r="AL87" s="1" t="str" cm="1">
        <f t="array" ref="AL87">IFERROR(_xlfn.IFS(AT87="","Sem Produto",AND(AT87/(AD87/12)&gt;0,AT87/(AD87/12)&lt;=2),"Acabando",AND(AT87/(AD87/12)&gt;2,AT87/(AD87/12)&lt;=3),"Fazer Pedido",AND(AT87/(AD87/12)&gt;3,AT87/(AD87/12)&lt;=7),"OK",AND(AT87/(AD87/12)&gt;7,AT87/(AD87/12)&lt;=14),"Abaixar Preço",AND(AT87/(AD87/12)&gt;14,AT87/(AD87/12)&lt;=20),"Estabilizando",AT87/(AD87/12)&gt;20,"Instavel"),"Instavel")</f>
        <v>Estabilizando</v>
      </c>
      <c r="AM87" s="1" t="str" cm="1">
        <f t="array" ref="AM87">IFERROR(_xlfn.IFS(AU87="","Sem Produto",AND(AU87/(AE87/12)&gt;0,AU87/(AE87/12)&lt;=2),"Acabando",AND(AU87/(AE87/12)&gt;2,AU87/(AE87/12)&lt;=3),"Fazer Pedido",AND(AU87/(AE87/12)&gt;3,AU87/(AE87/12)&lt;=7),"OK",AND(AU87/(AE87/12)&gt;7,AU87/(AE87/12)&lt;=14),"Abaixar Preço",AND(AU87/(AE87/12)&gt;14,AU87/(AE87/12)&lt;=20),"Estabilizando",AU87/(AE87/12)&gt;20,"Instavel"),"Instavel")</f>
        <v>Instavel</v>
      </c>
      <c r="AN87" s="1" t="str">
        <f ca="1">IF(SUMIF(vendaAno[data],SituaçãoEstoqueFluxo[[#This Row],[data]],vendaAno[estoque])=0,"Algo errado",IF(AND(AX87/AW87&gt;0,AX87/AW87&lt;=1),"Alerta",IF(AND(AX87/AW87&gt;1,AX87/AW87&lt;=1.5),"Fazer pedido",IF(AND(AX87/AW87&gt;1.5,AX87/AW87&lt;=2),"Ok",IF(AND(AX87/AW87&gt;2,AX87/AW87&lt;=2.5),"Estabilizando",IF(AND(AX87/AW87&gt;2.5,AX87/AW87&lt;=3),"Cheio","Abaixar preço"))))))</f>
        <v>Abaixar preço</v>
      </c>
      <c r="AO87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87" s="116">
        <f t="shared" si="6"/>
        <v>46147</v>
      </c>
      <c r="AQ8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8.5</v>
      </c>
      <c r="AR8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5.833333333333333</v>
      </c>
      <c r="AS8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9.0833333333333339</v>
      </c>
      <c r="AU8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7.666666666666667</v>
      </c>
      <c r="AV87" s="82" cm="1">
        <f t="array" aca="1" ref="AV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87" s="82" cm="1">
        <f t="array" aca="1" ref="AW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87" s="82">
        <f>SUM(FluxoEstoqueDateTime[[#This Row],[OVO BRANCO A]:[OVO BRANCO JUMBO]])</f>
        <v>31.083333333333332</v>
      </c>
    </row>
    <row r="88" spans="1:50" x14ac:dyDescent="0.25">
      <c r="A88" s="4" t="s">
        <v>20</v>
      </c>
      <c r="B88" s="55" t="s">
        <v>13</v>
      </c>
      <c r="C88" s="5">
        <v>11</v>
      </c>
      <c r="D88" s="56">
        <v>20</v>
      </c>
      <c r="E88" s="56">
        <v>220</v>
      </c>
      <c r="F88" s="157">
        <v>46214</v>
      </c>
      <c r="G88" s="4" t="s">
        <v>92</v>
      </c>
      <c r="H88" s="4" t="s">
        <v>149</v>
      </c>
      <c r="I88" s="153">
        <v>49.48</v>
      </c>
      <c r="J88" s="12">
        <v>0.22488962472406177</v>
      </c>
      <c r="L88" t="str">
        <v xml:space="preserve">Granja Marinho </v>
      </c>
      <c r="Z88" s="116">
        <f t="shared" si="4"/>
        <v>46146</v>
      </c>
      <c r="AA8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8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8.8571428571428577</v>
      </c>
      <c r="AC8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8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8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25.857142857142858</v>
      </c>
      <c r="AG8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40.355449505408984</v>
      </c>
      <c r="AH88" s="116">
        <f t="shared" si="5"/>
        <v>46146</v>
      </c>
      <c r="AI88" s="1" t="str" cm="1">
        <f t="array" ref="AI88">IFERROR(_xlfn.IFS(AQ88="","Sem Produto",AND(AQ88/(AA88/12)&gt;0,AQ88/(AA88/12)&lt;=2),"Acabando",AND(AQ88/(AA88/12)&gt;2,AQ88/(AA88/12)&lt;=3),"Fazer Pedido",AND(AQ88/(AA88/12)&gt;3,AQ88/(AA88/12)&lt;=7),"OK",AND(AQ88/(AA88/12)&gt;7,AQ88/(AA88/12)&lt;=14),"Abaixar Preço",AND(AQ88/(AA88/12)&gt;14,AQ88/(AA88/12)&lt;=20),"Estabilizando",AQ88/(AA88/12)&gt;20,"Instavel"),"Instavel")</f>
        <v>Instavel</v>
      </c>
      <c r="AJ88" s="1" t="str" cm="1">
        <f t="array" ref="AJ88">IFERROR(_xlfn.IFS(AR88="","Sem Produto",AND(AR88/(AB88/12)&gt;0,AR88/(AB88/12)&lt;=2),"Acabando",AND(AR88/(AB88/12)&gt;2,AR88/(AB88/12)&lt;=3),"Fazer Pedido",AND(AR88/(AB88/12)&gt;3,AR88/(AB88/12)&lt;=7),"OK",AND(AR88/(AB88/12)&gt;7,AR88/(AB88/12)&lt;=14),"Abaixar Preço",AND(AR88/(AB88/12)&gt;14,AR88/(AB88/12)&lt;=20),"Estabilizando",AR88/(AB88/12)&gt;20,"Instavel"),"Instavel")</f>
        <v>Abaixar Preço</v>
      </c>
      <c r="AK88" s="1" t="str" cm="1">
        <f t="array" ref="AK88">IFERROR(_xlfn.IFS(AS88="","Sem Produto",AND(AS88/(AC88/12)&gt;0,AS88/(AC88/12)&lt;=2),"Acabando",AND(AS88/(AC88/12)&gt;2,AS88/(AC88/12)&lt;=3),"Fazer Pedido",AND(AS88/(AC88/12)&gt;3,AS88/(AC88/12)&lt;=7),"OK",AND(AS88/(AC88/12)&gt;7,AS88/(AC88/12)&lt;=14),"Abaixar Preço",AND(AS88/(AC88/12)&gt;14,AS88/(AC88/12)&lt;=20),"Estabilizando",AS88/(AC88/12)&gt;20,"Instavel"),"Instavel")</f>
        <v>Sem Produto</v>
      </c>
      <c r="AL88" s="1" t="str" cm="1">
        <f t="array" ref="AL88">IFERROR(_xlfn.IFS(AT88="","Sem Produto",AND(AT88/(AD88/12)&gt;0,AT88/(AD88/12)&lt;=2),"Acabando",AND(AT88/(AD88/12)&gt;2,AT88/(AD88/12)&lt;=3),"Fazer Pedido",AND(AT88/(AD88/12)&gt;3,AT88/(AD88/12)&lt;=7),"OK",AND(AT88/(AD88/12)&gt;7,AT88/(AD88/12)&lt;=14),"Abaixar Preço",AND(AT88/(AD88/12)&gt;14,AT88/(AD88/12)&lt;=20),"Estabilizando",AT88/(AD88/12)&gt;20,"Instavel"),"Instavel")</f>
        <v>Estabilizando</v>
      </c>
      <c r="AM88" s="1" t="str" cm="1">
        <f t="array" ref="AM88">IFERROR(_xlfn.IFS(AU88="","Sem Produto",AND(AU88/(AE88/12)&gt;0,AU88/(AE88/12)&lt;=2),"Acabando",AND(AU88/(AE88/12)&gt;2,AU88/(AE88/12)&lt;=3),"Fazer Pedido",AND(AU88/(AE88/12)&gt;3,AU88/(AE88/12)&lt;=7),"OK",AND(AU88/(AE88/12)&gt;7,AU88/(AE88/12)&lt;=14),"Abaixar Preço",AND(AU88/(AE88/12)&gt;14,AU88/(AE88/12)&lt;=20),"Estabilizando",AU88/(AE88/12)&gt;20,"Instavel"),"Instavel")</f>
        <v>Instavel</v>
      </c>
      <c r="AN88" s="1" t="str">
        <f ca="1">IF(SUMIF(vendaAno[data],SituaçãoEstoqueFluxo[[#This Row],[data]],vendaAno[estoque])=0,"Algo errado",IF(AND(AX88/AW88&gt;0,AX88/AW88&lt;=1),"Alerta",IF(AND(AX88/AW88&gt;1,AX88/AW88&lt;=1.5),"Fazer pedido",IF(AND(AX88/AW88&gt;1.5,AX88/AW88&lt;=2),"Ok",IF(AND(AX88/AW88&gt;2,AX88/AW88&lt;=2.5),"Estabilizando",IF(AND(AX88/AW88&gt;2.5,AX88/AW88&lt;=3),"Cheio","Abaixar preço"))))))</f>
        <v>Abaixar preço</v>
      </c>
      <c r="AO88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88" s="116">
        <f t="shared" si="6"/>
        <v>46146</v>
      </c>
      <c r="AQ8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8.9166666666666661</v>
      </c>
      <c r="AR8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8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9.9166666666666661</v>
      </c>
      <c r="AU8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8.25</v>
      </c>
      <c r="AV88" s="82" cm="1">
        <f t="array" aca="1" ref="AV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19.392857142857142</v>
      </c>
      <c r="AW88" s="82" cm="1">
        <f t="array" aca="1" ref="AW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6.4642857142857144</v>
      </c>
      <c r="AX88" s="82">
        <f>SUM(FluxoEstoqueDateTime[[#This Row],[OVO BRANCO A]:[OVO BRANCO JUMBO]])</f>
        <v>33.666666666666664</v>
      </c>
    </row>
    <row r="89" spans="1:50" x14ac:dyDescent="0.25">
      <c r="A89" s="4" t="s">
        <v>20</v>
      </c>
      <c r="B89" s="55" t="s">
        <v>11</v>
      </c>
      <c r="C89" s="5">
        <v>1</v>
      </c>
      <c r="D89" s="56">
        <v>18</v>
      </c>
      <c r="E89" s="56">
        <v>18</v>
      </c>
      <c r="F89" s="157">
        <v>46214</v>
      </c>
      <c r="G89" s="4" t="s">
        <v>92</v>
      </c>
      <c r="H89" s="4" t="s">
        <v>149</v>
      </c>
      <c r="I89" s="153">
        <v>3.42</v>
      </c>
      <c r="J89" s="12">
        <v>0.18976373125963311</v>
      </c>
      <c r="Z89" s="116">
        <f t="shared" si="4"/>
        <v>46145</v>
      </c>
      <c r="AA8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8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7.4285714285714288</v>
      </c>
      <c r="AC8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8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8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8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22.428571428571427</v>
      </c>
      <c r="AG8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40.110857260774715</v>
      </c>
      <c r="AH89" s="116">
        <f t="shared" si="5"/>
        <v>46145</v>
      </c>
      <c r="AI89" s="1" t="str" cm="1">
        <f t="array" ref="AI89">IFERROR(_xlfn.IFS(AQ89="","Sem Produto",AND(AQ89/(AA89/12)&gt;0,AQ89/(AA89/12)&lt;=2),"Acabando",AND(AQ89/(AA89/12)&gt;2,AQ89/(AA89/12)&lt;=3),"Fazer Pedido",AND(AQ89/(AA89/12)&gt;3,AQ89/(AA89/12)&lt;=7),"OK",AND(AQ89/(AA89/12)&gt;7,AQ89/(AA89/12)&lt;=14),"Abaixar Preço",AND(AQ89/(AA89/12)&gt;14,AQ89/(AA89/12)&lt;=20),"Estabilizando",AQ89/(AA89/12)&gt;20,"Instavel"),"Instavel")</f>
        <v>Instavel</v>
      </c>
      <c r="AJ89" s="1" t="str" cm="1">
        <f t="array" ref="AJ89">IFERROR(_xlfn.IFS(AR89="","Sem Produto",AND(AR89/(AB89/12)&gt;0,AR89/(AB89/12)&lt;=2),"Acabando",AND(AR89/(AB89/12)&gt;2,AR89/(AB89/12)&lt;=3),"Fazer Pedido",AND(AR89/(AB89/12)&gt;3,AR89/(AB89/12)&lt;=7),"OK",AND(AR89/(AB89/12)&gt;7,AR89/(AB89/12)&lt;=14),"Abaixar Preço",AND(AR89/(AB89/12)&gt;14,AR89/(AB89/12)&lt;=20),"Estabilizando",AR89/(AB89/12)&gt;20,"Instavel"),"Instavel")</f>
        <v>Abaixar Preço</v>
      </c>
      <c r="AK89" s="1" t="str" cm="1">
        <f t="array" ref="AK89">IFERROR(_xlfn.IFS(AS89="","Sem Produto",AND(AS89/(AC89/12)&gt;0,AS89/(AC89/12)&lt;=2),"Acabando",AND(AS89/(AC89/12)&gt;2,AS89/(AC89/12)&lt;=3),"Fazer Pedido",AND(AS89/(AC89/12)&gt;3,AS89/(AC89/12)&lt;=7),"OK",AND(AS89/(AC89/12)&gt;7,AS89/(AC89/12)&lt;=14),"Abaixar Preço",AND(AS89/(AC89/12)&gt;14,AS89/(AC89/12)&lt;=20),"Estabilizando",AS89/(AC89/12)&gt;20,"Instavel"),"Instavel")</f>
        <v>Sem Produto</v>
      </c>
      <c r="AL89" s="1" t="str" cm="1">
        <f t="array" ref="AL89">IFERROR(_xlfn.IFS(AT89="","Sem Produto",AND(AT89/(AD89/12)&gt;0,AT89/(AD89/12)&lt;=2),"Acabando",AND(AT89/(AD89/12)&gt;2,AT89/(AD89/12)&lt;=3),"Fazer Pedido",AND(AT89/(AD89/12)&gt;3,AT89/(AD89/12)&lt;=7),"OK",AND(AT89/(AD89/12)&gt;7,AT89/(AD89/12)&lt;=14),"Abaixar Preço",AND(AT89/(AD89/12)&gt;14,AT89/(AD89/12)&lt;=20),"Estabilizando",AT89/(AD89/12)&gt;20,"Instavel"),"Instavel")</f>
        <v>Estabilizando</v>
      </c>
      <c r="AM89" s="1" t="str" cm="1">
        <f t="array" ref="AM89">IFERROR(_xlfn.IFS(AU89="","Sem Produto",AND(AU89/(AE89/12)&gt;0,AU89/(AE89/12)&lt;=2),"Acabando",AND(AU89/(AE89/12)&gt;2,AU89/(AE89/12)&lt;=3),"Fazer Pedido",AND(AU89/(AE89/12)&gt;3,AU89/(AE89/12)&lt;=7),"OK",AND(AU89/(AE89/12)&gt;7,AU89/(AE89/12)&lt;=14),"Abaixar Preço",AND(AU89/(AE89/12)&gt;14,AU89/(AE89/12)&lt;=20),"Estabilizando",AU89/(AE89/12)&gt;20,"Instavel"),"Instavel")</f>
        <v>Instavel</v>
      </c>
      <c r="AN89" s="1" t="str">
        <f ca="1">IF(SUMIF(vendaAno[data],SituaçãoEstoqueFluxo[[#This Row],[data]],vendaAno[estoque])=0,"Algo errado",IF(AND(AX89/AW89&gt;0,AX89/AW89&lt;=1),"Alerta",IF(AND(AX89/AW89&gt;1,AX89/AW89&lt;=1.5),"Fazer pedido",IF(AND(AX89/AW89&gt;1.5,AX89/AW89&lt;=2),"Ok",IF(AND(AX89/AW89&gt;2,AX89/AW89&lt;=2.5),"Estabilizando",IF(AND(AX89/AW89&gt;2.5,AX89/AW89&lt;=3),"Cheio","Abaixar preço"))))))</f>
        <v>Abaixar preço</v>
      </c>
      <c r="AO89" s="82">
        <f>SUMIFS(estoque[quantidade],estoque[fornecedor],"&lt;&gt;saída",estoque[data],SituaçãoEstoqueFluxo[[#This Row],[data]])-SUMIFS(estoque[quantidade],estoque[fornecedor],"saída",estoque[data],SituaçãoEstoqueFluxo[[#This Row],[data]])</f>
        <v>-8</v>
      </c>
      <c r="AP89" s="116">
        <f t="shared" si="6"/>
        <v>46145</v>
      </c>
      <c r="AQ8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9.4166666666666661</v>
      </c>
      <c r="AR8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7.916666666666667</v>
      </c>
      <c r="AS8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8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8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</v>
      </c>
      <c r="AV89" s="82" cm="1">
        <f t="array" aca="1" ref="AV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16.821428571428573</v>
      </c>
      <c r="AW89" s="82" cm="1">
        <f t="array" aca="1" ref="AW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5.6071428571428568</v>
      </c>
      <c r="AX89" s="82">
        <f>SUM(FluxoEstoqueDateTime[[#This Row],[OVO BRANCO A]:[OVO BRANCO JUMBO]])</f>
        <v>37</v>
      </c>
    </row>
    <row r="90" spans="1:50" x14ac:dyDescent="0.25">
      <c r="A90" s="4" t="s">
        <v>31</v>
      </c>
      <c r="B90" s="55" t="s">
        <v>14</v>
      </c>
      <c r="C90" s="5">
        <v>60</v>
      </c>
      <c r="D90" s="56">
        <v>195</v>
      </c>
      <c r="E90" s="56">
        <v>975</v>
      </c>
      <c r="F90" s="157">
        <v>46214</v>
      </c>
      <c r="G90" s="4" t="s">
        <v>92</v>
      </c>
      <c r="H90" s="4" t="s">
        <v>149</v>
      </c>
      <c r="I90" s="153"/>
      <c r="J90" s="12"/>
      <c r="Z90" s="116">
        <f t="shared" si="4"/>
        <v>46144</v>
      </c>
      <c r="AA9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9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9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7.7142857142857144</v>
      </c>
      <c r="AE9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9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27.142857142857142</v>
      </c>
      <c r="AG9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41.494720661240329</v>
      </c>
      <c r="AH90" s="116">
        <f t="shared" si="5"/>
        <v>46144</v>
      </c>
      <c r="AI90" s="1" t="str" cm="1">
        <f t="array" ref="AI90">IFERROR(_xlfn.IFS(AQ90="","Sem Produto",AND(AQ90/(AA90/12)&gt;0,AQ90/(AA90/12)&lt;=2),"Acabando",AND(AQ90/(AA90/12)&gt;2,AQ90/(AA90/12)&lt;=3),"Fazer Pedido",AND(AQ90/(AA90/12)&gt;3,AQ90/(AA90/12)&lt;=7),"OK",AND(AQ90/(AA90/12)&gt;7,AQ90/(AA90/12)&lt;=14),"Abaixar Preço",AND(AQ90/(AA90/12)&gt;14,AQ90/(AA90/12)&lt;=20),"Estabilizando",AQ90/(AA90/12)&gt;20,"Instavel"),"Instavel")</f>
        <v>Estabilizando</v>
      </c>
      <c r="AJ90" s="1" t="str" cm="1">
        <f t="array" ref="AJ90">IFERROR(_xlfn.IFS(AR90="","Sem Produto",AND(AR90/(AB90/12)&gt;0,AR90/(AB90/12)&lt;=2),"Acabando",AND(AR90/(AB90/12)&gt;2,AR90/(AB90/12)&lt;=3),"Fazer Pedido",AND(AR90/(AB90/12)&gt;3,AR90/(AB90/12)&lt;=7),"OK",AND(AR90/(AB90/12)&gt;7,AR90/(AB90/12)&lt;=14),"Abaixar Preço",AND(AR90/(AB90/12)&gt;14,AR90/(AB90/12)&lt;=20),"Estabilizando",AR90/(AB90/12)&gt;20,"Instavel"),"Instavel")</f>
        <v>Abaixar Preço</v>
      </c>
      <c r="AK90" s="1" t="str" cm="1">
        <f t="array" ref="AK90">IFERROR(_xlfn.IFS(AS90="","Sem Produto",AND(AS90/(AC90/12)&gt;0,AS90/(AC90/12)&lt;=2),"Acabando",AND(AS90/(AC90/12)&gt;2,AS90/(AC90/12)&lt;=3),"Fazer Pedido",AND(AS90/(AC90/12)&gt;3,AS90/(AC90/12)&lt;=7),"OK",AND(AS90/(AC90/12)&gt;7,AS90/(AC90/12)&lt;=14),"Abaixar Preço",AND(AS90/(AC90/12)&gt;14,AS90/(AC90/12)&lt;=20),"Estabilizando",AS90/(AC90/12)&gt;20,"Instavel"),"Instavel")</f>
        <v>Sem Produto</v>
      </c>
      <c r="AL90" s="1" t="str" cm="1">
        <f t="array" ref="AL90">IFERROR(_xlfn.IFS(AT90="","Sem Produto",AND(AT90/(AD90/12)&gt;0,AT90/(AD90/12)&lt;=2),"Acabando",AND(AT90/(AD90/12)&gt;2,AT90/(AD90/12)&lt;=3),"Fazer Pedido",AND(AT90/(AD90/12)&gt;3,AT90/(AD90/12)&lt;=7),"OK",AND(AT90/(AD90/12)&gt;7,AT90/(AD90/12)&lt;=14),"Abaixar Preço",AND(AT90/(AD90/12)&gt;14,AT90/(AD90/12)&lt;=20),"Estabilizando",AT90/(AD90/12)&gt;20,"Instavel"),"Instavel")</f>
        <v>Estabilizando</v>
      </c>
      <c r="AM90" s="1" t="str" cm="1">
        <f t="array" ref="AM90">IFERROR(_xlfn.IFS(AU90="","Sem Produto",AND(AU90/(AE90/12)&gt;0,AU90/(AE90/12)&lt;=2),"Acabando",AND(AU90/(AE90/12)&gt;2,AU90/(AE90/12)&lt;=3),"Fazer Pedido",AND(AU90/(AE90/12)&gt;3,AU90/(AE90/12)&lt;=7),"OK",AND(AU90/(AE90/12)&gt;7,AU90/(AE90/12)&lt;=14),"Abaixar Preço",AND(AU90/(AE90/12)&gt;14,AU90/(AE90/12)&lt;=20),"Estabilizando",AU90/(AE90/12)&gt;20,"Instavel"),"Instavel")</f>
        <v>Instavel</v>
      </c>
      <c r="AN90" s="1" t="str">
        <f ca="1">IF(SUMIF(vendaAno[data],SituaçãoEstoqueFluxo[[#This Row],[data]],vendaAno[estoque])=0,"Algo errado",IF(AND(AX90/AW90&gt;0,AX90/AW90&lt;=1),"Alerta",IF(AND(AX90/AW90&gt;1,AX90/AW90&lt;=1.5),"Fazer pedido",IF(AND(AX90/AW90&gt;1.5,AX90/AW90&lt;=2),"Ok",IF(AND(AX90/AW90&gt;2,AX90/AW90&lt;=2.5),"Estabilizando",IF(AND(AX90/AW90&gt;2.5,AX90/AW90&lt;=3),"Cheio","Abaixar preço"))))))</f>
        <v>Abaixar preço</v>
      </c>
      <c r="AO90" s="82">
        <f>SUMIFS(estoque[quantidade],estoque[fornecedor],"&lt;&gt;saída",estoque[data],SituaçãoEstoqueFluxo[[#This Row],[data]])-SUMIFS(estoque[quantidade],estoque[fornecedor],"saída",estoque[data],SituaçãoEstoqueFluxo[[#This Row],[data]])</f>
        <v>292</v>
      </c>
      <c r="AP90" s="116">
        <f t="shared" si="6"/>
        <v>46144</v>
      </c>
      <c r="AQ9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9.5833333333333339</v>
      </c>
      <c r="AR9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7.916666666666667</v>
      </c>
      <c r="AS9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10.916666666666666</v>
      </c>
      <c r="AU9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9.25</v>
      </c>
      <c r="AV90" s="82" cm="1">
        <f t="array" aca="1" ref="AV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20.357142857142858</v>
      </c>
      <c r="AW90" s="82" cm="1">
        <f t="array" aca="1" ref="AW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6.7857142857142856</v>
      </c>
      <c r="AX90" s="82">
        <f>SUM(FluxoEstoqueDateTime[[#This Row],[OVO BRANCO A]:[OVO BRANCO JUMBO]])</f>
        <v>37.666666666666664</v>
      </c>
    </row>
    <row r="91" spans="1:50" x14ac:dyDescent="0.25">
      <c r="A91" s="4" t="s">
        <v>31</v>
      </c>
      <c r="B91" s="55" t="s">
        <v>11</v>
      </c>
      <c r="C91" s="5">
        <v>60</v>
      </c>
      <c r="D91" s="56">
        <v>175</v>
      </c>
      <c r="E91" s="56">
        <v>875</v>
      </c>
      <c r="F91" s="157">
        <v>46214</v>
      </c>
      <c r="G91" s="4" t="s">
        <v>92</v>
      </c>
      <c r="H91" s="4" t="s">
        <v>149</v>
      </c>
      <c r="I91" s="153"/>
      <c r="J91" s="12"/>
      <c r="Z91" s="116">
        <f t="shared" si="4"/>
        <v>46143</v>
      </c>
      <c r="AA9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4.4285714285714288</v>
      </c>
      <c r="AB9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9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9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9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25.285714285714285</v>
      </c>
      <c r="AG9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39.789647748495547</v>
      </c>
      <c r="AH91" s="116">
        <f t="shared" si="5"/>
        <v>46143</v>
      </c>
      <c r="AI91" s="1" t="str" cm="1">
        <f t="array" ref="AI91">IFERROR(_xlfn.IFS(AQ91="","Sem Produto",AND(AQ91/(AA91/12)&gt;0,AQ91/(AA91/12)&lt;=2),"Acabando",AND(AQ91/(AA91/12)&gt;2,AQ91/(AA91/12)&lt;=3),"Fazer Pedido",AND(AQ91/(AA91/12)&gt;3,AQ91/(AA91/12)&lt;=7),"OK",AND(AQ91/(AA91/12)&gt;7,AQ91/(AA91/12)&lt;=14),"Abaixar Preço",AND(AQ91/(AA91/12)&gt;14,AQ91/(AA91/12)&lt;=20),"Estabilizando",AQ91/(AA91/12)&gt;20,"Instavel"),"Instavel")</f>
        <v>Estabilizando</v>
      </c>
      <c r="AJ91" s="1" t="str" cm="1">
        <f t="array" ref="AJ91">IFERROR(_xlfn.IFS(AR91="","Sem Produto",AND(AR91/(AB91/12)&gt;0,AR91/(AB91/12)&lt;=2),"Acabando",AND(AR91/(AB91/12)&gt;2,AR91/(AB91/12)&lt;=3),"Fazer Pedido",AND(AR91/(AB91/12)&gt;3,AR91/(AB91/12)&lt;=7),"OK",AND(AR91/(AB91/12)&gt;7,AR91/(AB91/12)&lt;=14),"Abaixar Preço",AND(AR91/(AB91/12)&gt;14,AR91/(AB91/12)&lt;=20),"Estabilizando",AR91/(AB91/12)&gt;20,"Instavel"),"Instavel")</f>
        <v>Acabando</v>
      </c>
      <c r="AK91" s="1" t="str" cm="1">
        <f t="array" ref="AK91">IFERROR(_xlfn.IFS(AS91="","Sem Produto",AND(AS91/(AC91/12)&gt;0,AS91/(AC91/12)&lt;=2),"Acabando",AND(AS91/(AC91/12)&gt;2,AS91/(AC91/12)&lt;=3),"Fazer Pedido",AND(AS91/(AC91/12)&gt;3,AS91/(AC91/12)&lt;=7),"OK",AND(AS91/(AC91/12)&gt;7,AS91/(AC91/12)&lt;=14),"Abaixar Preço",AND(AS91/(AC91/12)&gt;14,AS91/(AC91/12)&lt;=20),"Estabilizando",AS91/(AC91/12)&gt;20,"Instavel"),"Instavel")</f>
        <v>Sem Produto</v>
      </c>
      <c r="AL91" s="1" t="str" cm="1">
        <f t="array" ref="AL91">IFERROR(_xlfn.IFS(AT91="","Sem Produto",AND(AT91/(AD91/12)&gt;0,AT91/(AD91/12)&lt;=2),"Acabando",AND(AT91/(AD91/12)&gt;2,AT91/(AD91/12)&lt;=3),"Fazer Pedido",AND(AT91/(AD91/12)&gt;3,AT91/(AD91/12)&lt;=7),"OK",AND(AT91/(AD91/12)&gt;7,AT91/(AD91/12)&lt;=14),"Abaixar Preço",AND(AT91/(AD91/12)&gt;14,AT91/(AD91/12)&lt;=20),"Estabilizando",AT91/(AD91/12)&gt;20,"Instavel"),"Instavel")</f>
        <v>Fazer Pedido</v>
      </c>
      <c r="AM91" s="1" t="str" cm="1">
        <f t="array" ref="AM91">IFERROR(_xlfn.IFS(AU91="","Sem Produto",AND(AU91/(AE91/12)&gt;0,AU91/(AE91/12)&lt;=2),"Acabando",AND(AU91/(AE91/12)&gt;2,AU91/(AE91/12)&lt;=3),"Fazer Pedido",AND(AU91/(AE91/12)&gt;3,AU91/(AE91/12)&lt;=7),"OK",AND(AU91/(AE91/12)&gt;7,AU91/(AE91/12)&lt;=14),"Abaixar Preço",AND(AU91/(AE91/12)&gt;14,AU91/(AE91/12)&lt;=20),"Estabilizando",AU91/(AE91/12)&gt;20,"Instavel"),"Instavel")</f>
        <v>Estabilizando</v>
      </c>
      <c r="AN91" s="1" t="str">
        <f ca="1">IF(SUMIF(vendaAno[data],SituaçãoEstoqueFluxo[[#This Row],[data]],vendaAno[estoque])=0,"Algo errado",IF(AND(AX91/AW91&gt;0,AX91/AW91&lt;=1),"Alerta",IF(AND(AX91/AW91&gt;1,AX91/AW91&lt;=1.5),"Fazer pedido",IF(AND(AX91/AW91&gt;1.5,AX91/AW91&lt;=2),"Ok",IF(AND(AX91/AW91&gt;2,AX91/AW91&lt;=2.5),"Estabilizando",IF(AND(AX91/AW91&gt;2.5,AX91/AW91&lt;=3),"Cheio","Abaixar preço"))))))</f>
        <v>Estabilizando</v>
      </c>
      <c r="AO91" s="82">
        <f>SUMIFS(estoque[quantidade],estoque[fornecedor],"&lt;&gt;saída",estoque[data],SituaçãoEstoqueFluxo[[#This Row],[data]])-SUMIFS(estoque[quantidade],estoque[fornecedor],"saída",estoque[data],SituaçãoEstoqueFluxo[[#This Row],[data]])</f>
        <v>-15</v>
      </c>
      <c r="AP91" s="116">
        <f t="shared" si="6"/>
        <v>46143</v>
      </c>
      <c r="AQ9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</v>
      </c>
      <c r="AR9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</v>
      </c>
      <c r="AS9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1.5833333333333333</v>
      </c>
      <c r="AU9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5.25</v>
      </c>
      <c r="AV91" s="82" cm="1">
        <f t="array" aca="1" ref="AV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18.964285714285712</v>
      </c>
      <c r="AW91" s="82" cm="1">
        <f t="array" aca="1" ref="AW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6.3214285714285721</v>
      </c>
      <c r="AX91" s="82">
        <f>SUM(FluxoEstoqueDateTime[[#This Row],[OVO BRANCO A]:[OVO BRANCO JUMBO]])</f>
        <v>13.333333333333334</v>
      </c>
    </row>
    <row r="92" spans="1:50" x14ac:dyDescent="0.25">
      <c r="A92" s="4" t="s">
        <v>31</v>
      </c>
      <c r="B92" s="55" t="s">
        <v>13</v>
      </c>
      <c r="C92" s="5">
        <v>120</v>
      </c>
      <c r="D92" s="56">
        <v>185</v>
      </c>
      <c r="E92" s="56">
        <v>1850</v>
      </c>
      <c r="F92" s="157">
        <v>46214</v>
      </c>
      <c r="G92" s="4" t="s">
        <v>92</v>
      </c>
      <c r="H92" s="4" t="s">
        <v>149</v>
      </c>
      <c r="I92" s="153"/>
      <c r="J92" s="12"/>
      <c r="Z92" s="116">
        <f t="shared" si="4"/>
        <v>46142</v>
      </c>
      <c r="AA9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3.4285714285714284</v>
      </c>
      <c r="AB9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9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9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9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25.714285714285715</v>
      </c>
      <c r="AG9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39.936254368111825</v>
      </c>
      <c r="AH92" s="116">
        <f t="shared" si="5"/>
        <v>46142</v>
      </c>
      <c r="AI92" s="1" t="str" cm="1">
        <f t="array" ref="AI92">IFERROR(_xlfn.IFS(AQ92="","Sem Produto",AND(AQ92/(AA92/12)&gt;0,AQ92/(AA92/12)&lt;=2),"Acabando",AND(AQ92/(AA92/12)&gt;2,AQ92/(AA92/12)&lt;=3),"Fazer Pedido",AND(AQ92/(AA92/12)&gt;3,AQ92/(AA92/12)&lt;=7),"OK",AND(AQ92/(AA92/12)&gt;7,AQ92/(AA92/12)&lt;=14),"Abaixar Preço",AND(AQ92/(AA92/12)&gt;14,AQ92/(AA92/12)&lt;=20),"Estabilizando",AQ92/(AA92/12)&gt;20,"Instavel"),"Instavel")</f>
        <v>Instavel</v>
      </c>
      <c r="AJ92" s="1" t="str" cm="1">
        <f t="array" ref="AJ92">IFERROR(_xlfn.IFS(AR92="","Sem Produto",AND(AR92/(AB92/12)&gt;0,AR92/(AB92/12)&lt;=2),"Acabando",AND(AR92/(AB92/12)&gt;2,AR92/(AB92/12)&lt;=3),"Fazer Pedido",AND(AR92/(AB92/12)&gt;3,AR92/(AB92/12)&lt;=7),"OK",AND(AR92/(AB92/12)&gt;7,AR92/(AB92/12)&lt;=14),"Abaixar Preço",AND(AR92/(AB92/12)&gt;14,AR92/(AB92/12)&lt;=20),"Estabilizando",AR92/(AB92/12)&gt;20,"Instavel"),"Instavel")</f>
        <v>Acabando</v>
      </c>
      <c r="AK92" s="1" t="str" cm="1">
        <f t="array" ref="AK92">IFERROR(_xlfn.IFS(AS92="","Sem Produto",AND(AS92/(AC92/12)&gt;0,AS92/(AC92/12)&lt;=2),"Acabando",AND(AS92/(AC92/12)&gt;2,AS92/(AC92/12)&lt;=3),"Fazer Pedido",AND(AS92/(AC92/12)&gt;3,AS92/(AC92/12)&lt;=7),"OK",AND(AS92/(AC92/12)&gt;7,AS92/(AC92/12)&lt;=14),"Abaixar Preço",AND(AS92/(AC92/12)&gt;14,AS92/(AC92/12)&lt;=20),"Estabilizando",AS92/(AC92/12)&gt;20,"Instavel"),"Instavel")</f>
        <v>Sem Produto</v>
      </c>
      <c r="AL92" s="1" t="str" cm="1">
        <f t="array" ref="AL92">IFERROR(_xlfn.IFS(AT92="","Sem Produto",AND(AT92/(AD92/12)&gt;0,AT92/(AD92/12)&lt;=2),"Acabando",AND(AT92/(AD92/12)&gt;2,AT92/(AD92/12)&lt;=3),"Fazer Pedido",AND(AT92/(AD92/12)&gt;3,AT92/(AD92/12)&lt;=7),"OK",AND(AT92/(AD92/12)&gt;7,AT92/(AD92/12)&lt;=14),"Abaixar Preço",AND(AT92/(AD92/12)&gt;14,AT92/(AD92/12)&lt;=20),"Estabilizando",AT92/(AD92/12)&gt;20,"Instavel"),"Instavel")</f>
        <v>OK</v>
      </c>
      <c r="AM92" s="1" t="str" cm="1">
        <f t="array" ref="AM92">IFERROR(_xlfn.IFS(AU92="","Sem Produto",AND(AU92/(AE92/12)&gt;0,AU92/(AE92/12)&lt;=2),"Acabando",AND(AU92/(AE92/12)&gt;2,AU92/(AE92/12)&lt;=3),"Fazer Pedido",AND(AU92/(AE92/12)&gt;3,AU92/(AE92/12)&lt;=7),"OK",AND(AU92/(AE92/12)&gt;7,AU92/(AE92/12)&lt;=14),"Abaixar Preço",AND(AU92/(AE92/12)&gt;14,AU92/(AE92/12)&lt;=20),"Estabilizando",AU92/(AE92/12)&gt;20,"Instavel"),"Instavel")</f>
        <v>Abaixar Preço</v>
      </c>
      <c r="AN92" s="1" t="str">
        <f ca="1">IF(SUMIF(vendaAno[data],SituaçãoEstoqueFluxo[[#This Row],[data]],vendaAno[estoque])=0,"Algo errado",IF(AND(AX92/AW92&gt;0,AX92/AW92&lt;=1),"Alerta",IF(AND(AX92/AW92&gt;1,AX92/AW92&lt;=1.5),"Fazer pedido",IF(AND(AX92/AW92&gt;1.5,AX92/AW92&lt;=2),"Ok",IF(AND(AX92/AW92&gt;2,AX92/AW92&lt;=2.5),"Estabilizando",IF(AND(AX92/AW92&gt;2.5,AX92/AW92&lt;=3),"Cheio","Abaixar preço"))))))</f>
        <v>Estabilizando</v>
      </c>
      <c r="AO92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92" s="116">
        <f t="shared" si="6"/>
        <v>46142</v>
      </c>
      <c r="AQ9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6.083333333333333</v>
      </c>
      <c r="AR9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1.0833333333333333</v>
      </c>
      <c r="AS9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2.1666666666666665</v>
      </c>
      <c r="AU9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5.25</v>
      </c>
      <c r="AV92" s="82" cm="1">
        <f t="array" aca="1" ref="AV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19.285714285714288</v>
      </c>
      <c r="AW92" s="82" cm="1">
        <f t="array" aca="1" ref="AW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6.4285714285714279</v>
      </c>
      <c r="AX92" s="82">
        <f>SUM(FluxoEstoqueDateTime[[#This Row],[OVO BRANCO A]:[OVO BRANCO JUMBO]])</f>
        <v>14.583333333333332</v>
      </c>
    </row>
    <row r="93" spans="1:50" x14ac:dyDescent="0.25">
      <c r="A93" s="4" t="s">
        <v>31</v>
      </c>
      <c r="B93" s="55" t="s">
        <v>10</v>
      </c>
      <c r="C93" s="5">
        <v>120</v>
      </c>
      <c r="D93" s="56">
        <v>180</v>
      </c>
      <c r="E93" s="56">
        <v>1800</v>
      </c>
      <c r="F93" s="157">
        <v>46214</v>
      </c>
      <c r="G93" s="4" t="s">
        <v>92</v>
      </c>
      <c r="H93" s="4" t="s">
        <v>149</v>
      </c>
      <c r="I93" s="153"/>
      <c r="J93" s="12"/>
      <c r="Z93" s="116">
        <f t="shared" si="4"/>
        <v>46141</v>
      </c>
      <c r="AA9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9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9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6.8571428571428568</v>
      </c>
      <c r="AE9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9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27.857142857142858</v>
      </c>
      <c r="AG9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41.932596397201138</v>
      </c>
      <c r="AH93" s="116">
        <f t="shared" si="5"/>
        <v>46141</v>
      </c>
      <c r="AI93" s="1" t="str" cm="1">
        <f t="array" ref="AI93">IFERROR(_xlfn.IFS(AQ93="","Sem Produto",AND(AQ93/(AA93/12)&gt;0,AQ93/(AA93/12)&lt;=2),"Acabando",AND(AQ93/(AA93/12)&gt;2,AQ93/(AA93/12)&lt;=3),"Fazer Pedido",AND(AQ93/(AA93/12)&gt;3,AQ93/(AA93/12)&lt;=7),"OK",AND(AQ93/(AA93/12)&gt;7,AQ93/(AA93/12)&lt;=14),"Abaixar Preço",AND(AQ93/(AA93/12)&gt;14,AQ93/(AA93/12)&lt;=20),"Estabilizando",AQ93/(AA93/12)&gt;20,"Instavel"),"Instavel")</f>
        <v>Abaixar Preço</v>
      </c>
      <c r="AJ93" s="1" t="str" cm="1">
        <f t="array" ref="AJ93">IFERROR(_xlfn.IFS(AR93="","Sem Produto",AND(AR93/(AB93/12)&gt;0,AR93/(AB93/12)&lt;=2),"Acabando",AND(AR93/(AB93/12)&gt;2,AR93/(AB93/12)&lt;=3),"Fazer Pedido",AND(AR93/(AB93/12)&gt;3,AR93/(AB93/12)&lt;=7),"OK",AND(AR93/(AB93/12)&gt;7,AR93/(AB93/12)&lt;=14),"Abaixar Preço",AND(AR93/(AB93/12)&gt;14,AR93/(AB93/12)&lt;=20),"Estabilizando",AR93/(AB93/12)&gt;20,"Instavel"),"Instavel")</f>
        <v>Acabando</v>
      </c>
      <c r="AK93" s="1" t="str" cm="1">
        <f t="array" ref="AK93">IFERROR(_xlfn.IFS(AS93="","Sem Produto",AND(AS93/(AC93/12)&gt;0,AS93/(AC93/12)&lt;=2),"Acabando",AND(AS93/(AC93/12)&gt;2,AS93/(AC93/12)&lt;=3),"Fazer Pedido",AND(AS93/(AC93/12)&gt;3,AS93/(AC93/12)&lt;=7),"OK",AND(AS93/(AC93/12)&gt;7,AS93/(AC93/12)&lt;=14),"Abaixar Preço",AND(AS93/(AC93/12)&gt;14,AS93/(AC93/12)&lt;=20),"Estabilizando",AS93/(AC93/12)&gt;20,"Instavel"),"Instavel")</f>
        <v>Sem Produto</v>
      </c>
      <c r="AL93" s="1" t="str" cm="1">
        <f t="array" ref="AL93">IFERROR(_xlfn.IFS(AT93="","Sem Produto",AND(AT93/(AD93/12)&gt;0,AT93/(AD93/12)&lt;=2),"Acabando",AND(AT93/(AD93/12)&gt;2,AT93/(AD93/12)&lt;=3),"Fazer Pedido",AND(AT93/(AD93/12)&gt;3,AT93/(AD93/12)&lt;=7),"OK",AND(AT93/(AD93/12)&gt;7,AT93/(AD93/12)&lt;=14),"Abaixar Preço",AND(AT93/(AD93/12)&gt;14,AT93/(AD93/12)&lt;=20),"Estabilizando",AT93/(AD93/12)&gt;20,"Instavel"),"Instavel")</f>
        <v>OK</v>
      </c>
      <c r="AM93" s="1" t="str" cm="1">
        <f t="array" ref="AM93">IFERROR(_xlfn.IFS(AU93="","Sem Produto",AND(AU93/(AE93/12)&gt;0,AU93/(AE93/12)&lt;=2),"Acabando",AND(AU93/(AE93/12)&gt;2,AU93/(AE93/12)&lt;=3),"Fazer Pedido",AND(AU93/(AE93/12)&gt;3,AU93/(AE93/12)&lt;=7),"OK",AND(AU93/(AE93/12)&gt;7,AU93/(AE93/12)&lt;=14),"Abaixar Preço",AND(AU93/(AE93/12)&gt;14,AU93/(AE93/12)&lt;=20),"Estabilizando",AU93/(AE93/12)&gt;20,"Instavel"),"Instavel")</f>
        <v>Estabilizando</v>
      </c>
      <c r="AN93" s="1" t="str">
        <f ca="1">IF(SUMIF(vendaAno[data],SituaçãoEstoqueFluxo[[#This Row],[data]],vendaAno[estoque])=0,"Algo errado",IF(AND(AX93/AW93&gt;0,AX93/AW93&lt;=1),"Alerta",IF(AND(AX93/AW93&gt;1,AX93/AW93&lt;=1.5),"Fazer pedido",IF(AND(AX93/AW93&gt;1.5,AX93/AW93&lt;=2),"Ok",IF(AND(AX93/AW93&gt;2,AX93/AW93&lt;=2.5),"Estabilizando",IF(AND(AX93/AW93&gt;2.5,AX93/AW93&lt;=3),"Cheio","Abaixar preço"))))))</f>
        <v>Estabilizando</v>
      </c>
      <c r="AO93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93" s="116">
        <f t="shared" si="6"/>
        <v>46141</v>
      </c>
      <c r="AQ9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9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1.4166666666666667</v>
      </c>
      <c r="AS9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9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5.833333333333333</v>
      </c>
      <c r="AV93" s="82" cm="1">
        <f t="array" aca="1" ref="AV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20.892857142857142</v>
      </c>
      <c r="AW93" s="82" cm="1">
        <f t="array" aca="1" ref="AW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6.9642857142857144</v>
      </c>
      <c r="AX93" s="82">
        <f>SUM(FluxoEstoqueDateTime[[#This Row],[OVO BRANCO A]:[OVO BRANCO JUMBO]])</f>
        <v>16.583333333333332</v>
      </c>
    </row>
    <row r="94" spans="1:50" x14ac:dyDescent="0.25">
      <c r="A94" s="4" t="s">
        <v>20</v>
      </c>
      <c r="B94" s="55" t="s">
        <v>14</v>
      </c>
      <c r="C94" s="5">
        <v>2</v>
      </c>
      <c r="D94" s="56">
        <v>23</v>
      </c>
      <c r="E94" s="56">
        <v>46</v>
      </c>
      <c r="F94" s="157">
        <v>46213</v>
      </c>
      <c r="G94" s="4" t="s">
        <v>83</v>
      </c>
      <c r="H94" s="4" t="s">
        <v>149</v>
      </c>
      <c r="I94" s="153">
        <v>13.5</v>
      </c>
      <c r="J94" s="12">
        <v>0.29339300937766405</v>
      </c>
      <c r="Z94" s="116">
        <f t="shared" si="4"/>
        <v>46140</v>
      </c>
      <c r="AA9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9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9.4285714285714288</v>
      </c>
      <c r="AC9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8.1428571428571423</v>
      </c>
      <c r="AE9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9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31.428571428571427</v>
      </c>
      <c r="AG9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41.541495086824845</v>
      </c>
      <c r="AH94" s="116">
        <f t="shared" si="5"/>
        <v>46140</v>
      </c>
      <c r="AI94" s="1" t="str" cm="1">
        <f t="array" ref="AI94">IFERROR(_xlfn.IFS(AQ94="","Sem Produto",AND(AQ94/(AA94/12)&gt;0,AQ94/(AA94/12)&lt;=2),"Acabando",AND(AQ94/(AA94/12)&gt;2,AQ94/(AA94/12)&lt;=3),"Fazer Pedido",AND(AQ94/(AA94/12)&gt;3,AQ94/(AA94/12)&lt;=7),"OK",AND(AQ94/(AA94/12)&gt;7,AQ94/(AA94/12)&lt;=14),"Abaixar Preço",AND(AQ94/(AA94/12)&gt;14,AQ94/(AA94/12)&lt;=20),"Estabilizando",AQ94/(AA94/12)&gt;20,"Instavel"),"Instavel")</f>
        <v>Abaixar Preço</v>
      </c>
      <c r="AJ94" s="1" t="str" cm="1">
        <f t="array" ref="AJ94">IFERROR(_xlfn.IFS(AR94="","Sem Produto",AND(AR94/(AB94/12)&gt;0,AR94/(AB94/12)&lt;=2),"Acabando",AND(AR94/(AB94/12)&gt;2,AR94/(AB94/12)&lt;=3),"Fazer Pedido",AND(AR94/(AB94/12)&gt;3,AR94/(AB94/12)&lt;=7),"OK",AND(AR94/(AB94/12)&gt;7,AR94/(AB94/12)&lt;=14),"Abaixar Preço",AND(AR94/(AB94/12)&gt;14,AR94/(AB94/12)&lt;=20),"Estabilizando",AR94/(AB94/12)&gt;20,"Instavel"),"Instavel")</f>
        <v>OK</v>
      </c>
      <c r="AK94" s="1" t="str" cm="1">
        <f t="array" ref="AK94">IFERROR(_xlfn.IFS(AS94="","Sem Produto",AND(AS94/(AC94/12)&gt;0,AS94/(AC94/12)&lt;=2),"Acabando",AND(AS94/(AC94/12)&gt;2,AS94/(AC94/12)&lt;=3),"Fazer Pedido",AND(AS94/(AC94/12)&gt;3,AS94/(AC94/12)&lt;=7),"OK",AND(AS94/(AC94/12)&gt;7,AS94/(AC94/12)&lt;=14),"Abaixar Preço",AND(AS94/(AC94/12)&gt;14,AS94/(AC94/12)&lt;=20),"Estabilizando",AS94/(AC94/12)&gt;20,"Instavel"),"Instavel")</f>
        <v>Sem Produto</v>
      </c>
      <c r="AL94" s="1" t="str" cm="1">
        <f t="array" ref="AL94">IFERROR(_xlfn.IFS(AT94="","Sem Produto",AND(AT94/(AD94/12)&gt;0,AT94/(AD94/12)&lt;=2),"Acabando",AND(AT94/(AD94/12)&gt;2,AT94/(AD94/12)&lt;=3),"Fazer Pedido",AND(AT94/(AD94/12)&gt;3,AT94/(AD94/12)&lt;=7),"OK",AND(AT94/(AD94/12)&gt;7,AT94/(AD94/12)&lt;=14),"Abaixar Preço",AND(AT94/(AD94/12)&gt;14,AT94/(AD94/12)&lt;=20),"Estabilizando",AT94/(AD94/12)&gt;20,"Instavel"),"Instavel")</f>
        <v>OK</v>
      </c>
      <c r="AM94" s="1" t="str" cm="1">
        <f t="array" ref="AM94">IFERROR(_xlfn.IFS(AU94="","Sem Produto",AND(AU94/(AE94/12)&gt;0,AU94/(AE94/12)&lt;=2),"Acabando",AND(AU94/(AE94/12)&gt;2,AU94/(AE94/12)&lt;=3),"Fazer Pedido",AND(AU94/(AE94/12)&gt;3,AU94/(AE94/12)&lt;=7),"OK",AND(AU94/(AE94/12)&gt;7,AU94/(AE94/12)&lt;=14),"Abaixar Preço",AND(AU94/(AE94/12)&gt;14,AU94/(AE94/12)&lt;=20),"Estabilizando",AU94/(AE94/12)&gt;20,"Instavel"),"Instavel")</f>
        <v>Abaixar Preço</v>
      </c>
      <c r="AN94" s="1" t="str">
        <f ca="1">IF(SUMIF(vendaAno[data],SituaçãoEstoqueFluxo[[#This Row],[data]],vendaAno[estoque])=0,"Algo errado",IF(AND(AX94/AW94&gt;0,AX94/AW94&lt;=1),"Alerta",IF(AND(AX94/AW94&gt;1,AX94/AW94&lt;=1.5),"Fazer pedido",IF(AND(AX94/AW94&gt;1.5,AX94/AW94&lt;=2),"Ok",IF(AND(AX94/AW94&gt;2,AX94/AW94&lt;=2.5),"Estabilizando",IF(AND(AX94/AW94&gt;2.5,AX94/AW94&lt;=3),"Cheio","Abaixar preço"))))))</f>
        <v>Estabilizando</v>
      </c>
      <c r="AO94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94" s="116">
        <f t="shared" si="6"/>
        <v>46140</v>
      </c>
      <c r="AQ9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6.583333333333333</v>
      </c>
      <c r="AR9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2.5</v>
      </c>
      <c r="AS9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3.5833333333333335</v>
      </c>
      <c r="AU9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94" s="82" cm="1">
        <f t="array" aca="1" ref="AV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23.571428571428569</v>
      </c>
      <c r="AW94" s="82" cm="1">
        <f t="array" aca="1" ref="AW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7.8571428571428568</v>
      </c>
      <c r="AX94" s="82">
        <f>SUM(FluxoEstoqueDateTime[[#This Row],[OVO BRANCO A]:[OVO BRANCO JUMBO]])</f>
        <v>18.833333333333332</v>
      </c>
    </row>
    <row r="95" spans="1:50" x14ac:dyDescent="0.25">
      <c r="A95" s="4" t="s">
        <v>20</v>
      </c>
      <c r="B95" s="55" t="s">
        <v>13</v>
      </c>
      <c r="C95" s="5">
        <v>8</v>
      </c>
      <c r="D95" s="56">
        <v>20</v>
      </c>
      <c r="E95" s="56">
        <v>160</v>
      </c>
      <c r="F95" s="157">
        <v>46213</v>
      </c>
      <c r="G95" s="4" t="s">
        <v>83</v>
      </c>
      <c r="H95" s="4" t="s">
        <v>149</v>
      </c>
      <c r="I95" s="153">
        <v>33.33</v>
      </c>
      <c r="J95" s="12">
        <v>0.20833333333333304</v>
      </c>
      <c r="Z95" s="116">
        <f t="shared" si="4"/>
        <v>46139</v>
      </c>
      <c r="AA9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9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9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9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9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9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41.98210575768649</v>
      </c>
      <c r="AH95" s="116">
        <f t="shared" si="5"/>
        <v>46139</v>
      </c>
      <c r="AI95" s="1" t="str" cm="1">
        <f t="array" ref="AI95">IFERROR(_xlfn.IFS(AQ95="","Sem Produto",AND(AQ95/(AA95/12)&gt;0,AQ95/(AA95/12)&lt;=2),"Acabando",AND(AQ95/(AA95/12)&gt;2,AQ95/(AA95/12)&lt;=3),"Fazer Pedido",AND(AQ95/(AA95/12)&gt;3,AQ95/(AA95/12)&lt;=7),"OK",AND(AQ95/(AA95/12)&gt;7,AQ95/(AA95/12)&lt;=14),"Abaixar Preço",AND(AQ95/(AA95/12)&gt;14,AQ95/(AA95/12)&lt;=20),"Estabilizando",AQ95/(AA95/12)&gt;20,"Instavel"),"Instavel")</f>
        <v>Abaixar Preço</v>
      </c>
      <c r="AJ95" s="1" t="str" cm="1">
        <f t="array" ref="AJ95">IFERROR(_xlfn.IFS(AR95="","Sem Produto",AND(AR95/(AB95/12)&gt;0,AR95/(AB95/12)&lt;=2),"Acabando",AND(AR95/(AB95/12)&gt;2,AR95/(AB95/12)&lt;=3),"Fazer Pedido",AND(AR95/(AB95/12)&gt;3,AR95/(AB95/12)&lt;=7),"OK",AND(AR95/(AB95/12)&gt;7,AR95/(AB95/12)&lt;=14),"Abaixar Preço",AND(AR95/(AB95/12)&gt;14,AR95/(AB95/12)&lt;=20),"Estabilizando",AR95/(AB95/12)&gt;20,"Instavel"),"Instavel")</f>
        <v>OK</v>
      </c>
      <c r="AK95" s="1" t="str" cm="1">
        <f t="array" ref="AK95">IFERROR(_xlfn.IFS(AS95="","Sem Produto",AND(AS95/(AC95/12)&gt;0,AS95/(AC95/12)&lt;=2),"Acabando",AND(AS95/(AC95/12)&gt;2,AS95/(AC95/12)&lt;=3),"Fazer Pedido",AND(AS95/(AC95/12)&gt;3,AS95/(AC95/12)&lt;=7),"OK",AND(AS95/(AC95/12)&gt;7,AS95/(AC95/12)&lt;=14),"Abaixar Preço",AND(AS95/(AC95/12)&gt;14,AS95/(AC95/12)&lt;=20),"Estabilizando",AS95/(AC95/12)&gt;20,"Instavel"),"Instavel")</f>
        <v>Sem Produto</v>
      </c>
      <c r="AL95" s="1" t="str" cm="1">
        <f t="array" ref="AL95">IFERROR(_xlfn.IFS(AT95="","Sem Produto",AND(AT95/(AD95/12)&gt;0,AT95/(AD95/12)&lt;=2),"Acabando",AND(AT95/(AD95/12)&gt;2,AT95/(AD95/12)&lt;=3),"Fazer Pedido",AND(AT95/(AD95/12)&gt;3,AT95/(AD95/12)&lt;=7),"OK",AND(AT95/(AD95/12)&gt;7,AT95/(AD95/12)&lt;=14),"Abaixar Preço",AND(AT95/(AD95/12)&gt;14,AT95/(AD95/12)&lt;=20),"Estabilizando",AT95/(AD95/12)&gt;20,"Instavel"),"Instavel")</f>
        <v>OK</v>
      </c>
      <c r="AM95" s="1" t="str" cm="1">
        <f t="array" ref="AM95">IFERROR(_xlfn.IFS(AU95="","Sem Produto",AND(AU95/(AE95/12)&gt;0,AU95/(AE95/12)&lt;=2),"Acabando",AND(AU95/(AE95/12)&gt;2,AU95/(AE95/12)&lt;=3),"Fazer Pedido",AND(AU95/(AE95/12)&gt;3,AU95/(AE95/12)&lt;=7),"OK",AND(AU95/(AE95/12)&gt;7,AU95/(AE95/12)&lt;=14),"Abaixar Preço",AND(AU95/(AE95/12)&gt;14,AU95/(AE95/12)&lt;=20),"Estabilizando",AU95/(AE95/12)&gt;20,"Instavel"),"Instavel")</f>
        <v>Estabilizando</v>
      </c>
      <c r="AN95" s="1" t="str">
        <f ca="1">IF(SUMIF(vendaAno[data],SituaçãoEstoqueFluxo[[#This Row],[data]],vendaAno[estoque])=0,"Algo errado",IF(AND(AX95/AW95&gt;0,AX95/AW95&lt;=1),"Alerta",IF(AND(AX95/AW95&gt;1,AX95/AW95&lt;=1.5),"Fazer pedido",IF(AND(AX95/AW95&gt;1.5,AX95/AW95&lt;=2),"Ok",IF(AND(AX95/AW95&gt;2,AX95/AW95&lt;=2.5),"Estabilizando",IF(AND(AX95/AW95&gt;2.5,AX95/AW95&lt;=3),"Cheio","Abaixar preço"))))))</f>
        <v>Cheio</v>
      </c>
      <c r="AO95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95" s="116">
        <f t="shared" si="6"/>
        <v>46139</v>
      </c>
      <c r="AQ9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6.666666666666667</v>
      </c>
      <c r="AR9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9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</v>
      </c>
      <c r="AU9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95" s="82" cm="1">
        <f t="array" aca="1" ref="AV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95" s="82" cm="1">
        <f t="array" aca="1" ref="AW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95" s="82">
        <f>SUM(FluxoEstoqueDateTime[[#This Row],[OVO BRANCO A]:[OVO BRANCO JUMBO]])</f>
        <v>21.75</v>
      </c>
    </row>
    <row r="96" spans="1:50" x14ac:dyDescent="0.25">
      <c r="A96" s="4" t="s">
        <v>20</v>
      </c>
      <c r="B96" s="55" t="s">
        <v>12</v>
      </c>
      <c r="C96" s="5">
        <v>1</v>
      </c>
      <c r="D96" s="56">
        <v>15</v>
      </c>
      <c r="E96" s="56">
        <v>15</v>
      </c>
      <c r="F96" s="157">
        <v>46213</v>
      </c>
      <c r="G96" s="4" t="s">
        <v>83</v>
      </c>
      <c r="H96" s="4" t="s">
        <v>149</v>
      </c>
      <c r="I96" s="153">
        <v>1.17</v>
      </c>
      <c r="J96" s="12">
        <v>7.7777777777777377E-2</v>
      </c>
      <c r="Z96" s="116">
        <f t="shared" si="4"/>
        <v>46138</v>
      </c>
      <c r="AA9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13.142857142857142</v>
      </c>
      <c r="AB9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10.714285714285714</v>
      </c>
      <c r="AC9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9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5.1428571428571432</v>
      </c>
      <c r="AF9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37.714285714285715</v>
      </c>
      <c r="AG9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43.525396644218688</v>
      </c>
      <c r="AH96" s="116">
        <f t="shared" si="5"/>
        <v>46138</v>
      </c>
      <c r="AI96" s="1" t="str" cm="1">
        <f t="array" ref="AI96">IFERROR(_xlfn.IFS(AQ96="","Sem Produto",AND(AQ96/(AA96/12)&gt;0,AQ96/(AA96/12)&lt;=2),"Acabando",AND(AQ96/(AA96/12)&gt;2,AQ96/(AA96/12)&lt;=3),"Fazer Pedido",AND(AQ96/(AA96/12)&gt;3,AQ96/(AA96/12)&lt;=7),"OK",AND(AQ96/(AA96/12)&gt;7,AQ96/(AA96/12)&lt;=14),"Abaixar Preço",AND(AQ96/(AA96/12)&gt;14,AQ96/(AA96/12)&lt;=20),"Estabilizando",AQ96/(AA96/12)&gt;20,"Instavel"),"Instavel")</f>
        <v>OK</v>
      </c>
      <c r="AJ96" s="1" t="str" cm="1">
        <f t="array" ref="AJ96">IFERROR(_xlfn.IFS(AR96="","Sem Produto",AND(AR96/(AB96/12)&gt;0,AR96/(AB96/12)&lt;=2),"Acabando",AND(AR96/(AB96/12)&gt;2,AR96/(AB96/12)&lt;=3),"Fazer Pedido",AND(AR96/(AB96/12)&gt;3,AR96/(AB96/12)&lt;=7),"OK",AND(AR96/(AB96/12)&gt;7,AR96/(AB96/12)&lt;=14),"Abaixar Preço",AND(AR96/(AB96/12)&gt;14,AR96/(AB96/12)&lt;=20),"Estabilizando",AR96/(AB96/12)&gt;20,"Instavel"),"Instavel")</f>
        <v>OK</v>
      </c>
      <c r="AK96" s="1" t="str" cm="1">
        <f t="array" ref="AK96">IFERROR(_xlfn.IFS(AS96="","Sem Produto",AND(AS96/(AC96/12)&gt;0,AS96/(AC96/12)&lt;=2),"Acabando",AND(AS96/(AC96/12)&gt;2,AS96/(AC96/12)&lt;=3),"Fazer Pedido",AND(AS96/(AC96/12)&gt;3,AS96/(AC96/12)&lt;=7),"OK",AND(AS96/(AC96/12)&gt;7,AS96/(AC96/12)&lt;=14),"Abaixar Preço",AND(AS96/(AC96/12)&gt;14,AS96/(AC96/12)&lt;=20),"Estabilizando",AS96/(AC96/12)&gt;20,"Instavel"),"Instavel")</f>
        <v>Sem Produto</v>
      </c>
      <c r="AL96" s="1" t="str" cm="1">
        <f t="array" ref="AL96">IFERROR(_xlfn.IFS(AT96="","Sem Produto",AND(AT96/(AD96/12)&gt;0,AT96/(AD96/12)&lt;=2),"Acabando",AND(AT96/(AD96/12)&gt;2,AT96/(AD96/12)&lt;=3),"Fazer Pedido",AND(AT96/(AD96/12)&gt;3,AT96/(AD96/12)&lt;=7),"OK",AND(AT96/(AD96/12)&gt;7,AT96/(AD96/12)&lt;=14),"Abaixar Preço",AND(AT96/(AD96/12)&gt;14,AT96/(AD96/12)&lt;=20),"Estabilizando",AT96/(AD96/12)&gt;20,"Instavel"),"Instavel")</f>
        <v>OK</v>
      </c>
      <c r="AM96" s="1" t="str" cm="1">
        <f t="array" ref="AM96">IFERROR(_xlfn.IFS(AU96="","Sem Produto",AND(AU96/(AE96/12)&gt;0,AU96/(AE96/12)&lt;=2),"Acabando",AND(AU96/(AE96/12)&gt;2,AU96/(AE96/12)&lt;=3),"Fazer Pedido",AND(AU96/(AE96/12)&gt;3,AU96/(AE96/12)&lt;=7),"OK",AND(AU96/(AE96/12)&gt;7,AU96/(AE96/12)&lt;=14),"Abaixar Preço",AND(AU96/(AE96/12)&gt;14,AU96/(AE96/12)&lt;=20),"Estabilizando",AU96/(AE96/12)&gt;20,"Instavel"),"Instavel")</f>
        <v>Estabilizando</v>
      </c>
      <c r="AN96" s="1" t="str">
        <f ca="1">IF(SUMIF(vendaAno[data],SituaçãoEstoqueFluxo[[#This Row],[data]],vendaAno[estoque])=0,"Algo errado",IF(AND(AX96/AW96&gt;0,AX96/AW96&lt;=1),"Alerta",IF(AND(AX96/AW96&gt;1,AX96/AW96&lt;=1.5),"Fazer pedido",IF(AND(AX96/AW96&gt;1.5,AX96/AW96&lt;=2),"Ok",IF(AND(AX96/AW96&gt;2,AX96/AW96&lt;=2.5),"Estabilizando",IF(AND(AX96/AW96&gt;2.5,AX96/AW96&lt;=3),"Cheio","Abaixar preço"))))))</f>
        <v>Estabilizando</v>
      </c>
      <c r="AO96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96" s="116">
        <f t="shared" si="6"/>
        <v>46138</v>
      </c>
      <c r="AQ9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6.916666666666667</v>
      </c>
      <c r="AR9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4.25</v>
      </c>
      <c r="AS9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4.916666666666667</v>
      </c>
      <c r="AU9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</v>
      </c>
      <c r="AV96" s="82" cm="1">
        <f t="array" aca="1" ref="AV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28.285714285714281</v>
      </c>
      <c r="AW96" s="82" cm="1">
        <f t="array" aca="1" ref="AW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9.4285714285714288</v>
      </c>
      <c r="AX96" s="82">
        <f>SUM(FluxoEstoqueDateTime[[#This Row],[OVO BRANCO A]:[OVO BRANCO JUMBO]])</f>
        <v>23.083333333333336</v>
      </c>
    </row>
    <row r="97" spans="1:50" x14ac:dyDescent="0.25">
      <c r="A97" s="4" t="s">
        <v>20</v>
      </c>
      <c r="B97" s="55" t="s">
        <v>11</v>
      </c>
      <c r="C97" s="5">
        <v>1</v>
      </c>
      <c r="D97" s="56">
        <v>18</v>
      </c>
      <c r="E97" s="56">
        <v>18</v>
      </c>
      <c r="F97" s="157">
        <v>46213</v>
      </c>
      <c r="G97" s="4" t="s">
        <v>83</v>
      </c>
      <c r="H97" s="4" t="s">
        <v>149</v>
      </c>
      <c r="I97" s="153">
        <v>3.41</v>
      </c>
      <c r="J97" s="12">
        <v>0.18970478869596194</v>
      </c>
      <c r="Z97" s="116">
        <f t="shared" si="4"/>
        <v>46137</v>
      </c>
      <c r="AA9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12.571428571428571</v>
      </c>
      <c r="AB9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9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8.2857142857142865</v>
      </c>
      <c r="AE9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</v>
      </c>
      <c r="AF9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35.285714285714285</v>
      </c>
      <c r="AG9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43.392669997871543</v>
      </c>
      <c r="AH97" s="116">
        <f t="shared" si="5"/>
        <v>46137</v>
      </c>
      <c r="AI97" s="1" t="str" cm="1">
        <f t="array" ref="AI97">IFERROR(_xlfn.IFS(AQ97="","Sem Produto",AND(AQ97/(AA97/12)&gt;0,AQ97/(AA97/12)&lt;=2),"Acabando",AND(AQ97/(AA97/12)&gt;2,AQ97/(AA97/12)&lt;=3),"Fazer Pedido",AND(AQ97/(AA97/12)&gt;3,AQ97/(AA97/12)&lt;=7),"OK",AND(AQ97/(AA97/12)&gt;7,AQ97/(AA97/12)&lt;=14),"Abaixar Preço",AND(AQ97/(AA97/12)&gt;14,AQ97/(AA97/12)&lt;=20),"Estabilizando",AQ97/(AA97/12)&gt;20,"Instavel"),"Instavel")</f>
        <v>Abaixar Preço</v>
      </c>
      <c r="AJ97" s="1" t="str" cm="1">
        <f t="array" ref="AJ97">IFERROR(_xlfn.IFS(AR97="","Sem Produto",AND(AR97/(AB97/12)&gt;0,AR97/(AB97/12)&lt;=2),"Acabando",AND(AR97/(AB97/12)&gt;2,AR97/(AB97/12)&lt;=3),"Fazer Pedido",AND(AR97/(AB97/12)&gt;3,AR97/(AB97/12)&lt;=7),"OK",AND(AR97/(AB97/12)&gt;7,AR97/(AB97/12)&lt;=14),"Abaixar Preço",AND(AR97/(AB97/12)&gt;14,AR97/(AB97/12)&lt;=20),"Estabilizando",AR97/(AB97/12)&gt;20,"Instavel"),"Instavel")</f>
        <v>OK</v>
      </c>
      <c r="AK97" s="1" t="str" cm="1">
        <f t="array" ref="AK97">IFERROR(_xlfn.IFS(AS97="","Sem Produto",AND(AS97/(AC97/12)&gt;0,AS97/(AC97/12)&lt;=2),"Acabando",AND(AS97/(AC97/12)&gt;2,AS97/(AC97/12)&lt;=3),"Fazer Pedido",AND(AS97/(AC97/12)&gt;3,AS97/(AC97/12)&lt;=7),"OK",AND(AS97/(AC97/12)&gt;7,AS97/(AC97/12)&lt;=14),"Abaixar Preço",AND(AS97/(AC97/12)&gt;14,AS97/(AC97/12)&lt;=20),"Estabilizando",AS97/(AC97/12)&gt;20,"Instavel"),"Instavel")</f>
        <v>Sem Produto</v>
      </c>
      <c r="AL97" s="1" t="str" cm="1">
        <f t="array" ref="AL97">IFERROR(_xlfn.IFS(AT97="","Sem Produto",AND(AT97/(AD97/12)&gt;0,AT97/(AD97/12)&lt;=2),"Acabando",AND(AT97/(AD97/12)&gt;2,AT97/(AD97/12)&lt;=3),"Fazer Pedido",AND(AT97/(AD97/12)&gt;3,AT97/(AD97/12)&lt;=7),"OK",AND(AT97/(AD97/12)&gt;7,AT97/(AD97/12)&lt;=14),"Abaixar Preço",AND(AT97/(AD97/12)&gt;14,AT97/(AD97/12)&lt;=20),"Estabilizando",AT97/(AD97/12)&gt;20,"Instavel"),"Instavel")</f>
        <v>Abaixar Preço</v>
      </c>
      <c r="AM97" s="1" t="str" cm="1">
        <f t="array" ref="AM97">IFERROR(_xlfn.IFS(AU97="","Sem Produto",AND(AU97/(AE97/12)&gt;0,AU97/(AE97/12)&lt;=2),"Acabando",AND(AU97/(AE97/12)&gt;2,AU97/(AE97/12)&lt;=3),"Fazer Pedido",AND(AU97/(AE97/12)&gt;3,AU97/(AE97/12)&lt;=7),"OK",AND(AU97/(AE97/12)&gt;7,AU97/(AE97/12)&lt;=14),"Abaixar Preço",AND(AU97/(AE97/12)&gt;14,AU97/(AE97/12)&lt;=20),"Estabilizando",AU97/(AE97/12)&gt;20,"Instavel"),"Instavel")</f>
        <v>Instavel</v>
      </c>
      <c r="AN97" s="1" t="str">
        <f ca="1">IF(SUMIF(vendaAno[data],SituaçãoEstoqueFluxo[[#This Row],[data]],vendaAno[estoque])=0,"Algo errado",IF(AND(AX97/AW97&gt;0,AX97/AW97&lt;=1),"Alerta",IF(AND(AX97/AW97&gt;1,AX97/AW97&lt;=1.5),"Fazer pedido",IF(AND(AX97/AW97&gt;1.5,AX97/AW97&lt;=2),"Ok",IF(AND(AX97/AW97&gt;2,AX97/AW97&lt;=2.5),"Estabilizando",IF(AND(AX97/AW97&gt;2.5,AX97/AW97&lt;=3),"Cheio","Abaixar preço"))))))</f>
        <v>Abaixar preço</v>
      </c>
      <c r="AO97" s="82">
        <f>SUMIFS(estoque[quantidade],estoque[fornecedor],"&lt;&gt;saída",estoque[data],SituaçãoEstoqueFluxo[[#This Row],[data]])-SUMIFS(estoque[quantidade],estoque[fornecedor],"saída",estoque[data],SituaçãoEstoqueFluxo[[#This Row],[data]])</f>
        <v>-19</v>
      </c>
      <c r="AP97" s="116">
        <f t="shared" si="6"/>
        <v>46137</v>
      </c>
      <c r="AQ9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</v>
      </c>
      <c r="AR9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5.416666666666667</v>
      </c>
      <c r="AS9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9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7.666666666666667</v>
      </c>
      <c r="AV97" s="82" cm="1">
        <f t="array" aca="1" ref="AV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26.464285714285712</v>
      </c>
      <c r="AW97" s="82" cm="1">
        <f t="array" aca="1" ref="AW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8.8214285714285712</v>
      </c>
      <c r="AX97" s="82">
        <f>SUM(FluxoEstoqueDateTime[[#This Row],[OVO BRANCO A]:[OVO BRANCO JUMBO]])</f>
        <v>26.500000000000004</v>
      </c>
    </row>
    <row r="98" spans="1:50" x14ac:dyDescent="0.25">
      <c r="A98" s="4" t="s">
        <v>20</v>
      </c>
      <c r="B98" s="55" t="s">
        <v>10</v>
      </c>
      <c r="C98" s="5">
        <v>11</v>
      </c>
      <c r="D98" s="56">
        <v>19</v>
      </c>
      <c r="E98" s="56">
        <v>209</v>
      </c>
      <c r="F98" s="157">
        <v>46213</v>
      </c>
      <c r="G98" s="4" t="s">
        <v>83</v>
      </c>
      <c r="H98" s="4" t="s">
        <v>149</v>
      </c>
      <c r="I98" s="153">
        <v>39.42</v>
      </c>
      <c r="J98" s="12">
        <v>0.18859649122807021</v>
      </c>
      <c r="Z98" s="116">
        <f t="shared" si="4"/>
        <v>46136</v>
      </c>
      <c r="AA9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9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8.7142857142857135</v>
      </c>
      <c r="AC9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9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3.8571428571428572</v>
      </c>
      <c r="AF9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</v>
      </c>
      <c r="AG9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42.952251711042933</v>
      </c>
      <c r="AH98" s="116">
        <f t="shared" si="5"/>
        <v>46136</v>
      </c>
      <c r="AI98" s="1" t="str" cm="1">
        <f t="array" ref="AI98">IFERROR(_xlfn.IFS(AQ98="","Sem Produto",AND(AQ98/(AA98/12)&gt;0,AQ98/(AA98/12)&lt;=2),"Acabando",AND(AQ98/(AA98/12)&gt;2,AQ98/(AA98/12)&lt;=3),"Fazer Pedido",AND(AQ98/(AA98/12)&gt;3,AQ98/(AA98/12)&lt;=7),"OK",AND(AQ98/(AA98/12)&gt;7,AQ98/(AA98/12)&lt;=14),"Abaixar Preço",AND(AQ98/(AA98/12)&gt;14,AQ98/(AA98/12)&lt;=20),"Estabilizando",AQ98/(AA98/12)&gt;20,"Instavel"),"Instavel")</f>
        <v>Abaixar Preço</v>
      </c>
      <c r="AJ98" s="1" t="str" cm="1">
        <f t="array" ref="AJ98">IFERROR(_xlfn.IFS(AR98="","Sem Produto",AND(AR98/(AB98/12)&gt;0,AR98/(AB98/12)&lt;=2),"Acabando",AND(AR98/(AB98/12)&gt;2,AR98/(AB98/12)&lt;=3),"Fazer Pedido",AND(AR98/(AB98/12)&gt;3,AR98/(AB98/12)&lt;=7),"OK",AND(AR98/(AB98/12)&gt;7,AR98/(AB98/12)&lt;=14),"Abaixar Preço",AND(AR98/(AB98/12)&gt;14,AR98/(AB98/12)&lt;=20),"Estabilizando",AR98/(AB98/12)&gt;20,"Instavel"),"Instavel")</f>
        <v>Abaixar Preço</v>
      </c>
      <c r="AK98" s="1" t="str" cm="1">
        <f t="array" ref="AK98">IFERROR(_xlfn.IFS(AS98="","Sem Produto",AND(AS98/(AC98/12)&gt;0,AS98/(AC98/12)&lt;=2),"Acabando",AND(AS98/(AC98/12)&gt;2,AS98/(AC98/12)&lt;=3),"Fazer Pedido",AND(AS98/(AC98/12)&gt;3,AS98/(AC98/12)&lt;=7),"OK",AND(AS98/(AC98/12)&gt;7,AS98/(AC98/12)&lt;=14),"Abaixar Preço",AND(AS98/(AC98/12)&gt;14,AS98/(AC98/12)&lt;=20),"Estabilizando",AS98/(AC98/12)&gt;20,"Instavel"),"Instavel")</f>
        <v>Sem Produto</v>
      </c>
      <c r="AL98" s="1" t="str" cm="1">
        <f t="array" ref="AL98">IFERROR(_xlfn.IFS(AT98="","Sem Produto",AND(AT98/(AD98/12)&gt;0,AT98/(AD98/12)&lt;=2),"Acabando",AND(AT98/(AD98/12)&gt;2,AT98/(AD98/12)&lt;=3),"Fazer Pedido",AND(AT98/(AD98/12)&gt;3,AT98/(AD98/12)&lt;=7),"OK",AND(AT98/(AD98/12)&gt;7,AT98/(AD98/12)&lt;=14),"Abaixar Preço",AND(AT98/(AD98/12)&gt;14,AT98/(AD98/12)&lt;=20),"Estabilizando",AT98/(AD98/12)&gt;20,"Instavel"),"Instavel")</f>
        <v>Abaixar Preço</v>
      </c>
      <c r="AM98" s="1" t="str" cm="1">
        <f t="array" ref="AM98">IFERROR(_xlfn.IFS(AU98="","Sem Produto",AND(AU98/(AE98/12)&gt;0,AU98/(AE98/12)&lt;=2),"Acabando",AND(AU98/(AE98/12)&gt;2,AU98/(AE98/12)&lt;=3),"Fazer Pedido",AND(AU98/(AE98/12)&gt;3,AU98/(AE98/12)&lt;=7),"OK",AND(AU98/(AE98/12)&gt;7,AU98/(AE98/12)&lt;=14),"Abaixar Preço",AND(AU98/(AE98/12)&gt;14,AU98/(AE98/12)&lt;=20),"Estabilizando",AU98/(AE98/12)&gt;20,"Instavel"),"Instavel")</f>
        <v>Instavel</v>
      </c>
      <c r="AN98" s="1" t="str">
        <f ca="1">IF(SUMIF(vendaAno[data],SituaçãoEstoqueFluxo[[#This Row],[data]],vendaAno[estoque])=0,"Algo errado",IF(AND(AX98/AW98&gt;0,AX98/AW98&lt;=1),"Alerta",IF(AND(AX98/AW98&gt;1,AX98/AW98&lt;=1.5),"Fazer pedido",IF(AND(AX98/AW98&gt;1.5,AX98/AW98&lt;=2),"Ok",IF(AND(AX98/AW98&gt;2,AX98/AW98&lt;=2.5),"Estabilizando",IF(AND(AX98/AW98&gt;2.5,AX98/AW98&lt;=3),"Cheio","Abaixar preço"))))))</f>
        <v>Abaixar preço</v>
      </c>
      <c r="AO98" s="82">
        <f>SUMIFS(estoque[quantidade],estoque[fornecedor],"&lt;&gt;saída",estoque[data],SituaçãoEstoqueFluxo[[#This Row],[data]])-SUMIFS(estoque[quantidade],estoque[fornecedor],"saída",estoque[data],SituaçãoEstoqueFluxo[[#This Row],[data]])</f>
        <v>-18</v>
      </c>
      <c r="AP98" s="116">
        <f t="shared" si="6"/>
        <v>46136</v>
      </c>
      <c r="AQ9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9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9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5.666666666666667</v>
      </c>
      <c r="AU9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7.75</v>
      </c>
      <c r="AV98" s="82" cm="1">
        <f t="array" aca="1" ref="AV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24.75</v>
      </c>
      <c r="AW98" s="82" cm="1">
        <f t="array" aca="1" ref="AW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8.25</v>
      </c>
      <c r="AX98" s="82">
        <f>SUM(FluxoEstoqueDateTime[[#This Row],[OVO BRANCO A]:[OVO BRANCO JUMBO]])</f>
        <v>28.083333333333336</v>
      </c>
    </row>
    <row r="99" spans="1:50" x14ac:dyDescent="0.25">
      <c r="A99" s="4" t="s">
        <v>20</v>
      </c>
      <c r="B99" s="55" t="s">
        <v>14</v>
      </c>
      <c r="C99" s="5">
        <v>6</v>
      </c>
      <c r="D99" s="56">
        <v>23</v>
      </c>
      <c r="E99" s="56">
        <v>138</v>
      </c>
      <c r="F99" s="157">
        <v>46212</v>
      </c>
      <c r="G99" s="4" t="s">
        <v>294</v>
      </c>
      <c r="H99" s="4" t="s">
        <v>149</v>
      </c>
      <c r="I99" s="153">
        <v>40.49</v>
      </c>
      <c r="J99" s="12">
        <v>0.29339300937766405</v>
      </c>
      <c r="Z99" s="116">
        <f t="shared" si="4"/>
        <v>46135</v>
      </c>
      <c r="AA9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13</v>
      </c>
      <c r="AB9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9.2857142857142865</v>
      </c>
      <c r="AC9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9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9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9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33.857142857142854</v>
      </c>
      <c r="AG9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42.782821970880462</v>
      </c>
      <c r="AH99" s="116">
        <f t="shared" si="5"/>
        <v>46135</v>
      </c>
      <c r="AI99" s="1" t="str" cm="1">
        <f t="array" ref="AI99">IFERROR(_xlfn.IFS(AQ99="","Sem Produto",AND(AQ99/(AA99/12)&gt;0,AQ99/(AA99/12)&lt;=2),"Acabando",AND(AQ99/(AA99/12)&gt;2,AQ99/(AA99/12)&lt;=3),"Fazer Pedido",AND(AQ99/(AA99/12)&gt;3,AQ99/(AA99/12)&lt;=7),"OK",AND(AQ99/(AA99/12)&gt;7,AQ99/(AA99/12)&lt;=14),"Abaixar Preço",AND(AQ99/(AA99/12)&gt;14,AQ99/(AA99/12)&lt;=20),"Estabilizando",AQ99/(AA99/12)&gt;20,"Instavel"),"Instavel")</f>
        <v>Abaixar Preço</v>
      </c>
      <c r="AJ99" s="1" t="str" cm="1">
        <f t="array" ref="AJ99">IFERROR(_xlfn.IFS(AR99="","Sem Produto",AND(AR99/(AB99/12)&gt;0,AR99/(AB99/12)&lt;=2),"Acabando",AND(AR99/(AB99/12)&gt;2,AR99/(AB99/12)&lt;=3),"Fazer Pedido",AND(AR99/(AB99/12)&gt;3,AR99/(AB99/12)&lt;=7),"OK",AND(AR99/(AB99/12)&gt;7,AR99/(AB99/12)&lt;=14),"Abaixar Preço",AND(AR99/(AB99/12)&gt;14,AR99/(AB99/12)&lt;=20),"Estabilizando",AR99/(AB99/12)&gt;20,"Instavel"),"Instavel")</f>
        <v>Abaixar Preço</v>
      </c>
      <c r="AK99" s="1" t="str" cm="1">
        <f t="array" ref="AK99">IFERROR(_xlfn.IFS(AS99="","Sem Produto",AND(AS99/(AC99/12)&gt;0,AS99/(AC99/12)&lt;=2),"Acabando",AND(AS99/(AC99/12)&gt;2,AS99/(AC99/12)&lt;=3),"Fazer Pedido",AND(AS99/(AC99/12)&gt;3,AS99/(AC99/12)&lt;=7),"OK",AND(AS99/(AC99/12)&gt;7,AS99/(AC99/12)&lt;=14),"Abaixar Preço",AND(AS99/(AC99/12)&gt;14,AS99/(AC99/12)&lt;=20),"Estabilizando",AS99/(AC99/12)&gt;20,"Instavel"),"Instavel")</f>
        <v>Sem Produto</v>
      </c>
      <c r="AL99" s="1" t="str" cm="1">
        <f t="array" ref="AL99">IFERROR(_xlfn.IFS(AT99="","Sem Produto",AND(AT99/(AD99/12)&gt;0,AT99/(AD99/12)&lt;=2),"Acabando",AND(AT99/(AD99/12)&gt;2,AT99/(AD99/12)&lt;=3),"Fazer Pedido",AND(AT99/(AD99/12)&gt;3,AT99/(AD99/12)&lt;=7),"OK",AND(AT99/(AD99/12)&gt;7,AT99/(AD99/12)&lt;=14),"Abaixar Preço",AND(AT99/(AD99/12)&gt;14,AT99/(AD99/12)&lt;=20),"Estabilizando",AT99/(AD99/12)&gt;20,"Instavel"),"Instavel")</f>
        <v>Abaixar Preço</v>
      </c>
      <c r="AM99" s="1" t="str" cm="1">
        <f t="array" ref="AM99">IFERROR(_xlfn.IFS(AU99="","Sem Produto",AND(AU99/(AE99/12)&gt;0,AU99/(AE99/12)&lt;=2),"Acabando",AND(AU99/(AE99/12)&gt;2,AU99/(AE99/12)&lt;=3),"Fazer Pedido",AND(AU99/(AE99/12)&gt;3,AU99/(AE99/12)&lt;=7),"OK",AND(AU99/(AE99/12)&gt;7,AU99/(AE99/12)&lt;=14),"Abaixar Preço",AND(AU99/(AE99/12)&gt;14,AU99/(AE99/12)&lt;=20),"Estabilizando",AU99/(AE99/12)&gt;20,"Instavel"),"Instavel")</f>
        <v>Instavel</v>
      </c>
      <c r="AN99" s="1" t="str">
        <f ca="1">IF(SUMIF(vendaAno[data],SituaçãoEstoqueFluxo[[#This Row],[data]],vendaAno[estoque])=0,"Algo errado",IF(AND(AX99/AW99&gt;0,AX99/AW99&lt;=1),"Alerta",IF(AND(AX99/AW99&gt;1,AX99/AW99&lt;=1.5),"Fazer pedido",IF(AND(AX99/AW99&gt;1.5,AX99/AW99&lt;=2),"Ok",IF(AND(AX99/AW99&gt;2,AX99/AW99&lt;=2.5),"Estabilizando",IF(AND(AX99/AW99&gt;2.5,AX99/AW99&lt;=3),"Cheio","Abaixar preço"))))))</f>
        <v>Abaixar preço</v>
      </c>
      <c r="AO99" s="82">
        <f>SUMIFS(estoque[quantidade],estoque[fornecedor],"&lt;&gt;saída",estoque[data],SituaçãoEstoqueFluxo[[#This Row],[data]])-SUMIFS(estoque[quantidade],estoque[fornecedor],"saída",estoque[data],SituaçãoEstoqueFluxo[[#This Row],[data]])</f>
        <v>-39</v>
      </c>
      <c r="AP99" s="116">
        <f t="shared" si="6"/>
        <v>46135</v>
      </c>
      <c r="AQ9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8.0833333333333339</v>
      </c>
      <c r="AR9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</v>
      </c>
      <c r="AS9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9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9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8.1666666666666661</v>
      </c>
      <c r="AV99" s="82" cm="1">
        <f t="array" aca="1" ref="AV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25.392857142857142</v>
      </c>
      <c r="AW99" s="82" cm="1">
        <f t="array" aca="1" ref="AW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8.4642857142857135</v>
      </c>
      <c r="AX99" s="82">
        <f>SUM(FluxoEstoqueDateTime[[#This Row],[OVO BRANCO A]:[OVO BRANCO JUMBO]])</f>
        <v>29.583333333333336</v>
      </c>
    </row>
    <row r="100" spans="1:50" x14ac:dyDescent="0.25">
      <c r="A100" s="4" t="s">
        <v>20</v>
      </c>
      <c r="B100" s="55" t="s">
        <v>13</v>
      </c>
      <c r="C100" s="5">
        <v>13</v>
      </c>
      <c r="D100" s="56">
        <v>20</v>
      </c>
      <c r="E100" s="56">
        <v>260</v>
      </c>
      <c r="F100" s="157">
        <v>46212</v>
      </c>
      <c r="G100" s="4" t="s">
        <v>294</v>
      </c>
      <c r="H100" s="4" t="s">
        <v>149</v>
      </c>
      <c r="I100" s="153">
        <v>54.17</v>
      </c>
      <c r="J100" s="12">
        <v>0.20833333333333304</v>
      </c>
      <c r="Z100" s="116">
        <f t="shared" si="4"/>
        <v>46134</v>
      </c>
      <c r="AA10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10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10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10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2.7142857142857144</v>
      </c>
      <c r="AF10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33.714285714285715</v>
      </c>
      <c r="AG10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41.15279678068412</v>
      </c>
      <c r="AH100" s="116">
        <f t="shared" si="5"/>
        <v>46134</v>
      </c>
      <c r="AI100" s="1" t="str" cm="1">
        <f t="array" ref="AI100">IFERROR(_xlfn.IFS(AQ100="","Sem Produto",AND(AQ100/(AA100/12)&gt;0,AQ100/(AA100/12)&lt;=2),"Acabando",AND(AQ100/(AA100/12)&gt;2,AQ100/(AA100/12)&lt;=3),"Fazer Pedido",AND(AQ100/(AA100/12)&gt;3,AQ100/(AA100/12)&lt;=7),"OK",AND(AQ100/(AA100/12)&gt;7,AQ100/(AA100/12)&lt;=14),"Abaixar Preço",AND(AQ100/(AA100/12)&gt;14,AQ100/(AA100/12)&lt;=20),"Estabilizando",AQ100/(AA100/12)&gt;20,"Instavel"),"Instavel")</f>
        <v>Abaixar Preço</v>
      </c>
      <c r="AJ100" s="1" t="str" cm="1">
        <f t="array" ref="AJ100">IFERROR(_xlfn.IFS(AR100="","Sem Produto",AND(AR100/(AB100/12)&gt;0,AR100/(AB100/12)&lt;=2),"Acabando",AND(AR100/(AB100/12)&gt;2,AR100/(AB100/12)&lt;=3),"Fazer Pedido",AND(AR100/(AB100/12)&gt;3,AR100/(AB100/12)&lt;=7),"OK",AND(AR100/(AB100/12)&gt;7,AR100/(AB100/12)&lt;=14),"Abaixar Preço",AND(AR100/(AB100/12)&gt;14,AR100/(AB100/12)&lt;=20),"Estabilizando",AR100/(AB100/12)&gt;20,"Instavel"),"Instavel")</f>
        <v>Abaixar Preço</v>
      </c>
      <c r="AK100" s="1" t="str" cm="1">
        <f t="array" ref="AK100">IFERROR(_xlfn.IFS(AS100="","Sem Produto",AND(AS100/(AC100/12)&gt;0,AS100/(AC100/12)&lt;=2),"Acabando",AND(AS100/(AC100/12)&gt;2,AS100/(AC100/12)&lt;=3),"Fazer Pedido",AND(AS100/(AC100/12)&gt;3,AS100/(AC100/12)&lt;=7),"OK",AND(AS100/(AC100/12)&gt;7,AS100/(AC100/12)&lt;=14),"Abaixar Preço",AND(AS100/(AC100/12)&gt;14,AS100/(AC100/12)&lt;=20),"Estabilizando",AS100/(AC100/12)&gt;20,"Instavel"),"Instavel")</f>
        <v>Sem Produto</v>
      </c>
      <c r="AL100" s="1" t="str" cm="1">
        <f t="array" ref="AL100">IFERROR(_xlfn.IFS(AT100="","Sem Produto",AND(AT100/(AD100/12)&gt;0,AT100/(AD100/12)&lt;=2),"Acabando",AND(AT100/(AD100/12)&gt;2,AT100/(AD100/12)&lt;=3),"Fazer Pedido",AND(AT100/(AD100/12)&gt;3,AT100/(AD100/12)&lt;=7),"OK",AND(AT100/(AD100/12)&gt;7,AT100/(AD100/12)&lt;=14),"Abaixar Preço",AND(AT100/(AD100/12)&gt;14,AT100/(AD100/12)&lt;=20),"Estabilizando",AT100/(AD100/12)&gt;20,"Instavel"),"Instavel")</f>
        <v>Abaixar Preço</v>
      </c>
      <c r="AM100" s="1" t="str" cm="1">
        <f t="array" ref="AM100">IFERROR(_xlfn.IFS(AU100="","Sem Produto",AND(AU100/(AE100/12)&gt;0,AU100/(AE100/12)&lt;=2),"Acabando",AND(AU100/(AE100/12)&gt;2,AU100/(AE100/12)&lt;=3),"Fazer Pedido",AND(AU100/(AE100/12)&gt;3,AU100/(AE100/12)&lt;=7),"OK",AND(AU100/(AE100/12)&gt;7,AU100/(AE100/12)&lt;=14),"Abaixar Preço",AND(AU100/(AE100/12)&gt;14,AU100/(AE100/12)&lt;=20),"Estabilizando",AU100/(AE100/12)&gt;20,"Instavel"),"Instavel")</f>
        <v>Instavel</v>
      </c>
      <c r="AN100" s="1" t="str">
        <f ca="1">IF(SUMIF(vendaAno[data],SituaçãoEstoqueFluxo[[#This Row],[data]],vendaAno[estoque])=0,"Algo errado",IF(AND(AX100/AW100&gt;0,AX100/AW100&lt;=1),"Alerta",IF(AND(AX100/AW100&gt;1,AX100/AW100&lt;=1.5),"Fazer pedido",IF(AND(AX100/AW100&gt;1.5,AX100/AW100&lt;=2),"Ok",IF(AND(AX100/AW100&gt;2,AX100/AW100&lt;=2.5),"Estabilizando",IF(AND(AX100/AW100&gt;2.5,AX100/AW100&lt;=3),"Cheio","Abaixar preço"))))))</f>
        <v>Abaixar preço</v>
      </c>
      <c r="AO100" s="82">
        <f>SUMIFS(estoque[quantidade],estoque[fornecedor],"&lt;&gt;saída",estoque[data],SituaçãoEstoqueFluxo[[#This Row],[data]])-SUMIFS(estoque[quantidade],estoque[fornecedor],"saída",estoque[data],SituaçãoEstoqueFluxo[[#This Row],[data]])</f>
        <v>-52</v>
      </c>
      <c r="AP100" s="116">
        <f t="shared" si="6"/>
        <v>46134</v>
      </c>
      <c r="AQ10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10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10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7.083333333333333</v>
      </c>
      <c r="AU10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100" s="82" cm="1">
        <f t="array" aca="1" ref="AV1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25.285714285714288</v>
      </c>
      <c r="AW100" s="82" cm="1">
        <f t="array" aca="1" ref="AW1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8.4285714285714288</v>
      </c>
      <c r="AX100" s="82">
        <f>SUM(FluxoEstoqueDateTime[[#This Row],[OVO BRANCO A]:[OVO BRANCO JUMBO]])</f>
        <v>32.833333333333336</v>
      </c>
    </row>
    <row r="101" spans="1:50" x14ac:dyDescent="0.25">
      <c r="A101" s="4" t="s">
        <v>20</v>
      </c>
      <c r="B101" s="55" t="s">
        <v>11</v>
      </c>
      <c r="C101" s="5">
        <v>8</v>
      </c>
      <c r="D101" s="56">
        <v>18</v>
      </c>
      <c r="E101" s="56">
        <v>144</v>
      </c>
      <c r="F101" s="157">
        <v>46212</v>
      </c>
      <c r="G101" s="4" t="s">
        <v>294</v>
      </c>
      <c r="H101" s="4" t="s">
        <v>149</v>
      </c>
      <c r="I101" s="153">
        <v>27.32</v>
      </c>
      <c r="J101" s="12">
        <v>0.18970478869596194</v>
      </c>
      <c r="M101">
        <f>185*10</f>
        <v>1850</v>
      </c>
      <c r="Z101" s="116">
        <f t="shared" si="4"/>
        <v>46133</v>
      </c>
      <c r="AA10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0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10.857142857142858</v>
      </c>
      <c r="AC10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10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2.5714285714285716</v>
      </c>
      <c r="AF10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0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39.984461855837736</v>
      </c>
      <c r="AH101" s="116">
        <f t="shared" si="5"/>
        <v>46133</v>
      </c>
      <c r="AI101" s="1" t="str" cm="1">
        <f t="array" ref="AI101">IFERROR(_xlfn.IFS(AQ101="","Sem Produto",AND(AQ101/(AA101/12)&gt;0,AQ101/(AA101/12)&lt;=2),"Acabando",AND(AQ101/(AA101/12)&gt;2,AQ101/(AA101/12)&lt;=3),"Fazer Pedido",AND(AQ101/(AA101/12)&gt;3,AQ101/(AA101/12)&lt;=7),"OK",AND(AQ101/(AA101/12)&gt;7,AQ101/(AA101/12)&lt;=14),"Abaixar Preço",AND(AQ101/(AA101/12)&gt;14,AQ101/(AA101/12)&lt;=20),"Estabilizando",AQ101/(AA101/12)&gt;20,"Instavel"),"Instavel")</f>
        <v>Estabilizando</v>
      </c>
      <c r="AJ101" s="1" t="str" cm="1">
        <f t="array" ref="AJ101">IFERROR(_xlfn.IFS(AR101="","Sem Produto",AND(AR101/(AB101/12)&gt;0,AR101/(AB101/12)&lt;=2),"Acabando",AND(AR101/(AB101/12)&gt;2,AR101/(AB101/12)&lt;=3),"Fazer Pedido",AND(AR101/(AB101/12)&gt;3,AR101/(AB101/12)&lt;=7),"OK",AND(AR101/(AB101/12)&gt;7,AR101/(AB101/12)&lt;=14),"Abaixar Preço",AND(AR101/(AB101/12)&gt;14,AR101/(AB101/12)&lt;=20),"Estabilizando",AR101/(AB101/12)&gt;20,"Instavel"),"Instavel")</f>
        <v>Abaixar Preço</v>
      </c>
      <c r="AK101" s="1" t="str" cm="1">
        <f t="array" ref="AK101">IFERROR(_xlfn.IFS(AS101="","Sem Produto",AND(AS101/(AC101/12)&gt;0,AS101/(AC101/12)&lt;=2),"Acabando",AND(AS101/(AC101/12)&gt;2,AS101/(AC101/12)&lt;=3),"Fazer Pedido",AND(AS101/(AC101/12)&gt;3,AS101/(AC101/12)&lt;=7),"OK",AND(AS101/(AC101/12)&gt;7,AS101/(AC101/12)&lt;=14),"Abaixar Preço",AND(AS101/(AC101/12)&gt;14,AS101/(AC101/12)&lt;=20),"Estabilizando",AS101/(AC101/12)&gt;20,"Instavel"),"Instavel")</f>
        <v>Sem Produto</v>
      </c>
      <c r="AL101" s="1" t="str" cm="1">
        <f t="array" ref="AL101">IFERROR(_xlfn.IFS(AT101="","Sem Produto",AND(AT101/(AD101/12)&gt;0,AT101/(AD101/12)&lt;=2),"Acabando",AND(AT101/(AD101/12)&gt;2,AT101/(AD101/12)&lt;=3),"Fazer Pedido",AND(AT101/(AD101/12)&gt;3,AT101/(AD101/12)&lt;=7),"OK",AND(AT101/(AD101/12)&gt;7,AT101/(AD101/12)&lt;=14),"Abaixar Preço",AND(AT101/(AD101/12)&gt;14,AT101/(AD101/12)&lt;=20),"Estabilizando",AT101/(AD101/12)&gt;20,"Instavel"),"Instavel")</f>
        <v>Abaixar Preço</v>
      </c>
      <c r="AM101" s="1" t="str" cm="1">
        <f t="array" ref="AM101">IFERROR(_xlfn.IFS(AU101="","Sem Produto",AND(AU101/(AE101/12)&gt;0,AU101/(AE101/12)&lt;=2),"Acabando",AND(AU101/(AE101/12)&gt;2,AU101/(AE101/12)&lt;=3),"Fazer Pedido",AND(AU101/(AE101/12)&gt;3,AU101/(AE101/12)&lt;=7),"OK",AND(AU101/(AE101/12)&gt;7,AU101/(AE101/12)&lt;=14),"Abaixar Preço",AND(AU101/(AE101/12)&gt;14,AU101/(AE101/12)&lt;=20),"Estabilizando",AU101/(AE101/12)&gt;20,"Instavel"),"Instavel")</f>
        <v>Instavel</v>
      </c>
      <c r="AN101" s="1" t="str">
        <f ca="1">IF(SUMIF(vendaAno[data],SituaçãoEstoqueFluxo[[#This Row],[data]],vendaAno[estoque])=0,"Algo errado",IF(AND(AX101/AW101&gt;0,AX101/AW101&lt;=1),"Alerta",IF(AND(AX101/AW101&gt;1,AX101/AW101&lt;=1.5),"Fazer pedido",IF(AND(AX101/AW101&gt;1.5,AX101/AW101&lt;=2),"Ok",IF(AND(AX101/AW101&gt;2,AX101/AW101&lt;=2.5),"Estabilizando",IF(AND(AX101/AW101&gt;2.5,AX101/AW101&lt;=3),"Cheio","Abaixar preço"))))))</f>
        <v>Abaixar preço</v>
      </c>
      <c r="AO101" s="82">
        <f>SUMIFS(estoque[quantidade],estoque[fornecedor],"&lt;&gt;saída",estoque[data],SituaçãoEstoqueFluxo[[#This Row],[data]])-SUMIFS(estoque[quantidade],estoque[fornecedor],"saída",estoque[data],SituaçãoEstoqueFluxo[[#This Row],[data]])</f>
        <v>349</v>
      </c>
      <c r="AP101" s="116">
        <f t="shared" si="6"/>
        <v>46133</v>
      </c>
      <c r="AQ10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11.25</v>
      </c>
      <c r="AR10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</v>
      </c>
      <c r="AS10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10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9.5833333333333339</v>
      </c>
      <c r="AV101" s="82" cm="1">
        <f t="array" aca="1" ref="AV1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101" s="82" cm="1">
        <f t="array" aca="1" ref="AW1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01" s="82">
        <f>SUM(FluxoEstoqueDateTime[[#This Row],[OVO BRANCO A]:[OVO BRANCO JUMBO]])</f>
        <v>37.166666666666671</v>
      </c>
    </row>
    <row r="102" spans="1:50" x14ac:dyDescent="0.25">
      <c r="A102" s="4" t="s">
        <v>20</v>
      </c>
      <c r="B102" s="55" t="s">
        <v>10</v>
      </c>
      <c r="C102" s="5">
        <v>6</v>
      </c>
      <c r="D102" s="56">
        <v>19</v>
      </c>
      <c r="E102" s="56">
        <v>114</v>
      </c>
      <c r="F102" s="157">
        <v>46212</v>
      </c>
      <c r="G102" s="4" t="s">
        <v>294</v>
      </c>
      <c r="H102" s="4" t="s">
        <v>149</v>
      </c>
      <c r="I102" s="153">
        <v>21.5</v>
      </c>
      <c r="J102" s="12">
        <v>0.18859649122807021</v>
      </c>
      <c r="M102">
        <f>210*10</f>
        <v>2100</v>
      </c>
      <c r="Z102" s="116">
        <f t="shared" si="4"/>
        <v>46132</v>
      </c>
      <c r="AA10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8.7142857142857135</v>
      </c>
      <c r="AB10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10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10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3.5714285714285716</v>
      </c>
      <c r="AF10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29.714285714285715</v>
      </c>
      <c r="AG10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38.708840645064313</v>
      </c>
      <c r="AH102" s="116">
        <f t="shared" si="5"/>
        <v>46132</v>
      </c>
      <c r="AI102" s="1" t="str" cm="1">
        <f t="array" ref="AI102">IFERROR(_xlfn.IFS(AQ102="","Sem Produto",AND(AQ102/(AA102/12)&gt;0,AQ102/(AA102/12)&lt;=2),"Acabando",AND(AQ102/(AA102/12)&gt;2,AQ102/(AA102/12)&lt;=3),"Fazer Pedido",AND(AQ102/(AA102/12)&gt;3,AQ102/(AA102/12)&lt;=7),"OK",AND(AQ102/(AA102/12)&gt;7,AQ102/(AA102/12)&lt;=14),"Abaixar Preço",AND(AQ102/(AA102/12)&gt;14,AQ102/(AA102/12)&lt;=20),"Estabilizando",AQ102/(AA102/12)&gt;20,"Instavel"),"Instavel")</f>
        <v>Fazer Pedido</v>
      </c>
      <c r="AJ102" s="1" t="str" cm="1">
        <f t="array" ref="AJ102">IFERROR(_xlfn.IFS(AR102="","Sem Produto",AND(AR102/(AB102/12)&gt;0,AR102/(AB102/12)&lt;=2),"Acabando",AND(AR102/(AB102/12)&gt;2,AR102/(AB102/12)&lt;=3),"Fazer Pedido",AND(AR102/(AB102/12)&gt;3,AR102/(AB102/12)&lt;=7),"OK",AND(AR102/(AB102/12)&gt;7,AR102/(AB102/12)&lt;=14),"Abaixar Preço",AND(AR102/(AB102/12)&gt;14,AR102/(AB102/12)&lt;=20),"Estabilizando",AR102/(AB102/12)&gt;20,"Instavel"),"Instavel")</f>
        <v>OK</v>
      </c>
      <c r="AK102" s="1" t="str" cm="1">
        <f t="array" ref="AK102">IFERROR(_xlfn.IFS(AS102="","Sem Produto",AND(AS102/(AC102/12)&gt;0,AS102/(AC102/12)&lt;=2),"Acabando",AND(AS102/(AC102/12)&gt;2,AS102/(AC102/12)&lt;=3),"Fazer Pedido",AND(AS102/(AC102/12)&gt;3,AS102/(AC102/12)&lt;=7),"OK",AND(AS102/(AC102/12)&gt;7,AS102/(AC102/12)&lt;=14),"Abaixar Preço",AND(AS102/(AC102/12)&gt;14,AS102/(AC102/12)&lt;=20),"Estabilizando",AS102/(AC102/12)&gt;20,"Instavel"),"Instavel")</f>
        <v>Sem Produto</v>
      </c>
      <c r="AL102" s="1" t="str" cm="1">
        <f t="array" ref="AL102">IFERROR(_xlfn.IFS(AT102="","Sem Produto",AND(AT102/(AD102/12)&gt;0,AT102/(AD102/12)&lt;=2),"Acabando",AND(AT102/(AD102/12)&gt;2,AT102/(AD102/12)&lt;=3),"Fazer Pedido",AND(AT102/(AD102/12)&gt;3,AT102/(AD102/12)&lt;=7),"OK",AND(AT102/(AD102/12)&gt;7,AT102/(AD102/12)&lt;=14),"Abaixar Preço",AND(AT102/(AD102/12)&gt;14,AT102/(AD102/12)&lt;=20),"Estabilizando",AT102/(AD102/12)&gt;20,"Instavel"),"Instavel")</f>
        <v>Sem Produto</v>
      </c>
      <c r="AM102" s="1" t="str" cm="1">
        <f t="array" ref="AM102">IFERROR(_xlfn.IFS(AU102="","Sem Produto",AND(AU102/(AE102/12)&gt;0,AU102/(AE102/12)&lt;=2),"Acabando",AND(AU102/(AE102/12)&gt;2,AU102/(AE102/12)&lt;=3),"Fazer Pedido",AND(AU102/(AE102/12)&gt;3,AU102/(AE102/12)&lt;=7),"OK",AND(AU102/(AE102/12)&gt;7,AU102/(AE102/12)&lt;=14),"Abaixar Preço",AND(AU102/(AE102/12)&gt;14,AU102/(AE102/12)&lt;=20),"Estabilizando",AU102/(AE102/12)&gt;20,"Instavel"),"Instavel")</f>
        <v>Sem Produto</v>
      </c>
      <c r="AN102" s="1" t="str">
        <f ca="1">IF(SUMIF(vendaAno[data],SituaçãoEstoqueFluxo[[#This Row],[data]],vendaAno[estoque])=0,"Algo errado",IF(AND(AX102/AW102&gt;0,AX102/AW102&lt;=1),"Alerta",IF(AND(AX102/AW102&gt;1,AX102/AW102&lt;=1.5),"Fazer pedido",IF(AND(AX102/AW102&gt;1.5,AX102/AW102&lt;=2),"Ok",IF(AND(AX102/AW102&gt;2,AX102/AW102&lt;=2.5),"Estabilizando",IF(AND(AX102/AW102&gt;2.5,AX102/AW102&lt;=3),"Cheio","Abaixar preço"))))))</f>
        <v>Fazer pedido</v>
      </c>
      <c r="AO102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102" s="116">
        <f t="shared" si="6"/>
        <v>46132</v>
      </c>
      <c r="AQ10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</v>
      </c>
      <c r="AR10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6.083333333333333</v>
      </c>
      <c r="AS10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2" s="82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102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2" s="82" cm="1">
        <f t="array" aca="1" ref="AV1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22.285714285714288</v>
      </c>
      <c r="AW102" s="82" cm="1">
        <f t="array" aca="1" ref="AW1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7.4285714285714279</v>
      </c>
      <c r="AX102" s="82">
        <f>SUM(FluxoEstoqueDateTime[[#This Row],[OVO BRANCO A]:[OVO BRANCO JUMBO]])</f>
        <v>8.0833333333333321</v>
      </c>
    </row>
    <row r="103" spans="1:50" x14ac:dyDescent="0.25">
      <c r="A103" s="4" t="s">
        <v>20</v>
      </c>
      <c r="B103" s="55" t="s">
        <v>14</v>
      </c>
      <c r="C103" s="5">
        <v>6</v>
      </c>
      <c r="D103" s="56">
        <v>23</v>
      </c>
      <c r="E103" s="56">
        <v>138</v>
      </c>
      <c r="F103" s="157">
        <v>46211</v>
      </c>
      <c r="G103" s="4" t="s">
        <v>32</v>
      </c>
      <c r="H103" s="4" t="s">
        <v>149</v>
      </c>
      <c r="I103" s="153">
        <v>40.49</v>
      </c>
      <c r="J103" s="12">
        <v>0.29339300937766405</v>
      </c>
      <c r="M103">
        <f>1750</f>
        <v>1750</v>
      </c>
      <c r="Z103" s="116">
        <f t="shared" si="4"/>
        <v>46131</v>
      </c>
      <c r="AA10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10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10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7.8571428571428568</v>
      </c>
      <c r="AE10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10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</v>
      </c>
      <c r="AG10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37.771148098954015</v>
      </c>
      <c r="AH103" s="116">
        <f t="shared" si="5"/>
        <v>46131</v>
      </c>
      <c r="AI103" s="1" t="str" cm="1">
        <f t="array" ref="AI103">IFERROR(_xlfn.IFS(AQ103="","Sem Produto",AND(AQ103/(AA103/12)&gt;0,AQ103/(AA103/12)&lt;=2),"Acabando",AND(AQ103/(AA103/12)&gt;2,AQ103/(AA103/12)&lt;=3),"Fazer Pedido",AND(AQ103/(AA103/12)&gt;3,AQ103/(AA103/12)&lt;=7),"OK",AND(AQ103/(AA103/12)&gt;7,AQ103/(AA103/12)&lt;=14),"Abaixar Preço",AND(AQ103/(AA103/12)&gt;14,AQ103/(AA103/12)&lt;=20),"Estabilizando",AQ103/(AA103/12)&gt;20,"Instavel"),"Instavel")</f>
        <v>OK</v>
      </c>
      <c r="AJ103" s="1" t="str" cm="1">
        <f t="array" ref="AJ103">IFERROR(_xlfn.IFS(AR103="","Sem Produto",AND(AR103/(AB103/12)&gt;0,AR103/(AB103/12)&lt;=2),"Acabando",AND(AR103/(AB103/12)&gt;2,AR103/(AB103/12)&lt;=3),"Fazer Pedido",AND(AR103/(AB103/12)&gt;3,AR103/(AB103/12)&lt;=7),"OK",AND(AR103/(AB103/12)&gt;7,AR103/(AB103/12)&lt;=14),"Abaixar Preço",AND(AR103/(AB103/12)&gt;14,AR103/(AB103/12)&lt;=20),"Estabilizando",AR103/(AB103/12)&gt;20,"Instavel"),"Instavel")</f>
        <v>Abaixar Preço</v>
      </c>
      <c r="AK103" s="1" t="str" cm="1">
        <f t="array" ref="AK103">IFERROR(_xlfn.IFS(AS103="","Sem Produto",AND(AS103/(AC103/12)&gt;0,AS103/(AC103/12)&lt;=2),"Acabando",AND(AS103/(AC103/12)&gt;2,AS103/(AC103/12)&lt;=3),"Fazer Pedido",AND(AS103/(AC103/12)&gt;3,AS103/(AC103/12)&lt;=7),"OK",AND(AS103/(AC103/12)&gt;7,AS103/(AC103/12)&lt;=14),"Abaixar Preço",AND(AS103/(AC103/12)&gt;14,AS103/(AC103/12)&lt;=20),"Estabilizando",AS103/(AC103/12)&gt;20,"Instavel"),"Instavel")</f>
        <v>Sem Produto</v>
      </c>
      <c r="AL103" s="1" t="str" cm="1">
        <f t="array" ref="AL103">IFERROR(_xlfn.IFS(AT103="","Sem Produto",AND(AT103/(AD103/12)&gt;0,AT103/(AD103/12)&lt;=2),"Acabando",AND(AT103/(AD103/12)&gt;2,AT103/(AD103/12)&lt;=3),"Fazer Pedido",AND(AT103/(AD103/12)&gt;3,AT103/(AD103/12)&lt;=7),"OK",AND(AT103/(AD103/12)&gt;7,AT103/(AD103/12)&lt;=14),"Abaixar Preço",AND(AT103/(AD103/12)&gt;14,AT103/(AD103/12)&lt;=20),"Estabilizando",AT103/(AD103/12)&gt;20,"Instavel"),"Instavel")</f>
        <v>Sem Produto</v>
      </c>
      <c r="AM103" s="1" t="str" cm="1">
        <f t="array" ref="AM103">IFERROR(_xlfn.IFS(AU103="","Sem Produto",AND(AU103/(AE103/12)&gt;0,AU103/(AE103/12)&lt;=2),"Acabando",AND(AU103/(AE103/12)&gt;2,AU103/(AE103/12)&lt;=3),"Fazer Pedido",AND(AU103/(AE103/12)&gt;3,AU103/(AE103/12)&lt;=7),"OK",AND(AU103/(AE103/12)&gt;7,AU103/(AE103/12)&lt;=14),"Abaixar Preço",AND(AU103/(AE103/12)&gt;14,AU103/(AE103/12)&lt;=20),"Estabilizando",AU103/(AE103/12)&gt;20,"Instavel"),"Instavel")</f>
        <v>Sem Produto</v>
      </c>
      <c r="AN103" s="1" t="str">
        <f ca="1">IF(SUMIF(vendaAno[data],SituaçãoEstoqueFluxo[[#This Row],[data]],vendaAno[estoque])=0,"Algo errado",IF(AND(AX103/AW103&gt;0,AX103/AW103&lt;=1),"Alerta",IF(AND(AX103/AW103&gt;1,AX103/AW103&lt;=1.5),"Fazer pedido",IF(AND(AX103/AW103&gt;1.5,AX103/AW103&lt;=2),"Ok",IF(AND(AX103/AW103&gt;2,AX103/AW103&lt;=2.5),"Estabilizando",IF(AND(AX103/AW103&gt;2.5,AX103/AW103&lt;=3),"Cheio","Abaixar preço"))))))</f>
        <v>Ok</v>
      </c>
      <c r="AO103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03" s="116">
        <f t="shared" si="6"/>
        <v>46131</v>
      </c>
      <c r="AQ10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10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10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3" s="82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103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3" s="82" cm="1">
        <f t="array" aca="1" ref="AV1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22.5</v>
      </c>
      <c r="AW103" s="82" cm="1">
        <f t="array" aca="1" ref="AW1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</v>
      </c>
      <c r="AX103" s="82">
        <f>SUM(FluxoEstoqueDateTime[[#This Row],[OVO BRANCO A]:[OVO BRANCO JUMBO]])</f>
        <v>12.083333333333332</v>
      </c>
    </row>
    <row r="104" spans="1:50" x14ac:dyDescent="0.25">
      <c r="A104" s="4" t="s">
        <v>20</v>
      </c>
      <c r="B104" s="55" t="s">
        <v>13</v>
      </c>
      <c r="C104" s="5">
        <v>14</v>
      </c>
      <c r="D104" s="56">
        <v>20</v>
      </c>
      <c r="E104" s="56">
        <v>274</v>
      </c>
      <c r="F104" s="157">
        <v>46211</v>
      </c>
      <c r="G104" s="4" t="s">
        <v>32</v>
      </c>
      <c r="H104" s="4" t="s">
        <v>149</v>
      </c>
      <c r="I104" s="153">
        <v>52.33</v>
      </c>
      <c r="J104" s="12">
        <v>0.19099756690997544</v>
      </c>
      <c r="Z104" s="116">
        <f t="shared" si="4"/>
        <v>46130</v>
      </c>
      <c r="AA10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7.1428571428571432</v>
      </c>
      <c r="AB10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10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10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0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31.571428571428573</v>
      </c>
      <c r="AG10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37.773698586910427</v>
      </c>
      <c r="AH104" s="116">
        <f t="shared" si="5"/>
        <v>46130</v>
      </c>
      <c r="AI104" s="1" t="str" cm="1">
        <f t="array" ref="AI104">IFERROR(_xlfn.IFS(AQ104="","Sem Produto",AND(AQ104/(AA104/12)&gt;0,AQ104/(AA104/12)&lt;=2),"Acabando",AND(AQ104/(AA104/12)&gt;2,AQ104/(AA104/12)&lt;=3),"Fazer Pedido",AND(AQ104/(AA104/12)&gt;3,AQ104/(AA104/12)&lt;=7),"OK",AND(AQ104/(AA104/12)&gt;7,AQ104/(AA104/12)&lt;=14),"Abaixar Preço",AND(AQ104/(AA104/12)&gt;14,AQ104/(AA104/12)&lt;=20),"Estabilizando",AQ104/(AA104/12)&gt;20,"Instavel"),"Instavel")</f>
        <v>Abaixar Preço</v>
      </c>
      <c r="AJ104" s="1" t="str" cm="1">
        <f t="array" ref="AJ104">IFERROR(_xlfn.IFS(AR104="","Sem Produto",AND(AR104/(AB104/12)&gt;0,AR104/(AB104/12)&lt;=2),"Acabando",AND(AR104/(AB104/12)&gt;2,AR104/(AB104/12)&lt;=3),"Fazer Pedido",AND(AR104/(AB104/12)&gt;3,AR104/(AB104/12)&lt;=7),"OK",AND(AR104/(AB104/12)&gt;7,AR104/(AB104/12)&lt;=14),"Abaixar Preço",AND(AR104/(AB104/12)&gt;14,AR104/(AB104/12)&lt;=20),"Estabilizando",AR104/(AB104/12)&gt;20,"Instavel"),"Instavel")</f>
        <v>Abaixar Preço</v>
      </c>
      <c r="AK104" s="1" t="str" cm="1">
        <f t="array" ref="AK104">IFERROR(_xlfn.IFS(AS104="","Sem Produto",AND(AS104/(AC104/12)&gt;0,AS104/(AC104/12)&lt;=2),"Acabando",AND(AS104/(AC104/12)&gt;2,AS104/(AC104/12)&lt;=3),"Fazer Pedido",AND(AS104/(AC104/12)&gt;3,AS104/(AC104/12)&lt;=7),"OK",AND(AS104/(AC104/12)&gt;7,AS104/(AC104/12)&lt;=14),"Abaixar Preço",AND(AS104/(AC104/12)&gt;14,AS104/(AC104/12)&lt;=20),"Estabilizando",AS104/(AC104/12)&gt;20,"Instavel"),"Instavel")</f>
        <v>Sem Produto</v>
      </c>
      <c r="AL104" s="1" t="str" cm="1">
        <f t="array" ref="AL104">IFERROR(_xlfn.IFS(AT104="","Sem Produto",AND(AT104/(AD104/12)&gt;0,AT104/(AD104/12)&lt;=2),"Acabando",AND(AT104/(AD104/12)&gt;2,AT104/(AD104/12)&lt;=3),"Fazer Pedido",AND(AT104/(AD104/12)&gt;3,AT104/(AD104/12)&lt;=7),"OK",AND(AT104/(AD104/12)&gt;7,AT104/(AD104/12)&lt;=14),"Abaixar Preço",AND(AT104/(AD104/12)&gt;14,AT104/(AD104/12)&lt;=20),"Estabilizando",AT104/(AD104/12)&gt;20,"Instavel"),"Instavel")</f>
        <v>Acabando</v>
      </c>
      <c r="AM104" s="1" t="str" cm="1">
        <f t="array" ref="AM104">IFERROR(_xlfn.IFS(AU104="","Sem Produto",AND(AU104/(AE104/12)&gt;0,AU104/(AE104/12)&lt;=2),"Acabando",AND(AU104/(AE104/12)&gt;2,AU104/(AE104/12)&lt;=3),"Fazer Pedido",AND(AU104/(AE104/12)&gt;3,AU104/(AE104/12)&lt;=7),"OK",AND(AU104/(AE104/12)&gt;7,AU104/(AE104/12)&lt;=14),"Abaixar Preço",AND(AU104/(AE104/12)&gt;14,AU104/(AE104/12)&lt;=20),"Estabilizando",AU104/(AE104/12)&gt;20,"Instavel"),"Instavel")</f>
        <v>Sem Produto</v>
      </c>
      <c r="AN104" s="1" t="str">
        <f ca="1">IF(SUMIF(vendaAno[data],SituaçãoEstoqueFluxo[[#This Row],[data]],vendaAno[estoque])=0,"Algo errado",IF(AND(AX104/AW104&gt;0,AX104/AW104&lt;=1),"Alerta",IF(AND(AX104/AW104&gt;1,AX104/AW104&lt;=1.5),"Fazer pedido",IF(AND(AX104/AW104&gt;1.5,AX104/AW104&lt;=2),"Ok",IF(AND(AX104/AW104&gt;2,AX104/AW104&lt;=2.5),"Estabilizando",IF(AND(AX104/AW104&gt;2.5,AX104/AW104&lt;=3),"Cheio","Abaixar preço"))))))</f>
        <v>Ok</v>
      </c>
      <c r="AO104" s="82">
        <f>SUMIFS(estoque[quantidade],estoque[fornecedor],"&lt;&gt;saída",estoque[data],SituaçãoEstoqueFluxo[[#This Row],[data]])-SUMIFS(estoque[quantidade],estoque[fornecedor],"saída",estoque[data],SituaçãoEstoqueFluxo[[#This Row],[data]])</f>
        <v>-3</v>
      </c>
      <c r="AP104" s="116">
        <f t="shared" si="6"/>
        <v>46130</v>
      </c>
      <c r="AQ10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10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8.5</v>
      </c>
      <c r="AS10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0.25</v>
      </c>
      <c r="AU104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4" s="82" cm="1">
        <f t="array" aca="1" ref="AV1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23.678571428571427</v>
      </c>
      <c r="AW104" s="82" cm="1">
        <f t="array" aca="1" ref="AW1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7.8928571428571432</v>
      </c>
      <c r="AX104" s="82">
        <f>SUM(FluxoEstoqueDateTime[[#This Row],[OVO BRANCO A]:[OVO BRANCO JUMBO]])</f>
        <v>14.083333333333332</v>
      </c>
    </row>
    <row r="105" spans="1:50" x14ac:dyDescent="0.25">
      <c r="A105" s="4" t="s">
        <v>20</v>
      </c>
      <c r="B105" s="55" t="s">
        <v>10</v>
      </c>
      <c r="C105" s="5">
        <v>1</v>
      </c>
      <c r="D105" s="56">
        <v>19</v>
      </c>
      <c r="E105" s="56">
        <v>19</v>
      </c>
      <c r="F105" s="157">
        <v>46211</v>
      </c>
      <c r="G105" s="4" t="s">
        <v>32</v>
      </c>
      <c r="H105" s="4" t="s">
        <v>149</v>
      </c>
      <c r="I105" s="153">
        <v>3.58</v>
      </c>
      <c r="J105" s="12">
        <v>0.18859649122807029</v>
      </c>
      <c r="Z105" s="116">
        <f t="shared" si="4"/>
        <v>46129</v>
      </c>
      <c r="AA10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7.4285714285714288</v>
      </c>
      <c r="AB10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12.714285714285714</v>
      </c>
      <c r="AC10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8.5714285714285712</v>
      </c>
      <c r="AE10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0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33.571428571428569</v>
      </c>
      <c r="AG10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38.876210928179425</v>
      </c>
      <c r="AH105" s="116">
        <f t="shared" si="5"/>
        <v>46129</v>
      </c>
      <c r="AI105" s="1" t="str" cm="1">
        <f t="array" ref="AI105">IFERROR(_xlfn.IFS(AQ105="","Sem Produto",AND(AQ105/(AA105/12)&gt;0,AQ105/(AA105/12)&lt;=2),"Acabando",AND(AQ105/(AA105/12)&gt;2,AQ105/(AA105/12)&lt;=3),"Fazer Pedido",AND(AQ105/(AA105/12)&gt;3,AQ105/(AA105/12)&lt;=7),"OK",AND(AQ105/(AA105/12)&gt;7,AQ105/(AA105/12)&lt;=14),"Abaixar Preço",AND(AQ105/(AA105/12)&gt;14,AQ105/(AA105/12)&lt;=20),"Estabilizando",AQ105/(AA105/12)&gt;20,"Instavel"),"Instavel")</f>
        <v>Abaixar Preço</v>
      </c>
      <c r="AJ105" s="1" t="str" cm="1">
        <f t="array" ref="AJ105">IFERROR(_xlfn.IFS(AR105="","Sem Produto",AND(AR105/(AB105/12)&gt;0,AR105/(AB105/12)&lt;=2),"Acabando",AND(AR105/(AB105/12)&gt;2,AR105/(AB105/12)&lt;=3),"Fazer Pedido",AND(AR105/(AB105/12)&gt;3,AR105/(AB105/12)&lt;=7),"OK",AND(AR105/(AB105/12)&gt;7,AR105/(AB105/12)&lt;=14),"Abaixar Preço",AND(AR105/(AB105/12)&gt;14,AR105/(AB105/12)&lt;=20),"Estabilizando",AR105/(AB105/12)&gt;20,"Instavel"),"Instavel")</f>
        <v>Abaixar Preço</v>
      </c>
      <c r="AK105" s="1" t="str" cm="1">
        <f t="array" ref="AK105">IFERROR(_xlfn.IFS(AS105="","Sem Produto",AND(AS105/(AC105/12)&gt;0,AS105/(AC105/12)&lt;=2),"Acabando",AND(AS105/(AC105/12)&gt;2,AS105/(AC105/12)&lt;=3),"Fazer Pedido",AND(AS105/(AC105/12)&gt;3,AS105/(AC105/12)&lt;=7),"OK",AND(AS105/(AC105/12)&gt;7,AS105/(AC105/12)&lt;=14),"Abaixar Preço",AND(AS105/(AC105/12)&gt;14,AS105/(AC105/12)&lt;=20),"Estabilizando",AS105/(AC105/12)&gt;20,"Instavel"),"Instavel")</f>
        <v>Sem Produto</v>
      </c>
      <c r="AL105" s="1" t="str" cm="1">
        <f t="array" ref="AL105">IFERROR(_xlfn.IFS(AT105="","Sem Produto",AND(AT105/(AD105/12)&gt;0,AT105/(AD105/12)&lt;=2),"Acabando",AND(AT105/(AD105/12)&gt;2,AT105/(AD105/12)&lt;=3),"Fazer Pedido",AND(AT105/(AD105/12)&gt;3,AT105/(AD105/12)&lt;=7),"OK",AND(AT105/(AD105/12)&gt;7,AT105/(AD105/12)&lt;=14),"Abaixar Preço",AND(AT105/(AD105/12)&gt;14,AT105/(AD105/12)&lt;=20),"Estabilizando",AT105/(AD105/12)&gt;20,"Instavel"),"Instavel")</f>
        <v>Acabando</v>
      </c>
      <c r="AM105" s="1" t="str" cm="1">
        <f t="array" ref="AM105">IFERROR(_xlfn.IFS(AU105="","Sem Produto",AND(AU105/(AE105/12)&gt;0,AU105/(AE105/12)&lt;=2),"Acabando",AND(AU105/(AE105/12)&gt;2,AU105/(AE105/12)&lt;=3),"Fazer Pedido",AND(AU105/(AE105/12)&gt;3,AU105/(AE105/12)&lt;=7),"OK",AND(AU105/(AE105/12)&gt;7,AU105/(AE105/12)&lt;=14),"Abaixar Preço",AND(AU105/(AE105/12)&gt;14,AU105/(AE105/12)&lt;=20),"Estabilizando",AU105/(AE105/12)&gt;20,"Instavel"),"Instavel")</f>
        <v>Sem Produto</v>
      </c>
      <c r="AN105" s="1" t="str">
        <f ca="1">IF(SUMIF(vendaAno[data],SituaçãoEstoqueFluxo[[#This Row],[data]],vendaAno[estoque])=0,"Algo errado",IF(AND(AX105/AW105&gt;0,AX105/AW105&lt;=1),"Alerta",IF(AND(AX105/AW105&gt;1,AX105/AW105&lt;=1.5),"Fazer pedido",IF(AND(AX105/AW105&gt;1.5,AX105/AW105&lt;=2),"Ok",IF(AND(AX105/AW105&gt;2,AX105/AW105&lt;=2.5),"Estabilizando",IF(AND(AX105/AW105&gt;2.5,AX105/AW105&lt;=3),"Cheio","Abaixar preço"))))))</f>
        <v>Ok</v>
      </c>
      <c r="AO105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05" s="116">
        <f t="shared" si="6"/>
        <v>46129</v>
      </c>
      <c r="AQ10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5.333333333333333</v>
      </c>
      <c r="AR10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8.6666666666666661</v>
      </c>
      <c r="AS10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0.33333333333333331</v>
      </c>
      <c r="AU105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5" s="82" cm="1">
        <f t="array" aca="1" ref="AV1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25.178571428571431</v>
      </c>
      <c r="AW105" s="82" cm="1">
        <f t="array" aca="1" ref="AW1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8.3928571428571423</v>
      </c>
      <c r="AX105" s="82">
        <f>SUM(FluxoEstoqueDateTime[[#This Row],[OVO BRANCO A]:[OVO BRANCO JUMBO]])</f>
        <v>14.333333333333334</v>
      </c>
    </row>
    <row r="106" spans="1:50" x14ac:dyDescent="0.25">
      <c r="A106" s="4" t="s">
        <v>20</v>
      </c>
      <c r="B106" s="55" t="s">
        <v>14</v>
      </c>
      <c r="C106" s="5">
        <v>7</v>
      </c>
      <c r="D106" s="56">
        <v>23</v>
      </c>
      <c r="E106" s="56">
        <v>161</v>
      </c>
      <c r="F106" s="157">
        <v>46210</v>
      </c>
      <c r="G106" s="4" t="s">
        <v>290</v>
      </c>
      <c r="H106" s="4" t="s">
        <v>149</v>
      </c>
      <c r="I106" s="153">
        <v>47.24</v>
      </c>
      <c r="J106" s="12">
        <v>0.29339300937766399</v>
      </c>
      <c r="Z106" s="116">
        <f t="shared" si="4"/>
        <v>46128</v>
      </c>
      <c r="AA10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0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14.285714285714286</v>
      </c>
      <c r="AC10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0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5.4285714285714288</v>
      </c>
      <c r="AF10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34.285714285714285</v>
      </c>
      <c r="AG10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38.81391356273793</v>
      </c>
      <c r="AH106" s="116">
        <f t="shared" si="5"/>
        <v>46128</v>
      </c>
      <c r="AI106" s="1" t="str" cm="1">
        <f t="array" ref="AI106">IFERROR(_xlfn.IFS(AQ106="","Sem Produto",AND(AQ106/(AA106/12)&gt;0,AQ106/(AA106/12)&lt;=2),"Acabando",AND(AQ106/(AA106/12)&gt;2,AQ106/(AA106/12)&lt;=3),"Fazer Pedido",AND(AQ106/(AA106/12)&gt;3,AQ106/(AA106/12)&lt;=7),"OK",AND(AQ106/(AA106/12)&gt;7,AQ106/(AA106/12)&lt;=14),"Abaixar Preço",AND(AQ106/(AA106/12)&gt;14,AQ106/(AA106/12)&lt;=20),"Estabilizando",AQ106/(AA106/12)&gt;20,"Instavel"),"Instavel")</f>
        <v>Abaixar Preço</v>
      </c>
      <c r="AJ106" s="1" t="str" cm="1">
        <f t="array" ref="AJ106">IFERROR(_xlfn.IFS(AR106="","Sem Produto",AND(AR106/(AB106/12)&gt;0,AR106/(AB106/12)&lt;=2),"Acabando",AND(AR106/(AB106/12)&gt;2,AR106/(AB106/12)&lt;=3),"Fazer Pedido",AND(AR106/(AB106/12)&gt;3,AR106/(AB106/12)&lt;=7),"OK",AND(AR106/(AB106/12)&gt;7,AR106/(AB106/12)&lt;=14),"Abaixar Preço",AND(AR106/(AB106/12)&gt;14,AR106/(AB106/12)&lt;=20),"Estabilizando",AR106/(AB106/12)&gt;20,"Instavel"),"Instavel")</f>
        <v>Abaixar Preço</v>
      </c>
      <c r="AK106" s="1" t="str" cm="1">
        <f t="array" ref="AK106">IFERROR(_xlfn.IFS(AS106="","Sem Produto",AND(AS106/(AC106/12)&gt;0,AS106/(AC106/12)&lt;=2),"Acabando",AND(AS106/(AC106/12)&gt;2,AS106/(AC106/12)&lt;=3),"Fazer Pedido",AND(AS106/(AC106/12)&gt;3,AS106/(AC106/12)&lt;=7),"OK",AND(AS106/(AC106/12)&gt;7,AS106/(AC106/12)&lt;=14),"Abaixar Preço",AND(AS106/(AC106/12)&gt;14,AS106/(AC106/12)&lt;=20),"Estabilizando",AS106/(AC106/12)&gt;20,"Instavel"),"Instavel")</f>
        <v>Sem Produto</v>
      </c>
      <c r="AL106" s="1" t="str" cm="1">
        <f t="array" ref="AL106">IFERROR(_xlfn.IFS(AT106="","Sem Produto",AND(AT106/(AD106/12)&gt;0,AT106/(AD106/12)&lt;=2),"Acabando",AND(AT106/(AD106/12)&gt;2,AT106/(AD106/12)&lt;=3),"Fazer Pedido",AND(AT106/(AD106/12)&gt;3,AT106/(AD106/12)&lt;=7),"OK",AND(AT106/(AD106/12)&gt;7,AT106/(AD106/12)&lt;=14),"Abaixar Preço",AND(AT106/(AD106/12)&gt;14,AT106/(AD106/12)&lt;=20),"Estabilizando",AT106/(AD106/12)&gt;20,"Instavel"),"Instavel")</f>
        <v>Acabando</v>
      </c>
      <c r="AM106" s="1" t="str" cm="1">
        <f t="array" ref="AM106">IFERROR(_xlfn.IFS(AU106="","Sem Produto",AND(AU106/(AE106/12)&gt;0,AU106/(AE106/12)&lt;=2),"Acabando",AND(AU106/(AE106/12)&gt;2,AU106/(AE106/12)&lt;=3),"Fazer Pedido",AND(AU106/(AE106/12)&gt;3,AU106/(AE106/12)&lt;=7),"OK",AND(AU106/(AE106/12)&gt;7,AU106/(AE106/12)&lt;=14),"Abaixar Preço",AND(AU106/(AE106/12)&gt;14,AU106/(AE106/12)&lt;=20),"Estabilizando",AU106/(AE106/12)&gt;20,"Instavel"),"Instavel")</f>
        <v>Sem Produto</v>
      </c>
      <c r="AN106" s="1" t="str">
        <f ca="1">IF(SUMIF(vendaAno[data],SituaçãoEstoqueFluxo[[#This Row],[data]],vendaAno[estoque])=0,"Algo errado",IF(AND(AX106/AW106&gt;0,AX106/AW106&lt;=1),"Alerta",IF(AND(AX106/AW106&gt;1,AX106/AW106&lt;=1.5),"Fazer pedido",IF(AND(AX106/AW106&gt;1.5,AX106/AW106&lt;=2),"Ok",IF(AND(AX106/AW106&gt;2,AX106/AW106&lt;=2.5),"Estabilizando",IF(AND(AX106/AW106&gt;2.5,AX106/AW106&lt;=3),"Cheio","Abaixar preço"))))))</f>
        <v>Ok</v>
      </c>
      <c r="AO106" s="82">
        <f>SUMIFS(estoque[quantidade],estoque[fornecedor],"&lt;&gt;saída",estoque[data],SituaçãoEstoqueFluxo[[#This Row],[data]])-SUMIFS(estoque[quantidade],estoque[fornecedor],"saída",estoque[data],SituaçãoEstoqueFluxo[[#This Row],[data]])</f>
        <v>-38</v>
      </c>
      <c r="AP106" s="116">
        <f t="shared" si="6"/>
        <v>46128</v>
      </c>
      <c r="AQ10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5.666666666666667</v>
      </c>
      <c r="AR10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0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1.25</v>
      </c>
      <c r="AU106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06" s="82" cm="1">
        <f t="array" aca="1" ref="AV1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25.714285714285712</v>
      </c>
      <c r="AW106" s="82" cm="1">
        <f t="array" aca="1" ref="AW1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8.5714285714285712</v>
      </c>
      <c r="AX106" s="82">
        <f>SUM(FluxoEstoqueDateTime[[#This Row],[OVO BRANCO A]:[OVO BRANCO JUMBO]])</f>
        <v>16.333333333333332</v>
      </c>
    </row>
    <row r="107" spans="1:50" x14ac:dyDescent="0.25">
      <c r="A107" s="4" t="s">
        <v>20</v>
      </c>
      <c r="B107" s="55" t="s">
        <v>13</v>
      </c>
      <c r="C107" s="5">
        <v>8</v>
      </c>
      <c r="D107" s="56">
        <v>20</v>
      </c>
      <c r="E107" s="56">
        <v>160</v>
      </c>
      <c r="F107" s="157">
        <v>46210</v>
      </c>
      <c r="G107" s="4" t="s">
        <v>290</v>
      </c>
      <c r="H107" s="4" t="s">
        <v>149</v>
      </c>
      <c r="I107" s="153">
        <v>33.33</v>
      </c>
      <c r="J107" s="12">
        <v>0.20833333333333312</v>
      </c>
      <c r="Z107" s="116">
        <f t="shared" si="4"/>
        <v>46127</v>
      </c>
      <c r="AA10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0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13.285714285714286</v>
      </c>
      <c r="AC10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</v>
      </c>
      <c r="AE10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0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33.428571428571431</v>
      </c>
      <c r="AG10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37.501359173031055</v>
      </c>
      <c r="AH107" s="116">
        <f t="shared" si="5"/>
        <v>46127</v>
      </c>
      <c r="AI107" s="1" t="str" cm="1">
        <f t="array" ref="AI107">IFERROR(_xlfn.IFS(AQ107="","Sem Produto",AND(AQ107/(AA107/12)&gt;0,AQ107/(AA107/12)&lt;=2),"Acabando",AND(AQ107/(AA107/12)&gt;2,AQ107/(AA107/12)&lt;=3),"Fazer Pedido",AND(AQ107/(AA107/12)&gt;3,AQ107/(AA107/12)&lt;=7),"OK",AND(AQ107/(AA107/12)&gt;7,AQ107/(AA107/12)&lt;=14),"Abaixar Preço",AND(AQ107/(AA107/12)&gt;14,AQ107/(AA107/12)&lt;=20),"Estabilizando",AQ107/(AA107/12)&gt;20,"Instavel"),"Instavel")</f>
        <v>Abaixar Preço</v>
      </c>
      <c r="AJ107" s="1" t="str" cm="1">
        <f t="array" ref="AJ107">IFERROR(_xlfn.IFS(AR107="","Sem Produto",AND(AR107/(AB107/12)&gt;0,AR107/(AB107/12)&lt;=2),"Acabando",AND(AR107/(AB107/12)&gt;2,AR107/(AB107/12)&lt;=3),"Fazer Pedido",AND(AR107/(AB107/12)&gt;3,AR107/(AB107/12)&lt;=7),"OK",AND(AR107/(AB107/12)&gt;7,AR107/(AB107/12)&lt;=14),"Abaixar Preço",AND(AR107/(AB107/12)&gt;14,AR107/(AB107/12)&lt;=20),"Estabilizando",AR107/(AB107/12)&gt;20,"Instavel"),"Instavel")</f>
        <v>Abaixar Preço</v>
      </c>
      <c r="AK107" s="1" t="str" cm="1">
        <f t="array" ref="AK107">IFERROR(_xlfn.IFS(AS107="","Sem Produto",AND(AS107/(AC107/12)&gt;0,AS107/(AC107/12)&lt;=2),"Acabando",AND(AS107/(AC107/12)&gt;2,AS107/(AC107/12)&lt;=3),"Fazer Pedido",AND(AS107/(AC107/12)&gt;3,AS107/(AC107/12)&lt;=7),"OK",AND(AS107/(AC107/12)&gt;7,AS107/(AC107/12)&lt;=14),"Abaixar Preço",AND(AS107/(AC107/12)&gt;14,AS107/(AC107/12)&lt;=20),"Estabilizando",AS107/(AC107/12)&gt;20,"Instavel"),"Instavel")</f>
        <v>Sem Produto</v>
      </c>
      <c r="AL107" s="1" t="str" cm="1">
        <f t="array" ref="AL107">IFERROR(_xlfn.IFS(AT107="","Sem Produto",AND(AT107/(AD107/12)&gt;0,AT107/(AD107/12)&lt;=2),"Acabando",AND(AT107/(AD107/12)&gt;2,AT107/(AD107/12)&lt;=3),"Fazer Pedido",AND(AT107/(AD107/12)&gt;3,AT107/(AD107/12)&lt;=7),"OK",AND(AT107/(AD107/12)&gt;7,AT107/(AD107/12)&lt;=14),"Abaixar Preço",AND(AT107/(AD107/12)&gt;14,AT107/(AD107/12)&lt;=20),"Estabilizando",AT107/(AD107/12)&gt;20,"Instavel"),"Instavel")</f>
        <v>OK</v>
      </c>
      <c r="AM107" s="1" t="str" cm="1">
        <f t="array" ref="AM107">IFERROR(_xlfn.IFS(AU107="","Sem Produto",AND(AU107/(AE107/12)&gt;0,AU107/(AE107/12)&lt;=2),"Acabando",AND(AU107/(AE107/12)&gt;2,AU107/(AE107/12)&lt;=3),"Fazer Pedido",AND(AU107/(AE107/12)&gt;3,AU107/(AE107/12)&lt;=7),"OK",AND(AU107/(AE107/12)&gt;7,AU107/(AE107/12)&lt;=14),"Abaixar Preço",AND(AU107/(AE107/12)&gt;14,AU107/(AE107/12)&lt;=20),"Estabilizando",AU107/(AE107/12)&gt;20,"Instavel"),"Instavel")</f>
        <v>Acabando</v>
      </c>
      <c r="AN107" s="1" t="str">
        <f ca="1">IF(SUMIF(vendaAno[data],SituaçãoEstoqueFluxo[[#This Row],[data]],vendaAno[estoque])=0,"Algo errado",IF(AND(AX107/AW107&gt;0,AX107/AW107&lt;=1),"Alerta",IF(AND(AX107/AW107&gt;1,AX107/AW107&lt;=1.5),"Fazer pedido",IF(AND(AX107/AW107&gt;1.5,AX107/AW107&lt;=2),"Ok",IF(AND(AX107/AW107&gt;2,AX107/AW107&lt;=2.5),"Estabilizando",IF(AND(AX107/AW107&gt;2.5,AX107/AW107&lt;=3),"Cheio","Abaixar preço"))))))</f>
        <v>Estabilizando</v>
      </c>
      <c r="AO107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107" s="116">
        <f t="shared" si="6"/>
        <v>46127</v>
      </c>
      <c r="AQ10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6.5</v>
      </c>
      <c r="AR10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</v>
      </c>
      <c r="AS10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2.8333333333333335</v>
      </c>
      <c r="AU10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107" s="82" cm="1">
        <f t="array" aca="1" ref="AV1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25.071428571428573</v>
      </c>
      <c r="AW107" s="82" cm="1">
        <f t="array" aca="1" ref="AW1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8.3571428571428577</v>
      </c>
      <c r="AX107" s="82">
        <f>SUM(FluxoEstoqueDateTime[[#This Row],[OVO BRANCO A]:[OVO BRANCO JUMBO]])</f>
        <v>19.5</v>
      </c>
    </row>
    <row r="108" spans="1:50" x14ac:dyDescent="0.25">
      <c r="A108" s="4" t="s">
        <v>20</v>
      </c>
      <c r="B108" s="55" t="s">
        <v>11</v>
      </c>
      <c r="C108" s="5">
        <v>5</v>
      </c>
      <c r="D108" s="56">
        <v>18</v>
      </c>
      <c r="E108" s="56">
        <v>90</v>
      </c>
      <c r="F108" s="157">
        <v>46210</v>
      </c>
      <c r="G108" s="4" t="s">
        <v>290</v>
      </c>
      <c r="H108" s="4" t="s">
        <v>149</v>
      </c>
      <c r="I108" s="153">
        <v>17.07</v>
      </c>
      <c r="J108" s="12">
        <v>0.18970478869596191</v>
      </c>
      <c r="Z108" s="116">
        <f t="shared" si="4"/>
        <v>46126</v>
      </c>
      <c r="AA10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10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14.285714285714286</v>
      </c>
      <c r="AC10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5.1428571428571432</v>
      </c>
      <c r="AE10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0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32.571428571428569</v>
      </c>
      <c r="AG10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39.00245743893413</v>
      </c>
      <c r="AH108" s="116">
        <f t="shared" si="5"/>
        <v>46126</v>
      </c>
      <c r="AI108" s="1" t="str" cm="1">
        <f t="array" ref="AI108">IFERROR(_xlfn.IFS(AQ108="","Sem Produto",AND(AQ108/(AA108/12)&gt;0,AQ108/(AA108/12)&lt;=2),"Acabando",AND(AQ108/(AA108/12)&gt;2,AQ108/(AA108/12)&lt;=3),"Fazer Pedido",AND(AQ108/(AA108/12)&gt;3,AQ108/(AA108/12)&lt;=7),"OK",AND(AQ108/(AA108/12)&gt;7,AQ108/(AA108/12)&lt;=14),"Abaixar Preço",AND(AQ108/(AA108/12)&gt;14,AQ108/(AA108/12)&lt;=20),"Estabilizando",AQ108/(AA108/12)&gt;20,"Instavel"),"Instavel")</f>
        <v>Abaixar Preço</v>
      </c>
      <c r="AJ108" s="1" t="str" cm="1">
        <f t="array" ref="AJ108">IFERROR(_xlfn.IFS(AR108="","Sem Produto",AND(AR108/(AB108/12)&gt;0,AR108/(AB108/12)&lt;=2),"Acabando",AND(AR108/(AB108/12)&gt;2,AR108/(AB108/12)&lt;=3),"Fazer Pedido",AND(AR108/(AB108/12)&gt;3,AR108/(AB108/12)&lt;=7),"OK",AND(AR108/(AB108/12)&gt;7,AR108/(AB108/12)&lt;=14),"Abaixar Preço",AND(AR108/(AB108/12)&gt;14,AR108/(AB108/12)&lt;=20),"Estabilizando",AR108/(AB108/12)&gt;20,"Instavel"),"Instavel")</f>
        <v>Abaixar Preço</v>
      </c>
      <c r="AK108" s="1" t="str" cm="1">
        <f t="array" ref="AK108">IFERROR(_xlfn.IFS(AS108="","Sem Produto",AND(AS108/(AC108/12)&gt;0,AS108/(AC108/12)&lt;=2),"Acabando",AND(AS108/(AC108/12)&gt;2,AS108/(AC108/12)&lt;=3),"Fazer Pedido",AND(AS108/(AC108/12)&gt;3,AS108/(AC108/12)&lt;=7),"OK",AND(AS108/(AC108/12)&gt;7,AS108/(AC108/12)&lt;=14),"Abaixar Preço",AND(AS108/(AC108/12)&gt;14,AS108/(AC108/12)&lt;=20),"Estabilizando",AS108/(AC108/12)&gt;20,"Instavel"),"Instavel")</f>
        <v>Sem Produto</v>
      </c>
      <c r="AL108" s="1" t="str" cm="1">
        <f t="array" ref="AL108">IFERROR(_xlfn.IFS(AT108="","Sem Produto",AND(AT108/(AD108/12)&gt;0,AT108/(AD108/12)&lt;=2),"Acabando",AND(AT108/(AD108/12)&gt;2,AT108/(AD108/12)&lt;=3),"Fazer Pedido",AND(AT108/(AD108/12)&gt;3,AT108/(AD108/12)&lt;=7),"OK",AND(AT108/(AD108/12)&gt;7,AT108/(AD108/12)&lt;=14),"Abaixar Preço",AND(AT108/(AD108/12)&gt;14,AT108/(AD108/12)&lt;=20),"Estabilizando",AT108/(AD108/12)&gt;20,"Instavel"),"Instavel")</f>
        <v>Abaixar Preço</v>
      </c>
      <c r="AM108" s="1" t="str" cm="1">
        <f t="array" ref="AM108">IFERROR(_xlfn.IFS(AU108="","Sem Produto",AND(AU108/(AE108/12)&gt;0,AU108/(AE108/12)&lt;=2),"Acabando",AND(AU108/(AE108/12)&gt;2,AU108/(AE108/12)&lt;=3),"Fazer Pedido",AND(AU108/(AE108/12)&gt;3,AU108/(AE108/12)&lt;=7),"OK",AND(AU108/(AE108/12)&gt;7,AU108/(AE108/12)&lt;=14),"Abaixar Preço",AND(AU108/(AE108/12)&gt;14,AU108/(AE108/12)&lt;=20),"Estabilizando",AU108/(AE108/12)&gt;20,"Instavel"),"Instavel")</f>
        <v>Acabando</v>
      </c>
      <c r="AN108" s="1" t="str">
        <f ca="1">IF(SUMIF(vendaAno[data],SituaçãoEstoqueFluxo[[#This Row],[data]],vendaAno[estoque])=0,"Algo errado",IF(AND(AX108/AW108&gt;0,AX108/AW108&lt;=1),"Alerta",IF(AND(AX108/AW108&gt;1,AX108/AW108&lt;=1.5),"Fazer pedido",IF(AND(AX108/AW108&gt;1.5,AX108/AW108&lt;=2),"Ok",IF(AND(AX108/AW108&gt;2,AX108/AW108&lt;=2.5),"Estabilizando",IF(AND(AX108/AW108&gt;2.5,AX108/AW108&lt;=3),"Cheio","Abaixar preço"))))))</f>
        <v>Cheio</v>
      </c>
      <c r="AO108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08" s="116">
        <f t="shared" si="6"/>
        <v>46126</v>
      </c>
      <c r="AQ10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10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11.333333333333334</v>
      </c>
      <c r="AS10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3.9166666666666665</v>
      </c>
      <c r="AU10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1.0833333333333333</v>
      </c>
      <c r="AV108" s="82" cm="1">
        <f t="array" aca="1" ref="AV1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24.428571428571431</v>
      </c>
      <c r="AW108" s="82" cm="1">
        <f t="array" aca="1" ref="AW1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8.1428571428571423</v>
      </c>
      <c r="AX108" s="82">
        <f>SUM(FluxoEstoqueDateTime[[#This Row],[OVO BRANCO A]:[OVO BRANCO JUMBO]])</f>
        <v>23.083333333333336</v>
      </c>
    </row>
    <row r="109" spans="1:50" x14ac:dyDescent="0.25">
      <c r="A109" s="4" t="s">
        <v>20</v>
      </c>
      <c r="B109" s="55" t="s">
        <v>10</v>
      </c>
      <c r="C109" s="5">
        <v>16</v>
      </c>
      <c r="D109" s="56">
        <v>19</v>
      </c>
      <c r="E109" s="56">
        <v>304</v>
      </c>
      <c r="F109" s="157">
        <v>46210</v>
      </c>
      <c r="G109" s="4" t="s">
        <v>290</v>
      </c>
      <c r="H109" s="4" t="s">
        <v>149</v>
      </c>
      <c r="I109" s="153">
        <v>57.33</v>
      </c>
      <c r="J109" s="12">
        <v>0.18859649122807029</v>
      </c>
      <c r="Z109" s="116">
        <f t="shared" si="4"/>
        <v>46125</v>
      </c>
      <c r="AA10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6.8571428571428568</v>
      </c>
      <c r="AB10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13.857142857142858</v>
      </c>
      <c r="AC10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0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0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0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32.142857142857146</v>
      </c>
      <c r="AG10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39.197195838986886</v>
      </c>
      <c r="AH109" s="116">
        <f t="shared" si="5"/>
        <v>46125</v>
      </c>
      <c r="AI109" s="1" t="str" cm="1">
        <f t="array" ref="AI109">IFERROR(_xlfn.IFS(AQ109="","Sem Produto",AND(AQ109/(AA109/12)&gt;0,AQ109/(AA109/12)&lt;=2),"Acabando",AND(AQ109/(AA109/12)&gt;2,AQ109/(AA109/12)&lt;=3),"Fazer Pedido",AND(AQ109/(AA109/12)&gt;3,AQ109/(AA109/12)&lt;=7),"OK",AND(AQ109/(AA109/12)&gt;7,AQ109/(AA109/12)&lt;=14),"Abaixar Preço",AND(AQ109/(AA109/12)&gt;14,AQ109/(AA109/12)&lt;=20),"Estabilizando",AQ109/(AA109/12)&gt;20,"Instavel"),"Instavel")</f>
        <v>Abaixar Preço</v>
      </c>
      <c r="AJ109" s="1" t="str" cm="1">
        <f t="array" ref="AJ109">IFERROR(_xlfn.IFS(AR109="","Sem Produto",AND(AR109/(AB109/12)&gt;0,AR109/(AB109/12)&lt;=2),"Acabando",AND(AR109/(AB109/12)&gt;2,AR109/(AB109/12)&lt;=3),"Fazer Pedido",AND(AR109/(AB109/12)&gt;3,AR109/(AB109/12)&lt;=7),"OK",AND(AR109/(AB109/12)&gt;7,AR109/(AB109/12)&lt;=14),"Abaixar Preço",AND(AR109/(AB109/12)&gt;14,AR109/(AB109/12)&lt;=20),"Estabilizando",AR109/(AB109/12)&gt;20,"Instavel"),"Instavel")</f>
        <v>Abaixar Preço</v>
      </c>
      <c r="AK109" s="1" t="str" cm="1">
        <f t="array" ref="AK109">IFERROR(_xlfn.IFS(AS109="","Sem Produto",AND(AS109/(AC109/12)&gt;0,AS109/(AC109/12)&lt;=2),"Acabando",AND(AS109/(AC109/12)&gt;2,AS109/(AC109/12)&lt;=3),"Fazer Pedido",AND(AS109/(AC109/12)&gt;3,AS109/(AC109/12)&lt;=7),"OK",AND(AS109/(AC109/12)&gt;7,AS109/(AC109/12)&lt;=14),"Abaixar Preço",AND(AS109/(AC109/12)&gt;14,AS109/(AC109/12)&lt;=20),"Estabilizando",AS109/(AC109/12)&gt;20,"Instavel"),"Instavel")</f>
        <v>Sem Produto</v>
      </c>
      <c r="AL109" s="1" t="str" cm="1">
        <f t="array" ref="AL109">IFERROR(_xlfn.IFS(AT109="","Sem Produto",AND(AT109/(AD109/12)&gt;0,AT109/(AD109/12)&lt;=2),"Acabando",AND(AT109/(AD109/12)&gt;2,AT109/(AD109/12)&lt;=3),"Fazer Pedido",AND(AT109/(AD109/12)&gt;3,AT109/(AD109/12)&lt;=7),"OK",AND(AT109/(AD109/12)&gt;7,AT109/(AD109/12)&lt;=14),"Abaixar Preço",AND(AT109/(AD109/12)&gt;14,AT109/(AD109/12)&lt;=20),"Estabilizando",AT109/(AD109/12)&gt;20,"Instavel"),"Instavel")</f>
        <v>Abaixar Preço</v>
      </c>
      <c r="AM109" s="1" t="str" cm="1">
        <f t="array" ref="AM109">IFERROR(_xlfn.IFS(AU109="","Sem Produto",AND(AU109/(AE109/12)&gt;0,AU109/(AE109/12)&lt;=2),"Acabando",AND(AU109/(AE109/12)&gt;2,AU109/(AE109/12)&lt;=3),"Fazer Pedido",AND(AU109/(AE109/12)&gt;3,AU109/(AE109/12)&lt;=7),"OK",AND(AU109/(AE109/12)&gt;7,AU109/(AE109/12)&lt;=14),"Abaixar Preço",AND(AU109/(AE109/12)&gt;14,AU109/(AE109/12)&lt;=20),"Estabilizando",AU109/(AE109/12)&gt;20,"Instavel"),"Instavel")</f>
        <v>OK</v>
      </c>
      <c r="AN109" s="1" t="str">
        <f ca="1">IF(SUMIF(vendaAno[data],SituaçãoEstoqueFluxo[[#This Row],[data]],vendaAno[estoque])=0,"Algo errado",IF(AND(AX109/AW109&gt;0,AX109/AW109&lt;=1),"Alerta",IF(AND(AX109/AW109&gt;1,AX109/AW109&lt;=1.5),"Fazer pedido",IF(AND(AX109/AW109&gt;1.5,AX109/AW109&lt;=2),"Ok",IF(AND(AX109/AW109&gt;2,AX109/AW109&lt;=2.5),"Estabilizando",IF(AND(AX109/AW109&gt;2.5,AX109/AW109&lt;=3),"Cheio","Abaixar preço"))))))</f>
        <v>Abaixar preço</v>
      </c>
      <c r="AO109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09" s="116">
        <f t="shared" si="6"/>
        <v>46125</v>
      </c>
      <c r="AQ10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7.083333333333333</v>
      </c>
      <c r="AR10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12.166666666666666</v>
      </c>
      <c r="AS10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0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10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2.0833333333333335</v>
      </c>
      <c r="AV109" s="82" cm="1">
        <f t="array" aca="1" ref="AV1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24.107142857142858</v>
      </c>
      <c r="AW109" s="82" cm="1">
        <f t="array" aca="1" ref="AW1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8.0357142857142865</v>
      </c>
      <c r="AX109" s="82">
        <f>SUM(FluxoEstoqueDateTime[[#This Row],[OVO BRANCO A]:[OVO BRANCO JUMBO]])</f>
        <v>25.416666666666664</v>
      </c>
    </row>
    <row r="110" spans="1:50" x14ac:dyDescent="0.25">
      <c r="A110" s="4" t="s">
        <v>20</v>
      </c>
      <c r="B110" s="55" t="s">
        <v>14</v>
      </c>
      <c r="C110" s="5">
        <v>10</v>
      </c>
      <c r="D110" s="56">
        <v>23</v>
      </c>
      <c r="E110" s="56">
        <v>230</v>
      </c>
      <c r="F110" s="157">
        <v>46209</v>
      </c>
      <c r="G110" s="4" t="s">
        <v>291</v>
      </c>
      <c r="H110" s="4" t="s">
        <v>149</v>
      </c>
      <c r="I110" s="153">
        <v>67.48</v>
      </c>
      <c r="J110" s="12">
        <v>0.29339300937766405</v>
      </c>
      <c r="Z110" s="116">
        <f t="shared" si="4"/>
        <v>46124</v>
      </c>
      <c r="AA11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4.1428571428571432</v>
      </c>
      <c r="AB11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12.571428571428571</v>
      </c>
      <c r="AC11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1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1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1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11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37.119190692322448</v>
      </c>
      <c r="AH110" s="116">
        <f t="shared" si="5"/>
        <v>46124</v>
      </c>
      <c r="AI110" s="1" t="str" cm="1">
        <f t="array" ref="AI110">IFERROR(_xlfn.IFS(AQ110="","Sem Produto",AND(AQ110/(AA110/12)&gt;0,AQ110/(AA110/12)&lt;=2),"Acabando",AND(AQ110/(AA110/12)&gt;2,AQ110/(AA110/12)&lt;=3),"Fazer Pedido",AND(AQ110/(AA110/12)&gt;3,AQ110/(AA110/12)&lt;=7),"OK",AND(AQ110/(AA110/12)&gt;7,AQ110/(AA110/12)&lt;=14),"Abaixar Preço",AND(AQ110/(AA110/12)&gt;14,AQ110/(AA110/12)&lt;=20),"Estabilizando",AQ110/(AA110/12)&gt;20,"Instavel"),"Instavel")</f>
        <v>Instavel</v>
      </c>
      <c r="AJ110" s="1" t="str" cm="1">
        <f t="array" ref="AJ110">IFERROR(_xlfn.IFS(AR110="","Sem Produto",AND(AR110/(AB110/12)&gt;0,AR110/(AB110/12)&lt;=2),"Acabando",AND(AR110/(AB110/12)&gt;2,AR110/(AB110/12)&lt;=3),"Fazer Pedido",AND(AR110/(AB110/12)&gt;3,AR110/(AB110/12)&lt;=7),"OK",AND(AR110/(AB110/12)&gt;7,AR110/(AB110/12)&lt;=14),"Abaixar Preço",AND(AR110/(AB110/12)&gt;14,AR110/(AB110/12)&lt;=20),"Estabilizando",AR110/(AB110/12)&gt;20,"Instavel"),"Instavel")</f>
        <v>Abaixar Preço</v>
      </c>
      <c r="AK110" s="1" t="str" cm="1">
        <f t="array" ref="AK110">IFERROR(_xlfn.IFS(AS110="","Sem Produto",AND(AS110/(AC110/12)&gt;0,AS110/(AC110/12)&lt;=2),"Acabando",AND(AS110/(AC110/12)&gt;2,AS110/(AC110/12)&lt;=3),"Fazer Pedido",AND(AS110/(AC110/12)&gt;3,AS110/(AC110/12)&lt;=7),"OK",AND(AS110/(AC110/12)&gt;7,AS110/(AC110/12)&lt;=14),"Abaixar Preço",AND(AS110/(AC110/12)&gt;14,AS110/(AC110/12)&lt;=20),"Estabilizando",AS110/(AC110/12)&gt;20,"Instavel"),"Instavel")</f>
        <v>Sem Produto</v>
      </c>
      <c r="AL110" s="1" t="str" cm="1">
        <f t="array" ref="AL110">IFERROR(_xlfn.IFS(AT110="","Sem Produto",AND(AT110/(AD110/12)&gt;0,AT110/(AD110/12)&lt;=2),"Acabando",AND(AT110/(AD110/12)&gt;2,AT110/(AD110/12)&lt;=3),"Fazer Pedido",AND(AT110/(AD110/12)&gt;3,AT110/(AD110/12)&lt;=7),"OK",AND(AT110/(AD110/12)&gt;7,AT110/(AD110/12)&lt;=14),"Abaixar Preço",AND(AT110/(AD110/12)&gt;14,AT110/(AD110/12)&lt;=20),"Estabilizando",AT110/(AD110/12)&gt;20,"Instavel"),"Instavel")</f>
        <v>Abaixar Preço</v>
      </c>
      <c r="AM110" s="1" t="str" cm="1">
        <f t="array" ref="AM110">IFERROR(_xlfn.IFS(AU110="","Sem Produto",AND(AU110/(AE110/12)&gt;0,AU110/(AE110/12)&lt;=2),"Acabando",AND(AU110/(AE110/12)&gt;2,AU110/(AE110/12)&lt;=3),"Fazer Pedido",AND(AU110/(AE110/12)&gt;3,AU110/(AE110/12)&lt;=7),"OK",AND(AU110/(AE110/12)&gt;7,AU110/(AE110/12)&lt;=14),"Abaixar Preço",AND(AU110/(AE110/12)&gt;14,AU110/(AE110/12)&lt;=20),"Estabilizando",AU110/(AE110/12)&gt;20,"Instavel"),"Instavel")</f>
        <v>OK</v>
      </c>
      <c r="AN110" s="1" t="str">
        <f ca="1">IF(SUMIF(vendaAno[data],SituaçãoEstoqueFluxo[[#This Row],[data]],vendaAno[estoque])=0,"Algo errado",IF(AND(AX110/AW110&gt;0,AX110/AW110&lt;=1),"Alerta",IF(AND(AX110/AW110&gt;1,AX110/AW110&lt;=1.5),"Fazer pedido",IF(AND(AX110/AW110&gt;1.5,AX110/AW110&lt;=2),"Ok",IF(AND(AX110/AW110&gt;2,AX110/AW110&lt;=2.5),"Estabilizando",IF(AND(AX110/AW110&gt;2.5,AX110/AW110&lt;=3),"Cheio","Abaixar preço"))))))</f>
        <v>Abaixar preço</v>
      </c>
      <c r="AO110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10" s="116">
        <f t="shared" si="6"/>
        <v>46124</v>
      </c>
      <c r="AQ11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9.1666666666666661</v>
      </c>
      <c r="AR11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13.333333333333334</v>
      </c>
      <c r="AS1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4.583333333333333</v>
      </c>
      <c r="AU11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2.5</v>
      </c>
      <c r="AV110" s="82" cm="1">
        <f t="array" aca="1" ref="AV1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110" s="82" cm="1">
        <f t="array" aca="1" ref="AW1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110" s="82">
        <f>SUM(FluxoEstoqueDateTime[[#This Row],[OVO BRANCO A]:[OVO BRANCO JUMBO]])</f>
        <v>29.583333333333332</v>
      </c>
    </row>
    <row r="111" spans="1:50" x14ac:dyDescent="0.25">
      <c r="A111" s="4" t="s">
        <v>20</v>
      </c>
      <c r="B111" s="55" t="s">
        <v>13</v>
      </c>
      <c r="C111" s="5">
        <v>15</v>
      </c>
      <c r="D111" s="56">
        <v>20</v>
      </c>
      <c r="E111" s="56">
        <v>300</v>
      </c>
      <c r="F111" s="157">
        <v>46209</v>
      </c>
      <c r="G111" s="4" t="s">
        <v>291</v>
      </c>
      <c r="H111" s="4" t="s">
        <v>149</v>
      </c>
      <c r="I111" s="153">
        <v>62.5</v>
      </c>
      <c r="J111" s="12">
        <v>0.20833333333333312</v>
      </c>
      <c r="Z111" s="116">
        <f t="shared" si="4"/>
        <v>46123</v>
      </c>
      <c r="AA11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11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1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1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1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1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27.285714285714285</v>
      </c>
      <c r="AG11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35.985597512989408</v>
      </c>
      <c r="AH111" s="116">
        <f t="shared" si="5"/>
        <v>46123</v>
      </c>
      <c r="AI111" s="1" t="str" cm="1">
        <f t="array" ref="AI111">IFERROR(_xlfn.IFS(AQ111="","Sem Produto",AND(AQ111/(AA111/12)&gt;0,AQ111/(AA111/12)&lt;=2),"Acabando",AND(AQ111/(AA111/12)&gt;2,AQ111/(AA111/12)&lt;=3),"Fazer Pedido",AND(AQ111/(AA111/12)&gt;3,AQ111/(AA111/12)&lt;=7),"OK",AND(AQ111/(AA111/12)&gt;7,AQ111/(AA111/12)&lt;=14),"Abaixar Preço",AND(AQ111/(AA111/12)&gt;14,AQ111/(AA111/12)&lt;=20),"Estabilizando",AQ111/(AA111/12)&gt;20,"Instavel"),"Instavel")</f>
        <v>Instavel</v>
      </c>
      <c r="AJ111" s="1" t="str" cm="1">
        <f t="array" ref="AJ111">IFERROR(_xlfn.IFS(AR111="","Sem Produto",AND(AR111/(AB111/12)&gt;0,AR111/(AB111/12)&lt;=2),"Acabando",AND(AR111/(AB111/12)&gt;2,AR111/(AB111/12)&lt;=3),"Fazer Pedido",AND(AR111/(AB111/12)&gt;3,AR111/(AB111/12)&lt;=7),"OK",AND(AR111/(AB111/12)&gt;7,AR111/(AB111/12)&lt;=14),"Abaixar Preço",AND(AR111/(AB111/12)&gt;14,AR111/(AB111/12)&lt;=20),"Estabilizando",AR111/(AB111/12)&gt;20,"Instavel"),"Instavel")</f>
        <v>Estabilizando</v>
      </c>
      <c r="AK111" s="1" t="str" cm="1">
        <f t="array" ref="AK111">IFERROR(_xlfn.IFS(AS111="","Sem Produto",AND(AS111/(AC111/12)&gt;0,AS111/(AC111/12)&lt;=2),"Acabando",AND(AS111/(AC111/12)&gt;2,AS111/(AC111/12)&lt;=3),"Fazer Pedido",AND(AS111/(AC111/12)&gt;3,AS111/(AC111/12)&lt;=7),"OK",AND(AS111/(AC111/12)&gt;7,AS111/(AC111/12)&lt;=14),"Abaixar Preço",AND(AS111/(AC111/12)&gt;14,AS111/(AC111/12)&lt;=20),"Estabilizando",AS111/(AC111/12)&gt;20,"Instavel"),"Instavel")</f>
        <v>Sem Produto</v>
      </c>
      <c r="AL111" s="1" t="str" cm="1">
        <f t="array" ref="AL111">IFERROR(_xlfn.IFS(AT111="","Sem Produto",AND(AT111/(AD111/12)&gt;0,AT111/(AD111/12)&lt;=2),"Acabando",AND(AT111/(AD111/12)&gt;2,AT111/(AD111/12)&lt;=3),"Fazer Pedido",AND(AT111/(AD111/12)&gt;3,AT111/(AD111/12)&lt;=7),"OK",AND(AT111/(AD111/12)&gt;7,AT111/(AD111/12)&lt;=14),"Abaixar Preço",AND(AT111/(AD111/12)&gt;14,AT111/(AD111/12)&lt;=20),"Estabilizando",AT111/(AD111/12)&gt;20,"Instavel"),"Instavel")</f>
        <v>Abaixar Preço</v>
      </c>
      <c r="AM111" s="1" t="str" cm="1">
        <f t="array" ref="AM111">IFERROR(_xlfn.IFS(AU111="","Sem Produto",AND(AU111/(AE111/12)&gt;0,AU111/(AE111/12)&lt;=2),"Acabando",AND(AU111/(AE111/12)&gt;2,AU111/(AE111/12)&lt;=3),"Fazer Pedido",AND(AU111/(AE111/12)&gt;3,AU111/(AE111/12)&lt;=7),"OK",AND(AU111/(AE111/12)&gt;7,AU111/(AE111/12)&lt;=14),"Abaixar Preço",AND(AU111/(AE111/12)&gt;14,AU111/(AE111/12)&lt;=20),"Estabilizando",AU111/(AE111/12)&gt;20,"Instavel"),"Instavel")</f>
        <v>OK</v>
      </c>
      <c r="AN111" s="1" t="str">
        <f ca="1">IF(SUMIF(vendaAno[data],SituaçãoEstoqueFluxo[[#This Row],[data]],vendaAno[estoque])=0,"Algo errado",IF(AND(AX111/AW111&gt;0,AX111/AW111&lt;=1),"Alerta",IF(AND(AX111/AW111&gt;1,AX111/AW111&lt;=1.5),"Fazer pedido",IF(AND(AX111/AW111&gt;1.5,AX111/AW111&lt;=2),"Ok",IF(AND(AX111/AW111&gt;2,AX111/AW111&lt;=2.5),"Estabilizando",IF(AND(AX111/AW111&gt;2.5,AX111/AW111&lt;=3),"Cheio","Abaixar preço"))))))</f>
        <v>Abaixar preço</v>
      </c>
      <c r="AO111" s="82">
        <f>SUMIFS(estoque[quantidade],estoque[fornecedor],"&lt;&gt;saída",estoque[data],SituaçãoEstoqueFluxo[[#This Row],[data]])-SUMIFS(estoque[quantidade],estoque[fornecedor],"saída",estoque[data],SituaçãoEstoqueFluxo[[#This Row],[data]])</f>
        <v>-17</v>
      </c>
      <c r="AP111" s="116">
        <f t="shared" si="6"/>
        <v>46123</v>
      </c>
      <c r="AQ11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</v>
      </c>
      <c r="AR11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14.916666666666666</v>
      </c>
      <c r="AS1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5.25</v>
      </c>
      <c r="AU11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2.8333333333333335</v>
      </c>
      <c r="AV111" s="82" cm="1">
        <f t="array" aca="1" ref="AV1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20.464285714285715</v>
      </c>
      <c r="AW111" s="82" cm="1">
        <f t="array" aca="1" ref="AW1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6.8214285714285721</v>
      </c>
      <c r="AX111" s="82">
        <f>SUM(FluxoEstoqueDateTime[[#This Row],[OVO BRANCO A]:[OVO BRANCO JUMBO]])</f>
        <v>32.5</v>
      </c>
    </row>
    <row r="112" spans="1:50" x14ac:dyDescent="0.25">
      <c r="A112" s="4" t="s">
        <v>20</v>
      </c>
      <c r="B112" s="55" t="s">
        <v>10</v>
      </c>
      <c r="C112" s="5">
        <v>1</v>
      </c>
      <c r="D112" s="56">
        <v>19</v>
      </c>
      <c r="E112" s="56">
        <v>19</v>
      </c>
      <c r="F112" s="157">
        <v>46209</v>
      </c>
      <c r="G112" s="4" t="s">
        <v>291</v>
      </c>
      <c r="H112" s="4" t="s">
        <v>149</v>
      </c>
      <c r="I112" s="153">
        <v>3.58</v>
      </c>
      <c r="J112" s="12">
        <v>0.18859649122807029</v>
      </c>
      <c r="Z112" s="116">
        <f t="shared" si="4"/>
        <v>46122</v>
      </c>
      <c r="AA11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1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1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1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7.4285714285714288</v>
      </c>
      <c r="AF11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27.714285714285715</v>
      </c>
      <c r="AG11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34.453595360560676</v>
      </c>
      <c r="AH112" s="116">
        <f t="shared" si="5"/>
        <v>46122</v>
      </c>
      <c r="AI112" s="1" t="str" cm="1">
        <f t="array" ref="AI112">IFERROR(_xlfn.IFS(AQ112="","Sem Produto",AND(AQ112/(AA112/12)&gt;0,AQ112/(AA112/12)&lt;=2),"Acabando",AND(AQ112/(AA112/12)&gt;2,AQ112/(AA112/12)&lt;=3),"Fazer Pedido",AND(AQ112/(AA112/12)&gt;3,AQ112/(AA112/12)&lt;=7),"OK",AND(AQ112/(AA112/12)&gt;7,AQ112/(AA112/12)&lt;=14),"Abaixar Preço",AND(AQ112/(AA112/12)&gt;14,AQ112/(AA112/12)&lt;=20),"Estabilizando",AQ112/(AA112/12)&gt;20,"Instavel"),"Instavel")</f>
        <v>Estabilizando</v>
      </c>
      <c r="AJ112" s="1" t="str" cm="1">
        <f t="array" ref="AJ112">IFERROR(_xlfn.IFS(AR112="","Sem Produto",AND(AR112/(AB112/12)&gt;0,AR112/(AB112/12)&lt;=2),"Acabando",AND(AR112/(AB112/12)&gt;2,AR112/(AB112/12)&lt;=3),"Fazer Pedido",AND(AR112/(AB112/12)&gt;3,AR112/(AB112/12)&lt;=7),"OK",AND(AR112/(AB112/12)&gt;7,AR112/(AB112/12)&lt;=14),"Abaixar Preço",AND(AR112/(AB112/12)&gt;14,AR112/(AB112/12)&lt;=20),"Estabilizando",AR112/(AB112/12)&gt;20,"Instavel"),"Instavel")</f>
        <v>Instavel</v>
      </c>
      <c r="AK112" s="1" t="str" cm="1">
        <f t="array" ref="AK112">IFERROR(_xlfn.IFS(AS112="","Sem Produto",AND(AS112/(AC112/12)&gt;0,AS112/(AC112/12)&lt;=2),"Acabando",AND(AS112/(AC112/12)&gt;2,AS112/(AC112/12)&lt;=3),"Fazer Pedido",AND(AS112/(AC112/12)&gt;3,AS112/(AC112/12)&lt;=7),"OK",AND(AS112/(AC112/12)&gt;7,AS112/(AC112/12)&lt;=14),"Abaixar Preço",AND(AS112/(AC112/12)&gt;14,AS112/(AC112/12)&lt;=20),"Estabilizando",AS112/(AC112/12)&gt;20,"Instavel"),"Instavel")</f>
        <v>Sem Produto</v>
      </c>
      <c r="AL112" s="1" t="str" cm="1">
        <f t="array" ref="AL112">IFERROR(_xlfn.IFS(AT112="","Sem Produto",AND(AT112/(AD112/12)&gt;0,AT112/(AD112/12)&lt;=2),"Acabando",AND(AT112/(AD112/12)&gt;2,AT112/(AD112/12)&lt;=3),"Fazer Pedido",AND(AT112/(AD112/12)&gt;3,AT112/(AD112/12)&lt;=7),"OK",AND(AT112/(AD112/12)&gt;7,AT112/(AD112/12)&lt;=14),"Abaixar Preço",AND(AT112/(AD112/12)&gt;14,AT112/(AD112/12)&lt;=20),"Estabilizando",AT112/(AD112/12)&gt;20,"Instavel"),"Instavel")</f>
        <v>Abaixar Preço</v>
      </c>
      <c r="AM112" s="1" t="str" cm="1">
        <f t="array" ref="AM112">IFERROR(_xlfn.IFS(AU112="","Sem Produto",AND(AU112/(AE112/12)&gt;0,AU112/(AE112/12)&lt;=2),"Acabando",AND(AU112/(AE112/12)&gt;2,AU112/(AE112/12)&lt;=3),"Fazer Pedido",AND(AU112/(AE112/12)&gt;3,AU112/(AE112/12)&lt;=7),"OK",AND(AU112/(AE112/12)&gt;7,AU112/(AE112/12)&lt;=14),"Abaixar Preço",AND(AU112/(AE112/12)&gt;14,AU112/(AE112/12)&lt;=20),"Estabilizando",AU112/(AE112/12)&gt;20,"Instavel"),"Instavel")</f>
        <v>OK</v>
      </c>
      <c r="AN112" s="1" t="str">
        <f ca="1">IF(SUMIF(vendaAno[data],SituaçãoEstoqueFluxo[[#This Row],[data]],vendaAno[estoque])=0,"Algo errado",IF(AND(AX112/AW112&gt;0,AX112/AW112&lt;=1),"Alerta",IF(AND(AX112/AW112&gt;1,AX112/AW112&lt;=1.5),"Fazer pedido",IF(AND(AX112/AW112&gt;1.5,AX112/AW112&lt;=2),"Ok",IF(AND(AX112/AW112&gt;2,AX112/AW112&lt;=2.5),"Estabilizando",IF(AND(AX112/AW112&gt;2.5,AX112/AW112&lt;=3),"Cheio","Abaixar preço"))))))</f>
        <v>Abaixar preço</v>
      </c>
      <c r="AO112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12" s="116">
        <f t="shared" si="6"/>
        <v>46122</v>
      </c>
      <c r="AQ11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1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16.083333333333332</v>
      </c>
      <c r="AS1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5.333333333333333</v>
      </c>
      <c r="AU11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2.8333333333333335</v>
      </c>
      <c r="AV112" s="82" cm="1">
        <f t="array" aca="1" ref="AV1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20.785714285714285</v>
      </c>
      <c r="AW112" s="82" cm="1">
        <f t="array" aca="1" ref="AW1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6.9285714285714279</v>
      </c>
      <c r="AX112" s="82">
        <f>SUM(FluxoEstoqueDateTime[[#This Row],[OVO BRANCO A]:[OVO BRANCO JUMBO]])</f>
        <v>33.916666666666664</v>
      </c>
    </row>
    <row r="113" spans="1:50" x14ac:dyDescent="0.25">
      <c r="A113" s="4" t="s">
        <v>20</v>
      </c>
      <c r="B113" s="55" t="s">
        <v>14</v>
      </c>
      <c r="C113" s="5">
        <v>4</v>
      </c>
      <c r="D113" s="56">
        <v>23</v>
      </c>
      <c r="E113" s="56">
        <v>92</v>
      </c>
      <c r="F113" s="157">
        <v>46208</v>
      </c>
      <c r="G113" s="4" t="s">
        <v>93</v>
      </c>
      <c r="H113" s="4" t="s">
        <v>149</v>
      </c>
      <c r="I113" s="153">
        <v>26.99</v>
      </c>
      <c r="J113" s="12">
        <v>0.29339300937766405</v>
      </c>
      <c r="Z113" s="116">
        <f t="shared" si="4"/>
        <v>46121</v>
      </c>
      <c r="AA11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11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8.2857142857142865</v>
      </c>
      <c r="AC1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1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11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1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1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34.175285806491551</v>
      </c>
      <c r="AH113" s="116">
        <f t="shared" si="5"/>
        <v>46121</v>
      </c>
      <c r="AI113" s="1" t="str" cm="1">
        <f t="array" ref="AI113">IFERROR(_xlfn.IFS(AQ113="","Sem Produto",AND(AQ113/(AA113/12)&gt;0,AQ113/(AA113/12)&lt;=2),"Acabando",AND(AQ113/(AA113/12)&gt;2,AQ113/(AA113/12)&lt;=3),"Fazer Pedido",AND(AQ113/(AA113/12)&gt;3,AQ113/(AA113/12)&lt;=7),"OK",AND(AQ113/(AA113/12)&gt;7,AQ113/(AA113/12)&lt;=14),"Abaixar Preço",AND(AQ113/(AA113/12)&gt;14,AQ113/(AA113/12)&lt;=20),"Estabilizando",AQ113/(AA113/12)&gt;20,"Instavel"),"Instavel")</f>
        <v>Abaixar Preço</v>
      </c>
      <c r="AJ113" s="1" t="str" cm="1">
        <f t="array" ref="AJ113">IFERROR(_xlfn.IFS(AR113="","Sem Produto",AND(AR113/(AB113/12)&gt;0,AR113/(AB113/12)&lt;=2),"Acabando",AND(AR113/(AB113/12)&gt;2,AR113/(AB113/12)&lt;=3),"Fazer Pedido",AND(AR113/(AB113/12)&gt;3,AR113/(AB113/12)&lt;=7),"OK",AND(AR113/(AB113/12)&gt;7,AR113/(AB113/12)&lt;=14),"Abaixar Preço",AND(AR113/(AB113/12)&gt;14,AR113/(AB113/12)&lt;=20),"Estabilizando",AR113/(AB113/12)&gt;20,"Instavel"),"Instavel")</f>
        <v>Instavel</v>
      </c>
      <c r="AK113" s="1" t="str" cm="1">
        <f t="array" ref="AK113">IFERROR(_xlfn.IFS(AS113="","Sem Produto",AND(AS113/(AC113/12)&gt;0,AS113/(AC113/12)&lt;=2),"Acabando",AND(AS113/(AC113/12)&gt;2,AS113/(AC113/12)&lt;=3),"Fazer Pedido",AND(AS113/(AC113/12)&gt;3,AS113/(AC113/12)&lt;=7),"OK",AND(AS113/(AC113/12)&gt;7,AS113/(AC113/12)&lt;=14),"Abaixar Preço",AND(AS113/(AC113/12)&gt;14,AS113/(AC113/12)&lt;=20),"Estabilizando",AS113/(AC113/12)&gt;20,"Instavel"),"Instavel")</f>
        <v>Sem Produto</v>
      </c>
      <c r="AL113" s="1" t="str" cm="1">
        <f t="array" ref="AL113">IFERROR(_xlfn.IFS(AT113="","Sem Produto",AND(AT113/(AD113/12)&gt;0,AT113/(AD113/12)&lt;=2),"Acabando",AND(AT113/(AD113/12)&gt;2,AT113/(AD113/12)&lt;=3),"Fazer Pedido",AND(AT113/(AD113/12)&gt;3,AT113/(AD113/12)&lt;=7),"OK",AND(AT113/(AD113/12)&gt;7,AT113/(AD113/12)&lt;=14),"Abaixar Preço",AND(AT113/(AD113/12)&gt;14,AT113/(AD113/12)&lt;=20),"Estabilizando",AT113/(AD113/12)&gt;20,"Instavel"),"Instavel")</f>
        <v>Abaixar Preço</v>
      </c>
      <c r="AM113" s="1" t="str" cm="1">
        <f t="array" ref="AM113">IFERROR(_xlfn.IFS(AU113="","Sem Produto",AND(AU113/(AE113/12)&gt;0,AU113/(AE113/12)&lt;=2),"Acabando",AND(AU113/(AE113/12)&gt;2,AU113/(AE113/12)&lt;=3),"Fazer Pedido",AND(AU113/(AE113/12)&gt;3,AU113/(AE113/12)&lt;=7),"OK",AND(AU113/(AE113/12)&gt;7,AU113/(AE113/12)&lt;=14),"Abaixar Preço",AND(AU113/(AE113/12)&gt;14,AU113/(AE113/12)&lt;=20),"Estabilizando",AU113/(AE113/12)&gt;20,"Instavel"),"Instavel")</f>
        <v>OK</v>
      </c>
      <c r="AN113" s="1" t="str">
        <f ca="1">IF(SUMIF(vendaAno[data],SituaçãoEstoqueFluxo[[#This Row],[data]],vendaAno[estoque])=0,"Algo errado",IF(AND(AX113/AW113&gt;0,AX113/AW113&lt;=1),"Alerta",IF(AND(AX113/AW113&gt;1,AX113/AW113&lt;=1.5),"Fazer pedido",IF(AND(AX113/AW113&gt;1.5,AX113/AW113&lt;=2),"Ok",IF(AND(AX113/AW113&gt;2,AX113/AW113&lt;=2.5),"Estabilizando",IF(AND(AX113/AW113&gt;2.5,AX113/AW113&lt;=3),"Cheio","Abaixar preço"))))))</f>
        <v>Abaixar preço</v>
      </c>
      <c r="AO113" s="82">
        <f>SUMIFS(estoque[quantidade],estoque[fornecedor],"&lt;&gt;saída",estoque[data],SituaçãoEstoqueFluxo[[#This Row],[data]])-SUMIFS(estoque[quantidade],estoque[fornecedor],"saída",estoque[data],SituaçãoEstoqueFluxo[[#This Row],[data]])</f>
        <v>-32</v>
      </c>
      <c r="AP113" s="116">
        <f t="shared" si="6"/>
        <v>46121</v>
      </c>
      <c r="AQ11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9.75</v>
      </c>
      <c r="AR11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17.75</v>
      </c>
      <c r="AS1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5.666666666666667</v>
      </c>
      <c r="AU11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113" s="82" cm="1">
        <f t="array" aca="1" ref="AV1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23.892857142857149</v>
      </c>
      <c r="AW113" s="82" cm="1">
        <f t="array" aca="1" ref="AW1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13" s="82">
        <f>SUM(FluxoEstoqueDateTime[[#This Row],[OVO BRANCO A]:[OVO BRANCO JUMBO]])</f>
        <v>36.333333333333329</v>
      </c>
    </row>
    <row r="114" spans="1:50" x14ac:dyDescent="0.25">
      <c r="A114" s="4" t="s">
        <v>20</v>
      </c>
      <c r="B114" s="55" t="s">
        <v>13</v>
      </c>
      <c r="C114" s="5">
        <v>11</v>
      </c>
      <c r="D114" s="56">
        <v>20</v>
      </c>
      <c r="E114" s="56">
        <v>220</v>
      </c>
      <c r="F114" s="157">
        <v>46208</v>
      </c>
      <c r="G114" s="4" t="s">
        <v>93</v>
      </c>
      <c r="H114" s="4" t="s">
        <v>149</v>
      </c>
      <c r="I114" s="153">
        <v>45.83</v>
      </c>
      <c r="J114" s="12">
        <v>0.2083333333333332</v>
      </c>
      <c r="Z114" s="116">
        <f t="shared" si="4"/>
        <v>46120</v>
      </c>
      <c r="AA11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</v>
      </c>
      <c r="AB11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11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11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</v>
      </c>
      <c r="AE11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11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</v>
      </c>
      <c r="AG11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35.681454020478917</v>
      </c>
      <c r="AH114" s="116">
        <f t="shared" si="5"/>
        <v>46120</v>
      </c>
      <c r="AI114" s="1" t="str" cm="1">
        <f t="array" ref="AI114">IFERROR(_xlfn.IFS(AQ114="","Sem Produto",AND(AQ114/(AA114/12)&gt;0,AQ114/(AA114/12)&lt;=2),"Acabando",AND(AQ114/(AA114/12)&gt;2,AQ114/(AA114/12)&lt;=3),"Fazer Pedido",AND(AQ114/(AA114/12)&gt;3,AQ114/(AA114/12)&lt;=7),"OK",AND(AQ114/(AA114/12)&gt;7,AQ114/(AA114/12)&lt;=14),"Abaixar Preço",AND(AQ114/(AA114/12)&gt;14,AQ114/(AA114/12)&lt;=20),"Estabilizando",AQ114/(AA114/12)&gt;20,"Instavel"),"Instavel")</f>
        <v>Abaixar Preço</v>
      </c>
      <c r="AJ114" s="1" t="str" cm="1">
        <f t="array" ref="AJ114">IFERROR(_xlfn.IFS(AR114="","Sem Produto",AND(AR114/(AB114/12)&gt;0,AR114/(AB114/12)&lt;=2),"Acabando",AND(AR114/(AB114/12)&gt;2,AR114/(AB114/12)&lt;=3),"Fazer Pedido",AND(AR114/(AB114/12)&gt;3,AR114/(AB114/12)&lt;=7),"OK",AND(AR114/(AB114/12)&gt;7,AR114/(AB114/12)&lt;=14),"Abaixar Preço",AND(AR114/(AB114/12)&gt;14,AR114/(AB114/12)&lt;=20),"Estabilizando",AR114/(AB114/12)&gt;20,"Instavel"),"Instavel")</f>
        <v>Instavel</v>
      </c>
      <c r="AK114" s="1" t="str" cm="1">
        <f t="array" ref="AK114">IFERROR(_xlfn.IFS(AS114="","Sem Produto",AND(AS114/(AC114/12)&gt;0,AS114/(AC114/12)&lt;=2),"Acabando",AND(AS114/(AC114/12)&gt;2,AS114/(AC114/12)&lt;=3),"Fazer Pedido",AND(AS114/(AC114/12)&gt;3,AS114/(AC114/12)&lt;=7),"OK",AND(AS114/(AC114/12)&gt;7,AS114/(AC114/12)&lt;=14),"Abaixar Preço",AND(AS114/(AC114/12)&gt;14,AS114/(AC114/12)&lt;=20),"Estabilizando",AS114/(AC114/12)&gt;20,"Instavel"),"Instavel")</f>
        <v>Sem Produto</v>
      </c>
      <c r="AL114" s="1" t="str" cm="1">
        <f t="array" ref="AL114">IFERROR(_xlfn.IFS(AT114="","Sem Produto",AND(AT114/(AD114/12)&gt;0,AT114/(AD114/12)&lt;=2),"Acabando",AND(AT114/(AD114/12)&gt;2,AT114/(AD114/12)&lt;=3),"Fazer Pedido",AND(AT114/(AD114/12)&gt;3,AT114/(AD114/12)&lt;=7),"OK",AND(AT114/(AD114/12)&gt;7,AT114/(AD114/12)&lt;=14),"Abaixar Preço",AND(AT114/(AD114/12)&gt;14,AT114/(AD114/12)&lt;=20),"Estabilizando",AT114/(AD114/12)&gt;20,"Instavel"),"Instavel")</f>
        <v>Estabilizando</v>
      </c>
      <c r="AM114" s="1" t="str" cm="1">
        <f t="array" ref="AM114">IFERROR(_xlfn.IFS(AU114="","Sem Produto",AND(AU114/(AE114/12)&gt;0,AU114/(AE114/12)&lt;=2),"Acabando",AND(AU114/(AE114/12)&gt;2,AU114/(AE114/12)&lt;=3),"Fazer Pedido",AND(AU114/(AE114/12)&gt;3,AU114/(AE114/12)&lt;=7),"OK",AND(AU114/(AE114/12)&gt;7,AU114/(AE114/12)&lt;=14),"Abaixar Preço",AND(AU114/(AE114/12)&gt;14,AU114/(AE114/12)&lt;=20),"Estabilizando",AU114/(AE114/12)&gt;20,"Instavel"),"Instavel")</f>
        <v>Abaixar Preço</v>
      </c>
      <c r="AN114" s="1" t="str">
        <f ca="1">IF(SUMIF(vendaAno[data],SituaçãoEstoqueFluxo[[#This Row],[data]],vendaAno[estoque])=0,"Algo errado",IF(AND(AX114/AW114&gt;0,AX114/AW114&lt;=1),"Alerta",IF(AND(AX114/AW114&gt;1,AX114/AW114&lt;=1.5),"Fazer pedido",IF(AND(AX114/AW114&gt;1.5,AX114/AW114&lt;=2),"Ok",IF(AND(AX114/AW114&gt;2,AX114/AW114&lt;=2.5),"Estabilizando",IF(AND(AX114/AW114&gt;2.5,AX114/AW114&lt;=3),"Cheio","Abaixar preço"))))))</f>
        <v>Abaixar preço</v>
      </c>
      <c r="AO114" s="82">
        <f>SUMIFS(estoque[quantidade],estoque[fornecedor],"&lt;&gt;saída",estoque[data],SituaçãoEstoqueFluxo[[#This Row],[data]])-SUMIFS(estoque[quantidade],estoque[fornecedor],"saída",estoque[data],SituaçãoEstoqueFluxo[[#This Row],[data]])</f>
        <v>311</v>
      </c>
      <c r="AP114" s="116">
        <f t="shared" si="6"/>
        <v>46120</v>
      </c>
      <c r="AQ11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11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17.75</v>
      </c>
      <c r="AS1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1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114" s="82" cm="1">
        <f t="array" aca="1" ref="AV1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24.75</v>
      </c>
      <c r="AW114" s="82" cm="1">
        <f t="array" aca="1" ref="AW1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8.25</v>
      </c>
      <c r="AX114" s="82">
        <f>SUM(FluxoEstoqueDateTime[[#This Row],[OVO BRANCO A]:[OVO BRANCO JUMBO]])</f>
        <v>39</v>
      </c>
    </row>
    <row r="115" spans="1:50" x14ac:dyDescent="0.25">
      <c r="A115" s="4" t="s">
        <v>20</v>
      </c>
      <c r="B115" s="55" t="s">
        <v>11</v>
      </c>
      <c r="C115" s="5">
        <v>1</v>
      </c>
      <c r="D115" s="56">
        <v>18</v>
      </c>
      <c r="E115" s="56">
        <v>18</v>
      </c>
      <c r="F115" s="157">
        <v>46208</v>
      </c>
      <c r="G115" s="4" t="s">
        <v>93</v>
      </c>
      <c r="H115" s="4" t="s">
        <v>149</v>
      </c>
      <c r="I115" s="153">
        <v>3.41</v>
      </c>
      <c r="J115" s="12">
        <v>0.18970478869596194</v>
      </c>
      <c r="Z115" s="116">
        <f t="shared" si="4"/>
        <v>46119</v>
      </c>
      <c r="AA11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12.285714285714286</v>
      </c>
      <c r="AB11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1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11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5.2857142857142856</v>
      </c>
      <c r="AE11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1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34.428571428571431</v>
      </c>
      <c r="AG11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35.726834984006437</v>
      </c>
      <c r="AH115" s="116">
        <f t="shared" si="5"/>
        <v>46119</v>
      </c>
      <c r="AI115" s="1" t="str" cm="1">
        <f t="array" ref="AI115">IFERROR(_xlfn.IFS(AQ115="","Sem Produto",AND(AQ115/(AA115/12)&gt;0,AQ115/(AA115/12)&lt;=2),"Acabando",AND(AQ115/(AA115/12)&gt;2,AQ115/(AA115/12)&lt;=3),"Fazer Pedido",AND(AQ115/(AA115/12)&gt;3,AQ115/(AA115/12)&lt;=7),"OK",AND(AQ115/(AA115/12)&gt;7,AQ115/(AA115/12)&lt;=14),"Abaixar Preço",AND(AQ115/(AA115/12)&gt;14,AQ115/(AA115/12)&lt;=20),"Estabilizando",AQ115/(AA115/12)&gt;20,"Instavel"),"Instavel")</f>
        <v>Acabando</v>
      </c>
      <c r="AJ115" s="1" t="str" cm="1">
        <f t="array" ref="AJ115">IFERROR(_xlfn.IFS(AR115="","Sem Produto",AND(AR115/(AB115/12)&gt;0,AR115/(AB115/12)&lt;=2),"Acabando",AND(AR115/(AB115/12)&gt;2,AR115/(AB115/12)&lt;=3),"Fazer Pedido",AND(AR115/(AB115/12)&gt;3,AR115/(AB115/12)&lt;=7),"OK",AND(AR115/(AB115/12)&gt;7,AR115/(AB115/12)&lt;=14),"Abaixar Preço",AND(AR115/(AB115/12)&gt;14,AR115/(AB115/12)&lt;=20),"Estabilizando",AR115/(AB115/12)&gt;20,"Instavel"),"Instavel")</f>
        <v>Acabando</v>
      </c>
      <c r="AK115" s="1" t="str" cm="1">
        <f t="array" ref="AK115">IFERROR(_xlfn.IFS(AS115="","Sem Produto",AND(AS115/(AC115/12)&gt;0,AS115/(AC115/12)&lt;=2),"Acabando",AND(AS115/(AC115/12)&gt;2,AS115/(AC115/12)&lt;=3),"Fazer Pedido",AND(AS115/(AC115/12)&gt;3,AS115/(AC115/12)&lt;=7),"OK",AND(AS115/(AC115/12)&gt;7,AS115/(AC115/12)&lt;=14),"Abaixar Preço",AND(AS115/(AC115/12)&gt;14,AS115/(AC115/12)&lt;=20),"Estabilizando",AS115/(AC115/12)&gt;20,"Instavel"),"Instavel")</f>
        <v>Sem Produto</v>
      </c>
      <c r="AL115" s="1" t="str" cm="1">
        <f t="array" ref="AL115">IFERROR(_xlfn.IFS(AT115="","Sem Produto",AND(AT115/(AD115/12)&gt;0,AT115/(AD115/12)&lt;=2),"Acabando",AND(AT115/(AD115/12)&gt;2,AT115/(AD115/12)&lt;=3),"Fazer Pedido",AND(AT115/(AD115/12)&gt;3,AT115/(AD115/12)&lt;=7),"OK",AND(AT115/(AD115/12)&gt;7,AT115/(AD115/12)&lt;=14),"Abaixar Preço",AND(AT115/(AD115/12)&gt;14,AT115/(AD115/12)&lt;=20),"Estabilizando",AT115/(AD115/12)&gt;20,"Instavel"),"Instavel")</f>
        <v>Estabilizando</v>
      </c>
      <c r="AM115" s="1" t="str" cm="1">
        <f t="array" ref="AM115">IFERROR(_xlfn.IFS(AU115="","Sem Produto",AND(AU115/(AE115/12)&gt;0,AU115/(AE115/12)&lt;=2),"Acabando",AND(AU115/(AE115/12)&gt;2,AU115/(AE115/12)&lt;=3),"Fazer Pedido",AND(AU115/(AE115/12)&gt;3,AU115/(AE115/12)&lt;=7),"OK",AND(AU115/(AE115/12)&gt;7,AU115/(AE115/12)&lt;=14),"Abaixar Preço",AND(AU115/(AE115/12)&gt;14,AU115/(AE115/12)&lt;=20),"Estabilizando",AU115/(AE115/12)&gt;20,"Instavel"),"Instavel")</f>
        <v>Abaixar Preço</v>
      </c>
      <c r="AN115" s="1" t="str">
        <f ca="1">IF(SUMIF(vendaAno[data],SituaçãoEstoqueFluxo[[#This Row],[data]],vendaAno[estoque])=0,"Algo errado",IF(AND(AX115/AW115&gt;0,AX115/AW115&lt;=1),"Alerta",IF(AND(AX115/AW115&gt;1,AX115/AW115&lt;=1.5),"Fazer pedido",IF(AND(AX115/AW115&gt;1.5,AX115/AW115&lt;=2),"Ok",IF(AND(AX115/AW115&gt;2,AX115/AW115&lt;=2.5),"Estabilizando",IF(AND(AX115/AW115&gt;2.5,AX115/AW115&lt;=3),"Cheio","Abaixar preço"))))))</f>
        <v>Ok</v>
      </c>
      <c r="AO115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115" s="116">
        <f t="shared" si="6"/>
        <v>46119</v>
      </c>
      <c r="AQ11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0.41666666666666669</v>
      </c>
      <c r="AR11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0.66666666666666663</v>
      </c>
      <c r="AS1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6.916666666666667</v>
      </c>
      <c r="AU11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115" s="82" cm="1">
        <f t="array" aca="1" ref="AV1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25.821428571428569</v>
      </c>
      <c r="AW115" s="82" cm="1">
        <f t="array" aca="1" ref="AW1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8.6071428571428577</v>
      </c>
      <c r="AX115" s="82">
        <f>SUM(FluxoEstoqueDateTime[[#This Row],[OVO BRANCO A]:[OVO BRANCO JUMBO]])</f>
        <v>13.083333333333332</v>
      </c>
    </row>
    <row r="116" spans="1:50" x14ac:dyDescent="0.25">
      <c r="A116" s="4" t="s">
        <v>20</v>
      </c>
      <c r="B116" s="55" t="s">
        <v>10</v>
      </c>
      <c r="C116" s="5">
        <v>3</v>
      </c>
      <c r="D116" s="56">
        <v>19</v>
      </c>
      <c r="E116" s="56">
        <v>57</v>
      </c>
      <c r="F116" s="157">
        <v>46208</v>
      </c>
      <c r="G116" s="4" t="s">
        <v>93</v>
      </c>
      <c r="H116" s="4" t="s">
        <v>149</v>
      </c>
      <c r="I116" s="153">
        <v>10.75</v>
      </c>
      <c r="J116" s="12">
        <v>0.18859649122807029</v>
      </c>
      <c r="Z116" s="116">
        <f t="shared" si="4"/>
        <v>46118</v>
      </c>
      <c r="AA11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12.142857142857142</v>
      </c>
      <c r="AB11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10.142857142857142</v>
      </c>
      <c r="AC11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1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6.2857142857142856</v>
      </c>
      <c r="AE11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1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1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36.467494214180519</v>
      </c>
      <c r="AH116" s="116">
        <f t="shared" si="5"/>
        <v>46118</v>
      </c>
      <c r="AI116" s="1" t="str" cm="1">
        <f t="array" ref="AI116">IFERROR(_xlfn.IFS(AQ116="","Sem Produto",AND(AQ116/(AA116/12)&gt;0,AQ116/(AA116/12)&lt;=2),"Acabando",AND(AQ116/(AA116/12)&gt;2,AQ116/(AA116/12)&lt;=3),"Fazer Pedido",AND(AQ116/(AA116/12)&gt;3,AQ116/(AA116/12)&lt;=7),"OK",AND(AQ116/(AA116/12)&gt;7,AQ116/(AA116/12)&lt;=14),"Abaixar Preço",AND(AQ116/(AA116/12)&gt;14,AQ116/(AA116/12)&lt;=20),"Estabilizando",AQ116/(AA116/12)&gt;20,"Instavel"),"Instavel")</f>
        <v>Acabando</v>
      </c>
      <c r="AJ116" s="1" t="str" cm="1">
        <f t="array" ref="AJ116">IFERROR(_xlfn.IFS(AR116="","Sem Produto",AND(AR116/(AB116/12)&gt;0,AR116/(AB116/12)&lt;=2),"Acabando",AND(AR116/(AB116/12)&gt;2,AR116/(AB116/12)&lt;=3),"Fazer Pedido",AND(AR116/(AB116/12)&gt;3,AR116/(AB116/12)&lt;=7),"OK",AND(AR116/(AB116/12)&gt;7,AR116/(AB116/12)&lt;=14),"Abaixar Preço",AND(AR116/(AB116/12)&gt;14,AR116/(AB116/12)&lt;=20),"Estabilizando",AR116/(AB116/12)&gt;20,"Instavel"),"Instavel")</f>
        <v>Acabando</v>
      </c>
      <c r="AK116" s="1" t="str" cm="1">
        <f t="array" ref="AK116">IFERROR(_xlfn.IFS(AS116="","Sem Produto",AND(AS116/(AC116/12)&gt;0,AS116/(AC116/12)&lt;=2),"Acabando",AND(AS116/(AC116/12)&gt;2,AS116/(AC116/12)&lt;=3),"Fazer Pedido",AND(AS116/(AC116/12)&gt;3,AS116/(AC116/12)&lt;=7),"OK",AND(AS116/(AC116/12)&gt;7,AS116/(AC116/12)&lt;=14),"Abaixar Preço",AND(AS116/(AC116/12)&gt;14,AS116/(AC116/12)&lt;=20),"Estabilizando",AS116/(AC116/12)&gt;20,"Instavel"),"Instavel")</f>
        <v>Sem Produto</v>
      </c>
      <c r="AL116" s="1" t="str" cm="1">
        <f t="array" ref="AL116">IFERROR(_xlfn.IFS(AT116="","Sem Produto",AND(AT116/(AD116/12)&gt;0,AT116/(AD116/12)&lt;=2),"Acabando",AND(AT116/(AD116/12)&gt;2,AT116/(AD116/12)&lt;=3),"Fazer Pedido",AND(AT116/(AD116/12)&gt;3,AT116/(AD116/12)&lt;=7),"OK",AND(AT116/(AD116/12)&gt;7,AT116/(AD116/12)&lt;=14),"Abaixar Preço",AND(AT116/(AD116/12)&gt;14,AT116/(AD116/12)&lt;=20),"Estabilizando",AT116/(AD116/12)&gt;20,"Instavel"),"Instavel")</f>
        <v>Abaixar Preço</v>
      </c>
      <c r="AM116" s="1" t="str" cm="1">
        <f t="array" ref="AM116">IFERROR(_xlfn.IFS(AU116="","Sem Produto",AND(AU116/(AE116/12)&gt;0,AU116/(AE116/12)&lt;=2),"Acabando",AND(AU116/(AE116/12)&gt;2,AU116/(AE116/12)&lt;=3),"Fazer Pedido",AND(AU116/(AE116/12)&gt;3,AU116/(AE116/12)&lt;=7),"OK",AND(AU116/(AE116/12)&gt;7,AU116/(AE116/12)&lt;=14),"Abaixar Preço",AND(AU116/(AE116/12)&gt;14,AU116/(AE116/12)&lt;=20),"Estabilizando",AU116/(AE116/12)&gt;20,"Instavel"),"Instavel")</f>
        <v>Abaixar Preço</v>
      </c>
      <c r="AN116" s="1" t="str">
        <f ca="1">IF(SUMIF(vendaAno[data],SituaçãoEstoqueFluxo[[#This Row],[data]],vendaAno[estoque])=0,"Algo errado",IF(AND(AX116/AW116&gt;0,AX116/AW116&lt;=1),"Alerta",IF(AND(AX116/AW116&gt;1,AX116/AW116&lt;=1.5),"Fazer pedido",IF(AND(AX116/AW116&gt;1.5,AX116/AW116&lt;=2),"Ok",IF(AND(AX116/AW116&gt;2,AX116/AW116&lt;=2.5),"Estabilizando",IF(AND(AX116/AW116&gt;2.5,AX116/AW116&lt;=3),"Cheio","Abaixar preço"))))))</f>
        <v>Ok</v>
      </c>
      <c r="AO116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16" s="116">
        <f t="shared" si="6"/>
        <v>46118</v>
      </c>
      <c r="AQ11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1.0833333333333333</v>
      </c>
      <c r="AR11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1.25</v>
      </c>
      <c r="AS1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7.166666666666667</v>
      </c>
      <c r="AU116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16" s="82" cm="1">
        <f t="array" aca="1" ref="AV1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16" s="82" cm="1">
        <f t="array" aca="1" ref="AW1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16" s="82">
        <f>SUM(FluxoEstoqueDateTime[[#This Row],[OVO BRANCO A]:[OVO BRANCO JUMBO]])</f>
        <v>15.166666666666668</v>
      </c>
    </row>
    <row r="117" spans="1:50" x14ac:dyDescent="0.25">
      <c r="A117" s="4" t="s">
        <v>20</v>
      </c>
      <c r="B117" s="55" t="s">
        <v>14</v>
      </c>
      <c r="C117" s="5">
        <v>7</v>
      </c>
      <c r="D117" s="56">
        <v>23</v>
      </c>
      <c r="E117" s="56">
        <v>161</v>
      </c>
      <c r="F117" s="157">
        <v>46207</v>
      </c>
      <c r="G117" s="4" t="s">
        <v>92</v>
      </c>
      <c r="H117" s="4" t="s">
        <v>149</v>
      </c>
      <c r="I117" s="153">
        <v>47.24</v>
      </c>
      <c r="J117" s="12">
        <v>0.29339300937766399</v>
      </c>
      <c r="Z117" s="116">
        <f t="shared" si="4"/>
        <v>46117</v>
      </c>
      <c r="AA11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12.428571428571429</v>
      </c>
      <c r="AB11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1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3.1428571428571428</v>
      </c>
      <c r="AD11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1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1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1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36.965237790573688</v>
      </c>
      <c r="AH117" s="116">
        <f t="shared" si="5"/>
        <v>46117</v>
      </c>
      <c r="AI117" s="1" t="str" cm="1">
        <f t="array" ref="AI117">IFERROR(_xlfn.IFS(AQ117="","Sem Produto",AND(AQ117/(AA117/12)&gt;0,AQ117/(AA117/12)&lt;=2),"Acabando",AND(AQ117/(AA117/12)&gt;2,AQ117/(AA117/12)&lt;=3),"Fazer Pedido",AND(AQ117/(AA117/12)&gt;3,AQ117/(AA117/12)&lt;=7),"OK",AND(AQ117/(AA117/12)&gt;7,AQ117/(AA117/12)&lt;=14),"Abaixar Preço",AND(AQ117/(AA117/12)&gt;14,AQ117/(AA117/12)&lt;=20),"Estabilizando",AQ117/(AA117/12)&gt;20,"Instavel"),"Instavel")</f>
        <v>Acabando</v>
      </c>
      <c r="AJ117" s="1" t="str" cm="1">
        <f t="array" ref="AJ117">IFERROR(_xlfn.IFS(AR117="","Sem Produto",AND(AR117/(AB117/12)&gt;0,AR117/(AB117/12)&lt;=2),"Acabando",AND(AR117/(AB117/12)&gt;2,AR117/(AB117/12)&lt;=3),"Fazer Pedido",AND(AR117/(AB117/12)&gt;3,AR117/(AB117/12)&lt;=7),"OK",AND(AR117/(AB117/12)&gt;7,AR117/(AB117/12)&lt;=14),"Abaixar Preço",AND(AR117/(AB117/12)&gt;14,AR117/(AB117/12)&lt;=20),"Estabilizando",AR117/(AB117/12)&gt;20,"Instavel"),"Instavel")</f>
        <v>Fazer Pedido</v>
      </c>
      <c r="AK117" s="1" t="str" cm="1">
        <f t="array" ref="AK117">IFERROR(_xlfn.IFS(AS117="","Sem Produto",AND(AS117/(AC117/12)&gt;0,AS117/(AC117/12)&lt;=2),"Acabando",AND(AS117/(AC117/12)&gt;2,AS117/(AC117/12)&lt;=3),"Fazer Pedido",AND(AS117/(AC117/12)&gt;3,AS117/(AC117/12)&lt;=7),"OK",AND(AS117/(AC117/12)&gt;7,AS117/(AC117/12)&lt;=14),"Abaixar Preço",AND(AS117/(AC117/12)&gt;14,AS117/(AC117/12)&lt;=20),"Estabilizando",AS117/(AC117/12)&gt;20,"Instavel"),"Instavel")</f>
        <v>Sem Produto</v>
      </c>
      <c r="AL117" s="1" t="str" cm="1">
        <f t="array" ref="AL117">IFERROR(_xlfn.IFS(AT117="","Sem Produto",AND(AT117/(AD117/12)&gt;0,AT117/(AD117/12)&lt;=2),"Acabando",AND(AT117/(AD117/12)&gt;2,AT117/(AD117/12)&lt;=3),"Fazer Pedido",AND(AT117/(AD117/12)&gt;3,AT117/(AD117/12)&lt;=7),"OK",AND(AT117/(AD117/12)&gt;7,AT117/(AD117/12)&lt;=14),"Abaixar Preço",AND(AT117/(AD117/12)&gt;14,AT117/(AD117/12)&lt;=20),"Estabilizando",AT117/(AD117/12)&gt;20,"Instavel"),"Instavel")</f>
        <v>Estabilizando</v>
      </c>
      <c r="AM117" s="1" t="str" cm="1">
        <f t="array" ref="AM117">IFERROR(_xlfn.IFS(AU117="","Sem Produto",AND(AU117/(AE117/12)&gt;0,AU117/(AE117/12)&lt;=2),"Acabando",AND(AU117/(AE117/12)&gt;2,AU117/(AE117/12)&lt;=3),"Fazer Pedido",AND(AU117/(AE117/12)&gt;3,AU117/(AE117/12)&lt;=7),"OK",AND(AU117/(AE117/12)&gt;7,AU117/(AE117/12)&lt;=14),"Abaixar Preço",AND(AU117/(AE117/12)&gt;14,AU117/(AE117/12)&lt;=20),"Estabilizando",AU117/(AE117/12)&gt;20,"Instavel"),"Instavel")</f>
        <v>Abaixar Preço</v>
      </c>
      <c r="AN117" s="1" t="str">
        <f ca="1">IF(SUMIF(vendaAno[data],SituaçãoEstoqueFluxo[[#This Row],[data]],vendaAno[estoque])=0,"Algo errado",IF(AND(AX117/AW117&gt;0,AX117/AW117&lt;=1),"Alerta",IF(AND(AX117/AW117&gt;1,AX117/AW117&lt;=1.5),"Fazer pedido",IF(AND(AX117/AW117&gt;1.5,AX117/AW117&lt;=2),"Ok",IF(AND(AX117/AW117&gt;2,AX117/AW117&lt;=2.5),"Estabilizando",IF(AND(AX117/AW117&gt;2.5,AX117/AW117&lt;=3),"Cheio","Abaixar preço"))))))</f>
        <v>Ok</v>
      </c>
      <c r="AO117" s="82">
        <f>SUMIFS(estoque[quantidade],estoque[fornecedor],"&lt;&gt;saída",estoque[data],SituaçãoEstoqueFluxo[[#This Row],[data]])-SUMIFS(estoque[quantidade],estoque[fornecedor],"saída",estoque[data],SituaçãoEstoqueFluxo[[#This Row],[data]])</f>
        <v>-25</v>
      </c>
      <c r="AP117" s="116">
        <f t="shared" si="6"/>
        <v>46117</v>
      </c>
      <c r="AQ11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1.5833333333333333</v>
      </c>
      <c r="AR11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1.6666666666666667</v>
      </c>
      <c r="AS1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7.916666666666667</v>
      </c>
      <c r="AU117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117" s="82" cm="1">
        <f t="array" aca="1" ref="AV1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17" s="82" cm="1">
        <f t="array" aca="1" ref="AW1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17" s="82">
        <f>SUM(FluxoEstoqueDateTime[[#This Row],[OVO BRANCO A]:[OVO BRANCO JUMBO]])</f>
        <v>17.333333333333336</v>
      </c>
    </row>
    <row r="118" spans="1:50" x14ac:dyDescent="0.25">
      <c r="A118" s="4" t="s">
        <v>20</v>
      </c>
      <c r="B118" s="55" t="s">
        <v>13</v>
      </c>
      <c r="C118" s="5">
        <v>10</v>
      </c>
      <c r="D118" s="56">
        <v>20</v>
      </c>
      <c r="E118" s="56">
        <v>194</v>
      </c>
      <c r="F118" s="157">
        <v>46207</v>
      </c>
      <c r="G118" s="4" t="s">
        <v>92</v>
      </c>
      <c r="H118" s="4" t="s">
        <v>149</v>
      </c>
      <c r="I118" s="153">
        <v>35.67</v>
      </c>
      <c r="J118" s="12">
        <v>0.18384879725085906</v>
      </c>
      <c r="Z118" s="116">
        <f t="shared" si="4"/>
        <v>46116</v>
      </c>
      <c r="AA11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11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12.428571428571429</v>
      </c>
      <c r="AC11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</v>
      </c>
      <c r="AD11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1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5.7142857142857144</v>
      </c>
      <c r="AF11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</v>
      </c>
      <c r="AG11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37.784871227928129</v>
      </c>
      <c r="AH118" s="116">
        <f t="shared" si="5"/>
        <v>46116</v>
      </c>
      <c r="AI118" s="1" t="str" cm="1">
        <f t="array" ref="AI118">IFERROR(_xlfn.IFS(AQ118="","Sem Produto",AND(AQ118/(AA118/12)&gt;0,AQ118/(AA118/12)&lt;=2),"Acabando",AND(AQ118/(AA118/12)&gt;2,AQ118/(AA118/12)&lt;=3),"Fazer Pedido",AND(AQ118/(AA118/12)&gt;3,AQ118/(AA118/12)&lt;=7),"OK",AND(AQ118/(AA118/12)&gt;7,AQ118/(AA118/12)&lt;=14),"Abaixar Preço",AND(AQ118/(AA118/12)&gt;14,AQ118/(AA118/12)&lt;=20),"Estabilizando",AQ118/(AA118/12)&gt;20,"Instavel"),"Instavel")</f>
        <v>Fazer Pedido</v>
      </c>
      <c r="AJ118" s="1" t="str" cm="1">
        <f t="array" ref="AJ118">IFERROR(_xlfn.IFS(AR118="","Sem Produto",AND(AR118/(AB118/12)&gt;0,AR118/(AB118/12)&lt;=2),"Acabando",AND(AR118/(AB118/12)&gt;2,AR118/(AB118/12)&lt;=3),"Fazer Pedido",AND(AR118/(AB118/12)&gt;3,AR118/(AB118/12)&lt;=7),"OK",AND(AR118/(AB118/12)&gt;7,AR118/(AB118/12)&lt;=14),"Abaixar Preço",AND(AR118/(AB118/12)&gt;14,AR118/(AB118/12)&lt;=20),"Estabilizando",AR118/(AB118/12)&gt;20,"Instavel"),"Instavel")</f>
        <v>Acabando</v>
      </c>
      <c r="AK118" s="1" t="str" cm="1">
        <f t="array" ref="AK118">IFERROR(_xlfn.IFS(AS118="","Sem Produto",AND(AS118/(AC118/12)&gt;0,AS118/(AC118/12)&lt;=2),"Acabando",AND(AS118/(AC118/12)&gt;2,AS118/(AC118/12)&lt;=3),"Fazer Pedido",AND(AS118/(AC118/12)&gt;3,AS118/(AC118/12)&lt;=7),"OK",AND(AS118/(AC118/12)&gt;7,AS118/(AC118/12)&lt;=14),"Abaixar Preço",AND(AS118/(AC118/12)&gt;14,AS118/(AC118/12)&lt;=20),"Estabilizando",AS118/(AC118/12)&gt;20,"Instavel"),"Instavel")</f>
        <v>Sem Produto</v>
      </c>
      <c r="AL118" s="1" t="str" cm="1">
        <f t="array" ref="AL118">IFERROR(_xlfn.IFS(AT118="","Sem Produto",AND(AT118/(AD118/12)&gt;0,AT118/(AD118/12)&lt;=2),"Acabando",AND(AT118/(AD118/12)&gt;2,AT118/(AD118/12)&lt;=3),"Fazer Pedido",AND(AT118/(AD118/12)&gt;3,AT118/(AD118/12)&lt;=7),"OK",AND(AT118/(AD118/12)&gt;7,AT118/(AD118/12)&lt;=14),"Abaixar Preço",AND(AT118/(AD118/12)&gt;14,AT118/(AD118/12)&lt;=20),"Estabilizando",AT118/(AD118/12)&gt;20,"Instavel"),"Instavel")</f>
        <v>Estabilizando</v>
      </c>
      <c r="AM118" s="1" t="str" cm="1">
        <f t="array" ref="AM118">IFERROR(_xlfn.IFS(AU118="","Sem Produto",AND(AU118/(AE118/12)&gt;0,AU118/(AE118/12)&lt;=2),"Acabando",AND(AU118/(AE118/12)&gt;2,AU118/(AE118/12)&lt;=3),"Fazer Pedido",AND(AU118/(AE118/12)&gt;3,AU118/(AE118/12)&lt;=7),"OK",AND(AU118/(AE118/12)&gt;7,AU118/(AE118/12)&lt;=14),"Abaixar Preço",AND(AU118/(AE118/12)&gt;14,AU118/(AE118/12)&lt;=20),"Estabilizando",AU118/(AE118/12)&gt;20,"Instavel"),"Instavel")</f>
        <v>Abaixar Preço</v>
      </c>
      <c r="AN118" s="1" t="str">
        <f ca="1">IF(SUMIF(vendaAno[data],SituaçãoEstoqueFluxo[[#This Row],[data]],vendaAno[estoque])=0,"Algo errado",IF(AND(AX118/AW118&gt;0,AX118/AW118&lt;=1),"Alerta",IF(AND(AX118/AW118&gt;1,AX118/AW118&lt;=1.5),"Fazer pedido",IF(AND(AX118/AW118&gt;1.5,AX118/AW118&lt;=2),"Ok",IF(AND(AX118/AW118&gt;2,AX118/AW118&lt;=2.5),"Estabilizando",IF(AND(AX118/AW118&gt;2.5,AX118/AW118&lt;=3),"Cheio","Abaixar preço"))))))</f>
        <v>Ok</v>
      </c>
      <c r="AO118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118" s="116">
        <f t="shared" si="6"/>
        <v>46116</v>
      </c>
      <c r="AQ11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2.4166666666666665</v>
      </c>
      <c r="AR11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</v>
      </c>
      <c r="AS1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8.3333333333333339</v>
      </c>
      <c r="AU118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6.666666666666667</v>
      </c>
      <c r="AV118" s="82" cm="1">
        <f t="array" aca="1" ref="AV1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</v>
      </c>
      <c r="AW118" s="82" cm="1">
        <f t="array" aca="1" ref="AW1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</v>
      </c>
      <c r="AX118" s="82">
        <f>SUM(FluxoEstoqueDateTime[[#This Row],[OVO BRANCO A]:[OVO BRANCO JUMBO]])</f>
        <v>19.416666666666668</v>
      </c>
    </row>
    <row r="119" spans="1:50" x14ac:dyDescent="0.25">
      <c r="A119" s="4" t="s">
        <v>20</v>
      </c>
      <c r="B119" s="55" t="s">
        <v>11</v>
      </c>
      <c r="C119" s="5">
        <v>4</v>
      </c>
      <c r="D119" s="56">
        <v>18</v>
      </c>
      <c r="E119" s="56">
        <v>72</v>
      </c>
      <c r="F119" s="157">
        <v>46207</v>
      </c>
      <c r="G119" s="4" t="s">
        <v>92</v>
      </c>
      <c r="H119" s="4" t="s">
        <v>149</v>
      </c>
      <c r="I119" s="153">
        <v>13.66</v>
      </c>
      <c r="J119" s="12">
        <v>0.18970478869596194</v>
      </c>
      <c r="Z119" s="116">
        <f t="shared" si="4"/>
        <v>46115</v>
      </c>
      <c r="AA11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11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1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1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1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1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</v>
      </c>
      <c r="AG11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39.320320280759439</v>
      </c>
      <c r="AH119" s="116">
        <f t="shared" si="5"/>
        <v>46115</v>
      </c>
      <c r="AI119" s="1" t="str" cm="1">
        <f t="array" ref="AI119">IFERROR(_xlfn.IFS(AQ119="","Sem Produto",AND(AQ119/(AA119/12)&gt;0,AQ119/(AA119/12)&lt;=2),"Acabando",AND(AQ119/(AA119/12)&gt;2,AQ119/(AA119/12)&lt;=3),"Fazer Pedido",AND(AQ119/(AA119/12)&gt;3,AQ119/(AA119/12)&lt;=7),"OK",AND(AQ119/(AA119/12)&gt;7,AQ119/(AA119/12)&lt;=14),"Abaixar Preço",AND(AQ119/(AA119/12)&gt;14,AQ119/(AA119/12)&lt;=20),"Estabilizando",AQ119/(AA119/12)&gt;20,"Instavel"),"Instavel")</f>
        <v>OK</v>
      </c>
      <c r="AJ119" s="1" t="str" cm="1">
        <f t="array" ref="AJ119">IFERROR(_xlfn.IFS(AR119="","Sem Produto",AND(AR119/(AB119/12)&gt;0,AR119/(AB119/12)&lt;=2),"Acabando",AND(AR119/(AB119/12)&gt;2,AR119/(AB119/12)&lt;=3),"Fazer Pedido",AND(AR119/(AB119/12)&gt;3,AR119/(AB119/12)&lt;=7),"OK",AND(AR119/(AB119/12)&gt;7,AR119/(AB119/12)&lt;=14),"Abaixar Preço",AND(AR119/(AB119/12)&gt;14,AR119/(AB119/12)&lt;=20),"Estabilizando",AR119/(AB119/12)&gt;20,"Instavel"),"Instavel")</f>
        <v>Fazer Pedido</v>
      </c>
      <c r="AK119" s="1" t="str" cm="1">
        <f t="array" ref="AK119">IFERROR(_xlfn.IFS(AS119="","Sem Produto",AND(AS119/(AC119/12)&gt;0,AS119/(AC119/12)&lt;=2),"Acabando",AND(AS119/(AC119/12)&gt;2,AS119/(AC119/12)&lt;=3),"Fazer Pedido",AND(AS119/(AC119/12)&gt;3,AS119/(AC119/12)&lt;=7),"OK",AND(AS119/(AC119/12)&gt;7,AS119/(AC119/12)&lt;=14),"Abaixar Preço",AND(AS119/(AC119/12)&gt;14,AS119/(AC119/12)&lt;=20),"Estabilizando",AS119/(AC119/12)&gt;20,"Instavel"),"Instavel")</f>
        <v>Sem Produto</v>
      </c>
      <c r="AL119" s="1" t="str" cm="1">
        <f t="array" ref="AL119">IFERROR(_xlfn.IFS(AT119="","Sem Produto",AND(AT119/(AD119/12)&gt;0,AT119/(AD119/12)&lt;=2),"Acabando",AND(AT119/(AD119/12)&gt;2,AT119/(AD119/12)&lt;=3),"Fazer Pedido",AND(AT119/(AD119/12)&gt;3,AT119/(AD119/12)&lt;=7),"OK",AND(AT119/(AD119/12)&gt;7,AT119/(AD119/12)&lt;=14),"Abaixar Preço",AND(AT119/(AD119/12)&gt;14,AT119/(AD119/12)&lt;=20),"Estabilizando",AT119/(AD119/12)&gt;20,"Instavel"),"Instavel")</f>
        <v>Estabilizando</v>
      </c>
      <c r="AM119" s="1" t="str" cm="1">
        <f t="array" ref="AM119">IFERROR(_xlfn.IFS(AU119="","Sem Produto",AND(AU119/(AE119/12)&gt;0,AU119/(AE119/12)&lt;=2),"Acabando",AND(AU119/(AE119/12)&gt;2,AU119/(AE119/12)&lt;=3),"Fazer Pedido",AND(AU119/(AE119/12)&gt;3,AU119/(AE119/12)&lt;=7),"OK",AND(AU119/(AE119/12)&gt;7,AU119/(AE119/12)&lt;=14),"Abaixar Preço",AND(AU119/(AE119/12)&gt;14,AU119/(AE119/12)&lt;=20),"Estabilizando",AU119/(AE119/12)&gt;20,"Instavel"),"Instavel")</f>
        <v>Estabilizando</v>
      </c>
      <c r="AN119" s="1" t="str">
        <f ca="1">IF(SUMIF(vendaAno[data],SituaçãoEstoqueFluxo[[#This Row],[data]],vendaAno[estoque])=0,"Algo errado",IF(AND(AX119/AW119&gt;0,AX119/AW119&lt;=1),"Alerta",IF(AND(AX119/AW119&gt;1,AX119/AW119&lt;=1.5),"Fazer pedido",IF(AND(AX119/AW119&gt;1.5,AX119/AW119&lt;=2),"Ok",IF(AND(AX119/AW119&gt;2,AX119/AW119&lt;=2.5),"Estabilizando",IF(AND(AX119/AW119&gt;2.5,AX119/AW119&lt;=3),"Cheio","Abaixar preço"))))))</f>
        <v>Estabilizando</v>
      </c>
      <c r="AO119" s="82">
        <f>SUMIFS(estoque[quantidade],estoque[fornecedor],"&lt;&gt;saída",estoque[data],SituaçãoEstoqueFluxo[[#This Row],[data]])-SUMIFS(estoque[quantidade],estoque[fornecedor],"saída",estoque[data],SituaçãoEstoqueFluxo[[#This Row],[data]])</f>
        <v>-58</v>
      </c>
      <c r="AP119" s="116">
        <f t="shared" si="6"/>
        <v>46115</v>
      </c>
      <c r="AQ11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11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2.4166666666666665</v>
      </c>
      <c r="AS1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1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119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7.166666666666667</v>
      </c>
      <c r="AV119" s="82" cm="1">
        <f t="array" aca="1" ref="AV1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30.749999999999996</v>
      </c>
      <c r="AW119" s="82" cm="1">
        <f t="array" aca="1" ref="AW1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10.25</v>
      </c>
      <c r="AX119" s="82">
        <f>SUM(FluxoEstoqueDateTime[[#This Row],[OVO BRANCO A]:[OVO BRANCO JUMBO]])</f>
        <v>21.083333333333332</v>
      </c>
    </row>
    <row r="120" spans="1:50" x14ac:dyDescent="0.25">
      <c r="A120" s="4" t="s">
        <v>20</v>
      </c>
      <c r="B120" s="55" t="s">
        <v>10</v>
      </c>
      <c r="C120" s="5">
        <v>26</v>
      </c>
      <c r="D120" s="56">
        <v>19</v>
      </c>
      <c r="E120" s="56">
        <v>494</v>
      </c>
      <c r="F120" s="157">
        <v>46207</v>
      </c>
      <c r="G120" s="4" t="s">
        <v>92</v>
      </c>
      <c r="H120" s="4" t="s">
        <v>149</v>
      </c>
      <c r="I120" s="153">
        <v>93.17</v>
      </c>
      <c r="J120" s="12">
        <v>0.18859649122807029</v>
      </c>
      <c r="Z120" s="116">
        <f t="shared" si="4"/>
        <v>46114</v>
      </c>
      <c r="AA12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9.8571428571428577</v>
      </c>
      <c r="AB12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14.857142857142858</v>
      </c>
      <c r="AC12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2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</v>
      </c>
      <c r="AE12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2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39.142857142857146</v>
      </c>
      <c r="AG12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40.425273658943496</v>
      </c>
      <c r="AH120" s="116">
        <f t="shared" si="5"/>
        <v>46114</v>
      </c>
      <c r="AI120" s="1" t="str" cm="1">
        <f t="array" ref="AI120">IFERROR(_xlfn.IFS(AQ120="","Sem Produto",AND(AQ120/(AA120/12)&gt;0,AQ120/(AA120/12)&lt;=2),"Acabando",AND(AQ120/(AA120/12)&gt;2,AQ120/(AA120/12)&lt;=3),"Fazer Pedido",AND(AQ120/(AA120/12)&gt;3,AQ120/(AA120/12)&lt;=7),"OK",AND(AQ120/(AA120/12)&gt;7,AQ120/(AA120/12)&lt;=14),"Abaixar Preço",AND(AQ120/(AA120/12)&gt;14,AQ120/(AA120/12)&lt;=20),"Estabilizando",AQ120/(AA120/12)&gt;20,"Instavel"),"Instavel")</f>
        <v>OK</v>
      </c>
      <c r="AJ120" s="1" t="str" cm="1">
        <f t="array" ref="AJ120">IFERROR(_xlfn.IFS(AR120="","Sem Produto",AND(AR120/(AB120/12)&gt;0,AR120/(AB120/12)&lt;=2),"Acabando",AND(AR120/(AB120/12)&gt;2,AR120/(AB120/12)&lt;=3),"Fazer Pedido",AND(AR120/(AB120/12)&gt;3,AR120/(AB120/12)&lt;=7),"OK",AND(AR120/(AB120/12)&gt;7,AR120/(AB120/12)&lt;=14),"Abaixar Preço",AND(AR120/(AB120/12)&gt;14,AR120/(AB120/12)&lt;=20),"Estabilizando",AR120/(AB120/12)&gt;20,"Instavel"),"Instavel")</f>
        <v>Fazer Pedido</v>
      </c>
      <c r="AK120" s="1" t="str" cm="1">
        <f t="array" ref="AK120">IFERROR(_xlfn.IFS(AS120="","Sem Produto",AND(AS120/(AC120/12)&gt;0,AS120/(AC120/12)&lt;=2),"Acabando",AND(AS120/(AC120/12)&gt;2,AS120/(AC120/12)&lt;=3),"Fazer Pedido",AND(AS120/(AC120/12)&gt;3,AS120/(AC120/12)&lt;=7),"OK",AND(AS120/(AC120/12)&gt;7,AS120/(AC120/12)&lt;=14),"Abaixar Preço",AND(AS120/(AC120/12)&gt;14,AS120/(AC120/12)&lt;=20),"Estabilizando",AS120/(AC120/12)&gt;20,"Instavel"),"Instavel")</f>
        <v>Sem Produto</v>
      </c>
      <c r="AL120" s="1" t="str" cm="1">
        <f t="array" ref="AL120">IFERROR(_xlfn.IFS(AT120="","Sem Produto",AND(AT120/(AD120/12)&gt;0,AT120/(AD120/12)&lt;=2),"Acabando",AND(AT120/(AD120/12)&gt;2,AT120/(AD120/12)&lt;=3),"Fazer Pedido",AND(AT120/(AD120/12)&gt;3,AT120/(AD120/12)&lt;=7),"OK",AND(AT120/(AD120/12)&gt;7,AT120/(AD120/12)&lt;=14),"Abaixar Preço",AND(AT120/(AD120/12)&gt;14,AT120/(AD120/12)&lt;=20),"Estabilizando",AT120/(AD120/12)&gt;20,"Instavel"),"Instavel")</f>
        <v>Estabilizando</v>
      </c>
      <c r="AM120" s="1" t="str" cm="1">
        <f t="array" ref="AM120">IFERROR(_xlfn.IFS(AU120="","Sem Produto",AND(AU120/(AE120/12)&gt;0,AU120/(AE120/12)&lt;=2),"Acabando",AND(AU120/(AE120/12)&gt;2,AU120/(AE120/12)&lt;=3),"Fazer Pedido",AND(AU120/(AE120/12)&gt;3,AU120/(AE120/12)&lt;=7),"OK",AND(AU120/(AE120/12)&gt;7,AU120/(AE120/12)&lt;=14),"Abaixar Preço",AND(AU120/(AE120/12)&gt;14,AU120/(AE120/12)&lt;=20),"Estabilizando",AU120/(AE120/12)&gt;20,"Instavel"),"Instavel")</f>
        <v>Instavel</v>
      </c>
      <c r="AN120" s="1" t="str">
        <f ca="1">IF(SUMIF(vendaAno[data],SituaçãoEstoqueFluxo[[#This Row],[data]],vendaAno[estoque])=0,"Algo errado",IF(AND(AX120/AW120&gt;0,AX120/AW120&lt;=1),"Alerta",IF(AND(AX120/AW120&gt;1,AX120/AW120&lt;=1.5),"Fazer pedido",IF(AND(AX120/AW120&gt;1.5,AX120/AW120&lt;=2),"Ok",IF(AND(AX120/AW120&gt;2,AX120/AW120&lt;=2.5),"Estabilizando",IF(AND(AX120/AW120&gt;2.5,AX120/AW120&lt;=3),"Cheio","Abaixar preço"))))))</f>
        <v>Cheio</v>
      </c>
      <c r="AO120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120" s="116">
        <f t="shared" si="6"/>
        <v>46114</v>
      </c>
      <c r="AQ12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5.166666666666667</v>
      </c>
      <c r="AR12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3.5833333333333335</v>
      </c>
      <c r="AS1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2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120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</v>
      </c>
      <c r="AV120" s="82" cm="1">
        <f t="array" aca="1" ref="AV1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29.357142857142858</v>
      </c>
      <c r="AW120" s="82" cm="1">
        <f t="array" aca="1" ref="AW1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9.7857142857142865</v>
      </c>
      <c r="AX120" s="82">
        <f>SUM(FluxoEstoqueDateTime[[#This Row],[OVO BRANCO A]:[OVO BRANCO JUMBO]])</f>
        <v>25.916666666666664</v>
      </c>
    </row>
    <row r="121" spans="1:50" x14ac:dyDescent="0.25">
      <c r="A121" s="4" t="s">
        <v>20</v>
      </c>
      <c r="B121" s="55" t="s">
        <v>14</v>
      </c>
      <c r="C121" s="5">
        <v>9</v>
      </c>
      <c r="D121" s="56">
        <v>23</v>
      </c>
      <c r="E121" s="56">
        <v>207</v>
      </c>
      <c r="F121" s="157">
        <v>46206</v>
      </c>
      <c r="G121" s="4" t="s">
        <v>83</v>
      </c>
      <c r="H121" s="4" t="s">
        <v>149</v>
      </c>
      <c r="I121" s="153">
        <v>60.73</v>
      </c>
      <c r="J121" s="12">
        <v>0.29339300937766405</v>
      </c>
      <c r="Z121" s="116">
        <f t="shared" si="4"/>
        <v>46113</v>
      </c>
      <c r="AA12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2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2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2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7.1428571428571432</v>
      </c>
      <c r="AE12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2.7142857142857144</v>
      </c>
      <c r="AF12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2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40.400747297718084</v>
      </c>
      <c r="AH121" s="116">
        <f t="shared" si="5"/>
        <v>46113</v>
      </c>
      <c r="AI121" s="1" t="str" cm="1">
        <f t="array" ref="AI121">IFERROR(_xlfn.IFS(AQ121="","Sem Produto",AND(AQ121/(AA121/12)&gt;0,AQ121/(AA121/12)&lt;=2),"Acabando",AND(AQ121/(AA121/12)&gt;2,AQ121/(AA121/12)&lt;=3),"Fazer Pedido",AND(AQ121/(AA121/12)&gt;3,AQ121/(AA121/12)&lt;=7),"OK",AND(AQ121/(AA121/12)&gt;7,AQ121/(AA121/12)&lt;=14),"Abaixar Preço",AND(AQ121/(AA121/12)&gt;14,AQ121/(AA121/12)&lt;=20),"Estabilizando",AQ121/(AA121/12)&gt;20,"Instavel"),"Instavel")</f>
        <v>Abaixar Preço</v>
      </c>
      <c r="AJ121" s="1" t="str" cm="1">
        <f t="array" ref="AJ121">IFERROR(_xlfn.IFS(AR121="","Sem Produto",AND(AR121/(AB121/12)&gt;0,AR121/(AB121/12)&lt;=2),"Acabando",AND(AR121/(AB121/12)&gt;2,AR121/(AB121/12)&lt;=3),"Fazer Pedido",AND(AR121/(AB121/12)&gt;3,AR121/(AB121/12)&lt;=7),"OK",AND(AR121/(AB121/12)&gt;7,AR121/(AB121/12)&lt;=14),"Abaixar Preço",AND(AR121/(AB121/12)&gt;14,AR121/(AB121/12)&lt;=20),"Estabilizando",AR121/(AB121/12)&gt;20,"Instavel"),"Instavel")</f>
        <v>OK</v>
      </c>
      <c r="AK121" s="1" t="str" cm="1">
        <f t="array" ref="AK121">IFERROR(_xlfn.IFS(AS121="","Sem Produto",AND(AS121/(AC121/12)&gt;0,AS121/(AC121/12)&lt;=2),"Acabando",AND(AS121/(AC121/12)&gt;2,AS121/(AC121/12)&lt;=3),"Fazer Pedido",AND(AS121/(AC121/12)&gt;3,AS121/(AC121/12)&lt;=7),"OK",AND(AS121/(AC121/12)&gt;7,AS121/(AC121/12)&lt;=14),"Abaixar Preço",AND(AS121/(AC121/12)&gt;14,AS121/(AC121/12)&lt;=20),"Estabilizando",AS121/(AC121/12)&gt;20,"Instavel"),"Instavel")</f>
        <v>Acabando</v>
      </c>
      <c r="AL121" s="1" t="str" cm="1">
        <f t="array" ref="AL121">IFERROR(_xlfn.IFS(AT121="","Sem Produto",AND(AT121/(AD121/12)&gt;0,AT121/(AD121/12)&lt;=2),"Acabando",AND(AT121/(AD121/12)&gt;2,AT121/(AD121/12)&lt;=3),"Fazer Pedido",AND(AT121/(AD121/12)&gt;3,AT121/(AD121/12)&lt;=7),"OK",AND(AT121/(AD121/12)&gt;7,AT121/(AD121/12)&lt;=14),"Abaixar Preço",AND(AT121/(AD121/12)&gt;14,AT121/(AD121/12)&lt;=20),"Estabilizando",AT121/(AD121/12)&gt;20,"Instavel"),"Instavel")</f>
        <v>Estabilizando</v>
      </c>
      <c r="AM121" s="1" t="str" cm="1">
        <f t="array" ref="AM121">IFERROR(_xlfn.IFS(AU121="","Sem Produto",AND(AU121/(AE121/12)&gt;0,AU121/(AE121/12)&lt;=2),"Acabando",AND(AU121/(AE121/12)&gt;2,AU121/(AE121/12)&lt;=3),"Fazer Pedido",AND(AU121/(AE121/12)&gt;3,AU121/(AE121/12)&lt;=7),"OK",AND(AU121/(AE121/12)&gt;7,AU121/(AE121/12)&lt;=14),"Abaixar Preço",AND(AU121/(AE121/12)&gt;14,AU121/(AE121/12)&lt;=20),"Estabilizando",AU121/(AE121/12)&gt;20,"Instavel"),"Instavel")</f>
        <v>Instavel</v>
      </c>
      <c r="AN121" s="1" t="str">
        <f ca="1">IF(SUMIF(vendaAno[data],SituaçãoEstoqueFluxo[[#This Row],[data]],vendaAno[estoque])=0,"Algo errado",IF(AND(AX121/AW121&gt;0,AX121/AW121&lt;=1),"Alerta",IF(AND(AX121/AW121&gt;1,AX121/AW121&lt;=1.5),"Fazer pedido",IF(AND(AX121/AW121&gt;1.5,AX121/AW121&lt;=2),"Ok",IF(AND(AX121/AW121&gt;2,AX121/AW121&lt;=2.5),"Estabilizando",IF(AND(AX121/AW121&gt;2.5,AX121/AW121&lt;=3),"Cheio","Abaixar preço"))))))</f>
        <v>Abaixar preço</v>
      </c>
      <c r="AO121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21" s="116">
        <f t="shared" si="6"/>
        <v>46113</v>
      </c>
      <c r="AQ12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2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12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0.25</v>
      </c>
      <c r="AT121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9.8333333333333339</v>
      </c>
      <c r="AU121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8.4166666666666661</v>
      </c>
      <c r="AV121" s="82" cm="1">
        <f t="array" aca="1" ref="AV1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28.071428571428573</v>
      </c>
      <c r="AW121" s="82" cm="1">
        <f t="array" aca="1" ref="AW1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21" s="82">
        <f>SUM(FluxoEstoqueDateTime[[#This Row],[OVO BRANCO A]:[OVO BRANCO JUMBO]])</f>
        <v>29.25</v>
      </c>
    </row>
    <row r="122" spans="1:50" x14ac:dyDescent="0.25">
      <c r="A122" s="4" t="s">
        <v>20</v>
      </c>
      <c r="B122" s="55" t="s">
        <v>13</v>
      </c>
      <c r="C122" s="5">
        <v>4</v>
      </c>
      <c r="D122" s="56">
        <v>20</v>
      </c>
      <c r="E122" s="56">
        <v>80</v>
      </c>
      <c r="F122" s="157">
        <v>46206</v>
      </c>
      <c r="G122" s="4" t="s">
        <v>83</v>
      </c>
      <c r="H122" s="4" t="s">
        <v>149</v>
      </c>
      <c r="I122" s="153">
        <v>16.670000000000002</v>
      </c>
      <c r="J122" s="12">
        <v>0.20833333333333331</v>
      </c>
      <c r="Z122" s="116">
        <f t="shared" si="4"/>
        <v>46112</v>
      </c>
      <c r="AA12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2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12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2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12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12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12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40.024719398860569</v>
      </c>
      <c r="AH122" s="116">
        <f t="shared" si="5"/>
        <v>46112</v>
      </c>
      <c r="AI122" s="1" t="str" cm="1">
        <f t="array" ref="AI122">IFERROR(_xlfn.IFS(AQ122="","Sem Produto",AND(AQ122/(AA122/12)&gt;0,AQ122/(AA122/12)&lt;=2),"Acabando",AND(AQ122/(AA122/12)&gt;2,AQ122/(AA122/12)&lt;=3),"Fazer Pedido",AND(AQ122/(AA122/12)&gt;3,AQ122/(AA122/12)&lt;=7),"OK",AND(AQ122/(AA122/12)&gt;7,AQ122/(AA122/12)&lt;=14),"Abaixar Preço",AND(AQ122/(AA122/12)&gt;14,AQ122/(AA122/12)&lt;=20),"Estabilizando",AQ122/(AA122/12)&gt;20,"Instavel"),"Instavel")</f>
        <v>Abaixar Preço</v>
      </c>
      <c r="AJ122" s="1" t="str" cm="1">
        <f t="array" ref="AJ122">IFERROR(_xlfn.IFS(AR122="","Sem Produto",AND(AR122/(AB122/12)&gt;0,AR122/(AB122/12)&lt;=2),"Acabando",AND(AR122/(AB122/12)&gt;2,AR122/(AB122/12)&lt;=3),"Fazer Pedido",AND(AR122/(AB122/12)&gt;3,AR122/(AB122/12)&lt;=7),"OK",AND(AR122/(AB122/12)&gt;7,AR122/(AB122/12)&lt;=14),"Abaixar Preço",AND(AR122/(AB122/12)&gt;14,AR122/(AB122/12)&lt;=20),"Estabilizando",AR122/(AB122/12)&gt;20,"Instavel"),"Instavel")</f>
        <v>OK</v>
      </c>
      <c r="AK122" s="1" t="str" cm="1">
        <f t="array" ref="AK122">IFERROR(_xlfn.IFS(AS122="","Sem Produto",AND(AS122/(AC122/12)&gt;0,AS122/(AC122/12)&lt;=2),"Acabando",AND(AS122/(AC122/12)&gt;2,AS122/(AC122/12)&lt;=3),"Fazer Pedido",AND(AS122/(AC122/12)&gt;3,AS122/(AC122/12)&lt;=7),"OK",AND(AS122/(AC122/12)&gt;7,AS122/(AC122/12)&lt;=14),"Abaixar Preço",AND(AS122/(AC122/12)&gt;14,AS122/(AC122/12)&lt;=20),"Estabilizando",AS122/(AC122/12)&gt;20,"Instavel"),"Instavel")</f>
        <v>Acabando</v>
      </c>
      <c r="AL122" s="1" t="str" cm="1">
        <f t="array" ref="AL122">IFERROR(_xlfn.IFS(AT122="","Sem Produto",AND(AT122/(AD122/12)&gt;0,AT122/(AD122/12)&lt;=2),"Acabando",AND(AT122/(AD122/12)&gt;2,AT122/(AD122/12)&lt;=3),"Fazer Pedido",AND(AT122/(AD122/12)&gt;3,AT122/(AD122/12)&lt;=7),"OK",AND(AT122/(AD122/12)&gt;7,AT122/(AD122/12)&lt;=14),"Abaixar Preço",AND(AT122/(AD122/12)&gt;14,AT122/(AD122/12)&lt;=20),"Estabilizando",AT122/(AD122/12)&gt;20,"Instavel"),"Instavel")</f>
        <v>Abaixar Preço</v>
      </c>
      <c r="AM122" s="1" t="str" cm="1">
        <f t="array" ref="AM122">IFERROR(_xlfn.IFS(AU122="","Sem Produto",AND(AU122/(AE122/12)&gt;0,AU122/(AE122/12)&lt;=2),"Acabando",AND(AU122/(AE122/12)&gt;2,AU122/(AE122/12)&lt;=3),"Fazer Pedido",AND(AU122/(AE122/12)&gt;3,AU122/(AE122/12)&lt;=7),"OK",AND(AU122/(AE122/12)&gt;7,AU122/(AE122/12)&lt;=14),"Abaixar Preço",AND(AU122/(AE122/12)&gt;14,AU122/(AE122/12)&lt;=20),"Estabilizando",AU122/(AE122/12)&gt;20,"Instavel"),"Instavel")</f>
        <v>Instavel</v>
      </c>
      <c r="AN122" s="1" t="str">
        <f ca="1">IF(SUMIF(vendaAno[data],SituaçãoEstoqueFluxo[[#This Row],[data]],vendaAno[estoque])=0,"Algo errado",IF(AND(AX122/AW122&gt;0,AX122/AW122&lt;=1),"Alerta",IF(AND(AX122/AW122&gt;1,AX122/AW122&lt;=1.5),"Fazer pedido",IF(AND(AX122/AW122&gt;1.5,AX122/AW122&lt;=2),"Ok",IF(AND(AX122/AW122&gt;2,AX122/AW122&lt;=2.5),"Estabilizando",IF(AND(AX122/AW122&gt;2.5,AX122/AW122&lt;=3),"Cheio","Abaixar preço"))))))</f>
        <v>Abaixar preço</v>
      </c>
      <c r="AO122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22" s="116">
        <f t="shared" si="6"/>
        <v>46112</v>
      </c>
      <c r="AQ12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12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2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122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122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8.75</v>
      </c>
      <c r="AV122" s="82" cm="1">
        <f t="array" aca="1" ref="AV1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26.142857142857142</v>
      </c>
      <c r="AW122" s="82" cm="1">
        <f t="array" aca="1" ref="AW1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122" s="82">
        <f>SUM(FluxoEstoqueDateTime[[#This Row],[OVO BRANCO A]:[OVO BRANCO JUMBO]])</f>
        <v>33.166666666666664</v>
      </c>
    </row>
    <row r="123" spans="1:50" x14ac:dyDescent="0.25">
      <c r="A123" s="4" t="s">
        <v>20</v>
      </c>
      <c r="B123" s="55" t="s">
        <v>11</v>
      </c>
      <c r="C123" s="5">
        <v>7</v>
      </c>
      <c r="D123" s="56">
        <v>18</v>
      </c>
      <c r="E123" s="56">
        <v>120</v>
      </c>
      <c r="F123" s="157">
        <v>46206</v>
      </c>
      <c r="G123" s="4" t="s">
        <v>83</v>
      </c>
      <c r="H123" s="4" t="s">
        <v>149</v>
      </c>
      <c r="I123" s="153">
        <v>17.899999999999999</v>
      </c>
      <c r="J123" s="12">
        <v>0.14919002813075993</v>
      </c>
      <c r="Z123" s="116">
        <f t="shared" si="4"/>
        <v>46111</v>
      </c>
      <c r="AA12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7.8571428571428568</v>
      </c>
      <c r="AB12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10.428571428571429</v>
      </c>
      <c r="AC12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5.1428571428571432</v>
      </c>
      <c r="AD12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2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12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35.714285714285715</v>
      </c>
      <c r="AG12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41.940089043747598</v>
      </c>
      <c r="AH123" s="116">
        <f t="shared" si="5"/>
        <v>46111</v>
      </c>
      <c r="AI123" s="1" t="str" cm="1">
        <f t="array" ref="AI123">IFERROR(_xlfn.IFS(AQ123="","Sem Produto",AND(AQ123/(AA123/12)&gt;0,AQ123/(AA123/12)&lt;=2),"Acabando",AND(AQ123/(AA123/12)&gt;2,AQ123/(AA123/12)&lt;=3),"Fazer Pedido",AND(AQ123/(AA123/12)&gt;3,AQ123/(AA123/12)&lt;=7),"OK",AND(AQ123/(AA123/12)&gt;7,AQ123/(AA123/12)&lt;=14),"Abaixar Preço",AND(AQ123/(AA123/12)&gt;14,AQ123/(AA123/12)&lt;=20),"Estabilizando",AQ123/(AA123/12)&gt;20,"Instavel"),"Instavel")</f>
        <v>Abaixar Preço</v>
      </c>
      <c r="AJ123" s="1" t="str" cm="1">
        <f t="array" ref="AJ123">IFERROR(_xlfn.IFS(AR123="","Sem Produto",AND(AR123/(AB123/12)&gt;0,AR123/(AB123/12)&lt;=2),"Acabando",AND(AR123/(AB123/12)&gt;2,AR123/(AB123/12)&lt;=3),"Fazer Pedido",AND(AR123/(AB123/12)&gt;3,AR123/(AB123/12)&lt;=7),"OK",AND(AR123/(AB123/12)&gt;7,AR123/(AB123/12)&lt;=14),"Abaixar Preço",AND(AR123/(AB123/12)&gt;14,AR123/(AB123/12)&lt;=20),"Estabilizando",AR123/(AB123/12)&gt;20,"Instavel"),"Instavel")</f>
        <v>Abaixar Preço</v>
      </c>
      <c r="AK123" s="1" t="str" cm="1">
        <f t="array" ref="AK123">IFERROR(_xlfn.IFS(AS123="","Sem Produto",AND(AS123/(AC123/12)&gt;0,AS123/(AC123/12)&lt;=2),"Acabando",AND(AS123/(AC123/12)&gt;2,AS123/(AC123/12)&lt;=3),"Fazer Pedido",AND(AS123/(AC123/12)&gt;3,AS123/(AC123/12)&lt;=7),"OK",AND(AS123/(AC123/12)&gt;7,AS123/(AC123/12)&lt;=14),"Abaixar Preço",AND(AS123/(AC123/12)&gt;14,AS123/(AC123/12)&lt;=20),"Estabilizando",AS123/(AC123/12)&gt;20,"Instavel"),"Instavel")</f>
        <v>OK</v>
      </c>
      <c r="AL123" s="1" t="str" cm="1">
        <f t="array" ref="AL123">IFERROR(_xlfn.IFS(AT123="","Sem Produto",AND(AT123/(AD123/12)&gt;0,AT123/(AD123/12)&lt;=2),"Acabando",AND(AT123/(AD123/12)&gt;2,AT123/(AD123/12)&lt;=3),"Fazer Pedido",AND(AT123/(AD123/12)&gt;3,AT123/(AD123/12)&lt;=7),"OK",AND(AT123/(AD123/12)&gt;7,AT123/(AD123/12)&lt;=14),"Abaixar Preço",AND(AT123/(AD123/12)&gt;14,AT123/(AD123/12)&lt;=20),"Estabilizando",AT123/(AD123/12)&gt;20,"Instavel"),"Instavel")</f>
        <v>Abaixar Preço</v>
      </c>
      <c r="AM123" s="1" t="str" cm="1">
        <f t="array" ref="AM123">IFERROR(_xlfn.IFS(AU123="","Sem Produto",AND(AU123/(AE123/12)&gt;0,AU123/(AE123/12)&lt;=2),"Acabando",AND(AU123/(AE123/12)&gt;2,AU123/(AE123/12)&lt;=3),"Fazer Pedido",AND(AU123/(AE123/12)&gt;3,AU123/(AE123/12)&lt;=7),"OK",AND(AU123/(AE123/12)&gt;7,AU123/(AE123/12)&lt;=14),"Abaixar Preço",AND(AU123/(AE123/12)&gt;14,AU123/(AE123/12)&lt;=20),"Estabilizando",AU123/(AE123/12)&gt;20,"Instavel"),"Instavel")</f>
        <v>Instavel</v>
      </c>
      <c r="AN123" s="1" t="str">
        <f ca="1">IF(SUMIF(vendaAno[data],SituaçãoEstoqueFluxo[[#This Row],[data]],vendaAno[estoque])=0,"Algo errado",IF(AND(AX123/AW123&gt;0,AX123/AW123&lt;=1),"Alerta",IF(AND(AX123/AW123&gt;1,AX123/AW123&lt;=1.5),"Fazer pedido",IF(AND(AX123/AW123&gt;1.5,AX123/AW123&lt;=2),"Ok",IF(AND(AX123/AW123&gt;2,AX123/AW123&lt;=2.5),"Estabilizando",IF(AND(AX123/AW123&gt;2.5,AX123/AW123&lt;=3),"Cheio","Abaixar preço"))))))</f>
        <v>Abaixar preço</v>
      </c>
      <c r="AO123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23" s="116">
        <f t="shared" si="6"/>
        <v>46111</v>
      </c>
      <c r="AQ12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8.1666666666666661</v>
      </c>
      <c r="AR12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7.166666666666667</v>
      </c>
      <c r="AS12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1.4166666666666667</v>
      </c>
      <c r="AT123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10.833333333333334</v>
      </c>
      <c r="AU123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9.25</v>
      </c>
      <c r="AV123" s="82" cm="1">
        <f t="array" aca="1" ref="AV1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26.785714285714281</v>
      </c>
      <c r="AW123" s="82" cm="1">
        <f t="array" aca="1" ref="AW1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8.9285714285714288</v>
      </c>
      <c r="AX123" s="82">
        <f>SUM(FluxoEstoqueDateTime[[#This Row],[OVO BRANCO A]:[OVO BRANCO JUMBO]])</f>
        <v>36.833333333333336</v>
      </c>
    </row>
    <row r="124" spans="1:50" x14ac:dyDescent="0.25">
      <c r="A124" s="4" t="s">
        <v>20</v>
      </c>
      <c r="B124" s="55" t="s">
        <v>10</v>
      </c>
      <c r="C124" s="5">
        <v>13</v>
      </c>
      <c r="D124" s="56">
        <v>19</v>
      </c>
      <c r="E124" s="56">
        <v>241</v>
      </c>
      <c r="F124" s="157">
        <v>46206</v>
      </c>
      <c r="G124" s="4" t="s">
        <v>83</v>
      </c>
      <c r="H124" s="4" t="s">
        <v>149</v>
      </c>
      <c r="I124" s="153">
        <v>40.58</v>
      </c>
      <c r="J124" s="12">
        <v>0.16839557399723387</v>
      </c>
      <c r="Z124" s="116">
        <f t="shared" si="4"/>
        <v>46110</v>
      </c>
      <c r="AA12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2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14.142857142857142</v>
      </c>
      <c r="AC12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5.7142857142857144</v>
      </c>
      <c r="AD12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14.428571428571429</v>
      </c>
      <c r="AE12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0.5714285714285714</v>
      </c>
      <c r="AF12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42.571428571428569</v>
      </c>
      <c r="AG12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44.888925582486735</v>
      </c>
      <c r="AH124" s="116">
        <f t="shared" si="5"/>
        <v>46110</v>
      </c>
      <c r="AI124" s="1" t="str" cm="1">
        <f t="array" ref="AI124">IFERROR(_xlfn.IFS(AQ124="","Sem Produto",AND(AQ124/(AA124/12)&gt;0,AQ124/(AA124/12)&lt;=2),"Acabando",AND(AQ124/(AA124/12)&gt;2,AQ124/(AA124/12)&lt;=3),"Fazer Pedido",AND(AQ124/(AA124/12)&gt;3,AQ124/(AA124/12)&lt;=7),"OK",AND(AQ124/(AA124/12)&gt;7,AQ124/(AA124/12)&lt;=14),"Abaixar Preço",AND(AQ124/(AA124/12)&gt;14,AQ124/(AA124/12)&lt;=20),"Estabilizando",AQ124/(AA124/12)&gt;20,"Instavel"),"Instavel")</f>
        <v>Abaixar Preço</v>
      </c>
      <c r="AJ124" s="1" t="str" cm="1">
        <f t="array" ref="AJ124">IFERROR(_xlfn.IFS(AR124="","Sem Produto",AND(AR124/(AB124/12)&gt;0,AR124/(AB124/12)&lt;=2),"Acabando",AND(AR124/(AB124/12)&gt;2,AR124/(AB124/12)&lt;=3),"Fazer Pedido",AND(AR124/(AB124/12)&gt;3,AR124/(AB124/12)&lt;=7),"OK",AND(AR124/(AB124/12)&gt;7,AR124/(AB124/12)&lt;=14),"Abaixar Preço",AND(AR124/(AB124/12)&gt;14,AR124/(AB124/12)&lt;=20),"Estabilizando",AR124/(AB124/12)&gt;20,"Instavel"),"Instavel")</f>
        <v>OK</v>
      </c>
      <c r="AK124" s="1" t="str" cm="1">
        <f t="array" ref="AK124">IFERROR(_xlfn.IFS(AS124="","Sem Produto",AND(AS124/(AC124/12)&gt;0,AS124/(AC124/12)&lt;=2),"Acabando",AND(AS124/(AC124/12)&gt;2,AS124/(AC124/12)&lt;=3),"Fazer Pedido",AND(AS124/(AC124/12)&gt;3,AS124/(AC124/12)&lt;=7),"OK",AND(AS124/(AC124/12)&gt;7,AS124/(AC124/12)&lt;=14),"Abaixar Preço",AND(AS124/(AC124/12)&gt;14,AS124/(AC124/12)&lt;=20),"Estabilizando",AS124/(AC124/12)&gt;20,"Instavel"),"Instavel")</f>
        <v>OK</v>
      </c>
      <c r="AL124" s="1" t="str" cm="1">
        <f t="array" ref="AL124">IFERROR(_xlfn.IFS(AT124="","Sem Produto",AND(AT124/(AD124/12)&gt;0,AT124/(AD124/12)&lt;=2),"Acabando",AND(AT124/(AD124/12)&gt;2,AT124/(AD124/12)&lt;=3),"Fazer Pedido",AND(AT124/(AD124/12)&gt;3,AT124/(AD124/12)&lt;=7),"OK",AND(AT124/(AD124/12)&gt;7,AT124/(AD124/12)&lt;=14),"Abaixar Preço",AND(AT124/(AD124/12)&gt;14,AT124/(AD124/12)&lt;=20),"Estabilizando",AT124/(AD124/12)&gt;20,"Instavel"),"Instavel")</f>
        <v>Abaixar Preço</v>
      </c>
      <c r="AM124" s="1" t="str" cm="1">
        <f t="array" ref="AM124">IFERROR(_xlfn.IFS(AU124="","Sem Produto",AND(AU124/(AE124/12)&gt;0,AU124/(AE124/12)&lt;=2),"Acabando",AND(AU124/(AE124/12)&gt;2,AU124/(AE124/12)&lt;=3),"Fazer Pedido",AND(AU124/(AE124/12)&gt;3,AU124/(AE124/12)&lt;=7),"OK",AND(AU124/(AE124/12)&gt;7,AU124/(AE124/12)&lt;=14),"Abaixar Preço",AND(AU124/(AE124/12)&gt;14,AU124/(AE124/12)&lt;=20),"Estabilizando",AU124/(AE124/12)&gt;20,"Instavel"),"Instavel")</f>
        <v>Instavel</v>
      </c>
      <c r="AN124" s="1" t="str">
        <f ca="1">IF(SUMIF(vendaAno[data],SituaçãoEstoqueFluxo[[#This Row],[data]],vendaAno[estoque])=0,"Algo errado",IF(AND(AX124/AW124&gt;0,AX124/AW124&lt;=1),"Alerta",IF(AND(AX124/AW124&gt;1,AX124/AW124&lt;=1.5),"Fazer pedido",IF(AND(AX124/AW124&gt;1.5,AX124/AW124&lt;=2),"Ok",IF(AND(AX124/AW124&gt;2,AX124/AW124&lt;=2.5),"Estabilizando",IF(AND(AX124/AW124&gt;2.5,AX124/AW124&lt;=3),"Cheio","Abaixar preço"))))))</f>
        <v>Abaixar preço</v>
      </c>
      <c r="AO124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124" s="116">
        <f t="shared" si="6"/>
        <v>46110</v>
      </c>
      <c r="AQ12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8.8333333333333339</v>
      </c>
      <c r="AR12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7.416666666666667</v>
      </c>
      <c r="AS12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1.8333333333333333</v>
      </c>
      <c r="AT124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11.25</v>
      </c>
      <c r="AU124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9.6666666666666661</v>
      </c>
      <c r="AV124" s="82" cm="1">
        <f t="array" aca="1" ref="AV1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31.928571428571431</v>
      </c>
      <c r="AW124" s="82" cm="1">
        <f t="array" aca="1" ref="AW1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10.642857142857142</v>
      </c>
      <c r="AX124" s="82">
        <f>SUM(FluxoEstoqueDateTime[[#This Row],[OVO BRANCO A]:[OVO BRANCO JUMBO]])</f>
        <v>39</v>
      </c>
    </row>
    <row r="125" spans="1:50" x14ac:dyDescent="0.25">
      <c r="A125" s="4" t="s">
        <v>20</v>
      </c>
      <c r="B125" s="55" t="s">
        <v>14</v>
      </c>
      <c r="C125" s="5">
        <v>9</v>
      </c>
      <c r="D125" s="56">
        <v>23</v>
      </c>
      <c r="E125" s="56">
        <v>207</v>
      </c>
      <c r="F125" s="157">
        <v>46205</v>
      </c>
      <c r="G125" s="4" t="s">
        <v>294</v>
      </c>
      <c r="H125" s="4" t="s">
        <v>149</v>
      </c>
      <c r="I125" s="153">
        <v>60.73</v>
      </c>
      <c r="J125" s="12">
        <v>0.29339300937766405</v>
      </c>
      <c r="Z125" s="116">
        <f t="shared" si="4"/>
        <v>46109</v>
      </c>
      <c r="AA12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2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12.428571428571429</v>
      </c>
      <c r="AC12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2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15.142857142857142</v>
      </c>
      <c r="AE1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</v>
      </c>
      <c r="AG12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46.053167064748457</v>
      </c>
      <c r="AH125" s="116">
        <f t="shared" si="5"/>
        <v>46109</v>
      </c>
      <c r="AI125" s="1" t="str" cm="1">
        <f t="array" ref="AI125">IFERROR(_xlfn.IFS(AQ125="","Sem Produto",AND(AQ125/(AA125/12)&gt;0,AQ125/(AA125/12)&lt;=2),"Acabando",AND(AQ125/(AA125/12)&gt;2,AQ125/(AA125/12)&lt;=3),"Fazer Pedido",AND(AQ125/(AA125/12)&gt;3,AQ125/(AA125/12)&lt;=7),"OK",AND(AQ125/(AA125/12)&gt;7,AQ125/(AA125/12)&lt;=14),"Abaixar Preço",AND(AQ125/(AA125/12)&gt;14,AQ125/(AA125/12)&lt;=20),"Estabilizando",AQ125/(AA125/12)&gt;20,"Instavel"),"Instavel")</f>
        <v>Abaixar Preço</v>
      </c>
      <c r="AJ125" s="1" t="str" cm="1">
        <f t="array" ref="AJ125">IFERROR(_xlfn.IFS(AR125="","Sem Produto",AND(AR125/(AB125/12)&gt;0,AR125/(AB125/12)&lt;=2),"Acabando",AND(AR125/(AB125/12)&gt;2,AR125/(AB125/12)&lt;=3),"Fazer Pedido",AND(AR125/(AB125/12)&gt;3,AR125/(AB125/12)&lt;=7),"OK",AND(AR125/(AB125/12)&gt;7,AR125/(AB125/12)&lt;=14),"Abaixar Preço",AND(AR125/(AB125/12)&gt;14,AR125/(AB125/12)&lt;=20),"Estabilizando",AR125/(AB125/12)&gt;20,"Instavel"),"Instavel")</f>
        <v>Abaixar Preço</v>
      </c>
      <c r="AK125" s="1" t="str" cm="1">
        <f t="array" ref="AK125">IFERROR(_xlfn.IFS(AS125="","Sem Produto",AND(AS125/(AC125/12)&gt;0,AS125/(AC125/12)&lt;=2),"Acabando",AND(AS125/(AC125/12)&gt;2,AS125/(AC125/12)&lt;=3),"Fazer Pedido",AND(AS125/(AC125/12)&gt;3,AS125/(AC125/12)&lt;=7),"OK",AND(AS125/(AC125/12)&gt;7,AS125/(AC125/12)&lt;=14),"Abaixar Preço",AND(AS125/(AC125/12)&gt;14,AS125/(AC125/12)&lt;=20),"Estabilizando",AS125/(AC125/12)&gt;20,"Instavel"),"Instavel")</f>
        <v>OK</v>
      </c>
      <c r="AL125" s="1" t="str" cm="1">
        <f t="array" ref="AL125">IFERROR(_xlfn.IFS(AT125="","Sem Produto",AND(AT125/(AD125/12)&gt;0,AT125/(AD125/12)&lt;=2),"Acabando",AND(AT125/(AD125/12)&gt;2,AT125/(AD125/12)&lt;=3),"Fazer Pedido",AND(AT125/(AD125/12)&gt;3,AT125/(AD125/12)&lt;=7),"OK",AND(AT125/(AD125/12)&gt;7,AT125/(AD125/12)&lt;=14),"Abaixar Preço",AND(AT125/(AD125/12)&gt;14,AT125/(AD125/12)&lt;=20),"Estabilizando",AT125/(AD125/12)&gt;20,"Instavel"),"Instavel")</f>
        <v>Abaixar Preço</v>
      </c>
      <c r="AM125" s="1" t="str" cm="1">
        <f t="array" ref="AM125">IFERROR(_xlfn.IFS(AU125="","Sem Produto",AND(AU125/(AE125/12)&gt;0,AU125/(AE125/12)&lt;=2),"Acabando",AND(AU125/(AE125/12)&gt;2,AU125/(AE125/12)&lt;=3),"Fazer Pedido",AND(AU125/(AE125/12)&gt;3,AU125/(AE125/12)&lt;=7),"OK",AND(AU125/(AE125/12)&gt;7,AU125/(AE125/12)&lt;=14),"Abaixar Preço",AND(AU125/(AE125/12)&gt;14,AU125/(AE125/12)&lt;=20),"Estabilizando",AU125/(AE125/12)&gt;20,"Instavel"),"Instavel")</f>
        <v>Instavel</v>
      </c>
      <c r="AN125" s="1" t="str">
        <f ca="1">IF(SUMIF(vendaAno[data],SituaçãoEstoqueFluxo[[#This Row],[data]],vendaAno[estoque])=0,"Algo errado",IF(AND(AX125/AW125&gt;0,AX125/AW125&lt;=1),"Alerta",IF(AND(AX125/AW125&gt;1,AX125/AW125&lt;=1.5),"Fazer pedido",IF(AND(AX125/AW125&gt;1.5,AX125/AW125&lt;=2),"Ok",IF(AND(AX125/AW125&gt;2,AX125/AW125&lt;=2.5),"Estabilizando",IF(AND(AX125/AW125&gt;2.5,AX125/AW125&lt;=3),"Cheio","Abaixar preço"))))))</f>
        <v>Abaixar preço</v>
      </c>
      <c r="AO125" s="82">
        <f>SUMIFS(estoque[quantidade],estoque[fornecedor],"&lt;&gt;saída",estoque[data],SituaçãoEstoqueFluxo[[#This Row],[data]])-SUMIFS(estoque[quantidade],estoque[fornecedor],"saída",estoque[data],SituaçãoEstoqueFluxo[[#This Row],[data]])</f>
        <v>405</v>
      </c>
      <c r="AP125" s="116">
        <f t="shared" si="6"/>
        <v>46109</v>
      </c>
      <c r="AQ12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</v>
      </c>
      <c r="AR12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9.25</v>
      </c>
      <c r="AS12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2.3333333333333335</v>
      </c>
      <c r="AT125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12.166666666666666</v>
      </c>
      <c r="AU125" s="82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</v>
      </c>
      <c r="AV125" s="82" cm="1">
        <f t="array" aca="1" ref="AV1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30.75</v>
      </c>
      <c r="AW125" s="82" cm="1">
        <f t="array" aca="1" ref="AW1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10.25</v>
      </c>
      <c r="AX125" s="82">
        <f>SUM(FluxoEstoqueDateTime[[#This Row],[OVO BRANCO A]:[OVO BRANCO JUMBO]])</f>
        <v>42.75</v>
      </c>
    </row>
    <row r="126" spans="1:50" x14ac:dyDescent="0.25">
      <c r="A126" s="4" t="s">
        <v>20</v>
      </c>
      <c r="B126" s="55" t="s">
        <v>13</v>
      </c>
      <c r="C126" s="5">
        <v>21</v>
      </c>
      <c r="D126" s="56">
        <v>20</v>
      </c>
      <c r="E126" s="56">
        <v>420</v>
      </c>
      <c r="F126" s="157">
        <v>46205</v>
      </c>
      <c r="G126" s="4" t="s">
        <v>294</v>
      </c>
      <c r="H126" s="4" t="s">
        <v>149</v>
      </c>
      <c r="I126" s="153">
        <v>87.5</v>
      </c>
      <c r="J126" s="12">
        <v>0.20833333333333329</v>
      </c>
      <c r="Z126" s="116">
        <f t="shared" si="4"/>
        <v>46108</v>
      </c>
      <c r="AA12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2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2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2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15.571428571428571</v>
      </c>
      <c r="AE1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38.428571428571431</v>
      </c>
      <c r="AG12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45.388038198331508</v>
      </c>
      <c r="AH126" s="116">
        <f t="shared" si="5"/>
        <v>46108</v>
      </c>
      <c r="AI126" s="1" t="str" cm="1">
        <f t="array" ref="AI126">IFERROR(_xlfn.IFS(AQ126="","Sem Produto",AND(AQ126/(AA126/12)&gt;0,AQ126/(AA126/12)&lt;=2),"Acabando",AND(AQ126/(AA126/12)&gt;2,AQ126/(AA126/12)&lt;=3),"Fazer Pedido",AND(AQ126/(AA126/12)&gt;3,AQ126/(AA126/12)&lt;=7),"OK",AND(AQ126/(AA126/12)&gt;7,AQ126/(AA126/12)&lt;=14),"Abaixar Preço",AND(AQ126/(AA126/12)&gt;14,AQ126/(AA126/12)&lt;=20),"Estabilizando",AQ126/(AA126/12)&gt;20,"Instavel"),"Instavel")</f>
        <v>OK</v>
      </c>
      <c r="AJ126" s="1" t="str" cm="1">
        <f t="array" ref="AJ126">IFERROR(_xlfn.IFS(AR126="","Sem Produto",AND(AR126/(AB126/12)&gt;0,AR126/(AB126/12)&lt;=2),"Acabando",AND(AR126/(AB126/12)&gt;2,AR126/(AB126/12)&lt;=3),"Fazer Pedido",AND(AR126/(AB126/12)&gt;3,AR126/(AB126/12)&lt;=7),"OK",AND(AR126/(AB126/12)&gt;7,AR126/(AB126/12)&lt;=14),"Abaixar Preço",AND(AR126/(AB126/12)&gt;14,AR126/(AB126/12)&lt;=20),"Estabilizando",AR126/(AB126/12)&gt;20,"Instavel"),"Instavel")</f>
        <v>Acabando</v>
      </c>
      <c r="AK126" s="1" t="str" cm="1">
        <f t="array" ref="AK126">IFERROR(_xlfn.IFS(AS126="","Sem Produto",AND(AS126/(AC126/12)&gt;0,AS126/(AC126/12)&lt;=2),"Acabando",AND(AS126/(AC126/12)&gt;2,AS126/(AC126/12)&lt;=3),"Fazer Pedido",AND(AS126/(AC126/12)&gt;3,AS126/(AC126/12)&lt;=7),"OK",AND(AS126/(AC126/12)&gt;7,AS126/(AC126/12)&lt;=14),"Abaixar Preço",AND(AS126/(AC126/12)&gt;14,AS126/(AC126/12)&lt;=20),"Estabilizando",AS126/(AC126/12)&gt;20,"Instavel"),"Instavel")</f>
        <v>OK</v>
      </c>
      <c r="AL126" s="1" t="str" cm="1">
        <f t="array" ref="AL126">IFERROR(_xlfn.IFS(AT126="","Sem Produto",AND(AT126/(AD126/12)&gt;0,AT126/(AD126/12)&lt;=2),"Acabando",AND(AT126/(AD126/12)&gt;2,AT126/(AD126/12)&lt;=3),"Fazer Pedido",AND(AT126/(AD126/12)&gt;3,AT126/(AD126/12)&lt;=7),"OK",AND(AT126/(AD126/12)&gt;7,AT126/(AD126/12)&lt;=14),"Abaixar Preço",AND(AT126/(AD126/12)&gt;14,AT126/(AD126/12)&lt;=20),"Estabilizando",AT126/(AD126/12)&gt;20,"Instavel"),"Instavel")</f>
        <v>Acabando</v>
      </c>
      <c r="AM126" s="1" t="str" cm="1">
        <f t="array" ref="AM126">IFERROR(_xlfn.IFS(AU126="","Sem Produto",AND(AU126/(AE126/12)&gt;0,AU126/(AE126/12)&lt;=2),"Acabando",AND(AU126/(AE126/12)&gt;2,AU126/(AE126/12)&lt;=3),"Fazer Pedido",AND(AU126/(AE126/12)&gt;3,AU126/(AE126/12)&lt;=7),"OK",AND(AU126/(AE126/12)&gt;7,AU126/(AE126/12)&lt;=14),"Abaixar Preço",AND(AU126/(AE126/12)&gt;14,AU126/(AE126/12)&lt;=20),"Estabilizando",AU126/(AE126/12)&gt;20,"Instavel"),"Instavel")</f>
        <v>Sem Produto</v>
      </c>
      <c r="AN126" s="1" t="str">
        <f ca="1">IF(SUMIF(vendaAno[data],SituaçãoEstoqueFluxo[[#This Row],[data]],vendaAno[estoque])=0,"Algo errado",IF(AND(AX126/AW126&gt;0,AX126/AW126&lt;=1),"Alerta",IF(AND(AX126/AW126&gt;1,AX126/AW126&lt;=1.5),"Fazer pedido",IF(AND(AX126/AW126&gt;1.5,AX126/AW126&lt;=2),"Ok",IF(AND(AX126/AW126&gt;2,AX126/AW126&lt;=2.5),"Estabilizando",IF(AND(AX126/AW126&gt;2.5,AX126/AW126&lt;=3),"Cheio","Abaixar preço"))))))</f>
        <v>Alerta</v>
      </c>
      <c r="AO126" s="82">
        <f>SUMIFS(estoque[quantidade],estoque[fornecedor],"&lt;&gt;saída",estoque[data],SituaçãoEstoqueFluxo[[#This Row],[data]])-SUMIFS(estoque[quantidade],estoque[fornecedor],"saída",estoque[data],SituaçãoEstoqueFluxo[[#This Row],[data]])</f>
        <v>-45</v>
      </c>
      <c r="AP126" s="116">
        <f t="shared" si="6"/>
        <v>46108</v>
      </c>
      <c r="AQ12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4.25</v>
      </c>
      <c r="AR12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0.83333333333333337</v>
      </c>
      <c r="AS12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2.6666666666666665</v>
      </c>
      <c r="AT126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1.25</v>
      </c>
      <c r="AU126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6" s="82" cm="1">
        <f t="array" aca="1" ref="AV1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28.821428571428573</v>
      </c>
      <c r="AW126" s="82" cm="1">
        <f t="array" aca="1" ref="AW1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9.6071428571428577</v>
      </c>
      <c r="AX126" s="82">
        <f>SUM(FluxoEstoqueDateTime[[#This Row],[OVO BRANCO A]:[OVO BRANCO JUMBO]])</f>
        <v>9</v>
      </c>
    </row>
    <row r="127" spans="1:50" x14ac:dyDescent="0.25">
      <c r="A127" s="4" t="s">
        <v>20</v>
      </c>
      <c r="B127" s="55" t="s">
        <v>12</v>
      </c>
      <c r="C127" s="5">
        <v>4</v>
      </c>
      <c r="D127" s="56">
        <v>15</v>
      </c>
      <c r="E127" s="56">
        <v>60</v>
      </c>
      <c r="F127" s="157">
        <v>46205</v>
      </c>
      <c r="G127" s="4" t="s">
        <v>294</v>
      </c>
      <c r="H127" s="4" t="s">
        <v>149</v>
      </c>
      <c r="I127" s="153">
        <v>4.67</v>
      </c>
      <c r="J127" s="12">
        <v>7.7777777777777377E-2</v>
      </c>
      <c r="Z127" s="116">
        <f t="shared" si="4"/>
        <v>46107</v>
      </c>
      <c r="AA12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2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12.285714285714286</v>
      </c>
      <c r="AC12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2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</v>
      </c>
      <c r="AE12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40.714285714285715</v>
      </c>
      <c r="AG12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49.297005199237596</v>
      </c>
      <c r="AH127" s="116">
        <f t="shared" si="5"/>
        <v>46107</v>
      </c>
      <c r="AI127" s="1" t="str" cm="1">
        <f t="array" ref="AI127">IFERROR(_xlfn.IFS(AQ127="","Sem Produto",AND(AQ127/(AA127/12)&gt;0,AQ127/(AA127/12)&lt;=2),"Acabando",AND(AQ127/(AA127/12)&gt;2,AQ127/(AA127/12)&lt;=3),"Fazer Pedido",AND(AQ127/(AA127/12)&gt;3,AQ127/(AA127/12)&lt;=7),"OK",AND(AQ127/(AA127/12)&gt;7,AQ127/(AA127/12)&lt;=14),"Abaixar Preço",AND(AQ127/(AA127/12)&gt;14,AQ127/(AA127/12)&lt;=20),"Estabilizando",AQ127/(AA127/12)&gt;20,"Instavel"),"Instavel")</f>
        <v>Abaixar Preço</v>
      </c>
      <c r="AJ127" s="1" t="str" cm="1">
        <f t="array" ref="AJ127">IFERROR(_xlfn.IFS(AR127="","Sem Produto",AND(AR127/(AB127/12)&gt;0,AR127/(AB127/12)&lt;=2),"Acabando",AND(AR127/(AB127/12)&gt;2,AR127/(AB127/12)&lt;=3),"Fazer Pedido",AND(AR127/(AB127/12)&gt;3,AR127/(AB127/12)&lt;=7),"OK",AND(AR127/(AB127/12)&gt;7,AR127/(AB127/12)&lt;=14),"Abaixar Preço",AND(AR127/(AB127/12)&gt;14,AR127/(AB127/12)&lt;=20),"Estabilizando",AR127/(AB127/12)&gt;20,"Instavel"),"Instavel")</f>
        <v>Fazer Pedido</v>
      </c>
      <c r="AK127" s="1" t="str" cm="1">
        <f t="array" ref="AK127">IFERROR(_xlfn.IFS(AS127="","Sem Produto",AND(AS127/(AC127/12)&gt;0,AS127/(AC127/12)&lt;=2),"Acabando",AND(AS127/(AC127/12)&gt;2,AS127/(AC127/12)&lt;=3),"Fazer Pedido",AND(AS127/(AC127/12)&gt;3,AS127/(AC127/12)&lt;=7),"OK",AND(AS127/(AC127/12)&gt;7,AS127/(AC127/12)&lt;=14),"Abaixar Preço",AND(AS127/(AC127/12)&gt;14,AS127/(AC127/12)&lt;=20),"Estabilizando",AS127/(AC127/12)&gt;20,"Instavel"),"Instavel")</f>
        <v>OK</v>
      </c>
      <c r="AL127" s="1" t="str" cm="1">
        <f t="array" ref="AL127">IFERROR(_xlfn.IFS(AT127="","Sem Produto",AND(AT127/(AD127/12)&gt;0,AT127/(AD127/12)&lt;=2),"Acabando",AND(AT127/(AD127/12)&gt;2,AT127/(AD127/12)&lt;=3),"Fazer Pedido",AND(AT127/(AD127/12)&gt;3,AT127/(AD127/12)&lt;=7),"OK",AND(AT127/(AD127/12)&gt;7,AT127/(AD127/12)&lt;=14),"Abaixar Preço",AND(AT127/(AD127/12)&gt;14,AT127/(AD127/12)&lt;=20),"Estabilizando",AT127/(AD127/12)&gt;20,"Instavel"),"Instavel")</f>
        <v>Acabando</v>
      </c>
      <c r="AM127" s="1" t="str" cm="1">
        <f t="array" ref="AM127">IFERROR(_xlfn.IFS(AU127="","Sem Produto",AND(AU127/(AE127/12)&gt;0,AU127/(AE127/12)&lt;=2),"Acabando",AND(AU127/(AE127/12)&gt;2,AU127/(AE127/12)&lt;=3),"Fazer Pedido",AND(AU127/(AE127/12)&gt;3,AU127/(AE127/12)&lt;=7),"OK",AND(AU127/(AE127/12)&gt;7,AU127/(AE127/12)&lt;=14),"Abaixar Preço",AND(AU127/(AE127/12)&gt;14,AU127/(AE127/12)&lt;=20),"Estabilizando",AU127/(AE127/12)&gt;20,"Instavel"),"Instavel")</f>
        <v>Sem Produto</v>
      </c>
      <c r="AN127" s="1" t="str">
        <f ca="1">IF(SUMIF(vendaAno[data],SituaçãoEstoqueFluxo[[#This Row],[data]],vendaAno[estoque])=0,"Algo errado",IF(AND(AX127/AW127&gt;0,AX127/AW127&lt;=1),"Alerta",IF(AND(AX127/AW127&gt;1,AX127/AW127&lt;=1.5),"Fazer pedido",IF(AND(AX127/AW127&gt;1.5,AX127/AW127&lt;=2),"Ok",IF(AND(AX127/AW127&gt;2,AX127/AW127&lt;=2.5),"Estabilizando",IF(AND(AX127/AW127&gt;2.5,AX127/AW127&lt;=3),"Cheio","Abaixar preço"))))))</f>
        <v>Fazer pedido</v>
      </c>
      <c r="AO127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27" s="116">
        <f t="shared" si="6"/>
        <v>46107</v>
      </c>
      <c r="AQ12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5.916666666666667</v>
      </c>
      <c r="AR12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2.25</v>
      </c>
      <c r="AS12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2.9166666666666665</v>
      </c>
      <c r="AT127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127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7" s="82" cm="1">
        <f t="array" aca="1" ref="AV1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30.535714285714288</v>
      </c>
      <c r="AW127" s="82" cm="1">
        <f t="array" aca="1" ref="AW1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10.178571428571429</v>
      </c>
      <c r="AX127" s="82">
        <f>SUM(FluxoEstoqueDateTime[[#This Row],[OVO BRANCO A]:[OVO BRANCO JUMBO]])</f>
        <v>12.75</v>
      </c>
    </row>
    <row r="128" spans="1:50" x14ac:dyDescent="0.25">
      <c r="A128" s="4" t="s">
        <v>20</v>
      </c>
      <c r="B128" s="55" t="s">
        <v>11</v>
      </c>
      <c r="C128" s="5">
        <v>3</v>
      </c>
      <c r="D128" s="56">
        <v>18</v>
      </c>
      <c r="E128" s="56">
        <v>54</v>
      </c>
      <c r="F128" s="157">
        <v>46205</v>
      </c>
      <c r="G128" s="4" t="s">
        <v>294</v>
      </c>
      <c r="H128" s="4" t="s">
        <v>149</v>
      </c>
      <c r="I128" s="153">
        <v>10.24</v>
      </c>
      <c r="J128" s="12">
        <v>0.18970478869596175</v>
      </c>
      <c r="Z128" s="116">
        <f t="shared" si="4"/>
        <v>46106</v>
      </c>
      <c r="AA12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2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14.571428571428571</v>
      </c>
      <c r="AC12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5.4285714285714288</v>
      </c>
      <c r="AD12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17.857142857142858</v>
      </c>
      <c r="AE12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44.285714285714285</v>
      </c>
      <c r="AG12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51.201414100988174</v>
      </c>
      <c r="AH128" s="116">
        <f t="shared" si="5"/>
        <v>46106</v>
      </c>
      <c r="AI128" s="1" t="str" cm="1">
        <f t="array" ref="AI128">IFERROR(_xlfn.IFS(AQ128="","Sem Produto",AND(AQ128/(AA128/12)&gt;0,AQ128/(AA128/12)&lt;=2),"Acabando",AND(AQ128/(AA128/12)&gt;2,AQ128/(AA128/12)&lt;=3),"Fazer Pedido",AND(AQ128/(AA128/12)&gt;3,AQ128/(AA128/12)&lt;=7),"OK",AND(AQ128/(AA128/12)&gt;7,AQ128/(AA128/12)&lt;=14),"Abaixar Preço",AND(AQ128/(AA128/12)&gt;14,AQ128/(AA128/12)&lt;=20),"Estabilizando",AQ128/(AA128/12)&gt;20,"Instavel"),"Instavel")</f>
        <v>Abaixar Preço</v>
      </c>
      <c r="AJ128" s="1" t="str" cm="1">
        <f t="array" ref="AJ128">IFERROR(_xlfn.IFS(AR128="","Sem Produto",AND(AR128/(AB128/12)&gt;0,AR128/(AB128/12)&lt;=2),"Acabando",AND(AR128/(AB128/12)&gt;2,AR128/(AB128/12)&lt;=3),"Fazer Pedido",AND(AR128/(AB128/12)&gt;3,AR128/(AB128/12)&lt;=7),"OK",AND(AR128/(AB128/12)&gt;7,AR128/(AB128/12)&lt;=14),"Abaixar Preço",AND(AR128/(AB128/12)&gt;14,AR128/(AB128/12)&lt;=20),"Estabilizando",AR128/(AB128/12)&gt;20,"Instavel"),"Instavel")</f>
        <v>Fazer Pedido</v>
      </c>
      <c r="AK128" s="1" t="str" cm="1">
        <f t="array" ref="AK128">IFERROR(_xlfn.IFS(AS128="","Sem Produto",AND(AS128/(AC128/12)&gt;0,AS128/(AC128/12)&lt;=2),"Acabando",AND(AS128/(AC128/12)&gt;2,AS128/(AC128/12)&lt;=3),"Fazer Pedido",AND(AS128/(AC128/12)&gt;3,AS128/(AC128/12)&lt;=7),"OK",AND(AS128/(AC128/12)&gt;7,AS128/(AC128/12)&lt;=14),"Abaixar Preço",AND(AS128/(AC128/12)&gt;14,AS128/(AC128/12)&lt;=20),"Estabilizando",AS128/(AC128/12)&gt;20,"Instavel"),"Instavel")</f>
        <v>Abaixar Preço</v>
      </c>
      <c r="AL128" s="1" t="str" cm="1">
        <f t="array" ref="AL128">IFERROR(_xlfn.IFS(AT128="","Sem Produto",AND(AT128/(AD128/12)&gt;0,AT128/(AD128/12)&lt;=2),"Acabando",AND(AT128/(AD128/12)&gt;2,AT128/(AD128/12)&lt;=3),"Fazer Pedido",AND(AT128/(AD128/12)&gt;3,AT128/(AD128/12)&lt;=7),"OK",AND(AT128/(AD128/12)&gt;7,AT128/(AD128/12)&lt;=14),"Abaixar Preço",AND(AT128/(AD128/12)&gt;14,AT128/(AD128/12)&lt;=20),"Estabilizando",AT128/(AD128/12)&gt;20,"Instavel"),"Instavel")</f>
        <v>Fazer Pedido</v>
      </c>
      <c r="AM128" s="1" t="str" cm="1">
        <f t="array" ref="AM128">IFERROR(_xlfn.IFS(AU128="","Sem Produto",AND(AU128/(AE128/12)&gt;0,AU128/(AE128/12)&lt;=2),"Acabando",AND(AU128/(AE128/12)&gt;2,AU128/(AE128/12)&lt;=3),"Fazer Pedido",AND(AU128/(AE128/12)&gt;3,AU128/(AE128/12)&lt;=7),"OK",AND(AU128/(AE128/12)&gt;7,AU128/(AE128/12)&lt;=14),"Abaixar Preço",AND(AU128/(AE128/12)&gt;14,AU128/(AE128/12)&lt;=20),"Estabilizando",AU128/(AE128/12)&gt;20,"Instavel"),"Instavel")</f>
        <v>Sem Produto</v>
      </c>
      <c r="AN128" s="1" t="str">
        <f ca="1">IF(SUMIF(vendaAno[data],SituaçãoEstoqueFluxo[[#This Row],[data]],vendaAno[estoque])=0,"Algo errado",IF(AND(AX128/AW128&gt;0,AX128/AW128&lt;=1),"Alerta",IF(AND(AX128/AW128&gt;1,AX128/AW128&lt;=1.5),"Fazer pedido",IF(AND(AX128/AW128&gt;1.5,AX128/AW128&lt;=2),"Ok",IF(AND(AX128/AW128&gt;2,AX128/AW128&lt;=2.5),"Estabilizando",IF(AND(AX128/AW128&gt;2.5,AX128/AW128&lt;=3),"Cheio","Abaixar preço"))))))</f>
        <v>Fazer pedido</v>
      </c>
      <c r="AO128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28" s="116">
        <f t="shared" si="6"/>
        <v>46106</v>
      </c>
      <c r="AQ12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5.916666666666667</v>
      </c>
      <c r="AR12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2.75</v>
      </c>
      <c r="AS12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3.4166666666666665</v>
      </c>
      <c r="AT128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128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8" s="82" cm="1">
        <f t="array" aca="1" ref="AV1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33.214285714285715</v>
      </c>
      <c r="AW128" s="82" cm="1">
        <f t="array" aca="1" ref="AW1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11.071428571428571</v>
      </c>
      <c r="AX128" s="82">
        <f>SUM(FluxoEstoqueDateTime[[#This Row],[OVO BRANCO A]:[OVO BRANCO JUMBO]])</f>
        <v>15.083333333333334</v>
      </c>
    </row>
    <row r="129" spans="1:50" x14ac:dyDescent="0.25">
      <c r="A129" s="4" t="s">
        <v>20</v>
      </c>
      <c r="B129" s="55" t="s">
        <v>10</v>
      </c>
      <c r="C129" s="5">
        <v>8</v>
      </c>
      <c r="D129" s="56">
        <v>19</v>
      </c>
      <c r="E129" s="56">
        <v>146</v>
      </c>
      <c r="F129" s="157">
        <v>46205</v>
      </c>
      <c r="G129" s="4" t="s">
        <v>294</v>
      </c>
      <c r="H129" s="4" t="s">
        <v>149</v>
      </c>
      <c r="I129" s="153">
        <v>22.67</v>
      </c>
      <c r="J129" s="12">
        <v>0.15525114155251155</v>
      </c>
      <c r="Z129" s="116">
        <f t="shared" si="4"/>
        <v>46105</v>
      </c>
      <c r="AA12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2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15.285714285714286</v>
      </c>
      <c r="AC12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7.1428571428571432</v>
      </c>
      <c r="AD12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17.857142857142858</v>
      </c>
      <c r="AE12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2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46.428571428571431</v>
      </c>
      <c r="AG12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53.329278336851893</v>
      </c>
      <c r="AH129" s="116">
        <f t="shared" si="5"/>
        <v>46105</v>
      </c>
      <c r="AI129" s="1" t="str" cm="1">
        <f t="array" ref="AI129">IFERROR(_xlfn.IFS(AQ129="","Sem Produto",AND(AQ129/(AA129/12)&gt;0,AQ129/(AA129/12)&lt;=2),"Acabando",AND(AQ129/(AA129/12)&gt;2,AQ129/(AA129/12)&lt;=3),"Fazer Pedido",AND(AQ129/(AA129/12)&gt;3,AQ129/(AA129/12)&lt;=7),"OK",AND(AQ129/(AA129/12)&gt;7,AQ129/(AA129/12)&lt;=14),"Abaixar Preço",AND(AQ129/(AA129/12)&gt;14,AQ129/(AA129/12)&lt;=20),"Estabilizando",AQ129/(AA129/12)&gt;20,"Instavel"),"Instavel")</f>
        <v>Abaixar Preço</v>
      </c>
      <c r="AJ129" s="1" t="str" cm="1">
        <f t="array" ref="AJ129">IFERROR(_xlfn.IFS(AR129="","Sem Produto",AND(AR129/(AB129/12)&gt;0,AR129/(AB129/12)&lt;=2),"Acabando",AND(AR129/(AB129/12)&gt;2,AR129/(AB129/12)&lt;=3),"Fazer Pedido",AND(AR129/(AB129/12)&gt;3,AR129/(AB129/12)&lt;=7),"OK",AND(AR129/(AB129/12)&gt;7,AR129/(AB129/12)&lt;=14),"Abaixar Preço",AND(AR129/(AB129/12)&gt;14,AR129/(AB129/12)&lt;=20),"Estabilizando",AR129/(AB129/12)&gt;20,"Instavel"),"Instavel")</f>
        <v>Fazer Pedido</v>
      </c>
      <c r="AK129" s="1" t="str" cm="1">
        <f t="array" ref="AK129">IFERROR(_xlfn.IFS(AS129="","Sem Produto",AND(AS129/(AC129/12)&gt;0,AS129/(AC129/12)&lt;=2),"Acabando",AND(AS129/(AC129/12)&gt;2,AS129/(AC129/12)&lt;=3),"Fazer Pedido",AND(AS129/(AC129/12)&gt;3,AS129/(AC129/12)&lt;=7),"OK",AND(AS129/(AC129/12)&gt;7,AS129/(AC129/12)&lt;=14),"Abaixar Preço",AND(AS129/(AC129/12)&gt;14,AS129/(AC129/12)&lt;=20),"Estabilizando",AS129/(AC129/12)&gt;20,"Instavel"),"Instavel")</f>
        <v>OK</v>
      </c>
      <c r="AL129" s="1" t="str" cm="1">
        <f t="array" ref="AL129">IFERROR(_xlfn.IFS(AT129="","Sem Produto",AND(AT129/(AD129/12)&gt;0,AT129/(AD129/12)&lt;=2),"Acabando",AND(AT129/(AD129/12)&gt;2,AT129/(AD129/12)&lt;=3),"Fazer Pedido",AND(AT129/(AD129/12)&gt;3,AT129/(AD129/12)&lt;=7),"OK",AND(AT129/(AD129/12)&gt;7,AT129/(AD129/12)&lt;=14),"Abaixar Preço",AND(AT129/(AD129/12)&gt;14,AT129/(AD129/12)&lt;=20),"Estabilizando",AT129/(AD129/12)&gt;20,"Instavel"),"Instavel")</f>
        <v>OK</v>
      </c>
      <c r="AM129" s="1" t="str" cm="1">
        <f t="array" ref="AM129">IFERROR(_xlfn.IFS(AU129="","Sem Produto",AND(AU129/(AE129/12)&gt;0,AU129/(AE129/12)&lt;=2),"Acabando",AND(AU129/(AE129/12)&gt;2,AU129/(AE129/12)&lt;=3),"Fazer Pedido",AND(AU129/(AE129/12)&gt;3,AU129/(AE129/12)&lt;=7),"OK",AND(AU129/(AE129/12)&gt;7,AU129/(AE129/12)&lt;=14),"Abaixar Preço",AND(AU129/(AE129/12)&gt;14,AU129/(AE129/12)&lt;=20),"Estabilizando",AU129/(AE129/12)&gt;20,"Instavel"),"Instavel")</f>
        <v>Sem Produto</v>
      </c>
      <c r="AN129" s="1" t="str">
        <f ca="1">IF(SUMIF(vendaAno[data],SituaçãoEstoqueFluxo[[#This Row],[data]],vendaAno[estoque])=0,"Algo errado",IF(AND(AX129/AW129&gt;0,AX129/AW129&lt;=1),"Alerta",IF(AND(AX129/AW129&gt;1,AX129/AW129&lt;=1.5),"Fazer pedido",IF(AND(AX129/AW129&gt;1.5,AX129/AW129&lt;=2),"Ok",IF(AND(AX129/AW129&gt;2,AX129/AW129&lt;=2.5),"Estabilizando",IF(AND(AX129/AW129&gt;2.5,AX129/AW129&lt;=3),"Cheio","Abaixar preço"))))))</f>
        <v>Ok</v>
      </c>
      <c r="AO129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29" s="116">
        <f t="shared" si="6"/>
        <v>46105</v>
      </c>
      <c r="AQ12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2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2.8333333333333335</v>
      </c>
      <c r="AS12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3.6666666666666665</v>
      </c>
      <c r="AT129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4.583333333333333</v>
      </c>
      <c r="AU129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29" s="82" cm="1">
        <f t="array" aca="1" ref="AV1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34.821428571428577</v>
      </c>
      <c r="AW129" s="82" cm="1">
        <f t="array" aca="1" ref="AW1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11.607142857142856</v>
      </c>
      <c r="AX129" s="82">
        <f>SUM(FluxoEstoqueDateTime[[#This Row],[OVO BRANCO A]:[OVO BRANCO JUMBO]])</f>
        <v>17.5</v>
      </c>
    </row>
    <row r="130" spans="1:50" x14ac:dyDescent="0.25">
      <c r="A130" s="4" t="s">
        <v>20</v>
      </c>
      <c r="B130" s="55" t="s">
        <v>14</v>
      </c>
      <c r="C130" s="5">
        <v>4</v>
      </c>
      <c r="D130" s="56">
        <v>23</v>
      </c>
      <c r="E130" s="56">
        <v>92</v>
      </c>
      <c r="F130" s="157">
        <v>46204</v>
      </c>
      <c r="G130" s="4" t="s">
        <v>32</v>
      </c>
      <c r="H130" s="4" t="s">
        <v>149</v>
      </c>
      <c r="I130" s="153">
        <v>26.99</v>
      </c>
      <c r="J130" s="12">
        <v>0.29339300937766405</v>
      </c>
      <c r="Z130" s="116">
        <f t="shared" si="4"/>
        <v>46104</v>
      </c>
      <c r="AA13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3.8571428571428572</v>
      </c>
      <c r="AB13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</v>
      </c>
      <c r="AC13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6.1428571428571432</v>
      </c>
      <c r="AD13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</v>
      </c>
      <c r="AE13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3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</v>
      </c>
      <c r="AG13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54.552453548312897</v>
      </c>
      <c r="AH130" s="116">
        <f t="shared" si="5"/>
        <v>46104</v>
      </c>
      <c r="AI130" s="1" t="str" cm="1">
        <f t="array" ref="AI130">IFERROR(_xlfn.IFS(AQ130="","Sem Produto",AND(AQ130/(AA130/12)&gt;0,AQ130/(AA130/12)&lt;=2),"Acabando",AND(AQ130/(AA130/12)&gt;2,AQ130/(AA130/12)&lt;=3),"Fazer Pedido",AND(AQ130/(AA130/12)&gt;3,AQ130/(AA130/12)&lt;=7),"OK",AND(AQ130/(AA130/12)&gt;7,AQ130/(AA130/12)&lt;=14),"Abaixar Preço",AND(AQ130/(AA130/12)&gt;14,AQ130/(AA130/12)&lt;=20),"Estabilizando",AQ130/(AA130/12)&gt;20,"Instavel"),"Instavel")</f>
        <v>Instavel</v>
      </c>
      <c r="AJ130" s="1" t="str" cm="1">
        <f t="array" ref="AJ130">IFERROR(_xlfn.IFS(AR130="","Sem Produto",AND(AR130/(AB130/12)&gt;0,AR130/(AB130/12)&lt;=2),"Acabando",AND(AR130/(AB130/12)&gt;2,AR130/(AB130/12)&lt;=3),"Fazer Pedido",AND(AR130/(AB130/12)&gt;3,AR130/(AB130/12)&lt;=7),"OK",AND(AR130/(AB130/12)&gt;7,AR130/(AB130/12)&lt;=14),"Abaixar Preço",AND(AR130/(AB130/12)&gt;14,AR130/(AB130/12)&lt;=20),"Estabilizando",AR130/(AB130/12)&gt;20,"Instavel"),"Instavel")</f>
        <v>Fazer Pedido</v>
      </c>
      <c r="AK130" s="1" t="str" cm="1">
        <f t="array" ref="AK130">IFERROR(_xlfn.IFS(AS130="","Sem Produto",AND(AS130/(AC130/12)&gt;0,AS130/(AC130/12)&lt;=2),"Acabando",AND(AS130/(AC130/12)&gt;2,AS130/(AC130/12)&lt;=3),"Fazer Pedido",AND(AS130/(AC130/12)&gt;3,AS130/(AC130/12)&lt;=7),"OK",AND(AS130/(AC130/12)&gt;7,AS130/(AC130/12)&lt;=14),"Abaixar Preço",AND(AS130/(AC130/12)&gt;14,AS130/(AC130/12)&lt;=20),"Estabilizando",AS130/(AC130/12)&gt;20,"Instavel"),"Instavel")</f>
        <v>Abaixar Preço</v>
      </c>
      <c r="AL130" s="1" t="str" cm="1">
        <f t="array" ref="AL130">IFERROR(_xlfn.IFS(AT130="","Sem Produto",AND(AT130/(AD130/12)&gt;0,AT130/(AD130/12)&lt;=2),"Acabando",AND(AT130/(AD130/12)&gt;2,AT130/(AD130/12)&lt;=3),"Fazer Pedido",AND(AT130/(AD130/12)&gt;3,AT130/(AD130/12)&lt;=7),"OK",AND(AT130/(AD130/12)&gt;7,AT130/(AD130/12)&lt;=14),"Abaixar Preço",AND(AT130/(AD130/12)&gt;14,AT130/(AD130/12)&lt;=20),"Estabilizando",AT130/(AD130/12)&gt;20,"Instavel"),"Instavel")</f>
        <v>OK</v>
      </c>
      <c r="AM130" s="1" t="str" cm="1">
        <f t="array" ref="AM130">IFERROR(_xlfn.IFS(AU130="","Sem Produto",AND(AU130/(AE130/12)&gt;0,AU130/(AE130/12)&lt;=2),"Acabando",AND(AU130/(AE130/12)&gt;2,AU130/(AE130/12)&lt;=3),"Fazer Pedido",AND(AU130/(AE130/12)&gt;3,AU130/(AE130/12)&lt;=7),"OK",AND(AU130/(AE130/12)&gt;7,AU130/(AE130/12)&lt;=14),"Abaixar Preço",AND(AU130/(AE130/12)&gt;14,AU130/(AE130/12)&lt;=20),"Estabilizando",AU130/(AE130/12)&gt;20,"Instavel"),"Instavel")</f>
        <v>Sem Produto</v>
      </c>
      <c r="AN130" s="1" t="str">
        <f ca="1">IF(SUMIF(vendaAno[data],SituaçãoEstoqueFluxo[[#This Row],[data]],vendaAno[estoque])=0,"Algo errado",IF(AND(AX130/AW130&gt;0,AX130/AW130&lt;=1),"Alerta",IF(AND(AX130/AW130&gt;1,AX130/AW130&lt;=1.5),"Fazer pedido",IF(AND(AX130/AW130&gt;1.5,AX130/AW130&lt;=2),"Ok",IF(AND(AX130/AW130&gt;2,AX130/AW130&lt;=2.5),"Estabilizando",IF(AND(AX130/AW130&gt;2.5,AX130/AW130&lt;=3),"Cheio","Abaixar preço"))))))</f>
        <v>Estabilizando</v>
      </c>
      <c r="AO130" s="82">
        <f>SUMIFS(estoque[quantidade],estoque[fornecedor],"&lt;&gt;saída",estoque[data],SituaçãoEstoqueFluxo[[#This Row],[data]])-SUMIFS(estoque[quantidade],estoque[fornecedor],"saída",estoque[data],SituaçãoEstoqueFluxo[[#This Row],[data]])</f>
        <v>-74</v>
      </c>
      <c r="AP130" s="116">
        <f t="shared" si="6"/>
        <v>46104</v>
      </c>
      <c r="AQ130" s="81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7.75</v>
      </c>
      <c r="AR130" s="81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3.25</v>
      </c>
      <c r="AS13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130" s="82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130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0" s="82" cm="1">
        <f t="array" aca="1" ref="AV1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32.25</v>
      </c>
      <c r="AW130" s="82" cm="1">
        <f t="array" aca="1" ref="AW1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10.75</v>
      </c>
      <c r="AX130" s="82">
        <f>SUM(FluxoEstoqueDateTime[[#This Row],[OVO BRANCO A]:[OVO BRANCO JUMBO]])</f>
        <v>21.666666666666668</v>
      </c>
    </row>
    <row r="131" spans="1:50" x14ac:dyDescent="0.25">
      <c r="A131" s="4" t="s">
        <v>20</v>
      </c>
      <c r="B131" s="55" t="s">
        <v>13</v>
      </c>
      <c r="C131" s="5">
        <v>10</v>
      </c>
      <c r="D131" s="56">
        <v>20</v>
      </c>
      <c r="E131" s="56">
        <v>200</v>
      </c>
      <c r="F131" s="157">
        <v>46204</v>
      </c>
      <c r="G131" s="4" t="s">
        <v>32</v>
      </c>
      <c r="H131" s="4" t="s">
        <v>149</v>
      </c>
      <c r="I131" s="153">
        <v>41.67</v>
      </c>
      <c r="J131" s="12">
        <v>0.20833333333333329</v>
      </c>
      <c r="Z131" s="116">
        <f t="shared" si="4"/>
        <v>46103</v>
      </c>
      <c r="AA13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2.8571428571428572</v>
      </c>
      <c r="AB13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16.857142857142858</v>
      </c>
      <c r="AC13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5.1428571428571432</v>
      </c>
      <c r="AD13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13.714285714285714</v>
      </c>
      <c r="AE13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13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38.571428571428569</v>
      </c>
      <c r="AG13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58.799487379226285</v>
      </c>
      <c r="AH131" s="116">
        <f t="shared" si="5"/>
        <v>46103</v>
      </c>
      <c r="AI131" s="1" t="str" cm="1">
        <f t="array" ref="AI131">IFERROR(_xlfn.IFS(AQ131="","Sem Produto",AND(AQ131/(AA131/12)&gt;0,AQ131/(AA131/12)&lt;=2),"Acabando",AND(AQ131/(AA131/12)&gt;2,AQ131/(AA131/12)&lt;=3),"Fazer Pedido",AND(AQ131/(AA131/12)&gt;3,AQ131/(AA131/12)&lt;=7),"OK",AND(AQ131/(AA131/12)&gt;7,AQ131/(AA131/12)&lt;=14),"Abaixar Preço",AND(AQ131/(AA131/12)&gt;14,AQ131/(AA131/12)&lt;=20),"Estabilizando",AQ131/(AA131/12)&gt;20,"Instavel"),"Instavel")</f>
        <v>Instavel</v>
      </c>
      <c r="AJ131" s="1" t="str" cm="1">
        <f t="array" ref="AJ131">IFERROR(_xlfn.IFS(AR131="","Sem Produto",AND(AR131/(AB131/12)&gt;0,AR131/(AB131/12)&lt;=2),"Acabando",AND(AR131/(AB131/12)&gt;2,AR131/(AB131/12)&lt;=3),"Fazer Pedido",AND(AR131/(AB131/12)&gt;3,AR131/(AB131/12)&lt;=7),"OK",AND(AR131/(AB131/12)&gt;7,AR131/(AB131/12)&lt;=14),"Abaixar Preço",AND(AR131/(AB131/12)&gt;14,AR131/(AB131/12)&lt;=20),"Estabilizando",AR131/(AB131/12)&gt;20,"Instavel"),"Instavel")</f>
        <v>OK</v>
      </c>
      <c r="AK131" s="1" t="str" cm="1">
        <f t="array" ref="AK131">IFERROR(_xlfn.IFS(AS131="","Sem Produto",AND(AS131/(AC131/12)&gt;0,AS131/(AC131/12)&lt;=2),"Acabando",AND(AS131/(AC131/12)&gt;2,AS131/(AC131/12)&lt;=3),"Fazer Pedido",AND(AS131/(AC131/12)&gt;3,AS131/(AC131/12)&lt;=7),"OK",AND(AS131/(AC131/12)&gt;7,AS131/(AC131/12)&lt;=14),"Abaixar Preço",AND(AS131/(AC131/12)&gt;14,AS131/(AC131/12)&lt;=20),"Estabilizando",AS131/(AC131/12)&gt;20,"Instavel"),"Instavel")</f>
        <v>Abaixar Preço</v>
      </c>
      <c r="AL131" s="1" t="str" cm="1">
        <f t="array" ref="AL131">IFERROR(_xlfn.IFS(AT131="","Sem Produto",AND(AT131/(AD131/12)&gt;0,AT131/(AD131/12)&lt;=2),"Acabando",AND(AT131/(AD131/12)&gt;2,AT131/(AD131/12)&lt;=3),"Fazer Pedido",AND(AT131/(AD131/12)&gt;3,AT131/(AD131/12)&lt;=7),"OK",AND(AT131/(AD131/12)&gt;7,AT131/(AD131/12)&lt;=14),"Abaixar Preço",AND(AT131/(AD131/12)&gt;14,AT131/(AD131/12)&lt;=20),"Estabilizando",AT131/(AD131/12)&gt;20,"Instavel"),"Instavel")</f>
        <v>Abaixar Preço</v>
      </c>
      <c r="AM131" s="1" t="str" cm="1">
        <f t="array" ref="AM131">IFERROR(_xlfn.IFS(AU131="","Sem Produto",AND(AU131/(AE131/12)&gt;0,AU131/(AE131/12)&lt;=2),"Acabando",AND(AU131/(AE131/12)&gt;2,AU131/(AE131/12)&lt;=3),"Fazer Pedido",AND(AU131/(AE131/12)&gt;3,AU131/(AE131/12)&lt;=7),"OK",AND(AU131/(AE131/12)&gt;7,AU131/(AE131/12)&lt;=14),"Abaixar Preço",AND(AU131/(AE131/12)&gt;14,AU131/(AE131/12)&lt;=20),"Estabilizando",AU131/(AE131/12)&gt;20,"Instavel"),"Instavel")</f>
        <v>Sem Produto</v>
      </c>
      <c r="AN131" s="1" t="str">
        <f ca="1">IF(SUMIF(vendaAno[data],SituaçãoEstoqueFluxo[[#This Row],[data]],vendaAno[estoque])=0,"Algo errado",IF(AND(AX131/AW131&gt;0,AX131/AW131&lt;=1),"Alerta",IF(AND(AX131/AW131&gt;1,AX131/AW131&lt;=1.5),"Fazer pedido",IF(AND(AX131/AW131&gt;1.5,AX131/AW131&lt;=2),"Ok",IF(AND(AX131/AW131&gt;2,AX131/AW131&lt;=2.5),"Estabilizando",IF(AND(AX131/AW131&gt;2.5,AX131/AW131&lt;=3),"Cheio","Abaixar preço"))))))</f>
        <v>Cheio</v>
      </c>
      <c r="AO131" s="82">
        <f>SUMIFS(estoque[quantidade],estoque[fornecedor],"&lt;&gt;saída",estoque[data],SituaçãoEstoqueFluxo[[#This Row],[data]])-SUMIFS(estoque[quantidade],estoque[fornecedor],"saída",estoque[data],SituaçãoEstoqueFluxo[[#This Row],[data]])</f>
        <v>-34</v>
      </c>
      <c r="AP131" s="116">
        <f t="shared" si="6"/>
        <v>46103</v>
      </c>
      <c r="AQ13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8.3333333333333339</v>
      </c>
      <c r="AR13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5.666666666666667</v>
      </c>
      <c r="AS13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5.166666666666667</v>
      </c>
      <c r="AT13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1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1" s="82" cm="1">
        <f t="array" aca="1" ref="AV1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28.928571428571427</v>
      </c>
      <c r="AW131" s="82" cm="1">
        <f t="array" aca="1" ref="AW1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9.6428571428571423</v>
      </c>
      <c r="AX131" s="82">
        <f>SUM(FluxoEstoqueDateTime[[#This Row],[OVO BRANCO A]:[OVO BRANCO JUMBO]])</f>
        <v>27.833333333333336</v>
      </c>
    </row>
    <row r="132" spans="1:50" x14ac:dyDescent="0.25">
      <c r="A132" s="4" t="s">
        <v>20</v>
      </c>
      <c r="B132" s="55" t="s">
        <v>12</v>
      </c>
      <c r="C132" s="5">
        <v>2</v>
      </c>
      <c r="D132" s="56">
        <v>15</v>
      </c>
      <c r="E132" s="56">
        <v>30</v>
      </c>
      <c r="F132" s="157">
        <v>46204</v>
      </c>
      <c r="G132" s="4" t="s">
        <v>32</v>
      </c>
      <c r="H132" s="4" t="s">
        <v>149</v>
      </c>
      <c r="I132" s="153">
        <v>2.33</v>
      </c>
      <c r="J132" s="12">
        <v>7.7777777777777377E-2</v>
      </c>
      <c r="Z132" s="116">
        <f t="shared" ref="Z132:Z195" si="7">Z131-1</f>
        <v>46102</v>
      </c>
      <c r="AA13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2.2857142857142856</v>
      </c>
      <c r="AB13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17.285714285714285</v>
      </c>
      <c r="AC13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4.7142857142857144</v>
      </c>
      <c r="AD13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13.714285714285714</v>
      </c>
      <c r="AE13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3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41.428571428571431</v>
      </c>
      <c r="AG13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64.255381704760438</v>
      </c>
      <c r="AH132" s="116">
        <f t="shared" ref="AH132:AH195" si="8">AH131-1</f>
        <v>46102</v>
      </c>
      <c r="AI132" s="1" t="str" cm="1">
        <f t="array" ref="AI132">IFERROR(_xlfn.IFS(AQ132="","Sem Produto",AND(AQ132/(AA132/12)&gt;0,AQ132/(AA132/12)&lt;=2),"Acabando",AND(AQ132/(AA132/12)&gt;2,AQ132/(AA132/12)&lt;=3),"Fazer Pedido",AND(AQ132/(AA132/12)&gt;3,AQ132/(AA132/12)&lt;=7),"OK",AND(AQ132/(AA132/12)&gt;7,AQ132/(AA132/12)&lt;=14),"Abaixar Preço",AND(AQ132/(AA132/12)&gt;14,AQ132/(AA132/12)&lt;=20),"Estabilizando",AQ132/(AA132/12)&gt;20,"Instavel"),"Instavel")</f>
        <v>Instavel</v>
      </c>
      <c r="AJ132" s="1" t="str" cm="1">
        <f t="array" ref="AJ132">IFERROR(_xlfn.IFS(AR132="","Sem Produto",AND(AR132/(AB132/12)&gt;0,AR132/(AB132/12)&lt;=2),"Acabando",AND(AR132/(AB132/12)&gt;2,AR132/(AB132/12)&lt;=3),"Fazer Pedido",AND(AR132/(AB132/12)&gt;3,AR132/(AB132/12)&lt;=7),"OK",AND(AR132/(AB132/12)&gt;7,AR132/(AB132/12)&lt;=14),"Abaixar Preço",AND(AR132/(AB132/12)&gt;14,AR132/(AB132/12)&lt;=20),"Estabilizando",AR132/(AB132/12)&gt;20,"Instavel"),"Instavel")</f>
        <v>OK</v>
      </c>
      <c r="AK132" s="1" t="str" cm="1">
        <f t="array" ref="AK132">IFERROR(_xlfn.IFS(AS132="","Sem Produto",AND(AS132/(AC132/12)&gt;0,AS132/(AC132/12)&lt;=2),"Acabando",AND(AS132/(AC132/12)&gt;2,AS132/(AC132/12)&lt;=3),"Fazer Pedido",AND(AS132/(AC132/12)&gt;3,AS132/(AC132/12)&lt;=7),"OK",AND(AS132/(AC132/12)&gt;7,AS132/(AC132/12)&lt;=14),"Abaixar Preço",AND(AS132/(AC132/12)&gt;14,AS132/(AC132/12)&lt;=20),"Estabilizando",AS132/(AC132/12)&gt;20,"Instavel"),"Instavel")</f>
        <v>Abaixar Preço</v>
      </c>
      <c r="AL132" s="1" t="str" cm="1">
        <f t="array" ref="AL132">IFERROR(_xlfn.IFS(AT132="","Sem Produto",AND(AT132/(AD132/12)&gt;0,AT132/(AD132/12)&lt;=2),"Acabando",AND(AT132/(AD132/12)&gt;2,AT132/(AD132/12)&lt;=3),"Fazer Pedido",AND(AT132/(AD132/12)&gt;3,AT132/(AD132/12)&lt;=7),"OK",AND(AT132/(AD132/12)&gt;7,AT132/(AD132/12)&lt;=14),"Abaixar Preço",AND(AT132/(AD132/12)&gt;14,AT132/(AD132/12)&lt;=20),"Estabilizando",AT132/(AD132/12)&gt;20,"Instavel"),"Instavel")</f>
        <v>Abaixar Preço</v>
      </c>
      <c r="AM132" s="1" t="str" cm="1">
        <f t="array" ref="AM132">IFERROR(_xlfn.IFS(AU132="","Sem Produto",AND(AU132/(AE132/12)&gt;0,AU132/(AE132/12)&lt;=2),"Acabando",AND(AU132/(AE132/12)&gt;2,AU132/(AE132/12)&lt;=3),"Fazer Pedido",AND(AU132/(AE132/12)&gt;3,AU132/(AE132/12)&lt;=7),"OK",AND(AU132/(AE132/12)&gt;7,AU132/(AE132/12)&lt;=14),"Abaixar Preço",AND(AU132/(AE132/12)&gt;14,AU132/(AE132/12)&lt;=20),"Estabilizando",AU132/(AE132/12)&gt;20,"Instavel"),"Instavel")</f>
        <v>Sem Produto</v>
      </c>
      <c r="AN132" s="1" t="str">
        <f ca="1">IF(SUMIF(vendaAno[data],SituaçãoEstoqueFluxo[[#This Row],[data]],vendaAno[estoque])=0,"Algo errado",IF(AND(AX132/AW132&gt;0,AX132/AW132&lt;=1),"Alerta",IF(AND(AX132/AW132&gt;1,AX132/AW132&lt;=1.5),"Fazer pedido",IF(AND(AX132/AW132&gt;1.5,AX132/AW132&lt;=2),"Ok",IF(AND(AX132/AW132&gt;2,AX132/AW132&lt;=2.5),"Estabilizando",IF(AND(AX132/AW132&gt;2.5,AX132/AW132&lt;=3),"Cheio","Abaixar preço"))))))</f>
        <v>Cheio</v>
      </c>
      <c r="AO132" s="82">
        <f>SUMIFS(estoque[quantidade],estoque[fornecedor],"&lt;&gt;saída",estoque[data],SituaçãoEstoqueFluxo[[#This Row],[data]])-SUMIFS(estoque[quantidade],estoque[fornecedor],"saída",estoque[data],SituaçãoEstoqueFluxo[[#This Row],[data]])</f>
        <v>-9</v>
      </c>
      <c r="AP132" s="116">
        <f t="shared" ref="AP132:AP195" si="9">AP131-1</f>
        <v>46102</v>
      </c>
      <c r="AQ13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8.6666666666666661</v>
      </c>
      <c r="AR13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13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5.5</v>
      </c>
      <c r="AT13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</v>
      </c>
      <c r="AU1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2" s="82" cm="1">
        <f t="array" aca="1" ref="AV1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31.071428571428569</v>
      </c>
      <c r="AW132" s="82" cm="1">
        <f t="array" aca="1" ref="AW1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10.357142857142858</v>
      </c>
      <c r="AX132" s="82">
        <f>SUM(FluxoEstoqueDateTime[[#This Row],[OVO BRANCO A]:[OVO BRANCO JUMBO]])</f>
        <v>30.666666666666664</v>
      </c>
    </row>
    <row r="133" spans="1:50" x14ac:dyDescent="0.25">
      <c r="A133" s="4" t="s">
        <v>20</v>
      </c>
      <c r="B133" s="55" t="s">
        <v>11</v>
      </c>
      <c r="C133" s="5">
        <v>5</v>
      </c>
      <c r="D133" s="56">
        <v>18</v>
      </c>
      <c r="E133" s="56">
        <v>90</v>
      </c>
      <c r="F133" s="157">
        <v>46204</v>
      </c>
      <c r="G133" s="4" t="s">
        <v>32</v>
      </c>
      <c r="H133" s="4" t="s">
        <v>149</v>
      </c>
      <c r="I133" s="153">
        <v>17.07</v>
      </c>
      <c r="J133" s="12">
        <v>0.18970478869596163</v>
      </c>
      <c r="Z133" s="116">
        <f t="shared" si="7"/>
        <v>46101</v>
      </c>
      <c r="AA13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1.8571428571428572</v>
      </c>
      <c r="AB13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18.857142857142858</v>
      </c>
      <c r="AC13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4.8571428571428568</v>
      </c>
      <c r="AD13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13.285714285714286</v>
      </c>
      <c r="AE13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13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</v>
      </c>
      <c r="AG13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65.61566807525908</v>
      </c>
      <c r="AH133" s="116">
        <f t="shared" si="8"/>
        <v>46101</v>
      </c>
      <c r="AI133" s="1" t="str" cm="1">
        <f t="array" ref="AI133">IFERROR(_xlfn.IFS(AQ133="","Sem Produto",AND(AQ133/(AA133/12)&gt;0,AQ133/(AA133/12)&lt;=2),"Acabando",AND(AQ133/(AA133/12)&gt;2,AQ133/(AA133/12)&lt;=3),"Fazer Pedido",AND(AQ133/(AA133/12)&gt;3,AQ133/(AA133/12)&lt;=7),"OK",AND(AQ133/(AA133/12)&gt;7,AQ133/(AA133/12)&lt;=14),"Abaixar Preço",AND(AQ133/(AA133/12)&gt;14,AQ133/(AA133/12)&lt;=20),"Estabilizando",AQ133/(AA133/12)&gt;20,"Instavel"),"Instavel")</f>
        <v>Instavel</v>
      </c>
      <c r="AJ133" s="1" t="str" cm="1">
        <f t="array" ref="AJ133">IFERROR(_xlfn.IFS(AR133="","Sem Produto",AND(AR133/(AB133/12)&gt;0,AR133/(AB133/12)&lt;=2),"Acabando",AND(AR133/(AB133/12)&gt;2,AR133/(AB133/12)&lt;=3),"Fazer Pedido",AND(AR133/(AB133/12)&gt;3,AR133/(AB133/12)&lt;=7),"OK",AND(AR133/(AB133/12)&gt;7,AR133/(AB133/12)&lt;=14),"Abaixar Preço",AND(AR133/(AB133/12)&gt;14,AR133/(AB133/12)&lt;=20),"Estabilizando",AR133/(AB133/12)&gt;20,"Instavel"),"Instavel")</f>
        <v>OK</v>
      </c>
      <c r="AK133" s="1" t="str" cm="1">
        <f t="array" ref="AK133">IFERROR(_xlfn.IFS(AS133="","Sem Produto",AND(AS133/(AC133/12)&gt;0,AS133/(AC133/12)&lt;=2),"Acabando",AND(AS133/(AC133/12)&gt;2,AS133/(AC133/12)&lt;=3),"Fazer Pedido",AND(AS133/(AC133/12)&gt;3,AS133/(AC133/12)&lt;=7),"OK",AND(AS133/(AC133/12)&gt;7,AS133/(AC133/12)&lt;=14),"Abaixar Preço",AND(AS133/(AC133/12)&gt;14,AS133/(AC133/12)&lt;=20),"Estabilizando",AS133/(AC133/12)&gt;20,"Instavel"),"Instavel")</f>
        <v>Abaixar Preço</v>
      </c>
      <c r="AL133" s="1" t="str" cm="1">
        <f t="array" ref="AL133">IFERROR(_xlfn.IFS(AT133="","Sem Produto",AND(AT133/(AD133/12)&gt;0,AT133/(AD133/12)&lt;=2),"Acabando",AND(AT133/(AD133/12)&gt;2,AT133/(AD133/12)&lt;=3),"Fazer Pedido",AND(AT133/(AD133/12)&gt;3,AT133/(AD133/12)&lt;=7),"OK",AND(AT133/(AD133/12)&gt;7,AT133/(AD133/12)&lt;=14),"Abaixar Preço",AND(AT133/(AD133/12)&gt;14,AT133/(AD133/12)&lt;=20),"Estabilizando",AT133/(AD133/12)&gt;20,"Instavel"),"Instavel")</f>
        <v>Abaixar Preço</v>
      </c>
      <c r="AM133" s="1" t="str" cm="1">
        <f t="array" ref="AM133">IFERROR(_xlfn.IFS(AU133="","Sem Produto",AND(AU133/(AE133/12)&gt;0,AU133/(AE133/12)&lt;=2),"Acabando",AND(AU133/(AE133/12)&gt;2,AU133/(AE133/12)&lt;=3),"Fazer Pedido",AND(AU133/(AE133/12)&gt;3,AU133/(AE133/12)&lt;=7),"OK",AND(AU133/(AE133/12)&gt;7,AU133/(AE133/12)&lt;=14),"Abaixar Preço",AND(AU133/(AE133/12)&gt;14,AU133/(AE133/12)&lt;=20),"Estabilizando",AU133/(AE133/12)&gt;20,"Instavel"),"Instavel")</f>
        <v>Sem Produto</v>
      </c>
      <c r="AN133" s="1" t="str">
        <f ca="1">IF(SUMIF(vendaAno[data],SituaçãoEstoqueFluxo[[#This Row],[data]],vendaAno[estoque])=0,"Algo errado",IF(AND(AX133/AW133&gt;0,AX133/AW133&lt;=1),"Alerta",IF(AND(AX133/AW133&gt;1,AX133/AW133&lt;=1.5),"Fazer pedido",IF(AND(AX133/AW133&gt;1.5,AX133/AW133&lt;=2),"Ok",IF(AND(AX133/AW133&gt;2,AX133/AW133&lt;=2.5),"Estabilizando",IF(AND(AX133/AW133&gt;2.5,AX133/AW133&lt;=3),"Cheio","Abaixar preço"))))))</f>
        <v>Cheio</v>
      </c>
      <c r="AO133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33" s="116">
        <f t="shared" si="9"/>
        <v>46101</v>
      </c>
      <c r="AQ13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8.9166666666666661</v>
      </c>
      <c r="AR13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3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5.583333333333333</v>
      </c>
      <c r="AT13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10.333333333333334</v>
      </c>
      <c r="AU1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3" s="82" cm="1">
        <f t="array" aca="1" ref="AV1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32.250000000000007</v>
      </c>
      <c r="AW133" s="82" cm="1">
        <f t="array" aca="1" ref="AW1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10.75</v>
      </c>
      <c r="AX133" s="82">
        <f>SUM(FluxoEstoqueDateTime[[#This Row],[OVO BRANCO A]:[OVO BRANCO JUMBO]])</f>
        <v>31.416666666666664</v>
      </c>
    </row>
    <row r="134" spans="1:50" x14ac:dyDescent="0.25">
      <c r="A134" s="4" t="s">
        <v>20</v>
      </c>
      <c r="B134" s="55" t="s">
        <v>10</v>
      </c>
      <c r="C134" s="5">
        <v>20</v>
      </c>
      <c r="D134" s="56">
        <v>19</v>
      </c>
      <c r="E134" s="56">
        <v>374</v>
      </c>
      <c r="F134" s="157">
        <v>46204</v>
      </c>
      <c r="G134" s="4" t="s">
        <v>32</v>
      </c>
      <c r="H134" s="4" t="s">
        <v>149</v>
      </c>
      <c r="I134" s="153">
        <v>65.67</v>
      </c>
      <c r="J134" s="12">
        <v>0.1755793226381463</v>
      </c>
      <c r="Z134" s="116">
        <f t="shared" si="7"/>
        <v>46100</v>
      </c>
      <c r="AA13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1.1428571428571428</v>
      </c>
      <c r="AB13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15.428571428571429</v>
      </c>
      <c r="AC13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3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13.285714285714286</v>
      </c>
      <c r="AE13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13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39.428571428571431</v>
      </c>
      <c r="AG13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66.088856961290844</v>
      </c>
      <c r="AH134" s="116">
        <f t="shared" si="8"/>
        <v>46100</v>
      </c>
      <c r="AI134" s="1" t="str" cm="1">
        <f t="array" ref="AI134">IFERROR(_xlfn.IFS(AQ134="","Sem Produto",AND(AQ134/(AA134/12)&gt;0,AQ134/(AA134/12)&lt;=2),"Acabando",AND(AQ134/(AA134/12)&gt;2,AQ134/(AA134/12)&lt;=3),"Fazer Pedido",AND(AQ134/(AA134/12)&gt;3,AQ134/(AA134/12)&lt;=7),"OK",AND(AQ134/(AA134/12)&gt;7,AQ134/(AA134/12)&lt;=14),"Abaixar Preço",AND(AQ134/(AA134/12)&gt;14,AQ134/(AA134/12)&lt;=20),"Estabilizando",AQ134/(AA134/12)&gt;20,"Instavel"),"Instavel")</f>
        <v>Instavel</v>
      </c>
      <c r="AJ134" s="1" t="str" cm="1">
        <f t="array" ref="AJ134">IFERROR(_xlfn.IFS(AR134="","Sem Produto",AND(AR134/(AB134/12)&gt;0,AR134/(AB134/12)&lt;=2),"Acabando",AND(AR134/(AB134/12)&gt;2,AR134/(AB134/12)&lt;=3),"Fazer Pedido",AND(AR134/(AB134/12)&gt;3,AR134/(AB134/12)&lt;=7),"OK",AND(AR134/(AB134/12)&gt;7,AR134/(AB134/12)&lt;=14),"Abaixar Preço",AND(AR134/(AB134/12)&gt;14,AR134/(AB134/12)&lt;=20),"Estabilizando",AR134/(AB134/12)&gt;20,"Instavel"),"Instavel")</f>
        <v>Abaixar Preço</v>
      </c>
      <c r="AK134" s="1" t="str" cm="1">
        <f t="array" ref="AK134">IFERROR(_xlfn.IFS(AS134="","Sem Produto",AND(AS134/(AC134/12)&gt;0,AS134/(AC134/12)&lt;=2),"Acabando",AND(AS134/(AC134/12)&gt;2,AS134/(AC134/12)&lt;=3),"Fazer Pedido",AND(AS134/(AC134/12)&gt;3,AS134/(AC134/12)&lt;=7),"OK",AND(AS134/(AC134/12)&gt;7,AS134/(AC134/12)&lt;=14),"Abaixar Preço",AND(AS134/(AC134/12)&gt;14,AS134/(AC134/12)&lt;=20),"Estabilizando",AS134/(AC134/12)&gt;20,"Instavel"),"Instavel")</f>
        <v>Estabilizando</v>
      </c>
      <c r="AL134" s="1" t="str" cm="1">
        <f t="array" ref="AL134">IFERROR(_xlfn.IFS(AT134="","Sem Produto",AND(AT134/(AD134/12)&gt;0,AT134/(AD134/12)&lt;=2),"Acabando",AND(AT134/(AD134/12)&gt;2,AT134/(AD134/12)&lt;=3),"Fazer Pedido",AND(AT134/(AD134/12)&gt;3,AT134/(AD134/12)&lt;=7),"OK",AND(AT134/(AD134/12)&gt;7,AT134/(AD134/12)&lt;=14),"Abaixar Preço",AND(AT134/(AD134/12)&gt;14,AT134/(AD134/12)&lt;=20),"Estabilizando",AT134/(AD134/12)&gt;20,"Instavel"),"Instavel")</f>
        <v>Abaixar Preço</v>
      </c>
      <c r="AM134" s="1" t="str" cm="1">
        <f t="array" ref="AM134">IFERROR(_xlfn.IFS(AU134="","Sem Produto",AND(AU134/(AE134/12)&gt;0,AU134/(AE134/12)&lt;=2),"Acabando",AND(AU134/(AE134/12)&gt;2,AU134/(AE134/12)&lt;=3),"Fazer Pedido",AND(AU134/(AE134/12)&gt;3,AU134/(AE134/12)&lt;=7),"OK",AND(AU134/(AE134/12)&gt;7,AU134/(AE134/12)&lt;=14),"Abaixar Preço",AND(AU134/(AE134/12)&gt;14,AU134/(AE134/12)&lt;=20),"Estabilizando",AU134/(AE134/12)&gt;20,"Instavel"),"Instavel")</f>
        <v>Sem Produto</v>
      </c>
      <c r="AN134" s="1" t="str">
        <f ca="1">IF(SUMIF(vendaAno[data],SituaçãoEstoqueFluxo[[#This Row],[data]],vendaAno[estoque])=0,"Algo errado",IF(AND(AX134/AW134&gt;0,AX134/AW134&lt;=1),"Alerta",IF(AND(AX134/AW134&gt;1,AX134/AW134&lt;=1.5),"Fazer pedido",IF(AND(AX134/AW134&gt;1.5,AX134/AW134&lt;=2),"Ok",IF(AND(AX134/AW134&gt;2,AX134/AW134&lt;=2.5),"Estabilizando",IF(AND(AX134/AW134&gt;2.5,AX134/AW134&lt;=3),"Cheio","Abaixar preço"))))))</f>
        <v>Abaixar preço</v>
      </c>
      <c r="AO134" s="82">
        <f>SUMIFS(estoque[quantidade],estoque[fornecedor],"&lt;&gt;saída",estoque[data],SituaçãoEstoqueFluxo[[#This Row],[data]])-SUMIFS(estoque[quantidade],estoque[fornecedor],"saída",estoque[data],SituaçãoEstoqueFluxo[[#This Row],[data]])</f>
        <v>-53</v>
      </c>
      <c r="AP134" s="116">
        <f t="shared" si="9"/>
        <v>46100</v>
      </c>
      <c r="AQ13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9.3333333333333339</v>
      </c>
      <c r="AR13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3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6.166666666666667</v>
      </c>
      <c r="AT13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3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4" s="82" cm="1">
        <f t="array" aca="1" ref="AV1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29.571428571428573</v>
      </c>
      <c r="AW134" s="82" cm="1">
        <f t="array" aca="1" ref="AW1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9.8571428571428577</v>
      </c>
      <c r="AX134" s="82">
        <f>SUM(FluxoEstoqueDateTime[[#This Row],[OVO BRANCO A]:[OVO BRANCO JUMBO]])</f>
        <v>36.5</v>
      </c>
    </row>
    <row r="135" spans="1:50" x14ac:dyDescent="0.25">
      <c r="A135" s="4" t="s">
        <v>31</v>
      </c>
      <c r="B135" s="55" t="s">
        <v>13</v>
      </c>
      <c r="C135" s="5">
        <v>60</v>
      </c>
      <c r="D135" s="56">
        <v>190</v>
      </c>
      <c r="E135" s="56">
        <v>950</v>
      </c>
      <c r="F135" s="157">
        <v>46204</v>
      </c>
      <c r="G135" s="4" t="s">
        <v>32</v>
      </c>
      <c r="H135" s="4" t="s">
        <v>149</v>
      </c>
      <c r="I135" s="153"/>
      <c r="J135" s="12"/>
      <c r="Z135" s="116">
        <f t="shared" si="7"/>
        <v>46099</v>
      </c>
      <c r="AA13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1.4285714285714286</v>
      </c>
      <c r="AB13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</v>
      </c>
      <c r="AC13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4.4285714285714288</v>
      </c>
      <c r="AD13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3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3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13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66.702034084661932</v>
      </c>
      <c r="AH135" s="116">
        <f t="shared" si="8"/>
        <v>46099</v>
      </c>
      <c r="AI135" s="1" t="str" cm="1">
        <f t="array" ref="AI135">IFERROR(_xlfn.IFS(AQ135="","Sem Produto",AND(AQ135/(AA135/12)&gt;0,AQ135/(AA135/12)&lt;=2),"Acabando",AND(AQ135/(AA135/12)&gt;2,AQ135/(AA135/12)&lt;=3),"Fazer Pedido",AND(AQ135/(AA135/12)&gt;3,AQ135/(AA135/12)&lt;=7),"OK",AND(AQ135/(AA135/12)&gt;7,AQ135/(AA135/12)&lt;=14),"Abaixar Preço",AND(AQ135/(AA135/12)&gt;14,AQ135/(AA135/12)&lt;=20),"Estabilizando",AQ135/(AA135/12)&gt;20,"Instavel"),"Instavel")</f>
        <v>Instavel</v>
      </c>
      <c r="AJ135" s="1" t="str" cm="1">
        <f t="array" ref="AJ135">IFERROR(_xlfn.IFS(AR135="","Sem Produto",AND(AR135/(AB135/12)&gt;0,AR135/(AB135/12)&lt;=2),"Acabando",AND(AR135/(AB135/12)&gt;2,AR135/(AB135/12)&lt;=3),"Fazer Pedido",AND(AR135/(AB135/12)&gt;3,AR135/(AB135/12)&lt;=7),"OK",AND(AR135/(AB135/12)&gt;7,AR135/(AB135/12)&lt;=14),"Abaixar Preço",AND(AR135/(AB135/12)&gt;14,AR135/(AB135/12)&lt;=20),"Estabilizando",AR135/(AB135/12)&gt;20,"Instavel"),"Instavel")</f>
        <v>Abaixar Preço</v>
      </c>
      <c r="AK135" s="1" t="str" cm="1">
        <f t="array" ref="AK135">IFERROR(_xlfn.IFS(AS135="","Sem Produto",AND(AS135/(AC135/12)&gt;0,AS135/(AC135/12)&lt;=2),"Acabando",AND(AS135/(AC135/12)&gt;2,AS135/(AC135/12)&lt;=3),"Fazer Pedido",AND(AS135/(AC135/12)&gt;3,AS135/(AC135/12)&lt;=7),"OK",AND(AS135/(AC135/12)&gt;7,AS135/(AC135/12)&lt;=14),"Abaixar Preço",AND(AS135/(AC135/12)&gt;14,AS135/(AC135/12)&lt;=20),"Estabilizando",AS135/(AC135/12)&gt;20,"Instavel"),"Instavel")</f>
        <v>Estabilizando</v>
      </c>
      <c r="AL135" s="1" t="str" cm="1">
        <f t="array" ref="AL135">IFERROR(_xlfn.IFS(AT135="","Sem Produto",AND(AT135/(AD135/12)&gt;0,AT135/(AD135/12)&lt;=2),"Acabando",AND(AT135/(AD135/12)&gt;2,AT135/(AD135/12)&lt;=3),"Fazer Pedido",AND(AT135/(AD135/12)&gt;3,AT135/(AD135/12)&lt;=7),"OK",AND(AT135/(AD135/12)&gt;7,AT135/(AD135/12)&lt;=14),"Abaixar Preço",AND(AT135/(AD135/12)&gt;14,AT135/(AD135/12)&lt;=20),"Estabilizando",AT135/(AD135/12)&gt;20,"Instavel"),"Instavel")</f>
        <v>Abaixar Preço</v>
      </c>
      <c r="AM135" s="1" t="str" cm="1">
        <f t="array" ref="AM135">IFERROR(_xlfn.IFS(AU135="","Sem Produto",AND(AU135/(AE135/12)&gt;0,AU135/(AE135/12)&lt;=2),"Acabando",AND(AU135/(AE135/12)&gt;2,AU135/(AE135/12)&lt;=3),"Fazer Pedido",AND(AU135/(AE135/12)&gt;3,AU135/(AE135/12)&lt;=7),"OK",AND(AU135/(AE135/12)&gt;7,AU135/(AE135/12)&lt;=14),"Abaixar Preço",AND(AU135/(AE135/12)&gt;14,AU135/(AE135/12)&lt;=20),"Estabilizando",AU135/(AE135/12)&gt;20,"Instavel"),"Instavel")</f>
        <v>Sem Produto</v>
      </c>
      <c r="AN135" s="1" t="str">
        <f ca="1">IF(SUMIF(vendaAno[data],SituaçãoEstoqueFluxo[[#This Row],[data]],vendaAno[estoque])=0,"Algo errado",IF(AND(AX135/AW135&gt;0,AX135/AW135&lt;=1),"Alerta",IF(AND(AX135/AW135&gt;1,AX135/AW135&lt;=1.5),"Fazer pedido",IF(AND(AX135/AW135&gt;1.5,AX135/AW135&lt;=2),"Ok",IF(AND(AX135/AW135&gt;2,AX135/AW135&lt;=2.5),"Estabilizando",IF(AND(AX135/AW135&gt;2.5,AX135/AW135&lt;=3),"Cheio","Abaixar preço"))))))</f>
        <v>Abaixar preço</v>
      </c>
      <c r="AO135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35" s="116">
        <f t="shared" si="9"/>
        <v>46099</v>
      </c>
      <c r="AQ13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9.6666666666666661</v>
      </c>
      <c r="AR13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3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6.583333333333333</v>
      </c>
      <c r="AT13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13.416666666666666</v>
      </c>
      <c r="AU13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5" s="82" cm="1">
        <f t="array" aca="1" ref="AV1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27.75</v>
      </c>
      <c r="AW135" s="82" cm="1">
        <f t="array" aca="1" ref="AW1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135" s="82">
        <f>SUM(FluxoEstoqueDateTime[[#This Row],[OVO BRANCO A]:[OVO BRANCO JUMBO]])</f>
        <v>40.916666666666664</v>
      </c>
    </row>
    <row r="136" spans="1:50" x14ac:dyDescent="0.25">
      <c r="A136" s="4" t="s">
        <v>31</v>
      </c>
      <c r="B136" s="55" t="s">
        <v>14</v>
      </c>
      <c r="C136" s="5">
        <v>120</v>
      </c>
      <c r="D136" s="56">
        <v>195</v>
      </c>
      <c r="E136" s="56">
        <v>1950</v>
      </c>
      <c r="F136" s="157">
        <v>46204</v>
      </c>
      <c r="G136" s="4" t="s">
        <v>32</v>
      </c>
      <c r="H136" s="4" t="s">
        <v>149</v>
      </c>
      <c r="I136" s="153"/>
      <c r="J136" s="12"/>
      <c r="Z136" s="116">
        <f t="shared" si="7"/>
        <v>46098</v>
      </c>
      <c r="AA13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0.8571428571428571</v>
      </c>
      <c r="AB13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13.714285714285714</v>
      </c>
      <c r="AC13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3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3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9.8571428571428577</v>
      </c>
      <c r="AF13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37.571428571428569</v>
      </c>
      <c r="AG13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64.740587675571277</v>
      </c>
      <c r="AH136" s="116">
        <f t="shared" si="8"/>
        <v>46098</v>
      </c>
      <c r="AI136" s="1" t="str" cm="1">
        <f t="array" ref="AI136">IFERROR(_xlfn.IFS(AQ136="","Sem Produto",AND(AQ136/(AA136/12)&gt;0,AQ136/(AA136/12)&lt;=2),"Acabando",AND(AQ136/(AA136/12)&gt;2,AQ136/(AA136/12)&lt;=3),"Fazer Pedido",AND(AQ136/(AA136/12)&gt;3,AQ136/(AA136/12)&lt;=7),"OK",AND(AQ136/(AA136/12)&gt;7,AQ136/(AA136/12)&lt;=14),"Abaixar Preço",AND(AQ136/(AA136/12)&gt;14,AQ136/(AA136/12)&lt;=20),"Estabilizando",AQ136/(AA136/12)&gt;20,"Instavel"),"Instavel")</f>
        <v>Instavel</v>
      </c>
      <c r="AJ136" s="1" t="str" cm="1">
        <f t="array" ref="AJ136">IFERROR(_xlfn.IFS(AR136="","Sem Produto",AND(AR136/(AB136/12)&gt;0,AR136/(AB136/12)&lt;=2),"Acabando",AND(AR136/(AB136/12)&gt;2,AR136/(AB136/12)&lt;=3),"Fazer Pedido",AND(AR136/(AB136/12)&gt;3,AR136/(AB136/12)&lt;=7),"OK",AND(AR136/(AB136/12)&gt;7,AR136/(AB136/12)&lt;=14),"Abaixar Preço",AND(AR136/(AB136/12)&gt;14,AR136/(AB136/12)&lt;=20),"Estabilizando",AR136/(AB136/12)&gt;20,"Instavel"),"Instavel")</f>
        <v>Abaixar Preço</v>
      </c>
      <c r="AK136" s="1" t="str" cm="1">
        <f t="array" ref="AK136">IFERROR(_xlfn.IFS(AS136="","Sem Produto",AND(AS136/(AC136/12)&gt;0,AS136/(AC136/12)&lt;=2),"Acabando",AND(AS136/(AC136/12)&gt;2,AS136/(AC136/12)&lt;=3),"Fazer Pedido",AND(AS136/(AC136/12)&gt;3,AS136/(AC136/12)&lt;=7),"OK",AND(AS136/(AC136/12)&gt;7,AS136/(AC136/12)&lt;=14),"Abaixar Preço",AND(AS136/(AC136/12)&gt;14,AS136/(AC136/12)&lt;=20),"Estabilizando",AS136/(AC136/12)&gt;20,"Instavel"),"Instavel")</f>
        <v>Instavel</v>
      </c>
      <c r="AL136" s="1" t="str" cm="1">
        <f t="array" ref="AL136">IFERROR(_xlfn.IFS(AT136="","Sem Produto",AND(AT136/(AD136/12)&gt;0,AT136/(AD136/12)&lt;=2),"Acabando",AND(AT136/(AD136/12)&gt;2,AT136/(AD136/12)&lt;=3),"Fazer Pedido",AND(AT136/(AD136/12)&gt;3,AT136/(AD136/12)&lt;=7),"OK",AND(AT136/(AD136/12)&gt;7,AT136/(AD136/12)&lt;=14),"Abaixar Preço",AND(AT136/(AD136/12)&gt;14,AT136/(AD136/12)&lt;=20),"Estabilizando",AT136/(AD136/12)&gt;20,"Instavel"),"Instavel")</f>
        <v>Estabilizando</v>
      </c>
      <c r="AM136" s="1" t="str" cm="1">
        <f t="array" ref="AM136">IFERROR(_xlfn.IFS(AU136="","Sem Produto",AND(AU136/(AE136/12)&gt;0,AU136/(AE136/12)&lt;=2),"Acabando",AND(AU136/(AE136/12)&gt;2,AU136/(AE136/12)&lt;=3),"Fazer Pedido",AND(AU136/(AE136/12)&gt;3,AU136/(AE136/12)&lt;=7),"OK",AND(AU136/(AE136/12)&gt;7,AU136/(AE136/12)&lt;=14),"Abaixar Preço",AND(AU136/(AE136/12)&gt;14,AU136/(AE136/12)&lt;=20),"Estabilizando",AU136/(AE136/12)&gt;20,"Instavel"),"Instavel")</f>
        <v>Sem Produto</v>
      </c>
      <c r="AN136" s="1" t="str">
        <f ca="1">IF(SUMIF(vendaAno[data],SituaçãoEstoqueFluxo[[#This Row],[data]],vendaAno[estoque])=0,"Algo errado",IF(AND(AX136/AW136&gt;0,AX136/AW136&lt;=1),"Alerta",IF(AND(AX136/AW136&gt;1,AX136/AW136&lt;=1.5),"Fazer pedido",IF(AND(AX136/AW136&gt;1.5,AX136/AW136&lt;=2),"Ok",IF(AND(AX136/AW136&gt;2,AX136/AW136&lt;=2.5),"Estabilizando",IF(AND(AX136/AW136&gt;2.5,AX136/AW136&lt;=3),"Cheio","Abaixar preço"))))))</f>
        <v>Abaixar preço</v>
      </c>
      <c r="AO136" s="82">
        <f>SUMIFS(estoque[quantidade],estoque[fornecedor],"&lt;&gt;saída",estoque[data],SituaçãoEstoqueFluxo[[#This Row],[data]])-SUMIFS(estoque[quantidade],estoque[fornecedor],"saída",estoque[data],SituaçãoEstoqueFluxo[[#This Row],[data]])</f>
        <v>394</v>
      </c>
      <c r="AP136" s="116">
        <f t="shared" si="9"/>
        <v>46098</v>
      </c>
      <c r="AQ13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</v>
      </c>
      <c r="AR13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11.75</v>
      </c>
      <c r="AS13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7.833333333333333</v>
      </c>
      <c r="AT13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15</v>
      </c>
      <c r="AU13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6" s="82" cm="1">
        <f t="array" aca="1" ref="AV1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28.178571428571427</v>
      </c>
      <c r="AW136" s="82" cm="1">
        <f t="array" aca="1" ref="AW1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9.3928571428571423</v>
      </c>
      <c r="AX136" s="82">
        <f>SUM(FluxoEstoqueDateTime[[#This Row],[OVO BRANCO A]:[OVO BRANCO JUMBO]])</f>
        <v>44.583333333333329</v>
      </c>
    </row>
    <row r="137" spans="1:50" x14ac:dyDescent="0.25">
      <c r="A137" s="4" t="s">
        <v>20</v>
      </c>
      <c r="B137" s="55" t="s">
        <v>14</v>
      </c>
      <c r="C137" s="5">
        <v>9</v>
      </c>
      <c r="D137" s="56">
        <v>23</v>
      </c>
      <c r="E137" s="56">
        <v>207</v>
      </c>
      <c r="F137" s="157">
        <v>46203</v>
      </c>
      <c r="G137" s="4" t="s">
        <v>290</v>
      </c>
      <c r="H137" s="4" t="s">
        <v>148</v>
      </c>
      <c r="I137" s="153">
        <v>60.56</v>
      </c>
      <c r="J137" s="12">
        <v>0.29254049445865293</v>
      </c>
      <c r="Z137" s="116">
        <f t="shared" si="7"/>
        <v>46097</v>
      </c>
      <c r="AA13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1.7142857142857142</v>
      </c>
      <c r="AB13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15.285714285714286</v>
      </c>
      <c r="AC13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3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</v>
      </c>
      <c r="AE13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11.142857142857142</v>
      </c>
      <c r="AF13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42.571428571428569</v>
      </c>
      <c r="AG13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67.697269951113398</v>
      </c>
      <c r="AH137" s="116">
        <f t="shared" si="8"/>
        <v>46097</v>
      </c>
      <c r="AI137" s="1" t="str" cm="1">
        <f t="array" ref="AI137">IFERROR(_xlfn.IFS(AQ137="","Sem Produto",AND(AQ137/(AA137/12)&gt;0,AQ137/(AA137/12)&lt;=2),"Acabando",AND(AQ137/(AA137/12)&gt;2,AQ137/(AA137/12)&lt;=3),"Fazer Pedido",AND(AQ137/(AA137/12)&gt;3,AQ137/(AA137/12)&lt;=7),"OK",AND(AQ137/(AA137/12)&gt;7,AQ137/(AA137/12)&lt;=14),"Abaixar Preço",AND(AQ137/(AA137/12)&gt;14,AQ137/(AA137/12)&lt;=20),"Estabilizando",AQ137/(AA137/12)&gt;20,"Instavel"),"Instavel")</f>
        <v>Sem Produto</v>
      </c>
      <c r="AJ137" s="1" t="str" cm="1">
        <f t="array" ref="AJ137">IFERROR(_xlfn.IFS(AR137="","Sem Produto",AND(AR137/(AB137/12)&gt;0,AR137/(AB137/12)&lt;=2),"Acabando",AND(AR137/(AB137/12)&gt;2,AR137/(AB137/12)&lt;=3),"Fazer Pedido",AND(AR137/(AB137/12)&gt;3,AR137/(AB137/12)&lt;=7),"OK",AND(AR137/(AB137/12)&gt;7,AR137/(AB137/12)&lt;=14),"Abaixar Preço",AND(AR137/(AB137/12)&gt;14,AR137/(AB137/12)&lt;=20),"Estabilizando",AR137/(AB137/12)&gt;20,"Instavel"),"Instavel")</f>
        <v>Fazer Pedido</v>
      </c>
      <c r="AK137" s="1" t="str" cm="1">
        <f t="array" ref="AK137">IFERROR(_xlfn.IFS(AS137="","Sem Produto",AND(AS137/(AC137/12)&gt;0,AS137/(AC137/12)&lt;=2),"Acabando",AND(AS137/(AC137/12)&gt;2,AS137/(AC137/12)&lt;=3),"Fazer Pedido",AND(AS137/(AC137/12)&gt;3,AS137/(AC137/12)&lt;=7),"OK",AND(AS137/(AC137/12)&gt;7,AS137/(AC137/12)&lt;=14),"Abaixar Preço",AND(AS137/(AC137/12)&gt;14,AS137/(AC137/12)&lt;=20),"Estabilizando",AS137/(AC137/12)&gt;20,"Instavel"),"Instavel")</f>
        <v>Instavel</v>
      </c>
      <c r="AL137" s="1" t="str" cm="1">
        <f t="array" ref="AL137">IFERROR(_xlfn.IFS(AT137="","Sem Produto",AND(AT137/(AD137/12)&gt;0,AT137/(AD137/12)&lt;=2),"Acabando",AND(AT137/(AD137/12)&gt;2,AT137/(AD137/12)&lt;=3),"Fazer Pedido",AND(AT137/(AD137/12)&gt;3,AT137/(AD137/12)&lt;=7),"OK",AND(AT137/(AD137/12)&gt;7,AT137/(AD137/12)&lt;=14),"Abaixar Preço",AND(AT137/(AD137/12)&gt;14,AT137/(AD137/12)&lt;=20),"Estabilizando",AT137/(AD137/12)&gt;20,"Instavel"),"Instavel")</f>
        <v>Sem Produto</v>
      </c>
      <c r="AM137" s="1" t="str" cm="1">
        <f t="array" ref="AM137">IFERROR(_xlfn.IFS(AU137="","Sem Produto",AND(AU137/(AE137/12)&gt;0,AU137/(AE137/12)&lt;=2),"Acabando",AND(AU137/(AE137/12)&gt;2,AU137/(AE137/12)&lt;=3),"Fazer Pedido",AND(AU137/(AE137/12)&gt;3,AU137/(AE137/12)&lt;=7),"OK",AND(AU137/(AE137/12)&gt;7,AU137/(AE137/12)&lt;=14),"Abaixar Preço",AND(AU137/(AE137/12)&gt;14,AU137/(AE137/12)&lt;=20),"Estabilizando",AU137/(AE137/12)&gt;20,"Instavel"),"Instavel")</f>
        <v>Sem Produto</v>
      </c>
      <c r="AN137" s="1" t="str">
        <f ca="1">IF(SUMIF(vendaAno[data],SituaçãoEstoqueFluxo[[#This Row],[data]],vendaAno[estoque])=0,"Algo errado",IF(AND(AX137/AW137&gt;0,AX137/AW137&lt;=1),"Alerta",IF(AND(AX137/AW137&gt;1,AX137/AW137&lt;=1.5),"Fazer pedido",IF(AND(AX137/AW137&gt;1.5,AX137/AW137&lt;=2),"Ok",IF(AND(AX137/AW137&gt;2,AX137/AW137&lt;=2.5),"Estabilizando",IF(AND(AX137/AW137&gt;2.5,AX137/AW137&lt;=3),"Cheio","Abaixar preço"))))))</f>
        <v>Fazer pedido</v>
      </c>
      <c r="AO137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137" s="116">
        <f t="shared" si="9"/>
        <v>46097</v>
      </c>
      <c r="AQ13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3.75</v>
      </c>
      <c r="AS13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</v>
      </c>
      <c r="AT13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13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7" s="82" cm="1">
        <f t="array" aca="1" ref="AV1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31.928571428571431</v>
      </c>
      <c r="AW137" s="82" cm="1">
        <f t="array" aca="1" ref="AW1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10.642857142857142</v>
      </c>
      <c r="AX137" s="82">
        <f>SUM(FluxoEstoqueDateTime[[#This Row],[OVO BRANCO A]:[OVO BRANCO JUMBO]])</f>
        <v>11.75</v>
      </c>
    </row>
    <row r="138" spans="1:50" x14ac:dyDescent="0.25">
      <c r="A138" s="4" t="s">
        <v>20</v>
      </c>
      <c r="B138" s="55" t="s">
        <v>13</v>
      </c>
      <c r="C138" s="5">
        <v>7</v>
      </c>
      <c r="D138" s="56">
        <v>20</v>
      </c>
      <c r="E138" s="56">
        <v>140</v>
      </c>
      <c r="F138" s="157">
        <v>46203</v>
      </c>
      <c r="G138" s="4" t="s">
        <v>290</v>
      </c>
      <c r="H138" s="4" t="s">
        <v>148</v>
      </c>
      <c r="I138" s="153">
        <v>29.17</v>
      </c>
      <c r="J138" s="12">
        <v>0.20833333333333331</v>
      </c>
      <c r="Z138" s="116">
        <f t="shared" si="7"/>
        <v>46096</v>
      </c>
      <c r="AA13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3.7142857142857144</v>
      </c>
      <c r="AB13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12.714285714285714</v>
      </c>
      <c r="AC13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3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3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12.857142857142858</v>
      </c>
      <c r="AF13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42.714285714285715</v>
      </c>
      <c r="AG13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63.797217947928864</v>
      </c>
      <c r="AH138" s="116">
        <f t="shared" si="8"/>
        <v>46096</v>
      </c>
      <c r="AI138" s="1" t="str" cm="1">
        <f t="array" ref="AI138">IFERROR(_xlfn.IFS(AQ138="","Sem Produto",AND(AQ138/(AA138/12)&gt;0,AQ138/(AA138/12)&lt;=2),"Acabando",AND(AQ138/(AA138/12)&gt;2,AQ138/(AA138/12)&lt;=3),"Fazer Pedido",AND(AQ138/(AA138/12)&gt;3,AQ138/(AA138/12)&lt;=7),"OK",AND(AQ138/(AA138/12)&gt;7,AQ138/(AA138/12)&lt;=14),"Abaixar Preço",AND(AQ138/(AA138/12)&gt;14,AQ138/(AA138/12)&lt;=20),"Estabilizando",AQ138/(AA138/12)&gt;20,"Instavel"),"Instavel")</f>
        <v>Sem Produto</v>
      </c>
      <c r="AJ138" s="1" t="str" cm="1">
        <f t="array" ref="AJ138">IFERROR(_xlfn.IFS(AR138="","Sem Produto",AND(AR138/(AB138/12)&gt;0,AR138/(AB138/12)&lt;=2),"Acabando",AND(AR138/(AB138/12)&gt;2,AR138/(AB138/12)&lt;=3),"Fazer Pedido",AND(AR138/(AB138/12)&gt;3,AR138/(AB138/12)&lt;=7),"OK",AND(AR138/(AB138/12)&gt;7,AR138/(AB138/12)&lt;=14),"Abaixar Preço",AND(AR138/(AB138/12)&gt;14,AR138/(AB138/12)&lt;=20),"Estabilizando",AR138/(AB138/12)&gt;20,"Instavel"),"Instavel")</f>
        <v>OK</v>
      </c>
      <c r="AK138" s="1" t="str" cm="1">
        <f t="array" ref="AK138">IFERROR(_xlfn.IFS(AS138="","Sem Produto",AND(AS138/(AC138/12)&gt;0,AS138/(AC138/12)&lt;=2),"Acabando",AND(AS138/(AC138/12)&gt;2,AS138/(AC138/12)&lt;=3),"Fazer Pedido",AND(AS138/(AC138/12)&gt;3,AS138/(AC138/12)&lt;=7),"OK",AND(AS138/(AC138/12)&gt;7,AS138/(AC138/12)&lt;=14),"Abaixar Preço",AND(AS138/(AC138/12)&gt;14,AS138/(AC138/12)&lt;=20),"Estabilizando",AS138/(AC138/12)&gt;20,"Instavel"),"Instavel")</f>
        <v>Instavel</v>
      </c>
      <c r="AL138" s="1" t="str" cm="1">
        <f t="array" ref="AL138">IFERROR(_xlfn.IFS(AT138="","Sem Produto",AND(AT138/(AD138/12)&gt;0,AT138/(AD138/12)&lt;=2),"Acabando",AND(AT138/(AD138/12)&gt;2,AT138/(AD138/12)&lt;=3),"Fazer Pedido",AND(AT138/(AD138/12)&gt;3,AT138/(AD138/12)&lt;=7),"OK",AND(AT138/(AD138/12)&gt;7,AT138/(AD138/12)&lt;=14),"Abaixar Preço",AND(AT138/(AD138/12)&gt;14,AT138/(AD138/12)&lt;=20),"Estabilizando",AT138/(AD138/12)&gt;20,"Instavel"),"Instavel")</f>
        <v>Acabando</v>
      </c>
      <c r="AM138" s="1" t="str" cm="1">
        <f t="array" ref="AM138">IFERROR(_xlfn.IFS(AU138="","Sem Produto",AND(AU138/(AE138/12)&gt;0,AU138/(AE138/12)&lt;=2),"Acabando",AND(AU138/(AE138/12)&gt;2,AU138/(AE138/12)&lt;=3),"Fazer Pedido",AND(AU138/(AE138/12)&gt;3,AU138/(AE138/12)&lt;=7),"OK",AND(AU138/(AE138/12)&gt;7,AU138/(AE138/12)&lt;=14),"Abaixar Preço",AND(AU138/(AE138/12)&gt;14,AU138/(AE138/12)&lt;=20),"Estabilizando",AU138/(AE138/12)&gt;20,"Instavel"),"Instavel")</f>
        <v>Sem Produto</v>
      </c>
      <c r="AN138" s="1" t="str">
        <f ca="1">IF(SUMIF(vendaAno[data],SituaçãoEstoqueFluxo[[#This Row],[data]],vendaAno[estoque])=0,"Algo errado",IF(AND(AX138/AW138&gt;0,AX138/AW138&lt;=1),"Alerta",IF(AND(AX138/AW138&gt;1,AX138/AW138&lt;=1.5),"Fazer pedido",IF(AND(AX138/AW138&gt;1.5,AX138/AW138&lt;=2),"Ok",IF(AND(AX138/AW138&gt;2,AX138/AW138&lt;=2.5),"Estabilizando",IF(AND(AX138/AW138&gt;2.5,AX138/AW138&lt;=3),"Cheio","Abaixar preço"))))))</f>
        <v>Fazer pedido</v>
      </c>
      <c r="AO138" s="82">
        <f>SUMIFS(estoque[quantidade],estoque[fornecedor],"&lt;&gt;saída",estoque[data],SituaçãoEstoqueFluxo[[#This Row],[data]])-SUMIFS(estoque[quantidade],estoque[fornecedor],"saída",estoque[data],SituaçãoEstoqueFluxo[[#This Row],[data]])</f>
        <v>-54</v>
      </c>
      <c r="AP138" s="116">
        <f t="shared" si="9"/>
        <v>46096</v>
      </c>
      <c r="AQ13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13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8.1666666666666661</v>
      </c>
      <c r="AT13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1.6666666666666667</v>
      </c>
      <c r="AU13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38" s="82" cm="1">
        <f t="array" aca="1" ref="AV1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32.035714285714285</v>
      </c>
      <c r="AW138" s="82" cm="1">
        <f t="array" aca="1" ref="AW1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10.678571428571429</v>
      </c>
      <c r="AX138" s="82">
        <f>SUM(FluxoEstoqueDateTime[[#This Row],[OVO BRANCO A]:[OVO BRANCO JUMBO]])</f>
        <v>15.333333333333332</v>
      </c>
    </row>
    <row r="139" spans="1:50" x14ac:dyDescent="0.25">
      <c r="A139" s="4" t="s">
        <v>20</v>
      </c>
      <c r="B139" s="55" t="s">
        <v>12</v>
      </c>
      <c r="C139" s="5">
        <v>1</v>
      </c>
      <c r="D139" s="56">
        <v>15</v>
      </c>
      <c r="E139" s="56">
        <v>15</v>
      </c>
      <c r="F139" s="157">
        <v>46203</v>
      </c>
      <c r="G139" s="4" t="s">
        <v>290</v>
      </c>
      <c r="H139" s="4" t="s">
        <v>148</v>
      </c>
      <c r="I139" s="153">
        <v>1.17</v>
      </c>
      <c r="J139" s="12">
        <v>7.7777777777777377E-2</v>
      </c>
      <c r="Z139" s="116">
        <f t="shared" si="7"/>
        <v>46095</v>
      </c>
      <c r="AA13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13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</v>
      </c>
      <c r="AC13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</v>
      </c>
      <c r="AD13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13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</v>
      </c>
      <c r="AF13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</v>
      </c>
      <c r="AG13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59.245174886278967</v>
      </c>
      <c r="AH139" s="116">
        <f t="shared" si="8"/>
        <v>46095</v>
      </c>
      <c r="AI139" s="1" t="str" cm="1">
        <f t="array" ref="AI139">IFERROR(_xlfn.IFS(AQ139="","Sem Produto",AND(AQ139/(AA139/12)&gt;0,AQ139/(AA139/12)&lt;=2),"Acabando",AND(AQ139/(AA139/12)&gt;2,AQ139/(AA139/12)&lt;=3),"Fazer Pedido",AND(AQ139/(AA139/12)&gt;3,AQ139/(AA139/12)&lt;=7),"OK",AND(AQ139/(AA139/12)&gt;7,AQ139/(AA139/12)&lt;=14),"Abaixar Preço",AND(AQ139/(AA139/12)&gt;14,AQ139/(AA139/12)&lt;=20),"Estabilizando",AQ139/(AA139/12)&gt;20,"Instavel"),"Instavel")</f>
        <v>Sem Produto</v>
      </c>
      <c r="AJ139" s="1" t="str" cm="1">
        <f t="array" ref="AJ139">IFERROR(_xlfn.IFS(AR139="","Sem Produto",AND(AR139/(AB139/12)&gt;0,AR139/(AB139/12)&lt;=2),"Acabando",AND(AR139/(AB139/12)&gt;2,AR139/(AB139/12)&lt;=3),"Fazer Pedido",AND(AR139/(AB139/12)&gt;3,AR139/(AB139/12)&lt;=7),"OK",AND(AR139/(AB139/12)&gt;7,AR139/(AB139/12)&lt;=14),"Abaixar Preço",AND(AR139/(AB139/12)&gt;14,AR139/(AB139/12)&lt;=20),"Estabilizando",AR139/(AB139/12)&gt;20,"Instavel"),"Instavel")</f>
        <v>Abaixar Preço</v>
      </c>
      <c r="AK139" s="1" t="str" cm="1">
        <f t="array" ref="AK139">IFERROR(_xlfn.IFS(AS139="","Sem Produto",AND(AS139/(AC139/12)&gt;0,AS139/(AC139/12)&lt;=2),"Acabando",AND(AS139/(AC139/12)&gt;2,AS139/(AC139/12)&lt;=3),"Fazer Pedido",AND(AS139/(AC139/12)&gt;3,AS139/(AC139/12)&lt;=7),"OK",AND(AS139/(AC139/12)&gt;7,AS139/(AC139/12)&lt;=14),"Abaixar Preço",AND(AS139/(AC139/12)&gt;14,AS139/(AC139/12)&lt;=20),"Estabilizando",AS139/(AC139/12)&gt;20,"Instavel"),"Instavel")</f>
        <v>Instavel</v>
      </c>
      <c r="AL139" s="1" t="str" cm="1">
        <f t="array" ref="AL139">IFERROR(_xlfn.IFS(AT139="","Sem Produto",AND(AT139/(AD139/12)&gt;0,AT139/(AD139/12)&lt;=2),"Acabando",AND(AT139/(AD139/12)&gt;2,AT139/(AD139/12)&lt;=3),"Fazer Pedido",AND(AT139/(AD139/12)&gt;3,AT139/(AD139/12)&lt;=7),"OK",AND(AT139/(AD139/12)&gt;7,AT139/(AD139/12)&lt;=14),"Abaixar Preço",AND(AT139/(AD139/12)&gt;14,AT139/(AD139/12)&lt;=20),"Estabilizando",AT139/(AD139/12)&gt;20,"Instavel"),"Instavel")</f>
        <v>OK</v>
      </c>
      <c r="AM139" s="1" t="str" cm="1">
        <f t="array" ref="AM139">IFERROR(_xlfn.IFS(AU139="","Sem Produto",AND(AU139/(AE139/12)&gt;0,AU139/(AE139/12)&lt;=2),"Acabando",AND(AU139/(AE139/12)&gt;2,AU139/(AE139/12)&lt;=3),"Fazer Pedido",AND(AU139/(AE139/12)&gt;3,AU139/(AE139/12)&lt;=7),"OK",AND(AU139/(AE139/12)&gt;7,AU139/(AE139/12)&lt;=14),"Abaixar Preço",AND(AU139/(AE139/12)&gt;14,AU139/(AE139/12)&lt;=20),"Estabilizando",AU139/(AE139/12)&gt;20,"Instavel"),"Instavel")</f>
        <v>Fazer Pedido</v>
      </c>
      <c r="AN139" s="1" t="str">
        <f ca="1">IF(SUMIF(vendaAno[data],SituaçãoEstoqueFluxo[[#This Row],[data]],vendaAno[estoque])=0,"Algo errado",IF(AND(AX139/AW139&gt;0,AX139/AW139&lt;=1),"Alerta",IF(AND(AX139/AW139&gt;1,AX139/AW139&lt;=1.5),"Fazer pedido",IF(AND(AX139/AW139&gt;1.5,AX139/AW139&lt;=2),"Ok",IF(AND(AX139/AW139&gt;2,AX139/AW139&lt;=2.5),"Estabilizando",IF(AND(AX139/AW139&gt;2.5,AX139/AW139&lt;=3),"Cheio","Abaixar preço"))))))</f>
        <v>Estabilizando</v>
      </c>
      <c r="AO139" s="82">
        <f>SUMIFS(estoque[quantidade],estoque[fornecedor],"&lt;&gt;saída",estoque[data],SituaçãoEstoqueFluxo[[#This Row],[data]])-SUMIFS(estoque[quantidade],estoque[fornecedor],"saída",estoque[data],SituaçãoEstoqueFluxo[[#This Row],[data]])</f>
        <v>-20</v>
      </c>
      <c r="AP139" s="116">
        <f t="shared" si="9"/>
        <v>46095</v>
      </c>
      <c r="AQ1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3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13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8.25</v>
      </c>
      <c r="AT13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</v>
      </c>
      <c r="AU13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</v>
      </c>
      <c r="AV139" s="82" cm="1">
        <f t="array" aca="1" ref="AV1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28.5</v>
      </c>
      <c r="AW139" s="82" cm="1">
        <f t="array" aca="1" ref="AW1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</v>
      </c>
      <c r="AX139" s="82">
        <f>SUM(FluxoEstoqueDateTime[[#This Row],[OVO BRANCO A]:[OVO BRANCO JUMBO]])</f>
        <v>19.833333333333332</v>
      </c>
    </row>
    <row r="140" spans="1:50" x14ac:dyDescent="0.25">
      <c r="A140" s="4" t="s">
        <v>20</v>
      </c>
      <c r="B140" s="55" t="s">
        <v>11</v>
      </c>
      <c r="C140" s="5">
        <v>22</v>
      </c>
      <c r="D140" s="56">
        <v>18</v>
      </c>
      <c r="E140" s="56">
        <v>390</v>
      </c>
      <c r="F140" s="157">
        <v>46203</v>
      </c>
      <c r="G140" s="4" t="s">
        <v>290</v>
      </c>
      <c r="H140" s="4" t="s">
        <v>148</v>
      </c>
      <c r="I140" s="153">
        <v>69.12</v>
      </c>
      <c r="J140" s="12">
        <v>0.17723870852205328</v>
      </c>
      <c r="Z140" s="116">
        <f t="shared" si="7"/>
        <v>46094</v>
      </c>
      <c r="AA14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</v>
      </c>
      <c r="AB14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9.2857142857142865</v>
      </c>
      <c r="AC14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4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4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9.8571428571428577</v>
      </c>
      <c r="AF14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36.285714285714285</v>
      </c>
      <c r="AG14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57.93252187643926</v>
      </c>
      <c r="AH140" s="116">
        <f t="shared" si="8"/>
        <v>46094</v>
      </c>
      <c r="AI140" s="1" t="str" cm="1">
        <f t="array" ref="AI140">IFERROR(_xlfn.IFS(AQ140="","Sem Produto",AND(AQ140/(AA140/12)&gt;0,AQ140/(AA140/12)&lt;=2),"Acabando",AND(AQ140/(AA140/12)&gt;2,AQ140/(AA140/12)&lt;=3),"Fazer Pedido",AND(AQ140/(AA140/12)&gt;3,AQ140/(AA140/12)&lt;=7),"OK",AND(AQ140/(AA140/12)&gt;7,AQ140/(AA140/12)&lt;=14),"Abaixar Preço",AND(AQ140/(AA140/12)&gt;14,AQ140/(AA140/12)&lt;=20),"Estabilizando",AQ140/(AA140/12)&gt;20,"Instavel"),"Instavel")</f>
        <v>Sem Produto</v>
      </c>
      <c r="AJ140" s="1" t="str" cm="1">
        <f t="array" ref="AJ140">IFERROR(_xlfn.IFS(AR140="","Sem Produto",AND(AR140/(AB140/12)&gt;0,AR140/(AB140/12)&lt;=2),"Acabando",AND(AR140/(AB140/12)&gt;2,AR140/(AB140/12)&lt;=3),"Fazer Pedido",AND(AR140/(AB140/12)&gt;3,AR140/(AB140/12)&lt;=7),"OK",AND(AR140/(AB140/12)&gt;7,AR140/(AB140/12)&lt;=14),"Abaixar Preço",AND(AR140/(AB140/12)&gt;14,AR140/(AB140/12)&lt;=20),"Estabilizando",AR140/(AB140/12)&gt;20,"Instavel"),"Instavel")</f>
        <v>Abaixar Preço</v>
      </c>
      <c r="AK140" s="1" t="str" cm="1">
        <f t="array" ref="AK140">IFERROR(_xlfn.IFS(AS140="","Sem Produto",AND(AS140/(AC140/12)&gt;0,AS140/(AC140/12)&lt;=2),"Acabando",AND(AS140/(AC140/12)&gt;2,AS140/(AC140/12)&lt;=3),"Fazer Pedido",AND(AS140/(AC140/12)&gt;3,AS140/(AC140/12)&lt;=7),"OK",AND(AS140/(AC140/12)&gt;7,AS140/(AC140/12)&lt;=14),"Abaixar Preço",AND(AS140/(AC140/12)&gt;14,AS140/(AC140/12)&lt;=20),"Estabilizando",AS140/(AC140/12)&gt;20,"Instavel"),"Instavel")</f>
        <v>Instavel</v>
      </c>
      <c r="AL140" s="1" t="str" cm="1">
        <f t="array" ref="AL140">IFERROR(_xlfn.IFS(AT140="","Sem Produto",AND(AT140/(AD140/12)&gt;0,AT140/(AD140/12)&lt;=2),"Acabando",AND(AT140/(AD140/12)&gt;2,AT140/(AD140/12)&lt;=3),"Fazer Pedido",AND(AT140/(AD140/12)&gt;3,AT140/(AD140/12)&lt;=7),"OK",AND(AT140/(AD140/12)&gt;7,AT140/(AD140/12)&lt;=14),"Abaixar Preço",AND(AT140/(AD140/12)&gt;14,AT140/(AD140/12)&lt;=20),"Estabilizando",AT140/(AD140/12)&gt;20,"Instavel"),"Instavel")</f>
        <v>OK</v>
      </c>
      <c r="AM140" s="1" t="str" cm="1">
        <f t="array" ref="AM140">IFERROR(_xlfn.IFS(AU140="","Sem Produto",AND(AU140/(AE140/12)&gt;0,AU140/(AE140/12)&lt;=2),"Acabando",AND(AU140/(AE140/12)&gt;2,AU140/(AE140/12)&lt;=3),"Fazer Pedido",AND(AU140/(AE140/12)&gt;3,AU140/(AE140/12)&lt;=7),"OK",AND(AU140/(AE140/12)&gt;7,AU140/(AE140/12)&lt;=14),"Abaixar Preço",AND(AU140/(AE140/12)&gt;14,AU140/(AE140/12)&lt;=20),"Estabilizando",AU140/(AE140/12)&gt;20,"Instavel"),"Instavel")</f>
        <v>Fazer Pedido</v>
      </c>
      <c r="AN140" s="1" t="str">
        <f ca="1">IF(SUMIF(vendaAno[data],SituaçãoEstoqueFluxo[[#This Row],[data]],vendaAno[estoque])=0,"Algo errado",IF(AND(AX140/AW140&gt;0,AX140/AW140&lt;=1),"Alerta",IF(AND(AX140/AW140&gt;1,AX140/AW140&lt;=1.5),"Fazer pedido",IF(AND(AX140/AW140&gt;1.5,AX140/AW140&lt;=2),"Ok",IF(AND(AX140/AW140&gt;2,AX140/AW140&lt;=2.5),"Estabilizando",IF(AND(AX140/AW140&gt;2.5,AX140/AW140&lt;=3),"Cheio","Abaixar preço"))))))</f>
        <v>Estabilizando</v>
      </c>
      <c r="AO140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40" s="116">
        <f t="shared" si="9"/>
        <v>46094</v>
      </c>
      <c r="AQ1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4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7.583333333333333</v>
      </c>
      <c r="AS14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8.4166666666666661</v>
      </c>
      <c r="AT14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14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2.4166666666666665</v>
      </c>
      <c r="AV140" s="82" cm="1">
        <f t="array" aca="1" ref="AV1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27.214285714285712</v>
      </c>
      <c r="AW140" s="82" cm="1">
        <f t="array" aca="1" ref="AW1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9.0714285714285712</v>
      </c>
      <c r="AX140" s="82">
        <f>SUM(FluxoEstoqueDateTime[[#This Row],[OVO BRANCO A]:[OVO BRANCO JUMBO]])</f>
        <v>21.5</v>
      </c>
    </row>
    <row r="141" spans="1:50" x14ac:dyDescent="0.25">
      <c r="A141" s="4" t="s">
        <v>20</v>
      </c>
      <c r="B141" s="55" t="s">
        <v>10</v>
      </c>
      <c r="C141" s="5">
        <v>7</v>
      </c>
      <c r="D141" s="56">
        <v>19</v>
      </c>
      <c r="E141" s="56">
        <v>127</v>
      </c>
      <c r="F141" s="157">
        <v>46203</v>
      </c>
      <c r="G141" s="4" t="s">
        <v>290</v>
      </c>
      <c r="H141" s="4" t="s">
        <v>148</v>
      </c>
      <c r="I141" s="153">
        <v>19.079999999999998</v>
      </c>
      <c r="J141" s="12">
        <v>0.15026246719160119</v>
      </c>
      <c r="Z141" s="116">
        <f t="shared" si="7"/>
        <v>46093</v>
      </c>
      <c r="AA14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4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7.8571428571428568</v>
      </c>
      <c r="AC14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14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9.5714285714285712</v>
      </c>
      <c r="AE14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</v>
      </c>
      <c r="AF14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4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53.573588244824712</v>
      </c>
      <c r="AH141" s="116">
        <f t="shared" si="8"/>
        <v>46093</v>
      </c>
      <c r="AI141" s="1" t="str" cm="1">
        <f t="array" ref="AI141">IFERROR(_xlfn.IFS(AQ141="","Sem Produto",AND(AQ141/(AA141/12)&gt;0,AQ141/(AA141/12)&lt;=2),"Acabando",AND(AQ141/(AA141/12)&gt;2,AQ141/(AA141/12)&lt;=3),"Fazer Pedido",AND(AQ141/(AA141/12)&gt;3,AQ141/(AA141/12)&lt;=7),"OK",AND(AQ141/(AA141/12)&gt;7,AQ141/(AA141/12)&lt;=14),"Abaixar Preço",AND(AQ141/(AA141/12)&gt;14,AQ141/(AA141/12)&lt;=20),"Estabilizando",AQ141/(AA141/12)&gt;20,"Instavel"),"Instavel")</f>
        <v>Sem Produto</v>
      </c>
      <c r="AJ141" s="1" t="str" cm="1">
        <f t="array" ref="AJ141">IFERROR(_xlfn.IFS(AR141="","Sem Produto",AND(AR141/(AB141/12)&gt;0,AR141/(AB141/12)&lt;=2),"Acabando",AND(AR141/(AB141/12)&gt;2,AR141/(AB141/12)&lt;=3),"Fazer Pedido",AND(AR141/(AB141/12)&gt;3,AR141/(AB141/12)&lt;=7),"OK",AND(AR141/(AB141/12)&gt;7,AR141/(AB141/12)&lt;=14),"Abaixar Preço",AND(AR141/(AB141/12)&gt;14,AR141/(AB141/12)&lt;=20),"Estabilizando",AR141/(AB141/12)&gt;20,"Instavel"),"Instavel")</f>
        <v>Abaixar Preço</v>
      </c>
      <c r="AK141" s="1" t="str" cm="1">
        <f t="array" ref="AK141">IFERROR(_xlfn.IFS(AS141="","Sem Produto",AND(AS141/(AC141/12)&gt;0,AS141/(AC141/12)&lt;=2),"Acabando",AND(AS141/(AC141/12)&gt;2,AS141/(AC141/12)&lt;=3),"Fazer Pedido",AND(AS141/(AC141/12)&gt;3,AS141/(AC141/12)&lt;=7),"OK",AND(AS141/(AC141/12)&gt;7,AS141/(AC141/12)&lt;=14),"Abaixar Preço",AND(AS141/(AC141/12)&gt;14,AS141/(AC141/12)&lt;=20),"Estabilizando",AS141/(AC141/12)&gt;20,"Instavel"),"Instavel")</f>
        <v>Instavel</v>
      </c>
      <c r="AL141" s="1" t="str" cm="1">
        <f t="array" ref="AL141">IFERROR(_xlfn.IFS(AT141="","Sem Produto",AND(AT141/(AD141/12)&gt;0,AT141/(AD141/12)&lt;=2),"Acabando",AND(AT141/(AD141/12)&gt;2,AT141/(AD141/12)&lt;=3),"Fazer Pedido",AND(AT141/(AD141/12)&gt;3,AT141/(AD141/12)&lt;=7),"OK",AND(AT141/(AD141/12)&gt;7,AT141/(AD141/12)&lt;=14),"Abaixar Preço",AND(AT141/(AD141/12)&gt;14,AT141/(AD141/12)&lt;=20),"Estabilizando",AT141/(AD141/12)&gt;20,"Instavel"),"Instavel")</f>
        <v>OK</v>
      </c>
      <c r="AM141" s="1" t="str" cm="1">
        <f t="array" ref="AM141">IFERROR(_xlfn.IFS(AU141="","Sem Produto",AND(AU141/(AE141/12)&gt;0,AU141/(AE141/12)&lt;=2),"Acabando",AND(AU141/(AE141/12)&gt;2,AU141/(AE141/12)&lt;=3),"Fazer Pedido",AND(AU141/(AE141/12)&gt;3,AU141/(AE141/12)&lt;=7),"OK",AND(AU141/(AE141/12)&gt;7,AU141/(AE141/12)&lt;=14),"Abaixar Preço",AND(AU141/(AE141/12)&gt;14,AU141/(AE141/12)&lt;=20),"Estabilizando",AU141/(AE141/12)&gt;20,"Instavel"),"Instavel")</f>
        <v>OK</v>
      </c>
      <c r="AN141" s="1" t="str">
        <f ca="1">IF(SUMIF(vendaAno[data],SituaçãoEstoqueFluxo[[#This Row],[data]],vendaAno[estoque])=0,"Algo errado",IF(AND(AX141/AW141&gt;0,AX141/AW141&lt;=1),"Alerta",IF(AND(AX141/AW141&gt;1,AX141/AW141&lt;=1.5),"Fazer pedido",IF(AND(AX141/AW141&gt;1.5,AX141/AW141&lt;=2),"Ok",IF(AND(AX141/AW141&gt;2,AX141/AW141&lt;=2.5),"Estabilizando",IF(AND(AX141/AW141&gt;2.5,AX141/AW141&lt;=3),"Cheio","Abaixar preço"))))))</f>
        <v>Cheio</v>
      </c>
      <c r="AO141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41" s="116">
        <f t="shared" si="9"/>
        <v>46093</v>
      </c>
      <c r="AQ1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4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4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8.8333333333333339</v>
      </c>
      <c r="AT14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4.333333333333333</v>
      </c>
      <c r="AU14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2.9166666666666665</v>
      </c>
      <c r="AV141" s="82" cm="1">
        <f t="array" aca="1" ref="AV1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41" s="82" cm="1">
        <f t="array" aca="1" ref="AW1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41" s="82">
        <f>SUM(FluxoEstoqueDateTime[[#This Row],[OVO BRANCO A]:[OVO BRANCO JUMBO]])</f>
        <v>24.5</v>
      </c>
    </row>
    <row r="142" spans="1:50" x14ac:dyDescent="0.25">
      <c r="A142" s="4" t="s">
        <v>20</v>
      </c>
      <c r="B142" s="55" t="s">
        <v>14</v>
      </c>
      <c r="C142" s="5">
        <v>1</v>
      </c>
      <c r="D142" s="56">
        <v>23</v>
      </c>
      <c r="E142" s="56">
        <v>23</v>
      </c>
      <c r="F142" s="157">
        <v>46202</v>
      </c>
      <c r="G142" s="4" t="s">
        <v>291</v>
      </c>
      <c r="H142" s="4" t="s">
        <v>148</v>
      </c>
      <c r="I142" s="153">
        <v>6.73</v>
      </c>
      <c r="J142" s="12">
        <v>0.29254049445865293</v>
      </c>
      <c r="Z142" s="116">
        <f t="shared" si="7"/>
        <v>46092</v>
      </c>
      <c r="AA14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4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4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4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4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10.142857142857142</v>
      </c>
      <c r="AF14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34.571428571428569</v>
      </c>
      <c r="AG14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50.055920189025997</v>
      </c>
      <c r="AH142" s="116">
        <f t="shared" si="8"/>
        <v>46092</v>
      </c>
      <c r="AI142" s="1" t="str" cm="1">
        <f t="array" ref="AI142">IFERROR(_xlfn.IFS(AQ142="","Sem Produto",AND(AQ142/(AA142/12)&gt;0,AQ142/(AA142/12)&lt;=2),"Acabando",AND(AQ142/(AA142/12)&gt;2,AQ142/(AA142/12)&lt;=3),"Fazer Pedido",AND(AQ142/(AA142/12)&gt;3,AQ142/(AA142/12)&lt;=7),"OK",AND(AQ142/(AA142/12)&gt;7,AQ142/(AA142/12)&lt;=14),"Abaixar Preço",AND(AQ142/(AA142/12)&gt;14,AQ142/(AA142/12)&lt;=20),"Estabilizando",AQ142/(AA142/12)&gt;20,"Instavel"),"Instavel")</f>
        <v>Acabando</v>
      </c>
      <c r="AJ142" s="1" t="str" cm="1">
        <f t="array" ref="AJ142">IFERROR(_xlfn.IFS(AR142="","Sem Produto",AND(AR142/(AB142/12)&gt;0,AR142/(AB142/12)&lt;=2),"Acabando",AND(AR142/(AB142/12)&gt;2,AR142/(AB142/12)&lt;=3),"Fazer Pedido",AND(AR142/(AB142/12)&gt;3,AR142/(AB142/12)&lt;=7),"OK",AND(AR142/(AB142/12)&gt;7,AR142/(AB142/12)&lt;=14),"Abaixar Preço",AND(AR142/(AB142/12)&gt;14,AR142/(AB142/12)&lt;=20),"Estabilizando",AR142/(AB142/12)&gt;20,"Instavel"),"Instavel")</f>
        <v>Estabilizando</v>
      </c>
      <c r="AK142" s="1" t="str" cm="1">
        <f t="array" ref="AK142">IFERROR(_xlfn.IFS(AS142="","Sem Produto",AND(AS142/(AC142/12)&gt;0,AS142/(AC142/12)&lt;=2),"Acabando",AND(AS142/(AC142/12)&gt;2,AS142/(AC142/12)&lt;=3),"Fazer Pedido",AND(AS142/(AC142/12)&gt;3,AS142/(AC142/12)&lt;=7),"OK",AND(AS142/(AC142/12)&gt;7,AS142/(AC142/12)&lt;=14),"Abaixar Preço",AND(AS142/(AC142/12)&gt;14,AS142/(AC142/12)&lt;=20),"Estabilizando",AS142/(AC142/12)&gt;20,"Instavel"),"Instavel")</f>
        <v>Instavel</v>
      </c>
      <c r="AL142" s="1" t="str" cm="1">
        <f t="array" ref="AL142">IFERROR(_xlfn.IFS(AT142="","Sem Produto",AND(AT142/(AD142/12)&gt;0,AT142/(AD142/12)&lt;=2),"Acabando",AND(AT142/(AD142/12)&gt;2,AT142/(AD142/12)&lt;=3),"Fazer Pedido",AND(AT142/(AD142/12)&gt;3,AT142/(AD142/12)&lt;=7),"OK",AND(AT142/(AD142/12)&gt;7,AT142/(AD142/12)&lt;=14),"Abaixar Preço",AND(AT142/(AD142/12)&gt;14,AT142/(AD142/12)&lt;=20),"Estabilizando",AT142/(AD142/12)&gt;20,"Instavel"),"Instavel")</f>
        <v>OK</v>
      </c>
      <c r="AM142" s="1" t="str" cm="1">
        <f t="array" ref="AM142">IFERROR(_xlfn.IFS(AU142="","Sem Produto",AND(AU142/(AE142/12)&gt;0,AU142/(AE142/12)&lt;=2),"Acabando",AND(AU142/(AE142/12)&gt;2,AU142/(AE142/12)&lt;=3),"Fazer Pedido",AND(AU142/(AE142/12)&gt;3,AU142/(AE142/12)&lt;=7),"OK",AND(AU142/(AE142/12)&gt;7,AU142/(AE142/12)&lt;=14),"Abaixar Preço",AND(AU142/(AE142/12)&gt;14,AU142/(AE142/12)&lt;=20),"Estabilizando",AU142/(AE142/12)&gt;20,"Instavel"),"Instavel")</f>
        <v>OK</v>
      </c>
      <c r="AN142" s="1" t="str">
        <f ca="1">IF(SUMIF(vendaAno[data],SituaçãoEstoqueFluxo[[#This Row],[data]],vendaAno[estoque])=0,"Algo errado",IF(AND(AX142/AW142&gt;0,AX142/AW142&lt;=1),"Alerta",IF(AND(AX142/AW142&gt;1,AX142/AW142&lt;=1.5),"Fazer pedido",IF(AND(AX142/AW142&gt;1.5,AX142/AW142&lt;=2),"Ok",IF(AND(AX142/AW142&gt;2,AX142/AW142&lt;=2.5),"Estabilizando",IF(AND(AX142/AW142&gt;2.5,AX142/AW142&lt;=3),"Cheio","Abaixar preço"))))))</f>
        <v>Abaixar preço</v>
      </c>
      <c r="AO142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142" s="116">
        <f t="shared" si="9"/>
        <v>46092</v>
      </c>
      <c r="AQ14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0.5</v>
      </c>
      <c r="AR14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8.8333333333333339</v>
      </c>
      <c r="AS14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9.1666666666666661</v>
      </c>
      <c r="AT14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5.166666666666667</v>
      </c>
      <c r="AU14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3.8333333333333335</v>
      </c>
      <c r="AV142" s="82" cm="1">
        <f t="array" aca="1" ref="AV1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25.928571428571427</v>
      </c>
      <c r="AW142" s="82" cm="1">
        <f t="array" aca="1" ref="AW1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8.6428571428571423</v>
      </c>
      <c r="AX142" s="82">
        <f>SUM(FluxoEstoqueDateTime[[#This Row],[OVO BRANCO A]:[OVO BRANCO JUMBO]])</f>
        <v>27.5</v>
      </c>
    </row>
    <row r="143" spans="1:50" x14ac:dyDescent="0.25">
      <c r="A143" s="4" t="s">
        <v>20</v>
      </c>
      <c r="B143" s="55" t="s">
        <v>13</v>
      </c>
      <c r="C143" s="5">
        <v>13</v>
      </c>
      <c r="D143" s="56">
        <v>20</v>
      </c>
      <c r="E143" s="56">
        <v>260</v>
      </c>
      <c r="F143" s="157">
        <v>46202</v>
      </c>
      <c r="G143" s="4" t="s">
        <v>291</v>
      </c>
      <c r="H143" s="4" t="s">
        <v>148</v>
      </c>
      <c r="I143" s="153">
        <v>54.17</v>
      </c>
      <c r="J143" s="12">
        <v>0.20833333333333329</v>
      </c>
      <c r="Z143" s="116">
        <f t="shared" si="7"/>
        <v>46091</v>
      </c>
      <c r="AA14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4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4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4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4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4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4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47.929901790585795</v>
      </c>
      <c r="AH143" s="116">
        <f t="shared" si="8"/>
        <v>46091</v>
      </c>
      <c r="AI143" s="1" t="str" cm="1">
        <f t="array" ref="AI143">IFERROR(_xlfn.IFS(AQ143="","Sem Produto",AND(AQ143/(AA143/12)&gt;0,AQ143/(AA143/12)&lt;=2),"Acabando",AND(AQ143/(AA143/12)&gt;2,AQ143/(AA143/12)&lt;=3),"Fazer Pedido",AND(AQ143/(AA143/12)&gt;3,AQ143/(AA143/12)&lt;=7),"OK",AND(AQ143/(AA143/12)&gt;7,AQ143/(AA143/12)&lt;=14),"Abaixar Preço",AND(AQ143/(AA143/12)&gt;14,AQ143/(AA143/12)&lt;=20),"Estabilizando",AQ143/(AA143/12)&gt;20,"Instavel"),"Instavel")</f>
        <v>Acabando</v>
      </c>
      <c r="AJ143" s="1" t="str" cm="1">
        <f t="array" ref="AJ143">IFERROR(_xlfn.IFS(AR143="","Sem Produto",AND(AR143/(AB143/12)&gt;0,AR143/(AB143/12)&lt;=2),"Acabando",AND(AR143/(AB143/12)&gt;2,AR143/(AB143/12)&lt;=3),"Fazer Pedido",AND(AR143/(AB143/12)&gt;3,AR143/(AB143/12)&lt;=7),"OK",AND(AR143/(AB143/12)&gt;7,AR143/(AB143/12)&lt;=14),"Abaixar Preço",AND(AR143/(AB143/12)&gt;14,AR143/(AB143/12)&lt;=20),"Estabilizando",AR143/(AB143/12)&gt;20,"Instavel"),"Instavel")</f>
        <v>Estabilizando</v>
      </c>
      <c r="AK143" s="1" t="str" cm="1">
        <f t="array" ref="AK143">IFERROR(_xlfn.IFS(AS143="","Sem Produto",AND(AS143/(AC143/12)&gt;0,AS143/(AC143/12)&lt;=2),"Acabando",AND(AS143/(AC143/12)&gt;2,AS143/(AC143/12)&lt;=3),"Fazer Pedido",AND(AS143/(AC143/12)&gt;3,AS143/(AC143/12)&lt;=7),"OK",AND(AS143/(AC143/12)&gt;7,AS143/(AC143/12)&lt;=14),"Abaixar Preço",AND(AS143/(AC143/12)&gt;14,AS143/(AC143/12)&lt;=20),"Estabilizando",AS143/(AC143/12)&gt;20,"Instavel"),"Instavel")</f>
        <v>Instavel</v>
      </c>
      <c r="AL143" s="1" t="str" cm="1">
        <f t="array" ref="AL143">IFERROR(_xlfn.IFS(AT143="","Sem Produto",AND(AT143/(AD143/12)&gt;0,AT143/(AD143/12)&lt;=2),"Acabando",AND(AT143/(AD143/12)&gt;2,AT143/(AD143/12)&lt;=3),"Fazer Pedido",AND(AT143/(AD143/12)&gt;3,AT143/(AD143/12)&lt;=7),"OK",AND(AT143/(AD143/12)&gt;7,AT143/(AD143/12)&lt;=14),"Abaixar Preço",AND(AT143/(AD143/12)&gt;14,AT143/(AD143/12)&lt;=20),"Estabilizando",AT143/(AD143/12)&gt;20,"Instavel"),"Instavel")</f>
        <v>Abaixar Preço</v>
      </c>
      <c r="AM143" s="1" t="str" cm="1">
        <f t="array" ref="AM143">IFERROR(_xlfn.IFS(AU143="","Sem Produto",AND(AU143/(AE143/12)&gt;0,AU143/(AE143/12)&lt;=2),"Acabando",AND(AU143/(AE143/12)&gt;2,AU143/(AE143/12)&lt;=3),"Fazer Pedido",AND(AU143/(AE143/12)&gt;3,AU143/(AE143/12)&lt;=7),"OK",AND(AU143/(AE143/12)&gt;7,AU143/(AE143/12)&lt;=14),"Abaixar Preço",AND(AU143/(AE143/12)&gt;14,AU143/(AE143/12)&lt;=20),"Estabilizando",AU143/(AE143/12)&gt;20,"Instavel"),"Instavel")</f>
        <v>Abaixar Preço</v>
      </c>
      <c r="AN143" s="1" t="str">
        <f ca="1">IF(SUMIF(vendaAno[data],SituaçãoEstoqueFluxo[[#This Row],[data]],vendaAno[estoque])=0,"Algo errado",IF(AND(AX143/AW143&gt;0,AX143/AW143&lt;=1),"Alerta",IF(AND(AX143/AW143&gt;1,AX143/AW143&lt;=1.5),"Fazer pedido",IF(AND(AX143/AW143&gt;1.5,AX143/AW143&lt;=2),"Ok",IF(AND(AX143/AW143&gt;2,AX143/AW143&lt;=2.5),"Estabilizando",IF(AND(AX143/AW143&gt;2.5,AX143/AW143&lt;=3),"Cheio","Abaixar preço"))))))</f>
        <v>Abaixar preço</v>
      </c>
      <c r="AO143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43" s="116">
        <f t="shared" si="9"/>
        <v>46091</v>
      </c>
      <c r="AQ14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0.5</v>
      </c>
      <c r="AR14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9.75</v>
      </c>
      <c r="AS14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9.25</v>
      </c>
      <c r="AT14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6.25</v>
      </c>
      <c r="AU14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5.75</v>
      </c>
      <c r="AV143" s="82" cm="1">
        <f t="array" aca="1" ref="AV1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43" s="82" cm="1">
        <f t="array" aca="1" ref="AW1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43" s="82">
        <f>SUM(FluxoEstoqueDateTime[[#This Row],[OVO BRANCO A]:[OVO BRANCO JUMBO]])</f>
        <v>31.5</v>
      </c>
    </row>
    <row r="144" spans="1:50" x14ac:dyDescent="0.25">
      <c r="A144" s="4" t="s">
        <v>20</v>
      </c>
      <c r="B144" s="55" t="s">
        <v>12</v>
      </c>
      <c r="C144" s="5">
        <v>1</v>
      </c>
      <c r="D144" s="56">
        <v>15</v>
      </c>
      <c r="E144" s="56">
        <v>15</v>
      </c>
      <c r="F144" s="157">
        <v>46202</v>
      </c>
      <c r="G144" s="4" t="s">
        <v>291</v>
      </c>
      <c r="H144" s="4" t="s">
        <v>148</v>
      </c>
      <c r="I144" s="153">
        <v>1.17</v>
      </c>
      <c r="J144" s="12">
        <v>7.7777777777777377E-2</v>
      </c>
      <c r="Z144" s="116">
        <f t="shared" si="7"/>
        <v>46090</v>
      </c>
      <c r="AA14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4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2.1428571428571428</v>
      </c>
      <c r="AC14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4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</v>
      </c>
      <c r="AE14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4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30.285714285714285</v>
      </c>
      <c r="AG14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41.698016431392134</v>
      </c>
      <c r="AH144" s="116">
        <f t="shared" si="8"/>
        <v>46090</v>
      </c>
      <c r="AI144" s="1" t="str" cm="1">
        <f t="array" ref="AI144">IFERROR(_xlfn.IFS(AQ144="","Sem Produto",AND(AQ144/(AA144/12)&gt;0,AQ144/(AA144/12)&lt;=2),"Acabando",AND(AQ144/(AA144/12)&gt;2,AQ144/(AA144/12)&lt;=3),"Fazer Pedido",AND(AQ144/(AA144/12)&gt;3,AQ144/(AA144/12)&lt;=7),"OK",AND(AQ144/(AA144/12)&gt;7,AQ144/(AA144/12)&lt;=14),"Abaixar Preço",AND(AQ144/(AA144/12)&gt;14,AQ144/(AA144/12)&lt;=20),"Estabilizando",AQ144/(AA144/12)&gt;20,"Instavel"),"Instavel")</f>
        <v>Acabando</v>
      </c>
      <c r="AJ144" s="1" t="str" cm="1">
        <f t="array" ref="AJ144">IFERROR(_xlfn.IFS(AR144="","Sem Produto",AND(AR144/(AB144/12)&gt;0,AR144/(AB144/12)&lt;=2),"Acabando",AND(AR144/(AB144/12)&gt;2,AR144/(AB144/12)&lt;=3),"Fazer Pedido",AND(AR144/(AB144/12)&gt;3,AR144/(AB144/12)&lt;=7),"OK",AND(AR144/(AB144/12)&gt;7,AR144/(AB144/12)&lt;=14),"Abaixar Preço",AND(AR144/(AB144/12)&gt;14,AR144/(AB144/12)&lt;=20),"Estabilizando",AR144/(AB144/12)&gt;20,"Instavel"),"Instavel")</f>
        <v>Instavel</v>
      </c>
      <c r="AK144" s="1" t="str" cm="1">
        <f t="array" ref="AK144">IFERROR(_xlfn.IFS(AS144="","Sem Produto",AND(AS144/(AC144/12)&gt;0,AS144/(AC144/12)&lt;=2),"Acabando",AND(AS144/(AC144/12)&gt;2,AS144/(AC144/12)&lt;=3),"Fazer Pedido",AND(AS144/(AC144/12)&gt;3,AS144/(AC144/12)&lt;=7),"OK",AND(AS144/(AC144/12)&gt;7,AS144/(AC144/12)&lt;=14),"Abaixar Preço",AND(AS144/(AC144/12)&gt;14,AS144/(AC144/12)&lt;=20),"Estabilizando",AS144/(AC144/12)&gt;20,"Instavel"),"Instavel")</f>
        <v>Instavel</v>
      </c>
      <c r="AL144" s="1" t="str" cm="1">
        <f t="array" ref="AL144">IFERROR(_xlfn.IFS(AT144="","Sem Produto",AND(AT144/(AD144/12)&gt;0,AT144/(AD144/12)&lt;=2),"Acabando",AND(AT144/(AD144/12)&gt;2,AT144/(AD144/12)&lt;=3),"Fazer Pedido",AND(AT144/(AD144/12)&gt;3,AT144/(AD144/12)&lt;=7),"OK",AND(AT144/(AD144/12)&gt;7,AT144/(AD144/12)&lt;=14),"Abaixar Preço",AND(AT144/(AD144/12)&gt;14,AT144/(AD144/12)&lt;=20),"Estabilizando",AT144/(AD144/12)&gt;20,"Instavel"),"Instavel")</f>
        <v>Abaixar Preço</v>
      </c>
      <c r="AM144" s="1" t="str" cm="1">
        <f t="array" ref="AM144">IFERROR(_xlfn.IFS(AU144="","Sem Produto",AND(AU144/(AE144/12)&gt;0,AU144/(AE144/12)&lt;=2),"Acabando",AND(AU144/(AE144/12)&gt;2,AU144/(AE144/12)&lt;=3),"Fazer Pedido",AND(AU144/(AE144/12)&gt;3,AU144/(AE144/12)&lt;=7),"OK",AND(AU144/(AE144/12)&gt;7,AU144/(AE144/12)&lt;=14),"Abaixar Preço",AND(AU144/(AE144/12)&gt;14,AU144/(AE144/12)&lt;=20),"Estabilizando",AU144/(AE144/12)&gt;20,"Instavel"),"Instavel")</f>
        <v>Abaixar Preço</v>
      </c>
      <c r="AN144" s="1" t="str">
        <f ca="1">IF(SUMIF(vendaAno[data],SituaçãoEstoqueFluxo[[#This Row],[data]],vendaAno[estoque])=0,"Algo errado",IF(AND(AX144/AW144&gt;0,AX144/AW144&lt;=1),"Alerta",IF(AND(AX144/AW144&gt;1,AX144/AW144&lt;=1.5),"Fazer pedido",IF(AND(AX144/AW144&gt;1.5,AX144/AW144&lt;=2),"Ok",IF(AND(AX144/AW144&gt;2,AX144/AW144&lt;=2.5),"Estabilizando",IF(AND(AX144/AW144&gt;2.5,AX144/AW144&lt;=3),"Cheio","Abaixar preço"))))))</f>
        <v>Abaixar preço</v>
      </c>
      <c r="AO144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44" s="116">
        <f t="shared" si="9"/>
        <v>46090</v>
      </c>
      <c r="AQ14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</v>
      </c>
      <c r="AR14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12.666666666666666</v>
      </c>
      <c r="AS14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9.4166666666666661</v>
      </c>
      <c r="AT14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</v>
      </c>
      <c r="AU14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</v>
      </c>
      <c r="AV144" s="82" cm="1">
        <f t="array" aca="1" ref="AV1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22.714285714285712</v>
      </c>
      <c r="AW144" s="82" cm="1">
        <f t="array" aca="1" ref="AW1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7.5714285714285721</v>
      </c>
      <c r="AX144" s="82">
        <f>SUM(FluxoEstoqueDateTime[[#This Row],[OVO BRANCO A]:[OVO BRANCO JUMBO]])</f>
        <v>36.583333333333329</v>
      </c>
    </row>
    <row r="145" spans="1:50" x14ac:dyDescent="0.25">
      <c r="A145" s="4" t="s">
        <v>20</v>
      </c>
      <c r="B145" s="55" t="s">
        <v>11</v>
      </c>
      <c r="C145" s="5">
        <v>1</v>
      </c>
      <c r="D145" s="56">
        <v>18</v>
      </c>
      <c r="E145" s="56">
        <v>18</v>
      </c>
      <c r="F145" s="157">
        <v>46202</v>
      </c>
      <c r="G145" s="4" t="s">
        <v>291</v>
      </c>
      <c r="H145" s="4" t="s">
        <v>148</v>
      </c>
      <c r="I145" s="153">
        <v>3.41</v>
      </c>
      <c r="J145" s="12">
        <v>0.18970478869596155</v>
      </c>
      <c r="Z145" s="116">
        <f t="shared" si="7"/>
        <v>46089</v>
      </c>
      <c r="AA14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4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14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0.42857142857142855</v>
      </c>
      <c r="AD14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4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4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4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40.161739811248886</v>
      </c>
      <c r="AH145" s="116">
        <f t="shared" si="8"/>
        <v>46089</v>
      </c>
      <c r="AI145" s="1" t="str" cm="1">
        <f t="array" ref="AI145">IFERROR(_xlfn.IFS(AQ145="","Sem Produto",AND(AQ145/(AA145/12)&gt;0,AQ145/(AA145/12)&lt;=2),"Acabando",AND(AQ145/(AA145/12)&gt;2,AQ145/(AA145/12)&lt;=3),"Fazer Pedido",AND(AQ145/(AA145/12)&gt;3,AQ145/(AA145/12)&lt;=7),"OK",AND(AQ145/(AA145/12)&gt;7,AQ145/(AA145/12)&lt;=14),"Abaixar Preço",AND(AQ145/(AA145/12)&gt;14,AQ145/(AA145/12)&lt;=20),"Estabilizando",AQ145/(AA145/12)&gt;20,"Instavel"),"Instavel")</f>
        <v>OK</v>
      </c>
      <c r="AJ145" s="1" t="str" cm="1">
        <f t="array" ref="AJ145">IFERROR(_xlfn.IFS(AR145="","Sem Produto",AND(AR145/(AB145/12)&gt;0,AR145/(AB145/12)&lt;=2),"Acabando",AND(AR145/(AB145/12)&gt;2,AR145/(AB145/12)&lt;=3),"Fazer Pedido",AND(AR145/(AB145/12)&gt;3,AR145/(AB145/12)&lt;=7),"OK",AND(AR145/(AB145/12)&gt;7,AR145/(AB145/12)&lt;=14),"Abaixar Preço",AND(AR145/(AB145/12)&gt;14,AR145/(AB145/12)&lt;=20),"Estabilizando",AR145/(AB145/12)&gt;20,"Instavel"),"Instavel")</f>
        <v>Instavel</v>
      </c>
      <c r="AK145" s="1" t="str" cm="1">
        <f t="array" ref="AK145">IFERROR(_xlfn.IFS(AS145="","Sem Produto",AND(AS145/(AC145/12)&gt;0,AS145/(AC145/12)&lt;=2),"Acabando",AND(AS145/(AC145/12)&gt;2,AS145/(AC145/12)&lt;=3),"Fazer Pedido",AND(AS145/(AC145/12)&gt;3,AS145/(AC145/12)&lt;=7),"OK",AND(AS145/(AC145/12)&gt;7,AS145/(AC145/12)&lt;=14),"Abaixar Preço",AND(AS145/(AC145/12)&gt;14,AS145/(AC145/12)&lt;=20),"Estabilizando",AS145/(AC145/12)&gt;20,"Instavel"),"Instavel")</f>
        <v>Instavel</v>
      </c>
      <c r="AL145" s="1" t="str" cm="1">
        <f t="array" ref="AL145">IFERROR(_xlfn.IFS(AT145="","Sem Produto",AND(AT145/(AD145/12)&gt;0,AT145/(AD145/12)&lt;=2),"Acabando",AND(AT145/(AD145/12)&gt;2,AT145/(AD145/12)&lt;=3),"Fazer Pedido",AND(AT145/(AD145/12)&gt;3,AT145/(AD145/12)&lt;=7),"OK",AND(AT145/(AD145/12)&gt;7,AT145/(AD145/12)&lt;=14),"Abaixar Preço",AND(AT145/(AD145/12)&gt;14,AT145/(AD145/12)&lt;=20),"Estabilizando",AT145/(AD145/12)&gt;20,"Instavel"),"Instavel")</f>
        <v>Abaixar Preço</v>
      </c>
      <c r="AM145" s="1" t="str" cm="1">
        <f t="array" ref="AM145">IFERROR(_xlfn.IFS(AU145="","Sem Produto",AND(AU145/(AE145/12)&gt;0,AU145/(AE145/12)&lt;=2),"Acabando",AND(AU145/(AE145/12)&gt;2,AU145/(AE145/12)&lt;=3),"Fazer Pedido",AND(AU145/(AE145/12)&gt;3,AU145/(AE145/12)&lt;=7),"OK",AND(AU145/(AE145/12)&gt;7,AU145/(AE145/12)&lt;=14),"Abaixar Preço",AND(AU145/(AE145/12)&gt;14,AU145/(AE145/12)&lt;=20),"Estabilizando",AU145/(AE145/12)&gt;20,"Instavel"),"Instavel")</f>
        <v>Estabilizando</v>
      </c>
      <c r="AN145" s="1" t="str">
        <f ca="1">IF(SUMIF(vendaAno[data],SituaçãoEstoqueFluxo[[#This Row],[data]],vendaAno[estoque])=0,"Algo errado",IF(AND(AX145/AW145&gt;0,AX145/AW145&lt;=1),"Alerta",IF(AND(AX145/AW145&gt;1,AX145/AW145&lt;=1.5),"Fazer pedido",IF(AND(AX145/AW145&gt;1.5,AX145/AW145&lt;=2),"Ok",IF(AND(AX145/AW145&gt;2,AX145/AW145&lt;=2.5),"Estabilizando",IF(AND(AX145/AW145&gt;2.5,AX145/AW145&lt;=3),"Cheio","Abaixar preço"))))))</f>
        <v>Abaixar preço</v>
      </c>
      <c r="AO145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145" s="116">
        <f t="shared" si="9"/>
        <v>46089</v>
      </c>
      <c r="AQ14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2.1666666666666665</v>
      </c>
      <c r="AR14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14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9.75</v>
      </c>
      <c r="AT14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7.916666666666667</v>
      </c>
      <c r="AU14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</v>
      </c>
      <c r="AV145" s="82" cm="1">
        <f t="array" aca="1" ref="AV1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45" s="82" cm="1">
        <f t="array" aca="1" ref="AW1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45" s="82">
        <f>SUM(FluxoEstoqueDateTime[[#This Row],[OVO BRANCO A]:[OVO BRANCO JUMBO]])</f>
        <v>40.25</v>
      </c>
    </row>
    <row r="146" spans="1:50" x14ac:dyDescent="0.25">
      <c r="A146" s="4" t="s">
        <v>20</v>
      </c>
      <c r="B146" s="55" t="s">
        <v>10</v>
      </c>
      <c r="C146" s="5">
        <v>2</v>
      </c>
      <c r="D146" s="56">
        <v>19</v>
      </c>
      <c r="E146" s="56">
        <v>38</v>
      </c>
      <c r="F146" s="157">
        <v>46202</v>
      </c>
      <c r="G146" s="4" t="s">
        <v>291</v>
      </c>
      <c r="H146" s="4" t="s">
        <v>148</v>
      </c>
      <c r="I146" s="153">
        <v>7.17</v>
      </c>
      <c r="J146" s="12">
        <v>0.18859649122807029</v>
      </c>
      <c r="Z146" s="116">
        <f t="shared" si="7"/>
        <v>46088</v>
      </c>
      <c r="AA14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8.8571428571428577</v>
      </c>
      <c r="AB14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9.8571428571428577</v>
      </c>
      <c r="AE14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4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4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43.548486444867699</v>
      </c>
      <c r="AH146" s="116">
        <f t="shared" si="8"/>
        <v>46088</v>
      </c>
      <c r="AI146" s="1" t="str" cm="1">
        <f t="array" ref="AI146">IFERROR(_xlfn.IFS(AQ146="","Sem Produto",AND(AQ146/(AA146/12)&gt;0,AQ146/(AA146/12)&lt;=2),"Acabando",AND(AQ146/(AA146/12)&gt;2,AQ146/(AA146/12)&lt;=3),"Fazer Pedido",AND(AQ146/(AA146/12)&gt;3,AQ146/(AA146/12)&lt;=7),"OK",AND(AQ146/(AA146/12)&gt;7,AQ146/(AA146/12)&lt;=14),"Abaixar Preço",AND(AQ146/(AA146/12)&gt;14,AQ146/(AA146/12)&lt;=20),"Estabilizando",AQ146/(AA146/12)&gt;20,"Instavel"),"Instavel")</f>
        <v>OK</v>
      </c>
      <c r="AJ146" s="1" t="str" cm="1">
        <f t="array" ref="AJ146">IFERROR(_xlfn.IFS(AR146="","Sem Produto",AND(AR146/(AB146/12)&gt;0,AR146/(AB146/12)&lt;=2),"Acabando",AND(AR146/(AB146/12)&gt;2,AR146/(AB146/12)&lt;=3),"Fazer Pedido",AND(AR146/(AB146/12)&gt;3,AR146/(AB146/12)&lt;=7),"OK",AND(AR146/(AB146/12)&gt;7,AR146/(AB146/12)&lt;=14),"Abaixar Preço",AND(AR146/(AB146/12)&gt;14,AR146/(AB146/12)&lt;=20),"Estabilizando",AR146/(AB146/12)&gt;20,"Instavel"),"Instavel")</f>
        <v>Estabilizando</v>
      </c>
      <c r="AK146" s="1" t="str" cm="1">
        <f t="array" ref="AK146">IFERROR(_xlfn.IFS(AS146="","Sem Produto",AND(AS146/(AC146/12)&gt;0,AS146/(AC146/12)&lt;=2),"Acabando",AND(AS146/(AC146/12)&gt;2,AS146/(AC146/12)&lt;=3),"Fazer Pedido",AND(AS146/(AC146/12)&gt;3,AS146/(AC146/12)&lt;=7),"OK",AND(AS146/(AC146/12)&gt;7,AS146/(AC146/12)&lt;=14),"Abaixar Preço",AND(AS146/(AC146/12)&gt;14,AS146/(AC146/12)&lt;=20),"Estabilizando",AS146/(AC146/12)&gt;20,"Instavel"),"Instavel")</f>
        <v>Instavel</v>
      </c>
      <c r="AL146" s="1" t="str" cm="1">
        <f t="array" ref="AL146">IFERROR(_xlfn.IFS(AT146="","Sem Produto",AND(AT146/(AD146/12)&gt;0,AT146/(AD146/12)&lt;=2),"Acabando",AND(AT146/(AD146/12)&gt;2,AT146/(AD146/12)&lt;=3),"Fazer Pedido",AND(AT146/(AD146/12)&gt;3,AT146/(AD146/12)&lt;=7),"OK",AND(AT146/(AD146/12)&gt;7,AT146/(AD146/12)&lt;=14),"Abaixar Preço",AND(AT146/(AD146/12)&gt;14,AT146/(AD146/12)&lt;=20),"Estabilizando",AT146/(AD146/12)&gt;20,"Instavel"),"Instavel")</f>
        <v>Abaixar Preço</v>
      </c>
      <c r="AM146" s="1" t="str" cm="1">
        <f t="array" ref="AM146">IFERROR(_xlfn.IFS(AU146="","Sem Produto",AND(AU146/(AE146/12)&gt;0,AU146/(AE146/12)&lt;=2),"Acabando",AND(AU146/(AE146/12)&gt;2,AU146/(AE146/12)&lt;=3),"Fazer Pedido",AND(AU146/(AE146/12)&gt;3,AU146/(AE146/12)&lt;=7),"OK",AND(AU146/(AE146/12)&gt;7,AU146/(AE146/12)&lt;=14),"Abaixar Preço",AND(AU146/(AE146/12)&gt;14,AU146/(AE146/12)&lt;=20),"Estabilizando",AU146/(AE146/12)&gt;20,"Instavel"),"Instavel")</f>
        <v>Abaixar Preço</v>
      </c>
      <c r="AN146" s="1" t="str">
        <f ca="1">IF(SUMIF(vendaAno[data],SituaçãoEstoqueFluxo[[#This Row],[data]],vendaAno[estoque])=0,"Algo errado",IF(AND(AX146/AW146&gt;0,AX146/AW146&lt;=1),"Alerta",IF(AND(AX146/AW146&gt;1,AX146/AW146&lt;=1.5),"Fazer pedido",IF(AND(AX146/AW146&gt;1.5,AX146/AW146&lt;=2),"Ok",IF(AND(AX146/AW146&gt;2,AX146/AW146&lt;=2.5),"Estabilizando",IF(AND(AX146/AW146&gt;2.5,AX146/AW146&lt;=3),"Cheio","Abaixar preço"))))))</f>
        <v>Abaixar preço</v>
      </c>
      <c r="AO146" s="82">
        <f>SUMIFS(estoque[quantidade],estoque[fornecedor],"&lt;&gt;saída",estoque[data],SituaçãoEstoqueFluxo[[#This Row],[data]])-SUMIFS(estoque[quantidade],estoque[fornecedor],"saída",estoque[data],SituaçãoEstoqueFluxo[[#This Row],[data]])</f>
        <v>388</v>
      </c>
      <c r="AP146" s="116">
        <f t="shared" si="9"/>
        <v>46088</v>
      </c>
      <c r="AQ14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14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</v>
      </c>
      <c r="AS14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10</v>
      </c>
      <c r="AT14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8.8333333333333339</v>
      </c>
      <c r="AU14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7.833333333333333</v>
      </c>
      <c r="AV146" s="82" cm="1">
        <f t="array" aca="1" ref="AV1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46" s="82" cm="1">
        <f t="array" aca="1" ref="AW1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46" s="82">
        <f>SUM(FluxoEstoqueDateTime[[#This Row],[OVO BRANCO A]:[OVO BRANCO JUMBO]])</f>
        <v>42.000000000000007</v>
      </c>
    </row>
    <row r="147" spans="1:50" x14ac:dyDescent="0.25">
      <c r="A147" s="4" t="s">
        <v>20</v>
      </c>
      <c r="B147" s="55" t="s">
        <v>14</v>
      </c>
      <c r="C147" s="5">
        <v>6</v>
      </c>
      <c r="D147" s="56">
        <v>23</v>
      </c>
      <c r="E147" s="56">
        <v>138</v>
      </c>
      <c r="F147" s="157">
        <v>46201</v>
      </c>
      <c r="G147" s="4" t="s">
        <v>93</v>
      </c>
      <c r="H147" s="4" t="s">
        <v>148</v>
      </c>
      <c r="I147" s="153">
        <v>40.369999999999997</v>
      </c>
      <c r="J147" s="12">
        <v>0.29254049445865293</v>
      </c>
      <c r="Z147" s="116">
        <f t="shared" si="7"/>
        <v>46087</v>
      </c>
      <c r="AA14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4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</v>
      </c>
      <c r="AC1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14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7.1428571428571432</v>
      </c>
      <c r="AF14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35.428571428571431</v>
      </c>
      <c r="AG14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42.646374856145094</v>
      </c>
      <c r="AH147" s="116">
        <f t="shared" si="8"/>
        <v>46087</v>
      </c>
      <c r="AI147" s="1" t="str" cm="1">
        <f t="array" ref="AI147">IFERROR(_xlfn.IFS(AQ147="","Sem Produto",AND(AQ147/(AA147/12)&gt;0,AQ147/(AA147/12)&lt;=2),"Acabando",AND(AQ147/(AA147/12)&gt;2,AQ147/(AA147/12)&lt;=3),"Fazer Pedido",AND(AQ147/(AA147/12)&gt;3,AQ147/(AA147/12)&lt;=7),"OK",AND(AQ147/(AA147/12)&gt;7,AQ147/(AA147/12)&lt;=14),"Abaixar Preço",AND(AQ147/(AA147/12)&gt;14,AQ147/(AA147/12)&lt;=20),"Estabilizando",AQ147/(AA147/12)&gt;20,"Instavel"),"Instavel")</f>
        <v>OK</v>
      </c>
      <c r="AJ147" s="1" t="str" cm="1">
        <f t="array" ref="AJ147">IFERROR(_xlfn.IFS(AR147="","Sem Produto",AND(AR147/(AB147/12)&gt;0,AR147/(AB147/12)&lt;=2),"Acabando",AND(AR147/(AB147/12)&gt;2,AR147/(AB147/12)&lt;=3),"Fazer Pedido",AND(AR147/(AB147/12)&gt;3,AR147/(AB147/12)&lt;=7),"OK",AND(AR147/(AB147/12)&gt;7,AR147/(AB147/12)&lt;=14),"Abaixar Preço",AND(AR147/(AB147/12)&gt;14,AR147/(AB147/12)&lt;=20),"Estabilizando",AR147/(AB147/12)&gt;20,"Instavel"),"Instavel")</f>
        <v>Sem Produto</v>
      </c>
      <c r="AK147" s="1" t="str" cm="1">
        <f t="array" ref="AK147">IFERROR(_xlfn.IFS(AS147="","Sem Produto",AND(AS147/(AC147/12)&gt;0,AS147/(AC147/12)&lt;=2),"Acabando",AND(AS147/(AC147/12)&gt;2,AS147/(AC147/12)&lt;=3),"Fazer Pedido",AND(AS147/(AC147/12)&gt;3,AS147/(AC147/12)&lt;=7),"OK",AND(AS147/(AC147/12)&gt;7,AS147/(AC147/12)&lt;=14),"Abaixar Preço",AND(AS147/(AC147/12)&gt;14,AS147/(AC147/12)&lt;=20),"Estabilizando",AS147/(AC147/12)&gt;20,"Instavel"),"Instavel")</f>
        <v>Sem Produto</v>
      </c>
      <c r="AL147" s="1" t="str" cm="1">
        <f t="array" ref="AL147">IFERROR(_xlfn.IFS(AT147="","Sem Produto",AND(AT147/(AD147/12)&gt;0,AT147/(AD147/12)&lt;=2),"Acabando",AND(AT147/(AD147/12)&gt;2,AT147/(AD147/12)&lt;=3),"Fazer Pedido",AND(AT147/(AD147/12)&gt;3,AT147/(AD147/12)&lt;=7),"OK",AND(AT147/(AD147/12)&gt;7,AT147/(AD147/12)&lt;=14),"Abaixar Preço",AND(AT147/(AD147/12)&gt;14,AT147/(AD147/12)&lt;=20),"Estabilizando",AT147/(AD147/12)&gt;20,"Instavel"),"Instavel")</f>
        <v>OK</v>
      </c>
      <c r="AM147" s="1" t="str" cm="1">
        <f t="array" ref="AM147">IFERROR(_xlfn.IFS(AU147="","Sem Produto",AND(AU147/(AE147/12)&gt;0,AU147/(AE147/12)&lt;=2),"Acabando",AND(AU147/(AE147/12)&gt;2,AU147/(AE147/12)&lt;=3),"Fazer Pedido",AND(AU147/(AE147/12)&gt;3,AU147/(AE147/12)&lt;=7),"OK",AND(AU147/(AE147/12)&gt;7,AU147/(AE147/12)&lt;=14),"Abaixar Preço",AND(AU147/(AE147/12)&gt;14,AU147/(AE147/12)&lt;=20),"Estabilizando",AU147/(AE147/12)&gt;20,"Instavel"),"Instavel")</f>
        <v>OK</v>
      </c>
      <c r="AN147" s="1" t="str">
        <f ca="1">IF(SUMIF(vendaAno[data],SituaçãoEstoqueFluxo[[#This Row],[data]],vendaAno[estoque])=0,"Algo errado",IF(AND(AX147/AW147&gt;0,AX147/AW147&lt;=1),"Alerta",IF(AND(AX147/AW147&gt;1,AX147/AW147&lt;=1.5),"Fazer pedido",IF(AND(AX147/AW147&gt;1.5,AX147/AW147&lt;=2),"Ok",IF(AND(AX147/AW147&gt;2,AX147/AW147&lt;=2.5),"Estabilizando",IF(AND(AX147/AW147&gt;2.5,AX147/AW147&lt;=3),"Cheio","Abaixar preço"))))))</f>
        <v>Fazer pedido</v>
      </c>
      <c r="AO147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47" s="116">
        <f t="shared" si="9"/>
        <v>46087</v>
      </c>
      <c r="AQ14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2.3333333333333335</v>
      </c>
      <c r="AR14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1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14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3.1666666666666665</v>
      </c>
      <c r="AV147" s="82" cm="1">
        <f t="array" aca="1" ref="AV1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26.571428571428573</v>
      </c>
      <c r="AW147" s="82" cm="1">
        <f t="array" aca="1" ref="AW1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8.8571428571428577</v>
      </c>
      <c r="AX147" s="82">
        <f>SUM(FluxoEstoqueDateTime[[#This Row],[OVO BRANCO A]:[OVO BRANCO JUMBO]])</f>
        <v>9.6666666666666661</v>
      </c>
    </row>
    <row r="148" spans="1:50" x14ac:dyDescent="0.25">
      <c r="A148" s="4" t="s">
        <v>20</v>
      </c>
      <c r="B148" s="55" t="s">
        <v>13</v>
      </c>
      <c r="C148" s="5">
        <v>9</v>
      </c>
      <c r="D148" s="56">
        <v>20</v>
      </c>
      <c r="E148" s="56">
        <v>180</v>
      </c>
      <c r="F148" s="157">
        <v>46201</v>
      </c>
      <c r="G148" s="4" t="s">
        <v>93</v>
      </c>
      <c r="H148" s="4" t="s">
        <v>148</v>
      </c>
      <c r="I148" s="153">
        <v>37.5</v>
      </c>
      <c r="J148" s="12">
        <v>0.20833333333333329</v>
      </c>
      <c r="Z148" s="116">
        <f t="shared" si="7"/>
        <v>46086</v>
      </c>
      <c r="AA14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14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13.285714285714286</v>
      </c>
      <c r="AC1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9.7142857142857135</v>
      </c>
      <c r="AE14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7.5714285714285712</v>
      </c>
      <c r="AF14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4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44.191925365010569</v>
      </c>
      <c r="AH148" s="116">
        <f t="shared" si="8"/>
        <v>46086</v>
      </c>
      <c r="AI148" s="1" t="str" cm="1">
        <f t="array" ref="AI148">IFERROR(_xlfn.IFS(AQ148="","Sem Produto",AND(AQ148/(AA148/12)&gt;0,AQ148/(AA148/12)&lt;=2),"Acabando",AND(AQ148/(AA148/12)&gt;2,AQ148/(AA148/12)&lt;=3),"Fazer Pedido",AND(AQ148/(AA148/12)&gt;3,AQ148/(AA148/12)&lt;=7),"OK",AND(AQ148/(AA148/12)&gt;7,AQ148/(AA148/12)&lt;=14),"Abaixar Preço",AND(AQ148/(AA148/12)&gt;14,AQ148/(AA148/12)&lt;=20),"Estabilizando",AQ148/(AA148/12)&gt;20,"Instavel"),"Instavel")</f>
        <v>OK</v>
      </c>
      <c r="AJ148" s="1" t="str" cm="1">
        <f t="array" ref="AJ148">IFERROR(_xlfn.IFS(AR148="","Sem Produto",AND(AR148/(AB148/12)&gt;0,AR148/(AB148/12)&lt;=2),"Acabando",AND(AR148/(AB148/12)&gt;2,AR148/(AB148/12)&lt;=3),"Fazer Pedido",AND(AR148/(AB148/12)&gt;3,AR148/(AB148/12)&lt;=7),"OK",AND(AR148/(AB148/12)&gt;7,AR148/(AB148/12)&lt;=14),"Abaixar Preço",AND(AR148/(AB148/12)&gt;14,AR148/(AB148/12)&lt;=20),"Estabilizando",AR148/(AB148/12)&gt;20,"Instavel"),"Instavel")</f>
        <v>Sem Produto</v>
      </c>
      <c r="AK148" s="1" t="str" cm="1">
        <f t="array" ref="AK148">IFERROR(_xlfn.IFS(AS148="","Sem Produto",AND(AS148/(AC148/12)&gt;0,AS148/(AC148/12)&lt;=2),"Acabando",AND(AS148/(AC148/12)&gt;2,AS148/(AC148/12)&lt;=3),"Fazer Pedido",AND(AS148/(AC148/12)&gt;3,AS148/(AC148/12)&lt;=7),"OK",AND(AS148/(AC148/12)&gt;7,AS148/(AC148/12)&lt;=14),"Abaixar Preço",AND(AS148/(AC148/12)&gt;14,AS148/(AC148/12)&lt;=20),"Estabilizando",AS148/(AC148/12)&gt;20,"Instavel"),"Instavel")</f>
        <v>Sem Produto</v>
      </c>
      <c r="AL148" s="1" t="str" cm="1">
        <f t="array" ref="AL148">IFERROR(_xlfn.IFS(AT148="","Sem Produto",AND(AT148/(AD148/12)&gt;0,AT148/(AD148/12)&lt;=2),"Acabando",AND(AT148/(AD148/12)&gt;2,AT148/(AD148/12)&lt;=3),"Fazer Pedido",AND(AT148/(AD148/12)&gt;3,AT148/(AD148/12)&lt;=7),"OK",AND(AT148/(AD148/12)&gt;7,AT148/(AD148/12)&lt;=14),"Abaixar Preço",AND(AT148/(AD148/12)&gt;14,AT148/(AD148/12)&lt;=20),"Estabilizando",AT148/(AD148/12)&gt;20,"Instavel"),"Instavel")</f>
        <v>OK</v>
      </c>
      <c r="AM148" s="1" t="str" cm="1">
        <f t="array" ref="AM148">IFERROR(_xlfn.IFS(AU148="","Sem Produto",AND(AU148/(AE148/12)&gt;0,AU148/(AE148/12)&lt;=2),"Acabando",AND(AU148/(AE148/12)&gt;2,AU148/(AE148/12)&lt;=3),"Fazer Pedido",AND(AU148/(AE148/12)&gt;3,AU148/(AE148/12)&lt;=7),"OK",AND(AU148/(AE148/12)&gt;7,AU148/(AE148/12)&lt;=14),"Abaixar Preço",AND(AU148/(AE148/12)&gt;14,AU148/(AE148/12)&lt;=20),"Estabilizando",AU148/(AE148/12)&gt;20,"Instavel"),"Instavel")</f>
        <v>OK</v>
      </c>
      <c r="AN148" s="1" t="str">
        <f ca="1">IF(SUMIF(vendaAno[data],SituaçãoEstoqueFluxo[[#This Row],[data]],vendaAno[estoque])=0,"Algo errado",IF(AND(AX148/AW148&gt;0,AX148/AW148&lt;=1),"Alerta",IF(AND(AX148/AW148&gt;1,AX148/AW148&lt;=1.5),"Fazer pedido",IF(AND(AX148/AW148&gt;1.5,AX148/AW148&lt;=2),"Ok",IF(AND(AX148/AW148&gt;2,AX148/AW148&lt;=2.5),"Estabilizando",IF(AND(AX148/AW148&gt;2.5,AX148/AW148&lt;=3),"Cheio","Abaixar preço"))))))</f>
        <v>Fazer pedido</v>
      </c>
      <c r="AO148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48" s="116">
        <f t="shared" si="9"/>
        <v>46086</v>
      </c>
      <c r="AQ14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14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1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4.916666666666667</v>
      </c>
      <c r="AU14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3.75</v>
      </c>
      <c r="AV148" s="82" cm="1">
        <f t="array" aca="1" ref="AV1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28.607142857142851</v>
      </c>
      <c r="AW148" s="82" cm="1">
        <f t="array" aca="1" ref="AW1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48" s="82">
        <f>SUM(FluxoEstoqueDateTime[[#This Row],[OVO BRANCO A]:[OVO BRANCO JUMBO]])</f>
        <v>12.166666666666668</v>
      </c>
    </row>
    <row r="149" spans="1:50" x14ac:dyDescent="0.25">
      <c r="A149" s="4" t="s">
        <v>20</v>
      </c>
      <c r="B149" s="55" t="s">
        <v>11</v>
      </c>
      <c r="C149" s="5">
        <v>3</v>
      </c>
      <c r="D149" s="56">
        <v>18</v>
      </c>
      <c r="E149" s="56">
        <v>54</v>
      </c>
      <c r="F149" s="157">
        <v>46201</v>
      </c>
      <c r="G149" s="4" t="s">
        <v>93</v>
      </c>
      <c r="H149" s="4" t="s">
        <v>148</v>
      </c>
      <c r="I149" s="153">
        <v>10.24</v>
      </c>
      <c r="J149" s="12">
        <v>0.18970478869596155</v>
      </c>
      <c r="Z149" s="116">
        <f t="shared" si="7"/>
        <v>46085</v>
      </c>
      <c r="AA14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4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16.285714285714285</v>
      </c>
      <c r="AC1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4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10.571428571428571</v>
      </c>
      <c r="AE14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6.4285714285714288</v>
      </c>
      <c r="AF14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39.857142857142854</v>
      </c>
      <c r="AG14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46.535349647321468</v>
      </c>
      <c r="AH149" s="116">
        <f t="shared" si="8"/>
        <v>46085</v>
      </c>
      <c r="AI149" s="1" t="str" cm="1">
        <f t="array" ref="AI149">IFERROR(_xlfn.IFS(AQ149="","Sem Produto",AND(AQ149/(AA149/12)&gt;0,AQ149/(AA149/12)&lt;=2),"Acabando",AND(AQ149/(AA149/12)&gt;2,AQ149/(AA149/12)&lt;=3),"Fazer Pedido",AND(AQ149/(AA149/12)&gt;3,AQ149/(AA149/12)&lt;=7),"OK",AND(AQ149/(AA149/12)&gt;7,AQ149/(AA149/12)&lt;=14),"Abaixar Preço",AND(AQ149/(AA149/12)&gt;14,AQ149/(AA149/12)&lt;=20),"Estabilizando",AQ149/(AA149/12)&gt;20,"Instavel"),"Instavel")</f>
        <v>Abaixar Preço</v>
      </c>
      <c r="AJ149" s="1" t="str" cm="1">
        <f t="array" ref="AJ149">IFERROR(_xlfn.IFS(AR149="","Sem Produto",AND(AR149/(AB149/12)&gt;0,AR149/(AB149/12)&lt;=2),"Acabando",AND(AR149/(AB149/12)&gt;2,AR149/(AB149/12)&lt;=3),"Fazer Pedido",AND(AR149/(AB149/12)&gt;3,AR149/(AB149/12)&lt;=7),"OK",AND(AR149/(AB149/12)&gt;7,AR149/(AB149/12)&lt;=14),"Abaixar Preço",AND(AR149/(AB149/12)&gt;14,AR149/(AB149/12)&lt;=20),"Estabilizando",AR149/(AB149/12)&gt;20,"Instavel"),"Instavel")</f>
        <v>Acabando</v>
      </c>
      <c r="AK149" s="1" t="str" cm="1">
        <f t="array" ref="AK149">IFERROR(_xlfn.IFS(AS149="","Sem Produto",AND(AS149/(AC149/12)&gt;0,AS149/(AC149/12)&lt;=2),"Acabando",AND(AS149/(AC149/12)&gt;2,AS149/(AC149/12)&lt;=3),"Fazer Pedido",AND(AS149/(AC149/12)&gt;3,AS149/(AC149/12)&lt;=7),"OK",AND(AS149/(AC149/12)&gt;7,AS149/(AC149/12)&lt;=14),"Abaixar Preço",AND(AS149/(AC149/12)&gt;14,AS149/(AC149/12)&lt;=20),"Estabilizando",AS149/(AC149/12)&gt;20,"Instavel"),"Instavel")</f>
        <v>Sem Produto</v>
      </c>
      <c r="AL149" s="1" t="str" cm="1">
        <f t="array" ref="AL149">IFERROR(_xlfn.IFS(AT149="","Sem Produto",AND(AT149/(AD149/12)&gt;0,AT149/(AD149/12)&lt;=2),"Acabando",AND(AT149/(AD149/12)&gt;2,AT149/(AD149/12)&lt;=3),"Fazer Pedido",AND(AT149/(AD149/12)&gt;3,AT149/(AD149/12)&lt;=7),"OK",AND(AT149/(AD149/12)&gt;7,AT149/(AD149/12)&lt;=14),"Abaixar Preço",AND(AT149/(AD149/12)&gt;14,AT149/(AD149/12)&lt;=20),"Estabilizando",AT149/(AD149/12)&gt;20,"Instavel"),"Instavel")</f>
        <v>OK</v>
      </c>
      <c r="AM149" s="1" t="str" cm="1">
        <f t="array" ref="AM149">IFERROR(_xlfn.IFS(AU149="","Sem Produto",AND(AU149/(AE149/12)&gt;0,AU149/(AE149/12)&lt;=2),"Acabando",AND(AU149/(AE149/12)&gt;2,AU149/(AE149/12)&lt;=3),"Fazer Pedido",AND(AU149/(AE149/12)&gt;3,AU149/(AE149/12)&lt;=7),"OK",AND(AU149/(AE149/12)&gt;7,AU149/(AE149/12)&lt;=14),"Abaixar Preço",AND(AU149/(AE149/12)&gt;14,AU149/(AE149/12)&lt;=20),"Estabilizando",AU149/(AE149/12)&gt;20,"Instavel"),"Instavel")</f>
        <v>Abaixar Preço</v>
      </c>
      <c r="AN149" s="1" t="str">
        <f ca="1">IF(SUMIF(vendaAno[data],SituaçãoEstoqueFluxo[[#This Row],[data]],vendaAno[estoque])=0,"Algo errado",IF(AND(AX149/AW149&gt;0,AX149/AW149&lt;=1),"Alerta",IF(AND(AX149/AW149&gt;1,AX149/AW149&lt;=1.5),"Fazer pedido",IF(AND(AX149/AW149&gt;1.5,AX149/AW149&lt;=2),"Ok",IF(AND(AX149/AW149&gt;2,AX149/AW149&lt;=2.5),"Estabilizando",IF(AND(AX149/AW149&gt;2.5,AX149/AW149&lt;=3),"Cheio","Abaixar preço"))))))</f>
        <v>Fazer pedido</v>
      </c>
      <c r="AO149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49" s="116">
        <f t="shared" si="9"/>
        <v>46085</v>
      </c>
      <c r="AQ14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4.416666666666667</v>
      </c>
      <c r="AR14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8.3333333333333329E-2</v>
      </c>
      <c r="AS1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4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14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49" s="82" cm="1">
        <f t="array" aca="1" ref="AV1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29.892857142857139</v>
      </c>
      <c r="AW149" s="82" cm="1">
        <f t="array" aca="1" ref="AW1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9.9642857142857135</v>
      </c>
      <c r="AX149" s="82">
        <f>SUM(FluxoEstoqueDateTime[[#This Row],[OVO BRANCO A]:[OVO BRANCO JUMBO]])</f>
        <v>14.666666666666668</v>
      </c>
    </row>
    <row r="150" spans="1:50" x14ac:dyDescent="0.25">
      <c r="A150" s="4" t="s">
        <v>20</v>
      </c>
      <c r="B150" s="55" t="s">
        <v>10</v>
      </c>
      <c r="C150" s="5">
        <v>7</v>
      </c>
      <c r="D150" s="56">
        <v>19</v>
      </c>
      <c r="E150" s="56">
        <v>133</v>
      </c>
      <c r="F150" s="157">
        <v>46201</v>
      </c>
      <c r="G150" s="4" t="s">
        <v>93</v>
      </c>
      <c r="H150" s="4" t="s">
        <v>148</v>
      </c>
      <c r="I150" s="153">
        <v>25.08</v>
      </c>
      <c r="J150" s="12">
        <v>0.18859649122807021</v>
      </c>
      <c r="Z150" s="116">
        <f t="shared" si="7"/>
        <v>46084</v>
      </c>
      <c r="AA15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5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16.714285714285715</v>
      </c>
      <c r="AC1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10.142857142857142</v>
      </c>
      <c r="AE15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5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42.428571428571431</v>
      </c>
      <c r="AG15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46.460781039882313</v>
      </c>
      <c r="AH150" s="116">
        <f t="shared" si="8"/>
        <v>46084</v>
      </c>
      <c r="AI150" s="1" t="str" cm="1">
        <f t="array" ref="AI150">IFERROR(_xlfn.IFS(AQ150="","Sem Produto",AND(AQ150/(AA150/12)&gt;0,AQ150/(AA150/12)&lt;=2),"Acabando",AND(AQ150/(AA150/12)&gt;2,AQ150/(AA150/12)&lt;=3),"Fazer Pedido",AND(AQ150/(AA150/12)&gt;3,AQ150/(AA150/12)&lt;=7),"OK",AND(AQ150/(AA150/12)&gt;7,AQ150/(AA150/12)&lt;=14),"Abaixar Preço",AND(AQ150/(AA150/12)&gt;14,AQ150/(AA150/12)&lt;=20),"Estabilizando",AQ150/(AA150/12)&gt;20,"Instavel"),"Instavel")</f>
        <v>Abaixar Preço</v>
      </c>
      <c r="AJ150" s="1" t="str" cm="1">
        <f t="array" ref="AJ150">IFERROR(_xlfn.IFS(AR150="","Sem Produto",AND(AR150/(AB150/12)&gt;0,AR150/(AB150/12)&lt;=2),"Acabando",AND(AR150/(AB150/12)&gt;2,AR150/(AB150/12)&lt;=3),"Fazer Pedido",AND(AR150/(AB150/12)&gt;3,AR150/(AB150/12)&lt;=7),"OK",AND(AR150/(AB150/12)&gt;7,AR150/(AB150/12)&lt;=14),"Abaixar Preço",AND(AR150/(AB150/12)&gt;14,AR150/(AB150/12)&lt;=20),"Estabilizando",AR150/(AB150/12)&gt;20,"Instavel"),"Instavel")</f>
        <v>Acabando</v>
      </c>
      <c r="AK150" s="1" t="str" cm="1">
        <f t="array" ref="AK150">IFERROR(_xlfn.IFS(AS150="","Sem Produto",AND(AS150/(AC150/12)&gt;0,AS150/(AC150/12)&lt;=2),"Acabando",AND(AS150/(AC150/12)&gt;2,AS150/(AC150/12)&lt;=3),"Fazer Pedido",AND(AS150/(AC150/12)&gt;3,AS150/(AC150/12)&lt;=7),"OK",AND(AS150/(AC150/12)&gt;7,AS150/(AC150/12)&lt;=14),"Abaixar Preço",AND(AS150/(AC150/12)&gt;14,AS150/(AC150/12)&lt;=20),"Estabilizando",AS150/(AC150/12)&gt;20,"Instavel"),"Instavel")</f>
        <v>Sem Produto</v>
      </c>
      <c r="AL150" s="1" t="str" cm="1">
        <f t="array" ref="AL150">IFERROR(_xlfn.IFS(AT150="","Sem Produto",AND(AT150/(AD150/12)&gt;0,AT150/(AD150/12)&lt;=2),"Acabando",AND(AT150/(AD150/12)&gt;2,AT150/(AD150/12)&lt;=3),"Fazer Pedido",AND(AT150/(AD150/12)&gt;3,AT150/(AD150/12)&lt;=7),"OK",AND(AT150/(AD150/12)&gt;7,AT150/(AD150/12)&lt;=14),"Abaixar Preço",AND(AT150/(AD150/12)&gt;14,AT150/(AD150/12)&lt;=20),"Estabilizando",AT150/(AD150/12)&gt;20,"Instavel"),"Instavel")</f>
        <v>Abaixar Preço</v>
      </c>
      <c r="AM150" s="1" t="str" cm="1">
        <f t="array" ref="AM150">IFERROR(_xlfn.IFS(AU150="","Sem Produto",AND(AU150/(AE150/12)&gt;0,AU150/(AE150/12)&lt;=2),"Acabando",AND(AU150/(AE150/12)&gt;2,AU150/(AE150/12)&lt;=3),"Fazer Pedido",AND(AU150/(AE150/12)&gt;3,AU150/(AE150/12)&lt;=7),"OK",AND(AU150/(AE150/12)&gt;7,AU150/(AE150/12)&lt;=14),"Abaixar Preço",AND(AU150/(AE150/12)&gt;14,AU150/(AE150/12)&lt;=20),"Estabilizando",AU150/(AE150/12)&gt;20,"Instavel"),"Instavel")</f>
        <v>Abaixar Preço</v>
      </c>
      <c r="AN150" s="1" t="str">
        <f ca="1">IF(SUMIF(vendaAno[data],SituaçãoEstoqueFluxo[[#This Row],[data]],vendaAno[estoque])=0,"Algo errado",IF(AND(AX150/AW150&gt;0,AX150/AW150&lt;=1),"Alerta",IF(AND(AX150/AW150&gt;1,AX150/AW150&lt;=1.5),"Fazer pedido",IF(AND(AX150/AW150&gt;1.5,AX150/AW150&lt;=2),"Ok",IF(AND(AX150/AW150&gt;2,AX150/AW150&lt;=2.5),"Estabilizando",IF(AND(AX150/AW150&gt;2.5,AX150/AW150&lt;=3),"Cheio","Abaixar preço"))))))</f>
        <v>Ok</v>
      </c>
      <c r="AO150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50" s="116">
        <f t="shared" si="9"/>
        <v>46084</v>
      </c>
      <c r="AQ15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</v>
      </c>
      <c r="AR15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0.58333333333333337</v>
      </c>
      <c r="AS1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15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5.333333333333333</v>
      </c>
      <c r="AV150" s="82" cm="1">
        <f t="array" aca="1" ref="AV1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31.821428571428573</v>
      </c>
      <c r="AW150" s="82" cm="1">
        <f t="array" aca="1" ref="AW1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10.607142857142858</v>
      </c>
      <c r="AX150" s="82">
        <f>SUM(FluxoEstoqueDateTime[[#This Row],[OVO BRANCO A]:[OVO BRANCO JUMBO]])</f>
        <v>17.083333333333332</v>
      </c>
    </row>
    <row r="151" spans="1:50" x14ac:dyDescent="0.25">
      <c r="A151" s="4" t="s">
        <v>20</v>
      </c>
      <c r="B151" s="55" t="s">
        <v>14</v>
      </c>
      <c r="C151" s="5">
        <v>5</v>
      </c>
      <c r="D151" s="56">
        <v>23</v>
      </c>
      <c r="E151" s="56">
        <v>115</v>
      </c>
      <c r="F151" s="157">
        <v>46200</v>
      </c>
      <c r="G151" s="4" t="s">
        <v>92</v>
      </c>
      <c r="H151" s="4" t="s">
        <v>148</v>
      </c>
      <c r="I151" s="153">
        <v>33.64</v>
      </c>
      <c r="J151" s="12">
        <v>0.29254049445865293</v>
      </c>
      <c r="Z151" s="116">
        <f t="shared" si="7"/>
        <v>46083</v>
      </c>
      <c r="AA15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5.2857142857142856</v>
      </c>
      <c r="AB15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18.428571428571427</v>
      </c>
      <c r="AC15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5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</v>
      </c>
      <c r="AF15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41.142857142857146</v>
      </c>
      <c r="AG15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46.100107125706486</v>
      </c>
      <c r="AH151" s="116">
        <f t="shared" si="8"/>
        <v>46083</v>
      </c>
      <c r="AI151" s="1" t="str" cm="1">
        <f t="array" ref="AI151">IFERROR(_xlfn.IFS(AQ151="","Sem Produto",AND(AQ151/(AA151/12)&gt;0,AQ151/(AA151/12)&lt;=2),"Acabando",AND(AQ151/(AA151/12)&gt;2,AQ151/(AA151/12)&lt;=3),"Fazer Pedido",AND(AQ151/(AA151/12)&gt;3,AQ151/(AA151/12)&lt;=7),"OK",AND(AQ151/(AA151/12)&gt;7,AQ151/(AA151/12)&lt;=14),"Abaixar Preço",AND(AQ151/(AA151/12)&gt;14,AQ151/(AA151/12)&lt;=20),"Estabilizando",AQ151/(AA151/12)&gt;20,"Instavel"),"Instavel")</f>
        <v>Estabilizando</v>
      </c>
      <c r="AJ151" s="1" t="str" cm="1">
        <f t="array" ref="AJ151">IFERROR(_xlfn.IFS(AR151="","Sem Produto",AND(AR151/(AB151/12)&gt;0,AR151/(AB151/12)&lt;=2),"Acabando",AND(AR151/(AB151/12)&gt;2,AR151/(AB151/12)&lt;=3),"Fazer Pedido",AND(AR151/(AB151/12)&gt;3,AR151/(AB151/12)&lt;=7),"OK",AND(AR151/(AB151/12)&gt;7,AR151/(AB151/12)&lt;=14),"Abaixar Preço",AND(AR151/(AB151/12)&gt;14,AR151/(AB151/12)&lt;=20),"Estabilizando",AR151/(AB151/12)&gt;20,"Instavel"),"Instavel")</f>
        <v>Acabando</v>
      </c>
      <c r="AK151" s="1" t="str" cm="1">
        <f t="array" ref="AK151">IFERROR(_xlfn.IFS(AS151="","Sem Produto",AND(AS151/(AC151/12)&gt;0,AS151/(AC151/12)&lt;=2),"Acabando",AND(AS151/(AC151/12)&gt;2,AS151/(AC151/12)&lt;=3),"Fazer Pedido",AND(AS151/(AC151/12)&gt;3,AS151/(AC151/12)&lt;=7),"OK",AND(AS151/(AC151/12)&gt;7,AS151/(AC151/12)&lt;=14),"Abaixar Preço",AND(AS151/(AC151/12)&gt;14,AS151/(AC151/12)&lt;=20),"Estabilizando",AS151/(AC151/12)&gt;20,"Instavel"),"Instavel")</f>
        <v>Sem Produto</v>
      </c>
      <c r="AL151" s="1" t="str" cm="1">
        <f t="array" ref="AL151">IFERROR(_xlfn.IFS(AT151="","Sem Produto",AND(AT151/(AD151/12)&gt;0,AT151/(AD151/12)&lt;=2),"Acabando",AND(AT151/(AD151/12)&gt;2,AT151/(AD151/12)&lt;=3),"Fazer Pedido",AND(AT151/(AD151/12)&gt;3,AT151/(AD151/12)&lt;=7),"OK",AND(AT151/(AD151/12)&gt;7,AT151/(AD151/12)&lt;=14),"Abaixar Preço",AND(AT151/(AD151/12)&gt;14,AT151/(AD151/12)&lt;=20),"Estabilizando",AT151/(AD151/12)&gt;20,"Instavel"),"Instavel")</f>
        <v>Abaixar Preço</v>
      </c>
      <c r="AM151" s="1" t="str" cm="1">
        <f t="array" ref="AM151">IFERROR(_xlfn.IFS(AU151="","Sem Produto",AND(AU151/(AE151/12)&gt;0,AU151/(AE151/12)&lt;=2),"Acabando",AND(AU151/(AE151/12)&gt;2,AU151/(AE151/12)&lt;=3),"Fazer Pedido",AND(AU151/(AE151/12)&gt;3,AU151/(AE151/12)&lt;=7),"OK",AND(AU151/(AE151/12)&gt;7,AU151/(AE151/12)&lt;=14),"Abaixar Preço",AND(AU151/(AE151/12)&gt;14,AU151/(AE151/12)&lt;=20),"Estabilizando",AU151/(AE151/12)&gt;20,"Instavel"),"Instavel")</f>
        <v>Abaixar Preço</v>
      </c>
      <c r="AN151" s="1" t="str">
        <f ca="1">IF(SUMIF(vendaAno[data],SituaçãoEstoqueFluxo[[#This Row],[data]],vendaAno[estoque])=0,"Algo errado",IF(AND(AX151/AW151&gt;0,AX151/AW151&lt;=1),"Alerta",IF(AND(AX151/AW151&gt;1,AX151/AW151&lt;=1.5),"Fazer pedido",IF(AND(AX151/AW151&gt;1.5,AX151/AW151&lt;=2),"Ok",IF(AND(AX151/AW151&gt;2,AX151/AW151&lt;=2.5),"Estabilizando",IF(AND(AX151/AW151&gt;2.5,AX151/AW151&lt;=3),"Cheio","Abaixar preço"))))))</f>
        <v>Estabilizando</v>
      </c>
      <c r="AO151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151" s="116">
        <f t="shared" si="9"/>
        <v>46083</v>
      </c>
      <c r="AQ15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6.833333333333333</v>
      </c>
      <c r="AR15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0.91666666666666663</v>
      </c>
      <c r="AS1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7.833333333333333</v>
      </c>
      <c r="AU15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51" s="82" cm="1">
        <f t="array" aca="1" ref="AV1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30.857142857142851</v>
      </c>
      <c r="AW151" s="82" cm="1">
        <f t="array" aca="1" ref="AW1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10.285714285714286</v>
      </c>
      <c r="AX151" s="82">
        <f>SUM(FluxoEstoqueDateTime[[#This Row],[OVO BRANCO A]:[OVO BRANCO JUMBO]])</f>
        <v>21.25</v>
      </c>
    </row>
    <row r="152" spans="1:50" x14ac:dyDescent="0.25">
      <c r="A152" s="4" t="s">
        <v>20</v>
      </c>
      <c r="B152" s="55" t="s">
        <v>13</v>
      </c>
      <c r="C152" s="5">
        <v>13</v>
      </c>
      <c r="D152" s="56">
        <v>20</v>
      </c>
      <c r="E152" s="56">
        <v>260</v>
      </c>
      <c r="F152" s="157">
        <v>46200</v>
      </c>
      <c r="G152" s="4" t="s">
        <v>92</v>
      </c>
      <c r="H152" s="4" t="s">
        <v>148</v>
      </c>
      <c r="I152" s="153">
        <v>54.17</v>
      </c>
      <c r="J152" s="12">
        <v>0.20833333333333329</v>
      </c>
      <c r="Z152" s="116">
        <f t="shared" si="7"/>
        <v>46082</v>
      </c>
      <c r="AA15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</v>
      </c>
      <c r="AB15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19.142857142857142</v>
      </c>
      <c r="AC15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15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9.2857142857142865</v>
      </c>
      <c r="AF15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42.142857142857146</v>
      </c>
      <c r="AG15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52.179594460828845</v>
      </c>
      <c r="AH152" s="116">
        <f t="shared" si="8"/>
        <v>46082</v>
      </c>
      <c r="AI152" s="1" t="str" cm="1">
        <f t="array" ref="AI152">IFERROR(_xlfn.IFS(AQ152="","Sem Produto",AND(AQ152/(AA152/12)&gt;0,AQ152/(AA152/12)&lt;=2),"Acabando",AND(AQ152/(AA152/12)&gt;2,AQ152/(AA152/12)&lt;=3),"Fazer Pedido",AND(AQ152/(AA152/12)&gt;3,AQ152/(AA152/12)&lt;=7),"OK",AND(AQ152/(AA152/12)&gt;7,AQ152/(AA152/12)&lt;=14),"Abaixar Preço",AND(AQ152/(AA152/12)&gt;14,AQ152/(AA152/12)&lt;=20),"Estabilizando",AQ152/(AA152/12)&gt;20,"Instavel"),"Instavel")</f>
        <v>Estabilizando</v>
      </c>
      <c r="AJ152" s="1" t="str" cm="1">
        <f t="array" ref="AJ152">IFERROR(_xlfn.IFS(AR152="","Sem Produto",AND(AR152/(AB152/12)&gt;0,AR152/(AB152/12)&lt;=2),"Acabando",AND(AR152/(AB152/12)&gt;2,AR152/(AB152/12)&lt;=3),"Fazer Pedido",AND(AR152/(AB152/12)&gt;3,AR152/(AB152/12)&lt;=7),"OK",AND(AR152/(AB152/12)&gt;7,AR152/(AB152/12)&lt;=14),"Abaixar Preço",AND(AR152/(AB152/12)&gt;14,AR152/(AB152/12)&lt;=20),"Estabilizando",AR152/(AB152/12)&gt;20,"Instavel"),"Instavel")</f>
        <v>Acabando</v>
      </c>
      <c r="AK152" s="1" t="str" cm="1">
        <f t="array" ref="AK152">IFERROR(_xlfn.IFS(AS152="","Sem Produto",AND(AS152/(AC152/12)&gt;0,AS152/(AC152/12)&lt;=2),"Acabando",AND(AS152/(AC152/12)&gt;2,AS152/(AC152/12)&lt;=3),"Fazer Pedido",AND(AS152/(AC152/12)&gt;3,AS152/(AC152/12)&lt;=7),"OK",AND(AS152/(AC152/12)&gt;7,AS152/(AC152/12)&lt;=14),"Abaixar Preço",AND(AS152/(AC152/12)&gt;14,AS152/(AC152/12)&lt;=20),"Estabilizando",AS152/(AC152/12)&gt;20,"Instavel"),"Instavel")</f>
        <v>Sem Produto</v>
      </c>
      <c r="AL152" s="1" t="str" cm="1">
        <f t="array" ref="AL152">IFERROR(_xlfn.IFS(AT152="","Sem Produto",AND(AT152/(AD152/12)&gt;0,AT152/(AD152/12)&lt;=2),"Acabando",AND(AT152/(AD152/12)&gt;2,AT152/(AD152/12)&lt;=3),"Fazer Pedido",AND(AT152/(AD152/12)&gt;3,AT152/(AD152/12)&lt;=7),"OK",AND(AT152/(AD152/12)&gt;7,AT152/(AD152/12)&lt;=14),"Abaixar Preço",AND(AT152/(AD152/12)&gt;14,AT152/(AD152/12)&lt;=20),"Estabilizando",AT152/(AD152/12)&gt;20,"Instavel"),"Instavel")</f>
        <v>Abaixar Preço</v>
      </c>
      <c r="AM152" s="1" t="str" cm="1">
        <f t="array" ref="AM152">IFERROR(_xlfn.IFS(AU152="","Sem Produto",AND(AU152/(AE152/12)&gt;0,AU152/(AE152/12)&lt;=2),"Acabando",AND(AU152/(AE152/12)&gt;2,AU152/(AE152/12)&lt;=3),"Fazer Pedido",AND(AU152/(AE152/12)&gt;3,AU152/(AE152/12)&lt;=7),"OK",AND(AU152/(AE152/12)&gt;7,AU152/(AE152/12)&lt;=14),"Abaixar Preço",AND(AU152/(AE152/12)&gt;14,AU152/(AE152/12)&lt;=20),"Estabilizando",AU152/(AE152/12)&gt;20,"Instavel"),"Instavel")</f>
        <v>Abaixar Preço</v>
      </c>
      <c r="AN152" s="1" t="str">
        <f ca="1">IF(SUMIF(vendaAno[data],SituaçãoEstoqueFluxo[[#This Row],[data]],vendaAno[estoque])=0,"Algo errado",IF(AND(AX152/AW152&gt;0,AX152/AW152&lt;=1),"Alerta",IF(AND(AX152/AW152&gt;1,AX152/AW152&lt;=1.5),"Fazer pedido",IF(AND(AX152/AW152&gt;1.5,AX152/AW152&lt;=2),"Ok",IF(AND(AX152/AW152&gt;2,AX152/AW152&lt;=2.5),"Estabilizando",IF(AND(AX152/AW152&gt;2.5,AX152/AW152&lt;=3),"Cheio","Abaixar preço"))))))</f>
        <v>Estabilizando</v>
      </c>
      <c r="AO152" s="82">
        <f>SUMIFS(estoque[quantidade],estoque[fornecedor],"&lt;&gt;saída",estoque[data],SituaçãoEstoqueFluxo[[#This Row],[data]])-SUMIFS(estoque[quantidade],estoque[fornecedor],"saída",estoque[data],SituaçãoEstoqueFluxo[[#This Row],[data]])</f>
        <v>-50</v>
      </c>
      <c r="AP152" s="116">
        <f t="shared" si="9"/>
        <v>46082</v>
      </c>
      <c r="AQ15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7.083333333333333</v>
      </c>
      <c r="AR15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3.1666666666666665</v>
      </c>
      <c r="AS1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9.0833333333333339</v>
      </c>
      <c r="AU15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6.166666666666667</v>
      </c>
      <c r="AV152" s="82" cm="1">
        <f t="array" aca="1" ref="AV1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31.607142857142851</v>
      </c>
      <c r="AW152" s="82" cm="1">
        <f t="array" aca="1" ref="AW1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10.535714285714286</v>
      </c>
      <c r="AX152" s="82">
        <f>SUM(FluxoEstoqueDateTime[[#This Row],[OVO BRANCO A]:[OVO BRANCO JUMBO]])</f>
        <v>25.500000000000004</v>
      </c>
    </row>
    <row r="153" spans="1:50" x14ac:dyDescent="0.25">
      <c r="A153" s="4" t="s">
        <v>20</v>
      </c>
      <c r="B153" s="55" t="s">
        <v>12</v>
      </c>
      <c r="C153" s="5">
        <v>1</v>
      </c>
      <c r="D153" s="56">
        <v>15</v>
      </c>
      <c r="E153" s="56">
        <v>15</v>
      </c>
      <c r="F153" s="157">
        <v>46200</v>
      </c>
      <c r="G153" s="4" t="s">
        <v>92</v>
      </c>
      <c r="H153" s="4" t="s">
        <v>148</v>
      </c>
      <c r="I153" s="153">
        <v>1.17</v>
      </c>
      <c r="J153" s="12">
        <v>7.7777777777777377E-2</v>
      </c>
      <c r="Z153" s="116">
        <f t="shared" si="7"/>
        <v>46081</v>
      </c>
      <c r="AA15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4.2857142857142856</v>
      </c>
      <c r="AB15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17.571428571428573</v>
      </c>
      <c r="AC15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8.8571428571428577</v>
      </c>
      <c r="AE15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5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39.285714285714285</v>
      </c>
      <c r="AG15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49.947868093177277</v>
      </c>
      <c r="AH153" s="116">
        <f t="shared" si="8"/>
        <v>46081</v>
      </c>
      <c r="AI153" s="1" t="str" cm="1">
        <f t="array" ref="AI153">IFERROR(_xlfn.IFS(AQ153="","Sem Produto",AND(AQ153/(AA153/12)&gt;0,AQ153/(AA153/12)&lt;=2),"Acabando",AND(AQ153/(AA153/12)&gt;2,AQ153/(AA153/12)&lt;=3),"Fazer Pedido",AND(AQ153/(AA153/12)&gt;3,AQ153/(AA153/12)&lt;=7),"OK",AND(AQ153/(AA153/12)&gt;7,AQ153/(AA153/12)&lt;=14),"Abaixar Preço",AND(AQ153/(AA153/12)&gt;14,AQ153/(AA153/12)&lt;=20),"Estabilizando",AQ153/(AA153/12)&gt;20,"Instavel"),"Instavel")</f>
        <v>Instavel</v>
      </c>
      <c r="AJ153" s="1" t="str" cm="1">
        <f t="array" ref="AJ153">IFERROR(_xlfn.IFS(AR153="","Sem Produto",AND(AR153/(AB153/12)&gt;0,AR153/(AB153/12)&lt;=2),"Acabando",AND(AR153/(AB153/12)&gt;2,AR153/(AB153/12)&lt;=3),"Fazer Pedido",AND(AR153/(AB153/12)&gt;3,AR153/(AB153/12)&lt;=7),"OK",AND(AR153/(AB153/12)&gt;7,AR153/(AB153/12)&lt;=14),"Abaixar Preço",AND(AR153/(AB153/12)&gt;14,AR153/(AB153/12)&lt;=20),"Estabilizando",AR153/(AB153/12)&gt;20,"Instavel"),"Instavel")</f>
        <v>OK</v>
      </c>
      <c r="AK153" s="1" t="str" cm="1">
        <f t="array" ref="AK153">IFERROR(_xlfn.IFS(AS153="","Sem Produto",AND(AS153/(AC153/12)&gt;0,AS153/(AC153/12)&lt;=2),"Acabando",AND(AS153/(AC153/12)&gt;2,AS153/(AC153/12)&lt;=3),"Fazer Pedido",AND(AS153/(AC153/12)&gt;3,AS153/(AC153/12)&lt;=7),"OK",AND(AS153/(AC153/12)&gt;7,AS153/(AC153/12)&lt;=14),"Abaixar Preço",AND(AS153/(AC153/12)&gt;14,AS153/(AC153/12)&lt;=20),"Estabilizando",AS153/(AC153/12)&gt;20,"Instavel"),"Instavel")</f>
        <v>Sem Produto</v>
      </c>
      <c r="AL153" s="1" t="str" cm="1">
        <f t="array" ref="AL153">IFERROR(_xlfn.IFS(AT153="","Sem Produto",AND(AT153/(AD153/12)&gt;0,AT153/(AD153/12)&lt;=2),"Acabando",AND(AT153/(AD153/12)&gt;2,AT153/(AD153/12)&lt;=3),"Fazer Pedido",AND(AT153/(AD153/12)&gt;3,AT153/(AD153/12)&lt;=7),"OK",AND(AT153/(AD153/12)&gt;7,AT153/(AD153/12)&lt;=14),"Abaixar Preço",AND(AT153/(AD153/12)&gt;14,AT153/(AD153/12)&lt;=20),"Estabilizando",AT153/(AD153/12)&gt;20,"Instavel"),"Instavel")</f>
        <v>Abaixar Preço</v>
      </c>
      <c r="AM153" s="1" t="str" cm="1">
        <f t="array" ref="AM153">IFERROR(_xlfn.IFS(AU153="","Sem Produto",AND(AU153/(AE153/12)&gt;0,AU153/(AE153/12)&lt;=2),"Acabando",AND(AU153/(AE153/12)&gt;2,AU153/(AE153/12)&lt;=3),"Fazer Pedido",AND(AU153/(AE153/12)&gt;3,AU153/(AE153/12)&lt;=7),"OK",AND(AU153/(AE153/12)&gt;7,AU153/(AE153/12)&lt;=14),"Abaixar Preço",AND(AU153/(AE153/12)&gt;14,AU153/(AE153/12)&lt;=20),"Estabilizando",AU153/(AE153/12)&gt;20,"Instavel"),"Instavel")</f>
        <v>Abaixar Preço</v>
      </c>
      <c r="AN153" s="1" t="str">
        <f ca="1">IF(SUMIF(vendaAno[data],SituaçãoEstoqueFluxo[[#This Row],[data]],vendaAno[estoque])=0,"Algo errado",IF(AND(AX153/AW153&gt;0,AX153/AW153&lt;=1),"Alerta",IF(AND(AX153/AW153&gt;1,AX153/AW153&lt;=1.5),"Fazer pedido",IF(AND(AX153/AW153&gt;1.5,AX153/AW153&lt;=2),"Ok",IF(AND(AX153/AW153&gt;2,AX153/AW153&lt;=2.5),"Estabilizando",IF(AND(AX153/AW153&gt;2.5,AX153/AW153&lt;=3),"Cheio","Abaixar preço"))))))</f>
        <v>Abaixar preço</v>
      </c>
      <c r="AO153" s="82">
        <f>SUMIFS(estoque[quantidade],estoque[fornecedor],"&lt;&gt;saída",estoque[data],SituaçãoEstoqueFluxo[[#This Row],[data]])-SUMIFS(estoque[quantidade],estoque[fornecedor],"saída",estoque[data],SituaçãoEstoqueFluxo[[#This Row],[data]])</f>
        <v>-8</v>
      </c>
      <c r="AP153" s="116">
        <f t="shared" si="9"/>
        <v>46081</v>
      </c>
      <c r="AQ15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</v>
      </c>
      <c r="AR15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5.75</v>
      </c>
      <c r="AS1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15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6.833333333333333</v>
      </c>
      <c r="AV153" s="82" cm="1">
        <f t="array" aca="1" ref="AV1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29.464285714285712</v>
      </c>
      <c r="AW153" s="82" cm="1">
        <f t="array" aca="1" ref="AW1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9.8214285714285712</v>
      </c>
      <c r="AX153" s="82">
        <f>SUM(FluxoEstoqueDateTime[[#This Row],[OVO BRANCO A]:[OVO BRANCO JUMBO]])</f>
        <v>29.666666666666668</v>
      </c>
    </row>
    <row r="154" spans="1:50" x14ac:dyDescent="0.25">
      <c r="A154" s="4" t="s">
        <v>20</v>
      </c>
      <c r="B154" s="55" t="s">
        <v>11</v>
      </c>
      <c r="C154" s="5">
        <v>3</v>
      </c>
      <c r="D154" s="56">
        <v>18</v>
      </c>
      <c r="E154" s="56">
        <v>54</v>
      </c>
      <c r="F154" s="157">
        <v>46200</v>
      </c>
      <c r="G154" s="4" t="s">
        <v>92</v>
      </c>
      <c r="H154" s="4" t="s">
        <v>148</v>
      </c>
      <c r="I154" s="153">
        <v>10.24</v>
      </c>
      <c r="J154" s="12">
        <v>0.18970478869596144</v>
      </c>
      <c r="N154">
        <v>195</v>
      </c>
      <c r="Z154" s="116">
        <f t="shared" si="7"/>
        <v>46080</v>
      </c>
      <c r="AA15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4.1428571428571432</v>
      </c>
      <c r="AB15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18.142857142857142</v>
      </c>
      <c r="AC15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9.4285714285714288</v>
      </c>
      <c r="AE15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8.4285714285714288</v>
      </c>
      <c r="AF15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40.142857142857146</v>
      </c>
      <c r="AG15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49.279840137603095</v>
      </c>
      <c r="AH154" s="116">
        <f t="shared" si="8"/>
        <v>46080</v>
      </c>
      <c r="AI154" s="1" t="str" cm="1">
        <f t="array" ref="AI154">IFERROR(_xlfn.IFS(AQ154="","Sem Produto",AND(AQ154/(AA154/12)&gt;0,AQ154/(AA154/12)&lt;=2),"Acabando",AND(AQ154/(AA154/12)&gt;2,AQ154/(AA154/12)&lt;=3),"Fazer Pedido",AND(AQ154/(AA154/12)&gt;3,AQ154/(AA154/12)&lt;=7),"OK",AND(AQ154/(AA154/12)&gt;7,AQ154/(AA154/12)&lt;=14),"Abaixar Preço",AND(AQ154/(AA154/12)&gt;14,AQ154/(AA154/12)&lt;=20),"Estabilizando",AQ154/(AA154/12)&gt;20,"Instavel"),"Instavel")</f>
        <v>Instavel</v>
      </c>
      <c r="AJ154" s="1" t="str" cm="1">
        <f t="array" ref="AJ154">IFERROR(_xlfn.IFS(AR154="","Sem Produto",AND(AR154/(AB154/12)&gt;0,AR154/(AB154/12)&lt;=2),"Acabando",AND(AR154/(AB154/12)&gt;2,AR154/(AB154/12)&lt;=3),"Fazer Pedido",AND(AR154/(AB154/12)&gt;3,AR154/(AB154/12)&lt;=7),"OK",AND(AR154/(AB154/12)&gt;7,AR154/(AB154/12)&lt;=14),"Abaixar Preço",AND(AR154/(AB154/12)&gt;14,AR154/(AB154/12)&lt;=20),"Estabilizando",AR154/(AB154/12)&gt;20,"Instavel"),"Instavel")</f>
        <v>OK</v>
      </c>
      <c r="AK154" s="1" t="str" cm="1">
        <f t="array" ref="AK154">IFERROR(_xlfn.IFS(AS154="","Sem Produto",AND(AS154/(AC154/12)&gt;0,AS154/(AC154/12)&lt;=2),"Acabando",AND(AS154/(AC154/12)&gt;2,AS154/(AC154/12)&lt;=3),"Fazer Pedido",AND(AS154/(AC154/12)&gt;3,AS154/(AC154/12)&lt;=7),"OK",AND(AS154/(AC154/12)&gt;7,AS154/(AC154/12)&lt;=14),"Abaixar Preço",AND(AS154/(AC154/12)&gt;14,AS154/(AC154/12)&lt;=20),"Estabilizando",AS154/(AC154/12)&gt;20,"Instavel"),"Instavel")</f>
        <v>Sem Produto</v>
      </c>
      <c r="AL154" s="1" t="str" cm="1">
        <f t="array" ref="AL154">IFERROR(_xlfn.IFS(AT154="","Sem Produto",AND(AT154/(AD154/12)&gt;0,AT154/(AD154/12)&lt;=2),"Acabando",AND(AT154/(AD154/12)&gt;2,AT154/(AD154/12)&lt;=3),"Fazer Pedido",AND(AT154/(AD154/12)&gt;3,AT154/(AD154/12)&lt;=7),"OK",AND(AT154/(AD154/12)&gt;7,AT154/(AD154/12)&lt;=14),"Abaixar Preço",AND(AT154/(AD154/12)&gt;14,AT154/(AD154/12)&lt;=20),"Estabilizando",AT154/(AD154/12)&gt;20,"Instavel"),"Instavel")</f>
        <v>Abaixar Preço</v>
      </c>
      <c r="AM154" s="1" t="str" cm="1">
        <f t="array" ref="AM154">IFERROR(_xlfn.IFS(AU154="","Sem Produto",AND(AU154/(AE154/12)&gt;0,AU154/(AE154/12)&lt;=2),"Acabando",AND(AU154/(AE154/12)&gt;2,AU154/(AE154/12)&lt;=3),"Fazer Pedido",AND(AU154/(AE154/12)&gt;3,AU154/(AE154/12)&lt;=7),"OK",AND(AU154/(AE154/12)&gt;7,AU154/(AE154/12)&lt;=14),"Abaixar Preço",AND(AU154/(AE154/12)&gt;14,AU154/(AE154/12)&lt;=20),"Estabilizando",AU154/(AE154/12)&gt;20,"Instavel"),"Instavel")</f>
        <v>Abaixar Preço</v>
      </c>
      <c r="AN154" s="1" t="str">
        <f ca="1">IF(SUMIF(vendaAno[data],SituaçãoEstoqueFluxo[[#This Row],[data]],vendaAno[estoque])=0,"Algo errado",IF(AND(AX154/AW154&gt;0,AX154/AW154&lt;=1),"Alerta",IF(AND(AX154/AW154&gt;1,AX154/AW154&lt;=1.5),"Fazer pedido",IF(AND(AX154/AW154&gt;1.5,AX154/AW154&lt;=2),"Ok",IF(AND(AX154/AW154&gt;2,AX154/AW154&lt;=2.5),"Estabilizando",IF(AND(AX154/AW154&gt;2.5,AX154/AW154&lt;=3),"Cheio","Abaixar preço"))))))</f>
        <v>Abaixar preço</v>
      </c>
      <c r="AO154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54" s="116">
        <f t="shared" si="9"/>
        <v>46080</v>
      </c>
      <c r="AQ15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15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5.833333333333333</v>
      </c>
      <c r="AS1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9.5833333333333339</v>
      </c>
      <c r="AU15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7.333333333333333</v>
      </c>
      <c r="AV154" s="82" cm="1">
        <f t="array" aca="1" ref="AV1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30.107142857142861</v>
      </c>
      <c r="AW154" s="82" cm="1">
        <f t="array" aca="1" ref="AW1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10.035714285714286</v>
      </c>
      <c r="AX154" s="82">
        <f>SUM(FluxoEstoqueDateTime[[#This Row],[OVO BRANCO A]:[OVO BRANCO JUMBO]])</f>
        <v>30.333333333333332</v>
      </c>
    </row>
    <row r="155" spans="1:50" x14ac:dyDescent="0.25">
      <c r="A155" s="4" t="s">
        <v>20</v>
      </c>
      <c r="B155" s="55" t="s">
        <v>14</v>
      </c>
      <c r="C155" s="5">
        <v>1</v>
      </c>
      <c r="D155" s="56">
        <v>23</v>
      </c>
      <c r="E155" s="56">
        <v>23</v>
      </c>
      <c r="F155" s="157">
        <v>46199</v>
      </c>
      <c r="G155" s="4" t="s">
        <v>83</v>
      </c>
      <c r="H155" s="4" t="s">
        <v>148</v>
      </c>
      <c r="I155" s="153">
        <v>6.73</v>
      </c>
      <c r="J155" s="12">
        <v>0.29254049445865293</v>
      </c>
      <c r="N155">
        <v>188</v>
      </c>
      <c r="Z155" s="116">
        <f t="shared" si="7"/>
        <v>46079</v>
      </c>
      <c r="AA15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5.5714285714285712</v>
      </c>
      <c r="AB15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16.571428571428573</v>
      </c>
      <c r="AC15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15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5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5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39.428571428571431</v>
      </c>
      <c r="AG15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48.436789988457583</v>
      </c>
      <c r="AH155" s="116">
        <f t="shared" si="8"/>
        <v>46079</v>
      </c>
      <c r="AI155" s="1" t="str" cm="1">
        <f t="array" ref="AI155">IFERROR(_xlfn.IFS(AQ155="","Sem Produto",AND(AQ155/(AA155/12)&gt;0,AQ155/(AA155/12)&lt;=2),"Acabando",AND(AQ155/(AA155/12)&gt;2,AQ155/(AA155/12)&lt;=3),"Fazer Pedido",AND(AQ155/(AA155/12)&gt;3,AQ155/(AA155/12)&lt;=7),"OK",AND(AQ155/(AA155/12)&gt;7,AQ155/(AA155/12)&lt;=14),"Abaixar Preço",AND(AQ155/(AA155/12)&gt;14,AQ155/(AA155/12)&lt;=20),"Estabilizando",AQ155/(AA155/12)&gt;20,"Instavel"),"Instavel")</f>
        <v>Estabilizando</v>
      </c>
      <c r="AJ155" s="1" t="str" cm="1">
        <f t="array" ref="AJ155">IFERROR(_xlfn.IFS(AR155="","Sem Produto",AND(AR155/(AB155/12)&gt;0,AR155/(AB155/12)&lt;=2),"Acabando",AND(AR155/(AB155/12)&gt;2,AR155/(AB155/12)&lt;=3),"Fazer Pedido",AND(AR155/(AB155/12)&gt;3,AR155/(AB155/12)&lt;=7),"OK",AND(AR155/(AB155/12)&gt;7,AR155/(AB155/12)&lt;=14),"Abaixar Preço",AND(AR155/(AB155/12)&gt;14,AR155/(AB155/12)&lt;=20),"Estabilizando",AR155/(AB155/12)&gt;20,"Instavel"),"Instavel")</f>
        <v>OK</v>
      </c>
      <c r="AK155" s="1" t="str" cm="1">
        <f t="array" ref="AK155">IFERROR(_xlfn.IFS(AS155="","Sem Produto",AND(AS155/(AC155/12)&gt;0,AS155/(AC155/12)&lt;=2),"Acabando",AND(AS155/(AC155/12)&gt;2,AS155/(AC155/12)&lt;=3),"Fazer Pedido",AND(AS155/(AC155/12)&gt;3,AS155/(AC155/12)&lt;=7),"OK",AND(AS155/(AC155/12)&gt;7,AS155/(AC155/12)&lt;=14),"Abaixar Preço",AND(AS155/(AC155/12)&gt;14,AS155/(AC155/12)&lt;=20),"Estabilizando",AS155/(AC155/12)&gt;20,"Instavel"),"Instavel")</f>
        <v>Sem Produto</v>
      </c>
      <c r="AL155" s="1" t="str" cm="1">
        <f t="array" ref="AL155">IFERROR(_xlfn.IFS(AT155="","Sem Produto",AND(AT155/(AD155/12)&gt;0,AT155/(AD155/12)&lt;=2),"Acabando",AND(AT155/(AD155/12)&gt;2,AT155/(AD155/12)&lt;=3),"Fazer Pedido",AND(AT155/(AD155/12)&gt;3,AT155/(AD155/12)&lt;=7),"OK",AND(AT155/(AD155/12)&gt;7,AT155/(AD155/12)&lt;=14),"Abaixar Preço",AND(AT155/(AD155/12)&gt;14,AT155/(AD155/12)&lt;=20),"Estabilizando",AT155/(AD155/12)&gt;20,"Instavel"),"Instavel")</f>
        <v>Estabilizando</v>
      </c>
      <c r="AM155" s="1" t="str" cm="1">
        <f t="array" ref="AM155">IFERROR(_xlfn.IFS(AU155="","Sem Produto",AND(AU155/(AE155/12)&gt;0,AU155/(AE155/12)&lt;=2),"Acabando",AND(AU155/(AE155/12)&gt;2,AU155/(AE155/12)&lt;=3),"Fazer Pedido",AND(AU155/(AE155/12)&gt;3,AU155/(AE155/12)&lt;=7),"OK",AND(AU155/(AE155/12)&gt;7,AU155/(AE155/12)&lt;=14),"Abaixar Preço",AND(AU155/(AE155/12)&gt;14,AU155/(AE155/12)&lt;=20),"Estabilizando",AU155/(AE155/12)&gt;20,"Instavel"),"Instavel")</f>
        <v>Abaixar Preço</v>
      </c>
      <c r="AN155" s="1" t="str">
        <f ca="1">IF(SUMIF(vendaAno[data],SituaçãoEstoqueFluxo[[#This Row],[data]],vendaAno[estoque])=0,"Algo errado",IF(AND(AX155/AW155&gt;0,AX155/AW155&lt;=1),"Alerta",IF(AND(AX155/AW155&gt;1,AX155/AW155&lt;=1.5),"Fazer pedido",IF(AND(AX155/AW155&gt;1.5,AX155/AW155&lt;=2),"Ok",IF(AND(AX155/AW155&gt;2,AX155/AW155&lt;=2.5),"Estabilizando",IF(AND(AX155/AW155&gt;2.5,AX155/AW155&lt;=3),"Cheio","Abaixar preço"))))))</f>
        <v>Abaixar preço</v>
      </c>
      <c r="AO155" s="82">
        <f>SUMIFS(estoque[quantidade],estoque[fornecedor],"&lt;&gt;saída",estoque[data],SituaçãoEstoqueFluxo[[#This Row],[data]])-SUMIFS(estoque[quantidade],estoque[fornecedor],"saída",estoque[data],SituaçãoEstoqueFluxo[[#This Row],[data]])</f>
        <v>-42</v>
      </c>
      <c r="AP155" s="116">
        <f t="shared" si="9"/>
        <v>46079</v>
      </c>
      <c r="AQ15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7.916666666666667</v>
      </c>
      <c r="AR15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7.75</v>
      </c>
      <c r="AS1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10.583333333333334</v>
      </c>
      <c r="AU15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8.1666666666666661</v>
      </c>
      <c r="AV155" s="82" cm="1">
        <f t="array" aca="1" ref="AV1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29.571428571428573</v>
      </c>
      <c r="AW155" s="82" cm="1">
        <f t="array" aca="1" ref="AW1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9.8571428571428577</v>
      </c>
      <c r="AX155" s="82">
        <f>SUM(FluxoEstoqueDateTime[[#This Row],[OVO BRANCO A]:[OVO BRANCO JUMBO]])</f>
        <v>34.416666666666664</v>
      </c>
    </row>
    <row r="156" spans="1:50" x14ac:dyDescent="0.25">
      <c r="A156" s="4" t="s">
        <v>20</v>
      </c>
      <c r="B156" s="55" t="s">
        <v>13</v>
      </c>
      <c r="C156" s="5">
        <v>5</v>
      </c>
      <c r="D156" s="56">
        <v>20</v>
      </c>
      <c r="E156" s="56">
        <v>100</v>
      </c>
      <c r="F156" s="157">
        <v>46199</v>
      </c>
      <c r="G156" s="4" t="s">
        <v>83</v>
      </c>
      <c r="H156" s="4" t="s">
        <v>148</v>
      </c>
      <c r="I156" s="153">
        <v>20.83</v>
      </c>
      <c r="J156" s="12">
        <v>0.20833333333333329</v>
      </c>
      <c r="Z156" s="116">
        <f t="shared" si="7"/>
        <v>46078</v>
      </c>
      <c r="AA15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5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14.857142857142858</v>
      </c>
      <c r="AC15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0.14285714285714285</v>
      </c>
      <c r="AD15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5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8.8571428571428577</v>
      </c>
      <c r="AF15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37.571428571428569</v>
      </c>
      <c r="AG15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47.617634462515547</v>
      </c>
      <c r="AH156" s="116">
        <f t="shared" si="8"/>
        <v>46078</v>
      </c>
      <c r="AI156" s="1" t="str" cm="1">
        <f t="array" ref="AI156">IFERROR(_xlfn.IFS(AQ156="","Sem Produto",AND(AQ156/(AA156/12)&gt;0,AQ156/(AA156/12)&lt;=2),"Acabando",AND(AQ156/(AA156/12)&gt;2,AQ156/(AA156/12)&lt;=3),"Fazer Pedido",AND(AQ156/(AA156/12)&gt;3,AQ156/(AA156/12)&lt;=7),"OK",AND(AQ156/(AA156/12)&gt;7,AQ156/(AA156/12)&lt;=14),"Abaixar Preço",AND(AQ156/(AA156/12)&gt;14,AQ156/(AA156/12)&lt;=20),"Estabilizando",AQ156/(AA156/12)&gt;20,"Instavel"),"Instavel")</f>
        <v>Estabilizando</v>
      </c>
      <c r="AJ156" s="1" t="str" cm="1">
        <f t="array" ref="AJ156">IFERROR(_xlfn.IFS(AR156="","Sem Produto",AND(AR156/(AB156/12)&gt;0,AR156/(AB156/12)&lt;=2),"Acabando",AND(AR156/(AB156/12)&gt;2,AR156/(AB156/12)&lt;=3),"Fazer Pedido",AND(AR156/(AB156/12)&gt;3,AR156/(AB156/12)&lt;=7),"OK",AND(AR156/(AB156/12)&gt;7,AR156/(AB156/12)&lt;=14),"Abaixar Preço",AND(AR156/(AB156/12)&gt;14,AR156/(AB156/12)&lt;=20),"Estabilizando",AR156/(AB156/12)&gt;20,"Instavel"),"Instavel")</f>
        <v>Abaixar Preço</v>
      </c>
      <c r="AK156" s="1" t="str" cm="1">
        <f t="array" ref="AK156">IFERROR(_xlfn.IFS(AS156="","Sem Produto",AND(AS156/(AC156/12)&gt;0,AS156/(AC156/12)&lt;=2),"Acabando",AND(AS156/(AC156/12)&gt;2,AS156/(AC156/12)&lt;=3),"Fazer Pedido",AND(AS156/(AC156/12)&gt;3,AS156/(AC156/12)&lt;=7),"OK",AND(AS156/(AC156/12)&gt;7,AS156/(AC156/12)&lt;=14),"Abaixar Preço",AND(AS156/(AC156/12)&gt;14,AS156/(AC156/12)&lt;=20),"Estabilizando",AS156/(AC156/12)&gt;20,"Instavel"),"Instavel")</f>
        <v>Sem Produto</v>
      </c>
      <c r="AL156" s="1" t="str" cm="1">
        <f t="array" ref="AL156">IFERROR(_xlfn.IFS(AT156="","Sem Produto",AND(AT156/(AD156/12)&gt;0,AT156/(AD156/12)&lt;=2),"Acabando",AND(AT156/(AD156/12)&gt;2,AT156/(AD156/12)&lt;=3),"Fazer Pedido",AND(AT156/(AD156/12)&gt;3,AT156/(AD156/12)&lt;=7),"OK",AND(AT156/(AD156/12)&gt;7,AT156/(AD156/12)&lt;=14),"Abaixar Preço",AND(AT156/(AD156/12)&gt;14,AT156/(AD156/12)&lt;=20),"Estabilizando",AT156/(AD156/12)&gt;20,"Instavel"),"Instavel")</f>
        <v>Estabilizando</v>
      </c>
      <c r="AM156" s="1" t="str" cm="1">
        <f t="array" ref="AM156">IFERROR(_xlfn.IFS(AU156="","Sem Produto",AND(AU156/(AE156/12)&gt;0,AU156/(AE156/12)&lt;=2),"Acabando",AND(AU156/(AE156/12)&gt;2,AU156/(AE156/12)&lt;=3),"Fazer Pedido",AND(AU156/(AE156/12)&gt;3,AU156/(AE156/12)&lt;=7),"OK",AND(AU156/(AE156/12)&gt;7,AU156/(AE156/12)&lt;=14),"Abaixar Preço",AND(AU156/(AE156/12)&gt;14,AU156/(AE156/12)&lt;=20),"Estabilizando",AU156/(AE156/12)&gt;20,"Instavel"),"Instavel")</f>
        <v>Abaixar Preço</v>
      </c>
      <c r="AN156" s="1" t="str">
        <f ca="1">IF(SUMIF(vendaAno[data],SituaçãoEstoqueFluxo[[#This Row],[data]],vendaAno[estoque])=0,"Algo errado",IF(AND(AX156/AW156&gt;0,AX156/AW156&lt;=1),"Alerta",IF(AND(AX156/AW156&gt;1,AX156/AW156&lt;=1.5),"Fazer pedido",IF(AND(AX156/AW156&gt;1.5,AX156/AW156&lt;=2),"Ok",IF(AND(AX156/AW156&gt;2,AX156/AW156&lt;=2.5),"Estabilizando",IF(AND(AX156/AW156&gt;2.5,AX156/AW156&lt;=3),"Cheio","Abaixar preço"))))))</f>
        <v>Abaixar preço</v>
      </c>
      <c r="AO156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56" s="116">
        <f t="shared" si="9"/>
        <v>46078</v>
      </c>
      <c r="AQ15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8.25</v>
      </c>
      <c r="AR15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9.5833333333333339</v>
      </c>
      <c r="AS1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5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</v>
      </c>
      <c r="AV156" s="82" cm="1">
        <f t="array" aca="1" ref="AV1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28.178571428571431</v>
      </c>
      <c r="AW156" s="82" cm="1">
        <f t="array" aca="1" ref="AW1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9.3928571428571423</v>
      </c>
      <c r="AX156" s="82">
        <f>SUM(FluxoEstoqueDateTime[[#This Row],[OVO BRANCO A]:[OVO BRANCO JUMBO]])</f>
        <v>37.916666666666671</v>
      </c>
    </row>
    <row r="157" spans="1:50" x14ac:dyDescent="0.25">
      <c r="A157" s="4" t="s">
        <v>20</v>
      </c>
      <c r="B157" s="55" t="s">
        <v>12</v>
      </c>
      <c r="C157" s="5">
        <v>3</v>
      </c>
      <c r="D157" s="56">
        <v>15</v>
      </c>
      <c r="E157" s="56">
        <v>45</v>
      </c>
      <c r="F157" s="157">
        <v>46199</v>
      </c>
      <c r="G157" s="4" t="s">
        <v>83</v>
      </c>
      <c r="H157" s="4" t="s">
        <v>148</v>
      </c>
      <c r="I157" s="153">
        <v>3.5</v>
      </c>
      <c r="J157" s="12">
        <v>7.7777777777777377E-2</v>
      </c>
      <c r="Z157" s="116">
        <f t="shared" si="7"/>
        <v>46077</v>
      </c>
      <c r="AA15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5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16.285714285714285</v>
      </c>
      <c r="AC15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0.5714285714285714</v>
      </c>
      <c r="AD15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15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7.5714285714285712</v>
      </c>
      <c r="AF15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37.857142857142854</v>
      </c>
      <c r="AG15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49.488175402682749</v>
      </c>
      <c r="AH157" s="116">
        <f t="shared" si="8"/>
        <v>46077</v>
      </c>
      <c r="AI157" s="1" t="str" cm="1">
        <f t="array" ref="AI157">IFERROR(_xlfn.IFS(AQ157="","Sem Produto",AND(AQ157/(AA157/12)&gt;0,AQ157/(AA157/12)&lt;=2),"Acabando",AND(AQ157/(AA157/12)&gt;2,AQ157/(AA157/12)&lt;=3),"Fazer Pedido",AND(AQ157/(AA157/12)&gt;3,AQ157/(AA157/12)&lt;=7),"OK",AND(AQ157/(AA157/12)&gt;7,AQ157/(AA157/12)&lt;=14),"Abaixar Preço",AND(AQ157/(AA157/12)&gt;14,AQ157/(AA157/12)&lt;=20),"Estabilizando",AQ157/(AA157/12)&gt;20,"Instavel"),"Instavel")</f>
        <v>Estabilizando</v>
      </c>
      <c r="AJ157" s="1" t="str" cm="1">
        <f t="array" ref="AJ157">IFERROR(_xlfn.IFS(AR157="","Sem Produto",AND(AR157/(AB157/12)&gt;0,AR157/(AB157/12)&lt;=2),"Acabando",AND(AR157/(AB157/12)&gt;2,AR157/(AB157/12)&lt;=3),"Fazer Pedido",AND(AR157/(AB157/12)&gt;3,AR157/(AB157/12)&lt;=7),"OK",AND(AR157/(AB157/12)&gt;7,AR157/(AB157/12)&lt;=14),"Abaixar Preço",AND(AR157/(AB157/12)&gt;14,AR157/(AB157/12)&lt;=20),"Estabilizando",AR157/(AB157/12)&gt;20,"Instavel"),"Instavel")</f>
        <v>Abaixar Preço</v>
      </c>
      <c r="AK157" s="1" t="str" cm="1">
        <f t="array" ref="AK157">IFERROR(_xlfn.IFS(AS157="","Sem Produto",AND(AS157/(AC157/12)&gt;0,AS157/(AC157/12)&lt;=2),"Acabando",AND(AS157/(AC157/12)&gt;2,AS157/(AC157/12)&lt;=3),"Fazer Pedido",AND(AS157/(AC157/12)&gt;3,AS157/(AC157/12)&lt;=7),"OK",AND(AS157/(AC157/12)&gt;7,AS157/(AC157/12)&lt;=14),"Abaixar Preço",AND(AS157/(AC157/12)&gt;14,AS157/(AC157/12)&lt;=20),"Estabilizando",AS157/(AC157/12)&gt;20,"Instavel"),"Instavel")</f>
        <v>Sem Produto</v>
      </c>
      <c r="AL157" s="1" t="str" cm="1">
        <f t="array" ref="AL157">IFERROR(_xlfn.IFS(AT157="","Sem Produto",AND(AT157/(AD157/12)&gt;0,AT157/(AD157/12)&lt;=2),"Acabando",AND(AT157/(AD157/12)&gt;2,AT157/(AD157/12)&lt;=3),"Fazer Pedido",AND(AT157/(AD157/12)&gt;3,AT157/(AD157/12)&lt;=7),"OK",AND(AT157/(AD157/12)&gt;7,AT157/(AD157/12)&lt;=14),"Abaixar Preço",AND(AT157/(AD157/12)&gt;14,AT157/(AD157/12)&lt;=20),"Estabilizando",AT157/(AD157/12)&gt;20,"Instavel"),"Instavel")</f>
        <v>Estabilizando</v>
      </c>
      <c r="AM157" s="1" t="str" cm="1">
        <f t="array" ref="AM157">IFERROR(_xlfn.IFS(AU157="","Sem Produto",AND(AU157/(AE157/12)&gt;0,AU157/(AE157/12)&lt;=2),"Acabando",AND(AU157/(AE157/12)&gt;2,AU157/(AE157/12)&lt;=3),"Fazer Pedido",AND(AU157/(AE157/12)&gt;3,AU157/(AE157/12)&lt;=7),"OK",AND(AU157/(AE157/12)&gt;7,AU157/(AE157/12)&lt;=14),"Abaixar Preço",AND(AU157/(AE157/12)&gt;14,AU157/(AE157/12)&lt;=20),"Estabilizando",AU157/(AE157/12)&gt;20,"Instavel"),"Instavel")</f>
        <v>Estabilizando</v>
      </c>
      <c r="AN157" s="1" t="str">
        <f ca="1">IF(SUMIF(vendaAno[data],SituaçãoEstoqueFluxo[[#This Row],[data]],vendaAno[estoque])=0,"Algo errado",IF(AND(AX157/AW157&gt;0,AX157/AW157&lt;=1),"Alerta",IF(AND(AX157/AW157&gt;1,AX157/AW157&lt;=1.5),"Fazer pedido",IF(AND(AX157/AW157&gt;1.5,AX157/AW157&lt;=2),"Ok",IF(AND(AX157/AW157&gt;2,AX157/AW157&lt;=2.5),"Estabilizando",IF(AND(AX157/AW157&gt;2.5,AX157/AW157&lt;=3),"Cheio","Abaixar preço"))))))</f>
        <v>Abaixar preço</v>
      </c>
      <c r="AO157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157" s="116">
        <f t="shared" si="9"/>
        <v>46077</v>
      </c>
      <c r="AQ15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9.5</v>
      </c>
      <c r="AR15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10.333333333333334</v>
      </c>
      <c r="AS1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12.083333333333334</v>
      </c>
      <c r="AU15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9.9166666666666661</v>
      </c>
      <c r="AV157" s="82" cm="1">
        <f t="array" aca="1" ref="AV1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28.392857142857139</v>
      </c>
      <c r="AW157" s="82" cm="1">
        <f t="array" aca="1" ref="AW1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9.4642857142857135</v>
      </c>
      <c r="AX157" s="82">
        <f>SUM(FluxoEstoqueDateTime[[#This Row],[OVO BRANCO A]:[OVO BRANCO JUMBO]])</f>
        <v>41.833333333333336</v>
      </c>
    </row>
    <row r="158" spans="1:50" x14ac:dyDescent="0.25">
      <c r="A158" s="4" t="s">
        <v>20</v>
      </c>
      <c r="B158" s="55" t="s">
        <v>11</v>
      </c>
      <c r="C158" s="5">
        <v>7</v>
      </c>
      <c r="D158" s="56">
        <v>16</v>
      </c>
      <c r="E158" s="56">
        <v>112</v>
      </c>
      <c r="F158" s="157">
        <v>46199</v>
      </c>
      <c r="G158" s="4" t="s">
        <v>83</v>
      </c>
      <c r="H158" s="4" t="s">
        <v>148</v>
      </c>
      <c r="I158" s="153">
        <v>9.9</v>
      </c>
      <c r="J158" s="12">
        <v>8.8417887282956631E-2</v>
      </c>
      <c r="Z158" s="116">
        <f t="shared" si="7"/>
        <v>46076</v>
      </c>
      <c r="AA15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15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14.428571428571429</v>
      </c>
      <c r="AC15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0.7142857142857143</v>
      </c>
      <c r="AD15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6.5714285714285712</v>
      </c>
      <c r="AE15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36.285714285714285</v>
      </c>
      <c r="AG15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51.489778255988028</v>
      </c>
      <c r="AH158" s="116">
        <f t="shared" si="8"/>
        <v>46076</v>
      </c>
      <c r="AI158" s="1" t="str" cm="1">
        <f t="array" ref="AI158">IFERROR(_xlfn.IFS(AQ158="","Sem Produto",AND(AQ158/(AA158/12)&gt;0,AQ158/(AA158/12)&lt;=2),"Acabando",AND(AQ158/(AA158/12)&gt;2,AQ158/(AA158/12)&lt;=3),"Fazer Pedido",AND(AQ158/(AA158/12)&gt;3,AQ158/(AA158/12)&lt;=7),"OK",AND(AQ158/(AA158/12)&gt;7,AQ158/(AA158/12)&lt;=14),"Abaixar Preço",AND(AQ158/(AA158/12)&gt;14,AQ158/(AA158/12)&lt;=20),"Estabilizando",AQ158/(AA158/12)&gt;20,"Instavel"),"Instavel")</f>
        <v>Estabilizando</v>
      </c>
      <c r="AJ158" s="1" t="str" cm="1">
        <f t="array" ref="AJ158">IFERROR(_xlfn.IFS(AR158="","Sem Produto",AND(AR158/(AB158/12)&gt;0,AR158/(AB158/12)&lt;=2),"Acabando",AND(AR158/(AB158/12)&gt;2,AR158/(AB158/12)&lt;=3),"Fazer Pedido",AND(AR158/(AB158/12)&gt;3,AR158/(AB158/12)&lt;=7),"OK",AND(AR158/(AB158/12)&gt;7,AR158/(AB158/12)&lt;=14),"Abaixar Preço",AND(AR158/(AB158/12)&gt;14,AR158/(AB158/12)&lt;=20),"Estabilizando",AR158/(AB158/12)&gt;20,"Instavel"),"Instavel")</f>
        <v>Abaixar Preço</v>
      </c>
      <c r="AK158" s="1" t="str" cm="1">
        <f t="array" ref="AK158">IFERROR(_xlfn.IFS(AS158="","Sem Produto",AND(AS158/(AC158/12)&gt;0,AS158/(AC158/12)&lt;=2),"Acabando",AND(AS158/(AC158/12)&gt;2,AS158/(AC158/12)&lt;=3),"Fazer Pedido",AND(AS158/(AC158/12)&gt;3,AS158/(AC158/12)&lt;=7),"OK",AND(AS158/(AC158/12)&gt;7,AS158/(AC158/12)&lt;=14),"Abaixar Preço",AND(AS158/(AC158/12)&gt;14,AS158/(AC158/12)&lt;=20),"Estabilizando",AS158/(AC158/12)&gt;20,"Instavel"),"Instavel")</f>
        <v>Sem Produto</v>
      </c>
      <c r="AL158" s="1" t="str" cm="1">
        <f t="array" ref="AL158">IFERROR(_xlfn.IFS(AT158="","Sem Produto",AND(AT158/(AD158/12)&gt;0,AT158/(AD158/12)&lt;=2),"Acabando",AND(AT158/(AD158/12)&gt;2,AT158/(AD158/12)&lt;=3),"Fazer Pedido",AND(AT158/(AD158/12)&gt;3,AT158/(AD158/12)&lt;=7),"OK",AND(AT158/(AD158/12)&gt;7,AT158/(AD158/12)&lt;=14),"Abaixar Preço",AND(AT158/(AD158/12)&gt;14,AT158/(AD158/12)&lt;=20),"Estabilizando",AT158/(AD158/12)&gt;20,"Instavel"),"Instavel")</f>
        <v>Instavel</v>
      </c>
      <c r="AM158" s="1" t="str" cm="1">
        <f t="array" ref="AM158">IFERROR(_xlfn.IFS(AU158="","Sem Produto",AND(AU158/(AE158/12)&gt;0,AU158/(AE158/12)&lt;=2),"Acabando",AND(AU158/(AE158/12)&gt;2,AU158/(AE158/12)&lt;=3),"Fazer Pedido",AND(AU158/(AE158/12)&gt;3,AU158/(AE158/12)&lt;=7),"OK",AND(AU158/(AE158/12)&gt;7,AU158/(AE158/12)&lt;=14),"Abaixar Preço",AND(AU158/(AE158/12)&gt;14,AU158/(AE158/12)&lt;=20),"Estabilizando",AU158/(AE158/12)&gt;20,"Instavel"),"Instavel")</f>
        <v>Estabilizando</v>
      </c>
      <c r="AN158" s="1" t="str">
        <f ca="1">IF(SUMIF(vendaAno[data],SituaçãoEstoqueFluxo[[#This Row],[data]],vendaAno[estoque])=0,"Algo errado",IF(AND(AX158/AW158&gt;0,AX158/AW158&lt;=1),"Alerta",IF(AND(AX158/AW158&gt;1,AX158/AW158&lt;=1.5),"Fazer pedido",IF(AND(AX158/AW158&gt;1.5,AX158/AW158&lt;=2),"Ok",IF(AND(AX158/AW158&gt;2,AX158/AW158&lt;=2.5),"Estabilizando",IF(AND(AX158/AW158&gt;2.5,AX158/AW158&lt;=3),"Cheio","Abaixar preço"))))))</f>
        <v>Abaixar preço</v>
      </c>
      <c r="AO158" s="82">
        <f>SUMIFS(estoque[quantidade],estoque[fornecedor],"&lt;&gt;saída",estoque[data],SituaçãoEstoqueFluxo[[#This Row],[data]])-SUMIFS(estoque[quantidade],estoque[fornecedor],"saída",estoque[data],SituaçãoEstoqueFluxo[[#This Row],[data]])</f>
        <v>422</v>
      </c>
      <c r="AP158" s="116">
        <f t="shared" si="9"/>
        <v>46076</v>
      </c>
      <c r="AQ15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9.9166666666666661</v>
      </c>
      <c r="AR15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11.666666666666666</v>
      </c>
      <c r="AS15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12.75</v>
      </c>
      <c r="AU15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10.916666666666666</v>
      </c>
      <c r="AV158" s="82" cm="1">
        <f t="array" aca="1" ref="AV1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27.214285714285712</v>
      </c>
      <c r="AW158" s="82" cm="1">
        <f t="array" aca="1" ref="AW1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9.0714285714285712</v>
      </c>
      <c r="AX158" s="82">
        <f>SUM(FluxoEstoqueDateTime[[#This Row],[OVO BRANCO A]:[OVO BRANCO JUMBO]])</f>
        <v>45.249999999999993</v>
      </c>
    </row>
    <row r="159" spans="1:50" x14ac:dyDescent="0.25">
      <c r="A159" s="136" t="s">
        <v>31</v>
      </c>
      <c r="B159" s="137" t="s">
        <v>14</v>
      </c>
      <c r="C159" s="138">
        <v>12</v>
      </c>
      <c r="D159" s="139">
        <v>195</v>
      </c>
      <c r="E159" s="139">
        <v>195</v>
      </c>
      <c r="F159" s="254">
        <v>46199</v>
      </c>
      <c r="G159" s="136" t="s">
        <v>83</v>
      </c>
      <c r="H159" s="136" t="s">
        <v>148</v>
      </c>
      <c r="I159" s="153"/>
      <c r="J159" s="12"/>
      <c r="Z159" s="116">
        <f t="shared" si="7"/>
        <v>46075</v>
      </c>
      <c r="AA15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9.2857142857142865</v>
      </c>
      <c r="AB15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11.142857142857142</v>
      </c>
      <c r="AC15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5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5.1428571428571432</v>
      </c>
      <c r="AE15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5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5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44.649367664856833</v>
      </c>
      <c r="AH159" s="116">
        <f t="shared" si="8"/>
        <v>46075</v>
      </c>
      <c r="AI159" s="1" t="str" cm="1">
        <f t="array" ref="AI159">IFERROR(_xlfn.IFS(AQ159="","Sem Produto",AND(AQ159/(AA159/12)&gt;0,AQ159/(AA159/12)&lt;=2),"Acabando",AND(AQ159/(AA159/12)&gt;2,AQ159/(AA159/12)&lt;=3),"Fazer Pedido",AND(AQ159/(AA159/12)&gt;3,AQ159/(AA159/12)&lt;=7),"OK",AND(AQ159/(AA159/12)&gt;7,AQ159/(AA159/12)&lt;=14),"Abaixar Preço",AND(AQ159/(AA159/12)&gt;14,AQ159/(AA159/12)&lt;=20),"Estabilizando",AQ159/(AA159/12)&gt;20,"Instavel"),"Instavel")</f>
        <v>Sem Produto</v>
      </c>
      <c r="AJ159" s="1" t="str" cm="1">
        <f t="array" ref="AJ159">IFERROR(_xlfn.IFS(AR159="","Sem Produto",AND(AR159/(AB159/12)&gt;0,AR159/(AB159/12)&lt;=2),"Acabando",AND(AR159/(AB159/12)&gt;2,AR159/(AB159/12)&lt;=3),"Fazer Pedido",AND(AR159/(AB159/12)&gt;3,AR159/(AB159/12)&lt;=7),"OK",AND(AR159/(AB159/12)&gt;7,AR159/(AB159/12)&lt;=14),"Abaixar Preço",AND(AR159/(AB159/12)&gt;14,AR159/(AB159/12)&lt;=20),"Estabilizando",AR159/(AB159/12)&gt;20,"Instavel"),"Instavel")</f>
        <v>OK</v>
      </c>
      <c r="AK159" s="1" t="str" cm="1">
        <f t="array" ref="AK159">IFERROR(_xlfn.IFS(AS159="","Sem Produto",AND(AS159/(AC159/12)&gt;0,AS159/(AC159/12)&lt;=2),"Acabando",AND(AS159/(AC159/12)&gt;2,AS159/(AC159/12)&lt;=3),"Fazer Pedido",AND(AS159/(AC159/12)&gt;3,AS159/(AC159/12)&lt;=7),"OK",AND(AS159/(AC159/12)&gt;7,AS159/(AC159/12)&lt;=14),"Abaixar Preço",AND(AS159/(AC159/12)&gt;14,AS159/(AC159/12)&lt;=20),"Estabilizando",AS159/(AC159/12)&gt;20,"Instavel"),"Instavel")</f>
        <v>Sem Produto</v>
      </c>
      <c r="AL159" s="1" t="str" cm="1">
        <f t="array" ref="AL159">IFERROR(_xlfn.IFS(AT159="","Sem Produto",AND(AT159/(AD159/12)&gt;0,AT159/(AD159/12)&lt;=2),"Acabando",AND(AT159/(AD159/12)&gt;2,AT159/(AD159/12)&lt;=3),"Fazer Pedido",AND(AT159/(AD159/12)&gt;3,AT159/(AD159/12)&lt;=7),"OK",AND(AT159/(AD159/12)&gt;7,AT159/(AD159/12)&lt;=14),"Abaixar Preço",AND(AT159/(AD159/12)&gt;14,AT159/(AD159/12)&lt;=20),"Estabilizando",AT159/(AD159/12)&gt;20,"Instavel"),"Instavel")</f>
        <v>Abaixar Preço</v>
      </c>
      <c r="AM159" s="1" t="str" cm="1">
        <f t="array" ref="AM159">IFERROR(_xlfn.IFS(AU159="","Sem Produto",AND(AU159/(AE159/12)&gt;0,AU159/(AE159/12)&lt;=2),"Acabando",AND(AU159/(AE159/12)&gt;2,AU159/(AE159/12)&lt;=3),"Fazer Pedido",AND(AU159/(AE159/12)&gt;3,AU159/(AE159/12)&lt;=7),"OK",AND(AU159/(AE159/12)&gt;7,AU159/(AE159/12)&lt;=14),"Abaixar Preço",AND(AU159/(AE159/12)&gt;14,AU159/(AE159/12)&lt;=20),"Estabilizando",AU159/(AE159/12)&gt;20,"Instavel"),"Instavel")</f>
        <v>Fazer Pedido</v>
      </c>
      <c r="AN159" s="1" t="str">
        <f ca="1">IF(SUMIF(vendaAno[data],SituaçãoEstoqueFluxo[[#This Row],[data]],vendaAno[estoque])=0,"Algo errado",IF(AND(AX159/AW159&gt;0,AX159/AW159&lt;=1),"Alerta",IF(AND(AX159/AW159&gt;1,AX159/AW159&lt;=1.5),"Fazer pedido",IF(AND(AX159/AW159&gt;1.5,AX159/AW159&lt;=2),"Ok",IF(AND(AX159/AW159&gt;2,AX159/AW159&lt;=2.5),"Estabilizando",IF(AND(AX159/AW159&gt;2.5,AX159/AW159&lt;=3),"Cheio","Abaixar preço"))))))</f>
        <v>Fazer pedido</v>
      </c>
      <c r="AO159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59" s="116">
        <f t="shared" si="9"/>
        <v>46075</v>
      </c>
      <c r="AQ15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5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4.333333333333333</v>
      </c>
      <c r="AS15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5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4.166666666666667</v>
      </c>
      <c r="AU15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1.5833333333333333</v>
      </c>
      <c r="AV159" s="82" cm="1">
        <f t="array" aca="1" ref="AV1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24.857142857142861</v>
      </c>
      <c r="AW159" s="82" cm="1">
        <f t="array" aca="1" ref="AW1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59" s="82">
        <f>SUM(FluxoEstoqueDateTime[[#This Row],[OVO BRANCO A]:[OVO BRANCO JUMBO]])</f>
        <v>10.083333333333334</v>
      </c>
    </row>
    <row r="160" spans="1:50" x14ac:dyDescent="0.25">
      <c r="A160" s="4" t="s">
        <v>31</v>
      </c>
      <c r="B160" s="55" t="s">
        <v>13</v>
      </c>
      <c r="C160" s="5">
        <v>96</v>
      </c>
      <c r="D160" s="140">
        <v>190</v>
      </c>
      <c r="E160" s="140">
        <v>1520</v>
      </c>
      <c r="F160" s="157">
        <v>46199</v>
      </c>
      <c r="G160" s="4" t="s">
        <v>83</v>
      </c>
      <c r="H160" s="4" t="s">
        <v>148</v>
      </c>
      <c r="I160" s="153"/>
      <c r="J160" s="12"/>
      <c r="Z160" s="116">
        <f t="shared" si="7"/>
        <v>46074</v>
      </c>
      <c r="AA16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10.714285714285714</v>
      </c>
      <c r="AB16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16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6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4.7142857142857144</v>
      </c>
      <c r="AE16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6.2857142857142856</v>
      </c>
      <c r="AF16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6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43.115935938209908</v>
      </c>
      <c r="AH160" s="116">
        <f t="shared" si="8"/>
        <v>46074</v>
      </c>
      <c r="AI160" s="1" t="str" cm="1">
        <f t="array" ref="AI160">IFERROR(_xlfn.IFS(AQ160="","Sem Produto",AND(AQ160/(AA160/12)&gt;0,AQ160/(AA160/12)&lt;=2),"Acabando",AND(AQ160/(AA160/12)&gt;2,AQ160/(AA160/12)&lt;=3),"Fazer Pedido",AND(AQ160/(AA160/12)&gt;3,AQ160/(AA160/12)&lt;=7),"OK",AND(AQ160/(AA160/12)&gt;7,AQ160/(AA160/12)&lt;=14),"Abaixar Preço",AND(AQ160/(AA160/12)&gt;14,AQ160/(AA160/12)&lt;=20),"Estabilizando",AQ160/(AA160/12)&gt;20,"Instavel"),"Instavel")</f>
        <v>Sem Produto</v>
      </c>
      <c r="AJ160" s="1" t="str" cm="1">
        <f t="array" ref="AJ160">IFERROR(_xlfn.IFS(AR160="","Sem Produto",AND(AR160/(AB160/12)&gt;0,AR160/(AB160/12)&lt;=2),"Acabando",AND(AR160/(AB160/12)&gt;2,AR160/(AB160/12)&lt;=3),"Fazer Pedido",AND(AR160/(AB160/12)&gt;3,AR160/(AB160/12)&lt;=7),"OK",AND(AR160/(AB160/12)&gt;7,AR160/(AB160/12)&lt;=14),"Abaixar Preço",AND(AR160/(AB160/12)&gt;14,AR160/(AB160/12)&lt;=20),"Estabilizando",AR160/(AB160/12)&gt;20,"Instavel"),"Instavel")</f>
        <v>Abaixar Preço</v>
      </c>
      <c r="AK160" s="1" t="str" cm="1">
        <f t="array" ref="AK160">IFERROR(_xlfn.IFS(AS160="","Sem Produto",AND(AS160/(AC160/12)&gt;0,AS160/(AC160/12)&lt;=2),"Acabando",AND(AS160/(AC160/12)&gt;2,AS160/(AC160/12)&lt;=3),"Fazer Pedido",AND(AS160/(AC160/12)&gt;3,AS160/(AC160/12)&lt;=7),"OK",AND(AS160/(AC160/12)&gt;7,AS160/(AC160/12)&lt;=14),"Abaixar Preço",AND(AS160/(AC160/12)&gt;14,AS160/(AC160/12)&lt;=20),"Estabilizando",AS160/(AC160/12)&gt;20,"Instavel"),"Instavel")</f>
        <v>Sem Produto</v>
      </c>
      <c r="AL160" s="1" t="str" cm="1">
        <f t="array" ref="AL160">IFERROR(_xlfn.IFS(AT160="","Sem Produto",AND(AT160/(AD160/12)&gt;0,AT160/(AD160/12)&lt;=2),"Acabando",AND(AT160/(AD160/12)&gt;2,AT160/(AD160/12)&lt;=3),"Fazer Pedido",AND(AT160/(AD160/12)&gt;3,AT160/(AD160/12)&lt;=7),"OK",AND(AT160/(AD160/12)&gt;7,AT160/(AD160/12)&lt;=14),"Abaixar Preço",AND(AT160/(AD160/12)&gt;14,AT160/(AD160/12)&lt;=20),"Estabilizando",AT160/(AD160/12)&gt;20,"Instavel"),"Instavel")</f>
        <v>Abaixar Preço</v>
      </c>
      <c r="AM160" s="1" t="str" cm="1">
        <f t="array" ref="AM160">IFERROR(_xlfn.IFS(AU160="","Sem Produto",AND(AU160/(AE160/12)&gt;0,AU160/(AE160/12)&lt;=2),"Acabando",AND(AU160/(AE160/12)&gt;2,AU160/(AE160/12)&lt;=3),"Fazer Pedido",AND(AU160/(AE160/12)&gt;3,AU160/(AE160/12)&lt;=7),"OK",AND(AU160/(AE160/12)&gt;7,AU160/(AE160/12)&lt;=14),"Abaixar Preço",AND(AU160/(AE160/12)&gt;14,AU160/(AE160/12)&lt;=20),"Estabilizando",AU160/(AE160/12)&gt;20,"Instavel"),"Instavel")</f>
        <v>OK</v>
      </c>
      <c r="AN160" s="1" t="str">
        <f ca="1">IF(SUMIF(vendaAno[data],SituaçãoEstoqueFluxo[[#This Row],[data]],vendaAno[estoque])=0,"Algo errado",IF(AND(AX160/AW160&gt;0,AX160/AW160&lt;=1),"Alerta",IF(AND(AX160/AW160&gt;1,AX160/AW160&lt;=1.5),"Fazer pedido",IF(AND(AX160/AW160&gt;1.5,AX160/AW160&lt;=2),"Ok",IF(AND(AX160/AW160&gt;2,AX160/AW160&lt;=2.5),"Estabilizando",IF(AND(AX160/AW160&gt;2.5,AX160/AW160&lt;=3),"Cheio","Abaixar preço"))))))</f>
        <v>Ok</v>
      </c>
      <c r="AO160" s="82">
        <f>SUMIFS(estoque[quantidade],estoque[fornecedor],"&lt;&gt;saída",estoque[data],SituaçãoEstoqueFluxo[[#This Row],[data]])-SUMIFS(estoque[quantidade],estoque[fornecedor],"saída",estoque[data],SituaçãoEstoqueFluxo[[#This Row],[data]])</f>
        <v>-14</v>
      </c>
      <c r="AP160" s="116">
        <f t="shared" si="9"/>
        <v>46074</v>
      </c>
      <c r="AQ16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6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16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6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16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1.8333333333333333</v>
      </c>
      <c r="AV160" s="82" cm="1">
        <f t="array" aca="1" ref="AV1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60" s="82" cm="1">
        <f t="array" aca="1" ref="AW1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60" s="82">
        <f>SUM(FluxoEstoqueDateTime[[#This Row],[OVO BRANCO A]:[OVO BRANCO JUMBO]])</f>
        <v>12.583333333333334</v>
      </c>
    </row>
    <row r="161" spans="1:50" x14ac:dyDescent="0.25">
      <c r="A161" s="136" t="s">
        <v>31</v>
      </c>
      <c r="B161" s="137" t="s">
        <v>11</v>
      </c>
      <c r="C161" s="138">
        <v>120</v>
      </c>
      <c r="D161" s="139">
        <v>175</v>
      </c>
      <c r="E161" s="139">
        <v>1750</v>
      </c>
      <c r="F161" s="254">
        <v>46199</v>
      </c>
      <c r="G161" s="136" t="s">
        <v>83</v>
      </c>
      <c r="H161" s="136" t="s">
        <v>148</v>
      </c>
      <c r="I161" s="153"/>
      <c r="J161" s="12"/>
      <c r="Z161" s="116">
        <f t="shared" si="7"/>
        <v>46073</v>
      </c>
      <c r="AA16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</v>
      </c>
      <c r="AB16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9.8571428571428577</v>
      </c>
      <c r="AC16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6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4.5714285714285712</v>
      </c>
      <c r="AE16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6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6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44.496867366325901</v>
      </c>
      <c r="AH161" s="116">
        <f t="shared" si="8"/>
        <v>46073</v>
      </c>
      <c r="AI161" s="1" t="str" cm="1">
        <f t="array" ref="AI161">IFERROR(_xlfn.IFS(AQ161="","Sem Produto",AND(AQ161/(AA161/12)&gt;0,AQ161/(AA161/12)&lt;=2),"Acabando",AND(AQ161/(AA161/12)&gt;2,AQ161/(AA161/12)&lt;=3),"Fazer Pedido",AND(AQ161/(AA161/12)&gt;3,AQ161/(AA161/12)&lt;=7),"OK",AND(AQ161/(AA161/12)&gt;7,AQ161/(AA161/12)&lt;=14),"Abaixar Preço",AND(AQ161/(AA161/12)&gt;14,AQ161/(AA161/12)&lt;=20),"Estabilizando",AQ161/(AA161/12)&gt;20,"Instavel"),"Instavel")</f>
        <v>Sem Produto</v>
      </c>
      <c r="AJ161" s="1" t="str" cm="1">
        <f t="array" ref="AJ161">IFERROR(_xlfn.IFS(AR161="","Sem Produto",AND(AR161/(AB161/12)&gt;0,AR161/(AB161/12)&lt;=2),"Acabando",AND(AR161/(AB161/12)&gt;2,AR161/(AB161/12)&lt;=3),"Fazer Pedido",AND(AR161/(AB161/12)&gt;3,AR161/(AB161/12)&lt;=7),"OK",AND(AR161/(AB161/12)&gt;7,AR161/(AB161/12)&lt;=14),"Abaixar Preço",AND(AR161/(AB161/12)&gt;14,AR161/(AB161/12)&lt;=20),"Estabilizando",AR161/(AB161/12)&gt;20,"Instavel"),"Instavel")</f>
        <v>Abaixar Preço</v>
      </c>
      <c r="AK161" s="1" t="str" cm="1">
        <f t="array" ref="AK161">IFERROR(_xlfn.IFS(AS161="","Sem Produto",AND(AS161/(AC161/12)&gt;0,AS161/(AC161/12)&lt;=2),"Acabando",AND(AS161/(AC161/12)&gt;2,AS161/(AC161/12)&lt;=3),"Fazer Pedido",AND(AS161/(AC161/12)&gt;3,AS161/(AC161/12)&lt;=7),"OK",AND(AS161/(AC161/12)&gt;7,AS161/(AC161/12)&lt;=14),"Abaixar Preço",AND(AS161/(AC161/12)&gt;14,AS161/(AC161/12)&lt;=20),"Estabilizando",AS161/(AC161/12)&gt;20,"Instavel"),"Instavel")</f>
        <v>Sem Produto</v>
      </c>
      <c r="AL161" s="1" t="str" cm="1">
        <f t="array" ref="AL161">IFERROR(_xlfn.IFS(AT161="","Sem Produto",AND(AT161/(AD161/12)&gt;0,AT161/(AD161/12)&lt;=2),"Acabando",AND(AT161/(AD161/12)&gt;2,AT161/(AD161/12)&lt;=3),"Fazer Pedido",AND(AT161/(AD161/12)&gt;3,AT161/(AD161/12)&lt;=7),"OK",AND(AT161/(AD161/12)&gt;7,AT161/(AD161/12)&lt;=14),"Abaixar Preço",AND(AT161/(AD161/12)&gt;14,AT161/(AD161/12)&lt;=20),"Estabilizando",AT161/(AD161/12)&gt;20,"Instavel"),"Instavel")</f>
        <v>Abaixar Preço</v>
      </c>
      <c r="AM161" s="1" t="str" cm="1">
        <f t="array" ref="AM161">IFERROR(_xlfn.IFS(AU161="","Sem Produto",AND(AU161/(AE161/12)&gt;0,AU161/(AE161/12)&lt;=2),"Acabando",AND(AU161/(AE161/12)&gt;2,AU161/(AE161/12)&lt;=3),"Fazer Pedido",AND(AU161/(AE161/12)&gt;3,AU161/(AE161/12)&lt;=7),"OK",AND(AU161/(AE161/12)&gt;7,AU161/(AE161/12)&lt;=14),"Abaixar Preço",AND(AU161/(AE161/12)&gt;14,AU161/(AE161/12)&lt;=20),"Estabilizando",AU161/(AE161/12)&gt;20,"Instavel"),"Instavel")</f>
        <v>OK</v>
      </c>
      <c r="AN161" s="1" t="str">
        <f ca="1">IF(SUMIF(vendaAno[data],SituaçãoEstoqueFluxo[[#This Row],[data]],vendaAno[estoque])=0,"Algo errado",IF(AND(AX161/AW161&gt;0,AX161/AW161&lt;=1),"Alerta",IF(AND(AX161/AW161&gt;1,AX161/AW161&lt;=1.5),"Fazer pedido",IF(AND(AX161/AW161&gt;1.5,AX161/AW161&lt;=2),"Ok",IF(AND(AX161/AW161&gt;2,AX161/AW161&lt;=2.5),"Estabilizando",IF(AND(AX161/AW161&gt;2.5,AX161/AW161&lt;=3),"Cheio","Abaixar preço"))))))</f>
        <v>Ok</v>
      </c>
      <c r="AO161" s="82">
        <f>SUMIFS(estoque[quantidade],estoque[fornecedor],"&lt;&gt;saída",estoque[data],SituaçãoEstoqueFluxo[[#This Row],[data]])-SUMIFS(estoque[quantidade],estoque[fornecedor],"saída",estoque[data],SituaçãoEstoqueFluxo[[#This Row],[data]])</f>
        <v>-44</v>
      </c>
      <c r="AP161" s="116">
        <f t="shared" si="9"/>
        <v>46073</v>
      </c>
      <c r="AQ16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16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6.416666666666667</v>
      </c>
      <c r="AS1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6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5.083333333333333</v>
      </c>
      <c r="AU16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2.25</v>
      </c>
      <c r="AV161" s="82" cm="1">
        <f t="array" aca="1" ref="AV1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24.321428571428573</v>
      </c>
      <c r="AW161" s="82" cm="1">
        <f t="array" aca="1" ref="AW1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61" s="82">
        <f>SUM(FluxoEstoqueDateTime[[#This Row],[OVO BRANCO A]:[OVO BRANCO JUMBO]])</f>
        <v>13.75</v>
      </c>
    </row>
    <row r="162" spans="1:50" x14ac:dyDescent="0.25">
      <c r="A162" s="4" t="s">
        <v>31</v>
      </c>
      <c r="B162" s="55" t="s">
        <v>10</v>
      </c>
      <c r="C162" s="5">
        <v>120</v>
      </c>
      <c r="D162" s="140">
        <v>185</v>
      </c>
      <c r="E162" s="140">
        <v>1850</v>
      </c>
      <c r="F162" s="157">
        <v>46199</v>
      </c>
      <c r="G162" s="4" t="s">
        <v>83</v>
      </c>
      <c r="H162" s="4" t="s">
        <v>148</v>
      </c>
      <c r="I162" s="153"/>
      <c r="J162" s="12"/>
      <c r="Z162" s="116">
        <f t="shared" si="7"/>
        <v>46072</v>
      </c>
      <c r="AA16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6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6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6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4.8571428571428568</v>
      </c>
      <c r="AE16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6.1428571428571432</v>
      </c>
      <c r="AF16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6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42.003691624767875</v>
      </c>
      <c r="AH162" s="116">
        <f t="shared" si="8"/>
        <v>46072</v>
      </c>
      <c r="AI162" s="1" t="str" cm="1">
        <f t="array" ref="AI162">IFERROR(_xlfn.IFS(AQ162="","Sem Produto",AND(AQ162/(AA162/12)&gt;0,AQ162/(AA162/12)&lt;=2),"Acabando",AND(AQ162/(AA162/12)&gt;2,AQ162/(AA162/12)&lt;=3),"Fazer Pedido",AND(AQ162/(AA162/12)&gt;3,AQ162/(AA162/12)&lt;=7),"OK",AND(AQ162/(AA162/12)&gt;7,AQ162/(AA162/12)&lt;=14),"Abaixar Preço",AND(AQ162/(AA162/12)&gt;14,AQ162/(AA162/12)&lt;=20),"Estabilizando",AQ162/(AA162/12)&gt;20,"Instavel"),"Instavel")</f>
        <v>Acabando</v>
      </c>
      <c r="AJ162" s="1" t="str" cm="1">
        <f t="array" ref="AJ162">IFERROR(_xlfn.IFS(AR162="","Sem Produto",AND(AR162/(AB162/12)&gt;0,AR162/(AB162/12)&lt;=2),"Acabando",AND(AR162/(AB162/12)&gt;2,AR162/(AB162/12)&lt;=3),"Fazer Pedido",AND(AR162/(AB162/12)&gt;3,AR162/(AB162/12)&lt;=7),"OK",AND(AR162/(AB162/12)&gt;7,AR162/(AB162/12)&lt;=14),"Abaixar Preço",AND(AR162/(AB162/12)&gt;14,AR162/(AB162/12)&lt;=20),"Estabilizando",AR162/(AB162/12)&gt;20,"Instavel"),"Instavel")</f>
        <v>Abaixar Preço</v>
      </c>
      <c r="AK162" s="1" t="str" cm="1">
        <f t="array" ref="AK162">IFERROR(_xlfn.IFS(AS162="","Sem Produto",AND(AS162/(AC162/12)&gt;0,AS162/(AC162/12)&lt;=2),"Acabando",AND(AS162/(AC162/12)&gt;2,AS162/(AC162/12)&lt;=3),"Fazer Pedido",AND(AS162/(AC162/12)&gt;3,AS162/(AC162/12)&lt;=7),"OK",AND(AS162/(AC162/12)&gt;7,AS162/(AC162/12)&lt;=14),"Abaixar Preço",AND(AS162/(AC162/12)&gt;14,AS162/(AC162/12)&lt;=20),"Estabilizando",AS162/(AC162/12)&gt;20,"Instavel"),"Instavel")</f>
        <v>Sem Produto</v>
      </c>
      <c r="AL162" s="1" t="str" cm="1">
        <f t="array" ref="AL162">IFERROR(_xlfn.IFS(AT162="","Sem Produto",AND(AT162/(AD162/12)&gt;0,AT162/(AD162/12)&lt;=2),"Acabando",AND(AT162/(AD162/12)&gt;2,AT162/(AD162/12)&lt;=3),"Fazer Pedido",AND(AT162/(AD162/12)&gt;3,AT162/(AD162/12)&lt;=7),"OK",AND(AT162/(AD162/12)&gt;7,AT162/(AD162/12)&lt;=14),"Abaixar Preço",AND(AT162/(AD162/12)&gt;14,AT162/(AD162/12)&lt;=20),"Estabilizando",AT162/(AD162/12)&gt;20,"Instavel"),"Instavel")</f>
        <v>Estabilizando</v>
      </c>
      <c r="AM162" s="1" t="str" cm="1">
        <f t="array" ref="AM162">IFERROR(_xlfn.IFS(AU162="","Sem Produto",AND(AU162/(AE162/12)&gt;0,AU162/(AE162/12)&lt;=2),"Acabando",AND(AU162/(AE162/12)&gt;2,AU162/(AE162/12)&lt;=3),"Fazer Pedido",AND(AU162/(AE162/12)&gt;3,AU162/(AE162/12)&lt;=7),"OK",AND(AU162/(AE162/12)&gt;7,AU162/(AE162/12)&lt;=14),"Abaixar Preço",AND(AU162/(AE162/12)&gt;14,AU162/(AE162/12)&lt;=20),"Estabilizando",AU162/(AE162/12)&gt;20,"Instavel"),"Instavel")</f>
        <v>OK</v>
      </c>
      <c r="AN162" s="1" t="str">
        <f ca="1">IF(SUMIF(vendaAno[data],SituaçãoEstoqueFluxo[[#This Row],[data]],vendaAno[estoque])=0,"Algo errado",IF(AND(AX162/AW162&gt;0,AX162/AW162&lt;=1),"Alerta",IF(AND(AX162/AW162&gt;1,AX162/AW162&lt;=1.5),"Fazer pedido",IF(AND(AX162/AW162&gt;1.5,AX162/AW162&lt;=2),"Ok",IF(AND(AX162/AW162&gt;2,AX162/AW162&lt;=2.5),"Estabilizando",IF(AND(AX162/AW162&gt;2.5,AX162/AW162&lt;=3),"Cheio","Abaixar preço"))))))</f>
        <v>Estabilizando</v>
      </c>
      <c r="AO162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62" s="116">
        <f t="shared" si="9"/>
        <v>46072</v>
      </c>
      <c r="AQ16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1.1666666666666667</v>
      </c>
      <c r="AR16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7.416666666666667</v>
      </c>
      <c r="AS1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16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16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</v>
      </c>
      <c r="AV162" s="82" cm="1">
        <f t="array" aca="1" ref="AV1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162" s="82" cm="1">
        <f t="array" aca="1" ref="AW1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62" s="82">
        <f>SUM(FluxoEstoqueDateTime[[#This Row],[OVO BRANCO A]:[OVO BRANCO JUMBO]])</f>
        <v>17.416666666666668</v>
      </c>
    </row>
    <row r="163" spans="1:50" x14ac:dyDescent="0.25">
      <c r="A163" s="4" t="s">
        <v>20</v>
      </c>
      <c r="B163" s="55" t="s">
        <v>14</v>
      </c>
      <c r="C163" s="5">
        <v>8</v>
      </c>
      <c r="D163" s="56">
        <v>23</v>
      </c>
      <c r="E163" s="56">
        <v>184</v>
      </c>
      <c r="F163" s="157">
        <v>46198</v>
      </c>
      <c r="G163" s="4" t="s">
        <v>294</v>
      </c>
      <c r="H163" s="4" t="s">
        <v>148</v>
      </c>
      <c r="I163" s="153">
        <v>53.73</v>
      </c>
      <c r="J163" s="12">
        <v>0.29202898550724649</v>
      </c>
      <c r="Z163" s="116">
        <f t="shared" si="7"/>
        <v>46071</v>
      </c>
      <c r="AA16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6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8.4285714285714288</v>
      </c>
      <c r="AC16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6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5.7142857142857144</v>
      </c>
      <c r="AE16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6.5714285714285712</v>
      </c>
      <c r="AF16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30.571428571428573</v>
      </c>
      <c r="AG16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42.032726324974227</v>
      </c>
      <c r="AH163" s="116">
        <f t="shared" si="8"/>
        <v>46071</v>
      </c>
      <c r="AI163" s="1" t="str" cm="1">
        <f t="array" ref="AI163">IFERROR(_xlfn.IFS(AQ163="","Sem Produto",AND(AQ163/(AA163/12)&gt;0,AQ163/(AA163/12)&lt;=2),"Acabando",AND(AQ163/(AA163/12)&gt;2,AQ163/(AA163/12)&lt;=3),"Fazer Pedido",AND(AQ163/(AA163/12)&gt;3,AQ163/(AA163/12)&lt;=7),"OK",AND(AQ163/(AA163/12)&gt;7,AQ163/(AA163/12)&lt;=14),"Abaixar Preço",AND(AQ163/(AA163/12)&gt;14,AQ163/(AA163/12)&lt;=20),"Estabilizando",AQ163/(AA163/12)&gt;20,"Instavel"),"Instavel")</f>
        <v>Fazer Pedido</v>
      </c>
      <c r="AJ163" s="1" t="str" cm="1">
        <f t="array" ref="AJ163">IFERROR(_xlfn.IFS(AR163="","Sem Produto",AND(AR163/(AB163/12)&gt;0,AR163/(AB163/12)&lt;=2),"Acabando",AND(AR163/(AB163/12)&gt;2,AR163/(AB163/12)&lt;=3),"Fazer Pedido",AND(AR163/(AB163/12)&gt;3,AR163/(AB163/12)&lt;=7),"OK",AND(AR163/(AB163/12)&gt;7,AR163/(AB163/12)&lt;=14),"Abaixar Preço",AND(AR163/(AB163/12)&gt;14,AR163/(AB163/12)&lt;=20),"Estabilizando",AR163/(AB163/12)&gt;20,"Instavel"),"Instavel")</f>
        <v>Abaixar Preço</v>
      </c>
      <c r="AK163" s="1" t="str" cm="1">
        <f t="array" ref="AK163">IFERROR(_xlfn.IFS(AS163="","Sem Produto",AND(AS163/(AC163/12)&gt;0,AS163/(AC163/12)&lt;=2),"Acabando",AND(AS163/(AC163/12)&gt;2,AS163/(AC163/12)&lt;=3),"Fazer Pedido",AND(AS163/(AC163/12)&gt;3,AS163/(AC163/12)&lt;=7),"OK",AND(AS163/(AC163/12)&gt;7,AS163/(AC163/12)&lt;=14),"Abaixar Preço",AND(AS163/(AC163/12)&gt;14,AS163/(AC163/12)&lt;=20),"Estabilizando",AS163/(AC163/12)&gt;20,"Instavel"),"Instavel")</f>
        <v>Acabando</v>
      </c>
      <c r="AL163" s="1" t="str" cm="1">
        <f t="array" ref="AL163">IFERROR(_xlfn.IFS(AT163="","Sem Produto",AND(AT163/(AD163/12)&gt;0,AT163/(AD163/12)&lt;=2),"Acabando",AND(AT163/(AD163/12)&gt;2,AT163/(AD163/12)&lt;=3),"Fazer Pedido",AND(AT163/(AD163/12)&gt;3,AT163/(AD163/12)&lt;=7),"OK",AND(AT163/(AD163/12)&gt;7,AT163/(AD163/12)&lt;=14),"Abaixar Preço",AND(AT163/(AD163/12)&gt;14,AT163/(AD163/12)&lt;=20),"Estabilizando",AT163/(AD163/12)&gt;20,"Instavel"),"Instavel")</f>
        <v>Abaixar Preço</v>
      </c>
      <c r="AM163" s="1" t="str" cm="1">
        <f t="array" ref="AM163">IFERROR(_xlfn.IFS(AU163="","Sem Produto",AND(AU163/(AE163/12)&gt;0,AU163/(AE163/12)&lt;=2),"Acabando",AND(AU163/(AE163/12)&gt;2,AU163/(AE163/12)&lt;=3),"Fazer Pedido",AND(AU163/(AE163/12)&gt;3,AU163/(AE163/12)&lt;=7),"OK",AND(AU163/(AE163/12)&gt;7,AU163/(AE163/12)&lt;=14),"Abaixar Preço",AND(AU163/(AE163/12)&gt;14,AU163/(AE163/12)&lt;=20),"Estabilizando",AU163/(AE163/12)&gt;20,"Instavel"),"Instavel")</f>
        <v>OK</v>
      </c>
      <c r="AN163" s="1" t="str">
        <f ca="1">IF(SUMIF(vendaAno[data],SituaçãoEstoqueFluxo[[#This Row],[data]],vendaAno[estoque])=0,"Algo errado",IF(AND(AX163/AW163&gt;0,AX163/AW163&lt;=1),"Alerta",IF(AND(AX163/AW163&gt;1,AX163/AW163&lt;=1.5),"Fazer pedido",IF(AND(AX163/AW163&gt;1.5,AX163/AW163&lt;=2),"Ok",IF(AND(AX163/AW163&gt;2,AX163/AW163&lt;=2.5),"Estabilizando",IF(AND(AX163/AW163&gt;2.5,AX163/AW163&lt;=3),"Cheio","Abaixar preço"))))))</f>
        <v>Cheio</v>
      </c>
      <c r="AO163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63" s="116">
        <f t="shared" si="9"/>
        <v>46071</v>
      </c>
      <c r="AQ16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1.8333333333333333</v>
      </c>
      <c r="AR16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8.25</v>
      </c>
      <c r="AS16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8.3333333333333329E-2</v>
      </c>
      <c r="AT16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</v>
      </c>
      <c r="AU16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3.6666666666666665</v>
      </c>
      <c r="AV163" s="82" cm="1">
        <f t="array" aca="1" ref="AV1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22.928571428571427</v>
      </c>
      <c r="AW163" s="82" cm="1">
        <f t="array" aca="1" ref="AW1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7.6428571428571432</v>
      </c>
      <c r="AX163" s="82">
        <f>SUM(FluxoEstoqueDateTime[[#This Row],[OVO BRANCO A]:[OVO BRANCO JUMBO]])</f>
        <v>19.833333333333336</v>
      </c>
    </row>
    <row r="164" spans="1:50" x14ac:dyDescent="0.25">
      <c r="A164" s="250" t="s">
        <v>20</v>
      </c>
      <c r="B164" s="251" t="s">
        <v>13</v>
      </c>
      <c r="C164" s="252">
        <v>14</v>
      </c>
      <c r="D164" s="253">
        <v>20</v>
      </c>
      <c r="E164" s="253">
        <v>280</v>
      </c>
      <c r="F164" s="255">
        <v>46198</v>
      </c>
      <c r="G164" s="256" t="s">
        <v>294</v>
      </c>
      <c r="H164" s="256" t="s">
        <v>148</v>
      </c>
      <c r="I164" s="153">
        <v>58.33</v>
      </c>
      <c r="J164" s="12">
        <v>0.2083333333333332</v>
      </c>
      <c r="Z164" s="116">
        <f t="shared" si="7"/>
        <v>46070</v>
      </c>
      <c r="AA16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16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</v>
      </c>
      <c r="AC16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6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5.4285714285714288</v>
      </c>
      <c r="AE16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7.2857142857142856</v>
      </c>
      <c r="AF16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16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41.699595234023143</v>
      </c>
      <c r="AH164" s="116">
        <f t="shared" si="8"/>
        <v>46070</v>
      </c>
      <c r="AI164" s="1" t="str" cm="1">
        <f t="array" ref="AI164">IFERROR(_xlfn.IFS(AQ164="","Sem Produto",AND(AQ164/(AA164/12)&gt;0,AQ164/(AA164/12)&lt;=2),"Acabando",AND(AQ164/(AA164/12)&gt;2,AQ164/(AA164/12)&lt;=3),"Fazer Pedido",AND(AQ164/(AA164/12)&gt;3,AQ164/(AA164/12)&lt;=7),"OK",AND(AQ164/(AA164/12)&gt;7,AQ164/(AA164/12)&lt;=14),"Abaixar Preço",AND(AQ164/(AA164/12)&gt;14,AQ164/(AA164/12)&lt;=20),"Estabilizando",AQ164/(AA164/12)&gt;20,"Instavel"),"Instavel")</f>
        <v>OK</v>
      </c>
      <c r="AJ164" s="1" t="str" cm="1">
        <f t="array" ref="AJ164">IFERROR(_xlfn.IFS(AR164="","Sem Produto",AND(AR164/(AB164/12)&gt;0,AR164/(AB164/12)&lt;=2),"Acabando",AND(AR164/(AB164/12)&gt;2,AR164/(AB164/12)&lt;=3),"Fazer Pedido",AND(AR164/(AB164/12)&gt;3,AR164/(AB164/12)&lt;=7),"OK",AND(AR164/(AB164/12)&gt;7,AR164/(AB164/12)&lt;=14),"Abaixar Preço",AND(AR164/(AB164/12)&gt;14,AR164/(AB164/12)&lt;=20),"Estabilizando",AR164/(AB164/12)&gt;20,"Instavel"),"Instavel")</f>
        <v>Estabilizando</v>
      </c>
      <c r="AK164" s="1" t="str" cm="1">
        <f t="array" ref="AK164">IFERROR(_xlfn.IFS(AS164="","Sem Produto",AND(AS164/(AC164/12)&gt;0,AS164/(AC164/12)&lt;=2),"Acabando",AND(AS164/(AC164/12)&gt;2,AS164/(AC164/12)&lt;=3),"Fazer Pedido",AND(AS164/(AC164/12)&gt;3,AS164/(AC164/12)&lt;=7),"OK",AND(AS164/(AC164/12)&gt;7,AS164/(AC164/12)&lt;=14),"Abaixar Preço",AND(AS164/(AC164/12)&gt;14,AS164/(AC164/12)&lt;=20),"Estabilizando",AS164/(AC164/12)&gt;20,"Instavel"),"Instavel")</f>
        <v>OK</v>
      </c>
      <c r="AL164" s="1" t="str" cm="1">
        <f t="array" ref="AL164">IFERROR(_xlfn.IFS(AT164="","Sem Produto",AND(AT164/(AD164/12)&gt;0,AT164/(AD164/12)&lt;=2),"Acabando",AND(AT164/(AD164/12)&gt;2,AT164/(AD164/12)&lt;=3),"Fazer Pedido",AND(AT164/(AD164/12)&gt;3,AT164/(AD164/12)&lt;=7),"OK",AND(AT164/(AD164/12)&gt;7,AT164/(AD164/12)&lt;=14),"Abaixar Preço",AND(AT164/(AD164/12)&gt;14,AT164/(AD164/12)&lt;=20),"Estabilizando",AT164/(AD164/12)&gt;20,"Instavel"),"Instavel")</f>
        <v>Abaixar Preço</v>
      </c>
      <c r="AM164" s="1" t="str" cm="1">
        <f t="array" ref="AM164">IFERROR(_xlfn.IFS(AU164="","Sem Produto",AND(AU164/(AE164/12)&gt;0,AU164/(AE164/12)&lt;=2),"Acabando",AND(AU164/(AE164/12)&gt;2,AU164/(AE164/12)&lt;=3),"Fazer Pedido",AND(AU164/(AE164/12)&gt;3,AU164/(AE164/12)&lt;=7),"OK",AND(AU164/(AE164/12)&gt;7,AU164/(AE164/12)&lt;=14),"Abaixar Preço",AND(AU164/(AE164/12)&gt;14,AU164/(AE164/12)&lt;=20),"Estabilizando",AU164/(AE164/12)&gt;20,"Instavel"),"Instavel")</f>
        <v>Abaixar Preço</v>
      </c>
      <c r="AN164" s="1" t="str">
        <f ca="1">IF(SUMIF(vendaAno[data],SituaçãoEstoqueFluxo[[#This Row],[data]],vendaAno[estoque])=0,"Algo errado",IF(AND(AX164/AW164&gt;0,AX164/AW164&lt;=1),"Alerta",IF(AND(AX164/AW164&gt;1,AX164/AW164&lt;=1.5),"Fazer pedido",IF(AND(AX164/AW164&gt;1.5,AX164/AW164&lt;=2),"Ok",IF(AND(AX164/AW164&gt;2,AX164/AW164&lt;=2.5),"Estabilizando",IF(AND(AX164/AW164&gt;2.5,AX164/AW164&lt;=3),"Cheio","Abaixar preço"))))))</f>
        <v>Abaixar preço</v>
      </c>
      <c r="AO164" s="82">
        <f>SUMIFS(estoque[quantidade],estoque[fornecedor],"&lt;&gt;saída",estoque[data],SituaçãoEstoqueFluxo[[#This Row],[data]])-SUMIFS(estoque[quantidade],estoque[fornecedor],"saída",estoque[data],SituaçãoEstoqueFluxo[[#This Row],[data]])</f>
        <v>-30</v>
      </c>
      <c r="AP164" s="116">
        <f t="shared" si="9"/>
        <v>46070</v>
      </c>
      <c r="AQ16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3.0833333333333335</v>
      </c>
      <c r="AR16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9.8333333333333339</v>
      </c>
      <c r="AS16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0.33333333333333331</v>
      </c>
      <c r="AT16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6.333333333333333</v>
      </c>
      <c r="AU16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4.333333333333333</v>
      </c>
      <c r="AV164" s="82" cm="1">
        <f t="array" aca="1" ref="AV1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22.607142857142858</v>
      </c>
      <c r="AW164" s="82" cm="1">
        <f t="array" aca="1" ref="AW1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164" s="82">
        <f>SUM(FluxoEstoqueDateTime[[#This Row],[OVO BRANCO A]:[OVO BRANCO JUMBO]])</f>
        <v>23.916666666666668</v>
      </c>
    </row>
    <row r="165" spans="1:50" x14ac:dyDescent="0.25">
      <c r="A165" s="250" t="s">
        <v>20</v>
      </c>
      <c r="B165" s="251" t="s">
        <v>12</v>
      </c>
      <c r="C165" s="252">
        <v>3</v>
      </c>
      <c r="D165" s="253">
        <v>15</v>
      </c>
      <c r="E165" s="253">
        <v>45</v>
      </c>
      <c r="F165" s="255">
        <v>46198</v>
      </c>
      <c r="G165" s="256" t="s">
        <v>294</v>
      </c>
      <c r="H165" s="256" t="s">
        <v>148</v>
      </c>
      <c r="I165" s="153">
        <v>3.5</v>
      </c>
      <c r="J165" s="12">
        <v>7.7777777777777501E-2</v>
      </c>
      <c r="Z165" s="116">
        <f t="shared" si="7"/>
        <v>46069</v>
      </c>
      <c r="AA16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6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6.8571428571428568</v>
      </c>
      <c r="AC16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6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6.1428571428571432</v>
      </c>
      <c r="AE16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8.2857142857142865</v>
      </c>
      <c r="AF16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32.714285714285715</v>
      </c>
      <c r="AG16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40.414782157148238</v>
      </c>
      <c r="AH165" s="116">
        <f t="shared" si="8"/>
        <v>46069</v>
      </c>
      <c r="AI165" s="1" t="str" cm="1">
        <f t="array" ref="AI165">IFERROR(_xlfn.IFS(AQ165="","Sem Produto",AND(AQ165/(AA165/12)&gt;0,AQ165/(AA165/12)&lt;=2),"Acabando",AND(AQ165/(AA165/12)&gt;2,AQ165/(AA165/12)&lt;=3),"Fazer Pedido",AND(AQ165/(AA165/12)&gt;3,AQ165/(AA165/12)&lt;=7),"OK",AND(AQ165/(AA165/12)&gt;7,AQ165/(AA165/12)&lt;=14),"Abaixar Preço",AND(AQ165/(AA165/12)&gt;14,AQ165/(AA165/12)&lt;=20),"Estabilizando",AQ165/(AA165/12)&gt;20,"Instavel"),"Instavel")</f>
        <v>OK</v>
      </c>
      <c r="AJ165" s="1" t="str" cm="1">
        <f t="array" ref="AJ165">IFERROR(_xlfn.IFS(AR165="","Sem Produto",AND(AR165/(AB165/12)&gt;0,AR165/(AB165/12)&lt;=2),"Acabando",AND(AR165/(AB165/12)&gt;2,AR165/(AB165/12)&lt;=3),"Fazer Pedido",AND(AR165/(AB165/12)&gt;3,AR165/(AB165/12)&lt;=7),"OK",AND(AR165/(AB165/12)&gt;7,AR165/(AB165/12)&lt;=14),"Abaixar Preço",AND(AR165/(AB165/12)&gt;14,AR165/(AB165/12)&lt;=20),"Estabilizando",AR165/(AB165/12)&gt;20,"Instavel"),"Instavel")</f>
        <v>Estabilizando</v>
      </c>
      <c r="AK165" s="1" t="str" cm="1">
        <f t="array" ref="AK165">IFERROR(_xlfn.IFS(AS165="","Sem Produto",AND(AS165/(AC165/12)&gt;0,AS165/(AC165/12)&lt;=2),"Acabando",AND(AS165/(AC165/12)&gt;2,AS165/(AC165/12)&lt;=3),"Fazer Pedido",AND(AS165/(AC165/12)&gt;3,AS165/(AC165/12)&lt;=7),"OK",AND(AS165/(AC165/12)&gt;7,AS165/(AC165/12)&lt;=14),"Abaixar Preço",AND(AS165/(AC165/12)&gt;14,AS165/(AC165/12)&lt;=20),"Estabilizando",AS165/(AC165/12)&gt;20,"Instavel"),"Instavel")</f>
        <v>OK</v>
      </c>
      <c r="AL165" s="1" t="str" cm="1">
        <f t="array" ref="AL165">IFERROR(_xlfn.IFS(AT165="","Sem Produto",AND(AT165/(AD165/12)&gt;0,AT165/(AD165/12)&lt;=2),"Acabando",AND(AT165/(AD165/12)&gt;2,AT165/(AD165/12)&lt;=3),"Fazer Pedido",AND(AT165/(AD165/12)&gt;3,AT165/(AD165/12)&lt;=7),"OK",AND(AT165/(AD165/12)&gt;7,AT165/(AD165/12)&lt;=14),"Abaixar Preço",AND(AT165/(AD165/12)&gt;14,AT165/(AD165/12)&lt;=20),"Estabilizando",AT165/(AD165/12)&gt;20,"Instavel"),"Instavel")</f>
        <v>Abaixar Preço</v>
      </c>
      <c r="AM165" s="1" t="str" cm="1">
        <f t="array" ref="AM165">IFERROR(_xlfn.IFS(AU165="","Sem Produto",AND(AU165/(AE165/12)&gt;0,AU165/(AE165/12)&lt;=2),"Acabando",AND(AU165/(AE165/12)&gt;2,AU165/(AE165/12)&lt;=3),"Fazer Pedido",AND(AU165/(AE165/12)&gt;3,AU165/(AE165/12)&lt;=7),"OK",AND(AU165/(AE165/12)&gt;7,AU165/(AE165/12)&lt;=14),"Abaixar Preço",AND(AU165/(AE165/12)&gt;14,AU165/(AE165/12)&lt;=20),"Estabilizando",AU165/(AE165/12)&gt;20,"Instavel"),"Instavel")</f>
        <v>OK</v>
      </c>
      <c r="AN165" s="1" t="str">
        <f ca="1">IF(SUMIF(vendaAno[data],SituaçãoEstoqueFluxo[[#This Row],[data]],vendaAno[estoque])=0,"Algo errado",IF(AND(AX165/AW165&gt;0,AX165/AW165&lt;=1),"Alerta",IF(AND(AX165/AW165&gt;1,AX165/AW165&lt;=1.5),"Fazer pedido",IF(AND(AX165/AW165&gt;1.5,AX165/AW165&lt;=2),"Ok",IF(AND(AX165/AW165&gt;2,AX165/AW165&lt;=2.5),"Estabilizando",IF(AND(AX165/AW165&gt;2.5,AX165/AW165&lt;=3),"Cheio","Abaixar preço"))))))</f>
        <v>Abaixar preço</v>
      </c>
      <c r="AO165" s="82">
        <f>SUMIFS(estoque[quantidade],estoque[fornecedor],"&lt;&gt;saída",estoque[data],SituaçãoEstoqueFluxo[[#This Row],[data]])-SUMIFS(estoque[quantidade],estoque[fornecedor],"saída",estoque[data],SituaçãoEstoqueFluxo[[#This Row],[data]])</f>
        <v>-36</v>
      </c>
      <c r="AP165" s="116">
        <f t="shared" si="9"/>
        <v>46069</v>
      </c>
      <c r="AQ16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4.583333333333333</v>
      </c>
      <c r="AR16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10.083333333333334</v>
      </c>
      <c r="AS16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0.41666666666666669</v>
      </c>
      <c r="AT16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6.583333333333333</v>
      </c>
      <c r="AU16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65" s="82" cm="1">
        <f t="array" aca="1" ref="AV1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24.535714285714288</v>
      </c>
      <c r="AW165" s="82" cm="1">
        <f t="array" aca="1" ref="AW1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8.1785714285714288</v>
      </c>
      <c r="AX165" s="82">
        <f>SUM(FluxoEstoqueDateTime[[#This Row],[OVO BRANCO A]:[OVO BRANCO JUMBO]])</f>
        <v>26.416666666666668</v>
      </c>
    </row>
    <row r="166" spans="1:50" x14ac:dyDescent="0.25">
      <c r="A166" s="250" t="s">
        <v>20</v>
      </c>
      <c r="B166" s="251" t="s">
        <v>11</v>
      </c>
      <c r="C166" s="252">
        <v>4</v>
      </c>
      <c r="D166" s="253">
        <v>16</v>
      </c>
      <c r="E166" s="253">
        <v>64</v>
      </c>
      <c r="F166" s="255">
        <v>46198</v>
      </c>
      <c r="G166" s="256" t="s">
        <v>294</v>
      </c>
      <c r="H166" s="256" t="s">
        <v>148</v>
      </c>
      <c r="I166" s="153">
        <v>5.18</v>
      </c>
      <c r="J166" s="12">
        <v>8.0991124260355263E-2</v>
      </c>
      <c r="Z166" s="116">
        <f t="shared" si="7"/>
        <v>46068</v>
      </c>
      <c r="AA16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9.7142857142857135</v>
      </c>
      <c r="AB16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8.7142857142857135</v>
      </c>
      <c r="AC16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</v>
      </c>
      <c r="AD16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7.5714285714285712</v>
      </c>
      <c r="AE16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8.5714285714285712</v>
      </c>
      <c r="AF16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36.571428571428569</v>
      </c>
      <c r="AG16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40.091870939761634</v>
      </c>
      <c r="AH166" s="116">
        <f t="shared" si="8"/>
        <v>46068</v>
      </c>
      <c r="AI166" s="1" t="str" cm="1">
        <f t="array" ref="AI166">IFERROR(_xlfn.IFS(AQ166="","Sem Produto",AND(AQ166/(AA166/12)&gt;0,AQ166/(AA166/12)&lt;=2),"Acabando",AND(AQ166/(AA166/12)&gt;2,AQ166/(AA166/12)&lt;=3),"Fazer Pedido",AND(AQ166/(AA166/12)&gt;3,AQ166/(AA166/12)&lt;=7),"OK",AND(AQ166/(AA166/12)&gt;7,AQ166/(AA166/12)&lt;=14),"Abaixar Preço",AND(AQ166/(AA166/12)&gt;14,AQ166/(AA166/12)&lt;=20),"Estabilizando",AQ166/(AA166/12)&gt;20,"Instavel"),"Instavel")</f>
        <v>OK</v>
      </c>
      <c r="AJ166" s="1" t="str" cm="1">
        <f t="array" ref="AJ166">IFERROR(_xlfn.IFS(AR166="","Sem Produto",AND(AR166/(AB166/12)&gt;0,AR166/(AB166/12)&lt;=2),"Acabando",AND(AR166/(AB166/12)&gt;2,AR166/(AB166/12)&lt;=3),"Fazer Pedido",AND(AR166/(AB166/12)&gt;3,AR166/(AB166/12)&lt;=7),"OK",AND(AR166/(AB166/12)&gt;7,AR166/(AB166/12)&lt;=14),"Abaixar Preço",AND(AR166/(AB166/12)&gt;14,AR166/(AB166/12)&lt;=20),"Estabilizando",AR166/(AB166/12)&gt;20,"Instavel"),"Instavel")</f>
        <v>Estabilizando</v>
      </c>
      <c r="AK166" s="1" t="str" cm="1">
        <f t="array" ref="AK166">IFERROR(_xlfn.IFS(AS166="","Sem Produto",AND(AS166/(AC166/12)&gt;0,AS166/(AC166/12)&lt;=2),"Acabando",AND(AS166/(AC166/12)&gt;2,AS166/(AC166/12)&lt;=3),"Fazer Pedido",AND(AS166/(AC166/12)&gt;3,AS166/(AC166/12)&lt;=7),"OK",AND(AS166/(AC166/12)&gt;7,AS166/(AC166/12)&lt;=14),"Abaixar Preço",AND(AS166/(AC166/12)&gt;14,AS166/(AC166/12)&lt;=20),"Estabilizando",AS166/(AC166/12)&gt;20,"Instavel"),"Instavel")</f>
        <v>OK</v>
      </c>
      <c r="AL166" s="1" t="str" cm="1">
        <f t="array" ref="AL166">IFERROR(_xlfn.IFS(AT166="","Sem Produto",AND(AT166/(AD166/12)&gt;0,AT166/(AD166/12)&lt;=2),"Acabando",AND(AT166/(AD166/12)&gt;2,AT166/(AD166/12)&lt;=3),"Fazer Pedido",AND(AT166/(AD166/12)&gt;3,AT166/(AD166/12)&lt;=7),"OK",AND(AT166/(AD166/12)&gt;7,AT166/(AD166/12)&lt;=14),"Abaixar Preço",AND(AT166/(AD166/12)&gt;14,AT166/(AD166/12)&lt;=20),"Estabilizando",AT166/(AD166/12)&gt;20,"Instavel"),"Instavel")</f>
        <v>Abaixar Preço</v>
      </c>
      <c r="AM166" s="1" t="str" cm="1">
        <f t="array" ref="AM166">IFERROR(_xlfn.IFS(AU166="","Sem Produto",AND(AU166/(AE166/12)&gt;0,AU166/(AE166/12)&lt;=2),"Acabando",AND(AU166/(AE166/12)&gt;2,AU166/(AE166/12)&lt;=3),"Fazer Pedido",AND(AU166/(AE166/12)&gt;3,AU166/(AE166/12)&lt;=7),"OK",AND(AU166/(AE166/12)&gt;7,AU166/(AE166/12)&lt;=14),"Abaixar Preço",AND(AU166/(AE166/12)&gt;14,AU166/(AE166/12)&lt;=20),"Estabilizando",AU166/(AE166/12)&gt;20,"Instavel"),"Instavel")</f>
        <v>Abaixar Preço</v>
      </c>
      <c r="AN166" s="1" t="str">
        <f ca="1">IF(SUMIF(vendaAno[data],SituaçãoEstoqueFluxo[[#This Row],[data]],vendaAno[estoque])=0,"Algo errado",IF(AND(AX166/AW166&gt;0,AX166/AW166&lt;=1),"Alerta",IF(AND(AX166/AW166&gt;1,AX166/AW166&lt;=1.5),"Fazer pedido",IF(AND(AX166/AW166&gt;1.5,AX166/AW166&lt;=2),"Ok",IF(AND(AX166/AW166&gt;2,AX166/AW166&lt;=2.5),"Estabilizando",IF(AND(AX166/AW166&gt;2.5,AX166/AW166&lt;=3),"Cheio","Abaixar preço"))))))</f>
        <v>Abaixar preço</v>
      </c>
      <c r="AO166" s="82">
        <f>SUMIFS(estoque[quantidade],estoque[fornecedor],"&lt;&gt;saída",estoque[data],SituaçãoEstoqueFluxo[[#This Row],[data]])-SUMIFS(estoque[quantidade],estoque[fornecedor],"saída",estoque[data],SituaçãoEstoqueFluxo[[#This Row],[data]])</f>
        <v>-17</v>
      </c>
      <c r="AP166" s="116">
        <f t="shared" si="9"/>
        <v>46068</v>
      </c>
      <c r="AQ16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5.416666666666667</v>
      </c>
      <c r="AR16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10.833333333333334</v>
      </c>
      <c r="AS16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7.166666666666667</v>
      </c>
      <c r="AU16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5.416666666666667</v>
      </c>
      <c r="AV166" s="82" cm="1">
        <f t="array" aca="1" ref="AV1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27.428571428571427</v>
      </c>
      <c r="AW166" s="82" cm="1">
        <f t="array" aca="1" ref="AW1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9.1428571428571423</v>
      </c>
      <c r="AX166" s="82">
        <f>SUM(FluxoEstoqueDateTime[[#This Row],[OVO BRANCO A]:[OVO BRANCO JUMBO]])</f>
        <v>29.416666666666668</v>
      </c>
    </row>
    <row r="167" spans="1:50" x14ac:dyDescent="0.25">
      <c r="A167" s="250" t="s">
        <v>20</v>
      </c>
      <c r="B167" s="251" t="s">
        <v>10</v>
      </c>
      <c r="C167" s="252">
        <v>7</v>
      </c>
      <c r="D167" s="253">
        <v>19</v>
      </c>
      <c r="E167" s="253">
        <v>133</v>
      </c>
      <c r="F167" s="255">
        <v>46198</v>
      </c>
      <c r="G167" s="256" t="s">
        <v>294</v>
      </c>
      <c r="H167" s="256" t="s">
        <v>148</v>
      </c>
      <c r="I167" s="153">
        <v>25.08</v>
      </c>
      <c r="J167" s="12">
        <v>0.18859649122807021</v>
      </c>
      <c r="Z167" s="116">
        <f t="shared" si="7"/>
        <v>46067</v>
      </c>
      <c r="AA16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9.1428571428571423</v>
      </c>
      <c r="AB16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10.285714285714286</v>
      </c>
      <c r="AC16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6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7.2857142857142856</v>
      </c>
      <c r="AE16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</v>
      </c>
      <c r="AF16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6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40.703897200453845</v>
      </c>
      <c r="AH167" s="116">
        <f t="shared" si="8"/>
        <v>46067</v>
      </c>
      <c r="AI167" s="1" t="str" cm="1">
        <f t="array" ref="AI167">IFERROR(_xlfn.IFS(AQ167="","Sem Produto",AND(AQ167/(AA167/12)&gt;0,AQ167/(AA167/12)&lt;=2),"Acabando",AND(AQ167/(AA167/12)&gt;2,AQ167/(AA167/12)&lt;=3),"Fazer Pedido",AND(AQ167/(AA167/12)&gt;3,AQ167/(AA167/12)&lt;=7),"OK",AND(AQ167/(AA167/12)&gt;7,AQ167/(AA167/12)&lt;=14),"Abaixar Preço",AND(AQ167/(AA167/12)&gt;14,AQ167/(AA167/12)&lt;=20),"Estabilizando",AQ167/(AA167/12)&gt;20,"Instavel"),"Instavel")</f>
        <v>Abaixar Preço</v>
      </c>
      <c r="AJ167" s="1" t="str" cm="1">
        <f t="array" ref="AJ167">IFERROR(_xlfn.IFS(AR167="","Sem Produto",AND(AR167/(AB167/12)&gt;0,AR167/(AB167/12)&lt;=2),"Acabando",AND(AR167/(AB167/12)&gt;2,AR167/(AB167/12)&lt;=3),"Fazer Pedido",AND(AR167/(AB167/12)&gt;3,AR167/(AB167/12)&lt;=7),"OK",AND(AR167/(AB167/12)&gt;7,AR167/(AB167/12)&lt;=14),"Abaixar Preço",AND(AR167/(AB167/12)&gt;14,AR167/(AB167/12)&lt;=20),"Estabilizando",AR167/(AB167/12)&gt;20,"Instavel"),"Instavel")</f>
        <v>Abaixar Preço</v>
      </c>
      <c r="AK167" s="1" t="str" cm="1">
        <f t="array" ref="AK167">IFERROR(_xlfn.IFS(AS167="","Sem Produto",AND(AS167/(AC167/12)&gt;0,AS167/(AC167/12)&lt;=2),"Acabando",AND(AS167/(AC167/12)&gt;2,AS167/(AC167/12)&lt;=3),"Fazer Pedido",AND(AS167/(AC167/12)&gt;3,AS167/(AC167/12)&lt;=7),"OK",AND(AS167/(AC167/12)&gt;7,AS167/(AC167/12)&lt;=14),"Abaixar Preço",AND(AS167/(AC167/12)&gt;14,AS167/(AC167/12)&lt;=20),"Estabilizando",AS167/(AC167/12)&gt;20,"Instavel"),"Instavel")</f>
        <v>Fazer Pedido</v>
      </c>
      <c r="AL167" s="1" t="str" cm="1">
        <f t="array" ref="AL167">IFERROR(_xlfn.IFS(AT167="","Sem Produto",AND(AT167/(AD167/12)&gt;0,AT167/(AD167/12)&lt;=2),"Acabando",AND(AT167/(AD167/12)&gt;2,AT167/(AD167/12)&lt;=3),"Fazer Pedido",AND(AT167/(AD167/12)&gt;3,AT167/(AD167/12)&lt;=7),"OK",AND(AT167/(AD167/12)&gt;7,AT167/(AD167/12)&lt;=14),"Abaixar Preço",AND(AT167/(AD167/12)&gt;14,AT167/(AD167/12)&lt;=20),"Estabilizando",AT167/(AD167/12)&gt;20,"Instavel"),"Instavel")</f>
        <v>Abaixar Preço</v>
      </c>
      <c r="AM167" s="1" t="str" cm="1">
        <f t="array" ref="AM167">IFERROR(_xlfn.IFS(AU167="","Sem Produto",AND(AU167/(AE167/12)&gt;0,AU167/(AE167/12)&lt;=2),"Acabando",AND(AU167/(AE167/12)&gt;2,AU167/(AE167/12)&lt;=3),"Fazer Pedido",AND(AU167/(AE167/12)&gt;3,AU167/(AE167/12)&lt;=7),"OK",AND(AU167/(AE167/12)&gt;7,AU167/(AE167/12)&lt;=14),"Abaixar Preço",AND(AU167/(AE167/12)&gt;14,AU167/(AE167/12)&lt;=20),"Estabilizando",AU167/(AE167/12)&gt;20,"Instavel"),"Instavel")</f>
        <v>Abaixar Preço</v>
      </c>
      <c r="AN167" s="1" t="str">
        <f ca="1">IF(SUMIF(vendaAno[data],SituaçãoEstoqueFluxo[[#This Row],[data]],vendaAno[estoque])=0,"Algo errado",IF(AND(AX167/AW167&gt;0,AX167/AW167&lt;=1),"Alerta",IF(AND(AX167/AW167&gt;1,AX167/AW167&lt;=1.5),"Fazer pedido",IF(AND(AX167/AW167&gt;1.5,AX167/AW167&lt;=2),"Ok",IF(AND(AX167/AW167&gt;2,AX167/AW167&lt;=2.5),"Estabilizando",IF(AND(AX167/AW167&gt;2.5,AX167/AW167&lt;=3),"Cheio","Abaixar preço"))))))</f>
        <v>Abaixar preço</v>
      </c>
      <c r="AO167" s="82">
        <f>SUMIFS(estoque[quantidade],estoque[fornecedor],"&lt;&gt;saída",estoque[data],SituaçãoEstoqueFluxo[[#This Row],[data]])-SUMIFS(estoque[quantidade],estoque[fornecedor],"saída",estoque[data],SituaçãoEstoqueFluxo[[#This Row],[data]])</f>
        <v>-22</v>
      </c>
      <c r="AP167" s="116">
        <f t="shared" si="9"/>
        <v>46067</v>
      </c>
      <c r="AQ16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6.25</v>
      </c>
      <c r="AR16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</v>
      </c>
      <c r="AS16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7.5</v>
      </c>
      <c r="AU16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5.5</v>
      </c>
      <c r="AV167" s="82" cm="1">
        <f t="array" aca="1" ref="AV1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167" s="82" cm="1">
        <f t="array" aca="1" ref="AW1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67" s="82">
        <f>SUM(FluxoEstoqueDateTime[[#This Row],[OVO BRANCO A]:[OVO BRANCO JUMBO]])</f>
        <v>30.833333333333332</v>
      </c>
    </row>
    <row r="168" spans="1:50" x14ac:dyDescent="0.25">
      <c r="A168" s="4" t="s">
        <v>20</v>
      </c>
      <c r="B168" s="55" t="s">
        <v>13</v>
      </c>
      <c r="C168" s="5">
        <v>8</v>
      </c>
      <c r="D168" s="56">
        <v>20</v>
      </c>
      <c r="E168" s="56">
        <v>160</v>
      </c>
      <c r="F168" s="157">
        <v>46197</v>
      </c>
      <c r="G168" s="4" t="s">
        <v>32</v>
      </c>
      <c r="H168" s="4" t="s">
        <v>148</v>
      </c>
      <c r="I168" s="153">
        <v>33.33</v>
      </c>
      <c r="J168" s="12">
        <v>0.20833333333333331</v>
      </c>
      <c r="Z168" s="116">
        <f t="shared" si="7"/>
        <v>46066</v>
      </c>
      <c r="AA16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6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10.285714285714286</v>
      </c>
      <c r="AC16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6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9.2857142857142865</v>
      </c>
      <c r="AE16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9.1428571428571423</v>
      </c>
      <c r="AF16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40.714285714285715</v>
      </c>
      <c r="AG16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42.205898686807423</v>
      </c>
      <c r="AH168" s="116">
        <f t="shared" si="8"/>
        <v>46066</v>
      </c>
      <c r="AI168" s="1" t="str" cm="1">
        <f t="array" ref="AI168">IFERROR(_xlfn.IFS(AQ168="","Sem Produto",AND(AQ168/(AA168/12)&gt;0,AQ168/(AA168/12)&lt;=2),"Acabando",AND(AQ168/(AA168/12)&gt;2,AQ168/(AA168/12)&lt;=3),"Fazer Pedido",AND(AQ168/(AA168/12)&gt;3,AQ168/(AA168/12)&lt;=7),"OK",AND(AQ168/(AA168/12)&gt;7,AQ168/(AA168/12)&lt;=14),"Abaixar Preço",AND(AQ168/(AA168/12)&gt;14,AQ168/(AA168/12)&lt;=20),"Estabilizando",AQ168/(AA168/12)&gt;20,"Instavel"),"Instavel")</f>
        <v>Abaixar Preço</v>
      </c>
      <c r="AJ168" s="1" t="str" cm="1">
        <f t="array" ref="AJ168">IFERROR(_xlfn.IFS(AR168="","Sem Produto",AND(AR168/(AB168/12)&gt;0,AR168/(AB168/12)&lt;=2),"Acabando",AND(AR168/(AB168/12)&gt;2,AR168/(AB168/12)&lt;=3),"Fazer Pedido",AND(AR168/(AB168/12)&gt;3,AR168/(AB168/12)&lt;=7),"OK",AND(AR168/(AB168/12)&gt;7,AR168/(AB168/12)&lt;=14),"Abaixar Preço",AND(AR168/(AB168/12)&gt;14,AR168/(AB168/12)&lt;=20),"Estabilizando",AR168/(AB168/12)&gt;20,"Instavel"),"Instavel")</f>
        <v>Estabilizando</v>
      </c>
      <c r="AK168" s="1" t="str" cm="1">
        <f t="array" ref="AK168">IFERROR(_xlfn.IFS(AS168="","Sem Produto",AND(AS168/(AC168/12)&gt;0,AS168/(AC168/12)&lt;=2),"Acabando",AND(AS168/(AC168/12)&gt;2,AS168/(AC168/12)&lt;=3),"Fazer Pedido",AND(AS168/(AC168/12)&gt;3,AS168/(AC168/12)&lt;=7),"OK",AND(AS168/(AC168/12)&gt;7,AS168/(AC168/12)&lt;=14),"Abaixar Preço",AND(AS168/(AC168/12)&gt;14,AS168/(AC168/12)&lt;=20),"Estabilizando",AS168/(AC168/12)&gt;20,"Instavel"),"Instavel")</f>
        <v>Fazer Pedido</v>
      </c>
      <c r="AL168" s="1" t="str" cm="1">
        <f t="array" ref="AL168">IFERROR(_xlfn.IFS(AT168="","Sem Produto",AND(AT168/(AD168/12)&gt;0,AT168/(AD168/12)&lt;=2),"Acabando",AND(AT168/(AD168/12)&gt;2,AT168/(AD168/12)&lt;=3),"Fazer Pedido",AND(AT168/(AD168/12)&gt;3,AT168/(AD168/12)&lt;=7),"OK",AND(AT168/(AD168/12)&gt;7,AT168/(AD168/12)&lt;=14),"Abaixar Preço",AND(AT168/(AD168/12)&gt;14,AT168/(AD168/12)&lt;=20),"Estabilizando",AT168/(AD168/12)&gt;20,"Instavel"),"Instavel")</f>
        <v>Abaixar Preço</v>
      </c>
      <c r="AM168" s="1" t="str" cm="1">
        <f t="array" ref="AM168">IFERROR(_xlfn.IFS(AU168="","Sem Produto",AND(AU168/(AE168/12)&gt;0,AU168/(AE168/12)&lt;=2),"Acabando",AND(AU168/(AE168/12)&gt;2,AU168/(AE168/12)&lt;=3),"Fazer Pedido",AND(AU168/(AE168/12)&gt;3,AU168/(AE168/12)&lt;=7),"OK",AND(AU168/(AE168/12)&gt;7,AU168/(AE168/12)&lt;=14),"Abaixar Preço",AND(AU168/(AE168/12)&gt;14,AU168/(AE168/12)&lt;=20),"Estabilizando",AU168/(AE168/12)&gt;20,"Instavel"),"Instavel")</f>
        <v>Abaixar Preço</v>
      </c>
      <c r="AN168" s="1" t="str">
        <f ca="1">IF(SUMIF(vendaAno[data],SituaçãoEstoqueFluxo[[#This Row],[data]],vendaAno[estoque])=0,"Algo errado",IF(AND(AX168/AW168&gt;0,AX168/AW168&lt;=1),"Alerta",IF(AND(AX168/AW168&gt;1,AX168/AW168&lt;=1.5),"Fazer pedido",IF(AND(AX168/AW168&gt;1.5,AX168/AW168&lt;=2),"Ok",IF(AND(AX168/AW168&gt;2,AX168/AW168&lt;=2.5),"Estabilizando",IF(AND(AX168/AW168&gt;2.5,AX168/AW168&lt;=3),"Cheio","Abaixar preço"))))))</f>
        <v>Abaixar preço</v>
      </c>
      <c r="AO168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68" s="116">
        <f t="shared" si="9"/>
        <v>46066</v>
      </c>
      <c r="AQ16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6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12.166666666666666</v>
      </c>
      <c r="AS16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0.58333333333333337</v>
      </c>
      <c r="AT16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7.75</v>
      </c>
      <c r="AU16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5.75</v>
      </c>
      <c r="AV168" s="82" cm="1">
        <f t="array" aca="1" ref="AV1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30.535714285714288</v>
      </c>
      <c r="AW168" s="82" cm="1">
        <f t="array" aca="1" ref="AW1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10.178571428571429</v>
      </c>
      <c r="AX168" s="82">
        <f>SUM(FluxoEstoqueDateTime[[#This Row],[OVO BRANCO A]:[OVO BRANCO JUMBO]])</f>
        <v>32.666666666666664</v>
      </c>
    </row>
    <row r="169" spans="1:50" x14ac:dyDescent="0.25">
      <c r="A169" s="4" t="s">
        <v>20</v>
      </c>
      <c r="B169" s="55" t="s">
        <v>14</v>
      </c>
      <c r="C169" s="5">
        <v>3</v>
      </c>
      <c r="D169" s="56">
        <v>22</v>
      </c>
      <c r="E169" s="56">
        <v>66</v>
      </c>
      <c r="F169" s="157">
        <v>46197</v>
      </c>
      <c r="G169" s="4" t="s">
        <v>32</v>
      </c>
      <c r="H169" s="4" t="s">
        <v>148</v>
      </c>
      <c r="I169" s="153">
        <v>17.149999999999999</v>
      </c>
      <c r="J169" s="12">
        <v>0.25984848484848494</v>
      </c>
      <c r="Z169" s="116">
        <f t="shared" si="7"/>
        <v>46065</v>
      </c>
      <c r="AA16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16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9.7142857142857135</v>
      </c>
      <c r="AC16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6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6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8.7142857142857135</v>
      </c>
      <c r="AF16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41.714285714285715</v>
      </c>
      <c r="AG16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43.579875491875967</v>
      </c>
      <c r="AH169" s="116">
        <f t="shared" si="8"/>
        <v>46065</v>
      </c>
      <c r="AI169" s="1" t="str" cm="1">
        <f t="array" ref="AI169">IFERROR(_xlfn.IFS(AQ169="","Sem Produto",AND(AQ169/(AA169/12)&gt;0,AQ169/(AA169/12)&lt;=2),"Acabando",AND(AQ169/(AA169/12)&gt;2,AQ169/(AA169/12)&lt;=3),"Fazer Pedido",AND(AQ169/(AA169/12)&gt;3,AQ169/(AA169/12)&lt;=7),"OK",AND(AQ169/(AA169/12)&gt;7,AQ169/(AA169/12)&lt;=14),"Abaixar Preço",AND(AQ169/(AA169/12)&gt;14,AQ169/(AA169/12)&lt;=20),"Estabilizando",AQ169/(AA169/12)&gt;20,"Instavel"),"Instavel")</f>
        <v>Abaixar Preço</v>
      </c>
      <c r="AJ169" s="1" t="str" cm="1">
        <f t="array" ref="AJ169">IFERROR(_xlfn.IFS(AR169="","Sem Produto",AND(AR169/(AB169/12)&gt;0,AR169/(AB169/12)&lt;=2),"Acabando",AND(AR169/(AB169/12)&gt;2,AR169/(AB169/12)&lt;=3),"Fazer Pedido",AND(AR169/(AB169/12)&gt;3,AR169/(AB169/12)&lt;=7),"OK",AND(AR169/(AB169/12)&gt;7,AR169/(AB169/12)&lt;=14),"Abaixar Preço",AND(AR169/(AB169/12)&gt;14,AR169/(AB169/12)&lt;=20),"Estabilizando",AR169/(AB169/12)&gt;20,"Instavel"),"Instavel")</f>
        <v>Estabilizando</v>
      </c>
      <c r="AK169" s="1" t="str" cm="1">
        <f t="array" ref="AK169">IFERROR(_xlfn.IFS(AS169="","Sem Produto",AND(AS169/(AC169/12)&gt;0,AS169/(AC169/12)&lt;=2),"Acabando",AND(AS169/(AC169/12)&gt;2,AS169/(AC169/12)&lt;=3),"Fazer Pedido",AND(AS169/(AC169/12)&gt;3,AS169/(AC169/12)&lt;=7),"OK",AND(AS169/(AC169/12)&gt;7,AS169/(AC169/12)&lt;=14),"Abaixar Preço",AND(AS169/(AC169/12)&gt;14,AS169/(AC169/12)&lt;=20),"Estabilizando",AS169/(AC169/12)&gt;20,"Instavel"),"Instavel")</f>
        <v>OK</v>
      </c>
      <c r="AL169" s="1" t="str" cm="1">
        <f t="array" ref="AL169">IFERROR(_xlfn.IFS(AT169="","Sem Produto",AND(AT169/(AD169/12)&gt;0,AT169/(AD169/12)&lt;=2),"Acabando",AND(AT169/(AD169/12)&gt;2,AT169/(AD169/12)&lt;=3),"Fazer Pedido",AND(AT169/(AD169/12)&gt;3,AT169/(AD169/12)&lt;=7),"OK",AND(AT169/(AD169/12)&gt;7,AT169/(AD169/12)&lt;=14),"Abaixar Preço",AND(AT169/(AD169/12)&gt;14,AT169/(AD169/12)&lt;=20),"Estabilizando",AT169/(AD169/12)&gt;20,"Instavel"),"Instavel")</f>
        <v>Abaixar Preço</v>
      </c>
      <c r="AM169" s="1" t="str" cm="1">
        <f t="array" ref="AM169">IFERROR(_xlfn.IFS(AU169="","Sem Produto",AND(AU169/(AE169/12)&gt;0,AU169/(AE169/12)&lt;=2),"Acabando",AND(AU169/(AE169/12)&gt;2,AU169/(AE169/12)&lt;=3),"Fazer Pedido",AND(AU169/(AE169/12)&gt;3,AU169/(AE169/12)&lt;=7),"OK",AND(AU169/(AE169/12)&gt;7,AU169/(AE169/12)&lt;=14),"Abaixar Preço",AND(AU169/(AE169/12)&gt;14,AU169/(AE169/12)&lt;=20),"Estabilizando",AU169/(AE169/12)&gt;20,"Instavel"),"Instavel")</f>
        <v>Abaixar Preço</v>
      </c>
      <c r="AN169" s="1" t="str">
        <f ca="1">IF(SUMIF(vendaAno[data],SituaçãoEstoqueFluxo[[#This Row],[data]],vendaAno[estoque])=0,"Algo errado",IF(AND(AX169/AW169&gt;0,AX169/AW169&lt;=1),"Alerta",IF(AND(AX169/AW169&gt;1,AX169/AW169&lt;=1.5),"Fazer pedido",IF(AND(AX169/AW169&gt;1.5,AX169/AW169&lt;=2),"Ok",IF(AND(AX169/AW169&gt;2,AX169/AW169&lt;=2.5),"Estabilizando",IF(AND(AX169/AW169&gt;2.5,AX169/AW169&lt;=3),"Cheio","Abaixar preço"))))))</f>
        <v>Abaixar preço</v>
      </c>
      <c r="AO169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69" s="116">
        <f t="shared" si="9"/>
        <v>46065</v>
      </c>
      <c r="AQ16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6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12.75</v>
      </c>
      <c r="AS16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0.83333333333333337</v>
      </c>
      <c r="AT16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16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6.583333333333333</v>
      </c>
      <c r="AV169" s="82" cm="1">
        <f t="array" aca="1" ref="AV1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31.285714285714288</v>
      </c>
      <c r="AW169" s="82" cm="1">
        <f t="array" aca="1" ref="AW1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10.428571428571429</v>
      </c>
      <c r="AX169" s="82">
        <f>SUM(FluxoEstoqueDateTime[[#This Row],[OVO BRANCO A]:[OVO BRANCO JUMBO]])</f>
        <v>35.25</v>
      </c>
    </row>
    <row r="170" spans="1:50" x14ac:dyDescent="0.25">
      <c r="A170" s="4" t="s">
        <v>20</v>
      </c>
      <c r="B170" s="55" t="s">
        <v>11</v>
      </c>
      <c r="C170" s="5">
        <v>2</v>
      </c>
      <c r="D170" s="56">
        <v>16</v>
      </c>
      <c r="E170" s="56">
        <v>32</v>
      </c>
      <c r="F170" s="157">
        <v>46197</v>
      </c>
      <c r="G170" s="4" t="s">
        <v>32</v>
      </c>
      <c r="H170" s="4" t="s">
        <v>148</v>
      </c>
      <c r="I170" s="153">
        <v>2.59</v>
      </c>
      <c r="J170" s="12">
        <v>8.0991124260355263E-2</v>
      </c>
      <c r="Z170" s="116">
        <f t="shared" si="7"/>
        <v>46064</v>
      </c>
      <c r="AA17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10.571428571428571</v>
      </c>
      <c r="AB17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9.5714285714285712</v>
      </c>
      <c r="AC17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7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17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7.8571428571428568</v>
      </c>
      <c r="AF17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41.714285714285715</v>
      </c>
      <c r="AG17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43.23219243023464</v>
      </c>
      <c r="AH170" s="116">
        <f t="shared" si="8"/>
        <v>46064</v>
      </c>
      <c r="AI170" s="1" t="str" cm="1">
        <f t="array" ref="AI170">IFERROR(_xlfn.IFS(AQ170="","Sem Produto",AND(AQ170/(AA170/12)&gt;0,AQ170/(AA170/12)&lt;=2),"Acabando",AND(AQ170/(AA170/12)&gt;2,AQ170/(AA170/12)&lt;=3),"Fazer Pedido",AND(AQ170/(AA170/12)&gt;3,AQ170/(AA170/12)&lt;=7),"OK",AND(AQ170/(AA170/12)&gt;7,AQ170/(AA170/12)&lt;=14),"Abaixar Preço",AND(AQ170/(AA170/12)&gt;14,AQ170/(AA170/12)&lt;=20),"Estabilizando",AQ170/(AA170/12)&gt;20,"Instavel"),"Instavel")</f>
        <v>Abaixar Preço</v>
      </c>
      <c r="AJ170" s="1" t="str" cm="1">
        <f t="array" ref="AJ170">IFERROR(_xlfn.IFS(AR170="","Sem Produto",AND(AR170/(AB170/12)&gt;0,AR170/(AB170/12)&lt;=2),"Acabando",AND(AR170/(AB170/12)&gt;2,AR170/(AB170/12)&lt;=3),"Fazer Pedido",AND(AR170/(AB170/12)&gt;3,AR170/(AB170/12)&lt;=7),"OK",AND(AR170/(AB170/12)&gt;7,AR170/(AB170/12)&lt;=14),"Abaixar Preço",AND(AR170/(AB170/12)&gt;14,AR170/(AB170/12)&lt;=20),"Estabilizando",AR170/(AB170/12)&gt;20,"Instavel"),"Instavel")</f>
        <v>Estabilizando</v>
      </c>
      <c r="AK170" s="1" t="str" cm="1">
        <f t="array" ref="AK170">IFERROR(_xlfn.IFS(AS170="","Sem Produto",AND(AS170/(AC170/12)&gt;0,AS170/(AC170/12)&lt;=2),"Acabando",AND(AS170/(AC170/12)&gt;2,AS170/(AC170/12)&lt;=3),"Fazer Pedido",AND(AS170/(AC170/12)&gt;3,AS170/(AC170/12)&lt;=7),"OK",AND(AS170/(AC170/12)&gt;7,AS170/(AC170/12)&lt;=14),"Abaixar Preço",AND(AS170/(AC170/12)&gt;14,AS170/(AC170/12)&lt;=20),"Estabilizando",AS170/(AC170/12)&gt;20,"Instavel"),"Instavel")</f>
        <v>OK</v>
      </c>
      <c r="AL170" s="1" t="str" cm="1">
        <f t="array" ref="AL170">IFERROR(_xlfn.IFS(AT170="","Sem Produto",AND(AT170/(AD170/12)&gt;0,AT170/(AD170/12)&lt;=2),"Acabando",AND(AT170/(AD170/12)&gt;2,AT170/(AD170/12)&lt;=3),"Fazer Pedido",AND(AT170/(AD170/12)&gt;3,AT170/(AD170/12)&lt;=7),"OK",AND(AT170/(AD170/12)&gt;7,AT170/(AD170/12)&lt;=14),"Abaixar Preço",AND(AT170/(AD170/12)&gt;14,AT170/(AD170/12)&lt;=20),"Estabilizando",AT170/(AD170/12)&gt;20,"Instavel"),"Instavel")</f>
        <v>Abaixar Preço</v>
      </c>
      <c r="AM170" s="1" t="str" cm="1">
        <f t="array" ref="AM170">IFERROR(_xlfn.IFS(AU170="","Sem Produto",AND(AU170/(AE170/12)&gt;0,AU170/(AE170/12)&lt;=2),"Acabando",AND(AU170/(AE170/12)&gt;2,AU170/(AE170/12)&lt;=3),"Fazer Pedido",AND(AU170/(AE170/12)&gt;3,AU170/(AE170/12)&lt;=7),"OK",AND(AU170/(AE170/12)&gt;7,AU170/(AE170/12)&lt;=14),"Abaixar Preço",AND(AU170/(AE170/12)&gt;14,AU170/(AE170/12)&lt;=20),"Estabilizando",AU170/(AE170/12)&gt;20,"Instavel"),"Instavel")</f>
        <v>Abaixar Preço</v>
      </c>
      <c r="AN170" s="1" t="str">
        <f ca="1">IF(SUMIF(vendaAno[data],SituaçãoEstoqueFluxo[[#This Row],[data]],vendaAno[estoque])=0,"Algo errado",IF(AND(AX170/AW170&gt;0,AX170/AW170&lt;=1),"Alerta",IF(AND(AX170/AW170&gt;1,AX170/AW170&lt;=1.5),"Fazer pedido",IF(AND(AX170/AW170&gt;1.5,AX170/AW170&lt;=2),"Ok",IF(AND(AX170/AW170&gt;2,AX170/AW170&lt;=2.5),"Estabilizando",IF(AND(AX170/AW170&gt;2.5,AX170/AW170&lt;=3),"Cheio","Abaixar preço"))))))</f>
        <v>Abaixar preço</v>
      </c>
      <c r="AO170" s="82">
        <f>SUMIFS(estoque[quantidade],estoque[fornecedor],"&lt;&gt;saída",estoque[data],SituaçãoEstoqueFluxo[[#This Row],[data]])-SUMIFS(estoque[quantidade],estoque[fornecedor],"saída",estoque[data],SituaçãoEstoqueFluxo[[#This Row],[data]])</f>
        <v>-46</v>
      </c>
      <c r="AP170" s="116">
        <f t="shared" si="9"/>
        <v>46064</v>
      </c>
      <c r="AQ17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6.75</v>
      </c>
      <c r="AR17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13.166666666666666</v>
      </c>
      <c r="AS17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0.91666666666666663</v>
      </c>
      <c r="AT17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9.3333333333333339</v>
      </c>
      <c r="AU17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</v>
      </c>
      <c r="AV170" s="82" cm="1">
        <f t="array" aca="1" ref="AV1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31.285714285714281</v>
      </c>
      <c r="AW170" s="82" cm="1">
        <f t="array" aca="1" ref="AW1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10.428571428571429</v>
      </c>
      <c r="AX170" s="82">
        <f>SUM(FluxoEstoqueDateTime[[#This Row],[OVO BRANCO A]:[OVO BRANCO JUMBO]])</f>
        <v>37.666666666666664</v>
      </c>
    </row>
    <row r="171" spans="1:50" x14ac:dyDescent="0.25">
      <c r="A171" s="4" t="s">
        <v>20</v>
      </c>
      <c r="B171" s="55" t="s">
        <v>10</v>
      </c>
      <c r="C171" s="5">
        <v>14</v>
      </c>
      <c r="D171" s="56">
        <v>19</v>
      </c>
      <c r="E171" s="56">
        <v>260</v>
      </c>
      <c r="F171" s="157">
        <v>46197</v>
      </c>
      <c r="G171" s="4" t="s">
        <v>32</v>
      </c>
      <c r="H171" s="4" t="s">
        <v>148</v>
      </c>
      <c r="I171" s="153">
        <v>44.17</v>
      </c>
      <c r="J171" s="12">
        <v>0.16987179487179499</v>
      </c>
      <c r="Z171" s="116">
        <f t="shared" si="7"/>
        <v>46063</v>
      </c>
      <c r="AA17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8.7142857142857135</v>
      </c>
      <c r="AB17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8.5714285714285712</v>
      </c>
      <c r="AC17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2.2857142857142856</v>
      </c>
      <c r="AD17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11.857142857142858</v>
      </c>
      <c r="AE17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7</v>
      </c>
      <c r="AF17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38.428571428571431</v>
      </c>
      <c r="AG17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41.726644651470799</v>
      </c>
      <c r="AH171" s="116">
        <f t="shared" si="8"/>
        <v>46063</v>
      </c>
      <c r="AI171" s="1" t="str" cm="1">
        <f t="array" ref="AI171">IFERROR(_xlfn.IFS(AQ171="","Sem Produto",AND(AQ171/(AA171/12)&gt;0,AQ171/(AA171/12)&lt;=2),"Acabando",AND(AQ171/(AA171/12)&gt;2,AQ171/(AA171/12)&lt;=3),"Fazer Pedido",AND(AQ171/(AA171/12)&gt;3,AQ171/(AA171/12)&lt;=7),"OK",AND(AQ171/(AA171/12)&gt;7,AQ171/(AA171/12)&lt;=14),"Abaixar Preço",AND(AQ171/(AA171/12)&gt;14,AQ171/(AA171/12)&lt;=20),"Estabilizando",AQ171/(AA171/12)&gt;20,"Instavel"),"Instavel")</f>
        <v>Abaixar Preço</v>
      </c>
      <c r="AJ171" s="1" t="str" cm="1">
        <f t="array" ref="AJ171">IFERROR(_xlfn.IFS(AR171="","Sem Produto",AND(AR171/(AB171/12)&gt;0,AR171/(AB171/12)&lt;=2),"Acabando",AND(AR171/(AB171/12)&gt;2,AR171/(AB171/12)&lt;=3),"Fazer Pedido",AND(AR171/(AB171/12)&gt;3,AR171/(AB171/12)&lt;=7),"OK",AND(AR171/(AB171/12)&gt;7,AR171/(AB171/12)&lt;=14),"Abaixar Preço",AND(AR171/(AB171/12)&gt;14,AR171/(AB171/12)&lt;=20),"Estabilizando",AR171/(AB171/12)&gt;20,"Instavel"),"Instavel")</f>
        <v>Estabilizando</v>
      </c>
      <c r="AK171" s="1" t="str" cm="1">
        <f t="array" ref="AK171">IFERROR(_xlfn.IFS(AS171="","Sem Produto",AND(AS171/(AC171/12)&gt;0,AS171/(AC171/12)&lt;=2),"Acabando",AND(AS171/(AC171/12)&gt;2,AS171/(AC171/12)&lt;=3),"Fazer Pedido",AND(AS171/(AC171/12)&gt;3,AS171/(AC171/12)&lt;=7),"OK",AND(AS171/(AC171/12)&gt;7,AS171/(AC171/12)&lt;=14),"Abaixar Preço",AND(AS171/(AC171/12)&gt;14,AS171/(AC171/12)&lt;=20),"Estabilizando",AS171/(AC171/12)&gt;20,"Instavel"),"Instavel")</f>
        <v>OK</v>
      </c>
      <c r="AL171" s="1" t="str" cm="1">
        <f t="array" ref="AL171">IFERROR(_xlfn.IFS(AT171="","Sem Produto",AND(AT171/(AD171/12)&gt;0,AT171/(AD171/12)&lt;=2),"Acabando",AND(AT171/(AD171/12)&gt;2,AT171/(AD171/12)&lt;=3),"Fazer Pedido",AND(AT171/(AD171/12)&gt;3,AT171/(AD171/12)&lt;=7),"OK",AND(AT171/(AD171/12)&gt;7,AT171/(AD171/12)&lt;=14),"Abaixar Preço",AND(AT171/(AD171/12)&gt;14,AT171/(AD171/12)&lt;=20),"Estabilizando",AT171/(AD171/12)&gt;20,"Instavel"),"Instavel")</f>
        <v>Abaixar Preço</v>
      </c>
      <c r="AM171" s="1" t="str" cm="1">
        <f t="array" ref="AM171">IFERROR(_xlfn.IFS(AU171="","Sem Produto",AND(AU171/(AE171/12)&gt;0,AU171/(AE171/12)&lt;=2),"Acabando",AND(AU171/(AE171/12)&gt;2,AU171/(AE171/12)&lt;=3),"Fazer Pedido",AND(AU171/(AE171/12)&gt;3,AU171/(AE171/12)&lt;=7),"OK",AND(AU171/(AE171/12)&gt;7,AU171/(AE171/12)&lt;=14),"Abaixar Preço",AND(AU171/(AE171/12)&gt;14,AU171/(AE171/12)&lt;=20),"Estabilizando",AU171/(AE171/12)&gt;20,"Instavel"),"Instavel")</f>
        <v>Estabilizando</v>
      </c>
      <c r="AN171" s="1" t="str">
        <f ca="1">IF(SUMIF(vendaAno[data],SituaçãoEstoqueFluxo[[#This Row],[data]],vendaAno[estoque])=0,"Algo errado",IF(AND(AX171/AW171&gt;0,AX171/AW171&lt;=1),"Alerta",IF(AND(AX171/AW171&gt;1,AX171/AW171&lt;=1.5),"Fazer pedido",IF(AND(AX171/AW171&gt;1.5,AX171/AW171&lt;=2),"Ok",IF(AND(AX171/AW171&gt;2,AX171/AW171&lt;=2.5),"Estabilizando",IF(AND(AX171/AW171&gt;2.5,AX171/AW171&lt;=3),"Cheio","Abaixar preço"))))))</f>
        <v>Abaixar preço</v>
      </c>
      <c r="AO171" s="82">
        <f>SUMIFS(estoque[quantidade],estoque[fornecedor],"&lt;&gt;saída",estoque[data],SituaçãoEstoqueFluxo[[#This Row],[data]])-SUMIFS(estoque[quantidade],estoque[fornecedor],"saída",estoque[data],SituaçãoEstoqueFluxo[[#This Row],[data]])</f>
        <v>144</v>
      </c>
      <c r="AP171" s="116">
        <f t="shared" si="9"/>
        <v>46063</v>
      </c>
      <c r="AQ17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8.4166666666666661</v>
      </c>
      <c r="AR17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13.916666666666666</v>
      </c>
      <c r="AS17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1.0833333333333333</v>
      </c>
      <c r="AT17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9.5</v>
      </c>
      <c r="AU17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8.5833333333333339</v>
      </c>
      <c r="AV171" s="82" cm="1">
        <f t="array" aca="1" ref="AV1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28.821428571428569</v>
      </c>
      <c r="AW171" s="82" cm="1">
        <f t="array" aca="1" ref="AW1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9.6071428571428577</v>
      </c>
      <c r="AX171" s="82">
        <f>SUM(FluxoEstoqueDateTime[[#This Row],[OVO BRANCO A]:[OVO BRANCO JUMBO]])</f>
        <v>41.5</v>
      </c>
    </row>
    <row r="172" spans="1:50" x14ac:dyDescent="0.25">
      <c r="A172" s="4" t="s">
        <v>20</v>
      </c>
      <c r="B172" s="55" t="s">
        <v>13</v>
      </c>
      <c r="C172" s="5">
        <v>19</v>
      </c>
      <c r="D172" s="56">
        <v>20</v>
      </c>
      <c r="E172" s="56">
        <v>374</v>
      </c>
      <c r="F172" s="157">
        <v>46196</v>
      </c>
      <c r="G172" s="4" t="s">
        <v>290</v>
      </c>
      <c r="H172" s="4" t="s">
        <v>148</v>
      </c>
      <c r="I172" s="153">
        <v>73.17</v>
      </c>
      <c r="J172" s="12">
        <v>0.19563279857397503</v>
      </c>
      <c r="Z172" s="116">
        <f t="shared" si="7"/>
        <v>46062</v>
      </c>
      <c r="AA17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6.4285714285714288</v>
      </c>
      <c r="AB17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10.571428571428571</v>
      </c>
      <c r="AC17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17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11.428571428571429</v>
      </c>
      <c r="AE17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6.8571428571428568</v>
      </c>
      <c r="AF17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7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41.84593127724078</v>
      </c>
      <c r="AH172" s="116">
        <f t="shared" si="8"/>
        <v>46062</v>
      </c>
      <c r="AI172" s="1" t="str" cm="1">
        <f t="array" ref="AI172">IFERROR(_xlfn.IFS(AQ172="","Sem Produto",AND(AQ172/(AA172/12)&gt;0,AQ172/(AA172/12)&lt;=2),"Acabando",AND(AQ172/(AA172/12)&gt;2,AQ172/(AA172/12)&lt;=3),"Fazer Pedido",AND(AQ172/(AA172/12)&gt;3,AQ172/(AA172/12)&lt;=7),"OK",AND(AQ172/(AA172/12)&gt;7,AQ172/(AA172/12)&lt;=14),"Abaixar Preço",AND(AQ172/(AA172/12)&gt;14,AQ172/(AA172/12)&lt;=20),"Estabilizando",AQ172/(AA172/12)&gt;20,"Instavel"),"Instavel")</f>
        <v>Estabilizando</v>
      </c>
      <c r="AJ172" s="1" t="str" cm="1">
        <f t="array" ref="AJ172">IFERROR(_xlfn.IFS(AR172="","Sem Produto",AND(AR172/(AB172/12)&gt;0,AR172/(AB172/12)&lt;=2),"Acabando",AND(AR172/(AB172/12)&gt;2,AR172/(AB172/12)&lt;=3),"Fazer Pedido",AND(AR172/(AB172/12)&gt;3,AR172/(AB172/12)&lt;=7),"OK",AND(AR172/(AB172/12)&gt;7,AR172/(AB172/12)&lt;=14),"Abaixar Preço",AND(AR172/(AB172/12)&gt;14,AR172/(AB172/12)&lt;=20),"Estabilizando",AR172/(AB172/12)&gt;20,"Instavel"),"Instavel")</f>
        <v>OK</v>
      </c>
      <c r="AK172" s="1" t="str" cm="1">
        <f t="array" ref="AK172">IFERROR(_xlfn.IFS(AS172="","Sem Produto",AND(AS172/(AC172/12)&gt;0,AS172/(AC172/12)&lt;=2),"Acabando",AND(AS172/(AC172/12)&gt;2,AS172/(AC172/12)&lt;=3),"Fazer Pedido",AND(AS172/(AC172/12)&gt;3,AS172/(AC172/12)&lt;=7),"OK",AND(AS172/(AC172/12)&gt;7,AS172/(AC172/12)&lt;=14),"Abaixar Preço",AND(AS172/(AC172/12)&gt;14,AS172/(AC172/12)&lt;=20),"Estabilizando",AS172/(AC172/12)&gt;20,"Instavel"),"Instavel")</f>
        <v>OK</v>
      </c>
      <c r="AL172" s="1" t="str" cm="1">
        <f t="array" ref="AL172">IFERROR(_xlfn.IFS(AT172="","Sem Produto",AND(AT172/(AD172/12)&gt;0,AT172/(AD172/12)&lt;=2),"Acabando",AND(AT172/(AD172/12)&gt;2,AT172/(AD172/12)&lt;=3),"Fazer Pedido",AND(AT172/(AD172/12)&gt;3,AT172/(AD172/12)&lt;=7),"OK",AND(AT172/(AD172/12)&gt;7,AT172/(AD172/12)&lt;=14),"Abaixar Preço",AND(AT172/(AD172/12)&gt;14,AT172/(AD172/12)&lt;=20),"Estabilizando",AT172/(AD172/12)&gt;20,"Instavel"),"Instavel")</f>
        <v>Abaixar Preço</v>
      </c>
      <c r="AM172" s="1" t="str" cm="1">
        <f t="array" ref="AM172">IFERROR(_xlfn.IFS(AU172="","Sem Produto",AND(AU172/(AE172/12)&gt;0,AU172/(AE172/12)&lt;=2),"Acabando",AND(AU172/(AE172/12)&gt;2,AU172/(AE172/12)&lt;=3),"Fazer Pedido",AND(AU172/(AE172/12)&gt;3,AU172/(AE172/12)&lt;=7),"OK",AND(AU172/(AE172/12)&gt;7,AU172/(AE172/12)&lt;=14),"Abaixar Preço",AND(AU172/(AE172/12)&gt;14,AU172/(AE172/12)&lt;=20),"Estabilizando",AU172/(AE172/12)&gt;20,"Instavel"),"Instavel")</f>
        <v>OK</v>
      </c>
      <c r="AN172" s="1" t="str">
        <f ca="1">IF(SUMIF(vendaAno[data],SituaçãoEstoqueFluxo[[#This Row],[data]],vendaAno[estoque])=0,"Algo errado",IF(AND(AX172/AW172&gt;0,AX172/AW172&lt;=1),"Alerta",IF(AND(AX172/AW172&gt;1,AX172/AW172&lt;=1.5),"Fazer pedido",IF(AND(AX172/AW172&gt;1.5,AX172/AW172&lt;=2),"Ok",IF(AND(AX172/AW172&gt;2,AX172/AW172&lt;=2.5),"Estabilizando",IF(AND(AX172/AW172&gt;2.5,AX172/AW172&lt;=3),"Cheio","Abaixar preço"))))))</f>
        <v>Abaixar preço</v>
      </c>
      <c r="AO172" s="82">
        <f>SUMIFS(estoque[quantidade],estoque[fornecedor],"&lt;&gt;saída",estoque[data],SituaçãoEstoqueFluxo[[#This Row],[data]])-SUMIFS(estoque[quantidade],estoque[fornecedor],"saída",estoque[data],SituaçãoEstoqueFluxo[[#This Row],[data]])</f>
        <v>-63</v>
      </c>
      <c r="AP172" s="116">
        <f t="shared" si="9"/>
        <v>46062</v>
      </c>
      <c r="AQ17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10.416666666666666</v>
      </c>
      <c r="AR17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4.083333333333333</v>
      </c>
      <c r="AS17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1.25</v>
      </c>
      <c r="AT17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10.166666666666666</v>
      </c>
      <c r="AU17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3.5833333333333335</v>
      </c>
      <c r="AV172" s="82" cm="1">
        <f t="array" aca="1" ref="AV1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172" s="82" cm="1">
        <f t="array" aca="1" ref="AW1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72" s="82">
        <f>SUM(FluxoEstoqueDateTime[[#This Row],[OVO BRANCO A]:[OVO BRANCO JUMBO]])</f>
        <v>29.499999999999996</v>
      </c>
    </row>
    <row r="173" spans="1:50" x14ac:dyDescent="0.25">
      <c r="A173" s="4" t="s">
        <v>20</v>
      </c>
      <c r="B173" s="55" t="s">
        <v>14</v>
      </c>
      <c r="C173" s="5">
        <v>4</v>
      </c>
      <c r="D173" s="56">
        <v>22</v>
      </c>
      <c r="E173" s="56">
        <v>88</v>
      </c>
      <c r="F173" s="157">
        <v>46196</v>
      </c>
      <c r="G173" s="4" t="s">
        <v>290</v>
      </c>
      <c r="H173" s="4" t="s">
        <v>148</v>
      </c>
      <c r="I173" s="153">
        <v>22.87</v>
      </c>
      <c r="J173" s="12">
        <v>0.25984848484848494</v>
      </c>
      <c r="Z173" s="116">
        <f t="shared" si="7"/>
        <v>46061</v>
      </c>
      <c r="AA17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5.8571428571428568</v>
      </c>
      <c r="AB17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9.1428571428571423</v>
      </c>
      <c r="AC17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7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17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</v>
      </c>
      <c r="AF17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33.428571428571431</v>
      </c>
      <c r="AG17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40.691059031261304</v>
      </c>
      <c r="AH173" s="116">
        <f t="shared" si="8"/>
        <v>46061</v>
      </c>
      <c r="AI173" s="1" t="str" cm="1">
        <f t="array" ref="AI173">IFERROR(_xlfn.IFS(AQ173="","Sem Produto",AND(AQ173/(AA173/12)&gt;0,AQ173/(AA173/12)&lt;=2),"Acabando",AND(AQ173/(AA173/12)&gt;2,AQ173/(AA173/12)&lt;=3),"Fazer Pedido",AND(AQ173/(AA173/12)&gt;3,AQ173/(AA173/12)&lt;=7),"OK",AND(AQ173/(AA173/12)&gt;7,AQ173/(AA173/12)&lt;=14),"Abaixar Preço",AND(AQ173/(AA173/12)&gt;14,AQ173/(AA173/12)&lt;=20),"Estabilizando",AQ173/(AA173/12)&gt;20,"Instavel"),"Instavel")</f>
        <v>Instavel</v>
      </c>
      <c r="AJ173" s="1" t="str" cm="1">
        <f t="array" ref="AJ173">IFERROR(_xlfn.IFS(AR173="","Sem Produto",AND(AR173/(AB173/12)&gt;0,AR173/(AB173/12)&lt;=2),"Acabando",AND(AR173/(AB173/12)&gt;2,AR173/(AB173/12)&lt;=3),"Fazer Pedido",AND(AR173/(AB173/12)&gt;3,AR173/(AB173/12)&lt;=7),"OK",AND(AR173/(AB173/12)&gt;7,AR173/(AB173/12)&lt;=14),"Abaixar Preço",AND(AR173/(AB173/12)&gt;14,AR173/(AB173/12)&lt;=20),"Estabilizando",AR173/(AB173/12)&gt;20,"Instavel"),"Instavel")</f>
        <v>Abaixar Preço</v>
      </c>
      <c r="AK173" s="1" t="str" cm="1">
        <f t="array" ref="AK173">IFERROR(_xlfn.IFS(AS173="","Sem Produto",AND(AS173/(AC173/12)&gt;0,AS173/(AC173/12)&lt;=2),"Acabando",AND(AS173/(AC173/12)&gt;2,AS173/(AC173/12)&lt;=3),"Fazer Pedido",AND(AS173/(AC173/12)&gt;3,AS173/(AC173/12)&lt;=7),"OK",AND(AS173/(AC173/12)&gt;7,AS173/(AC173/12)&lt;=14),"Abaixar Preço",AND(AS173/(AC173/12)&gt;14,AS173/(AC173/12)&lt;=20),"Estabilizando",AS173/(AC173/12)&gt;20,"Instavel"),"Instavel")</f>
        <v>Estabilizando</v>
      </c>
      <c r="AL173" s="1" t="str" cm="1">
        <f t="array" ref="AL173">IFERROR(_xlfn.IFS(AT173="","Sem Produto",AND(AT173/(AD173/12)&gt;0,AT173/(AD173/12)&lt;=2),"Acabando",AND(AT173/(AD173/12)&gt;2,AT173/(AD173/12)&lt;=3),"Fazer Pedido",AND(AT173/(AD173/12)&gt;3,AT173/(AD173/12)&lt;=7),"OK",AND(AT173/(AD173/12)&gt;7,AT173/(AD173/12)&lt;=14),"Abaixar Preço",AND(AT173/(AD173/12)&gt;14,AT173/(AD173/12)&lt;=20),"Estabilizando",AT173/(AD173/12)&gt;20,"Instavel"),"Instavel")</f>
        <v>Abaixar Preço</v>
      </c>
      <c r="AM173" s="1" t="str" cm="1">
        <f t="array" ref="AM173">IFERROR(_xlfn.IFS(AU173="","Sem Produto",AND(AU173/(AE173/12)&gt;0,AU173/(AE173/12)&lt;=2),"Acabando",AND(AU173/(AE173/12)&gt;2,AU173/(AE173/12)&lt;=3),"Fazer Pedido",AND(AU173/(AE173/12)&gt;3,AU173/(AE173/12)&lt;=7),"OK",AND(AU173/(AE173/12)&gt;7,AU173/(AE173/12)&lt;=14),"Abaixar Preço",AND(AU173/(AE173/12)&gt;14,AU173/(AE173/12)&lt;=20),"Estabilizando",AU173/(AE173/12)&gt;20,"Instavel"),"Instavel")</f>
        <v>Abaixar Preço</v>
      </c>
      <c r="AN173" s="1" t="str">
        <f ca="1">IF(SUMIF(vendaAno[data],SituaçãoEstoqueFluxo[[#This Row],[data]],vendaAno[estoque])=0,"Algo errado",IF(AND(AX173/AW173&gt;0,AX173/AW173&lt;=1),"Alerta",IF(AND(AX173/AW173&gt;1,AX173/AW173&lt;=1.5),"Fazer pedido",IF(AND(AX173/AW173&gt;1.5,AX173/AW173&lt;=2),"Ok",IF(AND(AX173/AW173&gt;2,AX173/AW173&lt;=2.5),"Estabilizando",IF(AND(AX173/AW173&gt;2.5,AX173/AW173&lt;=3),"Cheio","Abaixar preço"))))))</f>
        <v>Abaixar preço</v>
      </c>
      <c r="AO173" s="82">
        <f>SUMIFS(estoque[quantidade],estoque[fornecedor],"&lt;&gt;saída",estoque[data],SituaçãoEstoqueFluxo[[#This Row],[data]])-SUMIFS(estoque[quantidade],estoque[fornecedor],"saída",estoque[data],SituaçãoEstoqueFluxo[[#This Row],[data]])</f>
        <v>-28</v>
      </c>
      <c r="AP173" s="116">
        <f t="shared" si="9"/>
        <v>46061</v>
      </c>
      <c r="AQ17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11.083333333333334</v>
      </c>
      <c r="AR17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5.916666666666667</v>
      </c>
      <c r="AS17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1.75</v>
      </c>
      <c r="AT17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11.583333333333334</v>
      </c>
      <c r="AU17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4.416666666666667</v>
      </c>
      <c r="AV173" s="82" cm="1">
        <f t="array" aca="1" ref="AV1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25.071428571428573</v>
      </c>
      <c r="AW173" s="82" cm="1">
        <f t="array" aca="1" ref="AW1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8.3571428571428577</v>
      </c>
      <c r="AX173" s="82">
        <f>SUM(FluxoEstoqueDateTime[[#This Row],[OVO BRANCO A]:[OVO BRANCO JUMBO]])</f>
        <v>34.75</v>
      </c>
    </row>
    <row r="174" spans="1:50" x14ac:dyDescent="0.25">
      <c r="A174" s="4" t="s">
        <v>20</v>
      </c>
      <c r="B174" s="55" t="s">
        <v>12</v>
      </c>
      <c r="C174" s="5">
        <v>3</v>
      </c>
      <c r="D174" s="56">
        <v>15</v>
      </c>
      <c r="E174" s="56">
        <v>45</v>
      </c>
      <c r="F174" s="157">
        <v>46196</v>
      </c>
      <c r="G174" s="4" t="s">
        <v>290</v>
      </c>
      <c r="H174" s="4" t="s">
        <v>148</v>
      </c>
      <c r="I174" s="153">
        <v>3.5</v>
      </c>
      <c r="J174" s="12">
        <v>7.7777777777777501E-2</v>
      </c>
      <c r="Z174" s="116">
        <f t="shared" si="7"/>
        <v>46060</v>
      </c>
      <c r="AA17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7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7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7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7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7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33.857142857142854</v>
      </c>
      <c r="AG17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39.659403359721964</v>
      </c>
      <c r="AH174" s="116">
        <f t="shared" si="8"/>
        <v>46060</v>
      </c>
      <c r="AI174" s="1" t="str" cm="1">
        <f t="array" ref="AI174">IFERROR(_xlfn.IFS(AQ174="","Sem Produto",AND(AQ174/(AA174/12)&gt;0,AQ174/(AA174/12)&lt;=2),"Acabando",AND(AQ174/(AA174/12)&gt;2,AQ174/(AA174/12)&lt;=3),"Fazer Pedido",AND(AQ174/(AA174/12)&gt;3,AQ174/(AA174/12)&lt;=7),"OK",AND(AQ174/(AA174/12)&gt;7,AQ174/(AA174/12)&lt;=14),"Abaixar Preço",AND(AQ174/(AA174/12)&gt;14,AQ174/(AA174/12)&lt;=20),"Estabilizando",AQ174/(AA174/12)&gt;20,"Instavel"),"Instavel")</f>
        <v>Instavel</v>
      </c>
      <c r="AJ174" s="1" t="str" cm="1">
        <f t="array" ref="AJ174">IFERROR(_xlfn.IFS(AR174="","Sem Produto",AND(AR174/(AB174/12)&gt;0,AR174/(AB174/12)&lt;=2),"Acabando",AND(AR174/(AB174/12)&gt;2,AR174/(AB174/12)&lt;=3),"Fazer Pedido",AND(AR174/(AB174/12)&gt;3,AR174/(AB174/12)&lt;=7),"OK",AND(AR174/(AB174/12)&gt;7,AR174/(AB174/12)&lt;=14),"Abaixar Preço",AND(AR174/(AB174/12)&gt;14,AR174/(AB174/12)&lt;=20),"Estabilizando",AR174/(AB174/12)&gt;20,"Instavel"),"Instavel")</f>
        <v>Abaixar Preço</v>
      </c>
      <c r="AK174" s="1" t="str" cm="1">
        <f t="array" ref="AK174">IFERROR(_xlfn.IFS(AS174="","Sem Produto",AND(AS174/(AC174/12)&gt;0,AS174/(AC174/12)&lt;=2),"Acabando",AND(AS174/(AC174/12)&gt;2,AS174/(AC174/12)&lt;=3),"Fazer Pedido",AND(AS174/(AC174/12)&gt;3,AS174/(AC174/12)&lt;=7),"OK",AND(AS174/(AC174/12)&gt;7,AS174/(AC174/12)&lt;=14),"Abaixar Preço",AND(AS174/(AC174/12)&gt;14,AS174/(AC174/12)&lt;=20),"Estabilizando",AS174/(AC174/12)&gt;20,"Instavel"),"Instavel")</f>
        <v>Instavel</v>
      </c>
      <c r="AL174" s="1" t="str" cm="1">
        <f t="array" ref="AL174">IFERROR(_xlfn.IFS(AT174="","Sem Produto",AND(AT174/(AD174/12)&gt;0,AT174/(AD174/12)&lt;=2),"Acabando",AND(AT174/(AD174/12)&gt;2,AT174/(AD174/12)&lt;=3),"Fazer Pedido",AND(AT174/(AD174/12)&gt;3,AT174/(AD174/12)&lt;=7),"OK",AND(AT174/(AD174/12)&gt;7,AT174/(AD174/12)&lt;=14),"Abaixar Preço",AND(AT174/(AD174/12)&gt;14,AT174/(AD174/12)&lt;=20),"Estabilizando",AT174/(AD174/12)&gt;20,"Instavel"),"Instavel")</f>
        <v>Abaixar Preço</v>
      </c>
      <c r="AM174" s="1" t="str" cm="1">
        <f t="array" ref="AM174">IFERROR(_xlfn.IFS(AU174="","Sem Produto",AND(AU174/(AE174/12)&gt;0,AU174/(AE174/12)&lt;=2),"Acabando",AND(AU174/(AE174/12)&gt;2,AU174/(AE174/12)&lt;=3),"Fazer Pedido",AND(AU174/(AE174/12)&gt;3,AU174/(AE174/12)&lt;=7),"OK",AND(AU174/(AE174/12)&gt;7,AU174/(AE174/12)&lt;=14),"Abaixar Preço",AND(AU174/(AE174/12)&gt;14,AU174/(AE174/12)&lt;=20),"Estabilizando",AU174/(AE174/12)&gt;20,"Instavel"),"Instavel")</f>
        <v>Abaixar Preço</v>
      </c>
      <c r="AN174" s="1" t="str">
        <f ca="1">IF(SUMIF(vendaAno[data],SituaçãoEstoqueFluxo[[#This Row],[data]],vendaAno[estoque])=0,"Algo errado",IF(AND(AX174/AW174&gt;0,AX174/AW174&lt;=1),"Alerta",IF(AND(AX174/AW174&gt;1,AX174/AW174&lt;=1.5),"Fazer pedido",IF(AND(AX174/AW174&gt;1.5,AX174/AW174&lt;=2),"Ok",IF(AND(AX174/AW174&gt;2,AX174/AW174&lt;=2.5),"Estabilizando",IF(AND(AX174/AW174&gt;2.5,AX174/AW174&lt;=3),"Cheio","Abaixar preço"))))))</f>
        <v>Abaixar preço</v>
      </c>
      <c r="AO174" s="82">
        <f>SUMIFS(estoque[quantidade],estoque[fornecedor],"&lt;&gt;saída",estoque[data],SituaçãoEstoqueFluxo[[#This Row],[data]])-SUMIFS(estoque[quantidade],estoque[fornecedor],"saída",estoque[data],SituaçãoEstoqueFluxo[[#This Row],[data]])</f>
        <v>200</v>
      </c>
      <c r="AP174" s="116">
        <f t="shared" si="9"/>
        <v>46060</v>
      </c>
      <c r="AQ17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11.583333333333334</v>
      </c>
      <c r="AR17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</v>
      </c>
      <c r="AS17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</v>
      </c>
      <c r="AT17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11.75</v>
      </c>
      <c r="AU17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4.75</v>
      </c>
      <c r="AV174" s="82" cm="1">
        <f t="array" aca="1" ref="AV1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25.392857142857142</v>
      </c>
      <c r="AW174" s="82" cm="1">
        <f t="array" aca="1" ref="AW1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8.4642857142857135</v>
      </c>
      <c r="AX174" s="82">
        <f>SUM(FluxoEstoqueDateTime[[#This Row],[OVO BRANCO A]:[OVO BRANCO JUMBO]])</f>
        <v>37.083333333333336</v>
      </c>
    </row>
    <row r="175" spans="1:50" x14ac:dyDescent="0.25">
      <c r="A175" s="4" t="s">
        <v>20</v>
      </c>
      <c r="B175" s="55" t="s">
        <v>11</v>
      </c>
      <c r="C175" s="5">
        <v>4</v>
      </c>
      <c r="D175" s="56">
        <v>16</v>
      </c>
      <c r="E175" s="56">
        <v>64</v>
      </c>
      <c r="F175" s="157">
        <v>46196</v>
      </c>
      <c r="G175" s="4" t="s">
        <v>290</v>
      </c>
      <c r="H175" s="4" t="s">
        <v>148</v>
      </c>
      <c r="I175" s="153">
        <v>5.18</v>
      </c>
      <c r="J175" s="12">
        <v>8.0991124260355263E-2</v>
      </c>
      <c r="Z175" s="116">
        <f t="shared" si="7"/>
        <v>46059</v>
      </c>
      <c r="AA17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17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1.1428571428571428</v>
      </c>
      <c r="AD17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10.285714285714286</v>
      </c>
      <c r="AE17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6.7142857142857144</v>
      </c>
      <c r="AF17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7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38.012086345085322</v>
      </c>
      <c r="AH175" s="116">
        <f t="shared" si="8"/>
        <v>46059</v>
      </c>
      <c r="AI175" s="1" t="str" cm="1">
        <f t="array" ref="AI175">IFERROR(_xlfn.IFS(AQ175="","Sem Produto",AND(AQ175/(AA175/12)&gt;0,AQ175/(AA175/12)&lt;=2),"Acabando",AND(AQ175/(AA175/12)&gt;2,AQ175/(AA175/12)&lt;=3),"Fazer Pedido",AND(AQ175/(AA175/12)&gt;3,AQ175/(AA175/12)&lt;=7),"OK",AND(AQ175/(AA175/12)&gt;7,AQ175/(AA175/12)&lt;=14),"Abaixar Preço",AND(AQ175/(AA175/12)&gt;14,AQ175/(AA175/12)&lt;=20),"Estabilizando",AQ175/(AA175/12)&gt;20,"Instavel"),"Instavel")</f>
        <v>OK</v>
      </c>
      <c r="AJ175" s="1" t="str" cm="1">
        <f t="array" ref="AJ175">IFERROR(_xlfn.IFS(AR175="","Sem Produto",AND(AR175/(AB175/12)&gt;0,AR175/(AB175/12)&lt;=2),"Acabando",AND(AR175/(AB175/12)&gt;2,AR175/(AB175/12)&lt;=3),"Fazer Pedido",AND(AR175/(AB175/12)&gt;3,AR175/(AB175/12)&lt;=7),"OK",AND(AR175/(AB175/12)&gt;7,AR175/(AB175/12)&lt;=14),"Abaixar Preço",AND(AR175/(AB175/12)&gt;14,AR175/(AB175/12)&lt;=20),"Estabilizando",AR175/(AB175/12)&gt;20,"Instavel"),"Instavel")</f>
        <v>Abaixar Preço</v>
      </c>
      <c r="AK175" s="1" t="str" cm="1">
        <f t="array" ref="AK175">IFERROR(_xlfn.IFS(AS175="","Sem Produto",AND(AS175/(AC175/12)&gt;0,AS175/(AC175/12)&lt;=2),"Acabando",AND(AS175/(AC175/12)&gt;2,AS175/(AC175/12)&lt;=3),"Fazer Pedido",AND(AS175/(AC175/12)&gt;3,AS175/(AC175/12)&lt;=7),"OK",AND(AS175/(AC175/12)&gt;7,AS175/(AC175/12)&lt;=14),"Abaixar Preço",AND(AS175/(AC175/12)&gt;14,AS175/(AC175/12)&lt;=20),"Estabilizando",AS175/(AC175/12)&gt;20,"Instavel"),"Instavel")</f>
        <v>Instavel</v>
      </c>
      <c r="AL175" s="1" t="str" cm="1">
        <f t="array" ref="AL175">IFERROR(_xlfn.IFS(AT175="","Sem Produto",AND(AT175/(AD175/12)&gt;0,AT175/(AD175/12)&lt;=2),"Acabando",AND(AT175/(AD175/12)&gt;2,AT175/(AD175/12)&lt;=3),"Fazer Pedido",AND(AT175/(AD175/12)&gt;3,AT175/(AD175/12)&lt;=7),"OK",AND(AT175/(AD175/12)&gt;7,AT175/(AD175/12)&lt;=14),"Abaixar Preço",AND(AT175/(AD175/12)&gt;14,AT175/(AD175/12)&lt;=20),"Estabilizando",AT175/(AD175/12)&gt;20,"Instavel"),"Instavel")</f>
        <v>OK</v>
      </c>
      <c r="AM175" s="1" t="str" cm="1">
        <f t="array" ref="AM175">IFERROR(_xlfn.IFS(AU175="","Sem Produto",AND(AU175/(AE175/12)&gt;0,AU175/(AE175/12)&lt;=2),"Acabando",AND(AU175/(AE175/12)&gt;2,AU175/(AE175/12)&lt;=3),"Fazer Pedido",AND(AU175/(AE175/12)&gt;3,AU175/(AE175/12)&lt;=7),"OK",AND(AU175/(AE175/12)&gt;7,AU175/(AE175/12)&lt;=14),"Abaixar Preço",AND(AU175/(AE175/12)&gt;14,AU175/(AE175/12)&lt;=20),"Estabilizando",AU175/(AE175/12)&gt;20,"Instavel"),"Instavel")</f>
        <v>Abaixar Preço</v>
      </c>
      <c r="AN175" s="1" t="str">
        <f ca="1">IF(SUMIF(vendaAno[data],SituaçãoEstoqueFluxo[[#This Row],[data]],vendaAno[estoque])=0,"Algo errado",IF(AND(AX175/AW175&gt;0,AX175/AW175&lt;=1),"Alerta",IF(AND(AX175/AW175&gt;1,AX175/AW175&lt;=1.5),"Fazer pedido",IF(AND(AX175/AW175&gt;1.5,AX175/AW175&lt;=2),"Ok",IF(AND(AX175/AW175&gt;2,AX175/AW175&lt;=2.5),"Estabilizando",IF(AND(AX175/AW175&gt;2.5,AX175/AW175&lt;=3),"Cheio","Abaixar preço"))))))</f>
        <v>Cheio</v>
      </c>
      <c r="AO175" s="82">
        <f>SUMIFS(estoque[quantidade],estoque[fornecedor],"&lt;&gt;saída",estoque[data],SituaçãoEstoqueFluxo[[#This Row],[data]])-SUMIFS(estoque[quantidade],estoque[fornecedor],"saída",estoque[data],SituaçãoEstoqueFluxo[[#This Row],[data]])</f>
        <v>-38</v>
      </c>
      <c r="AP175" s="116">
        <f t="shared" si="9"/>
        <v>46059</v>
      </c>
      <c r="AQ17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1.9166666666666667</v>
      </c>
      <c r="AR17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8.1666666666666661</v>
      </c>
      <c r="AS17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2.0833333333333335</v>
      </c>
      <c r="AT17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3.1666666666666665</v>
      </c>
      <c r="AU17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5.083333333333333</v>
      </c>
      <c r="AV175" s="82" cm="1">
        <f t="array" aca="1" ref="AV1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75" s="82" cm="1">
        <f t="array" aca="1" ref="AW1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75" s="82">
        <f>SUM(FluxoEstoqueDateTime[[#This Row],[OVO BRANCO A]:[OVO BRANCO JUMBO]])</f>
        <v>20.416666666666664</v>
      </c>
    </row>
    <row r="176" spans="1:50" x14ac:dyDescent="0.25">
      <c r="A176" s="4" t="s">
        <v>20</v>
      </c>
      <c r="B176" s="55" t="s">
        <v>10</v>
      </c>
      <c r="C176" s="5">
        <v>40</v>
      </c>
      <c r="D176" s="56">
        <v>19</v>
      </c>
      <c r="E176" s="56">
        <v>760</v>
      </c>
      <c r="F176" s="157">
        <v>46196</v>
      </c>
      <c r="G176" s="4" t="s">
        <v>290</v>
      </c>
      <c r="H176" s="4" t="s">
        <v>148</v>
      </c>
      <c r="I176" s="153">
        <v>143.33000000000001</v>
      </c>
      <c r="J176" s="12">
        <v>0.18859649122807029</v>
      </c>
      <c r="Z176" s="116">
        <f t="shared" si="7"/>
        <v>46058</v>
      </c>
      <c r="AA17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6.2857142857142856</v>
      </c>
      <c r="AB17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7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8.4285714285714288</v>
      </c>
      <c r="AE17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17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28.714285714285715</v>
      </c>
      <c r="AG17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37.508026053722347</v>
      </c>
      <c r="AH176" s="116">
        <f t="shared" si="8"/>
        <v>46058</v>
      </c>
      <c r="AI176" s="1" t="str" cm="1">
        <f t="array" ref="AI176">IFERROR(_xlfn.IFS(AQ176="","Sem Produto",AND(AQ176/(AA176/12)&gt;0,AQ176/(AA176/12)&lt;=2),"Acabando",AND(AQ176/(AA176/12)&gt;2,AQ176/(AA176/12)&lt;=3),"Fazer Pedido",AND(AQ176/(AA176/12)&gt;3,AQ176/(AA176/12)&lt;=7),"OK",AND(AQ176/(AA176/12)&gt;7,AQ176/(AA176/12)&lt;=14),"Abaixar Preço",AND(AQ176/(AA176/12)&gt;14,AQ176/(AA176/12)&lt;=20),"Estabilizando",AQ176/(AA176/12)&gt;20,"Instavel"),"Instavel")</f>
        <v>OK</v>
      </c>
      <c r="AJ176" s="1" t="str" cm="1">
        <f t="array" ref="AJ176">IFERROR(_xlfn.IFS(AR176="","Sem Produto",AND(AR176/(AB176/12)&gt;0,AR176/(AB176/12)&lt;=2),"Acabando",AND(AR176/(AB176/12)&gt;2,AR176/(AB176/12)&lt;=3),"Fazer Pedido",AND(AR176/(AB176/12)&gt;3,AR176/(AB176/12)&lt;=7),"OK",AND(AR176/(AB176/12)&gt;7,AR176/(AB176/12)&lt;=14),"Abaixar Preço",AND(AR176/(AB176/12)&gt;14,AR176/(AB176/12)&lt;=20),"Estabilizando",AR176/(AB176/12)&gt;20,"Instavel"),"Instavel")</f>
        <v>Estabilizando</v>
      </c>
      <c r="AK176" s="1" t="str" cm="1">
        <f t="array" ref="AK176">IFERROR(_xlfn.IFS(AS176="","Sem Produto",AND(AS176/(AC176/12)&gt;0,AS176/(AC176/12)&lt;=2),"Acabando",AND(AS176/(AC176/12)&gt;2,AS176/(AC176/12)&lt;=3),"Fazer Pedido",AND(AS176/(AC176/12)&gt;3,AS176/(AC176/12)&lt;=7),"OK",AND(AS176/(AC176/12)&gt;7,AS176/(AC176/12)&lt;=14),"Abaixar Preço",AND(AS176/(AC176/12)&gt;14,AS176/(AC176/12)&lt;=20),"Estabilizando",AS176/(AC176/12)&gt;20,"Instavel"),"Instavel")</f>
        <v>Instavel</v>
      </c>
      <c r="AL176" s="1" t="str" cm="1">
        <f t="array" ref="AL176">IFERROR(_xlfn.IFS(AT176="","Sem Produto",AND(AT176/(AD176/12)&gt;0,AT176/(AD176/12)&lt;=2),"Acabando",AND(AT176/(AD176/12)&gt;2,AT176/(AD176/12)&lt;=3),"Fazer Pedido",AND(AT176/(AD176/12)&gt;3,AT176/(AD176/12)&lt;=7),"OK",AND(AT176/(AD176/12)&gt;7,AT176/(AD176/12)&lt;=14),"Abaixar Preço",AND(AT176/(AD176/12)&gt;14,AT176/(AD176/12)&lt;=20),"Estabilizando",AT176/(AD176/12)&gt;20,"Instavel"),"Instavel")</f>
        <v>OK</v>
      </c>
      <c r="AM176" s="1" t="str" cm="1">
        <f t="array" ref="AM176">IFERROR(_xlfn.IFS(AU176="","Sem Produto",AND(AU176/(AE176/12)&gt;0,AU176/(AE176/12)&lt;=2),"Acabando",AND(AU176/(AE176/12)&gt;2,AU176/(AE176/12)&lt;=3),"Fazer Pedido",AND(AU176/(AE176/12)&gt;3,AU176/(AE176/12)&lt;=7),"OK",AND(AU176/(AE176/12)&gt;7,AU176/(AE176/12)&lt;=14),"Abaixar Preço",AND(AU176/(AE176/12)&gt;14,AU176/(AE176/12)&lt;=20),"Estabilizando",AU176/(AE176/12)&gt;20,"Instavel"),"Instavel")</f>
        <v>Abaixar Preço</v>
      </c>
      <c r="AN176" s="1" t="str">
        <f ca="1">IF(SUMIF(vendaAno[data],SituaçãoEstoqueFluxo[[#This Row],[data]],vendaAno[estoque])=0,"Algo errado",IF(AND(AX176/AW176&gt;0,AX176/AW176&lt;=1),"Alerta",IF(AND(AX176/AW176&gt;1,AX176/AW176&lt;=1.5),"Fazer pedido",IF(AND(AX176/AW176&gt;1.5,AX176/AW176&lt;=2),"Ok",IF(AND(AX176/AW176&gt;2,AX176/AW176&lt;=2.5),"Estabilizando",IF(AND(AX176/AW176&gt;2.5,AX176/AW176&lt;=3),"Cheio","Abaixar preço"))))))</f>
        <v>Abaixar preço</v>
      </c>
      <c r="AO176" s="82">
        <f>SUMIFS(estoque[quantidade],estoque[fornecedor],"&lt;&gt;saída",estoque[data],SituaçãoEstoqueFluxo[[#This Row],[data]])-SUMIFS(estoque[quantidade],estoque[fornecedor],"saída",estoque[data],SituaçãoEstoqueFluxo[[#This Row],[data]])</f>
        <v>-29</v>
      </c>
      <c r="AP176" s="116">
        <f t="shared" si="9"/>
        <v>46058</v>
      </c>
      <c r="AQ17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2.5</v>
      </c>
      <c r="AR17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8.4166666666666661</v>
      </c>
      <c r="AS17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2.25</v>
      </c>
      <c r="AT17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4.75</v>
      </c>
      <c r="AU17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5.666666666666667</v>
      </c>
      <c r="AV176" s="82" cm="1">
        <f t="array" aca="1" ref="AV1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21.535714285714288</v>
      </c>
      <c r="AW176" s="82" cm="1">
        <f t="array" aca="1" ref="AW1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7.1785714285714279</v>
      </c>
      <c r="AX176" s="82">
        <f>SUM(FluxoEstoqueDateTime[[#This Row],[OVO BRANCO A]:[OVO BRANCO JUMBO]])</f>
        <v>23.583333333333332</v>
      </c>
    </row>
    <row r="177" spans="1:50" x14ac:dyDescent="0.25">
      <c r="A177" s="4" t="s">
        <v>20</v>
      </c>
      <c r="B177" s="55" t="s">
        <v>14</v>
      </c>
      <c r="C177" s="5">
        <v>3</v>
      </c>
      <c r="D177" s="56">
        <v>22</v>
      </c>
      <c r="E177" s="56">
        <v>66</v>
      </c>
      <c r="F177" s="157">
        <v>46195</v>
      </c>
      <c r="G177" s="4" t="s">
        <v>291</v>
      </c>
      <c r="H177" s="4" t="s">
        <v>148</v>
      </c>
      <c r="I177" s="153">
        <v>17.149999999999999</v>
      </c>
      <c r="J177" s="12">
        <v>0.25984848484848494</v>
      </c>
      <c r="Z177" s="116">
        <f t="shared" si="7"/>
        <v>46057</v>
      </c>
      <c r="AA17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7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7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</v>
      </c>
      <c r="AD17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</v>
      </c>
      <c r="AE17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5.8571428571428568</v>
      </c>
      <c r="AF17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</v>
      </c>
      <c r="AG17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35.8815800591466</v>
      </c>
      <c r="AH177" s="116">
        <f t="shared" si="8"/>
        <v>46057</v>
      </c>
      <c r="AI177" s="1" t="str" cm="1">
        <f t="array" ref="AI177">IFERROR(_xlfn.IFS(AQ177="","Sem Produto",AND(AQ177/(AA177/12)&gt;0,AQ177/(AA177/12)&lt;=2),"Acabando",AND(AQ177/(AA177/12)&gt;2,AQ177/(AA177/12)&lt;=3),"Fazer Pedido",AND(AQ177/(AA177/12)&gt;3,AQ177/(AA177/12)&lt;=7),"OK",AND(AQ177/(AA177/12)&gt;7,AQ177/(AA177/12)&lt;=14),"Abaixar Preço",AND(AQ177/(AA177/12)&gt;14,AQ177/(AA177/12)&lt;=20),"Estabilizando",AQ177/(AA177/12)&gt;20,"Instavel"),"Instavel")</f>
        <v>OK</v>
      </c>
      <c r="AJ177" s="1" t="str" cm="1">
        <f t="array" ref="AJ177">IFERROR(_xlfn.IFS(AR177="","Sem Produto",AND(AR177/(AB177/12)&gt;0,AR177/(AB177/12)&lt;=2),"Acabando",AND(AR177/(AB177/12)&gt;2,AR177/(AB177/12)&lt;=3),"Fazer Pedido",AND(AR177/(AB177/12)&gt;3,AR177/(AB177/12)&lt;=7),"OK",AND(AR177/(AB177/12)&gt;7,AR177/(AB177/12)&lt;=14),"Abaixar Preço",AND(AR177/(AB177/12)&gt;14,AR177/(AB177/12)&lt;=20),"Estabilizando",AR177/(AB177/12)&gt;20,"Instavel"),"Instavel")</f>
        <v>Estabilizando</v>
      </c>
      <c r="AK177" s="1" t="str" cm="1">
        <f t="array" ref="AK177">IFERROR(_xlfn.IFS(AS177="","Sem Produto",AND(AS177/(AC177/12)&gt;0,AS177/(AC177/12)&lt;=2),"Acabando",AND(AS177/(AC177/12)&gt;2,AS177/(AC177/12)&lt;=3),"Fazer Pedido",AND(AS177/(AC177/12)&gt;3,AS177/(AC177/12)&lt;=7),"OK",AND(AS177/(AC177/12)&gt;7,AS177/(AC177/12)&lt;=14),"Abaixar Preço",AND(AS177/(AC177/12)&gt;14,AS177/(AC177/12)&lt;=20),"Estabilizando",AS177/(AC177/12)&gt;20,"Instavel"),"Instavel")</f>
        <v>Instavel</v>
      </c>
      <c r="AL177" s="1" t="str" cm="1">
        <f t="array" ref="AL177">IFERROR(_xlfn.IFS(AT177="","Sem Produto",AND(AT177/(AD177/12)&gt;0,AT177/(AD177/12)&lt;=2),"Acabando",AND(AT177/(AD177/12)&gt;2,AT177/(AD177/12)&lt;=3),"Fazer Pedido",AND(AT177/(AD177/12)&gt;3,AT177/(AD177/12)&lt;=7),"OK",AND(AT177/(AD177/12)&gt;7,AT177/(AD177/12)&lt;=14),"Abaixar Preço",AND(AT177/(AD177/12)&gt;14,AT177/(AD177/12)&lt;=20),"Estabilizando",AT177/(AD177/12)&gt;20,"Instavel"),"Instavel")</f>
        <v>Abaixar Preço</v>
      </c>
      <c r="AM177" s="1" t="str" cm="1">
        <f t="array" ref="AM177">IFERROR(_xlfn.IFS(AU177="","Sem Produto",AND(AU177/(AE177/12)&gt;0,AU177/(AE177/12)&lt;=2),"Acabando",AND(AU177/(AE177/12)&gt;2,AU177/(AE177/12)&lt;=3),"Fazer Pedido",AND(AU177/(AE177/12)&gt;3,AU177/(AE177/12)&lt;=7),"OK",AND(AU177/(AE177/12)&gt;7,AU177/(AE177/12)&lt;=14),"Abaixar Preço",AND(AU177/(AE177/12)&gt;14,AU177/(AE177/12)&lt;=20),"Estabilizando",AU177/(AE177/12)&gt;20,"Instavel"),"Instavel")</f>
        <v>Abaixar Preço</v>
      </c>
      <c r="AN177" s="1" t="str">
        <f ca="1">IF(SUMIF(vendaAno[data],SituaçãoEstoqueFluxo[[#This Row],[data]],vendaAno[estoque])=0,"Algo errado",IF(AND(AX177/AW177&gt;0,AX177/AW177&lt;=1),"Alerta",IF(AND(AX177/AW177&gt;1,AX177/AW177&lt;=1.5),"Fazer pedido",IF(AND(AX177/AW177&gt;1.5,AX177/AW177&lt;=2),"Ok",IF(AND(AX177/AW177&gt;2,AX177/AW177&lt;=2.5),"Estabilizando",IF(AND(AX177/AW177&gt;2.5,AX177/AW177&lt;=3),"Cheio","Abaixar preço"))))))</f>
        <v>Abaixar preço</v>
      </c>
      <c r="AO177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77" s="116">
        <f t="shared" si="9"/>
        <v>46057</v>
      </c>
      <c r="AQ17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2.9166666666666665</v>
      </c>
      <c r="AR17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8.75</v>
      </c>
      <c r="AS17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17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5.833333333333333</v>
      </c>
      <c r="AU17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6.083333333333333</v>
      </c>
      <c r="AV177" s="82" cm="1">
        <f t="array" aca="1" ref="AV1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</v>
      </c>
      <c r="AW177" s="82" cm="1">
        <f t="array" aca="1" ref="AW1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</v>
      </c>
      <c r="AX177" s="82">
        <f>SUM(FluxoEstoqueDateTime[[#This Row],[OVO BRANCO A]:[OVO BRANCO JUMBO]])</f>
        <v>25.999999999999996</v>
      </c>
    </row>
    <row r="178" spans="1:50" x14ac:dyDescent="0.25">
      <c r="A178" s="4" t="s">
        <v>20</v>
      </c>
      <c r="B178" s="55" t="s">
        <v>13</v>
      </c>
      <c r="C178" s="5">
        <v>16</v>
      </c>
      <c r="D178" s="56">
        <v>20</v>
      </c>
      <c r="E178" s="56">
        <v>320</v>
      </c>
      <c r="F178" s="157">
        <v>46195</v>
      </c>
      <c r="G178" s="4" t="s">
        <v>291</v>
      </c>
      <c r="H178" s="4" t="s">
        <v>148</v>
      </c>
      <c r="I178" s="153">
        <v>66.67</v>
      </c>
      <c r="J178" s="12">
        <v>0.20833333333333331</v>
      </c>
      <c r="Z178" s="116">
        <f t="shared" si="7"/>
        <v>46056</v>
      </c>
      <c r="AA17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7.5714285714285712</v>
      </c>
      <c r="AB17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9</v>
      </c>
      <c r="AC17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1.2857142857142858</v>
      </c>
      <c r="AD17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9</v>
      </c>
      <c r="AE17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4.8571428571428568</v>
      </c>
      <c r="AF17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31.714285714285715</v>
      </c>
      <c r="AG17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37.804450557547767</v>
      </c>
      <c r="AH178" s="116">
        <f t="shared" si="8"/>
        <v>46056</v>
      </c>
      <c r="AI178" s="1" t="str" cm="1">
        <f t="array" ref="AI178">IFERROR(_xlfn.IFS(AQ178="","Sem Produto",AND(AQ178/(AA178/12)&gt;0,AQ178/(AA178/12)&lt;=2),"Acabando",AND(AQ178/(AA178/12)&gt;2,AQ178/(AA178/12)&lt;=3),"Fazer Pedido",AND(AQ178/(AA178/12)&gt;3,AQ178/(AA178/12)&lt;=7),"OK",AND(AQ178/(AA178/12)&gt;7,AQ178/(AA178/12)&lt;=14),"Abaixar Preço",AND(AQ178/(AA178/12)&gt;14,AQ178/(AA178/12)&lt;=20),"Estabilizando",AQ178/(AA178/12)&gt;20,"Instavel"),"Instavel")</f>
        <v>OK</v>
      </c>
      <c r="AJ178" s="1" t="str" cm="1">
        <f t="array" ref="AJ178">IFERROR(_xlfn.IFS(AR178="","Sem Produto",AND(AR178/(AB178/12)&gt;0,AR178/(AB178/12)&lt;=2),"Acabando",AND(AR178/(AB178/12)&gt;2,AR178/(AB178/12)&lt;=3),"Fazer Pedido",AND(AR178/(AB178/12)&gt;3,AR178/(AB178/12)&lt;=7),"OK",AND(AR178/(AB178/12)&gt;7,AR178/(AB178/12)&lt;=14),"Abaixar Preço",AND(AR178/(AB178/12)&gt;14,AR178/(AB178/12)&lt;=20),"Estabilizando",AR178/(AB178/12)&gt;20,"Instavel"),"Instavel")</f>
        <v>Abaixar Preço</v>
      </c>
      <c r="AK178" s="1" t="str" cm="1">
        <f t="array" ref="AK178">IFERROR(_xlfn.IFS(AS178="","Sem Produto",AND(AS178/(AC178/12)&gt;0,AS178/(AC178/12)&lt;=2),"Acabando",AND(AS178/(AC178/12)&gt;2,AS178/(AC178/12)&lt;=3),"Fazer Pedido",AND(AS178/(AC178/12)&gt;3,AS178/(AC178/12)&lt;=7),"OK",AND(AS178/(AC178/12)&gt;7,AS178/(AC178/12)&lt;=14),"Abaixar Preço",AND(AS178/(AC178/12)&gt;14,AS178/(AC178/12)&lt;=20),"Estabilizando",AS178/(AC178/12)&gt;20,"Instavel"),"Instavel")</f>
        <v>Instavel</v>
      </c>
      <c r="AL178" s="1" t="str" cm="1">
        <f t="array" ref="AL178">IFERROR(_xlfn.IFS(AT178="","Sem Produto",AND(AT178/(AD178/12)&gt;0,AT178/(AD178/12)&lt;=2),"Acabando",AND(AT178/(AD178/12)&gt;2,AT178/(AD178/12)&lt;=3),"Fazer Pedido",AND(AT178/(AD178/12)&gt;3,AT178/(AD178/12)&lt;=7),"OK",AND(AT178/(AD178/12)&gt;7,AT178/(AD178/12)&lt;=14),"Abaixar Preço",AND(AT178/(AD178/12)&gt;14,AT178/(AD178/12)&lt;=20),"Estabilizando",AT178/(AD178/12)&gt;20,"Instavel"),"Instavel")</f>
        <v>Abaixar Preço</v>
      </c>
      <c r="AM178" s="1" t="str" cm="1">
        <f t="array" ref="AM178">IFERROR(_xlfn.IFS(AU178="","Sem Produto",AND(AU178/(AE178/12)&gt;0,AU178/(AE178/12)&lt;=2),"Acabando",AND(AU178/(AE178/12)&gt;2,AU178/(AE178/12)&lt;=3),"Fazer Pedido",AND(AU178/(AE178/12)&gt;3,AU178/(AE178/12)&lt;=7),"OK",AND(AU178/(AE178/12)&gt;7,AU178/(AE178/12)&lt;=14),"Abaixar Preço",AND(AU178/(AE178/12)&gt;14,AU178/(AE178/12)&lt;=20),"Estabilizando",AU178/(AE178/12)&gt;20,"Instavel"),"Instavel")</f>
        <v>Estabilizando</v>
      </c>
      <c r="AN178" s="1" t="str">
        <f ca="1">IF(SUMIF(vendaAno[data],SituaçãoEstoqueFluxo[[#This Row],[data]],vendaAno[estoque])=0,"Algo errado",IF(AND(AX178/AW178&gt;0,AX178/AW178&lt;=1),"Alerta",IF(AND(AX178/AW178&gt;1,AX178/AW178&lt;=1.5),"Fazer pedido",IF(AND(AX178/AW178&gt;1.5,AX178/AW178&lt;=2),"Ok",IF(AND(AX178/AW178&gt;2,AX178/AW178&lt;=2.5),"Estabilizando",IF(AND(AX178/AW178&gt;2.5,AX178/AW178&lt;=3),"Cheio","Abaixar preço"))))))</f>
        <v>Abaixar preço</v>
      </c>
      <c r="AO178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178" s="116">
        <f t="shared" si="9"/>
        <v>46056</v>
      </c>
      <c r="AQ17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3.5</v>
      </c>
      <c r="AR17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8.9166666666666661</v>
      </c>
      <c r="AS17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2.4166666666666665</v>
      </c>
      <c r="AT17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6.416666666666667</v>
      </c>
      <c r="AU17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6.666666666666667</v>
      </c>
      <c r="AV178" s="82" cm="1">
        <f t="array" aca="1" ref="AV1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23.785714285714288</v>
      </c>
      <c r="AW178" s="82" cm="1">
        <f t="array" aca="1" ref="AW1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7.9285714285714279</v>
      </c>
      <c r="AX178" s="82">
        <f>SUM(FluxoEstoqueDateTime[[#This Row],[OVO BRANCO A]:[OVO BRANCO JUMBO]])</f>
        <v>27.916666666666668</v>
      </c>
    </row>
    <row r="179" spans="1:50" x14ac:dyDescent="0.25">
      <c r="A179" s="4" t="s">
        <v>20</v>
      </c>
      <c r="B179" s="55" t="s">
        <v>12</v>
      </c>
      <c r="C179" s="5">
        <v>1</v>
      </c>
      <c r="D179" s="56">
        <v>15</v>
      </c>
      <c r="E179" s="56">
        <v>15</v>
      </c>
      <c r="F179" s="157">
        <v>46195</v>
      </c>
      <c r="G179" s="4" t="s">
        <v>291</v>
      </c>
      <c r="H179" s="4" t="s">
        <v>148</v>
      </c>
      <c r="I179" s="153">
        <v>1.17</v>
      </c>
      <c r="J179" s="12">
        <v>7.7777777777777501E-2</v>
      </c>
      <c r="Z179" s="116">
        <f t="shared" si="7"/>
        <v>46055</v>
      </c>
      <c r="AA17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8.4285714285714288</v>
      </c>
      <c r="AB17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8.4285714285714288</v>
      </c>
      <c r="AC17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17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10.428571428571429</v>
      </c>
      <c r="AE17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4.1428571428571432</v>
      </c>
      <c r="AF17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7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37.034619316455014</v>
      </c>
      <c r="AH179" s="116">
        <f t="shared" si="8"/>
        <v>46055</v>
      </c>
      <c r="AI179" s="1" t="str" cm="1">
        <f t="array" ref="AI179">IFERROR(_xlfn.IFS(AQ179="","Sem Produto",AND(AQ179/(AA179/12)&gt;0,AQ179/(AA179/12)&lt;=2),"Acabando",AND(AQ179/(AA179/12)&gt;2,AQ179/(AA179/12)&lt;=3),"Fazer Pedido",AND(AQ179/(AA179/12)&gt;3,AQ179/(AA179/12)&lt;=7),"OK",AND(AQ179/(AA179/12)&gt;7,AQ179/(AA179/12)&lt;=14),"Abaixar Preço",AND(AQ179/(AA179/12)&gt;14,AQ179/(AA179/12)&lt;=20),"Estabilizando",AQ179/(AA179/12)&gt;20,"Instavel"),"Instavel")</f>
        <v>OK</v>
      </c>
      <c r="AJ179" s="1" t="str" cm="1">
        <f t="array" ref="AJ179">IFERROR(_xlfn.IFS(AR179="","Sem Produto",AND(AR179/(AB179/12)&gt;0,AR179/(AB179/12)&lt;=2),"Acabando",AND(AR179/(AB179/12)&gt;2,AR179/(AB179/12)&lt;=3),"Fazer Pedido",AND(AR179/(AB179/12)&gt;3,AR179/(AB179/12)&lt;=7),"OK",AND(AR179/(AB179/12)&gt;7,AR179/(AB179/12)&lt;=14),"Abaixar Preço",AND(AR179/(AB179/12)&gt;14,AR179/(AB179/12)&lt;=20),"Estabilizando",AR179/(AB179/12)&gt;20,"Instavel"),"Instavel")</f>
        <v>Estabilizando</v>
      </c>
      <c r="AK179" s="1" t="str" cm="1">
        <f t="array" ref="AK179">IFERROR(_xlfn.IFS(AS179="","Sem Produto",AND(AS179/(AC179/12)&gt;0,AS179/(AC179/12)&lt;=2),"Acabando",AND(AS179/(AC179/12)&gt;2,AS179/(AC179/12)&lt;=3),"Fazer Pedido",AND(AS179/(AC179/12)&gt;3,AS179/(AC179/12)&lt;=7),"OK",AND(AS179/(AC179/12)&gt;7,AS179/(AC179/12)&lt;=14),"Abaixar Preço",AND(AS179/(AC179/12)&gt;14,AS179/(AC179/12)&lt;=20),"Estabilizando",AS179/(AC179/12)&gt;20,"Instavel"),"Instavel")</f>
        <v>Estabilizando</v>
      </c>
      <c r="AL179" s="1" t="str" cm="1">
        <f t="array" ref="AL179">IFERROR(_xlfn.IFS(AT179="","Sem Produto",AND(AT179/(AD179/12)&gt;0,AT179/(AD179/12)&lt;=2),"Acabando",AND(AT179/(AD179/12)&gt;2,AT179/(AD179/12)&lt;=3),"Fazer Pedido",AND(AT179/(AD179/12)&gt;3,AT179/(AD179/12)&lt;=7),"OK",AND(AT179/(AD179/12)&gt;7,AT179/(AD179/12)&lt;=14),"Abaixar Preço",AND(AT179/(AD179/12)&gt;14,AT179/(AD179/12)&lt;=20),"Estabilizando",AT179/(AD179/12)&gt;20,"Instavel"),"Instavel")</f>
        <v>Abaixar Preço</v>
      </c>
      <c r="AM179" s="1" t="str" cm="1">
        <f t="array" ref="AM179">IFERROR(_xlfn.IFS(AU179="","Sem Produto",AND(AU179/(AE179/12)&gt;0,AU179/(AE179/12)&lt;=2),"Acabando",AND(AU179/(AE179/12)&gt;2,AU179/(AE179/12)&lt;=3),"Fazer Pedido",AND(AU179/(AE179/12)&gt;3,AU179/(AE179/12)&lt;=7),"OK",AND(AU179/(AE179/12)&gt;7,AU179/(AE179/12)&lt;=14),"Abaixar Preço",AND(AU179/(AE179/12)&gt;14,AU179/(AE179/12)&lt;=20),"Estabilizando",AU179/(AE179/12)&gt;20,"Instavel"),"Instavel")</f>
        <v>Instavel</v>
      </c>
      <c r="AN179" s="1" t="str">
        <f ca="1">IF(SUMIF(vendaAno[data],SituaçãoEstoqueFluxo[[#This Row],[data]],vendaAno[estoque])=0,"Algo errado",IF(AND(AX179/AW179&gt;0,AX179/AW179&lt;=1),"Alerta",IF(AND(AX179/AW179&gt;1,AX179/AW179&lt;=1.5),"Fazer pedido",IF(AND(AX179/AW179&gt;1.5,AX179/AW179&lt;=2),"Ok",IF(AND(AX179/AW179&gt;2,AX179/AW179&lt;=2.5),"Estabilizando",IF(AND(AX179/AW179&gt;2.5,AX179/AW179&lt;=3),"Cheio","Abaixar preço"))))))</f>
        <v>Abaixar preço</v>
      </c>
      <c r="AO179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79" s="116">
        <f t="shared" si="9"/>
        <v>46055</v>
      </c>
      <c r="AQ17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4.166666666666667</v>
      </c>
      <c r="AR17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10.25</v>
      </c>
      <c r="AS17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</v>
      </c>
      <c r="AT17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6.833333333333333</v>
      </c>
      <c r="AU17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7.583333333333333</v>
      </c>
      <c r="AV179" s="82" cm="1">
        <f t="array" aca="1" ref="AV1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179" s="82" cm="1">
        <f t="array" aca="1" ref="AW1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79" s="82">
        <f>SUM(FluxoEstoqueDateTime[[#This Row],[OVO BRANCO A]:[OVO BRANCO JUMBO]])</f>
        <v>31.333333333333332</v>
      </c>
    </row>
    <row r="180" spans="1:50" x14ac:dyDescent="0.25">
      <c r="A180" s="4" t="s">
        <v>20</v>
      </c>
      <c r="B180" s="55" t="s">
        <v>11</v>
      </c>
      <c r="C180" s="5">
        <v>11</v>
      </c>
      <c r="D180" s="56">
        <v>16</v>
      </c>
      <c r="E180" s="56">
        <v>176</v>
      </c>
      <c r="F180" s="157">
        <v>46195</v>
      </c>
      <c r="G180" s="4" t="s">
        <v>291</v>
      </c>
      <c r="H180" s="4" t="s">
        <v>148</v>
      </c>
      <c r="I180" s="153">
        <v>14.25</v>
      </c>
      <c r="J180" s="12">
        <v>8.0991124260355263E-2</v>
      </c>
      <c r="Z180" s="116">
        <f t="shared" si="7"/>
        <v>46054</v>
      </c>
      <c r="AA18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9.5714285714285712</v>
      </c>
      <c r="AB18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7.1428571428571432</v>
      </c>
      <c r="AC18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2.1428571428571428</v>
      </c>
      <c r="AD18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8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3.5714285714285716</v>
      </c>
      <c r="AF18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33.142857142857146</v>
      </c>
      <c r="AG18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38.425762064022933</v>
      </c>
      <c r="AH180" s="116">
        <f t="shared" si="8"/>
        <v>46054</v>
      </c>
      <c r="AI180" s="1" t="str" cm="1">
        <f t="array" ref="AI180">IFERROR(_xlfn.IFS(AQ180="","Sem Produto",AND(AQ180/(AA180/12)&gt;0,AQ180/(AA180/12)&lt;=2),"Acabando",AND(AQ180/(AA180/12)&gt;2,AQ180/(AA180/12)&lt;=3),"Fazer Pedido",AND(AQ180/(AA180/12)&gt;3,AQ180/(AA180/12)&lt;=7),"OK",AND(AQ180/(AA180/12)&gt;7,AQ180/(AA180/12)&lt;=14),"Abaixar Preço",AND(AQ180/(AA180/12)&gt;14,AQ180/(AA180/12)&lt;=20),"Estabilizando",AQ180/(AA180/12)&gt;20,"Instavel"),"Instavel")</f>
        <v>OK</v>
      </c>
      <c r="AJ180" s="1" t="str" cm="1">
        <f t="array" ref="AJ180">IFERROR(_xlfn.IFS(AR180="","Sem Produto",AND(AR180/(AB180/12)&gt;0,AR180/(AB180/12)&lt;=2),"Acabando",AND(AR180/(AB180/12)&gt;2,AR180/(AB180/12)&lt;=3),"Fazer Pedido",AND(AR180/(AB180/12)&gt;3,AR180/(AB180/12)&lt;=7),"OK",AND(AR180/(AB180/12)&gt;7,AR180/(AB180/12)&lt;=14),"Abaixar Preço",AND(AR180/(AB180/12)&gt;14,AR180/(AB180/12)&lt;=20),"Estabilizando",AR180/(AB180/12)&gt;20,"Instavel"),"Instavel")</f>
        <v>Estabilizando</v>
      </c>
      <c r="AK180" s="1" t="str" cm="1">
        <f t="array" ref="AK180">IFERROR(_xlfn.IFS(AS180="","Sem Produto",AND(AS180/(AC180/12)&gt;0,AS180/(AC180/12)&lt;=2),"Acabando",AND(AS180/(AC180/12)&gt;2,AS180/(AC180/12)&lt;=3),"Fazer Pedido",AND(AS180/(AC180/12)&gt;3,AS180/(AC180/12)&lt;=7),"OK",AND(AS180/(AC180/12)&gt;7,AS180/(AC180/12)&lt;=14),"Abaixar Preço",AND(AS180/(AC180/12)&gt;14,AS180/(AC180/12)&lt;=20),"Estabilizando",AS180/(AC180/12)&gt;20,"Instavel"),"Instavel")</f>
        <v>Estabilizando</v>
      </c>
      <c r="AL180" s="1" t="str" cm="1">
        <f t="array" ref="AL180">IFERROR(_xlfn.IFS(AT180="","Sem Produto",AND(AT180/(AD180/12)&gt;0,AT180/(AD180/12)&lt;=2),"Acabando",AND(AT180/(AD180/12)&gt;2,AT180/(AD180/12)&lt;=3),"Fazer Pedido",AND(AT180/(AD180/12)&gt;3,AT180/(AD180/12)&lt;=7),"OK",AND(AT180/(AD180/12)&gt;7,AT180/(AD180/12)&lt;=14),"Abaixar Preço",AND(AT180/(AD180/12)&gt;14,AT180/(AD180/12)&lt;=20),"Estabilizando",AT180/(AD180/12)&gt;20,"Instavel"),"Instavel")</f>
        <v>Abaixar Preço</v>
      </c>
      <c r="AM180" s="1" t="str" cm="1">
        <f t="array" ref="AM180">IFERROR(_xlfn.IFS(AU180="","Sem Produto",AND(AU180/(AE180/12)&gt;0,AU180/(AE180/12)&lt;=2),"Acabando",AND(AU180/(AE180/12)&gt;2,AU180/(AE180/12)&lt;=3),"Fazer Pedido",AND(AU180/(AE180/12)&gt;3,AU180/(AE180/12)&lt;=7),"OK",AND(AU180/(AE180/12)&gt;7,AU180/(AE180/12)&lt;=14),"Abaixar Preço",AND(AU180/(AE180/12)&gt;14,AU180/(AE180/12)&lt;=20),"Estabilizando",AU180/(AE180/12)&gt;20,"Instavel"),"Instavel")</f>
        <v>Instavel</v>
      </c>
      <c r="AN180" s="1" t="str">
        <f ca="1">IF(SUMIF(vendaAno[data],SituaçãoEstoqueFluxo[[#This Row],[data]],vendaAno[estoque])=0,"Algo errado",IF(AND(AX180/AW180&gt;0,AX180/AW180&lt;=1),"Alerta",IF(AND(AX180/AW180&gt;1,AX180/AW180&lt;=1.5),"Fazer pedido",IF(AND(AX180/AW180&gt;1.5,AX180/AW180&lt;=2),"Ok",IF(AND(AX180/AW180&gt;2,AX180/AW180&lt;=2.5),"Estabilizando",IF(AND(AX180/AW180&gt;2.5,AX180/AW180&lt;=3),"Cheio","Abaixar preço"))))))</f>
        <v>Abaixar preço</v>
      </c>
      <c r="AO180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80" s="116">
        <f t="shared" si="9"/>
        <v>46054</v>
      </c>
      <c r="AQ18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4.5</v>
      </c>
      <c r="AR18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8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18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</v>
      </c>
      <c r="AU180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7.916666666666667</v>
      </c>
      <c r="AV180" s="82" cm="1">
        <f t="array" aca="1" ref="AV1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24.857142857142858</v>
      </c>
      <c r="AW180" s="82" cm="1">
        <f t="array" aca="1" ref="AW1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8.2857142857142865</v>
      </c>
      <c r="AX180" s="82">
        <f>SUM(FluxoEstoqueDateTime[[#This Row],[OVO BRANCO A]:[OVO BRANCO JUMBO]])</f>
        <v>34.25</v>
      </c>
    </row>
    <row r="181" spans="1:50" x14ac:dyDescent="0.25">
      <c r="A181" s="4" t="s">
        <v>20</v>
      </c>
      <c r="B181" s="55" t="s">
        <v>10</v>
      </c>
      <c r="C181" s="5">
        <v>17</v>
      </c>
      <c r="D181" s="56">
        <v>19</v>
      </c>
      <c r="E181" s="56">
        <v>323</v>
      </c>
      <c r="F181" s="157">
        <v>46195</v>
      </c>
      <c r="G181" s="4" t="s">
        <v>291</v>
      </c>
      <c r="H181" s="4" t="s">
        <v>148</v>
      </c>
      <c r="I181" s="153">
        <v>60.92</v>
      </c>
      <c r="J181" s="12">
        <v>0.18859649122807021</v>
      </c>
      <c r="Z181" s="116">
        <f t="shared" si="7"/>
        <v>46053</v>
      </c>
      <c r="AA18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</v>
      </c>
      <c r="AB18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8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8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10.857142857142858</v>
      </c>
      <c r="AE18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18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</v>
      </c>
      <c r="AG18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38.462449848927626</v>
      </c>
      <c r="AH181" s="116">
        <f t="shared" si="8"/>
        <v>46053</v>
      </c>
      <c r="AI181" s="1" t="str" cm="1">
        <f t="array" ref="AI181">IFERROR(_xlfn.IFS(AQ181="","Sem Produto",AND(AQ181/(AA181/12)&gt;0,AQ181/(AA181/12)&lt;=2),"Acabando",AND(AQ181/(AA181/12)&gt;2,AQ181/(AA181/12)&lt;=3),"Fazer Pedido",AND(AQ181/(AA181/12)&gt;3,AQ181/(AA181/12)&lt;=7),"OK",AND(AQ181/(AA181/12)&gt;7,AQ181/(AA181/12)&lt;=14),"Abaixar Preço",AND(AQ181/(AA181/12)&gt;14,AQ181/(AA181/12)&lt;=20),"Estabilizando",AQ181/(AA181/12)&gt;20,"Instavel"),"Instavel")</f>
        <v>Abaixar Preço</v>
      </c>
      <c r="AJ181" s="1" t="str" cm="1">
        <f t="array" ref="AJ181">IFERROR(_xlfn.IFS(AR181="","Sem Produto",AND(AR181/(AB181/12)&gt;0,AR181/(AB181/12)&lt;=2),"Acabando",AND(AR181/(AB181/12)&gt;2,AR181/(AB181/12)&lt;=3),"Fazer Pedido",AND(AR181/(AB181/12)&gt;3,AR181/(AB181/12)&lt;=7),"OK",AND(AR181/(AB181/12)&gt;7,AR181/(AB181/12)&lt;=14),"Abaixar Preço",AND(AR181/(AB181/12)&gt;14,AR181/(AB181/12)&lt;=20),"Estabilizando",AR181/(AB181/12)&gt;20,"Instavel"),"Instavel")</f>
        <v>Estabilizando</v>
      </c>
      <c r="AK181" s="1" t="str" cm="1">
        <f t="array" ref="AK181">IFERROR(_xlfn.IFS(AS181="","Sem Produto",AND(AS181/(AC181/12)&gt;0,AS181/(AC181/12)&lt;=2),"Acabando",AND(AS181/(AC181/12)&gt;2,AS181/(AC181/12)&lt;=3),"Fazer Pedido",AND(AS181/(AC181/12)&gt;3,AS181/(AC181/12)&lt;=7),"OK",AND(AS181/(AC181/12)&gt;7,AS181/(AC181/12)&lt;=14),"Abaixar Preço",AND(AS181/(AC181/12)&gt;14,AS181/(AC181/12)&lt;=20),"Estabilizando",AS181/(AC181/12)&gt;20,"Instavel"),"Instavel")</f>
        <v>Abaixar Preço</v>
      </c>
      <c r="AL181" s="1" t="str" cm="1">
        <f t="array" ref="AL181">IFERROR(_xlfn.IFS(AT181="","Sem Produto",AND(AT181/(AD181/12)&gt;0,AT181/(AD181/12)&lt;=2),"Acabando",AND(AT181/(AD181/12)&gt;2,AT181/(AD181/12)&lt;=3),"Fazer Pedido",AND(AT181/(AD181/12)&gt;3,AT181/(AD181/12)&lt;=7),"OK",AND(AT181/(AD181/12)&gt;7,AT181/(AD181/12)&lt;=14),"Abaixar Preço",AND(AT181/(AD181/12)&gt;14,AT181/(AD181/12)&lt;=20),"Estabilizando",AT181/(AD181/12)&gt;20,"Instavel"),"Instavel")</f>
        <v>Abaixar Preço</v>
      </c>
      <c r="AM181" s="1" t="str" cm="1">
        <f t="array" ref="AM181">IFERROR(_xlfn.IFS(AU181="","Sem Produto",AND(AU181/(AE181/12)&gt;0,AU181/(AE181/12)&lt;=2),"Acabando",AND(AU181/(AE181/12)&gt;2,AU181/(AE181/12)&lt;=3),"Fazer Pedido",AND(AU181/(AE181/12)&gt;3,AU181/(AE181/12)&lt;=7),"OK",AND(AU181/(AE181/12)&gt;7,AU181/(AE181/12)&lt;=14),"Abaixar Preço",AND(AU181/(AE181/12)&gt;14,AU181/(AE181/12)&lt;=20),"Estabilizando",AU181/(AE181/12)&gt;20,"Instavel"),"Instavel")</f>
        <v>Instavel</v>
      </c>
      <c r="AN181" s="1" t="str">
        <f ca="1">IF(SUMIF(vendaAno[data],SituaçãoEstoqueFluxo[[#This Row],[data]],vendaAno[estoque])=0,"Algo errado",IF(AND(AX181/AW181&gt;0,AX181/AW181&lt;=1),"Alerta",IF(AND(AX181/AW181&gt;1,AX181/AW181&lt;=1.5),"Fazer pedido",IF(AND(AX181/AW181&gt;1.5,AX181/AW181&lt;=2),"Ok",IF(AND(AX181/AW181&gt;2,AX181/AW181&lt;=2.5),"Estabilizando",IF(AND(AX181/AW181&gt;2.5,AX181/AW181&lt;=3),"Cheio","Abaixar preço"))))))</f>
        <v>Abaixar preço</v>
      </c>
      <c r="AO181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181" s="116">
        <f t="shared" si="9"/>
        <v>46053</v>
      </c>
      <c r="AQ18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5.5</v>
      </c>
      <c r="AR18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11.25</v>
      </c>
      <c r="AS18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2.5833333333333335</v>
      </c>
      <c r="AT18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8.8333333333333339</v>
      </c>
      <c r="AU181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8.6666666666666661</v>
      </c>
      <c r="AV181" s="82" cm="1">
        <f t="array" aca="1" ref="AV1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</v>
      </c>
      <c r="AW181" s="82" cm="1">
        <f t="array" aca="1" ref="AW1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</v>
      </c>
      <c r="AX181" s="82">
        <f>SUM(FluxoEstoqueDateTime[[#This Row],[OVO BRANCO A]:[OVO BRANCO JUMBO]])</f>
        <v>36.833333333333329</v>
      </c>
    </row>
    <row r="182" spans="1:50" x14ac:dyDescent="0.25">
      <c r="A182" s="4" t="s">
        <v>20</v>
      </c>
      <c r="B182" s="55" t="s">
        <v>14</v>
      </c>
      <c r="C182" s="5">
        <v>4</v>
      </c>
      <c r="D182" s="56">
        <v>22</v>
      </c>
      <c r="E182" s="56">
        <v>88</v>
      </c>
      <c r="F182" s="157">
        <v>46194</v>
      </c>
      <c r="G182" s="4" t="s">
        <v>93</v>
      </c>
      <c r="H182" s="4" t="s">
        <v>148</v>
      </c>
      <c r="I182" s="153">
        <v>22.87</v>
      </c>
      <c r="J182" s="12">
        <v>0.25984848484848494</v>
      </c>
      <c r="Z182" s="116">
        <f t="shared" si="7"/>
        <v>46052</v>
      </c>
      <c r="AA18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11.142857142857142</v>
      </c>
      <c r="AB18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18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8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10.714285714285714</v>
      </c>
      <c r="AE18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1.7142857142857142</v>
      </c>
      <c r="AF18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31.571428571428573</v>
      </c>
      <c r="AG18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39.232604109055906</v>
      </c>
      <c r="AH182" s="116">
        <f t="shared" si="8"/>
        <v>46052</v>
      </c>
      <c r="AI182" s="1" t="str" cm="1">
        <f t="array" ref="AI182">IFERROR(_xlfn.IFS(AQ182="","Sem Produto",AND(AQ182/(AA182/12)&gt;0,AQ182/(AA182/12)&lt;=2),"Acabando",AND(AQ182/(AA182/12)&gt;2,AQ182/(AA182/12)&lt;=3),"Fazer Pedido",AND(AQ182/(AA182/12)&gt;3,AQ182/(AA182/12)&lt;=7),"OK",AND(AQ182/(AA182/12)&gt;7,AQ182/(AA182/12)&lt;=14),"Abaixar Preço",AND(AQ182/(AA182/12)&gt;14,AQ182/(AA182/12)&lt;=20),"Estabilizando",AQ182/(AA182/12)&gt;20,"Instavel"),"Instavel")</f>
        <v>OK</v>
      </c>
      <c r="AJ182" s="1" t="str" cm="1">
        <f t="array" ref="AJ182">IFERROR(_xlfn.IFS(AR182="","Sem Produto",AND(AR182/(AB182/12)&gt;0,AR182/(AB182/12)&lt;=2),"Acabando",AND(AR182/(AB182/12)&gt;2,AR182/(AB182/12)&lt;=3),"Fazer Pedido",AND(AR182/(AB182/12)&gt;3,AR182/(AB182/12)&lt;=7),"OK",AND(AR182/(AB182/12)&gt;7,AR182/(AB182/12)&lt;=14),"Abaixar Preço",AND(AR182/(AB182/12)&gt;14,AR182/(AB182/12)&lt;=20),"Estabilizando",AR182/(AB182/12)&gt;20,"Instavel"),"Instavel")</f>
        <v>Instavel</v>
      </c>
      <c r="AK182" s="1" t="str" cm="1">
        <f t="array" ref="AK182">IFERROR(_xlfn.IFS(AS182="","Sem Produto",AND(AS182/(AC182/12)&gt;0,AS182/(AC182/12)&lt;=2),"Acabando",AND(AS182/(AC182/12)&gt;2,AS182/(AC182/12)&lt;=3),"Fazer Pedido",AND(AS182/(AC182/12)&gt;3,AS182/(AC182/12)&lt;=7),"OK",AND(AS182/(AC182/12)&gt;7,AS182/(AC182/12)&lt;=14),"Abaixar Preço",AND(AS182/(AC182/12)&gt;14,AS182/(AC182/12)&lt;=20),"Estabilizando",AS182/(AC182/12)&gt;20,"Instavel"),"Instavel")</f>
        <v>Abaixar Preço</v>
      </c>
      <c r="AL182" s="1" t="str" cm="1">
        <f t="array" ref="AL182">IFERROR(_xlfn.IFS(AT182="","Sem Produto",AND(AT182/(AD182/12)&gt;0,AT182/(AD182/12)&lt;=2),"Acabando",AND(AT182/(AD182/12)&gt;2,AT182/(AD182/12)&lt;=3),"Fazer Pedido",AND(AT182/(AD182/12)&gt;3,AT182/(AD182/12)&lt;=7),"OK",AND(AT182/(AD182/12)&gt;7,AT182/(AD182/12)&lt;=14),"Abaixar Preço",AND(AT182/(AD182/12)&gt;14,AT182/(AD182/12)&lt;=20),"Estabilizando",AT182/(AD182/12)&gt;20,"Instavel"),"Instavel")</f>
        <v>Abaixar Preço</v>
      </c>
      <c r="AM182" s="1" t="str" cm="1">
        <f t="array" ref="AM182">IFERROR(_xlfn.IFS(AU182="","Sem Produto",AND(AU182/(AE182/12)&gt;0,AU182/(AE182/12)&lt;=2),"Acabando",AND(AU182/(AE182/12)&gt;2,AU182/(AE182/12)&lt;=3),"Fazer Pedido",AND(AU182/(AE182/12)&gt;3,AU182/(AE182/12)&lt;=7),"OK",AND(AU182/(AE182/12)&gt;7,AU182/(AE182/12)&lt;=14),"Abaixar Preço",AND(AU182/(AE182/12)&gt;14,AU182/(AE182/12)&lt;=20),"Estabilizando",AU182/(AE182/12)&gt;20,"Instavel"),"Instavel")</f>
        <v>Instavel</v>
      </c>
      <c r="AN182" s="1" t="str">
        <f ca="1">IF(SUMIF(vendaAno[data],SituaçãoEstoqueFluxo[[#This Row],[data]],vendaAno[estoque])=0,"Algo errado",IF(AND(AX182/AW182&gt;0,AX182/AW182&lt;=1),"Alerta",IF(AND(AX182/AW182&gt;1,AX182/AW182&lt;=1.5),"Fazer pedido",IF(AND(AX182/AW182&gt;1.5,AX182/AW182&lt;=2),"Ok",IF(AND(AX182/AW182&gt;2,AX182/AW182&lt;=2.5),"Estabilizando",IF(AND(AX182/AW182&gt;2.5,AX182/AW182&lt;=3),"Cheio","Abaixar preço"))))))</f>
        <v>Abaixar preço</v>
      </c>
      <c r="AO182" s="82">
        <f>SUMIFS(estoque[quantidade],estoque[fornecedor],"&lt;&gt;saída",estoque[data],SituaçãoEstoqueFluxo[[#This Row],[data]])-SUMIFS(estoque[quantidade],estoque[fornecedor],"saída",estoque[data],SituaçãoEstoqueFluxo[[#This Row],[data]])</f>
        <v>-16</v>
      </c>
      <c r="AP182" s="116">
        <f t="shared" si="9"/>
        <v>46052</v>
      </c>
      <c r="AQ18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5.75</v>
      </c>
      <c r="AR18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12.333333333333334</v>
      </c>
      <c r="AS18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2.75</v>
      </c>
      <c r="AT18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9.1666666666666661</v>
      </c>
      <c r="AU18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</v>
      </c>
      <c r="AV182" s="82" cm="1">
        <f t="array" aca="1" ref="AV1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23.678571428571427</v>
      </c>
      <c r="AW182" s="82" cm="1">
        <f t="array" aca="1" ref="AW1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7.8928571428571432</v>
      </c>
      <c r="AX182" s="82">
        <f>SUM(FluxoEstoqueDateTime[[#This Row],[OVO BRANCO A]:[OVO BRANCO JUMBO]])</f>
        <v>39</v>
      </c>
    </row>
    <row r="183" spans="1:50" x14ac:dyDescent="0.25">
      <c r="A183" s="4" t="s">
        <v>20</v>
      </c>
      <c r="B183" s="55" t="s">
        <v>13</v>
      </c>
      <c r="C183" s="5">
        <v>15</v>
      </c>
      <c r="D183" s="56">
        <v>20</v>
      </c>
      <c r="E183" s="56">
        <v>300</v>
      </c>
      <c r="F183" s="157">
        <v>46194</v>
      </c>
      <c r="G183" s="4" t="s">
        <v>93</v>
      </c>
      <c r="H183" s="4" t="s">
        <v>148</v>
      </c>
      <c r="I183" s="153">
        <v>62.5</v>
      </c>
      <c r="J183" s="12">
        <v>0.20833333333333331</v>
      </c>
      <c r="Z183" s="116">
        <f t="shared" si="7"/>
        <v>46051</v>
      </c>
      <c r="AA18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18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7.2857142857142856</v>
      </c>
      <c r="AC18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18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11.142857142857142</v>
      </c>
      <c r="AE18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1.5714285714285714</v>
      </c>
      <c r="AF18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</v>
      </c>
      <c r="AG18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41.447342509796044</v>
      </c>
      <c r="AH183" s="116">
        <f t="shared" si="8"/>
        <v>46051</v>
      </c>
      <c r="AI183" s="1" t="str" cm="1">
        <f t="array" ref="AI183">IFERROR(_xlfn.IFS(AQ183="","Sem Produto",AND(AQ183/(AA183/12)&gt;0,AQ183/(AA183/12)&lt;=2),"Acabando",AND(AQ183/(AA183/12)&gt;2,AQ183/(AA183/12)&lt;=3),"Fazer Pedido",AND(AQ183/(AA183/12)&gt;3,AQ183/(AA183/12)&lt;=7),"OK",AND(AQ183/(AA183/12)&gt;7,AQ183/(AA183/12)&lt;=14),"Abaixar Preço",AND(AQ183/(AA183/12)&gt;14,AQ183/(AA183/12)&lt;=20),"Estabilizando",AQ183/(AA183/12)&gt;20,"Instavel"),"Instavel")</f>
        <v>OK</v>
      </c>
      <c r="AJ183" s="1" t="str" cm="1">
        <f t="array" ref="AJ183">IFERROR(_xlfn.IFS(AR183="","Sem Produto",AND(AR183/(AB183/12)&gt;0,AR183/(AB183/12)&lt;=2),"Acabando",AND(AR183/(AB183/12)&gt;2,AR183/(AB183/12)&lt;=3),"Fazer Pedido",AND(AR183/(AB183/12)&gt;3,AR183/(AB183/12)&lt;=7),"OK",AND(AR183/(AB183/12)&gt;7,AR183/(AB183/12)&lt;=14),"Abaixar Preço",AND(AR183/(AB183/12)&gt;14,AR183/(AB183/12)&lt;=20),"Estabilizando",AR183/(AB183/12)&gt;20,"Instavel"),"Instavel")</f>
        <v>Instavel</v>
      </c>
      <c r="AK183" s="1" t="str" cm="1">
        <f t="array" ref="AK183">IFERROR(_xlfn.IFS(AS183="","Sem Produto",AND(AS183/(AC183/12)&gt;0,AS183/(AC183/12)&lt;=2),"Acabando",AND(AS183/(AC183/12)&gt;2,AS183/(AC183/12)&lt;=3),"Fazer Pedido",AND(AS183/(AC183/12)&gt;3,AS183/(AC183/12)&lt;=7),"OK",AND(AS183/(AC183/12)&gt;7,AS183/(AC183/12)&lt;=14),"Abaixar Preço",AND(AS183/(AC183/12)&gt;14,AS183/(AC183/12)&lt;=20),"Estabilizando",AS183/(AC183/12)&gt;20,"Instavel"),"Instavel")</f>
        <v>Abaixar Preço</v>
      </c>
      <c r="AL183" s="1" t="str" cm="1">
        <f t="array" ref="AL183">IFERROR(_xlfn.IFS(AT183="","Sem Produto",AND(AT183/(AD183/12)&gt;0,AT183/(AD183/12)&lt;=2),"Acabando",AND(AT183/(AD183/12)&gt;2,AT183/(AD183/12)&lt;=3),"Fazer Pedido",AND(AT183/(AD183/12)&gt;3,AT183/(AD183/12)&lt;=7),"OK",AND(AT183/(AD183/12)&gt;7,AT183/(AD183/12)&lt;=14),"Abaixar Preço",AND(AT183/(AD183/12)&gt;14,AT183/(AD183/12)&lt;=20),"Estabilizando",AT183/(AD183/12)&gt;20,"Instavel"),"Instavel")</f>
        <v>Abaixar Preço</v>
      </c>
      <c r="AM183" s="1" t="str" cm="1">
        <f t="array" ref="AM183">IFERROR(_xlfn.IFS(AU183="","Sem Produto",AND(AU183/(AE183/12)&gt;0,AU183/(AE183/12)&lt;=2),"Acabando",AND(AU183/(AE183/12)&gt;2,AU183/(AE183/12)&lt;=3),"Fazer Pedido",AND(AU183/(AE183/12)&gt;3,AU183/(AE183/12)&lt;=7),"OK",AND(AU183/(AE183/12)&gt;7,AU183/(AE183/12)&lt;=14),"Abaixar Preço",AND(AU183/(AE183/12)&gt;14,AU183/(AE183/12)&lt;=20),"Estabilizando",AU183/(AE183/12)&gt;20,"Instavel"),"Instavel")</f>
        <v>Instavel</v>
      </c>
      <c r="AN183" s="1" t="str">
        <f ca="1">IF(SUMIF(vendaAno[data],SituaçãoEstoqueFluxo[[#This Row],[data]],vendaAno[estoque])=0,"Algo errado",IF(AND(AX183/AW183&gt;0,AX183/AW183&lt;=1),"Alerta",IF(AND(AX183/AW183&gt;1,AX183/AW183&lt;=1.5),"Fazer pedido",IF(AND(AX183/AW183&gt;1.5,AX183/AW183&lt;=2),"Ok",IF(AND(AX183/AW183&gt;2,AX183/AW183&lt;=2.5),"Estabilizando",IF(AND(AX183/AW183&gt;2.5,AX183/AW183&lt;=3),"Cheio","Abaixar preço"))))))</f>
        <v>Abaixar preço</v>
      </c>
      <c r="AO183" s="82">
        <f>SUMIFS(estoque[quantidade],estoque[fornecedor],"&lt;&gt;saída",estoque[data],SituaçãoEstoqueFluxo[[#This Row],[data]])-SUMIFS(estoque[quantidade],estoque[fornecedor],"saída",estoque[data],SituaçãoEstoqueFluxo[[#This Row],[data]])</f>
        <v>-24</v>
      </c>
      <c r="AP183" s="116">
        <f t="shared" si="9"/>
        <v>46051</v>
      </c>
      <c r="AQ18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6.166666666666667</v>
      </c>
      <c r="AR18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12.583333333333334</v>
      </c>
      <c r="AS18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2.8333333333333335</v>
      </c>
      <c r="AT18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9.6666666666666661</v>
      </c>
      <c r="AU18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9.0833333333333339</v>
      </c>
      <c r="AV183" s="82" cm="1">
        <f t="array" aca="1" ref="AV1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25.500000000000004</v>
      </c>
      <c r="AW183" s="82" cm="1">
        <f t="array" aca="1" ref="AW1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</v>
      </c>
      <c r="AX183" s="82">
        <f>SUM(FluxoEstoqueDateTime[[#This Row],[OVO BRANCO A]:[OVO BRANCO JUMBO]])</f>
        <v>40.333333333333336</v>
      </c>
    </row>
    <row r="184" spans="1:50" x14ac:dyDescent="0.25">
      <c r="A184" s="4" t="s">
        <v>20</v>
      </c>
      <c r="B184" s="55" t="s">
        <v>12</v>
      </c>
      <c r="C184" s="5">
        <v>4</v>
      </c>
      <c r="D184" s="56">
        <v>15</v>
      </c>
      <c r="E184" s="56">
        <v>60</v>
      </c>
      <c r="F184" s="157">
        <v>46194</v>
      </c>
      <c r="G184" s="4" t="s">
        <v>93</v>
      </c>
      <c r="H184" s="4" t="s">
        <v>148</v>
      </c>
      <c r="I184" s="153">
        <v>4.67</v>
      </c>
      <c r="J184" s="12">
        <v>7.7777777777777626E-2</v>
      </c>
      <c r="Z184" s="116">
        <f t="shared" si="7"/>
        <v>46050</v>
      </c>
      <c r="AA18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12</v>
      </c>
      <c r="AB18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6.8571428571428568</v>
      </c>
      <c r="AC18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2.5714285714285716</v>
      </c>
      <c r="AD18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8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0.8571428571428571</v>
      </c>
      <c r="AF18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34.428571428571431</v>
      </c>
      <c r="AG18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43.021442475050733</v>
      </c>
      <c r="AH184" s="116">
        <f t="shared" si="8"/>
        <v>46050</v>
      </c>
      <c r="AI184" s="1" t="str" cm="1">
        <f t="array" ref="AI184">IFERROR(_xlfn.IFS(AQ184="","Sem Produto",AND(AQ184/(AA184/12)&gt;0,AQ184/(AA184/12)&lt;=2),"Acabando",AND(AQ184/(AA184/12)&gt;2,AQ184/(AA184/12)&lt;=3),"Fazer Pedido",AND(AQ184/(AA184/12)&gt;3,AQ184/(AA184/12)&lt;=7),"OK",AND(AQ184/(AA184/12)&gt;7,AQ184/(AA184/12)&lt;=14),"Abaixar Preço",AND(AQ184/(AA184/12)&gt;14,AQ184/(AA184/12)&lt;=20),"Estabilizando",AQ184/(AA184/12)&gt;20,"Instavel"),"Instavel")</f>
        <v>OK</v>
      </c>
      <c r="AJ184" s="1" t="str" cm="1">
        <f t="array" ref="AJ184">IFERROR(_xlfn.IFS(AR184="","Sem Produto",AND(AR184/(AB184/12)&gt;0,AR184/(AB184/12)&lt;=2),"Acabando",AND(AR184/(AB184/12)&gt;2,AR184/(AB184/12)&lt;=3),"Fazer Pedido",AND(AR184/(AB184/12)&gt;3,AR184/(AB184/12)&lt;=7),"OK",AND(AR184/(AB184/12)&gt;7,AR184/(AB184/12)&lt;=14),"Abaixar Preço",AND(AR184/(AB184/12)&gt;14,AR184/(AB184/12)&lt;=20),"Estabilizando",AR184/(AB184/12)&gt;20,"Instavel"),"Instavel")</f>
        <v>Instavel</v>
      </c>
      <c r="AK184" s="1" t="str" cm="1">
        <f t="array" ref="AK184">IFERROR(_xlfn.IFS(AS184="","Sem Produto",AND(AS184/(AC184/12)&gt;0,AS184/(AC184/12)&lt;=2),"Acabando",AND(AS184/(AC184/12)&gt;2,AS184/(AC184/12)&lt;=3),"Fazer Pedido",AND(AS184/(AC184/12)&gt;3,AS184/(AC184/12)&lt;=7),"OK",AND(AS184/(AC184/12)&gt;7,AS184/(AC184/12)&lt;=14),"Abaixar Preço",AND(AS184/(AC184/12)&gt;14,AS184/(AC184/12)&lt;=20),"Estabilizando",AS184/(AC184/12)&gt;20,"Instavel"),"Instavel")</f>
        <v>Abaixar Preço</v>
      </c>
      <c r="AL184" s="1" t="str" cm="1">
        <f t="array" ref="AL184">IFERROR(_xlfn.IFS(AT184="","Sem Produto",AND(AT184/(AD184/12)&gt;0,AT184/(AD184/12)&lt;=2),"Acabando",AND(AT184/(AD184/12)&gt;2,AT184/(AD184/12)&lt;=3),"Fazer Pedido",AND(AT184/(AD184/12)&gt;3,AT184/(AD184/12)&lt;=7),"OK",AND(AT184/(AD184/12)&gt;7,AT184/(AD184/12)&lt;=14),"Abaixar Preço",AND(AT184/(AD184/12)&gt;14,AT184/(AD184/12)&lt;=20),"Estabilizando",AT184/(AD184/12)&gt;20,"Instavel"),"Instavel")</f>
        <v>Abaixar Preço</v>
      </c>
      <c r="AM184" s="1" t="str" cm="1">
        <f t="array" ref="AM184">IFERROR(_xlfn.IFS(AU184="","Sem Produto",AND(AU184/(AE184/12)&gt;0,AU184/(AE184/12)&lt;=2),"Acabando",AND(AU184/(AE184/12)&gt;2,AU184/(AE184/12)&lt;=3),"Fazer Pedido",AND(AU184/(AE184/12)&gt;3,AU184/(AE184/12)&lt;=7),"OK",AND(AU184/(AE184/12)&gt;7,AU184/(AE184/12)&lt;=14),"Abaixar Preço",AND(AU184/(AE184/12)&gt;14,AU184/(AE184/12)&lt;=20),"Estabilizando",AU184/(AE184/12)&gt;20,"Instavel"),"Instavel")</f>
        <v>Instavel</v>
      </c>
      <c r="AN184" s="1" t="str">
        <f ca="1">IF(SUMIF(vendaAno[data],SituaçãoEstoqueFluxo[[#This Row],[data]],vendaAno[estoque])=0,"Algo errado",IF(AND(AX184/AW184&gt;0,AX184/AW184&lt;=1),"Alerta",IF(AND(AX184/AW184&gt;1,AX184/AW184&lt;=1.5),"Fazer pedido",IF(AND(AX184/AW184&gt;1.5,AX184/AW184&lt;=2),"Ok",IF(AND(AX184/AW184&gt;2,AX184/AW184&lt;=2.5),"Estabilizando",IF(AND(AX184/AW184&gt;2.5,AX184/AW184&lt;=3),"Cheio","Abaixar preço"))))))</f>
        <v>Abaixar preço</v>
      </c>
      <c r="AO184" s="82">
        <f>SUMIFS(estoque[quantidade],estoque[fornecedor],"&lt;&gt;saída",estoque[data],SituaçãoEstoqueFluxo[[#This Row],[data]])-SUMIFS(estoque[quantidade],estoque[fornecedor],"saída",estoque[data],SituaçãoEstoqueFluxo[[#This Row],[data]])</f>
        <v>-49</v>
      </c>
      <c r="AP184" s="116">
        <f t="shared" si="9"/>
        <v>46050</v>
      </c>
      <c r="AQ18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6.416666666666667</v>
      </c>
      <c r="AR18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12.916666666666666</v>
      </c>
      <c r="AS18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</v>
      </c>
      <c r="AT18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10.5</v>
      </c>
      <c r="AU18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</v>
      </c>
      <c r="AV184" s="82" cm="1">
        <f t="array" aca="1" ref="AV1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25.821428571428569</v>
      </c>
      <c r="AW184" s="82" cm="1">
        <f t="array" aca="1" ref="AW1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8.6071428571428577</v>
      </c>
      <c r="AX184" s="82">
        <f>SUM(FluxoEstoqueDateTime[[#This Row],[OVO BRANCO A]:[OVO BRANCO JUMBO]])</f>
        <v>42.333333333333329</v>
      </c>
    </row>
    <row r="185" spans="1:50" x14ac:dyDescent="0.25">
      <c r="A185" s="4" t="s">
        <v>20</v>
      </c>
      <c r="B185" s="55" t="s">
        <v>11</v>
      </c>
      <c r="C185" s="5">
        <v>13</v>
      </c>
      <c r="D185" s="56">
        <v>16</v>
      </c>
      <c r="E185" s="56">
        <v>208</v>
      </c>
      <c r="F185" s="157">
        <v>46194</v>
      </c>
      <c r="G185" s="4" t="s">
        <v>93</v>
      </c>
      <c r="H185" s="4" t="s">
        <v>148</v>
      </c>
      <c r="I185" s="153">
        <v>16.850000000000001</v>
      </c>
      <c r="J185" s="12">
        <v>8.0991124260355277E-2</v>
      </c>
      <c r="Z185" s="116">
        <f t="shared" si="7"/>
        <v>46049</v>
      </c>
      <c r="AA18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</v>
      </c>
      <c r="AB18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5.2857142857142856</v>
      </c>
      <c r="AC18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2.4285714285714284</v>
      </c>
      <c r="AD18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11.571428571428571</v>
      </c>
      <c r="AE18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1.1428571428571428</v>
      </c>
      <c r="AF18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30.428571428571427</v>
      </c>
      <c r="AG18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42.270285432958183</v>
      </c>
      <c r="AH185" s="116">
        <f t="shared" si="8"/>
        <v>46049</v>
      </c>
      <c r="AI185" s="1" t="str" cm="1">
        <f t="array" ref="AI185">IFERROR(_xlfn.IFS(AQ185="","Sem Produto",AND(AQ185/(AA185/12)&gt;0,AQ185/(AA185/12)&lt;=2),"Acabando",AND(AQ185/(AA185/12)&gt;2,AQ185/(AA185/12)&lt;=3),"Fazer Pedido",AND(AQ185/(AA185/12)&gt;3,AQ185/(AA185/12)&lt;=7),"OK",AND(AQ185/(AA185/12)&gt;7,AQ185/(AA185/12)&lt;=14),"Abaixar Preço",AND(AQ185/(AA185/12)&gt;14,AQ185/(AA185/12)&lt;=20),"Estabilizando",AQ185/(AA185/12)&gt;20,"Instavel"),"Instavel")</f>
        <v>Abaixar Preço</v>
      </c>
      <c r="AJ185" s="1" t="str" cm="1">
        <f t="array" ref="AJ185">IFERROR(_xlfn.IFS(AR185="","Sem Produto",AND(AR185/(AB185/12)&gt;0,AR185/(AB185/12)&lt;=2),"Acabando",AND(AR185/(AB185/12)&gt;2,AR185/(AB185/12)&lt;=3),"Fazer Pedido",AND(AR185/(AB185/12)&gt;3,AR185/(AB185/12)&lt;=7),"OK",AND(AR185/(AB185/12)&gt;7,AR185/(AB185/12)&lt;=14),"Abaixar Preço",AND(AR185/(AB185/12)&gt;14,AR185/(AB185/12)&lt;=20),"Estabilizando",AR185/(AB185/12)&gt;20,"Instavel"),"Instavel")</f>
        <v>Instavel</v>
      </c>
      <c r="AK185" s="1" t="str" cm="1">
        <f t="array" ref="AK185">IFERROR(_xlfn.IFS(AS185="","Sem Produto",AND(AS185/(AC185/12)&gt;0,AS185/(AC185/12)&lt;=2),"Acabando",AND(AS185/(AC185/12)&gt;2,AS185/(AC185/12)&lt;=3),"Fazer Pedido",AND(AS185/(AC185/12)&gt;3,AS185/(AC185/12)&lt;=7),"OK",AND(AS185/(AC185/12)&gt;7,AS185/(AC185/12)&lt;=14),"Abaixar Preço",AND(AS185/(AC185/12)&gt;14,AS185/(AC185/12)&lt;=20),"Estabilizando",AS185/(AC185/12)&gt;20,"Instavel"),"Instavel")</f>
        <v>Estabilizando</v>
      </c>
      <c r="AL185" s="1" t="str" cm="1">
        <f t="array" ref="AL185">IFERROR(_xlfn.IFS(AT185="","Sem Produto",AND(AT185/(AD185/12)&gt;0,AT185/(AD185/12)&lt;=2),"Acabando",AND(AT185/(AD185/12)&gt;2,AT185/(AD185/12)&lt;=3),"Fazer Pedido",AND(AT185/(AD185/12)&gt;3,AT185/(AD185/12)&lt;=7),"OK",AND(AT185/(AD185/12)&gt;7,AT185/(AD185/12)&lt;=14),"Abaixar Preço",AND(AT185/(AD185/12)&gt;14,AT185/(AD185/12)&lt;=20),"Estabilizando",AT185/(AD185/12)&gt;20,"Instavel"),"Instavel")</f>
        <v>Abaixar Preço</v>
      </c>
      <c r="AM185" s="1" t="str" cm="1">
        <f t="array" ref="AM185">IFERROR(_xlfn.IFS(AU185="","Sem Produto",AND(AU185/(AE185/12)&gt;0,AU185/(AE185/12)&lt;=2),"Acabando",AND(AU185/(AE185/12)&gt;2,AU185/(AE185/12)&lt;=3),"Fazer Pedido",AND(AU185/(AE185/12)&gt;3,AU185/(AE185/12)&lt;=7),"OK",AND(AU185/(AE185/12)&gt;7,AU185/(AE185/12)&lt;=14),"Abaixar Preço",AND(AU185/(AE185/12)&gt;14,AU185/(AE185/12)&lt;=20),"Estabilizando",AU185/(AE185/12)&gt;20,"Instavel"),"Instavel")</f>
        <v>Instavel</v>
      </c>
      <c r="AN185" s="1" t="str">
        <f ca="1">IF(SUMIF(vendaAno[data],SituaçãoEstoqueFluxo[[#This Row],[data]],vendaAno[estoque])=0,"Algo errado",IF(AND(AX185/AW185&gt;0,AX185/AW185&lt;=1),"Alerta",IF(AND(AX185/AW185&gt;1,AX185/AW185&lt;=1.5),"Fazer pedido",IF(AND(AX185/AW185&gt;1.5,AX185/AW185&lt;=2),"Ok",IF(AND(AX185/AW185&gt;2,AX185/AW185&lt;=2.5),"Estabilizando",IF(AND(AX185/AW185&gt;2.5,AX185/AW185&lt;=3),"Cheio","Abaixar preço"))))))</f>
        <v>Abaixar preço</v>
      </c>
      <c r="AO185" s="82">
        <f>SUMIFS(estoque[quantidade],estoque[fornecedor],"&lt;&gt;saída",estoque[data],SituaçãoEstoqueFluxo[[#This Row],[data]])-SUMIFS(estoque[quantidade],estoque[fornecedor],"saída",estoque[data],SituaçãoEstoqueFluxo[[#This Row],[data]])</f>
        <v>309</v>
      </c>
      <c r="AP185" s="116">
        <f t="shared" si="9"/>
        <v>46049</v>
      </c>
      <c r="AQ18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7.916666666666667</v>
      </c>
      <c r="AR18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14.166666666666666</v>
      </c>
      <c r="AS18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3.1666666666666665</v>
      </c>
      <c r="AT18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11.666666666666666</v>
      </c>
      <c r="AU18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9.5</v>
      </c>
      <c r="AV185" s="82" cm="1">
        <f t="array" aca="1" ref="AV1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22.821428571428569</v>
      </c>
      <c r="AW185" s="82" cm="1">
        <f t="array" aca="1" ref="AW1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7.6071428571428568</v>
      </c>
      <c r="AX185" s="82">
        <f>SUM(FluxoEstoqueDateTime[[#This Row],[OVO BRANCO A]:[OVO BRANCO JUMBO]])</f>
        <v>46.416666666666664</v>
      </c>
    </row>
    <row r="186" spans="1:50" x14ac:dyDescent="0.25">
      <c r="A186" s="4" t="s">
        <v>20</v>
      </c>
      <c r="B186" s="55" t="s">
        <v>10</v>
      </c>
      <c r="C186" s="5">
        <v>4</v>
      </c>
      <c r="D186" s="56">
        <v>19</v>
      </c>
      <c r="E186" s="56">
        <v>76</v>
      </c>
      <c r="F186" s="157">
        <v>46194</v>
      </c>
      <c r="G186" s="4" t="s">
        <v>93</v>
      </c>
      <c r="H186" s="4" t="s">
        <v>148</v>
      </c>
      <c r="I186" s="153">
        <v>14.33</v>
      </c>
      <c r="J186" s="12">
        <v>0.18859649122807021</v>
      </c>
      <c r="Z186" s="116">
        <f t="shared" si="7"/>
        <v>46048</v>
      </c>
      <c r="AA18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10.142857142857142</v>
      </c>
      <c r="AB18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18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18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12.285714285714286</v>
      </c>
      <c r="AE18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1.2857142857142858</v>
      </c>
      <c r="AF18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29.857142857142858</v>
      </c>
      <c r="AG18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43.451002734731091</v>
      </c>
      <c r="AH186" s="116">
        <f t="shared" si="8"/>
        <v>46048</v>
      </c>
      <c r="AI186" s="1" t="str" cm="1">
        <f t="array" ref="AI186">IFERROR(_xlfn.IFS(AQ186="","Sem Produto",AND(AQ186/(AA186/12)&gt;0,AQ186/(AA186/12)&lt;=2),"Acabando",AND(AQ186/(AA186/12)&gt;2,AQ186/(AA186/12)&lt;=3),"Fazer Pedido",AND(AQ186/(AA186/12)&gt;3,AQ186/(AA186/12)&lt;=7),"OK",AND(AQ186/(AA186/12)&gt;7,AQ186/(AA186/12)&lt;=14),"Abaixar Preço",AND(AQ186/(AA186/12)&gt;14,AQ186/(AA186/12)&lt;=20),"Estabilizando",AQ186/(AA186/12)&gt;20,"Instavel"),"Instavel")</f>
        <v>Abaixar Preço</v>
      </c>
      <c r="AJ186" s="1" t="str" cm="1">
        <f t="array" ref="AJ186">IFERROR(_xlfn.IFS(AR186="","Sem Produto",AND(AR186/(AB186/12)&gt;0,AR186/(AB186/12)&lt;=2),"Acabando",AND(AR186/(AB186/12)&gt;2,AR186/(AB186/12)&lt;=3),"Fazer Pedido",AND(AR186/(AB186/12)&gt;3,AR186/(AB186/12)&lt;=7),"OK",AND(AR186/(AB186/12)&gt;7,AR186/(AB186/12)&lt;=14),"Abaixar Preço",AND(AR186/(AB186/12)&gt;14,AR186/(AB186/12)&lt;=20),"Estabilizando",AR186/(AB186/12)&gt;20,"Instavel"),"Instavel")</f>
        <v>Estabilizando</v>
      </c>
      <c r="AK186" s="1" t="str" cm="1">
        <f t="array" ref="AK186">IFERROR(_xlfn.IFS(AS186="","Sem Produto",AND(AS186/(AC186/12)&gt;0,AS186/(AC186/12)&lt;=2),"Acabando",AND(AS186/(AC186/12)&gt;2,AS186/(AC186/12)&lt;=3),"Fazer Pedido",AND(AS186/(AC186/12)&gt;3,AS186/(AC186/12)&lt;=7),"OK",AND(AS186/(AC186/12)&gt;7,AS186/(AC186/12)&lt;=14),"Abaixar Preço",AND(AS186/(AC186/12)&gt;14,AS186/(AC186/12)&lt;=20),"Estabilizando",AS186/(AC186/12)&gt;20,"Instavel"),"Instavel")</f>
        <v>Instavel</v>
      </c>
      <c r="AL186" s="1" t="str" cm="1">
        <f t="array" ref="AL186">IFERROR(_xlfn.IFS(AT186="","Sem Produto",AND(AT186/(AD186/12)&gt;0,AT186/(AD186/12)&lt;=2),"Acabando",AND(AT186/(AD186/12)&gt;2,AT186/(AD186/12)&lt;=3),"Fazer Pedido",AND(AT186/(AD186/12)&gt;3,AT186/(AD186/12)&lt;=7),"OK",AND(AT186/(AD186/12)&gt;7,AT186/(AD186/12)&lt;=14),"Abaixar Preço",AND(AT186/(AD186/12)&gt;14,AT186/(AD186/12)&lt;=20),"Estabilizando",AT186/(AD186/12)&gt;20,"Instavel"),"Instavel")</f>
        <v>Fazer Pedido</v>
      </c>
      <c r="AM186" s="1" t="str" cm="1">
        <f t="array" ref="AM186">IFERROR(_xlfn.IFS(AU186="","Sem Produto",AND(AU186/(AE186/12)&gt;0,AU186/(AE186/12)&lt;=2),"Acabando",AND(AU186/(AE186/12)&gt;2,AU186/(AE186/12)&lt;=3),"Fazer Pedido",AND(AU186/(AE186/12)&gt;3,AU186/(AE186/12)&lt;=7),"OK",AND(AU186/(AE186/12)&gt;7,AU186/(AE186/12)&lt;=14),"Abaixar Preço",AND(AU186/(AE186/12)&gt;14,AU186/(AE186/12)&lt;=20),"Estabilizando",AU186/(AE186/12)&gt;20,"Instavel"),"Instavel")</f>
        <v>Sem Produto</v>
      </c>
      <c r="AN186" s="1" t="str">
        <f ca="1">IF(SUMIF(vendaAno[data],SituaçãoEstoqueFluxo[[#This Row],[data]],vendaAno[estoque])=0,"Algo errado",IF(AND(AX186/AW186&gt;0,AX186/AW186&lt;=1),"Alerta",IF(AND(AX186/AW186&gt;1,AX186/AW186&lt;=1.5),"Fazer pedido",IF(AND(AX186/AW186&gt;1.5,AX186/AW186&lt;=2),"Ok",IF(AND(AX186/AW186&gt;2,AX186/AW186&lt;=2.5),"Estabilizando",IF(AND(AX186/AW186&gt;2.5,AX186/AW186&lt;=3),"Cheio","Abaixar preço"))))))</f>
        <v>Cheio</v>
      </c>
      <c r="AO186" s="82">
        <f>SUMIFS(estoque[quantidade],estoque[fornecedor],"&lt;&gt;saída",estoque[data],SituaçãoEstoqueFluxo[[#This Row],[data]])-SUMIFS(estoque[quantidade],estoque[fornecedor],"saída",estoque[data],SituaçãoEstoqueFluxo[[#This Row],[data]])</f>
        <v>-35</v>
      </c>
      <c r="AP186" s="116">
        <f t="shared" si="9"/>
        <v>46048</v>
      </c>
      <c r="AQ18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9.0833333333333339</v>
      </c>
      <c r="AR18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5.166666666666667</v>
      </c>
      <c r="AS18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3.5</v>
      </c>
      <c r="AT18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2.9166666666666665</v>
      </c>
      <c r="AU18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6" s="82" cm="1">
        <f t="array" aca="1" ref="AV1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22.392857142857139</v>
      </c>
      <c r="AW186" s="82" cm="1">
        <f t="array" aca="1" ref="AW1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7.4642857142857144</v>
      </c>
      <c r="AX186" s="82">
        <f>SUM(FluxoEstoqueDateTime[[#This Row],[OVO BRANCO A]:[OVO BRANCO JUMBO]])</f>
        <v>20.666666666666668</v>
      </c>
    </row>
    <row r="187" spans="1:50" x14ac:dyDescent="0.25">
      <c r="A187" s="4" t="s">
        <v>20</v>
      </c>
      <c r="B187" s="55" t="s">
        <v>14</v>
      </c>
      <c r="C187" s="5">
        <v>3</v>
      </c>
      <c r="D187" s="56">
        <v>22</v>
      </c>
      <c r="E187" s="56">
        <v>66</v>
      </c>
      <c r="F187" s="157">
        <v>46193</v>
      </c>
      <c r="G187" s="4" t="s">
        <v>92</v>
      </c>
      <c r="H187" s="4" t="s">
        <v>148</v>
      </c>
      <c r="I187" s="153">
        <v>17.149999999999999</v>
      </c>
      <c r="J187" s="12">
        <v>0.25984848484848494</v>
      </c>
      <c r="Z187" s="116">
        <f t="shared" si="7"/>
        <v>46047</v>
      </c>
      <c r="AA18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9.4285714285714288</v>
      </c>
      <c r="AB18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4.7142857142857144</v>
      </c>
      <c r="AC18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1.7142857142857142</v>
      </c>
      <c r="AD18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12.285714285714286</v>
      </c>
      <c r="AE18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</v>
      </c>
      <c r="AF18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30.142857142857142</v>
      </c>
      <c r="AG18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41.40594608670056</v>
      </c>
      <c r="AH187" s="116">
        <f t="shared" si="8"/>
        <v>46047</v>
      </c>
      <c r="AI187" s="1" t="str" cm="1">
        <f t="array" ref="AI187">IFERROR(_xlfn.IFS(AQ187="","Sem Produto",AND(AQ187/(AA187/12)&gt;0,AQ187/(AA187/12)&lt;=2),"Acabando",AND(AQ187/(AA187/12)&gt;2,AQ187/(AA187/12)&lt;=3),"Fazer Pedido",AND(AQ187/(AA187/12)&gt;3,AQ187/(AA187/12)&lt;=7),"OK",AND(AQ187/(AA187/12)&gt;7,AQ187/(AA187/12)&lt;=14),"Abaixar Preço",AND(AQ187/(AA187/12)&gt;14,AQ187/(AA187/12)&lt;=20),"Estabilizando",AQ187/(AA187/12)&gt;20,"Instavel"),"Instavel")</f>
        <v>Abaixar Preço</v>
      </c>
      <c r="AJ187" s="1" t="str" cm="1">
        <f t="array" ref="AJ187">IFERROR(_xlfn.IFS(AR187="","Sem Produto",AND(AR187/(AB187/12)&gt;0,AR187/(AB187/12)&lt;=2),"Acabando",AND(AR187/(AB187/12)&gt;2,AR187/(AB187/12)&lt;=3),"Fazer Pedido",AND(AR187/(AB187/12)&gt;3,AR187/(AB187/12)&lt;=7),"OK",AND(AR187/(AB187/12)&gt;7,AR187/(AB187/12)&lt;=14),"Abaixar Preço",AND(AR187/(AB187/12)&gt;14,AR187/(AB187/12)&lt;=20),"Estabilizando",AR187/(AB187/12)&gt;20,"Instavel"),"Instavel")</f>
        <v>Abaixar Preço</v>
      </c>
      <c r="AK187" s="1" t="str" cm="1">
        <f t="array" ref="AK187">IFERROR(_xlfn.IFS(AS187="","Sem Produto",AND(AS187/(AC187/12)&gt;0,AS187/(AC187/12)&lt;=2),"Acabando",AND(AS187/(AC187/12)&gt;2,AS187/(AC187/12)&lt;=3),"Fazer Pedido",AND(AS187/(AC187/12)&gt;3,AS187/(AC187/12)&lt;=7),"OK",AND(AS187/(AC187/12)&gt;7,AS187/(AC187/12)&lt;=14),"Abaixar Preço",AND(AS187/(AC187/12)&gt;14,AS187/(AC187/12)&lt;=20),"Estabilizando",AS187/(AC187/12)&gt;20,"Instavel"),"Instavel")</f>
        <v>Instavel</v>
      </c>
      <c r="AL187" s="1" t="str" cm="1">
        <f t="array" ref="AL187">IFERROR(_xlfn.IFS(AT187="","Sem Produto",AND(AT187/(AD187/12)&gt;0,AT187/(AD187/12)&lt;=2),"Acabando",AND(AT187/(AD187/12)&gt;2,AT187/(AD187/12)&lt;=3),"Fazer Pedido",AND(AT187/(AD187/12)&gt;3,AT187/(AD187/12)&lt;=7),"OK",AND(AT187/(AD187/12)&gt;7,AT187/(AD187/12)&lt;=14),"Abaixar Preço",AND(AT187/(AD187/12)&gt;14,AT187/(AD187/12)&lt;=20),"Estabilizando",AT187/(AD187/12)&gt;20,"Instavel"),"Instavel")</f>
        <v>OK</v>
      </c>
      <c r="AM187" s="1" t="str" cm="1">
        <f t="array" ref="AM187">IFERROR(_xlfn.IFS(AU187="","Sem Produto",AND(AU187/(AE187/12)&gt;0,AU187/(AE187/12)&lt;=2),"Acabando",AND(AU187/(AE187/12)&gt;2,AU187/(AE187/12)&lt;=3),"Fazer Pedido",AND(AU187/(AE187/12)&gt;3,AU187/(AE187/12)&lt;=7),"OK",AND(AU187/(AE187/12)&gt;7,AU187/(AE187/12)&lt;=14),"Abaixar Preço",AND(AU187/(AE187/12)&gt;14,AU187/(AE187/12)&lt;=20),"Estabilizando",AU187/(AE187/12)&gt;20,"Instavel"),"Instavel")</f>
        <v>Sem Produto</v>
      </c>
      <c r="AN187" s="1" t="str">
        <f ca="1">IF(SUMIF(vendaAno[data],SituaçãoEstoqueFluxo[[#This Row],[data]],vendaAno[estoque])=0,"Algo errado",IF(AND(AX187/AW187&gt;0,AX187/AW187&lt;=1),"Alerta",IF(AND(AX187/AW187&gt;1,AX187/AW187&lt;=1.5),"Fazer pedido",IF(AND(AX187/AW187&gt;1.5,AX187/AW187&lt;=2),"Ok",IF(AND(AX187/AW187&gt;2,AX187/AW187&lt;=2.5),"Estabilizando",IF(AND(AX187/AW187&gt;2.5,AX187/AW187&lt;=3),"Cheio","Abaixar preço"))))))</f>
        <v>Abaixar preço</v>
      </c>
      <c r="AO187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87" s="116">
        <f t="shared" si="9"/>
        <v>46047</v>
      </c>
      <c r="AQ18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10.083333333333334</v>
      </c>
      <c r="AR18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5.416666666666667</v>
      </c>
      <c r="AS18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3.8333333333333335</v>
      </c>
      <c r="AT18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4.25</v>
      </c>
      <c r="AU18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7" s="82" cm="1">
        <f t="array" aca="1" ref="AV1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22.607142857142861</v>
      </c>
      <c r="AW187" s="82" cm="1">
        <f t="array" aca="1" ref="AW1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7.5357142857142856</v>
      </c>
      <c r="AX187" s="82">
        <f>SUM(FluxoEstoqueDateTime[[#This Row],[OVO BRANCO A]:[OVO BRANCO JUMBO]])</f>
        <v>23.583333333333332</v>
      </c>
    </row>
    <row r="188" spans="1:50" x14ac:dyDescent="0.25">
      <c r="A188" s="4" t="s">
        <v>20</v>
      </c>
      <c r="B188" s="55" t="s">
        <v>13</v>
      </c>
      <c r="C188" s="5">
        <v>5</v>
      </c>
      <c r="D188" s="56">
        <v>20</v>
      </c>
      <c r="E188" s="56">
        <v>100</v>
      </c>
      <c r="F188" s="157">
        <v>46193</v>
      </c>
      <c r="G188" s="4" t="s">
        <v>92</v>
      </c>
      <c r="H188" s="4" t="s">
        <v>148</v>
      </c>
      <c r="I188" s="153">
        <v>20.83</v>
      </c>
      <c r="J188" s="12">
        <v>0.20833333333333329</v>
      </c>
      <c r="Z188" s="116">
        <f t="shared" si="7"/>
        <v>46046</v>
      </c>
      <c r="AA18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8.2857142857142865</v>
      </c>
      <c r="AB18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8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18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12.428571428571429</v>
      </c>
      <c r="AE18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2.4285714285714284</v>
      </c>
      <c r="AF18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31.285714285714285</v>
      </c>
      <c r="AG18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42.056404972412423</v>
      </c>
      <c r="AH188" s="116">
        <f t="shared" si="8"/>
        <v>46046</v>
      </c>
      <c r="AI188" s="1" t="str" cm="1">
        <f t="array" ref="AI188">IFERROR(_xlfn.IFS(AQ188="","Sem Produto",AND(AQ188/(AA188/12)&gt;0,AQ188/(AA188/12)&lt;=2),"Acabando",AND(AQ188/(AA188/12)&gt;2,AQ188/(AA188/12)&lt;=3),"Fazer Pedido",AND(AQ188/(AA188/12)&gt;3,AQ188/(AA188/12)&lt;=7),"OK",AND(AQ188/(AA188/12)&gt;7,AQ188/(AA188/12)&lt;=14),"Abaixar Preço",AND(AQ188/(AA188/12)&gt;14,AQ188/(AA188/12)&lt;=20),"Estabilizando",AQ188/(AA188/12)&gt;20,"Instavel"),"Instavel")</f>
        <v>Estabilizando</v>
      </c>
      <c r="AJ188" s="1" t="str" cm="1">
        <f t="array" ref="AJ188">IFERROR(_xlfn.IFS(AR188="","Sem Produto",AND(AR188/(AB188/12)&gt;0,AR188/(AB188/12)&lt;=2),"Acabando",AND(AR188/(AB188/12)&gt;2,AR188/(AB188/12)&lt;=3),"Fazer Pedido",AND(AR188/(AB188/12)&gt;3,AR188/(AB188/12)&lt;=7),"OK",AND(AR188/(AB188/12)&gt;7,AR188/(AB188/12)&lt;=14),"Abaixar Preço",AND(AR188/(AB188/12)&gt;14,AR188/(AB188/12)&lt;=20),"Estabilizando",AR188/(AB188/12)&gt;20,"Instavel"),"Instavel")</f>
        <v>Abaixar Preço</v>
      </c>
      <c r="AK188" s="1" t="str" cm="1">
        <f t="array" ref="AK188">IFERROR(_xlfn.IFS(AS188="","Sem Produto",AND(AS188/(AC188/12)&gt;0,AS188/(AC188/12)&lt;=2),"Acabando",AND(AS188/(AC188/12)&gt;2,AS188/(AC188/12)&lt;=3),"Fazer Pedido",AND(AS188/(AC188/12)&gt;3,AS188/(AC188/12)&lt;=7),"OK",AND(AS188/(AC188/12)&gt;7,AS188/(AC188/12)&lt;=14),"Abaixar Preço",AND(AS188/(AC188/12)&gt;14,AS188/(AC188/12)&lt;=20),"Estabilizando",AS188/(AC188/12)&gt;20,"Instavel"),"Instavel")</f>
        <v>Instavel</v>
      </c>
      <c r="AL188" s="1" t="str" cm="1">
        <f t="array" ref="AL188">IFERROR(_xlfn.IFS(AT188="","Sem Produto",AND(AT188/(AD188/12)&gt;0,AT188/(AD188/12)&lt;=2),"Acabando",AND(AT188/(AD188/12)&gt;2,AT188/(AD188/12)&lt;=3),"Fazer Pedido",AND(AT188/(AD188/12)&gt;3,AT188/(AD188/12)&lt;=7),"OK",AND(AT188/(AD188/12)&gt;7,AT188/(AD188/12)&lt;=14),"Abaixar Preço",AND(AT188/(AD188/12)&gt;14,AT188/(AD188/12)&lt;=20),"Estabilizando",AT188/(AD188/12)&gt;20,"Instavel"),"Instavel")</f>
        <v>OK</v>
      </c>
      <c r="AM188" s="1" t="str" cm="1">
        <f t="array" ref="AM188">IFERROR(_xlfn.IFS(AU188="","Sem Produto",AND(AU188/(AE188/12)&gt;0,AU188/(AE188/12)&lt;=2),"Acabando",AND(AU188/(AE188/12)&gt;2,AU188/(AE188/12)&lt;=3),"Fazer Pedido",AND(AU188/(AE188/12)&gt;3,AU188/(AE188/12)&lt;=7),"OK",AND(AU188/(AE188/12)&gt;7,AU188/(AE188/12)&lt;=14),"Abaixar Preço",AND(AU188/(AE188/12)&gt;14,AU188/(AE188/12)&lt;=20),"Estabilizando",AU188/(AE188/12)&gt;20,"Instavel"),"Instavel")</f>
        <v>Sem Produto</v>
      </c>
      <c r="AN188" s="1" t="str">
        <f ca="1">IF(SUMIF(vendaAno[data],SituaçãoEstoqueFluxo[[#This Row],[data]],vendaAno[estoque])=0,"Algo errado",IF(AND(AX188/AW188&gt;0,AX188/AW188&lt;=1),"Alerta",IF(AND(AX188/AW188&gt;1,AX188/AW188&lt;=1.5),"Fazer pedido",IF(AND(AX188/AW188&gt;1.5,AX188/AW188&lt;=2),"Ok",IF(AND(AX188/AW188&gt;2,AX188/AW188&lt;=2.5),"Estabilizando",IF(AND(AX188/AW188&gt;2.5,AX188/AW188&lt;=3),"Cheio","Abaixar preço"))))))</f>
        <v>Abaixar preço</v>
      </c>
      <c r="AO188" s="82">
        <f>SUMIFS(estoque[quantidade],estoque[fornecedor],"&lt;&gt;saída",estoque[data],SituaçãoEstoqueFluxo[[#This Row],[data]])-SUMIFS(estoque[quantidade],estoque[fornecedor],"saída",estoque[data],SituaçãoEstoqueFluxo[[#This Row],[data]])</f>
        <v>-23</v>
      </c>
      <c r="AP188" s="116">
        <f t="shared" si="9"/>
        <v>46046</v>
      </c>
      <c r="AQ18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10.75</v>
      </c>
      <c r="AR18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</v>
      </c>
      <c r="AS18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4.083333333333333</v>
      </c>
      <c r="AT18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5.166666666666667</v>
      </c>
      <c r="AU18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8" s="82" cm="1">
        <f t="array" aca="1" ref="AV1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23.464285714285712</v>
      </c>
      <c r="AW188" s="82" cm="1">
        <f t="array" aca="1" ref="AW1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7.8214285714285721</v>
      </c>
      <c r="AX188" s="82">
        <f>SUM(FluxoEstoqueDateTime[[#This Row],[OVO BRANCO A]:[OVO BRANCO JUMBO]])</f>
        <v>25.5</v>
      </c>
    </row>
    <row r="189" spans="1:50" x14ac:dyDescent="0.25">
      <c r="A189" s="4" t="s">
        <v>20</v>
      </c>
      <c r="B189" s="55" t="s">
        <v>10</v>
      </c>
      <c r="C189" s="5">
        <v>15</v>
      </c>
      <c r="D189" s="56">
        <v>19</v>
      </c>
      <c r="E189" s="56">
        <v>285</v>
      </c>
      <c r="F189" s="157">
        <v>46193</v>
      </c>
      <c r="G189" s="4" t="s">
        <v>92</v>
      </c>
      <c r="H189" s="4" t="s">
        <v>148</v>
      </c>
      <c r="I189" s="153">
        <v>53.75</v>
      </c>
      <c r="J189" s="12">
        <v>0.18859649122807021</v>
      </c>
      <c r="Z189" s="116">
        <f t="shared" si="7"/>
        <v>46045</v>
      </c>
      <c r="AA18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8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6.5714285714285712</v>
      </c>
      <c r="AC18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8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12.142857142857142</v>
      </c>
      <c r="AE18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2.5714285714285716</v>
      </c>
      <c r="AF18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28.857142857142858</v>
      </c>
      <c r="AG18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40.472852535574326</v>
      </c>
      <c r="AH189" s="116">
        <f t="shared" si="8"/>
        <v>46045</v>
      </c>
      <c r="AI189" s="1" t="str" cm="1">
        <f t="array" ref="AI189">IFERROR(_xlfn.IFS(AQ189="","Sem Produto",AND(AQ189/(AA189/12)&gt;0,AQ189/(AA189/12)&lt;=2),"Acabando",AND(AQ189/(AA189/12)&gt;2,AQ189/(AA189/12)&lt;=3),"Fazer Pedido",AND(AQ189/(AA189/12)&gt;3,AQ189/(AA189/12)&lt;=7),"OK",AND(AQ189/(AA189/12)&gt;7,AQ189/(AA189/12)&lt;=14),"Abaixar Preço",AND(AQ189/(AA189/12)&gt;14,AQ189/(AA189/12)&lt;=20),"Estabilizando",AQ189/(AA189/12)&gt;20,"Instavel"),"Instavel")</f>
        <v>Instavel</v>
      </c>
      <c r="AJ189" s="1" t="str" cm="1">
        <f t="array" ref="AJ189">IFERROR(_xlfn.IFS(AR189="","Sem Produto",AND(AR189/(AB189/12)&gt;0,AR189/(AB189/12)&lt;=2),"Acabando",AND(AR189/(AB189/12)&gt;2,AR189/(AB189/12)&lt;=3),"Fazer Pedido",AND(AR189/(AB189/12)&gt;3,AR189/(AB189/12)&lt;=7),"OK",AND(AR189/(AB189/12)&gt;7,AR189/(AB189/12)&lt;=14),"Abaixar Preço",AND(AR189/(AB189/12)&gt;14,AR189/(AB189/12)&lt;=20),"Estabilizando",AR189/(AB189/12)&gt;20,"Instavel"),"Instavel")</f>
        <v>Abaixar Preço</v>
      </c>
      <c r="AK189" s="1" t="str" cm="1">
        <f t="array" ref="AK189">IFERROR(_xlfn.IFS(AS189="","Sem Produto",AND(AS189/(AC189/12)&gt;0,AS189/(AC189/12)&lt;=2),"Acabando",AND(AS189/(AC189/12)&gt;2,AS189/(AC189/12)&lt;=3),"Fazer Pedido",AND(AS189/(AC189/12)&gt;3,AS189/(AC189/12)&lt;=7),"OK",AND(AS189/(AC189/12)&gt;7,AS189/(AC189/12)&lt;=14),"Abaixar Preço",AND(AS189/(AC189/12)&gt;14,AS189/(AC189/12)&lt;=20),"Estabilizando",AS189/(AC189/12)&gt;20,"Instavel"),"Instavel")</f>
        <v>Instavel</v>
      </c>
      <c r="AL189" s="1" t="str" cm="1">
        <f t="array" ref="AL189">IFERROR(_xlfn.IFS(AT189="","Sem Produto",AND(AT189/(AD189/12)&gt;0,AT189/(AD189/12)&lt;=2),"Acabando",AND(AT189/(AD189/12)&gt;2,AT189/(AD189/12)&lt;=3),"Fazer Pedido",AND(AT189/(AD189/12)&gt;3,AT189/(AD189/12)&lt;=7),"OK",AND(AT189/(AD189/12)&gt;7,AT189/(AD189/12)&lt;=14),"Abaixar Preço",AND(AT189/(AD189/12)&gt;14,AT189/(AD189/12)&lt;=20),"Estabilizando",AT189/(AD189/12)&gt;20,"Instavel"),"Instavel")</f>
        <v>OK</v>
      </c>
      <c r="AM189" s="1" t="str" cm="1">
        <f t="array" ref="AM189">IFERROR(_xlfn.IFS(AU189="","Sem Produto",AND(AU189/(AE189/12)&gt;0,AU189/(AE189/12)&lt;=2),"Acabando",AND(AU189/(AE189/12)&gt;2,AU189/(AE189/12)&lt;=3),"Fazer Pedido",AND(AU189/(AE189/12)&gt;3,AU189/(AE189/12)&lt;=7),"OK",AND(AU189/(AE189/12)&gt;7,AU189/(AE189/12)&lt;=14),"Abaixar Preço",AND(AU189/(AE189/12)&gt;14,AU189/(AE189/12)&lt;=20),"Estabilizando",AU189/(AE189/12)&gt;20,"Instavel"),"Instavel")</f>
        <v>Sem Produto</v>
      </c>
      <c r="AN189" s="1" t="str">
        <f ca="1">IF(SUMIF(vendaAno[data],SituaçãoEstoqueFluxo[[#This Row],[data]],vendaAno[estoque])=0,"Algo errado",IF(AND(AX189/AW189&gt;0,AX189/AW189&lt;=1),"Alerta",IF(AND(AX189/AW189&gt;1,AX189/AW189&lt;=1.5),"Fazer pedido",IF(AND(AX189/AW189&gt;1.5,AX189/AW189&lt;=2),"Ok",IF(AND(AX189/AW189&gt;2,AX189/AW189&lt;=2.5),"Estabilizando",IF(AND(AX189/AW189&gt;2.5,AX189/AW189&lt;=3),"Cheio","Abaixar preço"))))))</f>
        <v>Abaixar preço</v>
      </c>
      <c r="AO189" s="82">
        <f>SUMIFS(estoque[quantidade],estoque[fornecedor],"&lt;&gt;saída",estoque[data],SituaçãoEstoqueFluxo[[#This Row],[data]])-SUMIFS(estoque[quantidade],estoque[fornecedor],"saída",estoque[data],SituaçãoEstoqueFluxo[[#This Row],[data]])</f>
        <v>-33</v>
      </c>
      <c r="AP189" s="116">
        <f t="shared" si="9"/>
        <v>46045</v>
      </c>
      <c r="AQ18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12.25</v>
      </c>
      <c r="AR18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5.583333333333333</v>
      </c>
      <c r="AS18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4.166666666666667</v>
      </c>
      <c r="AT18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5.416666666666667</v>
      </c>
      <c r="AU18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89" s="82" cm="1">
        <f t="array" aca="1" ref="AV1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21.642857142857142</v>
      </c>
      <c r="AW189" s="82" cm="1">
        <f t="array" aca="1" ref="AW1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7.2142857142857144</v>
      </c>
      <c r="AX189" s="82">
        <f>SUM(FluxoEstoqueDateTime[[#This Row],[OVO BRANCO A]:[OVO BRANCO JUMBO]])</f>
        <v>27.416666666666668</v>
      </c>
    </row>
    <row r="190" spans="1:50" x14ac:dyDescent="0.25">
      <c r="A190" s="4" t="s">
        <v>20</v>
      </c>
      <c r="B190" s="55" t="s">
        <v>14</v>
      </c>
      <c r="C190" s="5">
        <v>1</v>
      </c>
      <c r="D190" s="56">
        <v>22</v>
      </c>
      <c r="E190" s="56">
        <v>22</v>
      </c>
      <c r="F190" s="157">
        <v>46192</v>
      </c>
      <c r="G190" s="4" t="s">
        <v>83</v>
      </c>
      <c r="H190" s="4" t="s">
        <v>148</v>
      </c>
      <c r="I190" s="153">
        <v>5.72</v>
      </c>
      <c r="J190" s="12">
        <v>0.25984848484848494</v>
      </c>
      <c r="Z190" s="116">
        <f t="shared" si="7"/>
        <v>46044</v>
      </c>
      <c r="AA19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7.2857142857142856</v>
      </c>
      <c r="AB19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6.7142857142857144</v>
      </c>
      <c r="AC19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1.4285714285714286</v>
      </c>
      <c r="AD19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13</v>
      </c>
      <c r="AE19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9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31.857142857142858</v>
      </c>
      <c r="AG19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39.314648683835799</v>
      </c>
      <c r="AH190" s="116">
        <f t="shared" si="8"/>
        <v>46044</v>
      </c>
      <c r="AI190" s="1" t="str" cm="1">
        <f t="array" ref="AI190">IFERROR(_xlfn.IFS(AQ190="","Sem Produto",AND(AQ190/(AA190/12)&gt;0,AQ190/(AA190/12)&lt;=2),"Acabando",AND(AQ190/(AA190/12)&gt;2,AQ190/(AA190/12)&lt;=3),"Fazer Pedido",AND(AQ190/(AA190/12)&gt;3,AQ190/(AA190/12)&lt;=7),"OK",AND(AQ190/(AA190/12)&gt;7,AQ190/(AA190/12)&lt;=14),"Abaixar Preço",AND(AQ190/(AA190/12)&gt;14,AQ190/(AA190/12)&lt;=20),"Estabilizando",AQ190/(AA190/12)&gt;20,"Instavel"),"Instavel")</f>
        <v>Instavel</v>
      </c>
      <c r="AJ190" s="1" t="str" cm="1">
        <f t="array" ref="AJ190">IFERROR(_xlfn.IFS(AR190="","Sem Produto",AND(AR190/(AB190/12)&gt;0,AR190/(AB190/12)&lt;=2),"Acabando",AND(AR190/(AB190/12)&gt;2,AR190/(AB190/12)&lt;=3),"Fazer Pedido",AND(AR190/(AB190/12)&gt;3,AR190/(AB190/12)&lt;=7),"OK",AND(AR190/(AB190/12)&gt;7,AR190/(AB190/12)&lt;=14),"Abaixar Preço",AND(AR190/(AB190/12)&gt;14,AR190/(AB190/12)&lt;=20),"Estabilizando",AR190/(AB190/12)&gt;20,"Instavel"),"Instavel")</f>
        <v>Abaixar Preço</v>
      </c>
      <c r="AK190" s="1" t="str" cm="1">
        <f t="array" ref="AK190">IFERROR(_xlfn.IFS(AS190="","Sem Produto",AND(AS190/(AC190/12)&gt;0,AS190/(AC190/12)&lt;=2),"Acabando",AND(AS190/(AC190/12)&gt;2,AS190/(AC190/12)&lt;=3),"Fazer Pedido",AND(AS190/(AC190/12)&gt;3,AS190/(AC190/12)&lt;=7),"OK",AND(AS190/(AC190/12)&gt;7,AS190/(AC190/12)&lt;=14),"Abaixar Preço",AND(AS190/(AC190/12)&gt;14,AS190/(AC190/12)&lt;=20),"Estabilizando",AS190/(AC190/12)&gt;20,"Instavel"),"Instavel")</f>
        <v>Instavel</v>
      </c>
      <c r="AL190" s="1" t="str" cm="1">
        <f t="array" ref="AL190">IFERROR(_xlfn.IFS(AT190="","Sem Produto",AND(AT190/(AD190/12)&gt;0,AT190/(AD190/12)&lt;=2),"Acabando",AND(AT190/(AD190/12)&gt;2,AT190/(AD190/12)&lt;=3),"Fazer Pedido",AND(AT190/(AD190/12)&gt;3,AT190/(AD190/12)&lt;=7),"OK",AND(AT190/(AD190/12)&gt;7,AT190/(AD190/12)&lt;=14),"Abaixar Preço",AND(AT190/(AD190/12)&gt;14,AT190/(AD190/12)&lt;=20),"Estabilizando",AT190/(AD190/12)&gt;20,"Instavel"),"Instavel")</f>
        <v>OK</v>
      </c>
      <c r="AM190" s="1" t="str" cm="1">
        <f t="array" ref="AM190">IFERROR(_xlfn.IFS(AU190="","Sem Produto",AND(AU190/(AE190/12)&gt;0,AU190/(AE190/12)&lt;=2),"Acabando",AND(AU190/(AE190/12)&gt;2,AU190/(AE190/12)&lt;=3),"Fazer Pedido",AND(AU190/(AE190/12)&gt;3,AU190/(AE190/12)&lt;=7),"OK",AND(AU190/(AE190/12)&gt;7,AU190/(AE190/12)&lt;=14),"Abaixar Preço",AND(AU190/(AE190/12)&gt;14,AU190/(AE190/12)&lt;=20),"Estabilizando",AU190/(AE190/12)&gt;20,"Instavel"),"Instavel")</f>
        <v>Sem Produto</v>
      </c>
      <c r="AN190" s="1" t="str">
        <f ca="1">IF(SUMIF(vendaAno[data],SituaçãoEstoqueFluxo[[#This Row],[data]],vendaAno[estoque])=0,"Algo errado",IF(AND(AX190/AW190&gt;0,AX190/AW190&lt;=1),"Alerta",IF(AND(AX190/AW190&gt;1,AX190/AW190&lt;=1.5),"Fazer pedido",IF(AND(AX190/AW190&gt;1.5,AX190/AW190&lt;=2),"Ok",IF(AND(AX190/AW190&gt;2,AX190/AW190&lt;=2.5),"Estabilizando",IF(AND(AX190/AW190&gt;2.5,AX190/AW190&lt;=3),"Cheio","Abaixar preço"))))))</f>
        <v>Abaixar preço</v>
      </c>
      <c r="AO190" s="82">
        <f>SUMIFS(estoque[quantidade],estoque[fornecedor],"&lt;&gt;saída",estoque[data],SituaçãoEstoqueFluxo[[#This Row],[data]])-SUMIFS(estoque[quantidade],estoque[fornecedor],"saída",estoque[data],SituaçãoEstoqueFluxo[[#This Row],[data]])</f>
        <v>-27</v>
      </c>
      <c r="AP190" s="116">
        <f t="shared" si="9"/>
        <v>46044</v>
      </c>
      <c r="AQ19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12.75</v>
      </c>
      <c r="AR19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6.833333333333333</v>
      </c>
      <c r="AS19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4.416666666666667</v>
      </c>
      <c r="AT19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6.166666666666667</v>
      </c>
      <c r="AU19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0" s="82" cm="1">
        <f t="array" aca="1" ref="AV1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23.892857142857142</v>
      </c>
      <c r="AW190" s="82" cm="1">
        <f t="array" aca="1" ref="AW1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7.9642857142857144</v>
      </c>
      <c r="AX190" s="82">
        <f>SUM(FluxoEstoqueDateTime[[#This Row],[OVO BRANCO A]:[OVO BRANCO JUMBO]])</f>
        <v>30.166666666666668</v>
      </c>
    </row>
    <row r="191" spans="1:50" x14ac:dyDescent="0.25">
      <c r="A191" s="4" t="s">
        <v>20</v>
      </c>
      <c r="B191" s="55" t="s">
        <v>13</v>
      </c>
      <c r="C191" s="5">
        <v>7</v>
      </c>
      <c r="D191" s="56">
        <v>20</v>
      </c>
      <c r="E191" s="56">
        <v>140</v>
      </c>
      <c r="F191" s="157">
        <v>46192</v>
      </c>
      <c r="G191" s="4" t="s">
        <v>83</v>
      </c>
      <c r="H191" s="4" t="s">
        <v>148</v>
      </c>
      <c r="I191" s="153">
        <v>29.17</v>
      </c>
      <c r="J191" s="12">
        <v>0.20833333333333331</v>
      </c>
      <c r="Z191" s="116">
        <f t="shared" si="7"/>
        <v>46043</v>
      </c>
      <c r="AA19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</v>
      </c>
      <c r="AB19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7.5714285714285712</v>
      </c>
      <c r="AC19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1.5714285714285714</v>
      </c>
      <c r="AD19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12.857142857142858</v>
      </c>
      <c r="AE19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19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32.428571428571431</v>
      </c>
      <c r="AG19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40.385430993779899</v>
      </c>
      <c r="AH191" s="116">
        <f t="shared" si="8"/>
        <v>46043</v>
      </c>
      <c r="AI191" s="1" t="str" cm="1">
        <f t="array" ref="AI191">IFERROR(_xlfn.IFS(AQ191="","Sem Produto",AND(AQ191/(AA191/12)&gt;0,AQ191/(AA191/12)&lt;=2),"Acabando",AND(AQ191/(AA191/12)&gt;2,AQ191/(AA191/12)&lt;=3),"Fazer Pedido",AND(AQ191/(AA191/12)&gt;3,AQ191/(AA191/12)&lt;=7),"OK",AND(AQ191/(AA191/12)&gt;7,AQ191/(AA191/12)&lt;=14),"Abaixar Preço",AND(AQ191/(AA191/12)&gt;14,AQ191/(AA191/12)&lt;=20),"Estabilizando",AQ191/(AA191/12)&gt;20,"Instavel"),"Instavel")</f>
        <v>Instavel</v>
      </c>
      <c r="AJ191" s="1" t="str" cm="1">
        <f t="array" ref="AJ191">IFERROR(_xlfn.IFS(AR191="","Sem Produto",AND(AR191/(AB191/12)&gt;0,AR191/(AB191/12)&lt;=2),"Acabando",AND(AR191/(AB191/12)&gt;2,AR191/(AB191/12)&lt;=3),"Fazer Pedido",AND(AR191/(AB191/12)&gt;3,AR191/(AB191/12)&lt;=7),"OK",AND(AR191/(AB191/12)&gt;7,AR191/(AB191/12)&lt;=14),"Abaixar Preço",AND(AR191/(AB191/12)&gt;14,AR191/(AB191/12)&lt;=20),"Estabilizando",AR191/(AB191/12)&gt;20,"Instavel"),"Instavel")</f>
        <v>Abaixar Preço</v>
      </c>
      <c r="AK191" s="1" t="str" cm="1">
        <f t="array" ref="AK191">IFERROR(_xlfn.IFS(AS191="","Sem Produto",AND(AS191/(AC191/12)&gt;0,AS191/(AC191/12)&lt;=2),"Acabando",AND(AS191/(AC191/12)&gt;2,AS191/(AC191/12)&lt;=3),"Fazer Pedido",AND(AS191/(AC191/12)&gt;3,AS191/(AC191/12)&lt;=7),"OK",AND(AS191/(AC191/12)&gt;7,AS191/(AC191/12)&lt;=14),"Abaixar Preço",AND(AS191/(AC191/12)&gt;14,AS191/(AC191/12)&lt;=20),"Estabilizando",AS191/(AC191/12)&gt;20,"Instavel"),"Instavel")</f>
        <v>Instavel</v>
      </c>
      <c r="AL191" s="1" t="str" cm="1">
        <f t="array" ref="AL191">IFERROR(_xlfn.IFS(AT191="","Sem Produto",AND(AT191/(AD191/12)&gt;0,AT191/(AD191/12)&lt;=2),"Acabando",AND(AT191/(AD191/12)&gt;2,AT191/(AD191/12)&lt;=3),"Fazer Pedido",AND(AT191/(AD191/12)&gt;3,AT191/(AD191/12)&lt;=7),"OK",AND(AT191/(AD191/12)&gt;7,AT191/(AD191/12)&lt;=14),"Abaixar Preço",AND(AT191/(AD191/12)&gt;14,AT191/(AD191/12)&lt;=20),"Estabilizando",AT191/(AD191/12)&gt;20,"Instavel"),"Instavel")</f>
        <v>Abaixar Preço</v>
      </c>
      <c r="AM191" s="1" t="str" cm="1">
        <f t="array" ref="AM191">IFERROR(_xlfn.IFS(AU191="","Sem Produto",AND(AU191/(AE191/12)&gt;0,AU191/(AE191/12)&lt;=2),"Acabando",AND(AU191/(AE191/12)&gt;2,AU191/(AE191/12)&lt;=3),"Fazer Pedido",AND(AU191/(AE191/12)&gt;3,AU191/(AE191/12)&lt;=7),"OK",AND(AU191/(AE191/12)&gt;7,AU191/(AE191/12)&lt;=14),"Abaixar Preço",AND(AU191/(AE191/12)&gt;14,AU191/(AE191/12)&lt;=20),"Estabilizando",AU191/(AE191/12)&gt;20,"Instavel"),"Instavel")</f>
        <v>Sem Produto</v>
      </c>
      <c r="AN191" s="1" t="str">
        <f ca="1">IF(SUMIF(vendaAno[data],SituaçãoEstoqueFluxo[[#This Row],[data]],vendaAno[estoque])=0,"Algo errado",IF(AND(AX191/AW191&gt;0,AX191/AW191&lt;=1),"Alerta",IF(AND(AX191/AW191&gt;1,AX191/AW191&lt;=1.5),"Fazer pedido",IF(AND(AX191/AW191&gt;1.5,AX191/AW191&lt;=2),"Ok",IF(AND(AX191/AW191&gt;2,AX191/AW191&lt;=2.5),"Estabilizando",IF(AND(AX191/AW191&gt;2.5,AX191/AW191&lt;=3),"Cheio","Abaixar preço"))))))</f>
        <v>Abaixar preço</v>
      </c>
      <c r="AO191" s="82">
        <f>SUMIFS(estoque[quantidade],estoque[fornecedor],"&lt;&gt;saída",estoque[data],SituaçãoEstoqueFluxo[[#This Row],[data]])-SUMIFS(estoque[quantidade],estoque[fornecedor],"saída",estoque[data],SituaçãoEstoqueFluxo[[#This Row],[data]])</f>
        <v>-21</v>
      </c>
      <c r="AP191" s="116">
        <f t="shared" si="9"/>
        <v>46043</v>
      </c>
      <c r="AQ19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13.416666666666666</v>
      </c>
      <c r="AR19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6.916666666666667</v>
      </c>
      <c r="AS19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</v>
      </c>
      <c r="AT19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7.583333333333333</v>
      </c>
      <c r="AU19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1" s="82" cm="1">
        <f t="array" aca="1" ref="AV1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24.321428571428569</v>
      </c>
      <c r="AW191" s="82" cm="1">
        <f t="array" aca="1" ref="AW1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8.1071428571428577</v>
      </c>
      <c r="AX191" s="82">
        <f>SUM(FluxoEstoqueDateTime[[#This Row],[OVO BRANCO A]:[OVO BRANCO JUMBO]])</f>
        <v>32.416666666666664</v>
      </c>
    </row>
    <row r="192" spans="1:50" x14ac:dyDescent="0.25">
      <c r="A192" s="4" t="s">
        <v>20</v>
      </c>
      <c r="B192" s="55" t="s">
        <v>10</v>
      </c>
      <c r="C192" s="5">
        <v>1</v>
      </c>
      <c r="D192" s="56">
        <v>19</v>
      </c>
      <c r="E192" s="56">
        <v>19</v>
      </c>
      <c r="F192" s="157">
        <v>46192</v>
      </c>
      <c r="G192" s="4" t="s">
        <v>83</v>
      </c>
      <c r="H192" s="4" t="s">
        <v>148</v>
      </c>
      <c r="I192" s="153">
        <v>3.58</v>
      </c>
      <c r="J192" s="12">
        <v>0.18859649122807021</v>
      </c>
      <c r="Z192" s="116">
        <f t="shared" si="7"/>
        <v>46042</v>
      </c>
      <c r="AA19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7.4285714285714288</v>
      </c>
      <c r="AB19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19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3.8571428571428572</v>
      </c>
      <c r="AD19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15.571428571428571</v>
      </c>
      <c r="AE19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19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19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43.813297610482081</v>
      </c>
      <c r="AH192" s="116">
        <f t="shared" si="8"/>
        <v>46042</v>
      </c>
      <c r="AI192" s="1" t="str" cm="1">
        <f t="array" ref="AI192">IFERROR(_xlfn.IFS(AQ192="","Sem Produto",AND(AQ192/(AA192/12)&gt;0,AQ192/(AA192/12)&lt;=2),"Acabando",AND(AQ192/(AA192/12)&gt;2,AQ192/(AA192/12)&lt;=3),"Fazer Pedido",AND(AQ192/(AA192/12)&gt;3,AQ192/(AA192/12)&lt;=7),"OK",AND(AQ192/(AA192/12)&gt;7,AQ192/(AA192/12)&lt;=14),"Abaixar Preço",AND(AQ192/(AA192/12)&gt;14,AQ192/(AA192/12)&lt;=20),"Estabilizando",AQ192/(AA192/12)&gt;20,"Instavel"),"Instavel")</f>
        <v>Instavel</v>
      </c>
      <c r="AJ192" s="1" t="str" cm="1">
        <f t="array" ref="AJ192">IFERROR(_xlfn.IFS(AR192="","Sem Produto",AND(AR192/(AB192/12)&gt;0,AR192/(AB192/12)&lt;=2),"Acabando",AND(AR192/(AB192/12)&gt;2,AR192/(AB192/12)&lt;=3),"Fazer Pedido",AND(AR192/(AB192/12)&gt;3,AR192/(AB192/12)&lt;=7),"OK",AND(AR192/(AB192/12)&gt;7,AR192/(AB192/12)&lt;=14),"Abaixar Preço",AND(AR192/(AB192/12)&gt;14,AR192/(AB192/12)&lt;=20),"Estabilizando",AR192/(AB192/12)&gt;20,"Instavel"),"Instavel")</f>
        <v>Abaixar Preço</v>
      </c>
      <c r="AK192" s="1" t="str" cm="1">
        <f t="array" ref="AK192">IFERROR(_xlfn.IFS(AS192="","Sem Produto",AND(AS192/(AC192/12)&gt;0,AS192/(AC192/12)&lt;=2),"Acabando",AND(AS192/(AC192/12)&gt;2,AS192/(AC192/12)&lt;=3),"Fazer Pedido",AND(AS192/(AC192/12)&gt;3,AS192/(AC192/12)&lt;=7),"OK",AND(AS192/(AC192/12)&gt;7,AS192/(AC192/12)&lt;=14),"Abaixar Preço",AND(AS192/(AC192/12)&gt;14,AS192/(AC192/12)&lt;=20),"Estabilizando",AS192/(AC192/12)&gt;20,"Instavel"),"Instavel")</f>
        <v>Estabilizando</v>
      </c>
      <c r="AL192" s="1" t="str" cm="1">
        <f t="array" ref="AL192">IFERROR(_xlfn.IFS(AT192="","Sem Produto",AND(AT192/(AD192/12)&gt;0,AT192/(AD192/12)&lt;=2),"Acabando",AND(AT192/(AD192/12)&gt;2,AT192/(AD192/12)&lt;=3),"Fazer Pedido",AND(AT192/(AD192/12)&gt;3,AT192/(AD192/12)&lt;=7),"OK",AND(AT192/(AD192/12)&gt;7,AT192/(AD192/12)&lt;=14),"Abaixar Preço",AND(AT192/(AD192/12)&gt;14,AT192/(AD192/12)&lt;=20),"Estabilizando",AT192/(AD192/12)&gt;20,"Instavel"),"Instavel")</f>
        <v>OK</v>
      </c>
      <c r="AM192" s="1" t="str" cm="1">
        <f t="array" ref="AM192">IFERROR(_xlfn.IFS(AU192="","Sem Produto",AND(AU192/(AE192/12)&gt;0,AU192/(AE192/12)&lt;=2),"Acabando",AND(AU192/(AE192/12)&gt;2,AU192/(AE192/12)&lt;=3),"Fazer Pedido",AND(AU192/(AE192/12)&gt;3,AU192/(AE192/12)&lt;=7),"OK",AND(AU192/(AE192/12)&gt;7,AU192/(AE192/12)&lt;=14),"Abaixar Preço",AND(AU192/(AE192/12)&gt;14,AU192/(AE192/12)&lt;=20),"Estabilizando",AU192/(AE192/12)&gt;20,"Instavel"),"Instavel")</f>
        <v>Acabando</v>
      </c>
      <c r="AN192" s="1" t="str">
        <f ca="1">IF(SUMIF(vendaAno[data],SituaçãoEstoqueFluxo[[#This Row],[data]],vendaAno[estoque])=0,"Algo errado",IF(AND(AX192/AW192&gt;0,AX192/AW192&lt;=1),"Alerta",IF(AND(AX192/AW192&gt;1,AX192/AW192&lt;=1.5),"Fazer pedido",IF(AND(AX192/AW192&gt;1.5,AX192/AW192&lt;=2),"Ok",IF(AND(AX192/AW192&gt;2,AX192/AW192&lt;=2.5),"Estabilizando",IF(AND(AX192/AW192&gt;2.5,AX192/AW192&lt;=3),"Cheio","Abaixar preço"))))))</f>
        <v>Abaixar preço</v>
      </c>
      <c r="AO192" s="82">
        <f>SUMIFS(estoque[quantidade],estoque[fornecedor],"&lt;&gt;saída",estoque[data],SituaçãoEstoqueFluxo[[#This Row],[data]])-SUMIFS(estoque[quantidade],estoque[fornecedor],"saída",estoque[data],SituaçãoEstoqueFluxo[[#This Row],[data]])</f>
        <v>-47</v>
      </c>
      <c r="AP192" s="116">
        <f t="shared" si="9"/>
        <v>46042</v>
      </c>
      <c r="AQ19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13.75</v>
      </c>
      <c r="AR19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7.25</v>
      </c>
      <c r="AS19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19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8.4166666666666661</v>
      </c>
      <c r="AU192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0.16666666666666666</v>
      </c>
      <c r="AV192" s="82" cm="1">
        <f t="array" aca="1" ref="AV1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192" s="82" cm="1">
        <f t="array" aca="1" ref="AW1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192" s="82">
        <f>SUM(FluxoEstoqueDateTime[[#This Row],[OVO BRANCO A]:[OVO BRANCO JUMBO]])</f>
        <v>34.166666666666664</v>
      </c>
    </row>
    <row r="193" spans="1:50" x14ac:dyDescent="0.25">
      <c r="A193" s="4" t="s">
        <v>20</v>
      </c>
      <c r="B193" s="55" t="s">
        <v>14</v>
      </c>
      <c r="C193" s="5">
        <v>2</v>
      </c>
      <c r="D193" s="56">
        <v>22</v>
      </c>
      <c r="E193" s="56">
        <v>44</v>
      </c>
      <c r="F193" s="157">
        <v>46191</v>
      </c>
      <c r="G193" s="4" t="s">
        <v>294</v>
      </c>
      <c r="H193" s="4" t="s">
        <v>148</v>
      </c>
      <c r="I193" s="153">
        <v>11.43</v>
      </c>
      <c r="J193" s="12">
        <v>0.25984848484848494</v>
      </c>
      <c r="Z193" s="116">
        <f t="shared" si="7"/>
        <v>46041</v>
      </c>
      <c r="AA19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9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8.1428571428571423</v>
      </c>
      <c r="AC19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4.2857142857142856</v>
      </c>
      <c r="AD19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16.428571428571427</v>
      </c>
      <c r="AE19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2.1428571428571428</v>
      </c>
      <c r="AF19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</v>
      </c>
      <c r="AG19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44.538831676488691</v>
      </c>
      <c r="AH193" s="116">
        <f t="shared" si="8"/>
        <v>46041</v>
      </c>
      <c r="AI193" s="1" t="str" cm="1">
        <f t="array" ref="AI193">IFERROR(_xlfn.IFS(AQ193="","Sem Produto",AND(AQ193/(AA193/12)&gt;0,AQ193/(AA193/12)&lt;=2),"Acabando",AND(AQ193/(AA193/12)&gt;2,AQ193/(AA193/12)&lt;=3),"Fazer Pedido",AND(AQ193/(AA193/12)&gt;3,AQ193/(AA193/12)&lt;=7),"OK",AND(AQ193/(AA193/12)&gt;7,AQ193/(AA193/12)&lt;=14),"Abaixar Preço",AND(AQ193/(AA193/12)&gt;14,AQ193/(AA193/12)&lt;=20),"Estabilizando",AQ193/(AA193/12)&gt;20,"Instavel"),"Instavel")</f>
        <v>Instavel</v>
      </c>
      <c r="AJ193" s="1" t="str" cm="1">
        <f t="array" ref="AJ193">IFERROR(_xlfn.IFS(AR193="","Sem Produto",AND(AR193/(AB193/12)&gt;0,AR193/(AB193/12)&lt;=2),"Acabando",AND(AR193/(AB193/12)&gt;2,AR193/(AB193/12)&lt;=3),"Fazer Pedido",AND(AR193/(AB193/12)&gt;3,AR193/(AB193/12)&lt;=7),"OK",AND(AR193/(AB193/12)&gt;7,AR193/(AB193/12)&lt;=14),"Abaixar Preço",AND(AR193/(AB193/12)&gt;14,AR193/(AB193/12)&lt;=20),"Estabilizando",AR193/(AB193/12)&gt;20,"Instavel"),"Instavel")</f>
        <v>Abaixar Preço</v>
      </c>
      <c r="AK193" s="1" t="str" cm="1">
        <f t="array" ref="AK193">IFERROR(_xlfn.IFS(AS193="","Sem Produto",AND(AS193/(AC193/12)&gt;0,AS193/(AC193/12)&lt;=2),"Acabando",AND(AS193/(AC193/12)&gt;2,AS193/(AC193/12)&lt;=3),"Fazer Pedido",AND(AS193/(AC193/12)&gt;3,AS193/(AC193/12)&lt;=7),"OK",AND(AS193/(AC193/12)&gt;7,AS193/(AC193/12)&lt;=14),"Abaixar Preço",AND(AS193/(AC193/12)&gt;14,AS193/(AC193/12)&lt;=20),"Estabilizando",AS193/(AC193/12)&gt;20,"Instavel"),"Instavel")</f>
        <v>Abaixar Preço</v>
      </c>
      <c r="AL193" s="1" t="str" cm="1">
        <f t="array" ref="AL193">IFERROR(_xlfn.IFS(AT193="","Sem Produto",AND(AT193/(AD193/12)&gt;0,AT193/(AD193/12)&lt;=2),"Acabando",AND(AT193/(AD193/12)&gt;2,AT193/(AD193/12)&lt;=3),"Fazer Pedido",AND(AT193/(AD193/12)&gt;3,AT193/(AD193/12)&lt;=7),"OK",AND(AT193/(AD193/12)&gt;7,AT193/(AD193/12)&lt;=14),"Abaixar Preço",AND(AT193/(AD193/12)&gt;14,AT193/(AD193/12)&lt;=20),"Estabilizando",AT193/(AD193/12)&gt;20,"Instavel"),"Instavel")</f>
        <v>Abaixar Preço</v>
      </c>
      <c r="AM193" s="1" t="str" cm="1">
        <f t="array" ref="AM193">IFERROR(_xlfn.IFS(AU193="","Sem Produto",AND(AU193/(AE193/12)&gt;0,AU193/(AE193/12)&lt;=2),"Acabando",AND(AU193/(AE193/12)&gt;2,AU193/(AE193/12)&lt;=3),"Fazer Pedido",AND(AU193/(AE193/12)&gt;3,AU193/(AE193/12)&lt;=7),"OK",AND(AU193/(AE193/12)&gt;7,AU193/(AE193/12)&lt;=14),"Abaixar Preço",AND(AU193/(AE193/12)&gt;14,AU193/(AE193/12)&lt;=20),"Estabilizando",AU193/(AE193/12)&gt;20,"Instavel"),"Instavel")</f>
        <v>OK</v>
      </c>
      <c r="AN193" s="1" t="str">
        <f ca="1">IF(SUMIF(vendaAno[data],SituaçãoEstoqueFluxo[[#This Row],[data]],vendaAno[estoque])=0,"Algo errado",IF(AND(AX193/AW193&gt;0,AX193/AW193&lt;=1),"Alerta",IF(AND(AX193/AW193&gt;1,AX193/AW193&lt;=1.5),"Fazer pedido",IF(AND(AX193/AW193&gt;1.5,AX193/AW193&lt;=2),"Ok",IF(AND(AX193/AW193&gt;2,AX193/AW193&lt;=2.5),"Estabilizando",IF(AND(AX193/AW193&gt;2.5,AX193/AW193&lt;=3),"Cheio","Abaixar preço"))))))</f>
        <v>Abaixar preço</v>
      </c>
      <c r="AO193" s="82">
        <f>SUMIFS(estoque[quantidade],estoque[fornecedor],"&lt;&gt;saída",estoque[data],SituaçãoEstoqueFluxo[[#This Row],[data]])-SUMIFS(estoque[quantidade],estoque[fornecedor],"saída",estoque[data],SituaçãoEstoqueFluxo[[#This Row],[data]])</f>
        <v>-37</v>
      </c>
      <c r="AP193" s="116">
        <f t="shared" si="9"/>
        <v>46041</v>
      </c>
      <c r="AQ19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</v>
      </c>
      <c r="AR19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7.666666666666667</v>
      </c>
      <c r="AS19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19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10.083333333333334</v>
      </c>
      <c r="AU19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0.75</v>
      </c>
      <c r="AV193" s="82" cm="1">
        <f t="array" aca="1" ref="AV1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27.749999999999996</v>
      </c>
      <c r="AW193" s="82" cm="1">
        <f t="array" aca="1" ref="AW1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9.25</v>
      </c>
      <c r="AX193" s="82">
        <f>SUM(FluxoEstoqueDateTime[[#This Row],[OVO BRANCO A]:[OVO BRANCO JUMBO]])</f>
        <v>38.083333333333336</v>
      </c>
    </row>
    <row r="194" spans="1:50" x14ac:dyDescent="0.25">
      <c r="A194" s="4" t="s">
        <v>20</v>
      </c>
      <c r="B194" s="55" t="s">
        <v>13</v>
      </c>
      <c r="C194" s="5">
        <v>10</v>
      </c>
      <c r="D194" s="56">
        <v>20</v>
      </c>
      <c r="E194" s="56">
        <v>199</v>
      </c>
      <c r="F194" s="157">
        <v>46191</v>
      </c>
      <c r="G194" s="4" t="s">
        <v>294</v>
      </c>
      <c r="H194" s="4" t="s">
        <v>148</v>
      </c>
      <c r="I194" s="153">
        <v>40.67</v>
      </c>
      <c r="J194" s="12">
        <v>0.2043551088777219</v>
      </c>
      <c r="Z194" s="116">
        <f t="shared" si="7"/>
        <v>46040</v>
      </c>
      <c r="AA19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9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7.8571428571428568</v>
      </c>
      <c r="AC19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4.5714285714285712</v>
      </c>
      <c r="AD19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17.571428571428573</v>
      </c>
      <c r="AE19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1.4285714285714286</v>
      </c>
      <c r="AF19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19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45.797156111335234</v>
      </c>
      <c r="AH194" s="116">
        <f t="shared" si="8"/>
        <v>46040</v>
      </c>
      <c r="AI194" s="1" t="str" cm="1">
        <f t="array" ref="AI194">IFERROR(_xlfn.IFS(AQ194="","Sem Produto",AND(AQ194/(AA194/12)&gt;0,AQ194/(AA194/12)&lt;=2),"Acabando",AND(AQ194/(AA194/12)&gt;2,AQ194/(AA194/12)&lt;=3),"Fazer Pedido",AND(AQ194/(AA194/12)&gt;3,AQ194/(AA194/12)&lt;=7),"OK",AND(AQ194/(AA194/12)&gt;7,AQ194/(AA194/12)&lt;=14),"Abaixar Preço",AND(AQ194/(AA194/12)&gt;14,AQ194/(AA194/12)&lt;=20),"Estabilizando",AQ194/(AA194/12)&gt;20,"Instavel"),"Instavel")</f>
        <v>Instavel</v>
      </c>
      <c r="AJ194" s="1" t="str" cm="1">
        <f t="array" ref="AJ194">IFERROR(_xlfn.IFS(AR194="","Sem Produto",AND(AR194/(AB194/12)&gt;0,AR194/(AB194/12)&lt;=2),"Acabando",AND(AR194/(AB194/12)&gt;2,AR194/(AB194/12)&lt;=3),"Fazer Pedido",AND(AR194/(AB194/12)&gt;3,AR194/(AB194/12)&lt;=7),"OK",AND(AR194/(AB194/12)&gt;7,AR194/(AB194/12)&lt;=14),"Abaixar Preço",AND(AR194/(AB194/12)&gt;14,AR194/(AB194/12)&lt;=20),"Estabilizando",AR194/(AB194/12)&gt;20,"Instavel"),"Instavel")</f>
        <v>Abaixar Preço</v>
      </c>
      <c r="AK194" s="1" t="str" cm="1">
        <f t="array" ref="AK194">IFERROR(_xlfn.IFS(AS194="","Sem Produto",AND(AS194/(AC194/12)&gt;0,AS194/(AC194/12)&lt;=2),"Acabando",AND(AS194/(AC194/12)&gt;2,AS194/(AC194/12)&lt;=3),"Fazer Pedido",AND(AS194/(AC194/12)&gt;3,AS194/(AC194/12)&lt;=7),"OK",AND(AS194/(AC194/12)&gt;7,AS194/(AC194/12)&lt;=14),"Abaixar Preço",AND(AS194/(AC194/12)&gt;14,AS194/(AC194/12)&lt;=20),"Estabilizando",AS194/(AC194/12)&gt;20,"Instavel"),"Instavel")</f>
        <v>Abaixar Preço</v>
      </c>
      <c r="AL194" s="1" t="str" cm="1">
        <f t="array" ref="AL194">IFERROR(_xlfn.IFS(AT194="","Sem Produto",AND(AT194/(AD194/12)&gt;0,AT194/(AD194/12)&lt;=2),"Acabando",AND(AT194/(AD194/12)&gt;2,AT194/(AD194/12)&lt;=3),"Fazer Pedido",AND(AT194/(AD194/12)&gt;3,AT194/(AD194/12)&lt;=7),"OK",AND(AT194/(AD194/12)&gt;7,AT194/(AD194/12)&lt;=14),"Abaixar Preço",AND(AT194/(AD194/12)&gt;14,AT194/(AD194/12)&lt;=20),"Estabilizando",AT194/(AD194/12)&gt;20,"Instavel"),"Instavel")</f>
        <v>Abaixar Preço</v>
      </c>
      <c r="AM194" s="1" t="str" cm="1">
        <f t="array" ref="AM194">IFERROR(_xlfn.IFS(AU194="","Sem Produto",AND(AU194/(AE194/12)&gt;0,AU194/(AE194/12)&lt;=2),"Acabando",AND(AU194/(AE194/12)&gt;2,AU194/(AE194/12)&lt;=3),"Fazer Pedido",AND(AU194/(AE194/12)&gt;3,AU194/(AE194/12)&lt;=7),"OK",AND(AU194/(AE194/12)&gt;7,AU194/(AE194/12)&lt;=14),"Abaixar Preço",AND(AU194/(AE194/12)&gt;14,AU194/(AE194/12)&lt;=20),"Estabilizando",AU194/(AE194/12)&gt;20,"Instavel"),"Instavel")</f>
        <v>Abaixar Preço</v>
      </c>
      <c r="AN194" s="1" t="str">
        <f ca="1">IF(SUMIF(vendaAno[data],SituaçãoEstoqueFluxo[[#This Row],[data]],vendaAno[estoque])=0,"Algo errado",IF(AND(AX194/AW194&gt;0,AX194/AW194&lt;=1),"Alerta",IF(AND(AX194/AW194&gt;1,AX194/AW194&lt;=1.5),"Fazer pedido",IF(AND(AX194/AW194&gt;1.5,AX194/AW194&lt;=2),"Ok",IF(AND(AX194/AW194&gt;2,AX194/AW194&lt;=2.5),"Estabilizando",IF(AND(AX194/AW194&gt;2.5,AX194/AW194&lt;=3),"Cheio","Abaixar preço"))))))</f>
        <v>Abaixar preço</v>
      </c>
      <c r="AO194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94" s="116">
        <f t="shared" si="9"/>
        <v>46040</v>
      </c>
      <c r="AQ19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15.583333333333334</v>
      </c>
      <c r="AR19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8.1666666666666661</v>
      </c>
      <c r="AS19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4.833333333333333</v>
      </c>
      <c r="AT19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11.416666666666666</v>
      </c>
      <c r="AU19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1.1666666666666667</v>
      </c>
      <c r="AV194" s="82" cm="1">
        <f t="array" aca="1" ref="AV1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194" s="82" cm="1">
        <f t="array" aca="1" ref="AW1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194" s="82">
        <f>SUM(FluxoEstoqueDateTime[[#This Row],[OVO BRANCO A]:[OVO BRANCO JUMBO]])</f>
        <v>41.166666666666664</v>
      </c>
    </row>
    <row r="195" spans="1:50" x14ac:dyDescent="0.25">
      <c r="A195" s="4" t="s">
        <v>20</v>
      </c>
      <c r="B195" s="55" t="s">
        <v>12</v>
      </c>
      <c r="C195" s="5">
        <v>3</v>
      </c>
      <c r="D195" s="56">
        <v>15</v>
      </c>
      <c r="E195" s="56">
        <v>44.5</v>
      </c>
      <c r="F195" s="157">
        <v>46191</v>
      </c>
      <c r="G195" s="4" t="s">
        <v>294</v>
      </c>
      <c r="H195" s="4" t="s">
        <v>148</v>
      </c>
      <c r="I195" s="153">
        <v>3</v>
      </c>
      <c r="J195" s="12">
        <v>6.7415730337078497E-2</v>
      </c>
      <c r="Z195" s="116">
        <f t="shared" si="7"/>
        <v>46039</v>
      </c>
      <c r="AA19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6.1428571428571432</v>
      </c>
      <c r="AB19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6.4285714285714288</v>
      </c>
      <c r="AC19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4.7142857142857144</v>
      </c>
      <c r="AD19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16.571428571428573</v>
      </c>
      <c r="AE19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</v>
      </c>
      <c r="AF19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34.857142857142854</v>
      </c>
      <c r="AG19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45.878871375416288</v>
      </c>
      <c r="AH195" s="116">
        <f t="shared" si="8"/>
        <v>46039</v>
      </c>
      <c r="AI195" s="1" t="str" cm="1">
        <f t="array" ref="AI195">IFERROR(_xlfn.IFS(AQ195="","Sem Produto",AND(AQ195/(AA195/12)&gt;0,AQ195/(AA195/12)&lt;=2),"Acabando",AND(AQ195/(AA195/12)&gt;2,AQ195/(AA195/12)&lt;=3),"Fazer Pedido",AND(AQ195/(AA195/12)&gt;3,AQ195/(AA195/12)&lt;=7),"OK",AND(AQ195/(AA195/12)&gt;7,AQ195/(AA195/12)&lt;=14),"Abaixar Preço",AND(AQ195/(AA195/12)&gt;14,AQ195/(AA195/12)&lt;=20),"Estabilizando",AQ195/(AA195/12)&gt;20,"Instavel"),"Instavel")</f>
        <v>Instavel</v>
      </c>
      <c r="AJ195" s="1" t="str" cm="1">
        <f t="array" ref="AJ195">IFERROR(_xlfn.IFS(AR195="","Sem Produto",AND(AR195/(AB195/12)&gt;0,AR195/(AB195/12)&lt;=2),"Acabando",AND(AR195/(AB195/12)&gt;2,AR195/(AB195/12)&lt;=3),"Fazer Pedido",AND(AR195/(AB195/12)&gt;3,AR195/(AB195/12)&lt;=7),"OK",AND(AR195/(AB195/12)&gt;7,AR195/(AB195/12)&lt;=14),"Abaixar Preço",AND(AR195/(AB195/12)&gt;14,AR195/(AB195/12)&lt;=20),"Estabilizando",AR195/(AB195/12)&gt;20,"Instavel"),"Instavel")</f>
        <v>Estabilizando</v>
      </c>
      <c r="AK195" s="1" t="str" cm="1">
        <f t="array" ref="AK195">IFERROR(_xlfn.IFS(AS195="","Sem Produto",AND(AS195/(AC195/12)&gt;0,AS195/(AC195/12)&lt;=2),"Acabando",AND(AS195/(AC195/12)&gt;2,AS195/(AC195/12)&lt;=3),"Fazer Pedido",AND(AS195/(AC195/12)&gt;3,AS195/(AC195/12)&lt;=7),"OK",AND(AS195/(AC195/12)&gt;7,AS195/(AC195/12)&lt;=14),"Abaixar Preço",AND(AS195/(AC195/12)&gt;14,AS195/(AC195/12)&lt;=20),"Estabilizando",AS195/(AC195/12)&gt;20,"Instavel"),"Instavel")</f>
        <v>Abaixar Preço</v>
      </c>
      <c r="AL195" s="1" t="str" cm="1">
        <f t="array" ref="AL195">IFERROR(_xlfn.IFS(AT195="","Sem Produto",AND(AT195/(AD195/12)&gt;0,AT195/(AD195/12)&lt;=2),"Acabando",AND(AT195/(AD195/12)&gt;2,AT195/(AD195/12)&lt;=3),"Fazer Pedido",AND(AT195/(AD195/12)&gt;3,AT195/(AD195/12)&lt;=7),"OK",AND(AT195/(AD195/12)&gt;7,AT195/(AD195/12)&lt;=14),"Abaixar Preço",AND(AT195/(AD195/12)&gt;14,AT195/(AD195/12)&lt;=20),"Estabilizando",AT195/(AD195/12)&gt;20,"Instavel"),"Instavel")</f>
        <v>Abaixar Preço</v>
      </c>
      <c r="AM195" s="1" t="str" cm="1">
        <f t="array" ref="AM195">IFERROR(_xlfn.IFS(AU195="","Sem Produto",AND(AU195/(AE195/12)&gt;0,AU195/(AE195/12)&lt;=2),"Acabando",AND(AU195/(AE195/12)&gt;2,AU195/(AE195/12)&lt;=3),"Fazer Pedido",AND(AU195/(AE195/12)&gt;3,AU195/(AE195/12)&lt;=7),"OK",AND(AU195/(AE195/12)&gt;7,AU195/(AE195/12)&lt;=14),"Abaixar Preço",AND(AU195/(AE195/12)&gt;14,AU195/(AE195/12)&lt;=20),"Estabilizando",AU195/(AE195/12)&gt;20,"Instavel"),"Instavel")</f>
        <v>Estabilizando</v>
      </c>
      <c r="AN195" s="1" t="str">
        <f ca="1">IF(SUMIF(vendaAno[data],SituaçãoEstoqueFluxo[[#This Row],[data]],vendaAno[estoque])=0,"Algo errado",IF(AND(AX195/AW195&gt;0,AX195/AW195&lt;=1),"Alerta",IF(AND(AX195/AW195&gt;1,AX195/AW195&lt;=1.5),"Fazer pedido",IF(AND(AX195/AW195&gt;1.5,AX195/AW195&lt;=2),"Ok",IF(AND(AX195/AW195&gt;2,AX195/AW195&lt;=2.5),"Estabilizando",IF(AND(AX195/AW195&gt;2.5,AX195/AW195&lt;=3),"Cheio","Abaixar preço"))))))</f>
        <v>Abaixar preço</v>
      </c>
      <c r="AO195" s="82">
        <f>SUMIFS(estoque[quantidade],estoque[fornecedor],"&lt;&gt;saída",estoque[data],SituaçãoEstoqueFluxo[[#This Row],[data]])-SUMIFS(estoque[quantidade],estoque[fornecedor],"saída",estoque[data],SituaçãoEstoqueFluxo[[#This Row],[data]])</f>
        <v>-6</v>
      </c>
      <c r="AP195" s="116">
        <f t="shared" si="9"/>
        <v>46039</v>
      </c>
      <c r="AQ19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15.583333333333334</v>
      </c>
      <c r="AR19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9.3333333333333339</v>
      </c>
      <c r="AS19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19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12.416666666666666</v>
      </c>
      <c r="AU19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1.4166666666666667</v>
      </c>
      <c r="AV195" s="82" cm="1">
        <f t="array" aca="1" ref="AV1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26.142857142857149</v>
      </c>
      <c r="AW195" s="82" cm="1">
        <f t="array" aca="1" ref="AW1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8.7142857142857135</v>
      </c>
      <c r="AX195" s="82">
        <f>SUM(FluxoEstoqueDateTime[[#This Row],[OVO BRANCO A]:[OVO BRANCO JUMBO]])</f>
        <v>43.75</v>
      </c>
    </row>
    <row r="196" spans="1:50" x14ac:dyDescent="0.25">
      <c r="A196" s="4" t="s">
        <v>20</v>
      </c>
      <c r="B196" s="55" t="s">
        <v>11</v>
      </c>
      <c r="C196" s="5">
        <v>24</v>
      </c>
      <c r="D196" s="56">
        <v>16</v>
      </c>
      <c r="E196" s="56">
        <v>377.5</v>
      </c>
      <c r="F196" s="157">
        <v>46191</v>
      </c>
      <c r="G196" s="4" t="s">
        <v>294</v>
      </c>
      <c r="H196" s="4" t="s">
        <v>148</v>
      </c>
      <c r="I196" s="153">
        <v>24.6</v>
      </c>
      <c r="J196" s="12">
        <v>6.5167130373447471E-2</v>
      </c>
      <c r="Z196" s="116">
        <f t="shared" ref="Z196:Z259" si="10">Z195-1</f>
        <v>46038</v>
      </c>
      <c r="AA19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6.7142857142857144</v>
      </c>
      <c r="AB19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6.2857142857142856</v>
      </c>
      <c r="AC19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</v>
      </c>
      <c r="AD19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16.857142857142858</v>
      </c>
      <c r="AE19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</v>
      </c>
      <c r="AF19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35.857142857142854</v>
      </c>
      <c r="AG19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46.204152506372147</v>
      </c>
      <c r="AH196" s="116">
        <f t="shared" ref="AH196:AH259" si="11">AH195-1</f>
        <v>46038</v>
      </c>
      <c r="AI196" s="1" t="str" cm="1">
        <f t="array" ref="AI196">IFERROR(_xlfn.IFS(AQ196="","Sem Produto",AND(AQ196/(AA196/12)&gt;0,AQ196/(AA196/12)&lt;=2),"Acabando",AND(AQ196/(AA196/12)&gt;2,AQ196/(AA196/12)&lt;=3),"Fazer Pedido",AND(AQ196/(AA196/12)&gt;3,AQ196/(AA196/12)&lt;=7),"OK",AND(AQ196/(AA196/12)&gt;7,AQ196/(AA196/12)&lt;=14),"Abaixar Preço",AND(AQ196/(AA196/12)&gt;14,AQ196/(AA196/12)&lt;=20),"Estabilizando",AQ196/(AA196/12)&gt;20,"Instavel"),"Instavel")</f>
        <v>Instavel</v>
      </c>
      <c r="AJ196" s="1" t="str" cm="1">
        <f t="array" ref="AJ196">IFERROR(_xlfn.IFS(AR196="","Sem Produto",AND(AR196/(AB196/12)&gt;0,AR196/(AB196/12)&lt;=2),"Acabando",AND(AR196/(AB196/12)&gt;2,AR196/(AB196/12)&lt;=3),"Fazer Pedido",AND(AR196/(AB196/12)&gt;3,AR196/(AB196/12)&lt;=7),"OK",AND(AR196/(AB196/12)&gt;7,AR196/(AB196/12)&lt;=14),"Abaixar Preço",AND(AR196/(AB196/12)&gt;14,AR196/(AB196/12)&lt;=20),"Estabilizando",AR196/(AB196/12)&gt;20,"Instavel"),"Instavel")</f>
        <v>Estabilizando</v>
      </c>
      <c r="AK196" s="1" t="str" cm="1">
        <f t="array" ref="AK196">IFERROR(_xlfn.IFS(AS196="","Sem Produto",AND(AS196/(AC196/12)&gt;0,AS196/(AC196/12)&lt;=2),"Acabando",AND(AS196/(AC196/12)&gt;2,AS196/(AC196/12)&lt;=3),"Fazer Pedido",AND(AS196/(AC196/12)&gt;3,AS196/(AC196/12)&lt;=7),"OK",AND(AS196/(AC196/12)&gt;7,AS196/(AC196/12)&lt;=14),"Abaixar Preço",AND(AS196/(AC196/12)&gt;14,AS196/(AC196/12)&lt;=20),"Estabilizando",AS196/(AC196/12)&gt;20,"Instavel"),"Instavel")</f>
        <v>Abaixar Preço</v>
      </c>
      <c r="AL196" s="1" t="str" cm="1">
        <f t="array" ref="AL196">IFERROR(_xlfn.IFS(AT196="","Sem Produto",AND(AT196/(AD196/12)&gt;0,AT196/(AD196/12)&lt;=2),"Acabando",AND(AT196/(AD196/12)&gt;2,AT196/(AD196/12)&lt;=3),"Fazer Pedido",AND(AT196/(AD196/12)&gt;3,AT196/(AD196/12)&lt;=7),"OK",AND(AT196/(AD196/12)&gt;7,AT196/(AD196/12)&lt;=14),"Abaixar Preço",AND(AT196/(AD196/12)&gt;14,AT196/(AD196/12)&lt;=20),"Estabilizando",AT196/(AD196/12)&gt;20,"Instavel"),"Instavel")</f>
        <v>Abaixar Preço</v>
      </c>
      <c r="AM196" s="1" t="str" cm="1">
        <f t="array" ref="AM196">IFERROR(_xlfn.IFS(AU196="","Sem Produto",AND(AU196/(AE196/12)&gt;0,AU196/(AE196/12)&lt;=2),"Acabando",AND(AU196/(AE196/12)&gt;2,AU196/(AE196/12)&lt;=3),"Fazer Pedido",AND(AU196/(AE196/12)&gt;3,AU196/(AE196/12)&lt;=7),"OK",AND(AU196/(AE196/12)&gt;7,AU196/(AE196/12)&lt;=14),"Abaixar Preço",AND(AU196/(AE196/12)&gt;14,AU196/(AE196/12)&lt;=20),"Estabilizando",AU196/(AE196/12)&gt;20,"Instavel"),"Instavel")</f>
        <v>Estabilizando</v>
      </c>
      <c r="AN196" s="1" t="str">
        <f ca="1">IF(SUMIF(vendaAno[data],SituaçãoEstoqueFluxo[[#This Row],[data]],vendaAno[estoque])=0,"Algo errado",IF(AND(AX196/AW196&gt;0,AX196/AW196&lt;=1),"Alerta",IF(AND(AX196/AW196&gt;1,AX196/AW196&lt;=1.5),"Fazer pedido",IF(AND(AX196/AW196&gt;1.5,AX196/AW196&lt;=2),"Ok",IF(AND(AX196/AW196&gt;2,AX196/AW196&lt;=2.5),"Estabilizando",IF(AND(AX196/AW196&gt;2.5,AX196/AW196&lt;=3),"Cheio","Abaixar preço"))))))</f>
        <v>Abaixar preço</v>
      </c>
      <c r="AO196" s="82">
        <f>SUMIFS(estoque[quantidade],estoque[fornecedor],"&lt;&gt;saída",estoque[data],SituaçãoEstoqueFluxo[[#This Row],[data]])-SUMIFS(estoque[quantidade],estoque[fornecedor],"saída",estoque[data],SituaçãoEstoqueFluxo[[#This Row],[data]])</f>
        <v>162</v>
      </c>
      <c r="AP196" s="116">
        <f t="shared" ref="AP196:AP259" si="12">AP195-1</f>
        <v>46038</v>
      </c>
      <c r="AQ19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15.833333333333334</v>
      </c>
      <c r="AR19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9.4166666666666661</v>
      </c>
      <c r="AS19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</v>
      </c>
      <c r="AT19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12.5</v>
      </c>
      <c r="AU19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</v>
      </c>
      <c r="AV196" s="82" cm="1">
        <f t="array" aca="1" ref="AV1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26.892857142857142</v>
      </c>
      <c r="AW196" s="82" cm="1">
        <f t="array" aca="1" ref="AW1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8.9642857142857135</v>
      </c>
      <c r="AX196" s="82">
        <f>SUM(FluxoEstoqueDateTime[[#This Row],[OVO BRANCO A]:[OVO BRANCO JUMBO]])</f>
        <v>44.25</v>
      </c>
    </row>
    <row r="197" spans="1:50" x14ac:dyDescent="0.25">
      <c r="A197" s="4" t="s">
        <v>20</v>
      </c>
      <c r="B197" s="55" t="s">
        <v>10</v>
      </c>
      <c r="C197" s="5">
        <v>1</v>
      </c>
      <c r="D197" s="56">
        <v>19</v>
      </c>
      <c r="E197" s="56">
        <v>19</v>
      </c>
      <c r="F197" s="157">
        <v>46191</v>
      </c>
      <c r="G197" s="4" t="s">
        <v>294</v>
      </c>
      <c r="H197" s="4" t="s">
        <v>148</v>
      </c>
      <c r="I197" s="153">
        <v>3.58</v>
      </c>
      <c r="J197" s="12">
        <v>0.18859649122807021</v>
      </c>
      <c r="Z197" s="116">
        <f t="shared" si="10"/>
        <v>46037</v>
      </c>
      <c r="AA19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</v>
      </c>
      <c r="AB19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19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5.5714285714285712</v>
      </c>
      <c r="AD19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19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0.8571428571428571</v>
      </c>
      <c r="AF19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34.285714285714285</v>
      </c>
      <c r="AG19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46.771154235344397</v>
      </c>
      <c r="AH197" s="116">
        <f t="shared" si="11"/>
        <v>46037</v>
      </c>
      <c r="AI197" s="1" t="str" cm="1">
        <f t="array" ref="AI197">IFERROR(_xlfn.IFS(AQ197="","Sem Produto",AND(AQ197/(AA197/12)&gt;0,AQ197/(AA197/12)&lt;=2),"Acabando",AND(AQ197/(AA197/12)&gt;2,AQ197/(AA197/12)&lt;=3),"Fazer Pedido",AND(AQ197/(AA197/12)&gt;3,AQ197/(AA197/12)&lt;=7),"OK",AND(AQ197/(AA197/12)&gt;7,AQ197/(AA197/12)&lt;=14),"Abaixar Preço",AND(AQ197/(AA197/12)&gt;14,AQ197/(AA197/12)&lt;=20),"Estabilizando",AQ197/(AA197/12)&gt;20,"Instavel"),"Instavel")</f>
        <v>Instavel</v>
      </c>
      <c r="AJ197" s="1" t="str" cm="1">
        <f t="array" ref="AJ197">IFERROR(_xlfn.IFS(AR197="","Sem Produto",AND(AR197/(AB197/12)&gt;0,AR197/(AB197/12)&lt;=2),"Acabando",AND(AR197/(AB197/12)&gt;2,AR197/(AB197/12)&lt;=3),"Fazer Pedido",AND(AR197/(AB197/12)&gt;3,AR197/(AB197/12)&lt;=7),"OK",AND(AR197/(AB197/12)&gt;7,AR197/(AB197/12)&lt;=14),"Abaixar Preço",AND(AR197/(AB197/12)&gt;14,AR197/(AB197/12)&lt;=20),"Estabilizando",AR197/(AB197/12)&gt;20,"Instavel"),"Instavel")</f>
        <v>Instavel</v>
      </c>
      <c r="AK197" s="1" t="str" cm="1">
        <f t="array" ref="AK197">IFERROR(_xlfn.IFS(AS197="","Sem Produto",AND(AS197/(AC197/12)&gt;0,AS197/(AC197/12)&lt;=2),"Acabando",AND(AS197/(AC197/12)&gt;2,AS197/(AC197/12)&lt;=3),"Fazer Pedido",AND(AS197/(AC197/12)&gt;3,AS197/(AC197/12)&lt;=7),"OK",AND(AS197/(AC197/12)&gt;7,AS197/(AC197/12)&lt;=14),"Abaixar Preço",AND(AS197/(AC197/12)&gt;14,AS197/(AC197/12)&lt;=20),"Estabilizando",AS197/(AC197/12)&gt;20,"Instavel"),"Instavel")</f>
        <v>Abaixar Preço</v>
      </c>
      <c r="AL197" s="1" t="str" cm="1">
        <f t="array" ref="AL197">IFERROR(_xlfn.IFS(AT197="","Sem Produto",AND(AT197/(AD197/12)&gt;0,AT197/(AD197/12)&lt;=2),"Acabando",AND(AT197/(AD197/12)&gt;2,AT197/(AD197/12)&lt;=3),"Fazer Pedido",AND(AT197/(AD197/12)&gt;3,AT197/(AD197/12)&lt;=7),"OK",AND(AT197/(AD197/12)&gt;7,AT197/(AD197/12)&lt;=14),"Abaixar Preço",AND(AT197/(AD197/12)&gt;14,AT197/(AD197/12)&lt;=20),"Estabilizando",AT197/(AD197/12)&gt;20,"Instavel"),"Instavel")</f>
        <v>Acabando</v>
      </c>
      <c r="AM197" s="1" t="str" cm="1">
        <f t="array" ref="AM197">IFERROR(_xlfn.IFS(AU197="","Sem Produto",AND(AU197/(AE197/12)&gt;0,AU197/(AE197/12)&lt;=2),"Acabando",AND(AU197/(AE197/12)&gt;2,AU197/(AE197/12)&lt;=3),"Fazer Pedido",AND(AU197/(AE197/12)&gt;3,AU197/(AE197/12)&lt;=7),"OK",AND(AU197/(AE197/12)&gt;7,AU197/(AE197/12)&lt;=14),"Abaixar Preço",AND(AU197/(AE197/12)&gt;14,AU197/(AE197/12)&lt;=20),"Estabilizando",AU197/(AE197/12)&gt;20,"Instavel"),"Instavel")</f>
        <v>Sem Produto</v>
      </c>
      <c r="AN197" s="1" t="str">
        <f ca="1">IF(SUMIF(vendaAno[data],SituaçãoEstoqueFluxo[[#This Row],[data]],vendaAno[estoque])=0,"Algo errado",IF(AND(AX197/AW197&gt;0,AX197/AW197&lt;=1),"Alerta",IF(AND(AX197/AW197&gt;1,AX197/AW197&lt;=1.5),"Fazer pedido",IF(AND(AX197/AW197&gt;1.5,AX197/AW197&lt;=2),"Ok",IF(AND(AX197/AW197&gt;2,AX197/AW197&lt;=2.5),"Estabilizando",IF(AND(AX197/AW197&gt;2.5,AX197/AW197&lt;=3),"Cheio","Abaixar preço"))))))</f>
        <v>Abaixar preço</v>
      </c>
      <c r="AO197" s="82">
        <f>SUMIFS(estoque[quantidade],estoque[fornecedor],"&lt;&gt;saída",estoque[data],SituaçãoEstoqueFluxo[[#This Row],[data]])-SUMIFS(estoque[quantidade],estoque[fornecedor],"saída",estoque[data],SituaçãoEstoqueFluxo[[#This Row],[data]])</f>
        <v>-31</v>
      </c>
      <c r="AP197" s="116">
        <f t="shared" si="12"/>
        <v>46037</v>
      </c>
      <c r="AQ19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</v>
      </c>
      <c r="AR19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10.75</v>
      </c>
      <c r="AS19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5.25</v>
      </c>
      <c r="AT19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2.75</v>
      </c>
      <c r="AU19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7" s="82" cm="1">
        <f t="array" aca="1" ref="AV1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25.714285714285712</v>
      </c>
      <c r="AW197" s="82" cm="1">
        <f t="array" aca="1" ref="AW1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8.5714285714285712</v>
      </c>
      <c r="AX197" s="82">
        <f>SUM(FluxoEstoqueDateTime[[#This Row],[OVO BRANCO A]:[OVO BRANCO JUMBO]])</f>
        <v>30.75</v>
      </c>
    </row>
    <row r="198" spans="1:50" x14ac:dyDescent="0.25">
      <c r="A198" s="4" t="s">
        <v>20</v>
      </c>
      <c r="B198" s="55" t="s">
        <v>12</v>
      </c>
      <c r="C198" s="5">
        <v>2</v>
      </c>
      <c r="D198" s="56">
        <v>15</v>
      </c>
      <c r="E198" s="56"/>
      <c r="F198" s="157">
        <v>46191</v>
      </c>
      <c r="G198" s="4" t="s">
        <v>294</v>
      </c>
      <c r="H198" s="4" t="s">
        <v>148</v>
      </c>
      <c r="I198" s="153">
        <f>-13.83*2</f>
        <v>-27.66</v>
      </c>
      <c r="J198" s="12">
        <v>0</v>
      </c>
      <c r="Z198" s="116">
        <f t="shared" si="10"/>
        <v>46036</v>
      </c>
      <c r="AA19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7.2857142857142856</v>
      </c>
      <c r="AB19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4.5714285714285712</v>
      </c>
      <c r="AC19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</v>
      </c>
      <c r="AD19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17.285714285714285</v>
      </c>
      <c r="AE19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</v>
      </c>
      <c r="AF19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37.142857142857146</v>
      </c>
      <c r="AG19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53.263886879365984</v>
      </c>
      <c r="AH198" s="116">
        <f t="shared" si="11"/>
        <v>46036</v>
      </c>
      <c r="AI198" s="1" t="str" cm="1">
        <f t="array" ref="AI198">IFERROR(_xlfn.IFS(AQ198="","Sem Produto",AND(AQ198/(AA198/12)&gt;0,AQ198/(AA198/12)&lt;=2),"Acabando",AND(AQ198/(AA198/12)&gt;2,AQ198/(AA198/12)&lt;=3),"Fazer Pedido",AND(AQ198/(AA198/12)&gt;3,AQ198/(AA198/12)&lt;=7),"OK",AND(AQ198/(AA198/12)&gt;7,AQ198/(AA198/12)&lt;=14),"Abaixar Preço",AND(AQ198/(AA198/12)&gt;14,AQ198/(AA198/12)&lt;=20),"Estabilizando",AQ198/(AA198/12)&gt;20,"Instavel"),"Instavel")</f>
        <v>Instavel</v>
      </c>
      <c r="AJ198" s="1" t="str" cm="1">
        <f t="array" ref="AJ198">IFERROR(_xlfn.IFS(AR198="","Sem Produto",AND(AR198/(AB198/12)&gt;0,AR198/(AB198/12)&lt;=2),"Acabando",AND(AR198/(AB198/12)&gt;2,AR198/(AB198/12)&lt;=3),"Fazer Pedido",AND(AR198/(AB198/12)&gt;3,AR198/(AB198/12)&lt;=7),"OK",AND(AR198/(AB198/12)&gt;7,AR198/(AB198/12)&lt;=14),"Abaixar Preço",AND(AR198/(AB198/12)&gt;14,AR198/(AB198/12)&lt;=20),"Estabilizando",AR198/(AB198/12)&gt;20,"Instavel"),"Instavel")</f>
        <v>Instavel</v>
      </c>
      <c r="AK198" s="1" t="str" cm="1">
        <f t="array" ref="AK198">IFERROR(_xlfn.IFS(AS198="","Sem Produto",AND(AS198/(AC198/12)&gt;0,AS198/(AC198/12)&lt;=2),"Acabando",AND(AS198/(AC198/12)&gt;2,AS198/(AC198/12)&lt;=3),"Fazer Pedido",AND(AS198/(AC198/12)&gt;3,AS198/(AC198/12)&lt;=7),"OK",AND(AS198/(AC198/12)&gt;7,AS198/(AC198/12)&lt;=14),"Abaixar Preço",AND(AS198/(AC198/12)&gt;14,AS198/(AC198/12)&lt;=20),"Estabilizando",AS198/(AC198/12)&gt;20,"Instavel"),"Instavel")</f>
        <v>Abaixar Preço</v>
      </c>
      <c r="AL198" s="1" t="str" cm="1">
        <f t="array" ref="AL198">IFERROR(_xlfn.IFS(AT198="","Sem Produto",AND(AT198/(AD198/12)&gt;0,AT198/(AD198/12)&lt;=2),"Acabando",AND(AT198/(AD198/12)&gt;2,AT198/(AD198/12)&lt;=3),"Fazer Pedido",AND(AT198/(AD198/12)&gt;3,AT198/(AD198/12)&lt;=7),"OK",AND(AT198/(AD198/12)&gt;7,AT198/(AD198/12)&lt;=14),"Abaixar Preço",AND(AT198/(AD198/12)&gt;14,AT198/(AD198/12)&lt;=20),"Estabilizando",AT198/(AD198/12)&gt;20,"Instavel"),"Instavel")</f>
        <v>Fazer Pedido</v>
      </c>
      <c r="AM198" s="1" t="str" cm="1">
        <f t="array" ref="AM198">IFERROR(_xlfn.IFS(AU198="","Sem Produto",AND(AU198/(AE198/12)&gt;0,AU198/(AE198/12)&lt;=2),"Acabando",AND(AU198/(AE198/12)&gt;2,AU198/(AE198/12)&lt;=3),"Fazer Pedido",AND(AU198/(AE198/12)&gt;3,AU198/(AE198/12)&lt;=7),"OK",AND(AU198/(AE198/12)&gt;7,AU198/(AE198/12)&lt;=14),"Abaixar Preço",AND(AU198/(AE198/12)&gt;14,AU198/(AE198/12)&lt;=20),"Estabilizando",AU198/(AE198/12)&gt;20,"Instavel"),"Instavel")</f>
        <v>Sem Produto</v>
      </c>
      <c r="AN198" s="1" t="str">
        <f ca="1">IF(SUMIF(vendaAno[data],SituaçãoEstoqueFluxo[[#This Row],[data]],vendaAno[estoque])=0,"Algo errado",IF(AND(AX198/AW198&gt;0,AX198/AW198&lt;=1),"Alerta",IF(AND(AX198/AW198&gt;1,AX198/AW198&lt;=1.5),"Fazer pedido",IF(AND(AX198/AW198&gt;1.5,AX198/AW198&lt;=2),"Ok",IF(AND(AX198/AW198&gt;2,AX198/AW198&lt;=2.5),"Estabilizando",IF(AND(AX198/AW198&gt;2.5,AX198/AW198&lt;=3),"Cheio","Abaixar preço"))))))</f>
        <v>Abaixar preço</v>
      </c>
      <c r="AO198" s="82">
        <f>SUMIFS(estoque[quantidade],estoque[fornecedor],"&lt;&gt;saída",estoque[data],SituaçãoEstoqueFluxo[[#This Row],[data]])-SUMIFS(estoque[quantidade],estoque[fornecedor],"saída",estoque[data],SituaçãoEstoqueFluxo[[#This Row],[data]])</f>
        <v>-61</v>
      </c>
      <c r="AP198" s="116">
        <f t="shared" si="12"/>
        <v>46036</v>
      </c>
      <c r="AQ19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12.5</v>
      </c>
      <c r="AR19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11.333333333333334</v>
      </c>
      <c r="AS19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5.416666666666667</v>
      </c>
      <c r="AT19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19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8" s="82" cm="1">
        <f t="array" aca="1" ref="AV1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27.857142857142858</v>
      </c>
      <c r="AW198" s="82" cm="1">
        <f t="array" aca="1" ref="AW1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9.2857142857142865</v>
      </c>
      <c r="AX198" s="82">
        <f>SUM(FluxoEstoqueDateTime[[#This Row],[OVO BRANCO A]:[OVO BRANCO JUMBO]])</f>
        <v>33.333333333333336</v>
      </c>
    </row>
    <row r="199" spans="1:50" x14ac:dyDescent="0.25">
      <c r="A199" s="4" t="s">
        <v>31</v>
      </c>
      <c r="B199" s="55" t="s">
        <v>14</v>
      </c>
      <c r="C199" s="5">
        <v>48</v>
      </c>
      <c r="D199" s="56">
        <v>195</v>
      </c>
      <c r="E199" s="56">
        <v>780</v>
      </c>
      <c r="F199" s="157">
        <v>46191</v>
      </c>
      <c r="G199" s="4" t="s">
        <v>294</v>
      </c>
      <c r="H199" s="4" t="s">
        <v>148</v>
      </c>
      <c r="I199" s="153"/>
      <c r="J199" s="12"/>
      <c r="Z199" s="116">
        <f t="shared" si="10"/>
        <v>46035</v>
      </c>
      <c r="AA19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7.7142857142857144</v>
      </c>
      <c r="AB19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3.4285714285714284</v>
      </c>
      <c r="AC19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6.4285714285714288</v>
      </c>
      <c r="AD19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19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2.8571428571428572</v>
      </c>
      <c r="AF19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37.857142857142854</v>
      </c>
      <c r="AG19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49.827708400208174</v>
      </c>
      <c r="AH199" s="116">
        <f t="shared" si="11"/>
        <v>46035</v>
      </c>
      <c r="AI199" s="1" t="str" cm="1">
        <f t="array" ref="AI199">IFERROR(_xlfn.IFS(AQ199="","Sem Produto",AND(AQ199/(AA199/12)&gt;0,AQ199/(AA199/12)&lt;=2),"Acabando",AND(AQ199/(AA199/12)&gt;2,AQ199/(AA199/12)&lt;=3),"Fazer Pedido",AND(AQ199/(AA199/12)&gt;3,AQ199/(AA199/12)&lt;=7),"OK",AND(AQ199/(AA199/12)&gt;7,AQ199/(AA199/12)&lt;=14),"Abaixar Preço",AND(AQ199/(AA199/12)&gt;14,AQ199/(AA199/12)&lt;=20),"Estabilizando",AQ199/(AA199/12)&gt;20,"Instavel"),"Instavel")</f>
        <v>Instavel</v>
      </c>
      <c r="AJ199" s="1" t="str" cm="1">
        <f t="array" ref="AJ199">IFERROR(_xlfn.IFS(AR199="","Sem Produto",AND(AR199/(AB199/12)&gt;0,AR199/(AB199/12)&lt;=2),"Acabando",AND(AR199/(AB199/12)&gt;2,AR199/(AB199/12)&lt;=3),"Fazer Pedido",AND(AR199/(AB199/12)&gt;3,AR199/(AB199/12)&lt;=7),"OK",AND(AR199/(AB199/12)&gt;7,AR199/(AB199/12)&lt;=14),"Abaixar Preço",AND(AR199/(AB199/12)&gt;14,AR199/(AB199/12)&lt;=20),"Estabilizando",AR199/(AB199/12)&gt;20,"Instavel"),"Instavel")</f>
        <v>Instavel</v>
      </c>
      <c r="AK199" s="1" t="str" cm="1">
        <f t="array" ref="AK199">IFERROR(_xlfn.IFS(AS199="","Sem Produto",AND(AS199/(AC199/12)&gt;0,AS199/(AC199/12)&lt;=2),"Acabando",AND(AS199/(AC199/12)&gt;2,AS199/(AC199/12)&lt;=3),"Fazer Pedido",AND(AS199/(AC199/12)&gt;3,AS199/(AC199/12)&lt;=7),"OK",AND(AS199/(AC199/12)&gt;7,AS199/(AC199/12)&lt;=14),"Abaixar Preço",AND(AS199/(AC199/12)&gt;14,AS199/(AC199/12)&lt;=20),"Estabilizando",AS199/(AC199/12)&gt;20,"Instavel"),"Instavel")</f>
        <v>Abaixar Preço</v>
      </c>
      <c r="AL199" s="1" t="str" cm="1">
        <f t="array" ref="AL199">IFERROR(_xlfn.IFS(AT199="","Sem Produto",AND(AT199/(AD199/12)&gt;0,AT199/(AD199/12)&lt;=2),"Acabando",AND(AT199/(AD199/12)&gt;2,AT199/(AD199/12)&lt;=3),"Fazer Pedido",AND(AT199/(AD199/12)&gt;3,AT199/(AD199/12)&lt;=7),"OK",AND(AT199/(AD199/12)&gt;7,AT199/(AD199/12)&lt;=14),"Abaixar Preço",AND(AT199/(AD199/12)&gt;14,AT199/(AD199/12)&lt;=20),"Estabilizando",AT199/(AD199/12)&gt;20,"Instavel"),"Instavel")</f>
        <v>OK</v>
      </c>
      <c r="AM199" s="1" t="str" cm="1">
        <f t="array" ref="AM199">IFERROR(_xlfn.IFS(AU199="","Sem Produto",AND(AU199/(AE199/12)&gt;0,AU199/(AE199/12)&lt;=2),"Acabando",AND(AU199/(AE199/12)&gt;2,AU199/(AE199/12)&lt;=3),"Fazer Pedido",AND(AU199/(AE199/12)&gt;3,AU199/(AE199/12)&lt;=7),"OK",AND(AU199/(AE199/12)&gt;7,AU199/(AE199/12)&lt;=14),"Abaixar Preço",AND(AU199/(AE199/12)&gt;14,AU199/(AE199/12)&lt;=20),"Estabilizando",AU199/(AE199/12)&gt;20,"Instavel"),"Instavel")</f>
        <v>Sem Produto</v>
      </c>
      <c r="AN199" s="1" t="str">
        <f ca="1">IF(SUMIF(vendaAno[data],SituaçãoEstoqueFluxo[[#This Row],[data]],vendaAno[estoque])=0,"Algo errado",IF(AND(AX199/AW199&gt;0,AX199/AW199&lt;=1),"Alerta",IF(AND(AX199/AW199&gt;1,AX199/AW199&lt;=1.5),"Fazer pedido",IF(AND(AX199/AW199&gt;1.5,AX199/AW199&lt;=2),"Ok",IF(AND(AX199/AW199&gt;2,AX199/AW199&lt;=2.5),"Estabilizando",IF(AND(AX199/AW199&gt;2.5,AX199/AW199&lt;=3),"Cheio","Abaixar preço"))))))</f>
        <v>Abaixar preço</v>
      </c>
      <c r="AO199" s="82">
        <f>SUMIFS(estoque[quantidade],estoque[fornecedor],"&lt;&gt;saída",estoque[data],SituaçãoEstoqueFluxo[[#This Row],[data]])-SUMIFS(estoque[quantidade],estoque[fornecedor],"saída",estoque[data],SituaçãoEstoqueFluxo[[#This Row],[data]])</f>
        <v>-39</v>
      </c>
      <c r="AP199" s="116">
        <f t="shared" si="12"/>
        <v>46035</v>
      </c>
      <c r="AQ19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13.083333333333334</v>
      </c>
      <c r="AR19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</v>
      </c>
      <c r="AS19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6.833333333333333</v>
      </c>
      <c r="AT19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6.5</v>
      </c>
      <c r="AU19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199" s="82" cm="1">
        <f t="array" aca="1" ref="AV1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28.392857142857142</v>
      </c>
      <c r="AW199" s="82" cm="1">
        <f t="array" aca="1" ref="AW1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9.4642857142857135</v>
      </c>
      <c r="AX199" s="82">
        <f>SUM(FluxoEstoqueDateTime[[#This Row],[OVO BRANCO A]:[OVO BRANCO JUMBO]])</f>
        <v>38.416666666666671</v>
      </c>
    </row>
    <row r="200" spans="1:50" x14ac:dyDescent="0.25">
      <c r="A200" s="4" t="s">
        <v>31</v>
      </c>
      <c r="B200" s="55" t="s">
        <v>13</v>
      </c>
      <c r="C200" s="5">
        <v>120</v>
      </c>
      <c r="D200" s="56">
        <v>190</v>
      </c>
      <c r="E200" s="56">
        <v>1900</v>
      </c>
      <c r="F200" s="157">
        <v>46191</v>
      </c>
      <c r="G200" s="4" t="s">
        <v>294</v>
      </c>
      <c r="H200" s="4" t="s">
        <v>148</v>
      </c>
      <c r="I200" s="153"/>
      <c r="J200" s="12"/>
      <c r="Z200" s="116">
        <f t="shared" si="10"/>
        <v>46034</v>
      </c>
      <c r="AA20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8.8571428571428577</v>
      </c>
      <c r="AB20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2.8571428571428572</v>
      </c>
      <c r="AC20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</v>
      </c>
      <c r="AD20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</v>
      </c>
      <c r="AE200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3.4285714285714284</v>
      </c>
      <c r="AF20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38.142857142857146</v>
      </c>
      <c r="AG20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52.178667235827113</v>
      </c>
      <c r="AH200" s="116">
        <f t="shared" si="11"/>
        <v>46034</v>
      </c>
      <c r="AI200" s="1" t="str" cm="1">
        <f t="array" ref="AI200">IFERROR(_xlfn.IFS(AQ200="","Sem Produto",AND(AQ200/(AA200/12)&gt;0,AQ200/(AA200/12)&lt;=2),"Acabando",AND(AQ200/(AA200/12)&gt;2,AQ200/(AA200/12)&lt;=3),"Fazer Pedido",AND(AQ200/(AA200/12)&gt;3,AQ200/(AA200/12)&lt;=7),"OK",AND(AQ200/(AA200/12)&gt;7,AQ200/(AA200/12)&lt;=14),"Abaixar Preço",AND(AQ200/(AA200/12)&gt;14,AQ200/(AA200/12)&lt;=20),"Estabilizando",AQ200/(AA200/12)&gt;20,"Instavel"),"Instavel")</f>
        <v>Estabilizando</v>
      </c>
      <c r="AJ200" s="1" t="str" cm="1">
        <f t="array" ref="AJ200">IFERROR(_xlfn.IFS(AR200="","Sem Produto",AND(AR200/(AB200/12)&gt;0,AR200/(AB200/12)&lt;=2),"Acabando",AND(AR200/(AB200/12)&gt;2,AR200/(AB200/12)&lt;=3),"Fazer Pedido",AND(AR200/(AB200/12)&gt;3,AR200/(AB200/12)&lt;=7),"OK",AND(AR200/(AB200/12)&gt;7,AR200/(AB200/12)&lt;=14),"Abaixar Preço",AND(AR200/(AB200/12)&gt;14,AR200/(AB200/12)&lt;=20),"Estabilizando",AR200/(AB200/12)&gt;20,"Instavel"),"Instavel")</f>
        <v>Instavel</v>
      </c>
      <c r="AK200" s="1" t="str" cm="1">
        <f t="array" ref="AK200">IFERROR(_xlfn.IFS(AS200="","Sem Produto",AND(AS200/(AC200/12)&gt;0,AS200/(AC200/12)&lt;=2),"Acabando",AND(AS200/(AC200/12)&gt;2,AS200/(AC200/12)&lt;=3),"Fazer Pedido",AND(AS200/(AC200/12)&gt;3,AS200/(AC200/12)&lt;=7),"OK",AND(AS200/(AC200/12)&gt;7,AS200/(AC200/12)&lt;=14),"Abaixar Preço",AND(AS200/(AC200/12)&gt;14,AS200/(AC200/12)&lt;=20),"Estabilizando",AS200/(AC200/12)&gt;20,"Instavel"),"Instavel")</f>
        <v>Abaixar Preço</v>
      </c>
      <c r="AL200" s="1" t="str" cm="1">
        <f t="array" ref="AL200">IFERROR(_xlfn.IFS(AT200="","Sem Produto",AND(AT200/(AD200/12)&gt;0,AT200/(AD200/12)&lt;=2),"Acabando",AND(AT200/(AD200/12)&gt;2,AT200/(AD200/12)&lt;=3),"Fazer Pedido",AND(AT200/(AD200/12)&gt;3,AT200/(AD200/12)&lt;=7),"OK",AND(AT200/(AD200/12)&gt;7,AT200/(AD200/12)&lt;=14),"Abaixar Preço",AND(AT200/(AD200/12)&gt;14,AT200/(AD200/12)&lt;=20),"Estabilizando",AT200/(AD200/12)&gt;20,"Instavel"),"Instavel")</f>
        <v>OK</v>
      </c>
      <c r="AM200" s="1" t="str" cm="1">
        <f t="array" ref="AM200">IFERROR(_xlfn.IFS(AU200="","Sem Produto",AND(AU200/(AE200/12)&gt;0,AU200/(AE200/12)&lt;=2),"Acabando",AND(AU200/(AE200/12)&gt;2,AU200/(AE200/12)&lt;=3),"Fazer Pedido",AND(AU200/(AE200/12)&gt;3,AU200/(AE200/12)&lt;=7),"OK",AND(AU200/(AE200/12)&gt;7,AU200/(AE200/12)&lt;=14),"Abaixar Preço",AND(AU200/(AE200/12)&gt;14,AU200/(AE200/12)&lt;=20),"Estabilizando",AU200/(AE200/12)&gt;20,"Instavel"),"Instavel")</f>
        <v>Sem Produto</v>
      </c>
      <c r="AN200" s="1" t="str">
        <f ca="1">IF(SUMIF(vendaAno[data],SituaçãoEstoqueFluxo[[#This Row],[data]],vendaAno[estoque])=0,"Algo errado",IF(AND(AX200/AW200&gt;0,AX200/AW200&lt;=1),"Alerta",IF(AND(AX200/AW200&gt;1,AX200/AW200&lt;=1.5),"Fazer pedido",IF(AND(AX200/AW200&gt;1.5,AX200/AW200&lt;=2),"Ok",IF(AND(AX200/AW200&gt;2,AX200/AW200&lt;=2.5),"Estabilizando",IF(AND(AX200/AW200&gt;2.5,AX200/AW200&lt;=3),"Cheio","Abaixar preço"))))))</f>
        <v>Abaixar preço</v>
      </c>
      <c r="AO200" s="82">
        <f>SUMIFS(estoque[quantidade],estoque[fornecedor],"&lt;&gt;saída",estoque[data],SituaçãoEstoqueFluxo[[#This Row],[data]])-SUMIFS(estoque[quantidade],estoque[fornecedor],"saída",estoque[data],SituaçãoEstoqueFluxo[[#This Row],[data]])</f>
        <v>-40</v>
      </c>
      <c r="AP200" s="116">
        <f t="shared" si="12"/>
        <v>46034</v>
      </c>
      <c r="AQ20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13.5</v>
      </c>
      <c r="AR20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12.416666666666666</v>
      </c>
      <c r="AS20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7.083333333333333</v>
      </c>
      <c r="AT20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8.6666666666666661</v>
      </c>
      <c r="AU20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0" s="82" cm="1">
        <f t="array" aca="1" ref="AV2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28.607142857142858</v>
      </c>
      <c r="AW200" s="82" cm="1">
        <f t="array" aca="1" ref="AW2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9.5357142857142865</v>
      </c>
      <c r="AX200" s="82">
        <f>SUM(FluxoEstoqueDateTime[[#This Row],[OVO BRANCO A]:[OVO BRANCO JUMBO]])</f>
        <v>41.666666666666664</v>
      </c>
    </row>
    <row r="201" spans="1:50" x14ac:dyDescent="0.25">
      <c r="A201" s="4" t="s">
        <v>31</v>
      </c>
      <c r="B201" s="55" t="s">
        <v>10</v>
      </c>
      <c r="C201" s="5">
        <v>120</v>
      </c>
      <c r="D201" s="56">
        <v>185</v>
      </c>
      <c r="E201" s="56">
        <v>1850</v>
      </c>
      <c r="F201" s="157">
        <v>46191</v>
      </c>
      <c r="G201" s="4" t="s">
        <v>294</v>
      </c>
      <c r="H201" s="4" t="s">
        <v>148</v>
      </c>
      <c r="I201" s="153"/>
      <c r="J201" s="12"/>
      <c r="Z201" s="116">
        <f t="shared" si="10"/>
        <v>46033</v>
      </c>
      <c r="AA201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201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4.7142857142857144</v>
      </c>
      <c r="AC201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7.1428571428571432</v>
      </c>
      <c r="AD201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16.714285714285715</v>
      </c>
      <c r="AE201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4.4285714285714288</v>
      </c>
      <c r="AF201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43.428571428571431</v>
      </c>
      <c r="AG201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56.114433136294892</v>
      </c>
      <c r="AH201" s="116">
        <f t="shared" si="11"/>
        <v>46033</v>
      </c>
      <c r="AI201" s="1" t="str" cm="1">
        <f t="array" ref="AI201">IFERROR(_xlfn.IFS(AQ201="","Sem Produto",AND(AQ201/(AA201/12)&gt;0,AQ201/(AA201/12)&lt;=2),"Acabando",AND(AQ201/(AA201/12)&gt;2,AQ201/(AA201/12)&lt;=3),"Fazer Pedido",AND(AQ201/(AA201/12)&gt;3,AQ201/(AA201/12)&lt;=7),"OK",AND(AQ201/(AA201/12)&gt;7,AQ201/(AA201/12)&lt;=14),"Abaixar Preço",AND(AQ201/(AA201/12)&gt;14,AQ201/(AA201/12)&lt;=20),"Estabilizando",AQ201/(AA201/12)&gt;20,"Instavel"),"Instavel")</f>
        <v>Estabilizando</v>
      </c>
      <c r="AJ201" s="1" t="str" cm="1">
        <f t="array" ref="AJ201">IFERROR(_xlfn.IFS(AR201="","Sem Produto",AND(AR201/(AB201/12)&gt;0,AR201/(AB201/12)&lt;=2),"Acabando",AND(AR201/(AB201/12)&gt;2,AR201/(AB201/12)&lt;=3),"Fazer Pedido",AND(AR201/(AB201/12)&gt;3,AR201/(AB201/12)&lt;=7),"OK",AND(AR201/(AB201/12)&gt;7,AR201/(AB201/12)&lt;=14),"Abaixar Preço",AND(AR201/(AB201/12)&gt;14,AR201/(AB201/12)&lt;=20),"Estabilizando",AR201/(AB201/12)&gt;20,"Instavel"),"Instavel")</f>
        <v>Instavel</v>
      </c>
      <c r="AK201" s="1" t="str" cm="1">
        <f t="array" ref="AK201">IFERROR(_xlfn.IFS(AS201="","Sem Produto",AND(AS201/(AC201/12)&gt;0,AS201/(AC201/12)&lt;=2),"Acabando",AND(AS201/(AC201/12)&gt;2,AS201/(AC201/12)&lt;=3),"Fazer Pedido",AND(AS201/(AC201/12)&gt;3,AS201/(AC201/12)&lt;=7),"OK",AND(AS201/(AC201/12)&gt;7,AS201/(AC201/12)&lt;=14),"Abaixar Preço",AND(AS201/(AC201/12)&gt;14,AS201/(AC201/12)&lt;=20),"Estabilizando",AS201/(AC201/12)&gt;20,"Instavel"),"Instavel")</f>
        <v>Abaixar Preço</v>
      </c>
      <c r="AL201" s="1" t="str" cm="1">
        <f t="array" ref="AL201">IFERROR(_xlfn.IFS(AT201="","Sem Produto",AND(AT201/(AD201/12)&gt;0,AT201/(AD201/12)&lt;=2),"Acabando",AND(AT201/(AD201/12)&gt;2,AT201/(AD201/12)&lt;=3),"Fazer Pedido",AND(AT201/(AD201/12)&gt;3,AT201/(AD201/12)&lt;=7),"OK",AND(AT201/(AD201/12)&gt;7,AT201/(AD201/12)&lt;=14),"Abaixar Preço",AND(AT201/(AD201/12)&gt;14,AT201/(AD201/12)&lt;=20),"Estabilizando",AT201/(AD201/12)&gt;20,"Instavel"),"Instavel")</f>
        <v>Abaixar Preço</v>
      </c>
      <c r="AM201" s="1" t="str" cm="1">
        <f t="array" ref="AM201">IFERROR(_xlfn.IFS(AU201="","Sem Produto",AND(AU201/(AE201/12)&gt;0,AU201/(AE201/12)&lt;=2),"Acabando",AND(AU201/(AE201/12)&gt;2,AU201/(AE201/12)&lt;=3),"Fazer Pedido",AND(AU201/(AE201/12)&gt;3,AU201/(AE201/12)&lt;=7),"OK",AND(AU201/(AE201/12)&gt;7,AU201/(AE201/12)&lt;=14),"Abaixar Preço",AND(AU201/(AE201/12)&gt;14,AU201/(AE201/12)&lt;=20),"Estabilizando",AU201/(AE201/12)&gt;20,"Instavel"),"Instavel")</f>
        <v>Sem Produto</v>
      </c>
      <c r="AN201" s="1" t="str">
        <f ca="1">IF(SUMIF(vendaAno[data],SituaçãoEstoqueFluxo[[#This Row],[data]],vendaAno[estoque])=0,"Algo errado",IF(AND(AX201/AW201&gt;0,AX201/AW201&lt;=1),"Alerta",IF(AND(AX201/AW201&gt;1,AX201/AW201&lt;=1.5),"Fazer pedido",IF(AND(AX201/AW201&gt;1.5,AX201/AW201&lt;=2),"Ok",IF(AND(AX201/AW201&gt;2,AX201/AW201&lt;=2.5),"Estabilizando",IF(AND(AX201/AW201&gt;2.5,AX201/AW201&lt;=3),"Cheio","Abaixar preço"))))))</f>
        <v>Abaixar preço</v>
      </c>
      <c r="AO201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201" s="116">
        <f t="shared" si="12"/>
        <v>46033</v>
      </c>
      <c r="AQ20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14.083333333333334</v>
      </c>
      <c r="AR20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12.75</v>
      </c>
      <c r="AS20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7.5</v>
      </c>
      <c r="AT20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10.666666666666666</v>
      </c>
      <c r="AU20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1" s="82" cm="1">
        <f t="array" aca="1" ref="AV2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32.571428571428577</v>
      </c>
      <c r="AW201" s="82" cm="1">
        <f t="array" aca="1" ref="AW2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10.857142857142856</v>
      </c>
      <c r="AX201" s="82">
        <f>SUM(FluxoEstoqueDateTime[[#This Row],[OVO BRANCO A]:[OVO BRANCO JUMBO]])</f>
        <v>45</v>
      </c>
    </row>
    <row r="202" spans="1:50" x14ac:dyDescent="0.25">
      <c r="A202" s="4" t="s">
        <v>20</v>
      </c>
      <c r="B202" s="55" t="s">
        <v>14</v>
      </c>
      <c r="C202" s="5">
        <v>6</v>
      </c>
      <c r="D202" s="56">
        <v>22</v>
      </c>
      <c r="E202" s="56">
        <v>132</v>
      </c>
      <c r="F202" s="157">
        <v>46190</v>
      </c>
      <c r="G202" s="4" t="s">
        <v>32</v>
      </c>
      <c r="H202" s="4" t="s">
        <v>148</v>
      </c>
      <c r="I202" s="153">
        <v>29.5</v>
      </c>
      <c r="J202" s="12">
        <v>0.22348484848484854</v>
      </c>
      <c r="Z202" s="116">
        <f t="shared" si="10"/>
        <v>46032</v>
      </c>
      <c r="AA202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11.285714285714286</v>
      </c>
      <c r="AB202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202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7.7142857142857144</v>
      </c>
      <c r="AD202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18.857142857142858</v>
      </c>
      <c r="AE202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4.7142857142857144</v>
      </c>
      <c r="AF202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48.428571428571431</v>
      </c>
      <c r="AG202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56.777590122003396</v>
      </c>
      <c r="AH202" s="116">
        <f t="shared" si="11"/>
        <v>46032</v>
      </c>
      <c r="AI202" s="1" t="str" cm="1">
        <f t="array" ref="AI202">IFERROR(_xlfn.IFS(AQ202="","Sem Produto",AND(AQ202/(AA202/12)&gt;0,AQ202/(AA202/12)&lt;=2),"Acabando",AND(AQ202/(AA202/12)&gt;2,AQ202/(AA202/12)&lt;=3),"Fazer Pedido",AND(AQ202/(AA202/12)&gt;3,AQ202/(AA202/12)&lt;=7),"OK",AND(AQ202/(AA202/12)&gt;7,AQ202/(AA202/12)&lt;=14),"Abaixar Preço",AND(AQ202/(AA202/12)&gt;14,AQ202/(AA202/12)&lt;=20),"Estabilizando",AQ202/(AA202/12)&gt;20,"Instavel"),"Instavel")</f>
        <v>Estabilizando</v>
      </c>
      <c r="AJ202" s="1" t="str" cm="1">
        <f t="array" ref="AJ202">IFERROR(_xlfn.IFS(AR202="","Sem Produto",AND(AR202/(AB202/12)&gt;0,AR202/(AB202/12)&lt;=2),"Acabando",AND(AR202/(AB202/12)&gt;2,AR202/(AB202/12)&lt;=3),"Fazer Pedido",AND(AR202/(AB202/12)&gt;3,AR202/(AB202/12)&lt;=7),"OK",AND(AR202/(AB202/12)&gt;7,AR202/(AB202/12)&lt;=14),"Abaixar Preço",AND(AR202/(AB202/12)&gt;14,AR202/(AB202/12)&lt;=20),"Estabilizando",AR202/(AB202/12)&gt;20,"Instavel"),"Instavel")</f>
        <v>Instavel</v>
      </c>
      <c r="AK202" s="1" t="str" cm="1">
        <f t="array" ref="AK202">IFERROR(_xlfn.IFS(AS202="","Sem Produto",AND(AS202/(AC202/12)&gt;0,AS202/(AC202/12)&lt;=2),"Acabando",AND(AS202/(AC202/12)&gt;2,AS202/(AC202/12)&lt;=3),"Fazer Pedido",AND(AS202/(AC202/12)&gt;3,AS202/(AC202/12)&lt;=7),"OK",AND(AS202/(AC202/12)&gt;7,AS202/(AC202/12)&lt;=14),"Abaixar Preço",AND(AS202/(AC202/12)&gt;14,AS202/(AC202/12)&lt;=20),"Estabilizando",AS202/(AC202/12)&gt;20,"Instavel"),"Instavel")</f>
        <v>Abaixar Preço</v>
      </c>
      <c r="AL202" s="1" t="str" cm="1">
        <f t="array" ref="AL202">IFERROR(_xlfn.IFS(AT202="","Sem Produto",AND(AT202/(AD202/12)&gt;0,AT202/(AD202/12)&lt;=2),"Acabando",AND(AT202/(AD202/12)&gt;2,AT202/(AD202/12)&lt;=3),"Fazer Pedido",AND(AT202/(AD202/12)&gt;3,AT202/(AD202/12)&lt;=7),"OK",AND(AT202/(AD202/12)&gt;7,AT202/(AD202/12)&lt;=14),"Abaixar Preço",AND(AT202/(AD202/12)&gt;14,AT202/(AD202/12)&lt;=20),"Estabilizando",AT202/(AD202/12)&gt;20,"Instavel"),"Instavel")</f>
        <v>Abaixar Preço</v>
      </c>
      <c r="AM202" s="1" t="str" cm="1">
        <f t="array" ref="AM202">IFERROR(_xlfn.IFS(AU202="","Sem Produto",AND(AU202/(AE202/12)&gt;0,AU202/(AE202/12)&lt;=2),"Acabando",AND(AU202/(AE202/12)&gt;2,AU202/(AE202/12)&lt;=3),"Fazer Pedido",AND(AU202/(AE202/12)&gt;3,AU202/(AE202/12)&lt;=7),"OK",AND(AU202/(AE202/12)&gt;7,AU202/(AE202/12)&lt;=14),"Abaixar Preço",AND(AU202/(AE202/12)&gt;14,AU202/(AE202/12)&lt;=20),"Estabilizando",AU202/(AE202/12)&gt;20,"Instavel"),"Instavel")</f>
        <v>Sem Produto</v>
      </c>
      <c r="AN202" s="1" t="str">
        <f ca="1">IF(SUMIF(vendaAno[data],SituaçãoEstoqueFluxo[[#This Row],[data]],vendaAno[estoque])=0,"Algo errado",IF(AND(AX202/AW202&gt;0,AX202/AW202&lt;=1),"Alerta",IF(AND(AX202/AW202&gt;1,AX202/AW202&lt;=1.5),"Fazer pedido",IF(AND(AX202/AW202&gt;1.5,AX202/AW202&lt;=2),"Ok",IF(AND(AX202/AW202&gt;2,AX202/AW202&lt;=2.5),"Estabilizando",IF(AND(AX202/AW202&gt;2.5,AX202/AW202&lt;=3),"Cheio","Abaixar preço"))))))</f>
        <v>Abaixar preço</v>
      </c>
      <c r="AO202" s="82">
        <f>SUMIFS(estoque[quantidade],estoque[fornecedor],"&lt;&gt;saída",estoque[data],SituaçãoEstoqueFluxo[[#This Row],[data]])-SUMIFS(estoque[quantidade],estoque[fornecedor],"saída",estoque[data],SituaçãoEstoqueFluxo[[#This Row],[data]])</f>
        <v>-13</v>
      </c>
      <c r="AP202" s="116">
        <f t="shared" si="12"/>
        <v>46032</v>
      </c>
      <c r="AQ202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14.166666666666666</v>
      </c>
      <c r="AR202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13.083333333333334</v>
      </c>
      <c r="AS202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7.75</v>
      </c>
      <c r="AT202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11.083333333333334</v>
      </c>
      <c r="AU20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02" s="82" cm="1">
        <f t="array" aca="1" ref="AV2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36.321428571428577</v>
      </c>
      <c r="AW202" s="82" cm="1">
        <f t="array" aca="1" ref="AW2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12.107142857142856</v>
      </c>
      <c r="AX202" s="82">
        <f>SUM(FluxoEstoqueDateTime[[#This Row],[OVO BRANCO A]:[OVO BRANCO JUMBO]])</f>
        <v>46.083333333333336</v>
      </c>
    </row>
    <row r="203" spans="1:50" x14ac:dyDescent="0.25">
      <c r="A203" s="4" t="s">
        <v>20</v>
      </c>
      <c r="B203" s="55" t="s">
        <v>12</v>
      </c>
      <c r="C203" s="5">
        <v>2</v>
      </c>
      <c r="D203" s="56">
        <v>16</v>
      </c>
      <c r="E203" s="56">
        <v>32</v>
      </c>
      <c r="F203" s="157">
        <v>46190</v>
      </c>
      <c r="G203" s="4" t="s">
        <v>32</v>
      </c>
      <c r="H203" s="4" t="s">
        <v>148</v>
      </c>
      <c r="I203" s="153">
        <v>4.33</v>
      </c>
      <c r="J203" s="12">
        <v>0.13541666666666652</v>
      </c>
      <c r="Z203" s="116">
        <f t="shared" si="10"/>
        <v>46031</v>
      </c>
      <c r="AA203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10.428571428571429</v>
      </c>
      <c r="AB203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5.8571428571428568</v>
      </c>
      <c r="AC203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7.4285714285714288</v>
      </c>
      <c r="AD203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18.428571428571427</v>
      </c>
      <c r="AE203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5</v>
      </c>
      <c r="AF203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47.142857142857146</v>
      </c>
      <c r="AG203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56.638997700193883</v>
      </c>
      <c r="AH203" s="116">
        <f t="shared" si="11"/>
        <v>46031</v>
      </c>
      <c r="AI203" s="1" t="str" cm="1">
        <f t="array" ref="AI203">IFERROR(_xlfn.IFS(AQ203="","Sem Produto",AND(AQ203/(AA203/12)&gt;0,AQ203/(AA203/12)&lt;=2),"Acabando",AND(AQ203/(AA203/12)&gt;2,AQ203/(AA203/12)&lt;=3),"Fazer Pedido",AND(AQ203/(AA203/12)&gt;3,AQ203/(AA203/12)&lt;=7),"OK",AND(AQ203/(AA203/12)&gt;7,AQ203/(AA203/12)&lt;=14),"Abaixar Preço",AND(AQ203/(AA203/12)&gt;14,AQ203/(AA203/12)&lt;=20),"Estabilizando",AQ203/(AA203/12)&gt;20,"Instavel"),"Instavel")</f>
        <v>Estabilizando</v>
      </c>
      <c r="AJ203" s="1" t="str" cm="1">
        <f t="array" ref="AJ203">IFERROR(_xlfn.IFS(AR203="","Sem Produto",AND(AR203/(AB203/12)&gt;0,AR203/(AB203/12)&lt;=2),"Acabando",AND(AR203/(AB203/12)&gt;2,AR203/(AB203/12)&lt;=3),"Fazer Pedido",AND(AR203/(AB203/12)&gt;3,AR203/(AB203/12)&lt;=7),"OK",AND(AR203/(AB203/12)&gt;7,AR203/(AB203/12)&lt;=14),"Abaixar Preço",AND(AR203/(AB203/12)&gt;14,AR203/(AB203/12)&lt;=20),"Estabilizando",AR203/(AB203/12)&gt;20,"Instavel"),"Instavel")</f>
        <v>Instavel</v>
      </c>
      <c r="AK203" s="1" t="str" cm="1">
        <f t="array" ref="AK203">IFERROR(_xlfn.IFS(AS203="","Sem Produto",AND(AS203/(AC203/12)&gt;0,AS203/(AC203/12)&lt;=2),"Acabando",AND(AS203/(AC203/12)&gt;2,AS203/(AC203/12)&lt;=3),"Fazer Pedido",AND(AS203/(AC203/12)&gt;3,AS203/(AC203/12)&lt;=7),"OK",AND(AS203/(AC203/12)&gt;7,AS203/(AC203/12)&lt;=14),"Abaixar Preço",AND(AS203/(AC203/12)&gt;14,AS203/(AC203/12)&lt;=20),"Estabilizando",AS203/(AC203/12)&gt;20,"Instavel"),"Instavel")</f>
        <v>Abaixar Preço</v>
      </c>
      <c r="AL203" s="1" t="str" cm="1">
        <f t="array" ref="AL203">IFERROR(_xlfn.IFS(AT203="","Sem Produto",AND(AT203/(AD203/12)&gt;0,AT203/(AD203/12)&lt;=2),"Acabando",AND(AT203/(AD203/12)&gt;2,AT203/(AD203/12)&lt;=3),"Fazer Pedido",AND(AT203/(AD203/12)&gt;3,AT203/(AD203/12)&lt;=7),"OK",AND(AT203/(AD203/12)&gt;7,AT203/(AD203/12)&lt;=14),"Abaixar Preço",AND(AT203/(AD203/12)&gt;14,AT203/(AD203/12)&lt;=20),"Estabilizando",AT203/(AD203/12)&gt;20,"Instavel"),"Instavel")</f>
        <v>Abaixar Preço</v>
      </c>
      <c r="AM203" s="1" t="str" cm="1">
        <f t="array" ref="AM203">IFERROR(_xlfn.IFS(AU203="","Sem Produto",AND(AU203/(AE203/12)&gt;0,AU203/(AE203/12)&lt;=2),"Acabando",AND(AU203/(AE203/12)&gt;2,AU203/(AE203/12)&lt;=3),"Fazer Pedido",AND(AU203/(AE203/12)&gt;3,AU203/(AE203/12)&lt;=7),"OK",AND(AU203/(AE203/12)&gt;7,AU203/(AE203/12)&lt;=14),"Abaixar Preço",AND(AU203/(AE203/12)&gt;14,AU203/(AE203/12)&lt;=20),"Estabilizando",AU203/(AE203/12)&gt;20,"Instavel"),"Instavel")</f>
        <v>Acabando</v>
      </c>
      <c r="AN203" s="1" t="str">
        <f ca="1">IF(SUMIF(vendaAno[data],SituaçãoEstoqueFluxo[[#This Row],[data]],vendaAno[estoque])=0,"Algo errado",IF(AND(AX203/AW203&gt;0,AX203/AW203&lt;=1),"Alerta",IF(AND(AX203/AW203&gt;1,AX203/AW203&lt;=1.5),"Fazer pedido",IF(AND(AX203/AW203&gt;1.5,AX203/AW203&lt;=2),"Ok",IF(AND(AX203/AW203&gt;2,AX203/AW203&lt;=2.5),"Estabilizando",IF(AND(AX203/AW203&gt;2.5,AX203/AW203&lt;=3),"Cheio","Abaixar preço"))))))</f>
        <v>Abaixar preço</v>
      </c>
      <c r="AO203" s="82">
        <f>SUMIFS(estoque[quantidade],estoque[fornecedor],"&lt;&gt;saída",estoque[data],SituaçãoEstoqueFluxo[[#This Row],[data]])-SUMIFS(estoque[quantidade],estoque[fornecedor],"saída",estoque[data],SituaçãoEstoqueFluxo[[#This Row],[data]])</f>
        <v>-43</v>
      </c>
      <c r="AP203" s="116">
        <f t="shared" si="12"/>
        <v>46031</v>
      </c>
      <c r="AQ203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14.75</v>
      </c>
      <c r="AR203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13.083333333333334</v>
      </c>
      <c r="AS203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7.916666666666667</v>
      </c>
      <c r="AT203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11.333333333333334</v>
      </c>
      <c r="AU203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8.3333333333333329E-2</v>
      </c>
      <c r="AV203" s="82" cm="1">
        <f t="array" aca="1" ref="AV2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35.357142857142854</v>
      </c>
      <c r="AW203" s="82" cm="1">
        <f t="array" aca="1" ref="AW2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11.785714285714286</v>
      </c>
      <c r="AX203" s="82">
        <f>SUM(FluxoEstoqueDateTime[[#This Row],[OVO BRANCO A]:[OVO BRANCO JUMBO]])</f>
        <v>47.166666666666671</v>
      </c>
    </row>
    <row r="204" spans="1:50" x14ac:dyDescent="0.25">
      <c r="A204" s="4" t="s">
        <v>20</v>
      </c>
      <c r="B204" s="55" t="s">
        <v>11</v>
      </c>
      <c r="C204" s="5">
        <v>2</v>
      </c>
      <c r="D204" s="56">
        <v>17</v>
      </c>
      <c r="E204" s="56">
        <v>34</v>
      </c>
      <c r="F204" s="157">
        <v>46190</v>
      </c>
      <c r="G204" s="4" t="s">
        <v>32</v>
      </c>
      <c r="H204" s="4" t="s">
        <v>148</v>
      </c>
      <c r="I204" s="153">
        <v>4.59</v>
      </c>
      <c r="J204" s="12">
        <v>0.13505046989209907</v>
      </c>
      <c r="Z204" s="116">
        <f t="shared" si="10"/>
        <v>46030</v>
      </c>
      <c r="AA204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10.142857142857142</v>
      </c>
      <c r="AB204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5.5714285714285712</v>
      </c>
      <c r="AC204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7.2857142857142856</v>
      </c>
      <c r="AD204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17.428571428571427</v>
      </c>
      <c r="AE204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4.2857142857142856</v>
      </c>
      <c r="AF204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44.714285714285715</v>
      </c>
      <c r="AG204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59.179875356248267</v>
      </c>
      <c r="AH204" s="116">
        <f t="shared" si="11"/>
        <v>46030</v>
      </c>
      <c r="AI204" s="1" t="str" cm="1">
        <f t="array" ref="AI204">IFERROR(_xlfn.IFS(AQ204="","Sem Produto",AND(AQ204/(AA204/12)&gt;0,AQ204/(AA204/12)&lt;=2),"Acabando",AND(AQ204/(AA204/12)&gt;2,AQ204/(AA204/12)&lt;=3),"Fazer Pedido",AND(AQ204/(AA204/12)&gt;3,AQ204/(AA204/12)&lt;=7),"OK",AND(AQ204/(AA204/12)&gt;7,AQ204/(AA204/12)&lt;=14),"Abaixar Preço",AND(AQ204/(AA204/12)&gt;14,AQ204/(AA204/12)&lt;=20),"Estabilizando",AQ204/(AA204/12)&gt;20,"Instavel"),"Instavel")</f>
        <v>Estabilizando</v>
      </c>
      <c r="AJ204" s="1" t="str" cm="1">
        <f t="array" ref="AJ204">IFERROR(_xlfn.IFS(AR204="","Sem Produto",AND(AR204/(AB204/12)&gt;0,AR204/(AB204/12)&lt;=2),"Acabando",AND(AR204/(AB204/12)&gt;2,AR204/(AB204/12)&lt;=3),"Fazer Pedido",AND(AR204/(AB204/12)&gt;3,AR204/(AB204/12)&lt;=7),"OK",AND(AR204/(AB204/12)&gt;7,AR204/(AB204/12)&lt;=14),"Abaixar Preço",AND(AR204/(AB204/12)&gt;14,AR204/(AB204/12)&lt;=20),"Estabilizando",AR204/(AB204/12)&gt;20,"Instavel"),"Instavel")</f>
        <v>Instavel</v>
      </c>
      <c r="AK204" s="1" t="str" cm="1">
        <f t="array" ref="AK204">IFERROR(_xlfn.IFS(AS204="","Sem Produto",AND(AS204/(AC204/12)&gt;0,AS204/(AC204/12)&lt;=2),"Acabando",AND(AS204/(AC204/12)&gt;2,AS204/(AC204/12)&lt;=3),"Fazer Pedido",AND(AS204/(AC204/12)&gt;3,AS204/(AC204/12)&lt;=7),"OK",AND(AS204/(AC204/12)&gt;7,AS204/(AC204/12)&lt;=14),"Abaixar Preço",AND(AS204/(AC204/12)&gt;14,AS204/(AC204/12)&lt;=20),"Estabilizando",AS204/(AC204/12)&gt;20,"Instavel"),"Instavel")</f>
        <v>Abaixar Preço</v>
      </c>
      <c r="AL204" s="1" t="str" cm="1">
        <f t="array" ref="AL204">IFERROR(_xlfn.IFS(AT204="","Sem Produto",AND(AT204/(AD204/12)&gt;0,AT204/(AD204/12)&lt;=2),"Acabando",AND(AT204/(AD204/12)&gt;2,AT204/(AD204/12)&lt;=3),"Fazer Pedido",AND(AT204/(AD204/12)&gt;3,AT204/(AD204/12)&lt;=7),"OK",AND(AT204/(AD204/12)&gt;7,AT204/(AD204/12)&lt;=14),"Abaixar Preço",AND(AT204/(AD204/12)&gt;14,AT204/(AD204/12)&lt;=20),"Estabilizando",AT204/(AD204/12)&gt;20,"Instavel"),"Instavel")</f>
        <v>Abaixar Preço</v>
      </c>
      <c r="AM204" s="1" t="str" cm="1">
        <f t="array" ref="AM204">IFERROR(_xlfn.IFS(AU204="","Sem Produto",AND(AU204/(AE204/12)&gt;0,AU204/(AE204/12)&lt;=2),"Acabando",AND(AU204/(AE204/12)&gt;2,AU204/(AE204/12)&lt;=3),"Fazer Pedido",AND(AU204/(AE204/12)&gt;3,AU204/(AE204/12)&lt;=7),"OK",AND(AU204/(AE204/12)&gt;7,AU204/(AE204/12)&lt;=14),"Abaixar Preço",AND(AU204/(AE204/12)&gt;14,AU204/(AE204/12)&lt;=20),"Estabilizando",AU204/(AE204/12)&gt;20,"Instavel"),"Instavel")</f>
        <v>Acabando</v>
      </c>
      <c r="AN204" s="1" t="str">
        <f ca="1">IF(SUMIF(vendaAno[data],SituaçãoEstoqueFluxo[[#This Row],[data]],vendaAno[estoque])=0,"Algo errado",IF(AND(AX204/AW204&gt;0,AX204/AW204&lt;=1),"Alerta",IF(AND(AX204/AW204&gt;1,AX204/AW204&lt;=1.5),"Fazer pedido",IF(AND(AX204/AW204&gt;1.5,AX204/AW204&lt;=2),"Ok",IF(AND(AX204/AW204&gt;2,AX204/AW204&lt;=2.5),"Estabilizando",IF(AND(AX204/AW204&gt;2.5,AX204/AW204&lt;=3),"Cheio","Abaixar preço"))))))</f>
        <v>Abaixar preço</v>
      </c>
      <c r="AO204" s="82">
        <f>SUMIFS(estoque[quantidade],estoque[fornecedor],"&lt;&gt;saída",estoque[data],SituaçãoEstoqueFluxo[[#This Row],[data]])-SUMIFS(estoque[quantidade],estoque[fornecedor],"saída",estoque[data],SituaçãoEstoqueFluxo[[#This Row],[data]])</f>
        <v>-51</v>
      </c>
      <c r="AP204" s="116">
        <f t="shared" si="12"/>
        <v>46030</v>
      </c>
      <c r="AQ204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15.5</v>
      </c>
      <c r="AR204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13.333333333333334</v>
      </c>
      <c r="AS204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8.5</v>
      </c>
      <c r="AT204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12.916666666666666</v>
      </c>
      <c r="AU204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0.5</v>
      </c>
      <c r="AV204" s="82" cm="1">
        <f t="array" aca="1" ref="AV2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33.535714285714285</v>
      </c>
      <c r="AW204" s="82" cm="1">
        <f t="array" aca="1" ref="AW2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11.178571428571429</v>
      </c>
      <c r="AX204" s="82">
        <f>SUM(FluxoEstoqueDateTime[[#This Row],[OVO BRANCO A]:[OVO BRANCO JUMBO]])</f>
        <v>50.75</v>
      </c>
    </row>
    <row r="205" spans="1:50" x14ac:dyDescent="0.25">
      <c r="A205" s="4" t="s">
        <v>20</v>
      </c>
      <c r="B205" s="55" t="s">
        <v>14</v>
      </c>
      <c r="C205" s="5">
        <v>3</v>
      </c>
      <c r="D205" s="56">
        <v>22</v>
      </c>
      <c r="E205" s="56">
        <v>66</v>
      </c>
      <c r="F205" s="157">
        <v>46189</v>
      </c>
      <c r="G205" s="4" t="s">
        <v>290</v>
      </c>
      <c r="H205" s="4" t="s">
        <v>148</v>
      </c>
      <c r="I205" s="153">
        <v>14.75</v>
      </c>
      <c r="J205" s="12">
        <v>0.22348484848484854</v>
      </c>
      <c r="Z205" s="116">
        <f t="shared" si="10"/>
        <v>46029</v>
      </c>
      <c r="AA205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8</v>
      </c>
      <c r="AB205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205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6.5714285714285712</v>
      </c>
      <c r="AD205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15.285714285714286</v>
      </c>
      <c r="AE205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3.1428571428571428</v>
      </c>
      <c r="AF205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37.428571428571431</v>
      </c>
      <c r="AG205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54.021935929005643</v>
      </c>
      <c r="AH205" s="116">
        <f t="shared" si="11"/>
        <v>46029</v>
      </c>
      <c r="AI205" s="1" t="str" cm="1">
        <f t="array" ref="AI205">IFERROR(_xlfn.IFS(AQ205="","Sem Produto",AND(AQ205/(AA205/12)&gt;0,AQ205/(AA205/12)&lt;=2),"Acabando",AND(AQ205/(AA205/12)&gt;2,AQ205/(AA205/12)&lt;=3),"Fazer Pedido",AND(AQ205/(AA205/12)&gt;3,AQ205/(AA205/12)&lt;=7),"OK",AND(AQ205/(AA205/12)&gt;7,AQ205/(AA205/12)&lt;=14),"Abaixar Preço",AND(AQ205/(AA205/12)&gt;14,AQ205/(AA205/12)&lt;=20),"Estabilizando",AQ205/(AA205/12)&gt;20,"Instavel"),"Instavel")</f>
        <v>Instavel</v>
      </c>
      <c r="AJ205" s="1" t="str" cm="1">
        <f t="array" ref="AJ205">IFERROR(_xlfn.IFS(AR205="","Sem Produto",AND(AR205/(AB205/12)&gt;0,AR205/(AB205/12)&lt;=2),"Acabando",AND(AR205/(AB205/12)&gt;2,AR205/(AB205/12)&lt;=3),"Fazer Pedido",AND(AR205/(AB205/12)&gt;3,AR205/(AB205/12)&lt;=7),"OK",AND(AR205/(AB205/12)&gt;7,AR205/(AB205/12)&lt;=14),"Abaixar Preço",AND(AR205/(AB205/12)&gt;14,AR205/(AB205/12)&lt;=20),"Estabilizando",AR205/(AB205/12)&gt;20,"Instavel"),"Instavel")</f>
        <v>Instavel</v>
      </c>
      <c r="AK205" s="1" t="str" cm="1">
        <f t="array" ref="AK205">IFERROR(_xlfn.IFS(AS205="","Sem Produto",AND(AS205/(AC205/12)&gt;0,AS205/(AC205/12)&lt;=2),"Acabando",AND(AS205/(AC205/12)&gt;2,AS205/(AC205/12)&lt;=3),"Fazer Pedido",AND(AS205/(AC205/12)&gt;3,AS205/(AC205/12)&lt;=7),"OK",AND(AS205/(AC205/12)&gt;7,AS205/(AC205/12)&lt;=14),"Abaixar Preço",AND(AS205/(AC205/12)&gt;14,AS205/(AC205/12)&lt;=20),"Estabilizando",AS205/(AC205/12)&gt;20,"Instavel"),"Instavel")</f>
        <v>Estabilizando</v>
      </c>
      <c r="AL205" s="1" t="str" cm="1">
        <f t="array" ref="AL205">IFERROR(_xlfn.IFS(AT205="","Sem Produto",AND(AT205/(AD205/12)&gt;0,AT205/(AD205/12)&lt;=2),"Acabando",AND(AT205/(AD205/12)&gt;2,AT205/(AD205/12)&lt;=3),"Fazer Pedido",AND(AT205/(AD205/12)&gt;3,AT205/(AD205/12)&lt;=7),"OK",AND(AT205/(AD205/12)&gt;7,AT205/(AD205/12)&lt;=14),"Abaixar Preço",AND(AT205/(AD205/12)&gt;14,AT205/(AD205/12)&lt;=20),"Estabilizando",AT205/(AD205/12)&gt;20,"Instavel"),"Instavel")</f>
        <v>Abaixar Preço</v>
      </c>
      <c r="AM205" s="1" t="str" cm="1">
        <f t="array" ref="AM205">IFERROR(_xlfn.IFS(AU205="","Sem Produto",AND(AU205/(AE205/12)&gt;0,AU205/(AE205/12)&lt;=2),"Acabando",AND(AU205/(AE205/12)&gt;2,AU205/(AE205/12)&lt;=3),"Fazer Pedido",AND(AU205/(AE205/12)&gt;3,AU205/(AE205/12)&lt;=7),"OK",AND(AU205/(AE205/12)&gt;7,AU205/(AE205/12)&lt;=14),"Abaixar Preço",AND(AU205/(AE205/12)&gt;14,AU205/(AE205/12)&lt;=20),"Estabilizando",AU205/(AE205/12)&gt;20,"Instavel"),"Instavel")</f>
        <v>OK</v>
      </c>
      <c r="AN205" s="1" t="str">
        <f ca="1">IF(SUMIF(vendaAno[data],SituaçãoEstoqueFluxo[[#This Row],[data]],vendaAno[estoque])=0,"Algo errado",IF(AND(AX205/AW205&gt;0,AX205/AW205&lt;=1),"Alerta",IF(AND(AX205/AW205&gt;1,AX205/AW205&lt;=1.5),"Fazer pedido",IF(AND(AX205/AW205&gt;1.5,AX205/AW205&lt;=2),"Ok",IF(AND(AX205/AW205&gt;2,AX205/AW205&lt;=2.5),"Estabilizando",IF(AND(AX205/AW205&gt;2.5,AX205/AW205&lt;=3),"Cheio","Abaixar preço"))))))</f>
        <v>Abaixar preço</v>
      </c>
      <c r="AO205" s="82">
        <f>SUMIFS(estoque[quantidade],estoque[fornecedor],"&lt;&gt;saída",estoque[data],SituaçãoEstoqueFluxo[[#This Row],[data]])-SUMIFS(estoque[quantidade],estoque[fornecedor],"saída",estoque[data],SituaçãoEstoqueFluxo[[#This Row],[data]])</f>
        <v>354</v>
      </c>
      <c r="AP205" s="116">
        <f t="shared" si="12"/>
        <v>46029</v>
      </c>
      <c r="AQ205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16.75</v>
      </c>
      <c r="AR205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14</v>
      </c>
      <c r="AS205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8.9166666666666661</v>
      </c>
      <c r="AT205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14.166666666666666</v>
      </c>
      <c r="AU205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1.1666666666666667</v>
      </c>
      <c r="AV205" s="82" cm="1">
        <f t="array" aca="1" ref="AV2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28.071428571428569</v>
      </c>
      <c r="AW205" s="82" cm="1">
        <f t="array" aca="1" ref="AW2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9.3571428571428577</v>
      </c>
      <c r="AX205" s="82">
        <f>SUM(FluxoEstoqueDateTime[[#This Row],[OVO BRANCO A]:[OVO BRANCO JUMBO]])</f>
        <v>54.999999999999993</v>
      </c>
    </row>
    <row r="206" spans="1:50" x14ac:dyDescent="0.25">
      <c r="A206" s="4" t="s">
        <v>20</v>
      </c>
      <c r="B206" s="55" t="s">
        <v>13</v>
      </c>
      <c r="C206" s="5">
        <v>10</v>
      </c>
      <c r="D206" s="56">
        <v>20</v>
      </c>
      <c r="E206" s="56">
        <v>200</v>
      </c>
      <c r="F206" s="157">
        <v>46189</v>
      </c>
      <c r="G206" s="4" t="s">
        <v>290</v>
      </c>
      <c r="H206" s="4" t="s">
        <v>148</v>
      </c>
      <c r="I206" s="153">
        <v>41.67</v>
      </c>
      <c r="J206" s="12">
        <v>0.20833333333333329</v>
      </c>
      <c r="Z206" s="116">
        <f t="shared" si="10"/>
        <v>46028</v>
      </c>
      <c r="AA206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6.5714285714285712</v>
      </c>
      <c r="AB206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4.4285714285714288</v>
      </c>
      <c r="AC206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3.7142857142857144</v>
      </c>
      <c r="AD206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11</v>
      </c>
      <c r="AE206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2.2857142857142856</v>
      </c>
      <c r="AF206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28</v>
      </c>
      <c r="AG206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57.931347304878685</v>
      </c>
      <c r="AH206" s="116">
        <f t="shared" si="11"/>
        <v>46028</v>
      </c>
      <c r="AI206" s="1" t="str" cm="1">
        <f t="array" ref="AI206">IFERROR(_xlfn.IFS(AQ206="","Sem Produto",AND(AQ206/(AA206/12)&gt;0,AQ206/(AA206/12)&lt;=2),"Acabando",AND(AQ206/(AA206/12)&gt;2,AQ206/(AA206/12)&lt;=3),"Fazer Pedido",AND(AQ206/(AA206/12)&gt;3,AQ206/(AA206/12)&lt;=7),"OK",AND(AQ206/(AA206/12)&gt;7,AQ206/(AA206/12)&lt;=14),"Abaixar Preço",AND(AQ206/(AA206/12)&gt;14,AQ206/(AA206/12)&lt;=20),"Estabilizando",AQ206/(AA206/12)&gt;20,"Instavel"),"Instavel")</f>
        <v>Abaixar Preço</v>
      </c>
      <c r="AJ206" s="1" t="str" cm="1">
        <f t="array" ref="AJ206">IFERROR(_xlfn.IFS(AR206="","Sem Produto",AND(AR206/(AB206/12)&gt;0,AR206/(AB206/12)&lt;=2),"Acabando",AND(AR206/(AB206/12)&gt;2,AR206/(AB206/12)&lt;=3),"Fazer Pedido",AND(AR206/(AB206/12)&gt;3,AR206/(AB206/12)&lt;=7),"OK",AND(AR206/(AB206/12)&gt;7,AR206/(AB206/12)&lt;=14),"Abaixar Preço",AND(AR206/(AB206/12)&gt;14,AR206/(AB206/12)&lt;=20),"Estabilizando",AR206/(AB206/12)&gt;20,"Instavel"),"Instavel")</f>
        <v>Estabilizando</v>
      </c>
      <c r="AK206" s="1" t="str" cm="1">
        <f t="array" ref="AK206">IFERROR(_xlfn.IFS(AS206="","Sem Produto",AND(AS206/(AC206/12)&gt;0,AS206/(AC206/12)&lt;=2),"Acabando",AND(AS206/(AC206/12)&gt;2,AS206/(AC206/12)&lt;=3),"Fazer Pedido",AND(AS206/(AC206/12)&gt;3,AS206/(AC206/12)&lt;=7),"OK",AND(AS206/(AC206/12)&gt;7,AS206/(AC206/12)&lt;=14),"Abaixar Preço",AND(AS206/(AC206/12)&gt;14,AS206/(AC206/12)&lt;=20),"Estabilizando",AS206/(AC206/12)&gt;20,"Instavel"),"Instavel")</f>
        <v>Estabilizando</v>
      </c>
      <c r="AL206" s="1" t="str" cm="1">
        <f t="array" ref="AL206">IFERROR(_xlfn.IFS(AT206="","Sem Produto",AND(AT206/(AD206/12)&gt;0,AT206/(AD206/12)&lt;=2),"Acabando",AND(AT206/(AD206/12)&gt;2,AT206/(AD206/12)&lt;=3),"Fazer Pedido",AND(AT206/(AD206/12)&gt;3,AT206/(AD206/12)&lt;=7),"OK",AND(AT206/(AD206/12)&gt;7,AT206/(AD206/12)&lt;=14),"Abaixar Preço",AND(AT206/(AD206/12)&gt;14,AT206/(AD206/12)&lt;=20),"Estabilizando",AT206/(AD206/12)&gt;20,"Instavel"),"Instavel")</f>
        <v>Abaixar Preço</v>
      </c>
      <c r="AM206" s="1" t="str" cm="1">
        <f t="array" ref="AM206">IFERROR(_xlfn.IFS(AU206="","Sem Produto",AND(AU206/(AE206/12)&gt;0,AU206/(AE206/12)&lt;=2),"Acabando",AND(AU206/(AE206/12)&gt;2,AU206/(AE206/12)&lt;=3),"Fazer Pedido",AND(AU206/(AE206/12)&gt;3,AU206/(AE206/12)&lt;=7),"OK",AND(AU206/(AE206/12)&gt;7,AU206/(AE206/12)&lt;=14),"Abaixar Preço",AND(AU206/(AE206/12)&gt;14,AU206/(AE206/12)&lt;=20),"Estabilizando",AU206/(AE206/12)&gt;20,"Instavel"),"Instavel")</f>
        <v>OK</v>
      </c>
      <c r="AN206" s="1" t="str">
        <f ca="1">IF(SUMIF(vendaAno[data],SituaçãoEstoqueFluxo[[#This Row],[data]],vendaAno[estoque])=0,"Algo errado",IF(AND(AX206/AW206&gt;0,AX206/AW206&lt;=1),"Alerta",IF(AND(AX206/AW206&gt;1,AX206/AW206&lt;=1.5),"Fazer pedido",IF(AND(AX206/AW206&gt;1.5,AX206/AW206&lt;=2),"Ok",IF(AND(AX206/AW206&gt;2,AX206/AW206&lt;=2.5),"Estabilizando",IF(AND(AX206/AW206&gt;2.5,AX206/AW206&lt;=3),"Cheio","Abaixar preço"))))))</f>
        <v>Abaixar preço</v>
      </c>
      <c r="AO206" s="82">
        <f>SUMIFS(estoque[quantidade],estoque[fornecedor],"&lt;&gt;saída",estoque[data],SituaçãoEstoqueFluxo[[#This Row],[data]])-SUMIFS(estoque[quantidade],estoque[fornecedor],"saída",estoque[data],SituaçãoEstoqueFluxo[[#This Row],[data]])</f>
        <v>-41</v>
      </c>
      <c r="AP206" s="116">
        <f t="shared" si="12"/>
        <v>46028</v>
      </c>
      <c r="AQ206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7.583333333333333</v>
      </c>
      <c r="AR206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</v>
      </c>
      <c r="AS206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4.583333333333333</v>
      </c>
      <c r="AT206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6.666666666666667</v>
      </c>
      <c r="AU206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0.66666666666666663</v>
      </c>
      <c r="AV206" s="82" cm="1">
        <f t="array" aca="1" ref="AV2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21</v>
      </c>
      <c r="AW206" s="82" cm="1">
        <f t="array" aca="1" ref="AW2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7</v>
      </c>
      <c r="AX206" s="82">
        <f>SUM(FluxoEstoqueDateTime[[#This Row],[OVO BRANCO A]:[OVO BRANCO JUMBO]])</f>
        <v>25.5</v>
      </c>
    </row>
    <row r="207" spans="1:50" x14ac:dyDescent="0.25">
      <c r="A207" s="4" t="s">
        <v>20</v>
      </c>
      <c r="B207" s="55" t="s">
        <v>11</v>
      </c>
      <c r="C207" s="5">
        <v>9</v>
      </c>
      <c r="D207" s="56">
        <v>17</v>
      </c>
      <c r="E207" s="56">
        <v>153</v>
      </c>
      <c r="F207" s="157">
        <v>46189</v>
      </c>
      <c r="G207" s="4" t="s">
        <v>290</v>
      </c>
      <c r="H207" s="4" t="s">
        <v>148</v>
      </c>
      <c r="I207" s="153">
        <v>20.66</v>
      </c>
      <c r="J207" s="12">
        <v>0.1350504698920991</v>
      </c>
      <c r="Z207" s="116">
        <f t="shared" si="10"/>
        <v>46027</v>
      </c>
      <c r="AA207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4.7142857142857144</v>
      </c>
      <c r="AB207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4.2857142857142856</v>
      </c>
      <c r="AC207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2.7142857142857144</v>
      </c>
      <c r="AD207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8.7142857142857135</v>
      </c>
      <c r="AE207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1.7142857142857142</v>
      </c>
      <c r="AF207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22.142857142857142</v>
      </c>
      <c r="AG207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57.888709329885799</v>
      </c>
      <c r="AH207" s="116">
        <f t="shared" si="11"/>
        <v>46027</v>
      </c>
      <c r="AI207" s="1" t="str" cm="1">
        <f t="array" ref="AI207">IFERROR(_xlfn.IFS(AQ207="","Sem Produto",AND(AQ207/(AA207/12)&gt;0,AQ207/(AA207/12)&lt;=2),"Acabando",AND(AQ207/(AA207/12)&gt;2,AQ207/(AA207/12)&lt;=3),"Fazer Pedido",AND(AQ207/(AA207/12)&gt;3,AQ207/(AA207/12)&lt;=7),"OK",AND(AQ207/(AA207/12)&gt;7,AQ207/(AA207/12)&lt;=14),"Abaixar Preço",AND(AQ207/(AA207/12)&gt;14,AQ207/(AA207/12)&lt;=20),"Estabilizando",AQ207/(AA207/12)&gt;20,"Instavel"),"Instavel")</f>
        <v>Instavel</v>
      </c>
      <c r="AJ207" s="1" t="str" cm="1">
        <f t="array" ref="AJ207">IFERROR(_xlfn.IFS(AR207="","Sem Produto",AND(AR207/(AB207/12)&gt;0,AR207/(AB207/12)&lt;=2),"Acabando",AND(AR207/(AB207/12)&gt;2,AR207/(AB207/12)&lt;=3),"Fazer Pedido",AND(AR207/(AB207/12)&gt;3,AR207/(AB207/12)&lt;=7),"OK",AND(AR207/(AB207/12)&gt;7,AR207/(AB207/12)&lt;=14),"Abaixar Preço",AND(AR207/(AB207/12)&gt;14,AR207/(AB207/12)&lt;=20),"Estabilizando",AR207/(AB207/12)&gt;20,"Instavel"),"Instavel")</f>
        <v>Estabilizando</v>
      </c>
      <c r="AK207" s="1" t="str" cm="1">
        <f t="array" ref="AK207">IFERROR(_xlfn.IFS(AS207="","Sem Produto",AND(AS207/(AC207/12)&gt;0,AS207/(AC207/12)&lt;=2),"Acabando",AND(AS207/(AC207/12)&gt;2,AS207/(AC207/12)&lt;=3),"Fazer Pedido",AND(AS207/(AC207/12)&gt;3,AS207/(AC207/12)&lt;=7),"OK",AND(AS207/(AC207/12)&gt;7,AS207/(AC207/12)&lt;=14),"Abaixar Preço",AND(AS207/(AC207/12)&gt;14,AS207/(AC207/12)&lt;=20),"Estabilizando",AS207/(AC207/12)&gt;20,"Instavel"),"Instavel")</f>
        <v>Instavel</v>
      </c>
      <c r="AL207" s="1" t="str" cm="1">
        <f t="array" ref="AL207">IFERROR(_xlfn.IFS(AT207="","Sem Produto",AND(AT207/(AD207/12)&gt;0,AT207/(AD207/12)&lt;=2),"Acabando",AND(AT207/(AD207/12)&gt;2,AT207/(AD207/12)&lt;=3),"Fazer Pedido",AND(AT207/(AD207/12)&gt;3,AT207/(AD207/12)&lt;=7),"OK",AND(AT207/(AD207/12)&gt;7,AT207/(AD207/12)&lt;=14),"Abaixar Preço",AND(AT207/(AD207/12)&gt;14,AT207/(AD207/12)&lt;=20),"Estabilizando",AT207/(AD207/12)&gt;20,"Instavel"),"Instavel")</f>
        <v>Abaixar Preço</v>
      </c>
      <c r="AM207" s="1" t="str" cm="1">
        <f t="array" ref="AM207">IFERROR(_xlfn.IFS(AU207="","Sem Produto",AND(AU207/(AE207/12)&gt;0,AU207/(AE207/12)&lt;=2),"Acabando",AND(AU207/(AE207/12)&gt;2,AU207/(AE207/12)&lt;=3),"Fazer Pedido",AND(AU207/(AE207/12)&gt;3,AU207/(AE207/12)&lt;=7),"OK",AND(AU207/(AE207/12)&gt;7,AU207/(AE207/12)&lt;=14),"Abaixar Preço",AND(AU207/(AE207/12)&gt;14,AU207/(AE207/12)&lt;=20),"Estabilizando",AU207/(AE207/12)&gt;20,"Instavel"),"Instavel")</f>
        <v>OK</v>
      </c>
      <c r="AN207" s="1" t="str">
        <f ca="1">IF(SUMIF(vendaAno[data],SituaçãoEstoqueFluxo[[#This Row],[data]],vendaAno[estoque])=0,"Algo errado",IF(AND(AX207/AW207&gt;0,AX207/AW207&lt;=1),"Alerta",IF(AND(AX207/AW207&gt;1,AX207/AW207&lt;=1.5),"Fazer pedido",IF(AND(AX207/AW207&gt;1.5,AX207/AW207&lt;=2),"Ok",IF(AND(AX207/AW207&gt;2,AX207/AW207&lt;=2.5),"Estabilizando",IF(AND(AX207/AW207&gt;2.5,AX207/AW207&lt;=3),"Cheio","Abaixar preço"))))))</f>
        <v>Abaixar preço</v>
      </c>
      <c r="AO207" s="82">
        <f>SUMIFS(estoque[quantidade],estoque[fornecedor],"&lt;&gt;saída",estoque[data],SituaçãoEstoqueFluxo[[#This Row],[data]])-SUMIFS(estoque[quantidade],estoque[fornecedor],"saída",estoque[data],SituaçãoEstoqueFluxo[[#This Row],[data]])</f>
        <v>-77</v>
      </c>
      <c r="AP207" s="116">
        <f t="shared" si="12"/>
        <v>46027</v>
      </c>
      <c r="AQ207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8.6666666666666661</v>
      </c>
      <c r="AR207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6.083333333333333</v>
      </c>
      <c r="AS207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5.166666666666667</v>
      </c>
      <c r="AT207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8</v>
      </c>
      <c r="AU207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</v>
      </c>
      <c r="AV207" s="82" cm="1">
        <f t="array" aca="1" ref="AV2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16.607142857142854</v>
      </c>
      <c r="AW207" s="82" cm="1">
        <f t="array" aca="1" ref="AW2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5.5357142857142856</v>
      </c>
      <c r="AX207" s="82">
        <f>SUM(FluxoEstoqueDateTime[[#This Row],[OVO BRANCO A]:[OVO BRANCO JUMBO]])</f>
        <v>28.916666666666668</v>
      </c>
    </row>
    <row r="208" spans="1:50" x14ac:dyDescent="0.25">
      <c r="A208" s="4" t="s">
        <v>20</v>
      </c>
      <c r="B208" s="55" t="s">
        <v>11</v>
      </c>
      <c r="C208" s="5">
        <v>1</v>
      </c>
      <c r="D208" s="56">
        <v>17</v>
      </c>
      <c r="E208" s="56"/>
      <c r="F208" s="157">
        <v>46189</v>
      </c>
      <c r="G208" s="4" t="s">
        <v>290</v>
      </c>
      <c r="H208" s="4" t="s">
        <v>148</v>
      </c>
      <c r="I208" s="153">
        <v>-14.7</v>
      </c>
      <c r="J208" s="12"/>
      <c r="Z208" s="116">
        <f t="shared" si="10"/>
        <v>46026</v>
      </c>
      <c r="AA208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2.1428571428571428</v>
      </c>
      <c r="AB208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1.8571428571428572</v>
      </c>
      <c r="AC208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1.8571428571428572</v>
      </c>
      <c r="AD208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4.5714285714285712</v>
      </c>
      <c r="AE208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0.7142857142857143</v>
      </c>
      <c r="AF208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11.142857142857142</v>
      </c>
      <c r="AG208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55.67803311094638</v>
      </c>
      <c r="AH208" s="116">
        <f t="shared" si="11"/>
        <v>46026</v>
      </c>
      <c r="AI208" s="1" t="str" cm="1">
        <f t="array" ref="AI208">IFERROR(_xlfn.IFS(AQ208="","Sem Produto",AND(AQ208/(AA208/12)&gt;0,AQ208/(AA208/12)&lt;=2),"Acabando",AND(AQ208/(AA208/12)&gt;2,AQ208/(AA208/12)&lt;=3),"Fazer Pedido",AND(AQ208/(AA208/12)&gt;3,AQ208/(AA208/12)&lt;=7),"OK",AND(AQ208/(AA208/12)&gt;7,AQ208/(AA208/12)&lt;=14),"Abaixar Preço",AND(AQ208/(AA208/12)&gt;14,AQ208/(AA208/12)&lt;=20),"Estabilizando",AQ208/(AA208/12)&gt;20,"Instavel"),"Instavel")</f>
        <v>Instavel</v>
      </c>
      <c r="AJ208" s="1" t="str" cm="1">
        <f t="array" ref="AJ208">IFERROR(_xlfn.IFS(AR208="","Sem Produto",AND(AR208/(AB208/12)&gt;0,AR208/(AB208/12)&lt;=2),"Acabando",AND(AR208/(AB208/12)&gt;2,AR208/(AB208/12)&lt;=3),"Fazer Pedido",AND(AR208/(AB208/12)&gt;3,AR208/(AB208/12)&lt;=7),"OK",AND(AR208/(AB208/12)&gt;7,AR208/(AB208/12)&lt;=14),"Abaixar Preço",AND(AR208/(AB208/12)&gt;14,AR208/(AB208/12)&lt;=20),"Estabilizando",AR208/(AB208/12)&gt;20,"Instavel"),"Instavel")</f>
        <v>Instavel</v>
      </c>
      <c r="AK208" s="1" t="str" cm="1">
        <f t="array" ref="AK208">IFERROR(_xlfn.IFS(AS208="","Sem Produto",AND(AS208/(AC208/12)&gt;0,AS208/(AC208/12)&lt;=2),"Acabando",AND(AS208/(AC208/12)&gt;2,AS208/(AC208/12)&lt;=3),"Fazer Pedido",AND(AS208/(AC208/12)&gt;3,AS208/(AC208/12)&lt;=7),"OK",AND(AS208/(AC208/12)&gt;7,AS208/(AC208/12)&lt;=14),"Abaixar Preço",AND(AS208/(AC208/12)&gt;14,AS208/(AC208/12)&lt;=20),"Estabilizando",AS208/(AC208/12)&gt;20,"Instavel"),"Instavel")</f>
        <v>Instavel</v>
      </c>
      <c r="AL208" s="1" t="str" cm="1">
        <f t="array" ref="AL208">IFERROR(_xlfn.IFS(AT208="","Sem Produto",AND(AT208/(AD208/12)&gt;0,AT208/(AD208/12)&lt;=2),"Acabando",AND(AT208/(AD208/12)&gt;2,AT208/(AD208/12)&lt;=3),"Fazer Pedido",AND(AT208/(AD208/12)&gt;3,AT208/(AD208/12)&lt;=7),"OK",AND(AT208/(AD208/12)&gt;7,AT208/(AD208/12)&lt;=14),"Abaixar Preço",AND(AT208/(AD208/12)&gt;14,AT208/(AD208/12)&lt;=20),"Estabilizando",AT208/(AD208/12)&gt;20,"Instavel"),"Instavel")</f>
        <v>Instavel</v>
      </c>
      <c r="AM208" s="1" t="str" cm="1">
        <f t="array" ref="AM208">IFERROR(_xlfn.IFS(AU208="","Sem Produto",AND(AU208/(AE208/12)&gt;0,AU208/(AE208/12)&lt;=2),"Acabando",AND(AU208/(AE208/12)&gt;2,AU208/(AE208/12)&lt;=3),"Fazer Pedido",AND(AU208/(AE208/12)&gt;3,AU208/(AE208/12)&lt;=7),"OK",AND(AU208/(AE208/12)&gt;7,AU208/(AE208/12)&lt;=14),"Abaixar Preço",AND(AU208/(AE208/12)&gt;14,AU208/(AE208/12)&lt;=20),"Estabilizando",AU208/(AE208/12)&gt;20,"Instavel"),"Instavel")</f>
        <v>Instavel</v>
      </c>
      <c r="AN208" s="1" t="str">
        <f ca="1">IF(SUMIF(vendaAno[data],SituaçãoEstoqueFluxo[[#This Row],[data]],vendaAno[estoque])=0,"Algo errado",IF(AND(AX208/AW208&gt;0,AX208/AW208&lt;=1),"Alerta",IF(AND(AX208/AW208&gt;1,AX208/AW208&lt;=1.5),"Fazer pedido",IF(AND(AX208/AW208&gt;1.5,AX208/AW208&lt;=2),"Ok",IF(AND(AX208/AW208&gt;2,AX208/AW208&lt;=2.5),"Estabilizando",IF(AND(AX208/AW208&gt;2.5,AX208/AW208&lt;=3),"Cheio","Abaixar preço"))))))</f>
        <v>Abaixar preço</v>
      </c>
      <c r="AO208" s="82">
        <f>SUMIFS(estoque[quantidade],estoque[fornecedor],"&lt;&gt;saída",estoque[data],SituaçãoEstoqueFluxo[[#This Row],[data]])-SUMIFS(estoque[quantidade],estoque[fornecedor],"saída",estoque[data],SituaçãoEstoqueFluxo[[#This Row],[data]])</f>
        <v>-48</v>
      </c>
      <c r="AP208" s="116">
        <f t="shared" si="12"/>
        <v>46026</v>
      </c>
      <c r="AQ208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10.166666666666666</v>
      </c>
      <c r="AR208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7.5</v>
      </c>
      <c r="AS208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5.666666666666667</v>
      </c>
      <c r="AT208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10.416666666666666</v>
      </c>
      <c r="AU208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1.5833333333333333</v>
      </c>
      <c r="AV208" s="82" cm="1">
        <f t="array" aca="1" ref="AV2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8.3571428571428577</v>
      </c>
      <c r="AW208" s="82" cm="1">
        <f t="array" aca="1" ref="AW2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2.785714285714286</v>
      </c>
      <c r="AX208" s="82">
        <f>SUM(FluxoEstoqueDateTime[[#This Row],[OVO BRANCO A]:[OVO BRANCO JUMBO]])</f>
        <v>35.333333333333336</v>
      </c>
    </row>
    <row r="209" spans="1:50" x14ac:dyDescent="0.25">
      <c r="A209" s="4" t="s">
        <v>20</v>
      </c>
      <c r="B209" s="55" t="s">
        <v>14</v>
      </c>
      <c r="C209" s="5">
        <v>5</v>
      </c>
      <c r="D209" s="56">
        <v>22</v>
      </c>
      <c r="E209" s="56">
        <v>110</v>
      </c>
      <c r="F209" s="157">
        <v>46188</v>
      </c>
      <c r="G209" s="4" t="s">
        <v>291</v>
      </c>
      <c r="H209" s="4" t="s">
        <v>148</v>
      </c>
      <c r="I209" s="153">
        <v>24.58</v>
      </c>
      <c r="J209" s="12">
        <v>0.22348484848484854</v>
      </c>
      <c r="Z209" s="116">
        <f t="shared" si="10"/>
        <v>46025</v>
      </c>
      <c r="AA209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1.1428571428571428</v>
      </c>
      <c r="AB209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0.14285714285714285</v>
      </c>
      <c r="AC209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209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1.7142857142857142</v>
      </c>
      <c r="AE209" s="82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>0.42857142857142855</v>
      </c>
      <c r="AF209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4.2857142857142856</v>
      </c>
      <c r="AG209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53.706878744061143</v>
      </c>
      <c r="AH209" s="116">
        <f t="shared" si="11"/>
        <v>46025</v>
      </c>
      <c r="AI209" s="1" t="str" cm="1">
        <f t="array" ref="AI209">IFERROR(_xlfn.IFS(AQ209="","Sem Produto",AND(AQ209/(AA209/12)&gt;0,AQ209/(AA209/12)&lt;=2),"Acabando",AND(AQ209/(AA209/12)&gt;2,AQ209/(AA209/12)&lt;=3),"Fazer Pedido",AND(AQ209/(AA209/12)&gt;3,AQ209/(AA209/12)&lt;=7),"OK",AND(AQ209/(AA209/12)&gt;7,AQ209/(AA209/12)&lt;=14),"Abaixar Preço",AND(AQ209/(AA209/12)&gt;14,AQ209/(AA209/12)&lt;=20),"Estabilizando",AQ209/(AA209/12)&gt;20,"Instavel"),"Instavel")</f>
        <v>Instavel</v>
      </c>
      <c r="AJ209" s="1" t="str" cm="1">
        <f t="array" ref="AJ209">IFERROR(_xlfn.IFS(AR209="","Sem Produto",AND(AR209/(AB209/12)&gt;0,AR209/(AB209/12)&lt;=2),"Acabando",AND(AR209/(AB209/12)&gt;2,AR209/(AB209/12)&lt;=3),"Fazer Pedido",AND(AR209/(AB209/12)&gt;3,AR209/(AB209/12)&lt;=7),"OK",AND(AR209/(AB209/12)&gt;7,AR209/(AB209/12)&lt;=14),"Abaixar Preço",AND(AR209/(AB209/12)&gt;14,AR209/(AB209/12)&lt;=20),"Estabilizando",AR209/(AB209/12)&gt;20,"Instavel"),"Instavel")</f>
        <v>Instavel</v>
      </c>
      <c r="AK209" s="1" t="str" cm="1">
        <f t="array" ref="AK209">IFERROR(_xlfn.IFS(AS209="","Sem Produto",AND(AS209/(AC209/12)&gt;0,AS209/(AC209/12)&lt;=2),"Acabando",AND(AS209/(AC209/12)&gt;2,AS209/(AC209/12)&lt;=3),"Fazer Pedido",AND(AS209/(AC209/12)&gt;3,AS209/(AC209/12)&lt;=7),"OK",AND(AS209/(AC209/12)&gt;7,AS209/(AC209/12)&lt;=14),"Abaixar Preço",AND(AS209/(AC209/12)&gt;14,AS209/(AC209/12)&lt;=20),"Estabilizando",AS209/(AC209/12)&gt;20,"Instavel"),"Instavel")</f>
        <v>Instavel</v>
      </c>
      <c r="AL209" s="1" t="str" cm="1">
        <f t="array" ref="AL209">IFERROR(_xlfn.IFS(AT209="","Sem Produto",AND(AT209/(AD209/12)&gt;0,AT209/(AD209/12)&lt;=2),"Acabando",AND(AT209/(AD209/12)&gt;2,AT209/(AD209/12)&lt;=3),"Fazer Pedido",AND(AT209/(AD209/12)&gt;3,AT209/(AD209/12)&lt;=7),"OK",AND(AT209/(AD209/12)&gt;7,AT209/(AD209/12)&lt;=14),"Abaixar Preço",AND(AT209/(AD209/12)&gt;14,AT209/(AD209/12)&lt;=20),"Estabilizando",AT209/(AD209/12)&gt;20,"Instavel"),"Instavel")</f>
        <v>Instavel</v>
      </c>
      <c r="AM209" s="1" t="str" cm="1">
        <f t="array" ref="AM209">IFERROR(_xlfn.IFS(AU209="","Sem Produto",AND(AU209/(AE209/12)&gt;0,AU209/(AE209/12)&lt;=2),"Acabando",AND(AU209/(AE209/12)&gt;2,AU209/(AE209/12)&lt;=3),"Fazer Pedido",AND(AU209/(AE209/12)&gt;3,AU209/(AE209/12)&lt;=7),"OK",AND(AU209/(AE209/12)&gt;7,AU209/(AE209/12)&lt;=14),"Abaixar Preço",AND(AU209/(AE209/12)&gt;14,AU209/(AE209/12)&lt;=20),"Estabilizando",AU209/(AE209/12)&gt;20,"Instavel"),"Instavel")</f>
        <v>Instavel</v>
      </c>
      <c r="AN209" s="1" t="str">
        <f ca="1">IF(SUMIF(vendaAno[data],SituaçãoEstoqueFluxo[[#This Row],[data]],vendaAno[estoque])=0,"Algo errado",IF(AND(AX209/AW209&gt;0,AX209/AW209&lt;=1),"Alerta",IF(AND(AX209/AW209&gt;1,AX209/AW209&lt;=1.5),"Fazer pedido",IF(AND(AX209/AW209&gt;1.5,AX209/AW209&lt;=2),"Ok",IF(AND(AX209/AW209&gt;2,AX209/AW209&lt;=2.5),"Estabilizando",IF(AND(AX209/AW209&gt;2.5,AX209/AW209&lt;=3),"Cheio","Abaixar preço"))))))</f>
        <v>Abaixar preço</v>
      </c>
      <c r="AO209" s="82">
        <f>SUMIFS(estoque[quantidade],estoque[fornecedor],"&lt;&gt;saída",estoque[data],SituaçãoEstoqueFluxo[[#This Row],[data]])-SUMIFS(estoque[quantidade],estoque[fornecedor],"saída",estoque[data],SituaçãoEstoqueFluxo[[#This Row],[data]])</f>
        <v>272</v>
      </c>
      <c r="AP209" s="116">
        <f t="shared" si="12"/>
        <v>46025</v>
      </c>
      <c r="AQ209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10.75</v>
      </c>
      <c r="AR209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8.5</v>
      </c>
      <c r="AS209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6.25</v>
      </c>
      <c r="AT209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12.083333333333334</v>
      </c>
      <c r="AU209" s="81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>1.75</v>
      </c>
      <c r="AV209" s="82" cm="1">
        <f t="array" aca="1" ref="AV2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3.2142857142857135</v>
      </c>
      <c r="AW209" s="82" cm="1">
        <f t="array" aca="1" ref="AW2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1.0714285714285714</v>
      </c>
      <c r="AX209" s="82">
        <f>SUM(FluxoEstoqueDateTime[[#This Row],[OVO BRANCO A]:[OVO BRANCO JUMBO]])</f>
        <v>39.333333333333336</v>
      </c>
    </row>
    <row r="210" spans="1:50" x14ac:dyDescent="0.25">
      <c r="A210" s="4" t="s">
        <v>20</v>
      </c>
      <c r="B210" s="55" t="s">
        <v>13</v>
      </c>
      <c r="C210" s="5">
        <v>11</v>
      </c>
      <c r="D210" s="56">
        <v>20</v>
      </c>
      <c r="E210" s="56">
        <v>220</v>
      </c>
      <c r="F210" s="157">
        <v>46188</v>
      </c>
      <c r="G210" s="4" t="s">
        <v>291</v>
      </c>
      <c r="H210" s="4" t="s">
        <v>148</v>
      </c>
      <c r="I210" s="153">
        <v>45.83</v>
      </c>
      <c r="J210" s="12">
        <v>0.20833333333333331</v>
      </c>
      <c r="Z210" s="116">
        <f t="shared" si="10"/>
        <v>46024</v>
      </c>
      <c r="AA210" s="82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>1</v>
      </c>
      <c r="AB210" s="82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>0.14285714285714285</v>
      </c>
      <c r="AC210" s="82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>0.8571428571428571</v>
      </c>
      <c r="AD210" s="82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>1.7142857142857142</v>
      </c>
      <c r="AE21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0" s="82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>3.7142857142857144</v>
      </c>
      <c r="AG210" s="82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>61.297334058759517</v>
      </c>
      <c r="AH210" s="116">
        <f t="shared" si="11"/>
        <v>46024</v>
      </c>
      <c r="AI210" s="1" t="str" cm="1">
        <f t="array" ref="AI210">IFERROR(_xlfn.IFS(AQ210="","Sem Produto",AND(AQ210/(AA210/12)&gt;0,AQ210/(AA210/12)&lt;=2),"Acabando",AND(AQ210/(AA210/12)&gt;2,AQ210/(AA210/12)&lt;=3),"Fazer Pedido",AND(AQ210/(AA210/12)&gt;3,AQ210/(AA210/12)&lt;=7),"OK",AND(AQ210/(AA210/12)&gt;7,AQ210/(AA210/12)&lt;=14),"Abaixar Preço",AND(AQ210/(AA210/12)&gt;14,AQ210/(AA210/12)&lt;=20),"Estabilizando",AQ210/(AA210/12)&gt;20,"Instavel"),"Instavel")</f>
        <v>Abaixar Preço</v>
      </c>
      <c r="AJ210" s="1" t="str" cm="1">
        <f t="array" ref="AJ210">IFERROR(_xlfn.IFS(AR210="","Sem Produto",AND(AR210/(AB210/12)&gt;0,AR210/(AB210/12)&lt;=2),"Acabando",AND(AR210/(AB210/12)&gt;2,AR210/(AB210/12)&lt;=3),"Fazer Pedido",AND(AR210/(AB210/12)&gt;3,AR210/(AB210/12)&lt;=7),"OK",AND(AR210/(AB210/12)&gt;7,AR210/(AB210/12)&lt;=14),"Abaixar Preço",AND(AR210/(AB210/12)&gt;14,AR210/(AB210/12)&lt;=20),"Estabilizando",AR210/(AB210/12)&gt;20,"Instavel"),"Instavel")</f>
        <v>Instavel</v>
      </c>
      <c r="AK210" s="1" t="str" cm="1">
        <f t="array" ref="AK210">IFERROR(_xlfn.IFS(AS210="","Sem Produto",AND(AS210/(AC210/12)&gt;0,AS210/(AC210/12)&lt;=2),"Acabando",AND(AS210/(AC210/12)&gt;2,AS210/(AC210/12)&lt;=3),"Fazer Pedido",AND(AS210/(AC210/12)&gt;3,AS210/(AC210/12)&lt;=7),"OK",AND(AS210/(AC210/12)&gt;7,AS210/(AC210/12)&lt;=14),"Abaixar Preço",AND(AS210/(AC210/12)&gt;14,AS210/(AC210/12)&lt;=20),"Estabilizando",AS210/(AC210/12)&gt;20,"Instavel"),"Instavel")</f>
        <v>Instavel</v>
      </c>
      <c r="AL210" s="1" t="str" cm="1">
        <f t="array" ref="AL210">IFERROR(_xlfn.IFS(AT210="","Sem Produto",AND(AT210/(AD210/12)&gt;0,AT210/(AD210/12)&lt;=2),"Acabando",AND(AT210/(AD210/12)&gt;2,AT210/(AD210/12)&lt;=3),"Fazer Pedido",AND(AT210/(AD210/12)&gt;3,AT210/(AD210/12)&lt;=7),"OK",AND(AT210/(AD210/12)&gt;7,AT210/(AD210/12)&lt;=14),"Abaixar Preço",AND(AT210/(AD210/12)&gt;14,AT210/(AD210/12)&lt;=20),"Estabilizando",AT210/(AD210/12)&gt;20,"Instavel"),"Instavel")</f>
        <v>Instavel</v>
      </c>
      <c r="AM210" s="1" t="str" cm="1">
        <f t="array" ref="AM210">IFERROR(_xlfn.IFS(AU210="","Sem Produto",AND(AU210/(AE210/12)&gt;0,AU210/(AE210/12)&lt;=2),"Acabando",AND(AU210/(AE210/12)&gt;2,AU210/(AE210/12)&lt;=3),"Fazer Pedido",AND(AU210/(AE210/12)&gt;3,AU210/(AE210/12)&lt;=7),"OK",AND(AU210/(AE210/12)&gt;7,AU210/(AE210/12)&lt;=14),"Abaixar Preço",AND(AU210/(AE210/12)&gt;14,AU210/(AE210/12)&lt;=20),"Estabilizando",AU210/(AE210/12)&gt;20,"Instavel"),"Instavel")</f>
        <v>Sem Produto</v>
      </c>
      <c r="AN210" s="1" t="str">
        <f ca="1">IF(SUMIF(vendaAno[data],SituaçãoEstoqueFluxo[[#This Row],[data]],vendaAno[estoque])=0,"Algo errado",IF(AND(AX210/AW210&gt;0,AX210/AW210&lt;=1),"Alerta",IF(AND(AX210/AW210&gt;1,AX210/AW210&lt;=1.5),"Fazer pedido",IF(AND(AX210/AW210&gt;1.5,AX210/AW210&lt;=2),"Ok",IF(AND(AX210/AW210&gt;2,AX210/AW210&lt;=2.5),"Estabilizando",IF(AND(AX210/AW210&gt;2.5,AX210/AW210&lt;=3),"Cheio","Abaixar preço"))))))</f>
        <v>Abaixar preço</v>
      </c>
      <c r="AO210" s="82">
        <f>SUMIFS(estoque[quantidade],estoque[fornecedor],"&lt;&gt;saída",estoque[data],SituaçãoEstoqueFluxo[[#This Row],[data]])-SUMIFS(estoque[quantidade],estoque[fornecedor],"saída",estoque[data],SituaçãoEstoqueFluxo[[#This Row],[data]])</f>
        <v>-26</v>
      </c>
      <c r="AP210" s="116">
        <f t="shared" si="12"/>
        <v>46024</v>
      </c>
      <c r="AQ210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0.83333333333333337</v>
      </c>
      <c r="AR210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</v>
      </c>
      <c r="AS210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6.25</v>
      </c>
      <c r="AT210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3.0833333333333335</v>
      </c>
      <c r="AU21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0" s="82" cm="1">
        <f t="array" aca="1" ref="AV2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2.785714285714286</v>
      </c>
      <c r="AW210" s="82" cm="1">
        <f t="array" aca="1" ref="AW2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0.92857142857142849</v>
      </c>
      <c r="AX210" s="82">
        <f>SUM(FluxoEstoqueDateTime[[#This Row],[OVO BRANCO A]:[OVO BRANCO JUMBO]])</f>
        <v>16.666666666666664</v>
      </c>
    </row>
    <row r="211" spans="1:50" x14ac:dyDescent="0.25">
      <c r="A211" s="4" t="s">
        <v>20</v>
      </c>
      <c r="B211" s="55" t="s">
        <v>12</v>
      </c>
      <c r="C211" s="5">
        <v>2</v>
      </c>
      <c r="D211" s="56">
        <v>16</v>
      </c>
      <c r="E211" s="56">
        <v>32</v>
      </c>
      <c r="F211" s="157">
        <v>46188</v>
      </c>
      <c r="G211" s="4" t="s">
        <v>291</v>
      </c>
      <c r="H211" s="4" t="s">
        <v>148</v>
      </c>
      <c r="I211" s="153">
        <v>4.33</v>
      </c>
      <c r="J211" s="12">
        <v>0.13541666666666652</v>
      </c>
      <c r="Z211" s="116">
        <f t="shared" si="10"/>
        <v>46023</v>
      </c>
      <c r="AA21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1" s="116">
        <f t="shared" si="11"/>
        <v>46023</v>
      </c>
      <c r="AI211" s="1" t="str" cm="1">
        <f t="array" ref="AI211">IFERROR(_xlfn.IFS(AQ211="","Sem Produto",AND(AQ211/(AA211/12)&gt;0,AQ211/(AA211/12)&lt;=2),"Acabando",AND(AQ211/(AA211/12)&gt;2,AQ211/(AA211/12)&lt;=3),"Fazer Pedido",AND(AQ211/(AA211/12)&gt;3,AQ211/(AA211/12)&lt;=7),"OK",AND(AQ211/(AA211/12)&gt;7,AQ211/(AA211/12)&lt;=14),"Abaixar Preço",AND(AQ211/(AA211/12)&gt;14,AQ211/(AA211/12)&lt;=20),"Estabilizando",AQ211/(AA211/12)&gt;20,"Instavel"),"Instavel")</f>
        <v>Instavel</v>
      </c>
      <c r="AJ211" s="1" t="str" cm="1">
        <f t="array" ref="AJ211">IFERROR(_xlfn.IFS(AR211="","Sem Produto",AND(AR211/(AB211/12)&gt;0,AR211/(AB211/12)&lt;=2),"Acabando",AND(AR211/(AB211/12)&gt;2,AR211/(AB211/12)&lt;=3),"Fazer Pedido",AND(AR211/(AB211/12)&gt;3,AR211/(AB211/12)&lt;=7),"OK",AND(AR211/(AB211/12)&gt;7,AR211/(AB211/12)&lt;=14),"Abaixar Preço",AND(AR211/(AB211/12)&gt;14,AR211/(AB211/12)&lt;=20),"Estabilizando",AR211/(AB211/12)&gt;20,"Instavel"),"Instavel")</f>
        <v>Instavel</v>
      </c>
      <c r="AK211" s="1" t="str" cm="1">
        <f t="array" ref="AK211">IFERROR(_xlfn.IFS(AS211="","Sem Produto",AND(AS211/(AC211/12)&gt;0,AS211/(AC211/12)&lt;=2),"Acabando",AND(AS211/(AC211/12)&gt;2,AS211/(AC211/12)&lt;=3),"Fazer Pedido",AND(AS211/(AC211/12)&gt;3,AS211/(AC211/12)&lt;=7),"OK",AND(AS211/(AC211/12)&gt;7,AS211/(AC211/12)&lt;=14),"Abaixar Preço",AND(AS211/(AC211/12)&gt;14,AS211/(AC211/12)&lt;=20),"Estabilizando",AS211/(AC211/12)&gt;20,"Instavel"),"Instavel")</f>
        <v>Instavel</v>
      </c>
      <c r="AL211" s="1" t="str" cm="1">
        <f t="array" ref="AL211">IFERROR(_xlfn.IFS(AT211="","Sem Produto",AND(AT211/(AD211/12)&gt;0,AT211/(AD211/12)&lt;=2),"Acabando",AND(AT211/(AD211/12)&gt;2,AT211/(AD211/12)&lt;=3),"Fazer Pedido",AND(AT211/(AD211/12)&gt;3,AT211/(AD211/12)&lt;=7),"OK",AND(AT211/(AD211/12)&gt;7,AT211/(AD211/12)&lt;=14),"Abaixar Preço",AND(AT211/(AD211/12)&gt;14,AT211/(AD211/12)&lt;=20),"Estabilizando",AT211/(AD211/12)&gt;20,"Instavel"),"Instavel")</f>
        <v>Instavel</v>
      </c>
      <c r="AM211" s="1" t="str" cm="1">
        <f t="array" ref="AM211">IFERROR(_xlfn.IFS(AU211="","Sem Produto",AND(AU211/(AE211/12)&gt;0,AU211/(AE211/12)&lt;=2),"Acabando",AND(AU211/(AE211/12)&gt;2,AU211/(AE211/12)&lt;=3),"Fazer Pedido",AND(AU211/(AE211/12)&gt;3,AU211/(AE211/12)&lt;=7),"OK",AND(AU211/(AE211/12)&gt;7,AU211/(AE211/12)&lt;=14),"Abaixar Preço",AND(AU211/(AE211/12)&gt;14,AU211/(AE211/12)&lt;=20),"Estabilizando",AU211/(AE211/12)&gt;20,"Instavel"),"Instavel")</f>
        <v>Sem Produto</v>
      </c>
      <c r="AN211" s="1" t="e">
        <f ca="1">IF(SUMIF(vendaAno[data],SituaçãoEstoqueFluxo[[#This Row],[data]],vendaAno[estoque])=0,"Algo errado",IF(AND(AX211/AW211&gt;0,AX211/AW211&lt;=1),"Alerta",IF(AND(AX211/AW211&gt;1,AX211/AW211&lt;=1.5),"Fazer pedido",IF(AND(AX211/AW211&gt;1.5,AX211/AW211&lt;=2),"Ok",IF(AND(AX211/AW211&gt;2,AX211/AW211&lt;=2.5),"Estabilizando",IF(AND(AX211/AW211&gt;2.5,AX211/AW211&lt;=3),"Cheio","Abaixar preço"))))))</f>
        <v>#DIV/0!</v>
      </c>
      <c r="AO211" s="82">
        <f>SUMIFS(estoque[quantidade],estoque[fornecedor],"&lt;&gt;saída",estoque[data],SituaçãoEstoqueFluxo[[#This Row],[data]])-SUMIFS(estoque[quantidade],estoque[fornecedor],"saída",estoque[data],SituaçãoEstoqueFluxo[[#This Row],[data]])</f>
        <v>226</v>
      </c>
      <c r="AP211" s="116">
        <f t="shared" si="12"/>
        <v>46023</v>
      </c>
      <c r="AQ211" s="82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>1.4166666666666667</v>
      </c>
      <c r="AR211" s="82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>6.583333333333333</v>
      </c>
      <c r="AS211" s="82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>6.75</v>
      </c>
      <c r="AT211" s="81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>4.083333333333333</v>
      </c>
      <c r="AU21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1" s="82" cm="1">
        <f t="array" aca="1" ref="AV2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1" s="82" cm="1">
        <f t="array" aca="1" ref="AW2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1" s="82">
        <f>SUM(FluxoEstoqueDateTime[[#This Row],[OVO BRANCO A]:[OVO BRANCO JUMBO]])</f>
        <v>18.833333333333332</v>
      </c>
    </row>
    <row r="212" spans="1:50" x14ac:dyDescent="0.25">
      <c r="A212" s="4" t="s">
        <v>20</v>
      </c>
      <c r="B212" s="55" t="s">
        <v>11</v>
      </c>
      <c r="C212" s="5">
        <v>15</v>
      </c>
      <c r="D212" s="56">
        <v>17</v>
      </c>
      <c r="E212" s="56">
        <v>255</v>
      </c>
      <c r="F212" s="157">
        <v>46188</v>
      </c>
      <c r="G212" s="4" t="s">
        <v>291</v>
      </c>
      <c r="H212" s="4" t="s">
        <v>148</v>
      </c>
      <c r="I212" s="153">
        <v>34.44</v>
      </c>
      <c r="J212" s="12">
        <v>0.13505046989209907</v>
      </c>
      <c r="Z212" s="116">
        <f t="shared" si="10"/>
        <v>46022</v>
      </c>
      <c r="AA21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2" s="116">
        <f t="shared" si="11"/>
        <v>46022</v>
      </c>
      <c r="AI212" s="1" t="str" cm="1">
        <f t="array" ref="AI212">IFERROR(_xlfn.IFS(AQ212="","Sem Produto",AND(AQ212/(AA212/12)&gt;0,AQ212/(AA212/12)&lt;=2),"Acabando",AND(AQ212/(AA212/12)&gt;2,AQ212/(AA212/12)&lt;=3),"Fazer Pedido",AND(AQ212/(AA212/12)&gt;3,AQ212/(AA212/12)&lt;=7),"OK",AND(AQ212/(AA212/12)&gt;7,AQ212/(AA212/12)&lt;=14),"Abaixar Preço",AND(AQ212/(AA212/12)&gt;14,AQ212/(AA212/12)&lt;=20),"Estabilizando",AQ212/(AA212/12)&gt;20,"Instavel"),"Instavel")</f>
        <v>Sem Produto</v>
      </c>
      <c r="AJ212" s="1" t="str" cm="1">
        <f t="array" ref="AJ212">IFERROR(_xlfn.IFS(AR212="","Sem Produto",AND(AR212/(AB212/12)&gt;0,AR212/(AB212/12)&lt;=2),"Acabando",AND(AR212/(AB212/12)&gt;2,AR212/(AB212/12)&lt;=3),"Fazer Pedido",AND(AR212/(AB212/12)&gt;3,AR212/(AB212/12)&lt;=7),"OK",AND(AR212/(AB212/12)&gt;7,AR212/(AB212/12)&lt;=14),"Abaixar Preço",AND(AR212/(AB212/12)&gt;14,AR212/(AB212/12)&lt;=20),"Estabilizando",AR212/(AB212/12)&gt;20,"Instavel"),"Instavel")</f>
        <v>Sem Produto</v>
      </c>
      <c r="AK212" s="1" t="str" cm="1">
        <f t="array" ref="AK212">IFERROR(_xlfn.IFS(AS212="","Sem Produto",AND(AS212/(AC212/12)&gt;0,AS212/(AC212/12)&lt;=2),"Acabando",AND(AS212/(AC212/12)&gt;2,AS212/(AC212/12)&lt;=3),"Fazer Pedido",AND(AS212/(AC212/12)&gt;3,AS212/(AC212/12)&lt;=7),"OK",AND(AS212/(AC212/12)&gt;7,AS212/(AC212/12)&lt;=14),"Abaixar Preço",AND(AS212/(AC212/12)&gt;14,AS212/(AC212/12)&lt;=20),"Estabilizando",AS212/(AC212/12)&gt;20,"Instavel"),"Instavel")</f>
        <v>Sem Produto</v>
      </c>
      <c r="AL212" s="1" t="str" cm="1">
        <f t="array" ref="AL212">IFERROR(_xlfn.IFS(AT212="","Sem Produto",AND(AT212/(AD212/12)&gt;0,AT212/(AD212/12)&lt;=2),"Acabando",AND(AT212/(AD212/12)&gt;2,AT212/(AD212/12)&lt;=3),"Fazer Pedido",AND(AT212/(AD212/12)&gt;3,AT212/(AD212/12)&lt;=7),"OK",AND(AT212/(AD212/12)&gt;7,AT212/(AD212/12)&lt;=14),"Abaixar Preço",AND(AT212/(AD212/12)&gt;14,AT212/(AD212/12)&lt;=20),"Estabilizando",AT212/(AD212/12)&gt;20,"Instavel"),"Instavel")</f>
        <v>Sem Produto</v>
      </c>
      <c r="AM212" s="1" t="str" cm="1">
        <f t="array" ref="AM212">IFERROR(_xlfn.IFS(AU212="","Sem Produto",AND(AU212/(AE212/12)&gt;0,AU212/(AE212/12)&lt;=2),"Acabando",AND(AU212/(AE212/12)&gt;2,AU212/(AE212/12)&lt;=3),"Fazer Pedido",AND(AU212/(AE212/12)&gt;3,AU212/(AE212/12)&lt;=7),"OK",AND(AU212/(AE212/12)&gt;7,AU212/(AE212/12)&lt;=14),"Abaixar Preço",AND(AU212/(AE212/12)&gt;14,AU212/(AE212/12)&lt;=20),"Estabilizando",AU212/(AE212/12)&gt;20,"Instavel"),"Instavel")</f>
        <v>Sem Produto</v>
      </c>
      <c r="AN212" s="1" t="str">
        <f>IF(SUMIF(vendaAno[data],SituaçãoEstoqueFluxo[[#This Row],[data]],vendaAno[estoque])=0,"Algo errado",IF(AND(AX212/AW212&gt;0,AX212/AW212&lt;=1),"Alerta",IF(AND(AX212/AW212&gt;1,AX212/AW212&lt;=1.5),"Fazer pedido",IF(AND(AX212/AW212&gt;1.5,AX212/AW212&lt;=2),"Ok",IF(AND(AX212/AW212&gt;2,AX212/AW212&lt;=2.5),"Estabilizando",IF(AND(AX212/AW212&gt;2.5,AX212/AW212&lt;=3),"Cheio","Abaixar preço"))))))</f>
        <v>Algo errado</v>
      </c>
      <c r="AO21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2" s="116">
        <f t="shared" si="12"/>
        <v>46022</v>
      </c>
      <c r="AQ21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2" s="82" cm="1">
        <f t="array" aca="1" ref="AV2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2" s="82" cm="1">
        <f t="array" aca="1" ref="AW2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2" s="82">
        <f>SUM(FluxoEstoqueDateTime[[#This Row],[OVO BRANCO A]:[OVO BRANCO JUMBO]])</f>
        <v>0</v>
      </c>
    </row>
    <row r="213" spans="1:50" x14ac:dyDescent="0.25">
      <c r="A213" s="4" t="s">
        <v>20</v>
      </c>
      <c r="B213" s="55" t="s">
        <v>11</v>
      </c>
      <c r="C213" s="5">
        <v>3</v>
      </c>
      <c r="D213" s="56">
        <v>17</v>
      </c>
      <c r="E213" s="56"/>
      <c r="F213" s="157">
        <v>46188</v>
      </c>
      <c r="G213" s="4" t="s">
        <v>291</v>
      </c>
      <c r="H213" s="4" t="s">
        <v>148</v>
      </c>
      <c r="I213" s="153">
        <f>-14.7*3</f>
        <v>-44.099999999999994</v>
      </c>
      <c r="J213" s="12"/>
      <c r="Z213" s="116">
        <f t="shared" si="10"/>
        <v>46021</v>
      </c>
      <c r="AA21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3" s="116">
        <f t="shared" si="11"/>
        <v>46021</v>
      </c>
      <c r="AI213" s="1" t="str" cm="1">
        <f t="array" ref="AI213">IFERROR(_xlfn.IFS(AQ213="","Sem Produto",AND(AQ213/(AA213/12)&gt;0,AQ213/(AA213/12)&lt;=2),"Acabando",AND(AQ213/(AA213/12)&gt;2,AQ213/(AA213/12)&lt;=3),"Fazer Pedido",AND(AQ213/(AA213/12)&gt;3,AQ213/(AA213/12)&lt;=7),"OK",AND(AQ213/(AA213/12)&gt;7,AQ213/(AA213/12)&lt;=14),"Abaixar Preço",AND(AQ213/(AA213/12)&gt;14,AQ213/(AA213/12)&lt;=20),"Estabilizando",AQ213/(AA213/12)&gt;20,"Instavel"),"Instavel")</f>
        <v>Sem Produto</v>
      </c>
      <c r="AJ213" s="1" t="str" cm="1">
        <f t="array" ref="AJ213">IFERROR(_xlfn.IFS(AR213="","Sem Produto",AND(AR213/(AB213/12)&gt;0,AR213/(AB213/12)&lt;=2),"Acabando",AND(AR213/(AB213/12)&gt;2,AR213/(AB213/12)&lt;=3),"Fazer Pedido",AND(AR213/(AB213/12)&gt;3,AR213/(AB213/12)&lt;=7),"OK",AND(AR213/(AB213/12)&gt;7,AR213/(AB213/12)&lt;=14),"Abaixar Preço",AND(AR213/(AB213/12)&gt;14,AR213/(AB213/12)&lt;=20),"Estabilizando",AR213/(AB213/12)&gt;20,"Instavel"),"Instavel")</f>
        <v>Sem Produto</v>
      </c>
      <c r="AK213" s="1" t="str" cm="1">
        <f t="array" ref="AK213">IFERROR(_xlfn.IFS(AS213="","Sem Produto",AND(AS213/(AC213/12)&gt;0,AS213/(AC213/12)&lt;=2),"Acabando",AND(AS213/(AC213/12)&gt;2,AS213/(AC213/12)&lt;=3),"Fazer Pedido",AND(AS213/(AC213/12)&gt;3,AS213/(AC213/12)&lt;=7),"OK",AND(AS213/(AC213/12)&gt;7,AS213/(AC213/12)&lt;=14),"Abaixar Preço",AND(AS213/(AC213/12)&gt;14,AS213/(AC213/12)&lt;=20),"Estabilizando",AS213/(AC213/12)&gt;20,"Instavel"),"Instavel")</f>
        <v>Sem Produto</v>
      </c>
      <c r="AL213" s="1" t="str" cm="1">
        <f t="array" ref="AL213">IFERROR(_xlfn.IFS(AT213="","Sem Produto",AND(AT213/(AD213/12)&gt;0,AT213/(AD213/12)&lt;=2),"Acabando",AND(AT213/(AD213/12)&gt;2,AT213/(AD213/12)&lt;=3),"Fazer Pedido",AND(AT213/(AD213/12)&gt;3,AT213/(AD213/12)&lt;=7),"OK",AND(AT213/(AD213/12)&gt;7,AT213/(AD213/12)&lt;=14),"Abaixar Preço",AND(AT213/(AD213/12)&gt;14,AT213/(AD213/12)&lt;=20),"Estabilizando",AT213/(AD213/12)&gt;20,"Instavel"),"Instavel")</f>
        <v>Sem Produto</v>
      </c>
      <c r="AM213" s="1" t="str" cm="1">
        <f t="array" ref="AM213">IFERROR(_xlfn.IFS(AU213="","Sem Produto",AND(AU213/(AE213/12)&gt;0,AU213/(AE213/12)&lt;=2),"Acabando",AND(AU213/(AE213/12)&gt;2,AU213/(AE213/12)&lt;=3),"Fazer Pedido",AND(AU213/(AE213/12)&gt;3,AU213/(AE213/12)&lt;=7),"OK",AND(AU213/(AE213/12)&gt;7,AU213/(AE213/12)&lt;=14),"Abaixar Preço",AND(AU213/(AE213/12)&gt;14,AU213/(AE213/12)&lt;=20),"Estabilizando",AU213/(AE213/12)&gt;20,"Instavel"),"Instavel")</f>
        <v>Sem Produto</v>
      </c>
      <c r="AN213" s="1" t="str">
        <f>IF(SUMIF(vendaAno[data],SituaçãoEstoqueFluxo[[#This Row],[data]],vendaAno[estoque])=0,"Algo errado",IF(AND(AX213/AW213&gt;0,AX213/AW213&lt;=1),"Alerta",IF(AND(AX213/AW213&gt;1,AX213/AW213&lt;=1.5),"Fazer pedido",IF(AND(AX213/AW213&gt;1.5,AX213/AW213&lt;=2),"Ok",IF(AND(AX213/AW213&gt;2,AX213/AW213&lt;=2.5),"Estabilizando",IF(AND(AX213/AW213&gt;2.5,AX213/AW213&lt;=3),"Cheio","Abaixar preço"))))))</f>
        <v>Algo errado</v>
      </c>
      <c r="AO21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3" s="116">
        <f t="shared" si="12"/>
        <v>46021</v>
      </c>
      <c r="AQ21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3" s="82" cm="1">
        <f t="array" aca="1" ref="AV2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3" s="82" cm="1">
        <f t="array" aca="1" ref="AW2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3" s="82">
        <f>SUM(FluxoEstoqueDateTime[[#This Row],[OVO BRANCO A]:[OVO BRANCO JUMBO]])</f>
        <v>0</v>
      </c>
    </row>
    <row r="214" spans="1:50" x14ac:dyDescent="0.25">
      <c r="A214" s="4" t="s">
        <v>20</v>
      </c>
      <c r="B214" s="55" t="s">
        <v>14</v>
      </c>
      <c r="C214" s="5">
        <v>1</v>
      </c>
      <c r="D214" s="56">
        <v>22</v>
      </c>
      <c r="E214" s="56">
        <v>22</v>
      </c>
      <c r="F214" s="157">
        <v>46187</v>
      </c>
      <c r="G214" s="4" t="s">
        <v>93</v>
      </c>
      <c r="H214" s="4" t="s">
        <v>148</v>
      </c>
      <c r="I214" s="153">
        <v>4.92</v>
      </c>
      <c r="J214" s="12">
        <v>0.22348484848484854</v>
      </c>
      <c r="Z214" s="116">
        <f t="shared" si="10"/>
        <v>46020</v>
      </c>
      <c r="AA21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4" s="116">
        <f t="shared" si="11"/>
        <v>46020</v>
      </c>
      <c r="AI214" s="1" t="str" cm="1">
        <f t="array" ref="AI214">IFERROR(_xlfn.IFS(AQ214="","Sem Produto",AND(AQ214/(AA214/12)&gt;0,AQ214/(AA214/12)&lt;=2),"Acabando",AND(AQ214/(AA214/12)&gt;2,AQ214/(AA214/12)&lt;=3),"Fazer Pedido",AND(AQ214/(AA214/12)&gt;3,AQ214/(AA214/12)&lt;=7),"OK",AND(AQ214/(AA214/12)&gt;7,AQ214/(AA214/12)&lt;=14),"Abaixar Preço",AND(AQ214/(AA214/12)&gt;14,AQ214/(AA214/12)&lt;=20),"Estabilizando",AQ214/(AA214/12)&gt;20,"Instavel"),"Instavel")</f>
        <v>Sem Produto</v>
      </c>
      <c r="AJ214" s="1" t="str" cm="1">
        <f t="array" ref="AJ214">IFERROR(_xlfn.IFS(AR214="","Sem Produto",AND(AR214/(AB214/12)&gt;0,AR214/(AB214/12)&lt;=2),"Acabando",AND(AR214/(AB214/12)&gt;2,AR214/(AB214/12)&lt;=3),"Fazer Pedido",AND(AR214/(AB214/12)&gt;3,AR214/(AB214/12)&lt;=7),"OK",AND(AR214/(AB214/12)&gt;7,AR214/(AB214/12)&lt;=14),"Abaixar Preço",AND(AR214/(AB214/12)&gt;14,AR214/(AB214/12)&lt;=20),"Estabilizando",AR214/(AB214/12)&gt;20,"Instavel"),"Instavel")</f>
        <v>Sem Produto</v>
      </c>
      <c r="AK214" s="1" t="str" cm="1">
        <f t="array" ref="AK214">IFERROR(_xlfn.IFS(AS214="","Sem Produto",AND(AS214/(AC214/12)&gt;0,AS214/(AC214/12)&lt;=2),"Acabando",AND(AS214/(AC214/12)&gt;2,AS214/(AC214/12)&lt;=3),"Fazer Pedido",AND(AS214/(AC214/12)&gt;3,AS214/(AC214/12)&lt;=7),"OK",AND(AS214/(AC214/12)&gt;7,AS214/(AC214/12)&lt;=14),"Abaixar Preço",AND(AS214/(AC214/12)&gt;14,AS214/(AC214/12)&lt;=20),"Estabilizando",AS214/(AC214/12)&gt;20,"Instavel"),"Instavel")</f>
        <v>Sem Produto</v>
      </c>
      <c r="AL214" s="1" t="str" cm="1">
        <f t="array" ref="AL214">IFERROR(_xlfn.IFS(AT214="","Sem Produto",AND(AT214/(AD214/12)&gt;0,AT214/(AD214/12)&lt;=2),"Acabando",AND(AT214/(AD214/12)&gt;2,AT214/(AD214/12)&lt;=3),"Fazer Pedido",AND(AT214/(AD214/12)&gt;3,AT214/(AD214/12)&lt;=7),"OK",AND(AT214/(AD214/12)&gt;7,AT214/(AD214/12)&lt;=14),"Abaixar Preço",AND(AT214/(AD214/12)&gt;14,AT214/(AD214/12)&lt;=20),"Estabilizando",AT214/(AD214/12)&gt;20,"Instavel"),"Instavel")</f>
        <v>Sem Produto</v>
      </c>
      <c r="AM214" s="1" t="str" cm="1">
        <f t="array" ref="AM214">IFERROR(_xlfn.IFS(AU214="","Sem Produto",AND(AU214/(AE214/12)&gt;0,AU214/(AE214/12)&lt;=2),"Acabando",AND(AU214/(AE214/12)&gt;2,AU214/(AE214/12)&lt;=3),"Fazer Pedido",AND(AU214/(AE214/12)&gt;3,AU214/(AE214/12)&lt;=7),"OK",AND(AU214/(AE214/12)&gt;7,AU214/(AE214/12)&lt;=14),"Abaixar Preço",AND(AU214/(AE214/12)&gt;14,AU214/(AE214/12)&lt;=20),"Estabilizando",AU214/(AE214/12)&gt;20,"Instavel"),"Instavel")</f>
        <v>Sem Produto</v>
      </c>
      <c r="AN214" s="1" t="str">
        <f>IF(SUMIF(vendaAno[data],SituaçãoEstoqueFluxo[[#This Row],[data]],vendaAno[estoque])=0,"Algo errado",IF(AND(AX214/AW214&gt;0,AX214/AW214&lt;=1),"Alerta",IF(AND(AX214/AW214&gt;1,AX214/AW214&lt;=1.5),"Fazer pedido",IF(AND(AX214/AW214&gt;1.5,AX214/AW214&lt;=2),"Ok",IF(AND(AX214/AW214&gt;2,AX214/AW214&lt;=2.5),"Estabilizando",IF(AND(AX214/AW214&gt;2.5,AX214/AW214&lt;=3),"Cheio","Abaixar preço"))))))</f>
        <v>Algo errado</v>
      </c>
      <c r="AO21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4" s="116">
        <f t="shared" si="12"/>
        <v>46020</v>
      </c>
      <c r="AQ21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4" s="82" cm="1">
        <f t="array" aca="1" ref="AV2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4" s="82" cm="1">
        <f t="array" aca="1" ref="AW2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4" s="82">
        <f>SUM(FluxoEstoqueDateTime[[#This Row],[OVO BRANCO A]:[OVO BRANCO JUMBO]])</f>
        <v>0</v>
      </c>
    </row>
    <row r="215" spans="1:50" x14ac:dyDescent="0.25">
      <c r="A215" s="4" t="s">
        <v>20</v>
      </c>
      <c r="B215" s="55" t="s">
        <v>13</v>
      </c>
      <c r="C215" s="5">
        <v>17</v>
      </c>
      <c r="D215" s="56">
        <v>20</v>
      </c>
      <c r="E215" s="56">
        <v>340</v>
      </c>
      <c r="F215" s="157">
        <v>46187</v>
      </c>
      <c r="G215" s="4" t="s">
        <v>93</v>
      </c>
      <c r="H215" s="4" t="s">
        <v>148</v>
      </c>
      <c r="I215" s="153">
        <v>70.83</v>
      </c>
      <c r="J215" s="12">
        <v>0.20833333333333331</v>
      </c>
      <c r="Z215" s="116">
        <f t="shared" si="10"/>
        <v>46019</v>
      </c>
      <c r="AA21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5" s="116">
        <f t="shared" si="11"/>
        <v>46019</v>
      </c>
      <c r="AI215" s="1" t="str" cm="1">
        <f t="array" ref="AI215">IFERROR(_xlfn.IFS(AQ215="","Sem Produto",AND(AQ215/(AA215/12)&gt;0,AQ215/(AA215/12)&lt;=2),"Acabando",AND(AQ215/(AA215/12)&gt;2,AQ215/(AA215/12)&lt;=3),"Fazer Pedido",AND(AQ215/(AA215/12)&gt;3,AQ215/(AA215/12)&lt;=7),"OK",AND(AQ215/(AA215/12)&gt;7,AQ215/(AA215/12)&lt;=14),"Abaixar Preço",AND(AQ215/(AA215/12)&gt;14,AQ215/(AA215/12)&lt;=20),"Estabilizando",AQ215/(AA215/12)&gt;20,"Instavel"),"Instavel")</f>
        <v>Sem Produto</v>
      </c>
      <c r="AJ215" s="1" t="str" cm="1">
        <f t="array" ref="AJ215">IFERROR(_xlfn.IFS(AR215="","Sem Produto",AND(AR215/(AB215/12)&gt;0,AR215/(AB215/12)&lt;=2),"Acabando",AND(AR215/(AB215/12)&gt;2,AR215/(AB215/12)&lt;=3),"Fazer Pedido",AND(AR215/(AB215/12)&gt;3,AR215/(AB215/12)&lt;=7),"OK",AND(AR215/(AB215/12)&gt;7,AR215/(AB215/12)&lt;=14),"Abaixar Preço",AND(AR215/(AB215/12)&gt;14,AR215/(AB215/12)&lt;=20),"Estabilizando",AR215/(AB215/12)&gt;20,"Instavel"),"Instavel")</f>
        <v>Sem Produto</v>
      </c>
      <c r="AK215" s="1" t="str" cm="1">
        <f t="array" ref="AK215">IFERROR(_xlfn.IFS(AS215="","Sem Produto",AND(AS215/(AC215/12)&gt;0,AS215/(AC215/12)&lt;=2),"Acabando",AND(AS215/(AC215/12)&gt;2,AS215/(AC215/12)&lt;=3),"Fazer Pedido",AND(AS215/(AC215/12)&gt;3,AS215/(AC215/12)&lt;=7),"OK",AND(AS215/(AC215/12)&gt;7,AS215/(AC215/12)&lt;=14),"Abaixar Preço",AND(AS215/(AC215/12)&gt;14,AS215/(AC215/12)&lt;=20),"Estabilizando",AS215/(AC215/12)&gt;20,"Instavel"),"Instavel")</f>
        <v>Sem Produto</v>
      </c>
      <c r="AL215" s="1" t="str" cm="1">
        <f t="array" ref="AL215">IFERROR(_xlfn.IFS(AT215="","Sem Produto",AND(AT215/(AD215/12)&gt;0,AT215/(AD215/12)&lt;=2),"Acabando",AND(AT215/(AD215/12)&gt;2,AT215/(AD215/12)&lt;=3),"Fazer Pedido",AND(AT215/(AD215/12)&gt;3,AT215/(AD215/12)&lt;=7),"OK",AND(AT215/(AD215/12)&gt;7,AT215/(AD215/12)&lt;=14),"Abaixar Preço",AND(AT215/(AD215/12)&gt;14,AT215/(AD215/12)&lt;=20),"Estabilizando",AT215/(AD215/12)&gt;20,"Instavel"),"Instavel")</f>
        <v>Sem Produto</v>
      </c>
      <c r="AM215" s="1" t="str" cm="1">
        <f t="array" ref="AM215">IFERROR(_xlfn.IFS(AU215="","Sem Produto",AND(AU215/(AE215/12)&gt;0,AU215/(AE215/12)&lt;=2),"Acabando",AND(AU215/(AE215/12)&gt;2,AU215/(AE215/12)&lt;=3),"Fazer Pedido",AND(AU215/(AE215/12)&gt;3,AU215/(AE215/12)&lt;=7),"OK",AND(AU215/(AE215/12)&gt;7,AU215/(AE215/12)&lt;=14),"Abaixar Preço",AND(AU215/(AE215/12)&gt;14,AU215/(AE215/12)&lt;=20),"Estabilizando",AU215/(AE215/12)&gt;20,"Instavel"),"Instavel")</f>
        <v>Sem Produto</v>
      </c>
      <c r="AN215" s="1" t="str">
        <f>IF(SUMIF(vendaAno[data],SituaçãoEstoqueFluxo[[#This Row],[data]],vendaAno[estoque])=0,"Algo errado",IF(AND(AX215/AW215&gt;0,AX215/AW215&lt;=1),"Alerta",IF(AND(AX215/AW215&gt;1,AX215/AW215&lt;=1.5),"Fazer pedido",IF(AND(AX215/AW215&gt;1.5,AX215/AW215&lt;=2),"Ok",IF(AND(AX215/AW215&gt;2,AX215/AW215&lt;=2.5),"Estabilizando",IF(AND(AX215/AW215&gt;2.5,AX215/AW215&lt;=3),"Cheio","Abaixar preço"))))))</f>
        <v>Algo errado</v>
      </c>
      <c r="AO21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5" s="116">
        <f t="shared" si="12"/>
        <v>46019</v>
      </c>
      <c r="AQ21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5" s="82" cm="1">
        <f t="array" aca="1" ref="AV2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5" s="82" cm="1">
        <f t="array" aca="1" ref="AW2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5" s="82">
        <f>SUM(FluxoEstoqueDateTime[[#This Row],[OVO BRANCO A]:[OVO BRANCO JUMBO]])</f>
        <v>0</v>
      </c>
    </row>
    <row r="216" spans="1:50" x14ac:dyDescent="0.25">
      <c r="A216" s="4" t="s">
        <v>20</v>
      </c>
      <c r="B216" s="55" t="s">
        <v>11</v>
      </c>
      <c r="C216" s="5">
        <v>14</v>
      </c>
      <c r="D216" s="56">
        <v>17</v>
      </c>
      <c r="E216" s="56">
        <v>226</v>
      </c>
      <c r="F216" s="157">
        <v>46187</v>
      </c>
      <c r="G216" s="4" t="s">
        <v>93</v>
      </c>
      <c r="H216" s="4" t="s">
        <v>148</v>
      </c>
      <c r="I216" s="153">
        <v>20.14</v>
      </c>
      <c r="J216" s="12">
        <v>8.9123946169555546E-2</v>
      </c>
      <c r="Z216" s="116">
        <f t="shared" si="10"/>
        <v>46018</v>
      </c>
      <c r="AA21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6" s="116">
        <f t="shared" si="11"/>
        <v>46018</v>
      </c>
      <c r="AI216" s="1" t="str" cm="1">
        <f t="array" ref="AI216">IFERROR(_xlfn.IFS(AQ216="","Sem Produto",AND(AQ216/(AA216/12)&gt;0,AQ216/(AA216/12)&lt;=2),"Acabando",AND(AQ216/(AA216/12)&gt;2,AQ216/(AA216/12)&lt;=3),"Fazer Pedido",AND(AQ216/(AA216/12)&gt;3,AQ216/(AA216/12)&lt;=7),"OK",AND(AQ216/(AA216/12)&gt;7,AQ216/(AA216/12)&lt;=14),"Abaixar Preço",AND(AQ216/(AA216/12)&gt;14,AQ216/(AA216/12)&lt;=20),"Estabilizando",AQ216/(AA216/12)&gt;20,"Instavel"),"Instavel")</f>
        <v>Sem Produto</v>
      </c>
      <c r="AJ216" s="1" t="str" cm="1">
        <f t="array" ref="AJ216">IFERROR(_xlfn.IFS(AR216="","Sem Produto",AND(AR216/(AB216/12)&gt;0,AR216/(AB216/12)&lt;=2),"Acabando",AND(AR216/(AB216/12)&gt;2,AR216/(AB216/12)&lt;=3),"Fazer Pedido",AND(AR216/(AB216/12)&gt;3,AR216/(AB216/12)&lt;=7),"OK",AND(AR216/(AB216/12)&gt;7,AR216/(AB216/12)&lt;=14),"Abaixar Preço",AND(AR216/(AB216/12)&gt;14,AR216/(AB216/12)&lt;=20),"Estabilizando",AR216/(AB216/12)&gt;20,"Instavel"),"Instavel")</f>
        <v>Sem Produto</v>
      </c>
      <c r="AK216" s="1" t="str" cm="1">
        <f t="array" ref="AK216">IFERROR(_xlfn.IFS(AS216="","Sem Produto",AND(AS216/(AC216/12)&gt;0,AS216/(AC216/12)&lt;=2),"Acabando",AND(AS216/(AC216/12)&gt;2,AS216/(AC216/12)&lt;=3),"Fazer Pedido",AND(AS216/(AC216/12)&gt;3,AS216/(AC216/12)&lt;=7),"OK",AND(AS216/(AC216/12)&gt;7,AS216/(AC216/12)&lt;=14),"Abaixar Preço",AND(AS216/(AC216/12)&gt;14,AS216/(AC216/12)&lt;=20),"Estabilizando",AS216/(AC216/12)&gt;20,"Instavel"),"Instavel")</f>
        <v>Sem Produto</v>
      </c>
      <c r="AL216" s="1" t="str" cm="1">
        <f t="array" ref="AL216">IFERROR(_xlfn.IFS(AT216="","Sem Produto",AND(AT216/(AD216/12)&gt;0,AT216/(AD216/12)&lt;=2),"Acabando",AND(AT216/(AD216/12)&gt;2,AT216/(AD216/12)&lt;=3),"Fazer Pedido",AND(AT216/(AD216/12)&gt;3,AT216/(AD216/12)&lt;=7),"OK",AND(AT216/(AD216/12)&gt;7,AT216/(AD216/12)&lt;=14),"Abaixar Preço",AND(AT216/(AD216/12)&gt;14,AT216/(AD216/12)&lt;=20),"Estabilizando",AT216/(AD216/12)&gt;20,"Instavel"),"Instavel")</f>
        <v>Sem Produto</v>
      </c>
      <c r="AM216" s="1" t="str" cm="1">
        <f t="array" ref="AM216">IFERROR(_xlfn.IFS(AU216="","Sem Produto",AND(AU216/(AE216/12)&gt;0,AU216/(AE216/12)&lt;=2),"Acabando",AND(AU216/(AE216/12)&gt;2,AU216/(AE216/12)&lt;=3),"Fazer Pedido",AND(AU216/(AE216/12)&gt;3,AU216/(AE216/12)&lt;=7),"OK",AND(AU216/(AE216/12)&gt;7,AU216/(AE216/12)&lt;=14),"Abaixar Preço",AND(AU216/(AE216/12)&gt;14,AU216/(AE216/12)&lt;=20),"Estabilizando",AU216/(AE216/12)&gt;20,"Instavel"),"Instavel")</f>
        <v>Sem Produto</v>
      </c>
      <c r="AN216" s="1" t="str">
        <f>IF(SUMIF(vendaAno[data],SituaçãoEstoqueFluxo[[#This Row],[data]],vendaAno[estoque])=0,"Algo errado",IF(AND(AX216/AW216&gt;0,AX216/AW216&lt;=1),"Alerta",IF(AND(AX216/AW216&gt;1,AX216/AW216&lt;=1.5),"Fazer pedido",IF(AND(AX216/AW216&gt;1.5,AX216/AW216&lt;=2),"Ok",IF(AND(AX216/AW216&gt;2,AX216/AW216&lt;=2.5),"Estabilizando",IF(AND(AX216/AW216&gt;2.5,AX216/AW216&lt;=3),"Cheio","Abaixar preço"))))))</f>
        <v>Algo errado</v>
      </c>
      <c r="AO21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6" s="116">
        <f t="shared" si="12"/>
        <v>46018</v>
      </c>
      <c r="AQ21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6" s="82" cm="1">
        <f t="array" aca="1" ref="AV2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6" s="82" cm="1">
        <f t="array" aca="1" ref="AW2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6" s="82">
        <f>SUM(FluxoEstoqueDateTime[[#This Row],[OVO BRANCO A]:[OVO BRANCO JUMBO]])</f>
        <v>0</v>
      </c>
    </row>
    <row r="217" spans="1:50" x14ac:dyDescent="0.25">
      <c r="A217" s="4" t="s">
        <v>20</v>
      </c>
      <c r="B217" s="55" t="s">
        <v>10</v>
      </c>
      <c r="C217" s="5">
        <v>2</v>
      </c>
      <c r="D217" s="56">
        <v>18</v>
      </c>
      <c r="E217" s="56">
        <v>36</v>
      </c>
      <c r="F217" s="157">
        <v>46187</v>
      </c>
      <c r="G217" s="4" t="s">
        <v>93</v>
      </c>
      <c r="H217" s="4" t="s">
        <v>148</v>
      </c>
      <c r="I217" s="153">
        <v>5.1100000000000003</v>
      </c>
      <c r="J217" s="12">
        <v>0.14203841333096159</v>
      </c>
      <c r="Z217" s="116">
        <f t="shared" si="10"/>
        <v>46017</v>
      </c>
      <c r="AA21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7" s="116">
        <f t="shared" si="11"/>
        <v>46017</v>
      </c>
      <c r="AI217" s="1" t="str" cm="1">
        <f t="array" ref="AI217">IFERROR(_xlfn.IFS(AQ217="","Sem Produto",AND(AQ217/(AA217/12)&gt;0,AQ217/(AA217/12)&lt;=2),"Acabando",AND(AQ217/(AA217/12)&gt;2,AQ217/(AA217/12)&lt;=3),"Fazer Pedido",AND(AQ217/(AA217/12)&gt;3,AQ217/(AA217/12)&lt;=7),"OK",AND(AQ217/(AA217/12)&gt;7,AQ217/(AA217/12)&lt;=14),"Abaixar Preço",AND(AQ217/(AA217/12)&gt;14,AQ217/(AA217/12)&lt;=20),"Estabilizando",AQ217/(AA217/12)&gt;20,"Instavel"),"Instavel")</f>
        <v>Sem Produto</v>
      </c>
      <c r="AJ217" s="1" t="str" cm="1">
        <f t="array" ref="AJ217">IFERROR(_xlfn.IFS(AR217="","Sem Produto",AND(AR217/(AB217/12)&gt;0,AR217/(AB217/12)&lt;=2),"Acabando",AND(AR217/(AB217/12)&gt;2,AR217/(AB217/12)&lt;=3),"Fazer Pedido",AND(AR217/(AB217/12)&gt;3,AR217/(AB217/12)&lt;=7),"OK",AND(AR217/(AB217/12)&gt;7,AR217/(AB217/12)&lt;=14),"Abaixar Preço",AND(AR217/(AB217/12)&gt;14,AR217/(AB217/12)&lt;=20),"Estabilizando",AR217/(AB217/12)&gt;20,"Instavel"),"Instavel")</f>
        <v>Sem Produto</v>
      </c>
      <c r="AK217" s="1" t="str" cm="1">
        <f t="array" ref="AK217">IFERROR(_xlfn.IFS(AS217="","Sem Produto",AND(AS217/(AC217/12)&gt;0,AS217/(AC217/12)&lt;=2),"Acabando",AND(AS217/(AC217/12)&gt;2,AS217/(AC217/12)&lt;=3),"Fazer Pedido",AND(AS217/(AC217/12)&gt;3,AS217/(AC217/12)&lt;=7),"OK",AND(AS217/(AC217/12)&gt;7,AS217/(AC217/12)&lt;=14),"Abaixar Preço",AND(AS217/(AC217/12)&gt;14,AS217/(AC217/12)&lt;=20),"Estabilizando",AS217/(AC217/12)&gt;20,"Instavel"),"Instavel")</f>
        <v>Sem Produto</v>
      </c>
      <c r="AL217" s="1" t="str" cm="1">
        <f t="array" ref="AL217">IFERROR(_xlfn.IFS(AT217="","Sem Produto",AND(AT217/(AD217/12)&gt;0,AT217/(AD217/12)&lt;=2),"Acabando",AND(AT217/(AD217/12)&gt;2,AT217/(AD217/12)&lt;=3),"Fazer Pedido",AND(AT217/(AD217/12)&gt;3,AT217/(AD217/12)&lt;=7),"OK",AND(AT217/(AD217/12)&gt;7,AT217/(AD217/12)&lt;=14),"Abaixar Preço",AND(AT217/(AD217/12)&gt;14,AT217/(AD217/12)&lt;=20),"Estabilizando",AT217/(AD217/12)&gt;20,"Instavel"),"Instavel")</f>
        <v>Sem Produto</v>
      </c>
      <c r="AM217" s="1" t="str" cm="1">
        <f t="array" ref="AM217">IFERROR(_xlfn.IFS(AU217="","Sem Produto",AND(AU217/(AE217/12)&gt;0,AU217/(AE217/12)&lt;=2),"Acabando",AND(AU217/(AE217/12)&gt;2,AU217/(AE217/12)&lt;=3),"Fazer Pedido",AND(AU217/(AE217/12)&gt;3,AU217/(AE217/12)&lt;=7),"OK",AND(AU217/(AE217/12)&gt;7,AU217/(AE217/12)&lt;=14),"Abaixar Preço",AND(AU217/(AE217/12)&gt;14,AU217/(AE217/12)&lt;=20),"Estabilizando",AU217/(AE217/12)&gt;20,"Instavel"),"Instavel")</f>
        <v>Sem Produto</v>
      </c>
      <c r="AN217" s="1" t="str">
        <f>IF(SUMIF(vendaAno[data],SituaçãoEstoqueFluxo[[#This Row],[data]],vendaAno[estoque])=0,"Algo errado",IF(AND(AX217/AW217&gt;0,AX217/AW217&lt;=1),"Alerta",IF(AND(AX217/AW217&gt;1,AX217/AW217&lt;=1.5),"Fazer pedido",IF(AND(AX217/AW217&gt;1.5,AX217/AW217&lt;=2),"Ok",IF(AND(AX217/AW217&gt;2,AX217/AW217&lt;=2.5),"Estabilizando",IF(AND(AX217/AW217&gt;2.5,AX217/AW217&lt;=3),"Cheio","Abaixar preço"))))))</f>
        <v>Algo errado</v>
      </c>
      <c r="AO21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7" s="116">
        <f t="shared" si="12"/>
        <v>46017</v>
      </c>
      <c r="AQ21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7" s="82" cm="1">
        <f t="array" aca="1" ref="AV2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7" s="82" cm="1">
        <f t="array" aca="1" ref="AW2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7" s="82">
        <f>SUM(FluxoEstoqueDateTime[[#This Row],[OVO BRANCO A]:[OVO BRANCO JUMBO]])</f>
        <v>0</v>
      </c>
    </row>
    <row r="218" spans="1:50" x14ac:dyDescent="0.25">
      <c r="A218" s="4" t="s">
        <v>20</v>
      </c>
      <c r="B218" s="55" t="s">
        <v>14</v>
      </c>
      <c r="C218" s="5">
        <v>3</v>
      </c>
      <c r="D218" s="56">
        <v>22</v>
      </c>
      <c r="E218" s="56">
        <v>66</v>
      </c>
      <c r="F218" s="157">
        <v>46186</v>
      </c>
      <c r="G218" s="4" t="s">
        <v>92</v>
      </c>
      <c r="H218" s="4" t="s">
        <v>148</v>
      </c>
      <c r="I218" s="153">
        <v>14.75</v>
      </c>
      <c r="J218" s="12">
        <v>0.22348484848484854</v>
      </c>
      <c r="Z218" s="116">
        <f t="shared" si="10"/>
        <v>46016</v>
      </c>
      <c r="AA21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8" s="116">
        <f t="shared" si="11"/>
        <v>46016</v>
      </c>
      <c r="AI218" s="1" t="str" cm="1">
        <f t="array" ref="AI218">IFERROR(_xlfn.IFS(AQ218="","Sem Produto",AND(AQ218/(AA218/12)&gt;0,AQ218/(AA218/12)&lt;=2),"Acabando",AND(AQ218/(AA218/12)&gt;2,AQ218/(AA218/12)&lt;=3),"Fazer Pedido",AND(AQ218/(AA218/12)&gt;3,AQ218/(AA218/12)&lt;=7),"OK",AND(AQ218/(AA218/12)&gt;7,AQ218/(AA218/12)&lt;=14),"Abaixar Preço",AND(AQ218/(AA218/12)&gt;14,AQ218/(AA218/12)&lt;=20),"Estabilizando",AQ218/(AA218/12)&gt;20,"Instavel"),"Instavel")</f>
        <v>Sem Produto</v>
      </c>
      <c r="AJ218" s="1" t="str" cm="1">
        <f t="array" ref="AJ218">IFERROR(_xlfn.IFS(AR218="","Sem Produto",AND(AR218/(AB218/12)&gt;0,AR218/(AB218/12)&lt;=2),"Acabando",AND(AR218/(AB218/12)&gt;2,AR218/(AB218/12)&lt;=3),"Fazer Pedido",AND(AR218/(AB218/12)&gt;3,AR218/(AB218/12)&lt;=7),"OK",AND(AR218/(AB218/12)&gt;7,AR218/(AB218/12)&lt;=14),"Abaixar Preço",AND(AR218/(AB218/12)&gt;14,AR218/(AB218/12)&lt;=20),"Estabilizando",AR218/(AB218/12)&gt;20,"Instavel"),"Instavel")</f>
        <v>Sem Produto</v>
      </c>
      <c r="AK218" s="1" t="str" cm="1">
        <f t="array" ref="AK218">IFERROR(_xlfn.IFS(AS218="","Sem Produto",AND(AS218/(AC218/12)&gt;0,AS218/(AC218/12)&lt;=2),"Acabando",AND(AS218/(AC218/12)&gt;2,AS218/(AC218/12)&lt;=3),"Fazer Pedido",AND(AS218/(AC218/12)&gt;3,AS218/(AC218/12)&lt;=7),"OK",AND(AS218/(AC218/12)&gt;7,AS218/(AC218/12)&lt;=14),"Abaixar Preço",AND(AS218/(AC218/12)&gt;14,AS218/(AC218/12)&lt;=20),"Estabilizando",AS218/(AC218/12)&gt;20,"Instavel"),"Instavel")</f>
        <v>Sem Produto</v>
      </c>
      <c r="AL218" s="1" t="str" cm="1">
        <f t="array" ref="AL218">IFERROR(_xlfn.IFS(AT218="","Sem Produto",AND(AT218/(AD218/12)&gt;0,AT218/(AD218/12)&lt;=2),"Acabando",AND(AT218/(AD218/12)&gt;2,AT218/(AD218/12)&lt;=3),"Fazer Pedido",AND(AT218/(AD218/12)&gt;3,AT218/(AD218/12)&lt;=7),"OK",AND(AT218/(AD218/12)&gt;7,AT218/(AD218/12)&lt;=14),"Abaixar Preço",AND(AT218/(AD218/12)&gt;14,AT218/(AD218/12)&lt;=20),"Estabilizando",AT218/(AD218/12)&gt;20,"Instavel"),"Instavel")</f>
        <v>Sem Produto</v>
      </c>
      <c r="AM218" s="1" t="str" cm="1">
        <f t="array" ref="AM218">IFERROR(_xlfn.IFS(AU218="","Sem Produto",AND(AU218/(AE218/12)&gt;0,AU218/(AE218/12)&lt;=2),"Acabando",AND(AU218/(AE218/12)&gt;2,AU218/(AE218/12)&lt;=3),"Fazer Pedido",AND(AU218/(AE218/12)&gt;3,AU218/(AE218/12)&lt;=7),"OK",AND(AU218/(AE218/12)&gt;7,AU218/(AE218/12)&lt;=14),"Abaixar Preço",AND(AU218/(AE218/12)&gt;14,AU218/(AE218/12)&lt;=20),"Estabilizando",AU218/(AE218/12)&gt;20,"Instavel"),"Instavel")</f>
        <v>Sem Produto</v>
      </c>
      <c r="AN218" s="1" t="str">
        <f>IF(SUMIF(vendaAno[data],SituaçãoEstoqueFluxo[[#This Row],[data]],vendaAno[estoque])=0,"Algo errado",IF(AND(AX218/AW218&gt;0,AX218/AW218&lt;=1),"Alerta",IF(AND(AX218/AW218&gt;1,AX218/AW218&lt;=1.5),"Fazer pedido",IF(AND(AX218/AW218&gt;1.5,AX218/AW218&lt;=2),"Ok",IF(AND(AX218/AW218&gt;2,AX218/AW218&lt;=2.5),"Estabilizando",IF(AND(AX218/AW218&gt;2.5,AX218/AW218&lt;=3),"Cheio","Abaixar preço"))))))</f>
        <v>Algo errado</v>
      </c>
      <c r="AO21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8" s="116">
        <f t="shared" si="12"/>
        <v>46016</v>
      </c>
      <c r="AQ21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8" s="82" cm="1">
        <f t="array" aca="1" ref="AV2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8" s="82" cm="1">
        <f t="array" aca="1" ref="AW2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8" s="82">
        <f>SUM(FluxoEstoqueDateTime[[#This Row],[OVO BRANCO A]:[OVO BRANCO JUMBO]])</f>
        <v>0</v>
      </c>
    </row>
    <row r="219" spans="1:50" x14ac:dyDescent="0.25">
      <c r="A219" s="4" t="s">
        <v>20</v>
      </c>
      <c r="B219" s="55" t="s">
        <v>12</v>
      </c>
      <c r="C219" s="5">
        <v>2</v>
      </c>
      <c r="D219" s="56">
        <v>16</v>
      </c>
      <c r="E219" s="56">
        <v>32</v>
      </c>
      <c r="F219" s="157">
        <v>46186</v>
      </c>
      <c r="G219" s="4" t="s">
        <v>92</v>
      </c>
      <c r="H219" s="4" t="s">
        <v>148</v>
      </c>
      <c r="I219" s="153">
        <v>4.33</v>
      </c>
      <c r="J219" s="12">
        <v>0.13541666666666652</v>
      </c>
      <c r="Z219" s="116">
        <f t="shared" si="10"/>
        <v>46015</v>
      </c>
      <c r="AA21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1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1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1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1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1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1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19" s="116">
        <f t="shared" si="11"/>
        <v>46015</v>
      </c>
      <c r="AI219" s="1" t="str" cm="1">
        <f t="array" ref="AI219">IFERROR(_xlfn.IFS(AQ219="","Sem Produto",AND(AQ219/(AA219/12)&gt;0,AQ219/(AA219/12)&lt;=2),"Acabando",AND(AQ219/(AA219/12)&gt;2,AQ219/(AA219/12)&lt;=3),"Fazer Pedido",AND(AQ219/(AA219/12)&gt;3,AQ219/(AA219/12)&lt;=7),"OK",AND(AQ219/(AA219/12)&gt;7,AQ219/(AA219/12)&lt;=14),"Abaixar Preço",AND(AQ219/(AA219/12)&gt;14,AQ219/(AA219/12)&lt;=20),"Estabilizando",AQ219/(AA219/12)&gt;20,"Instavel"),"Instavel")</f>
        <v>Sem Produto</v>
      </c>
      <c r="AJ219" s="1" t="str" cm="1">
        <f t="array" ref="AJ219">IFERROR(_xlfn.IFS(AR219="","Sem Produto",AND(AR219/(AB219/12)&gt;0,AR219/(AB219/12)&lt;=2),"Acabando",AND(AR219/(AB219/12)&gt;2,AR219/(AB219/12)&lt;=3),"Fazer Pedido",AND(AR219/(AB219/12)&gt;3,AR219/(AB219/12)&lt;=7),"OK",AND(AR219/(AB219/12)&gt;7,AR219/(AB219/12)&lt;=14),"Abaixar Preço",AND(AR219/(AB219/12)&gt;14,AR219/(AB219/12)&lt;=20),"Estabilizando",AR219/(AB219/12)&gt;20,"Instavel"),"Instavel")</f>
        <v>Sem Produto</v>
      </c>
      <c r="AK219" s="1" t="str" cm="1">
        <f t="array" ref="AK219">IFERROR(_xlfn.IFS(AS219="","Sem Produto",AND(AS219/(AC219/12)&gt;0,AS219/(AC219/12)&lt;=2),"Acabando",AND(AS219/(AC219/12)&gt;2,AS219/(AC219/12)&lt;=3),"Fazer Pedido",AND(AS219/(AC219/12)&gt;3,AS219/(AC219/12)&lt;=7),"OK",AND(AS219/(AC219/12)&gt;7,AS219/(AC219/12)&lt;=14),"Abaixar Preço",AND(AS219/(AC219/12)&gt;14,AS219/(AC219/12)&lt;=20),"Estabilizando",AS219/(AC219/12)&gt;20,"Instavel"),"Instavel")</f>
        <v>Sem Produto</v>
      </c>
      <c r="AL219" s="1" t="str" cm="1">
        <f t="array" ref="AL219">IFERROR(_xlfn.IFS(AT219="","Sem Produto",AND(AT219/(AD219/12)&gt;0,AT219/(AD219/12)&lt;=2),"Acabando",AND(AT219/(AD219/12)&gt;2,AT219/(AD219/12)&lt;=3),"Fazer Pedido",AND(AT219/(AD219/12)&gt;3,AT219/(AD219/12)&lt;=7),"OK",AND(AT219/(AD219/12)&gt;7,AT219/(AD219/12)&lt;=14),"Abaixar Preço",AND(AT219/(AD219/12)&gt;14,AT219/(AD219/12)&lt;=20),"Estabilizando",AT219/(AD219/12)&gt;20,"Instavel"),"Instavel")</f>
        <v>Sem Produto</v>
      </c>
      <c r="AM219" s="1" t="str" cm="1">
        <f t="array" ref="AM219">IFERROR(_xlfn.IFS(AU219="","Sem Produto",AND(AU219/(AE219/12)&gt;0,AU219/(AE219/12)&lt;=2),"Acabando",AND(AU219/(AE219/12)&gt;2,AU219/(AE219/12)&lt;=3),"Fazer Pedido",AND(AU219/(AE219/12)&gt;3,AU219/(AE219/12)&lt;=7),"OK",AND(AU219/(AE219/12)&gt;7,AU219/(AE219/12)&lt;=14),"Abaixar Preço",AND(AU219/(AE219/12)&gt;14,AU219/(AE219/12)&lt;=20),"Estabilizando",AU219/(AE219/12)&gt;20,"Instavel"),"Instavel")</f>
        <v>Sem Produto</v>
      </c>
      <c r="AN219" s="1" t="str">
        <f>IF(SUMIF(vendaAno[data],SituaçãoEstoqueFluxo[[#This Row],[data]],vendaAno[estoque])=0,"Algo errado",IF(AND(AX219/AW219&gt;0,AX219/AW219&lt;=1),"Alerta",IF(AND(AX219/AW219&gt;1,AX219/AW219&lt;=1.5),"Fazer pedido",IF(AND(AX219/AW219&gt;1.5,AX219/AW219&lt;=2),"Ok",IF(AND(AX219/AW219&gt;2,AX219/AW219&lt;=2.5),"Estabilizando",IF(AND(AX219/AW219&gt;2.5,AX219/AW219&lt;=3),"Cheio","Abaixar preço"))))))</f>
        <v>Algo errado</v>
      </c>
      <c r="AO21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19" s="116">
        <f t="shared" si="12"/>
        <v>46015</v>
      </c>
      <c r="AQ21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1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1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1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19" s="82" cm="1">
        <f t="array" aca="1" ref="AV2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19" s="82" cm="1">
        <f t="array" aca="1" ref="AW2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19" s="82">
        <f>SUM(FluxoEstoqueDateTime[[#This Row],[OVO BRANCO A]:[OVO BRANCO JUMBO]])</f>
        <v>0</v>
      </c>
    </row>
    <row r="220" spans="1:50" x14ac:dyDescent="0.25">
      <c r="A220" s="4" t="s">
        <v>20</v>
      </c>
      <c r="B220" s="55" t="s">
        <v>11</v>
      </c>
      <c r="C220" s="5">
        <v>6</v>
      </c>
      <c r="D220" s="56">
        <v>17</v>
      </c>
      <c r="E220" s="56">
        <v>102</v>
      </c>
      <c r="F220" s="157">
        <v>46186</v>
      </c>
      <c r="G220" s="4" t="s">
        <v>92</v>
      </c>
      <c r="H220" s="4" t="s">
        <v>148</v>
      </c>
      <c r="I220" s="153">
        <v>13.78</v>
      </c>
      <c r="J220" s="12">
        <v>0.13505046989209896</v>
      </c>
      <c r="Z220" s="116">
        <f t="shared" si="10"/>
        <v>46014</v>
      </c>
      <c r="AA22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0" s="116">
        <f t="shared" si="11"/>
        <v>46014</v>
      </c>
      <c r="AI220" s="1" t="str" cm="1">
        <f t="array" ref="AI220">IFERROR(_xlfn.IFS(AQ220="","Sem Produto",AND(AQ220/(AA220/12)&gt;0,AQ220/(AA220/12)&lt;=2),"Acabando",AND(AQ220/(AA220/12)&gt;2,AQ220/(AA220/12)&lt;=3),"Fazer Pedido",AND(AQ220/(AA220/12)&gt;3,AQ220/(AA220/12)&lt;=7),"OK",AND(AQ220/(AA220/12)&gt;7,AQ220/(AA220/12)&lt;=14),"Abaixar Preço",AND(AQ220/(AA220/12)&gt;14,AQ220/(AA220/12)&lt;=20),"Estabilizando",AQ220/(AA220/12)&gt;20,"Instavel"),"Instavel")</f>
        <v>Sem Produto</v>
      </c>
      <c r="AJ220" s="1" t="str" cm="1">
        <f t="array" ref="AJ220">IFERROR(_xlfn.IFS(AR220="","Sem Produto",AND(AR220/(AB220/12)&gt;0,AR220/(AB220/12)&lt;=2),"Acabando",AND(AR220/(AB220/12)&gt;2,AR220/(AB220/12)&lt;=3),"Fazer Pedido",AND(AR220/(AB220/12)&gt;3,AR220/(AB220/12)&lt;=7),"OK",AND(AR220/(AB220/12)&gt;7,AR220/(AB220/12)&lt;=14),"Abaixar Preço",AND(AR220/(AB220/12)&gt;14,AR220/(AB220/12)&lt;=20),"Estabilizando",AR220/(AB220/12)&gt;20,"Instavel"),"Instavel")</f>
        <v>Sem Produto</v>
      </c>
      <c r="AK220" s="1" t="str" cm="1">
        <f t="array" ref="AK220">IFERROR(_xlfn.IFS(AS220="","Sem Produto",AND(AS220/(AC220/12)&gt;0,AS220/(AC220/12)&lt;=2),"Acabando",AND(AS220/(AC220/12)&gt;2,AS220/(AC220/12)&lt;=3),"Fazer Pedido",AND(AS220/(AC220/12)&gt;3,AS220/(AC220/12)&lt;=7),"OK",AND(AS220/(AC220/12)&gt;7,AS220/(AC220/12)&lt;=14),"Abaixar Preço",AND(AS220/(AC220/12)&gt;14,AS220/(AC220/12)&lt;=20),"Estabilizando",AS220/(AC220/12)&gt;20,"Instavel"),"Instavel")</f>
        <v>Sem Produto</v>
      </c>
      <c r="AL220" s="1" t="str" cm="1">
        <f t="array" ref="AL220">IFERROR(_xlfn.IFS(AT220="","Sem Produto",AND(AT220/(AD220/12)&gt;0,AT220/(AD220/12)&lt;=2),"Acabando",AND(AT220/(AD220/12)&gt;2,AT220/(AD220/12)&lt;=3),"Fazer Pedido",AND(AT220/(AD220/12)&gt;3,AT220/(AD220/12)&lt;=7),"OK",AND(AT220/(AD220/12)&gt;7,AT220/(AD220/12)&lt;=14),"Abaixar Preço",AND(AT220/(AD220/12)&gt;14,AT220/(AD220/12)&lt;=20),"Estabilizando",AT220/(AD220/12)&gt;20,"Instavel"),"Instavel")</f>
        <v>Sem Produto</v>
      </c>
      <c r="AM220" s="1" t="str" cm="1">
        <f t="array" ref="AM220">IFERROR(_xlfn.IFS(AU220="","Sem Produto",AND(AU220/(AE220/12)&gt;0,AU220/(AE220/12)&lt;=2),"Acabando",AND(AU220/(AE220/12)&gt;2,AU220/(AE220/12)&lt;=3),"Fazer Pedido",AND(AU220/(AE220/12)&gt;3,AU220/(AE220/12)&lt;=7),"OK",AND(AU220/(AE220/12)&gt;7,AU220/(AE220/12)&lt;=14),"Abaixar Preço",AND(AU220/(AE220/12)&gt;14,AU220/(AE220/12)&lt;=20),"Estabilizando",AU220/(AE220/12)&gt;20,"Instavel"),"Instavel")</f>
        <v>Sem Produto</v>
      </c>
      <c r="AN220" s="1" t="str">
        <f>IF(SUMIF(vendaAno[data],SituaçãoEstoqueFluxo[[#This Row],[data]],vendaAno[estoque])=0,"Algo errado",IF(AND(AX220/AW220&gt;0,AX220/AW220&lt;=1),"Alerta",IF(AND(AX220/AW220&gt;1,AX220/AW220&lt;=1.5),"Fazer pedido",IF(AND(AX220/AW220&gt;1.5,AX220/AW220&lt;=2),"Ok",IF(AND(AX220/AW220&gt;2,AX220/AW220&lt;=2.5),"Estabilizando",IF(AND(AX220/AW220&gt;2.5,AX220/AW220&lt;=3),"Cheio","Abaixar preço"))))))</f>
        <v>Algo errado</v>
      </c>
      <c r="AO22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0" s="116">
        <f t="shared" si="12"/>
        <v>46014</v>
      </c>
      <c r="AQ22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0" s="82" cm="1">
        <f t="array" aca="1" ref="AV2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0" s="82" cm="1">
        <f t="array" aca="1" ref="AW2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0" s="82">
        <f>SUM(FluxoEstoqueDateTime[[#This Row],[OVO BRANCO A]:[OVO BRANCO JUMBO]])</f>
        <v>0</v>
      </c>
    </row>
    <row r="221" spans="1:50" x14ac:dyDescent="0.25">
      <c r="A221" s="4" t="s">
        <v>20</v>
      </c>
      <c r="B221" s="55" t="s">
        <v>10</v>
      </c>
      <c r="C221" s="5">
        <v>18</v>
      </c>
      <c r="D221" s="56">
        <v>18</v>
      </c>
      <c r="E221" s="56">
        <v>324</v>
      </c>
      <c r="F221" s="157">
        <v>46186</v>
      </c>
      <c r="G221" s="4" t="s">
        <v>92</v>
      </c>
      <c r="H221" s="4" t="s">
        <v>148</v>
      </c>
      <c r="I221" s="153">
        <v>46.02</v>
      </c>
      <c r="J221" s="12">
        <v>0.14203841333096159</v>
      </c>
      <c r="Z221" s="116">
        <f t="shared" si="10"/>
        <v>46013</v>
      </c>
      <c r="AA22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1" s="116">
        <f t="shared" si="11"/>
        <v>46013</v>
      </c>
      <c r="AI221" s="1" t="str" cm="1">
        <f t="array" ref="AI221">IFERROR(_xlfn.IFS(AQ221="","Sem Produto",AND(AQ221/(AA221/12)&gt;0,AQ221/(AA221/12)&lt;=2),"Acabando",AND(AQ221/(AA221/12)&gt;2,AQ221/(AA221/12)&lt;=3),"Fazer Pedido",AND(AQ221/(AA221/12)&gt;3,AQ221/(AA221/12)&lt;=7),"OK",AND(AQ221/(AA221/12)&gt;7,AQ221/(AA221/12)&lt;=14),"Abaixar Preço",AND(AQ221/(AA221/12)&gt;14,AQ221/(AA221/12)&lt;=20),"Estabilizando",AQ221/(AA221/12)&gt;20,"Instavel"),"Instavel")</f>
        <v>Sem Produto</v>
      </c>
      <c r="AJ221" s="1" t="str" cm="1">
        <f t="array" ref="AJ221">IFERROR(_xlfn.IFS(AR221="","Sem Produto",AND(AR221/(AB221/12)&gt;0,AR221/(AB221/12)&lt;=2),"Acabando",AND(AR221/(AB221/12)&gt;2,AR221/(AB221/12)&lt;=3),"Fazer Pedido",AND(AR221/(AB221/12)&gt;3,AR221/(AB221/12)&lt;=7),"OK",AND(AR221/(AB221/12)&gt;7,AR221/(AB221/12)&lt;=14),"Abaixar Preço",AND(AR221/(AB221/12)&gt;14,AR221/(AB221/12)&lt;=20),"Estabilizando",AR221/(AB221/12)&gt;20,"Instavel"),"Instavel")</f>
        <v>Sem Produto</v>
      </c>
      <c r="AK221" s="1" t="str" cm="1">
        <f t="array" ref="AK221">IFERROR(_xlfn.IFS(AS221="","Sem Produto",AND(AS221/(AC221/12)&gt;0,AS221/(AC221/12)&lt;=2),"Acabando",AND(AS221/(AC221/12)&gt;2,AS221/(AC221/12)&lt;=3),"Fazer Pedido",AND(AS221/(AC221/12)&gt;3,AS221/(AC221/12)&lt;=7),"OK",AND(AS221/(AC221/12)&gt;7,AS221/(AC221/12)&lt;=14),"Abaixar Preço",AND(AS221/(AC221/12)&gt;14,AS221/(AC221/12)&lt;=20),"Estabilizando",AS221/(AC221/12)&gt;20,"Instavel"),"Instavel")</f>
        <v>Sem Produto</v>
      </c>
      <c r="AL221" s="1" t="str" cm="1">
        <f t="array" ref="AL221">IFERROR(_xlfn.IFS(AT221="","Sem Produto",AND(AT221/(AD221/12)&gt;0,AT221/(AD221/12)&lt;=2),"Acabando",AND(AT221/(AD221/12)&gt;2,AT221/(AD221/12)&lt;=3),"Fazer Pedido",AND(AT221/(AD221/12)&gt;3,AT221/(AD221/12)&lt;=7),"OK",AND(AT221/(AD221/12)&gt;7,AT221/(AD221/12)&lt;=14),"Abaixar Preço",AND(AT221/(AD221/12)&gt;14,AT221/(AD221/12)&lt;=20),"Estabilizando",AT221/(AD221/12)&gt;20,"Instavel"),"Instavel")</f>
        <v>Sem Produto</v>
      </c>
      <c r="AM221" s="1" t="str" cm="1">
        <f t="array" ref="AM221">IFERROR(_xlfn.IFS(AU221="","Sem Produto",AND(AU221/(AE221/12)&gt;0,AU221/(AE221/12)&lt;=2),"Acabando",AND(AU221/(AE221/12)&gt;2,AU221/(AE221/12)&lt;=3),"Fazer Pedido",AND(AU221/(AE221/12)&gt;3,AU221/(AE221/12)&lt;=7),"OK",AND(AU221/(AE221/12)&gt;7,AU221/(AE221/12)&lt;=14),"Abaixar Preço",AND(AU221/(AE221/12)&gt;14,AU221/(AE221/12)&lt;=20),"Estabilizando",AU221/(AE221/12)&gt;20,"Instavel"),"Instavel")</f>
        <v>Sem Produto</v>
      </c>
      <c r="AN221" s="1" t="str">
        <f>IF(SUMIF(vendaAno[data],SituaçãoEstoqueFluxo[[#This Row],[data]],vendaAno[estoque])=0,"Algo errado",IF(AND(AX221/AW221&gt;0,AX221/AW221&lt;=1),"Alerta",IF(AND(AX221/AW221&gt;1,AX221/AW221&lt;=1.5),"Fazer pedido",IF(AND(AX221/AW221&gt;1.5,AX221/AW221&lt;=2),"Ok",IF(AND(AX221/AW221&gt;2,AX221/AW221&lt;=2.5),"Estabilizando",IF(AND(AX221/AW221&gt;2.5,AX221/AW221&lt;=3),"Cheio","Abaixar preço"))))))</f>
        <v>Algo errado</v>
      </c>
      <c r="AO22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1" s="116">
        <f t="shared" si="12"/>
        <v>46013</v>
      </c>
      <c r="AQ22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1" s="82" cm="1">
        <f t="array" aca="1" ref="AV2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1" s="82" cm="1">
        <f t="array" aca="1" ref="AW2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1" s="82">
        <f>SUM(FluxoEstoqueDateTime[[#This Row],[OVO BRANCO A]:[OVO BRANCO JUMBO]])</f>
        <v>0</v>
      </c>
    </row>
    <row r="222" spans="1:50" x14ac:dyDescent="0.25">
      <c r="A222" s="4" t="s">
        <v>20</v>
      </c>
      <c r="B222" s="55" t="s">
        <v>14</v>
      </c>
      <c r="C222" s="5">
        <v>4</v>
      </c>
      <c r="D222" s="56">
        <v>22</v>
      </c>
      <c r="E222" s="56">
        <v>88</v>
      </c>
      <c r="F222" s="157">
        <v>46185</v>
      </c>
      <c r="G222" s="4" t="s">
        <v>83</v>
      </c>
      <c r="H222" s="4" t="s">
        <v>148</v>
      </c>
      <c r="I222" s="153">
        <v>19.670000000000002</v>
      </c>
      <c r="J222" s="12">
        <v>0.22348484848484854</v>
      </c>
      <c r="Z222" s="116">
        <f t="shared" si="10"/>
        <v>46012</v>
      </c>
      <c r="AA22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2" s="116">
        <f t="shared" si="11"/>
        <v>46012</v>
      </c>
      <c r="AI222" s="1" t="str" cm="1">
        <f t="array" ref="AI222">IFERROR(_xlfn.IFS(AQ222="","Sem Produto",AND(AQ222/(AA222/12)&gt;0,AQ222/(AA222/12)&lt;=2),"Acabando",AND(AQ222/(AA222/12)&gt;2,AQ222/(AA222/12)&lt;=3),"Fazer Pedido",AND(AQ222/(AA222/12)&gt;3,AQ222/(AA222/12)&lt;=7),"OK",AND(AQ222/(AA222/12)&gt;7,AQ222/(AA222/12)&lt;=14),"Abaixar Preço",AND(AQ222/(AA222/12)&gt;14,AQ222/(AA222/12)&lt;=20),"Estabilizando",AQ222/(AA222/12)&gt;20,"Instavel"),"Instavel")</f>
        <v>Sem Produto</v>
      </c>
      <c r="AJ222" s="1" t="str" cm="1">
        <f t="array" ref="AJ222">IFERROR(_xlfn.IFS(AR222="","Sem Produto",AND(AR222/(AB222/12)&gt;0,AR222/(AB222/12)&lt;=2),"Acabando",AND(AR222/(AB222/12)&gt;2,AR222/(AB222/12)&lt;=3),"Fazer Pedido",AND(AR222/(AB222/12)&gt;3,AR222/(AB222/12)&lt;=7),"OK",AND(AR222/(AB222/12)&gt;7,AR222/(AB222/12)&lt;=14),"Abaixar Preço",AND(AR222/(AB222/12)&gt;14,AR222/(AB222/12)&lt;=20),"Estabilizando",AR222/(AB222/12)&gt;20,"Instavel"),"Instavel")</f>
        <v>Sem Produto</v>
      </c>
      <c r="AK222" s="1" t="str" cm="1">
        <f t="array" ref="AK222">IFERROR(_xlfn.IFS(AS222="","Sem Produto",AND(AS222/(AC222/12)&gt;0,AS222/(AC222/12)&lt;=2),"Acabando",AND(AS222/(AC222/12)&gt;2,AS222/(AC222/12)&lt;=3),"Fazer Pedido",AND(AS222/(AC222/12)&gt;3,AS222/(AC222/12)&lt;=7),"OK",AND(AS222/(AC222/12)&gt;7,AS222/(AC222/12)&lt;=14),"Abaixar Preço",AND(AS222/(AC222/12)&gt;14,AS222/(AC222/12)&lt;=20),"Estabilizando",AS222/(AC222/12)&gt;20,"Instavel"),"Instavel")</f>
        <v>Sem Produto</v>
      </c>
      <c r="AL222" s="1" t="str" cm="1">
        <f t="array" ref="AL222">IFERROR(_xlfn.IFS(AT222="","Sem Produto",AND(AT222/(AD222/12)&gt;0,AT222/(AD222/12)&lt;=2),"Acabando",AND(AT222/(AD222/12)&gt;2,AT222/(AD222/12)&lt;=3),"Fazer Pedido",AND(AT222/(AD222/12)&gt;3,AT222/(AD222/12)&lt;=7),"OK",AND(AT222/(AD222/12)&gt;7,AT222/(AD222/12)&lt;=14),"Abaixar Preço",AND(AT222/(AD222/12)&gt;14,AT222/(AD222/12)&lt;=20),"Estabilizando",AT222/(AD222/12)&gt;20,"Instavel"),"Instavel")</f>
        <v>Sem Produto</v>
      </c>
      <c r="AM222" s="1" t="str" cm="1">
        <f t="array" ref="AM222">IFERROR(_xlfn.IFS(AU222="","Sem Produto",AND(AU222/(AE222/12)&gt;0,AU222/(AE222/12)&lt;=2),"Acabando",AND(AU222/(AE222/12)&gt;2,AU222/(AE222/12)&lt;=3),"Fazer Pedido",AND(AU222/(AE222/12)&gt;3,AU222/(AE222/12)&lt;=7),"OK",AND(AU222/(AE222/12)&gt;7,AU222/(AE222/12)&lt;=14),"Abaixar Preço",AND(AU222/(AE222/12)&gt;14,AU222/(AE222/12)&lt;=20),"Estabilizando",AU222/(AE222/12)&gt;20,"Instavel"),"Instavel")</f>
        <v>Sem Produto</v>
      </c>
      <c r="AN222" s="1" t="str">
        <f>IF(SUMIF(vendaAno[data],SituaçãoEstoqueFluxo[[#This Row],[data]],vendaAno[estoque])=0,"Algo errado",IF(AND(AX222/AW222&gt;0,AX222/AW222&lt;=1),"Alerta",IF(AND(AX222/AW222&gt;1,AX222/AW222&lt;=1.5),"Fazer pedido",IF(AND(AX222/AW222&gt;1.5,AX222/AW222&lt;=2),"Ok",IF(AND(AX222/AW222&gt;2,AX222/AW222&lt;=2.5),"Estabilizando",IF(AND(AX222/AW222&gt;2.5,AX222/AW222&lt;=3),"Cheio","Abaixar preço"))))))</f>
        <v>Algo errado</v>
      </c>
      <c r="AO22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2" s="116">
        <f t="shared" si="12"/>
        <v>46012</v>
      </c>
      <c r="AQ22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2" s="82" cm="1">
        <f t="array" aca="1" ref="AV2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2" s="82" cm="1">
        <f t="array" aca="1" ref="AW2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2" s="82">
        <f>SUM(FluxoEstoqueDateTime[[#This Row],[OVO BRANCO A]:[OVO BRANCO JUMBO]])</f>
        <v>0</v>
      </c>
    </row>
    <row r="223" spans="1:50" x14ac:dyDescent="0.25">
      <c r="A223" s="4" t="s">
        <v>20</v>
      </c>
      <c r="B223" s="55" t="s">
        <v>10</v>
      </c>
      <c r="C223" s="5">
        <v>22</v>
      </c>
      <c r="D223" s="56">
        <v>18</v>
      </c>
      <c r="E223" s="56">
        <v>390</v>
      </c>
      <c r="F223" s="157">
        <v>46185</v>
      </c>
      <c r="G223" s="4" t="s">
        <v>83</v>
      </c>
      <c r="H223" s="4" t="s">
        <v>148</v>
      </c>
      <c r="I223" s="153">
        <v>50.25</v>
      </c>
      <c r="J223" s="12">
        <v>0.12883900430528408</v>
      </c>
      <c r="Z223" s="116">
        <f t="shared" si="10"/>
        <v>46011</v>
      </c>
      <c r="AA22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3" s="116">
        <f t="shared" si="11"/>
        <v>46011</v>
      </c>
      <c r="AI223" s="1" t="str" cm="1">
        <f t="array" ref="AI223">IFERROR(_xlfn.IFS(AQ223="","Sem Produto",AND(AQ223/(AA223/12)&gt;0,AQ223/(AA223/12)&lt;=2),"Acabando",AND(AQ223/(AA223/12)&gt;2,AQ223/(AA223/12)&lt;=3),"Fazer Pedido",AND(AQ223/(AA223/12)&gt;3,AQ223/(AA223/12)&lt;=7),"OK",AND(AQ223/(AA223/12)&gt;7,AQ223/(AA223/12)&lt;=14),"Abaixar Preço",AND(AQ223/(AA223/12)&gt;14,AQ223/(AA223/12)&lt;=20),"Estabilizando",AQ223/(AA223/12)&gt;20,"Instavel"),"Instavel")</f>
        <v>Sem Produto</v>
      </c>
      <c r="AJ223" s="1" t="str" cm="1">
        <f t="array" ref="AJ223">IFERROR(_xlfn.IFS(AR223="","Sem Produto",AND(AR223/(AB223/12)&gt;0,AR223/(AB223/12)&lt;=2),"Acabando",AND(AR223/(AB223/12)&gt;2,AR223/(AB223/12)&lt;=3),"Fazer Pedido",AND(AR223/(AB223/12)&gt;3,AR223/(AB223/12)&lt;=7),"OK",AND(AR223/(AB223/12)&gt;7,AR223/(AB223/12)&lt;=14),"Abaixar Preço",AND(AR223/(AB223/12)&gt;14,AR223/(AB223/12)&lt;=20),"Estabilizando",AR223/(AB223/12)&gt;20,"Instavel"),"Instavel")</f>
        <v>Sem Produto</v>
      </c>
      <c r="AK223" s="1" t="str" cm="1">
        <f t="array" ref="AK223">IFERROR(_xlfn.IFS(AS223="","Sem Produto",AND(AS223/(AC223/12)&gt;0,AS223/(AC223/12)&lt;=2),"Acabando",AND(AS223/(AC223/12)&gt;2,AS223/(AC223/12)&lt;=3),"Fazer Pedido",AND(AS223/(AC223/12)&gt;3,AS223/(AC223/12)&lt;=7),"OK",AND(AS223/(AC223/12)&gt;7,AS223/(AC223/12)&lt;=14),"Abaixar Preço",AND(AS223/(AC223/12)&gt;14,AS223/(AC223/12)&lt;=20),"Estabilizando",AS223/(AC223/12)&gt;20,"Instavel"),"Instavel")</f>
        <v>Sem Produto</v>
      </c>
      <c r="AL223" s="1" t="str" cm="1">
        <f t="array" ref="AL223">IFERROR(_xlfn.IFS(AT223="","Sem Produto",AND(AT223/(AD223/12)&gt;0,AT223/(AD223/12)&lt;=2),"Acabando",AND(AT223/(AD223/12)&gt;2,AT223/(AD223/12)&lt;=3),"Fazer Pedido",AND(AT223/(AD223/12)&gt;3,AT223/(AD223/12)&lt;=7),"OK",AND(AT223/(AD223/12)&gt;7,AT223/(AD223/12)&lt;=14),"Abaixar Preço",AND(AT223/(AD223/12)&gt;14,AT223/(AD223/12)&lt;=20),"Estabilizando",AT223/(AD223/12)&gt;20,"Instavel"),"Instavel")</f>
        <v>Sem Produto</v>
      </c>
      <c r="AM223" s="1" t="str" cm="1">
        <f t="array" ref="AM223">IFERROR(_xlfn.IFS(AU223="","Sem Produto",AND(AU223/(AE223/12)&gt;0,AU223/(AE223/12)&lt;=2),"Acabando",AND(AU223/(AE223/12)&gt;2,AU223/(AE223/12)&lt;=3),"Fazer Pedido",AND(AU223/(AE223/12)&gt;3,AU223/(AE223/12)&lt;=7),"OK",AND(AU223/(AE223/12)&gt;7,AU223/(AE223/12)&lt;=14),"Abaixar Preço",AND(AU223/(AE223/12)&gt;14,AU223/(AE223/12)&lt;=20),"Estabilizando",AU223/(AE223/12)&gt;20,"Instavel"),"Instavel")</f>
        <v>Sem Produto</v>
      </c>
      <c r="AN223" s="1" t="str">
        <f>IF(SUMIF(vendaAno[data],SituaçãoEstoqueFluxo[[#This Row],[data]],vendaAno[estoque])=0,"Algo errado",IF(AND(AX223/AW223&gt;0,AX223/AW223&lt;=1),"Alerta",IF(AND(AX223/AW223&gt;1,AX223/AW223&lt;=1.5),"Fazer pedido",IF(AND(AX223/AW223&gt;1.5,AX223/AW223&lt;=2),"Ok",IF(AND(AX223/AW223&gt;2,AX223/AW223&lt;=2.5),"Estabilizando",IF(AND(AX223/AW223&gt;2.5,AX223/AW223&lt;=3),"Cheio","Abaixar preço"))))))</f>
        <v>Algo errado</v>
      </c>
      <c r="AO22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3" s="116">
        <f t="shared" si="12"/>
        <v>46011</v>
      </c>
      <c r="AQ22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3" s="82" cm="1">
        <f t="array" aca="1" ref="AV2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3" s="82" cm="1">
        <f t="array" aca="1" ref="AW2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3" s="82">
        <f>SUM(FluxoEstoqueDateTime[[#This Row],[OVO BRANCO A]:[OVO BRANCO JUMBO]])</f>
        <v>0</v>
      </c>
    </row>
    <row r="224" spans="1:50" x14ac:dyDescent="0.25">
      <c r="A224" s="4" t="s">
        <v>292</v>
      </c>
      <c r="B224" s="55" t="s">
        <v>14</v>
      </c>
      <c r="C224" s="5">
        <v>24</v>
      </c>
      <c r="D224" s="56">
        <v>205</v>
      </c>
      <c r="E224" s="56">
        <v>410</v>
      </c>
      <c r="F224" s="157">
        <v>46185</v>
      </c>
      <c r="G224" s="4" t="s">
        <v>83</v>
      </c>
      <c r="H224" s="4" t="s">
        <v>148</v>
      </c>
      <c r="I224" s="153"/>
      <c r="J224" s="12"/>
      <c r="Z224" s="116">
        <f t="shared" si="10"/>
        <v>46010</v>
      </c>
      <c r="AA22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4" s="116">
        <f t="shared" si="11"/>
        <v>46010</v>
      </c>
      <c r="AI224" s="1" t="str" cm="1">
        <f t="array" ref="AI224">IFERROR(_xlfn.IFS(AQ224="","Sem Produto",AND(AQ224/(AA224/12)&gt;0,AQ224/(AA224/12)&lt;=2),"Acabando",AND(AQ224/(AA224/12)&gt;2,AQ224/(AA224/12)&lt;=3),"Fazer Pedido",AND(AQ224/(AA224/12)&gt;3,AQ224/(AA224/12)&lt;=7),"OK",AND(AQ224/(AA224/12)&gt;7,AQ224/(AA224/12)&lt;=14),"Abaixar Preço",AND(AQ224/(AA224/12)&gt;14,AQ224/(AA224/12)&lt;=20),"Estabilizando",AQ224/(AA224/12)&gt;20,"Instavel"),"Instavel")</f>
        <v>Sem Produto</v>
      </c>
      <c r="AJ224" s="1" t="str" cm="1">
        <f t="array" ref="AJ224">IFERROR(_xlfn.IFS(AR224="","Sem Produto",AND(AR224/(AB224/12)&gt;0,AR224/(AB224/12)&lt;=2),"Acabando",AND(AR224/(AB224/12)&gt;2,AR224/(AB224/12)&lt;=3),"Fazer Pedido",AND(AR224/(AB224/12)&gt;3,AR224/(AB224/12)&lt;=7),"OK",AND(AR224/(AB224/12)&gt;7,AR224/(AB224/12)&lt;=14),"Abaixar Preço",AND(AR224/(AB224/12)&gt;14,AR224/(AB224/12)&lt;=20),"Estabilizando",AR224/(AB224/12)&gt;20,"Instavel"),"Instavel")</f>
        <v>Sem Produto</v>
      </c>
      <c r="AK224" s="1" t="str" cm="1">
        <f t="array" ref="AK224">IFERROR(_xlfn.IFS(AS224="","Sem Produto",AND(AS224/(AC224/12)&gt;0,AS224/(AC224/12)&lt;=2),"Acabando",AND(AS224/(AC224/12)&gt;2,AS224/(AC224/12)&lt;=3),"Fazer Pedido",AND(AS224/(AC224/12)&gt;3,AS224/(AC224/12)&lt;=7),"OK",AND(AS224/(AC224/12)&gt;7,AS224/(AC224/12)&lt;=14),"Abaixar Preço",AND(AS224/(AC224/12)&gt;14,AS224/(AC224/12)&lt;=20),"Estabilizando",AS224/(AC224/12)&gt;20,"Instavel"),"Instavel")</f>
        <v>Sem Produto</v>
      </c>
      <c r="AL224" s="1" t="str" cm="1">
        <f t="array" ref="AL224">IFERROR(_xlfn.IFS(AT224="","Sem Produto",AND(AT224/(AD224/12)&gt;0,AT224/(AD224/12)&lt;=2),"Acabando",AND(AT224/(AD224/12)&gt;2,AT224/(AD224/12)&lt;=3),"Fazer Pedido",AND(AT224/(AD224/12)&gt;3,AT224/(AD224/12)&lt;=7),"OK",AND(AT224/(AD224/12)&gt;7,AT224/(AD224/12)&lt;=14),"Abaixar Preço",AND(AT224/(AD224/12)&gt;14,AT224/(AD224/12)&lt;=20),"Estabilizando",AT224/(AD224/12)&gt;20,"Instavel"),"Instavel")</f>
        <v>Sem Produto</v>
      </c>
      <c r="AM224" s="1" t="str" cm="1">
        <f t="array" ref="AM224">IFERROR(_xlfn.IFS(AU224="","Sem Produto",AND(AU224/(AE224/12)&gt;0,AU224/(AE224/12)&lt;=2),"Acabando",AND(AU224/(AE224/12)&gt;2,AU224/(AE224/12)&lt;=3),"Fazer Pedido",AND(AU224/(AE224/12)&gt;3,AU224/(AE224/12)&lt;=7),"OK",AND(AU224/(AE224/12)&gt;7,AU224/(AE224/12)&lt;=14),"Abaixar Preço",AND(AU224/(AE224/12)&gt;14,AU224/(AE224/12)&lt;=20),"Estabilizando",AU224/(AE224/12)&gt;20,"Instavel"),"Instavel")</f>
        <v>Sem Produto</v>
      </c>
      <c r="AN224" s="1" t="str">
        <f>IF(SUMIF(vendaAno[data],SituaçãoEstoqueFluxo[[#This Row],[data]],vendaAno[estoque])=0,"Algo errado",IF(AND(AX224/AW224&gt;0,AX224/AW224&lt;=1),"Alerta",IF(AND(AX224/AW224&gt;1,AX224/AW224&lt;=1.5),"Fazer pedido",IF(AND(AX224/AW224&gt;1.5,AX224/AW224&lt;=2),"Ok",IF(AND(AX224/AW224&gt;2,AX224/AW224&lt;=2.5),"Estabilizando",IF(AND(AX224/AW224&gt;2.5,AX224/AW224&lt;=3),"Cheio","Abaixar preço"))))))</f>
        <v>Algo errado</v>
      </c>
      <c r="AO22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4" s="116">
        <f t="shared" si="12"/>
        <v>46010</v>
      </c>
      <c r="AQ22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4" s="82" cm="1">
        <f t="array" aca="1" ref="AV2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4" s="82" cm="1">
        <f t="array" aca="1" ref="AW2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4" s="82">
        <f>SUM(FluxoEstoqueDateTime[[#This Row],[OVO BRANCO A]:[OVO BRANCO JUMBO]])</f>
        <v>0</v>
      </c>
    </row>
    <row r="225" spans="1:50" x14ac:dyDescent="0.25">
      <c r="A225" s="4" t="s">
        <v>292</v>
      </c>
      <c r="B225" s="55" t="s">
        <v>13</v>
      </c>
      <c r="C225" s="5">
        <v>48</v>
      </c>
      <c r="D225" s="56">
        <v>190</v>
      </c>
      <c r="E225" s="56">
        <v>760</v>
      </c>
      <c r="F225" s="157">
        <v>46185</v>
      </c>
      <c r="G225" s="4" t="s">
        <v>83</v>
      </c>
      <c r="H225" s="4" t="s">
        <v>148</v>
      </c>
      <c r="I225" s="153"/>
      <c r="J225" s="12"/>
      <c r="Z225" s="116">
        <f t="shared" si="10"/>
        <v>46009</v>
      </c>
      <c r="AA22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5" s="116">
        <f t="shared" si="11"/>
        <v>46009</v>
      </c>
      <c r="AI225" s="1" t="str" cm="1">
        <f t="array" ref="AI225">IFERROR(_xlfn.IFS(AQ225="","Sem Produto",AND(AQ225/(AA225/12)&gt;0,AQ225/(AA225/12)&lt;=2),"Acabando",AND(AQ225/(AA225/12)&gt;2,AQ225/(AA225/12)&lt;=3),"Fazer Pedido",AND(AQ225/(AA225/12)&gt;3,AQ225/(AA225/12)&lt;=7),"OK",AND(AQ225/(AA225/12)&gt;7,AQ225/(AA225/12)&lt;=14),"Abaixar Preço",AND(AQ225/(AA225/12)&gt;14,AQ225/(AA225/12)&lt;=20),"Estabilizando",AQ225/(AA225/12)&gt;20,"Instavel"),"Instavel")</f>
        <v>Sem Produto</v>
      </c>
      <c r="AJ225" s="1" t="str" cm="1">
        <f t="array" ref="AJ225">IFERROR(_xlfn.IFS(AR225="","Sem Produto",AND(AR225/(AB225/12)&gt;0,AR225/(AB225/12)&lt;=2),"Acabando",AND(AR225/(AB225/12)&gt;2,AR225/(AB225/12)&lt;=3),"Fazer Pedido",AND(AR225/(AB225/12)&gt;3,AR225/(AB225/12)&lt;=7),"OK",AND(AR225/(AB225/12)&gt;7,AR225/(AB225/12)&lt;=14),"Abaixar Preço",AND(AR225/(AB225/12)&gt;14,AR225/(AB225/12)&lt;=20),"Estabilizando",AR225/(AB225/12)&gt;20,"Instavel"),"Instavel")</f>
        <v>Sem Produto</v>
      </c>
      <c r="AK225" s="1" t="str" cm="1">
        <f t="array" ref="AK225">IFERROR(_xlfn.IFS(AS225="","Sem Produto",AND(AS225/(AC225/12)&gt;0,AS225/(AC225/12)&lt;=2),"Acabando",AND(AS225/(AC225/12)&gt;2,AS225/(AC225/12)&lt;=3),"Fazer Pedido",AND(AS225/(AC225/12)&gt;3,AS225/(AC225/12)&lt;=7),"OK",AND(AS225/(AC225/12)&gt;7,AS225/(AC225/12)&lt;=14),"Abaixar Preço",AND(AS225/(AC225/12)&gt;14,AS225/(AC225/12)&lt;=20),"Estabilizando",AS225/(AC225/12)&gt;20,"Instavel"),"Instavel")</f>
        <v>Sem Produto</v>
      </c>
      <c r="AL225" s="1" t="str" cm="1">
        <f t="array" ref="AL225">IFERROR(_xlfn.IFS(AT225="","Sem Produto",AND(AT225/(AD225/12)&gt;0,AT225/(AD225/12)&lt;=2),"Acabando",AND(AT225/(AD225/12)&gt;2,AT225/(AD225/12)&lt;=3),"Fazer Pedido",AND(AT225/(AD225/12)&gt;3,AT225/(AD225/12)&lt;=7),"OK",AND(AT225/(AD225/12)&gt;7,AT225/(AD225/12)&lt;=14),"Abaixar Preço",AND(AT225/(AD225/12)&gt;14,AT225/(AD225/12)&lt;=20),"Estabilizando",AT225/(AD225/12)&gt;20,"Instavel"),"Instavel")</f>
        <v>Sem Produto</v>
      </c>
      <c r="AM225" s="1" t="str" cm="1">
        <f t="array" ref="AM225">IFERROR(_xlfn.IFS(AU225="","Sem Produto",AND(AU225/(AE225/12)&gt;0,AU225/(AE225/12)&lt;=2),"Acabando",AND(AU225/(AE225/12)&gt;2,AU225/(AE225/12)&lt;=3),"Fazer Pedido",AND(AU225/(AE225/12)&gt;3,AU225/(AE225/12)&lt;=7),"OK",AND(AU225/(AE225/12)&gt;7,AU225/(AE225/12)&lt;=14),"Abaixar Preço",AND(AU225/(AE225/12)&gt;14,AU225/(AE225/12)&lt;=20),"Estabilizando",AU225/(AE225/12)&gt;20,"Instavel"),"Instavel")</f>
        <v>Sem Produto</v>
      </c>
      <c r="AN225" s="1" t="str">
        <f>IF(SUMIF(vendaAno[data],SituaçãoEstoqueFluxo[[#This Row],[data]],vendaAno[estoque])=0,"Algo errado",IF(AND(AX225/AW225&gt;0,AX225/AW225&lt;=1),"Alerta",IF(AND(AX225/AW225&gt;1,AX225/AW225&lt;=1.5),"Fazer pedido",IF(AND(AX225/AW225&gt;1.5,AX225/AW225&lt;=2),"Ok",IF(AND(AX225/AW225&gt;2,AX225/AW225&lt;=2.5),"Estabilizando",IF(AND(AX225/AW225&gt;2.5,AX225/AW225&lt;=3),"Cheio","Abaixar preço"))))))</f>
        <v>Algo errado</v>
      </c>
      <c r="AO22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5" s="116">
        <f t="shared" si="12"/>
        <v>46009</v>
      </c>
      <c r="AQ22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5" s="82" cm="1">
        <f t="array" aca="1" ref="AV2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5" s="82" cm="1">
        <f t="array" aca="1" ref="AW2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5" s="82">
        <f>SUM(FluxoEstoqueDateTime[[#This Row],[OVO BRANCO A]:[OVO BRANCO JUMBO]])</f>
        <v>0</v>
      </c>
    </row>
    <row r="226" spans="1:50" x14ac:dyDescent="0.25">
      <c r="A226" s="4" t="s">
        <v>20</v>
      </c>
      <c r="B226" s="55" t="s">
        <v>13</v>
      </c>
      <c r="C226" s="5">
        <v>9</v>
      </c>
      <c r="D226" s="56">
        <v>20</v>
      </c>
      <c r="E226" s="56">
        <v>180</v>
      </c>
      <c r="F226" s="157">
        <v>46184</v>
      </c>
      <c r="G226" s="4" t="s">
        <v>294</v>
      </c>
      <c r="H226" s="4" t="s">
        <v>148</v>
      </c>
      <c r="I226" s="153">
        <v>32.64</v>
      </c>
      <c r="J226" s="12">
        <v>0.18132716049382708</v>
      </c>
      <c r="Z226" s="116">
        <f t="shared" si="10"/>
        <v>46008</v>
      </c>
      <c r="AA22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6" s="116">
        <f t="shared" si="11"/>
        <v>46008</v>
      </c>
      <c r="AI226" s="1" t="str" cm="1">
        <f t="array" ref="AI226">IFERROR(_xlfn.IFS(AQ226="","Sem Produto",AND(AQ226/(AA226/12)&gt;0,AQ226/(AA226/12)&lt;=2),"Acabando",AND(AQ226/(AA226/12)&gt;2,AQ226/(AA226/12)&lt;=3),"Fazer Pedido",AND(AQ226/(AA226/12)&gt;3,AQ226/(AA226/12)&lt;=7),"OK",AND(AQ226/(AA226/12)&gt;7,AQ226/(AA226/12)&lt;=14),"Abaixar Preço",AND(AQ226/(AA226/12)&gt;14,AQ226/(AA226/12)&lt;=20),"Estabilizando",AQ226/(AA226/12)&gt;20,"Instavel"),"Instavel")</f>
        <v>Sem Produto</v>
      </c>
      <c r="AJ226" s="1" t="str" cm="1">
        <f t="array" ref="AJ226">IFERROR(_xlfn.IFS(AR226="","Sem Produto",AND(AR226/(AB226/12)&gt;0,AR226/(AB226/12)&lt;=2),"Acabando",AND(AR226/(AB226/12)&gt;2,AR226/(AB226/12)&lt;=3),"Fazer Pedido",AND(AR226/(AB226/12)&gt;3,AR226/(AB226/12)&lt;=7),"OK",AND(AR226/(AB226/12)&gt;7,AR226/(AB226/12)&lt;=14),"Abaixar Preço",AND(AR226/(AB226/12)&gt;14,AR226/(AB226/12)&lt;=20),"Estabilizando",AR226/(AB226/12)&gt;20,"Instavel"),"Instavel")</f>
        <v>Sem Produto</v>
      </c>
      <c r="AK226" s="1" t="str" cm="1">
        <f t="array" ref="AK226">IFERROR(_xlfn.IFS(AS226="","Sem Produto",AND(AS226/(AC226/12)&gt;0,AS226/(AC226/12)&lt;=2),"Acabando",AND(AS226/(AC226/12)&gt;2,AS226/(AC226/12)&lt;=3),"Fazer Pedido",AND(AS226/(AC226/12)&gt;3,AS226/(AC226/12)&lt;=7),"OK",AND(AS226/(AC226/12)&gt;7,AS226/(AC226/12)&lt;=14),"Abaixar Preço",AND(AS226/(AC226/12)&gt;14,AS226/(AC226/12)&lt;=20),"Estabilizando",AS226/(AC226/12)&gt;20,"Instavel"),"Instavel")</f>
        <v>Sem Produto</v>
      </c>
      <c r="AL226" s="1" t="str" cm="1">
        <f t="array" ref="AL226">IFERROR(_xlfn.IFS(AT226="","Sem Produto",AND(AT226/(AD226/12)&gt;0,AT226/(AD226/12)&lt;=2),"Acabando",AND(AT226/(AD226/12)&gt;2,AT226/(AD226/12)&lt;=3),"Fazer Pedido",AND(AT226/(AD226/12)&gt;3,AT226/(AD226/12)&lt;=7),"OK",AND(AT226/(AD226/12)&gt;7,AT226/(AD226/12)&lt;=14),"Abaixar Preço",AND(AT226/(AD226/12)&gt;14,AT226/(AD226/12)&lt;=20),"Estabilizando",AT226/(AD226/12)&gt;20,"Instavel"),"Instavel")</f>
        <v>Sem Produto</v>
      </c>
      <c r="AM226" s="1" t="str" cm="1">
        <f t="array" ref="AM226">IFERROR(_xlfn.IFS(AU226="","Sem Produto",AND(AU226/(AE226/12)&gt;0,AU226/(AE226/12)&lt;=2),"Acabando",AND(AU226/(AE226/12)&gt;2,AU226/(AE226/12)&lt;=3),"Fazer Pedido",AND(AU226/(AE226/12)&gt;3,AU226/(AE226/12)&lt;=7),"OK",AND(AU226/(AE226/12)&gt;7,AU226/(AE226/12)&lt;=14),"Abaixar Preço",AND(AU226/(AE226/12)&gt;14,AU226/(AE226/12)&lt;=20),"Estabilizando",AU226/(AE226/12)&gt;20,"Instavel"),"Instavel")</f>
        <v>Sem Produto</v>
      </c>
      <c r="AN226" s="1" t="str">
        <f>IF(SUMIF(vendaAno[data],SituaçãoEstoqueFluxo[[#This Row],[data]],vendaAno[estoque])=0,"Algo errado",IF(AND(AX226/AW226&gt;0,AX226/AW226&lt;=1),"Alerta",IF(AND(AX226/AW226&gt;1,AX226/AW226&lt;=1.5),"Fazer pedido",IF(AND(AX226/AW226&gt;1.5,AX226/AW226&lt;=2),"Ok",IF(AND(AX226/AW226&gt;2,AX226/AW226&lt;=2.5),"Estabilizando",IF(AND(AX226/AW226&gt;2.5,AX226/AW226&lt;=3),"Cheio","Abaixar preço"))))))</f>
        <v>Algo errado</v>
      </c>
      <c r="AO22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6" s="116">
        <f t="shared" si="12"/>
        <v>46008</v>
      </c>
      <c r="AQ22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6" s="82" cm="1">
        <f t="array" aca="1" ref="AV2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6" s="82" cm="1">
        <f t="array" aca="1" ref="AW2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6" s="82">
        <f>SUM(FluxoEstoqueDateTime[[#This Row],[OVO BRANCO A]:[OVO BRANCO JUMBO]])</f>
        <v>0</v>
      </c>
    </row>
    <row r="227" spans="1:50" x14ac:dyDescent="0.25">
      <c r="A227" s="4" t="s">
        <v>20</v>
      </c>
      <c r="B227" s="55" t="s">
        <v>11</v>
      </c>
      <c r="C227" s="5">
        <v>4</v>
      </c>
      <c r="D227" s="56">
        <v>17</v>
      </c>
      <c r="E227" s="56">
        <v>68</v>
      </c>
      <c r="F227" s="157">
        <v>46184</v>
      </c>
      <c r="G227" s="4" t="s">
        <v>294</v>
      </c>
      <c r="H227" s="4" t="s">
        <v>148</v>
      </c>
      <c r="I227" s="153">
        <v>9.18</v>
      </c>
      <c r="J227" s="12">
        <v>0.13505046989209896</v>
      </c>
      <c r="Z227" s="116">
        <f t="shared" si="10"/>
        <v>46007</v>
      </c>
      <c r="AA22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7" s="116">
        <f t="shared" si="11"/>
        <v>46007</v>
      </c>
      <c r="AI227" s="1" t="str" cm="1">
        <f t="array" ref="AI227">IFERROR(_xlfn.IFS(AQ227="","Sem Produto",AND(AQ227/(AA227/12)&gt;0,AQ227/(AA227/12)&lt;=2),"Acabando",AND(AQ227/(AA227/12)&gt;2,AQ227/(AA227/12)&lt;=3),"Fazer Pedido",AND(AQ227/(AA227/12)&gt;3,AQ227/(AA227/12)&lt;=7),"OK",AND(AQ227/(AA227/12)&gt;7,AQ227/(AA227/12)&lt;=14),"Abaixar Preço",AND(AQ227/(AA227/12)&gt;14,AQ227/(AA227/12)&lt;=20),"Estabilizando",AQ227/(AA227/12)&gt;20,"Instavel"),"Instavel")</f>
        <v>Sem Produto</v>
      </c>
      <c r="AJ227" s="1" t="str" cm="1">
        <f t="array" ref="AJ227">IFERROR(_xlfn.IFS(AR227="","Sem Produto",AND(AR227/(AB227/12)&gt;0,AR227/(AB227/12)&lt;=2),"Acabando",AND(AR227/(AB227/12)&gt;2,AR227/(AB227/12)&lt;=3),"Fazer Pedido",AND(AR227/(AB227/12)&gt;3,AR227/(AB227/12)&lt;=7),"OK",AND(AR227/(AB227/12)&gt;7,AR227/(AB227/12)&lt;=14),"Abaixar Preço",AND(AR227/(AB227/12)&gt;14,AR227/(AB227/12)&lt;=20),"Estabilizando",AR227/(AB227/12)&gt;20,"Instavel"),"Instavel")</f>
        <v>Sem Produto</v>
      </c>
      <c r="AK227" s="1" t="str" cm="1">
        <f t="array" ref="AK227">IFERROR(_xlfn.IFS(AS227="","Sem Produto",AND(AS227/(AC227/12)&gt;0,AS227/(AC227/12)&lt;=2),"Acabando",AND(AS227/(AC227/12)&gt;2,AS227/(AC227/12)&lt;=3),"Fazer Pedido",AND(AS227/(AC227/12)&gt;3,AS227/(AC227/12)&lt;=7),"OK",AND(AS227/(AC227/12)&gt;7,AS227/(AC227/12)&lt;=14),"Abaixar Preço",AND(AS227/(AC227/12)&gt;14,AS227/(AC227/12)&lt;=20),"Estabilizando",AS227/(AC227/12)&gt;20,"Instavel"),"Instavel")</f>
        <v>Sem Produto</v>
      </c>
      <c r="AL227" s="1" t="str" cm="1">
        <f t="array" ref="AL227">IFERROR(_xlfn.IFS(AT227="","Sem Produto",AND(AT227/(AD227/12)&gt;0,AT227/(AD227/12)&lt;=2),"Acabando",AND(AT227/(AD227/12)&gt;2,AT227/(AD227/12)&lt;=3),"Fazer Pedido",AND(AT227/(AD227/12)&gt;3,AT227/(AD227/12)&lt;=7),"OK",AND(AT227/(AD227/12)&gt;7,AT227/(AD227/12)&lt;=14),"Abaixar Preço",AND(AT227/(AD227/12)&gt;14,AT227/(AD227/12)&lt;=20),"Estabilizando",AT227/(AD227/12)&gt;20,"Instavel"),"Instavel")</f>
        <v>Sem Produto</v>
      </c>
      <c r="AM227" s="1" t="str" cm="1">
        <f t="array" ref="AM227">IFERROR(_xlfn.IFS(AU227="","Sem Produto",AND(AU227/(AE227/12)&gt;0,AU227/(AE227/12)&lt;=2),"Acabando",AND(AU227/(AE227/12)&gt;2,AU227/(AE227/12)&lt;=3),"Fazer Pedido",AND(AU227/(AE227/12)&gt;3,AU227/(AE227/12)&lt;=7),"OK",AND(AU227/(AE227/12)&gt;7,AU227/(AE227/12)&lt;=14),"Abaixar Preço",AND(AU227/(AE227/12)&gt;14,AU227/(AE227/12)&lt;=20),"Estabilizando",AU227/(AE227/12)&gt;20,"Instavel"),"Instavel")</f>
        <v>Sem Produto</v>
      </c>
      <c r="AN227" s="1" t="str">
        <f>IF(SUMIF(vendaAno[data],SituaçãoEstoqueFluxo[[#This Row],[data]],vendaAno[estoque])=0,"Algo errado",IF(AND(AX227/AW227&gt;0,AX227/AW227&lt;=1),"Alerta",IF(AND(AX227/AW227&gt;1,AX227/AW227&lt;=1.5),"Fazer pedido",IF(AND(AX227/AW227&gt;1.5,AX227/AW227&lt;=2),"Ok",IF(AND(AX227/AW227&gt;2,AX227/AW227&lt;=2.5),"Estabilizando",IF(AND(AX227/AW227&gt;2.5,AX227/AW227&lt;=3),"Cheio","Abaixar preço"))))))</f>
        <v>Algo errado</v>
      </c>
      <c r="AO22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7" s="116">
        <f t="shared" si="12"/>
        <v>46007</v>
      </c>
      <c r="AQ22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7" s="82" cm="1">
        <f t="array" aca="1" ref="AV2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7" s="82" cm="1">
        <f t="array" aca="1" ref="AW2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7" s="82">
        <f>SUM(FluxoEstoqueDateTime[[#This Row],[OVO BRANCO A]:[OVO BRANCO JUMBO]])</f>
        <v>0</v>
      </c>
    </row>
    <row r="228" spans="1:50" x14ac:dyDescent="0.25">
      <c r="A228" s="4" t="s">
        <v>20</v>
      </c>
      <c r="B228" s="55" t="s">
        <v>10</v>
      </c>
      <c r="C228" s="5">
        <v>16</v>
      </c>
      <c r="D228" s="56">
        <v>18</v>
      </c>
      <c r="E228" s="56">
        <v>288</v>
      </c>
      <c r="F228" s="157">
        <v>46184</v>
      </c>
      <c r="G228" s="4" t="s">
        <v>294</v>
      </c>
      <c r="H228" s="4" t="s">
        <v>148</v>
      </c>
      <c r="I228" s="153">
        <v>40.909999999999997</v>
      </c>
      <c r="J228" s="12">
        <v>0.14203841333096159</v>
      </c>
      <c r="Z228" s="116">
        <f t="shared" si="10"/>
        <v>46006</v>
      </c>
      <c r="AA22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8" s="116">
        <f t="shared" si="11"/>
        <v>46006</v>
      </c>
      <c r="AI228" s="1" t="str" cm="1">
        <f t="array" ref="AI228">IFERROR(_xlfn.IFS(AQ228="","Sem Produto",AND(AQ228/(AA228/12)&gt;0,AQ228/(AA228/12)&lt;=2),"Acabando",AND(AQ228/(AA228/12)&gt;2,AQ228/(AA228/12)&lt;=3),"Fazer Pedido",AND(AQ228/(AA228/12)&gt;3,AQ228/(AA228/12)&lt;=7),"OK",AND(AQ228/(AA228/12)&gt;7,AQ228/(AA228/12)&lt;=14),"Abaixar Preço",AND(AQ228/(AA228/12)&gt;14,AQ228/(AA228/12)&lt;=20),"Estabilizando",AQ228/(AA228/12)&gt;20,"Instavel"),"Instavel")</f>
        <v>Sem Produto</v>
      </c>
      <c r="AJ228" s="1" t="str" cm="1">
        <f t="array" ref="AJ228">IFERROR(_xlfn.IFS(AR228="","Sem Produto",AND(AR228/(AB228/12)&gt;0,AR228/(AB228/12)&lt;=2),"Acabando",AND(AR228/(AB228/12)&gt;2,AR228/(AB228/12)&lt;=3),"Fazer Pedido",AND(AR228/(AB228/12)&gt;3,AR228/(AB228/12)&lt;=7),"OK",AND(AR228/(AB228/12)&gt;7,AR228/(AB228/12)&lt;=14),"Abaixar Preço",AND(AR228/(AB228/12)&gt;14,AR228/(AB228/12)&lt;=20),"Estabilizando",AR228/(AB228/12)&gt;20,"Instavel"),"Instavel")</f>
        <v>Sem Produto</v>
      </c>
      <c r="AK228" s="1" t="str" cm="1">
        <f t="array" ref="AK228">IFERROR(_xlfn.IFS(AS228="","Sem Produto",AND(AS228/(AC228/12)&gt;0,AS228/(AC228/12)&lt;=2),"Acabando",AND(AS228/(AC228/12)&gt;2,AS228/(AC228/12)&lt;=3),"Fazer Pedido",AND(AS228/(AC228/12)&gt;3,AS228/(AC228/12)&lt;=7),"OK",AND(AS228/(AC228/12)&gt;7,AS228/(AC228/12)&lt;=14),"Abaixar Preço",AND(AS228/(AC228/12)&gt;14,AS228/(AC228/12)&lt;=20),"Estabilizando",AS228/(AC228/12)&gt;20,"Instavel"),"Instavel")</f>
        <v>Sem Produto</v>
      </c>
      <c r="AL228" s="1" t="str" cm="1">
        <f t="array" ref="AL228">IFERROR(_xlfn.IFS(AT228="","Sem Produto",AND(AT228/(AD228/12)&gt;0,AT228/(AD228/12)&lt;=2),"Acabando",AND(AT228/(AD228/12)&gt;2,AT228/(AD228/12)&lt;=3),"Fazer Pedido",AND(AT228/(AD228/12)&gt;3,AT228/(AD228/12)&lt;=7),"OK",AND(AT228/(AD228/12)&gt;7,AT228/(AD228/12)&lt;=14),"Abaixar Preço",AND(AT228/(AD228/12)&gt;14,AT228/(AD228/12)&lt;=20),"Estabilizando",AT228/(AD228/12)&gt;20,"Instavel"),"Instavel")</f>
        <v>Sem Produto</v>
      </c>
      <c r="AM228" s="1" t="str" cm="1">
        <f t="array" ref="AM228">IFERROR(_xlfn.IFS(AU228="","Sem Produto",AND(AU228/(AE228/12)&gt;0,AU228/(AE228/12)&lt;=2),"Acabando",AND(AU228/(AE228/12)&gt;2,AU228/(AE228/12)&lt;=3),"Fazer Pedido",AND(AU228/(AE228/12)&gt;3,AU228/(AE228/12)&lt;=7),"OK",AND(AU228/(AE228/12)&gt;7,AU228/(AE228/12)&lt;=14),"Abaixar Preço",AND(AU228/(AE228/12)&gt;14,AU228/(AE228/12)&lt;=20),"Estabilizando",AU228/(AE228/12)&gt;20,"Instavel"),"Instavel")</f>
        <v>Sem Produto</v>
      </c>
      <c r="AN228" s="1" t="str">
        <f>IF(SUMIF(vendaAno[data],SituaçãoEstoqueFluxo[[#This Row],[data]],vendaAno[estoque])=0,"Algo errado",IF(AND(AX228/AW228&gt;0,AX228/AW228&lt;=1),"Alerta",IF(AND(AX228/AW228&gt;1,AX228/AW228&lt;=1.5),"Fazer pedido",IF(AND(AX228/AW228&gt;1.5,AX228/AW228&lt;=2),"Ok",IF(AND(AX228/AW228&gt;2,AX228/AW228&lt;=2.5),"Estabilizando",IF(AND(AX228/AW228&gt;2.5,AX228/AW228&lt;=3),"Cheio","Abaixar preço"))))))</f>
        <v>Algo errado</v>
      </c>
      <c r="AO22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8" s="116">
        <f t="shared" si="12"/>
        <v>46006</v>
      </c>
      <c r="AQ22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8" s="82" cm="1">
        <f t="array" aca="1" ref="AV2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8" s="82" cm="1">
        <f t="array" aca="1" ref="AW2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8" s="82">
        <f>SUM(FluxoEstoqueDateTime[[#This Row],[OVO BRANCO A]:[OVO BRANCO JUMBO]])</f>
        <v>0</v>
      </c>
    </row>
    <row r="229" spans="1:50" x14ac:dyDescent="0.25">
      <c r="A229" s="4" t="s">
        <v>20</v>
      </c>
      <c r="B229" s="55" t="s">
        <v>13</v>
      </c>
      <c r="C229" s="5">
        <v>8</v>
      </c>
      <c r="D229" s="56">
        <v>20</v>
      </c>
      <c r="E229" s="56">
        <v>160</v>
      </c>
      <c r="F229" s="157">
        <v>46183</v>
      </c>
      <c r="G229" s="4" t="s">
        <v>32</v>
      </c>
      <c r="H229" s="4" t="s">
        <v>148</v>
      </c>
      <c r="I229" s="153">
        <v>29.01</v>
      </c>
      <c r="J229" s="12">
        <v>0.18132716049382705</v>
      </c>
      <c r="Z229" s="116">
        <f t="shared" si="10"/>
        <v>46005</v>
      </c>
      <c r="AA22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2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2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2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2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2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2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29" s="116">
        <f t="shared" si="11"/>
        <v>46005</v>
      </c>
      <c r="AI229" s="1" t="str" cm="1">
        <f t="array" ref="AI229">IFERROR(_xlfn.IFS(AQ229="","Sem Produto",AND(AQ229/(AA229/12)&gt;0,AQ229/(AA229/12)&lt;=2),"Acabando",AND(AQ229/(AA229/12)&gt;2,AQ229/(AA229/12)&lt;=3),"Fazer Pedido",AND(AQ229/(AA229/12)&gt;3,AQ229/(AA229/12)&lt;=7),"OK",AND(AQ229/(AA229/12)&gt;7,AQ229/(AA229/12)&lt;=14),"Abaixar Preço",AND(AQ229/(AA229/12)&gt;14,AQ229/(AA229/12)&lt;=20),"Estabilizando",AQ229/(AA229/12)&gt;20,"Instavel"),"Instavel")</f>
        <v>Sem Produto</v>
      </c>
      <c r="AJ229" s="1" t="str" cm="1">
        <f t="array" ref="AJ229">IFERROR(_xlfn.IFS(AR229="","Sem Produto",AND(AR229/(AB229/12)&gt;0,AR229/(AB229/12)&lt;=2),"Acabando",AND(AR229/(AB229/12)&gt;2,AR229/(AB229/12)&lt;=3),"Fazer Pedido",AND(AR229/(AB229/12)&gt;3,AR229/(AB229/12)&lt;=7),"OK",AND(AR229/(AB229/12)&gt;7,AR229/(AB229/12)&lt;=14),"Abaixar Preço",AND(AR229/(AB229/12)&gt;14,AR229/(AB229/12)&lt;=20),"Estabilizando",AR229/(AB229/12)&gt;20,"Instavel"),"Instavel")</f>
        <v>Sem Produto</v>
      </c>
      <c r="AK229" s="1" t="str" cm="1">
        <f t="array" ref="AK229">IFERROR(_xlfn.IFS(AS229="","Sem Produto",AND(AS229/(AC229/12)&gt;0,AS229/(AC229/12)&lt;=2),"Acabando",AND(AS229/(AC229/12)&gt;2,AS229/(AC229/12)&lt;=3),"Fazer Pedido",AND(AS229/(AC229/12)&gt;3,AS229/(AC229/12)&lt;=7),"OK",AND(AS229/(AC229/12)&gt;7,AS229/(AC229/12)&lt;=14),"Abaixar Preço",AND(AS229/(AC229/12)&gt;14,AS229/(AC229/12)&lt;=20),"Estabilizando",AS229/(AC229/12)&gt;20,"Instavel"),"Instavel")</f>
        <v>Sem Produto</v>
      </c>
      <c r="AL229" s="1" t="str" cm="1">
        <f t="array" ref="AL229">IFERROR(_xlfn.IFS(AT229="","Sem Produto",AND(AT229/(AD229/12)&gt;0,AT229/(AD229/12)&lt;=2),"Acabando",AND(AT229/(AD229/12)&gt;2,AT229/(AD229/12)&lt;=3),"Fazer Pedido",AND(AT229/(AD229/12)&gt;3,AT229/(AD229/12)&lt;=7),"OK",AND(AT229/(AD229/12)&gt;7,AT229/(AD229/12)&lt;=14),"Abaixar Preço",AND(AT229/(AD229/12)&gt;14,AT229/(AD229/12)&lt;=20),"Estabilizando",AT229/(AD229/12)&gt;20,"Instavel"),"Instavel")</f>
        <v>Sem Produto</v>
      </c>
      <c r="AM229" s="1" t="str" cm="1">
        <f t="array" ref="AM229">IFERROR(_xlfn.IFS(AU229="","Sem Produto",AND(AU229/(AE229/12)&gt;0,AU229/(AE229/12)&lt;=2),"Acabando",AND(AU229/(AE229/12)&gt;2,AU229/(AE229/12)&lt;=3),"Fazer Pedido",AND(AU229/(AE229/12)&gt;3,AU229/(AE229/12)&lt;=7),"OK",AND(AU229/(AE229/12)&gt;7,AU229/(AE229/12)&lt;=14),"Abaixar Preço",AND(AU229/(AE229/12)&gt;14,AU229/(AE229/12)&lt;=20),"Estabilizando",AU229/(AE229/12)&gt;20,"Instavel"),"Instavel")</f>
        <v>Sem Produto</v>
      </c>
      <c r="AN229" s="1" t="str">
        <f>IF(SUMIF(vendaAno[data],SituaçãoEstoqueFluxo[[#This Row],[data]],vendaAno[estoque])=0,"Algo errado",IF(AND(AX229/AW229&gt;0,AX229/AW229&lt;=1),"Alerta",IF(AND(AX229/AW229&gt;1,AX229/AW229&lt;=1.5),"Fazer pedido",IF(AND(AX229/AW229&gt;1.5,AX229/AW229&lt;=2),"Ok",IF(AND(AX229/AW229&gt;2,AX229/AW229&lt;=2.5),"Estabilizando",IF(AND(AX229/AW229&gt;2.5,AX229/AW229&lt;=3),"Cheio","Abaixar preço"))))))</f>
        <v>Algo errado</v>
      </c>
      <c r="AO22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29" s="116">
        <f t="shared" si="12"/>
        <v>46005</v>
      </c>
      <c r="AQ22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2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2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2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2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29" s="82" cm="1">
        <f t="array" aca="1" ref="AV2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29" s="82" cm="1">
        <f t="array" aca="1" ref="AW2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29" s="82">
        <f>SUM(FluxoEstoqueDateTime[[#This Row],[OVO BRANCO A]:[OVO BRANCO JUMBO]])</f>
        <v>0</v>
      </c>
    </row>
    <row r="230" spans="1:50" x14ac:dyDescent="0.25">
      <c r="A230" s="4" t="s">
        <v>20</v>
      </c>
      <c r="B230" s="55" t="s">
        <v>12</v>
      </c>
      <c r="C230" s="5">
        <v>2</v>
      </c>
      <c r="D230" s="56">
        <v>16</v>
      </c>
      <c r="E230" s="56">
        <v>32</v>
      </c>
      <c r="F230" s="157">
        <v>46183</v>
      </c>
      <c r="G230" s="4" t="s">
        <v>32</v>
      </c>
      <c r="H230" s="4" t="s">
        <v>148</v>
      </c>
      <c r="I230" s="153">
        <v>4.33</v>
      </c>
      <c r="J230" s="12">
        <v>0.13541666666666652</v>
      </c>
      <c r="Z230" s="116">
        <f t="shared" si="10"/>
        <v>46004</v>
      </c>
      <c r="AA23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0" s="116">
        <f t="shared" si="11"/>
        <v>46004</v>
      </c>
      <c r="AI230" s="1" t="str" cm="1">
        <f t="array" ref="AI230">IFERROR(_xlfn.IFS(AQ230="","Sem Produto",AND(AQ230/(AA230/12)&gt;0,AQ230/(AA230/12)&lt;=2),"Acabando",AND(AQ230/(AA230/12)&gt;2,AQ230/(AA230/12)&lt;=3),"Fazer Pedido",AND(AQ230/(AA230/12)&gt;3,AQ230/(AA230/12)&lt;=7),"OK",AND(AQ230/(AA230/12)&gt;7,AQ230/(AA230/12)&lt;=14),"Abaixar Preço",AND(AQ230/(AA230/12)&gt;14,AQ230/(AA230/12)&lt;=20),"Estabilizando",AQ230/(AA230/12)&gt;20,"Instavel"),"Instavel")</f>
        <v>Sem Produto</v>
      </c>
      <c r="AJ230" s="1" t="str" cm="1">
        <f t="array" ref="AJ230">IFERROR(_xlfn.IFS(AR230="","Sem Produto",AND(AR230/(AB230/12)&gt;0,AR230/(AB230/12)&lt;=2),"Acabando",AND(AR230/(AB230/12)&gt;2,AR230/(AB230/12)&lt;=3),"Fazer Pedido",AND(AR230/(AB230/12)&gt;3,AR230/(AB230/12)&lt;=7),"OK",AND(AR230/(AB230/12)&gt;7,AR230/(AB230/12)&lt;=14),"Abaixar Preço",AND(AR230/(AB230/12)&gt;14,AR230/(AB230/12)&lt;=20),"Estabilizando",AR230/(AB230/12)&gt;20,"Instavel"),"Instavel")</f>
        <v>Sem Produto</v>
      </c>
      <c r="AK230" s="1" t="str" cm="1">
        <f t="array" ref="AK230">IFERROR(_xlfn.IFS(AS230="","Sem Produto",AND(AS230/(AC230/12)&gt;0,AS230/(AC230/12)&lt;=2),"Acabando",AND(AS230/(AC230/12)&gt;2,AS230/(AC230/12)&lt;=3),"Fazer Pedido",AND(AS230/(AC230/12)&gt;3,AS230/(AC230/12)&lt;=7),"OK",AND(AS230/(AC230/12)&gt;7,AS230/(AC230/12)&lt;=14),"Abaixar Preço",AND(AS230/(AC230/12)&gt;14,AS230/(AC230/12)&lt;=20),"Estabilizando",AS230/(AC230/12)&gt;20,"Instavel"),"Instavel")</f>
        <v>Sem Produto</v>
      </c>
      <c r="AL230" s="1" t="str" cm="1">
        <f t="array" ref="AL230">IFERROR(_xlfn.IFS(AT230="","Sem Produto",AND(AT230/(AD230/12)&gt;0,AT230/(AD230/12)&lt;=2),"Acabando",AND(AT230/(AD230/12)&gt;2,AT230/(AD230/12)&lt;=3),"Fazer Pedido",AND(AT230/(AD230/12)&gt;3,AT230/(AD230/12)&lt;=7),"OK",AND(AT230/(AD230/12)&gt;7,AT230/(AD230/12)&lt;=14),"Abaixar Preço",AND(AT230/(AD230/12)&gt;14,AT230/(AD230/12)&lt;=20),"Estabilizando",AT230/(AD230/12)&gt;20,"Instavel"),"Instavel")</f>
        <v>Sem Produto</v>
      </c>
      <c r="AM230" s="1" t="str" cm="1">
        <f t="array" ref="AM230">IFERROR(_xlfn.IFS(AU230="","Sem Produto",AND(AU230/(AE230/12)&gt;0,AU230/(AE230/12)&lt;=2),"Acabando",AND(AU230/(AE230/12)&gt;2,AU230/(AE230/12)&lt;=3),"Fazer Pedido",AND(AU230/(AE230/12)&gt;3,AU230/(AE230/12)&lt;=7),"OK",AND(AU230/(AE230/12)&gt;7,AU230/(AE230/12)&lt;=14),"Abaixar Preço",AND(AU230/(AE230/12)&gt;14,AU230/(AE230/12)&lt;=20),"Estabilizando",AU230/(AE230/12)&gt;20,"Instavel"),"Instavel")</f>
        <v>Sem Produto</v>
      </c>
      <c r="AN230" s="1" t="str">
        <f>IF(SUMIF(vendaAno[data],SituaçãoEstoqueFluxo[[#This Row],[data]],vendaAno[estoque])=0,"Algo errado",IF(AND(AX230/AW230&gt;0,AX230/AW230&lt;=1),"Alerta",IF(AND(AX230/AW230&gt;1,AX230/AW230&lt;=1.5),"Fazer pedido",IF(AND(AX230/AW230&gt;1.5,AX230/AW230&lt;=2),"Ok",IF(AND(AX230/AW230&gt;2,AX230/AW230&lt;=2.5),"Estabilizando",IF(AND(AX230/AW230&gt;2.5,AX230/AW230&lt;=3),"Cheio","Abaixar preço"))))))</f>
        <v>Algo errado</v>
      </c>
      <c r="AO23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0" s="116">
        <f t="shared" si="12"/>
        <v>46004</v>
      </c>
      <c r="AQ23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0" s="82" cm="1">
        <f t="array" aca="1" ref="AV2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0" s="82" cm="1">
        <f t="array" aca="1" ref="AW2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0" s="82">
        <f>SUM(FluxoEstoqueDateTime[[#This Row],[OVO BRANCO A]:[OVO BRANCO JUMBO]])</f>
        <v>0</v>
      </c>
    </row>
    <row r="231" spans="1:50" x14ac:dyDescent="0.25">
      <c r="A231" s="4" t="s">
        <v>20</v>
      </c>
      <c r="B231" s="55" t="s">
        <v>11</v>
      </c>
      <c r="C231" s="5">
        <v>2</v>
      </c>
      <c r="D231" s="56">
        <v>17</v>
      </c>
      <c r="E231" s="56">
        <v>34</v>
      </c>
      <c r="F231" s="157">
        <v>46183</v>
      </c>
      <c r="G231" s="4" t="s">
        <v>32</v>
      </c>
      <c r="H231" s="4" t="s">
        <v>148</v>
      </c>
      <c r="I231" s="153">
        <v>4.59</v>
      </c>
      <c r="J231" s="12">
        <v>0.13505046989209896</v>
      </c>
      <c r="Z231" s="116">
        <f t="shared" si="10"/>
        <v>46003</v>
      </c>
      <c r="AA23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1" s="116">
        <f t="shared" si="11"/>
        <v>46003</v>
      </c>
      <c r="AI231" s="1" t="str" cm="1">
        <f t="array" ref="AI231">IFERROR(_xlfn.IFS(AQ231="","Sem Produto",AND(AQ231/(AA231/12)&gt;0,AQ231/(AA231/12)&lt;=2),"Acabando",AND(AQ231/(AA231/12)&gt;2,AQ231/(AA231/12)&lt;=3),"Fazer Pedido",AND(AQ231/(AA231/12)&gt;3,AQ231/(AA231/12)&lt;=7),"OK",AND(AQ231/(AA231/12)&gt;7,AQ231/(AA231/12)&lt;=14),"Abaixar Preço",AND(AQ231/(AA231/12)&gt;14,AQ231/(AA231/12)&lt;=20),"Estabilizando",AQ231/(AA231/12)&gt;20,"Instavel"),"Instavel")</f>
        <v>Sem Produto</v>
      </c>
      <c r="AJ231" s="1" t="str" cm="1">
        <f t="array" ref="AJ231">IFERROR(_xlfn.IFS(AR231="","Sem Produto",AND(AR231/(AB231/12)&gt;0,AR231/(AB231/12)&lt;=2),"Acabando",AND(AR231/(AB231/12)&gt;2,AR231/(AB231/12)&lt;=3),"Fazer Pedido",AND(AR231/(AB231/12)&gt;3,AR231/(AB231/12)&lt;=7),"OK",AND(AR231/(AB231/12)&gt;7,AR231/(AB231/12)&lt;=14),"Abaixar Preço",AND(AR231/(AB231/12)&gt;14,AR231/(AB231/12)&lt;=20),"Estabilizando",AR231/(AB231/12)&gt;20,"Instavel"),"Instavel")</f>
        <v>Sem Produto</v>
      </c>
      <c r="AK231" s="1" t="str" cm="1">
        <f t="array" ref="AK231">IFERROR(_xlfn.IFS(AS231="","Sem Produto",AND(AS231/(AC231/12)&gt;0,AS231/(AC231/12)&lt;=2),"Acabando",AND(AS231/(AC231/12)&gt;2,AS231/(AC231/12)&lt;=3),"Fazer Pedido",AND(AS231/(AC231/12)&gt;3,AS231/(AC231/12)&lt;=7),"OK",AND(AS231/(AC231/12)&gt;7,AS231/(AC231/12)&lt;=14),"Abaixar Preço",AND(AS231/(AC231/12)&gt;14,AS231/(AC231/12)&lt;=20),"Estabilizando",AS231/(AC231/12)&gt;20,"Instavel"),"Instavel")</f>
        <v>Sem Produto</v>
      </c>
      <c r="AL231" s="1" t="str" cm="1">
        <f t="array" ref="AL231">IFERROR(_xlfn.IFS(AT231="","Sem Produto",AND(AT231/(AD231/12)&gt;0,AT231/(AD231/12)&lt;=2),"Acabando",AND(AT231/(AD231/12)&gt;2,AT231/(AD231/12)&lt;=3),"Fazer Pedido",AND(AT231/(AD231/12)&gt;3,AT231/(AD231/12)&lt;=7),"OK",AND(AT231/(AD231/12)&gt;7,AT231/(AD231/12)&lt;=14),"Abaixar Preço",AND(AT231/(AD231/12)&gt;14,AT231/(AD231/12)&lt;=20),"Estabilizando",AT231/(AD231/12)&gt;20,"Instavel"),"Instavel")</f>
        <v>Sem Produto</v>
      </c>
      <c r="AM231" s="1" t="str" cm="1">
        <f t="array" ref="AM231">IFERROR(_xlfn.IFS(AU231="","Sem Produto",AND(AU231/(AE231/12)&gt;0,AU231/(AE231/12)&lt;=2),"Acabando",AND(AU231/(AE231/12)&gt;2,AU231/(AE231/12)&lt;=3),"Fazer Pedido",AND(AU231/(AE231/12)&gt;3,AU231/(AE231/12)&lt;=7),"OK",AND(AU231/(AE231/12)&gt;7,AU231/(AE231/12)&lt;=14),"Abaixar Preço",AND(AU231/(AE231/12)&gt;14,AU231/(AE231/12)&lt;=20),"Estabilizando",AU231/(AE231/12)&gt;20,"Instavel"),"Instavel")</f>
        <v>Sem Produto</v>
      </c>
      <c r="AN231" s="1" t="str">
        <f>IF(SUMIF(vendaAno[data],SituaçãoEstoqueFluxo[[#This Row],[data]],vendaAno[estoque])=0,"Algo errado",IF(AND(AX231/AW231&gt;0,AX231/AW231&lt;=1),"Alerta",IF(AND(AX231/AW231&gt;1,AX231/AW231&lt;=1.5),"Fazer pedido",IF(AND(AX231/AW231&gt;1.5,AX231/AW231&lt;=2),"Ok",IF(AND(AX231/AW231&gt;2,AX231/AW231&lt;=2.5),"Estabilizando",IF(AND(AX231/AW231&gt;2.5,AX231/AW231&lt;=3),"Cheio","Abaixar preço"))))))</f>
        <v>Algo errado</v>
      </c>
      <c r="AO23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1" s="116">
        <f t="shared" si="12"/>
        <v>46003</v>
      </c>
      <c r="AQ23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1" s="82" cm="1">
        <f t="array" aca="1" ref="AV2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1" s="82" cm="1">
        <f t="array" aca="1" ref="AW2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1" s="82">
        <f>SUM(FluxoEstoqueDateTime[[#This Row],[OVO BRANCO A]:[OVO BRANCO JUMBO]])</f>
        <v>0</v>
      </c>
    </row>
    <row r="232" spans="1:50" x14ac:dyDescent="0.25">
      <c r="A232" s="4" t="s">
        <v>20</v>
      </c>
      <c r="B232" s="55" t="s">
        <v>10</v>
      </c>
      <c r="C232" s="5">
        <v>12</v>
      </c>
      <c r="D232" s="56">
        <v>18</v>
      </c>
      <c r="E232" s="56">
        <v>210</v>
      </c>
      <c r="F232" s="157">
        <v>46183</v>
      </c>
      <c r="G232" s="4" t="s">
        <v>32</v>
      </c>
      <c r="H232" s="4" t="s">
        <v>148</v>
      </c>
      <c r="I232" s="153">
        <v>24.68</v>
      </c>
      <c r="J232" s="12">
        <v>0.11752522514041774</v>
      </c>
      <c r="Z232" s="116">
        <f t="shared" si="10"/>
        <v>46002</v>
      </c>
      <c r="AA23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2" s="116">
        <f t="shared" si="11"/>
        <v>46002</v>
      </c>
      <c r="AI232" s="1" t="str" cm="1">
        <f t="array" ref="AI232">IFERROR(_xlfn.IFS(AQ232="","Sem Produto",AND(AQ232/(AA232/12)&gt;0,AQ232/(AA232/12)&lt;=2),"Acabando",AND(AQ232/(AA232/12)&gt;2,AQ232/(AA232/12)&lt;=3),"Fazer Pedido",AND(AQ232/(AA232/12)&gt;3,AQ232/(AA232/12)&lt;=7),"OK",AND(AQ232/(AA232/12)&gt;7,AQ232/(AA232/12)&lt;=14),"Abaixar Preço",AND(AQ232/(AA232/12)&gt;14,AQ232/(AA232/12)&lt;=20),"Estabilizando",AQ232/(AA232/12)&gt;20,"Instavel"),"Instavel")</f>
        <v>Sem Produto</v>
      </c>
      <c r="AJ232" s="1" t="str" cm="1">
        <f t="array" ref="AJ232">IFERROR(_xlfn.IFS(AR232="","Sem Produto",AND(AR232/(AB232/12)&gt;0,AR232/(AB232/12)&lt;=2),"Acabando",AND(AR232/(AB232/12)&gt;2,AR232/(AB232/12)&lt;=3),"Fazer Pedido",AND(AR232/(AB232/12)&gt;3,AR232/(AB232/12)&lt;=7),"OK",AND(AR232/(AB232/12)&gt;7,AR232/(AB232/12)&lt;=14),"Abaixar Preço",AND(AR232/(AB232/12)&gt;14,AR232/(AB232/12)&lt;=20),"Estabilizando",AR232/(AB232/12)&gt;20,"Instavel"),"Instavel")</f>
        <v>Sem Produto</v>
      </c>
      <c r="AK232" s="1" t="str" cm="1">
        <f t="array" ref="AK232">IFERROR(_xlfn.IFS(AS232="","Sem Produto",AND(AS232/(AC232/12)&gt;0,AS232/(AC232/12)&lt;=2),"Acabando",AND(AS232/(AC232/12)&gt;2,AS232/(AC232/12)&lt;=3),"Fazer Pedido",AND(AS232/(AC232/12)&gt;3,AS232/(AC232/12)&lt;=7),"OK",AND(AS232/(AC232/12)&gt;7,AS232/(AC232/12)&lt;=14),"Abaixar Preço",AND(AS232/(AC232/12)&gt;14,AS232/(AC232/12)&lt;=20),"Estabilizando",AS232/(AC232/12)&gt;20,"Instavel"),"Instavel")</f>
        <v>Sem Produto</v>
      </c>
      <c r="AL232" s="1" t="str" cm="1">
        <f t="array" ref="AL232">IFERROR(_xlfn.IFS(AT232="","Sem Produto",AND(AT232/(AD232/12)&gt;0,AT232/(AD232/12)&lt;=2),"Acabando",AND(AT232/(AD232/12)&gt;2,AT232/(AD232/12)&lt;=3),"Fazer Pedido",AND(AT232/(AD232/12)&gt;3,AT232/(AD232/12)&lt;=7),"OK",AND(AT232/(AD232/12)&gt;7,AT232/(AD232/12)&lt;=14),"Abaixar Preço",AND(AT232/(AD232/12)&gt;14,AT232/(AD232/12)&lt;=20),"Estabilizando",AT232/(AD232/12)&gt;20,"Instavel"),"Instavel")</f>
        <v>Sem Produto</v>
      </c>
      <c r="AM232" s="1" t="str" cm="1">
        <f t="array" ref="AM232">IFERROR(_xlfn.IFS(AU232="","Sem Produto",AND(AU232/(AE232/12)&gt;0,AU232/(AE232/12)&lt;=2),"Acabando",AND(AU232/(AE232/12)&gt;2,AU232/(AE232/12)&lt;=3),"Fazer Pedido",AND(AU232/(AE232/12)&gt;3,AU232/(AE232/12)&lt;=7),"OK",AND(AU232/(AE232/12)&gt;7,AU232/(AE232/12)&lt;=14),"Abaixar Preço",AND(AU232/(AE232/12)&gt;14,AU232/(AE232/12)&lt;=20),"Estabilizando",AU232/(AE232/12)&gt;20,"Instavel"),"Instavel")</f>
        <v>Sem Produto</v>
      </c>
      <c r="AN232" s="1" t="str">
        <f>IF(SUMIF(vendaAno[data],SituaçãoEstoqueFluxo[[#This Row],[data]],vendaAno[estoque])=0,"Algo errado",IF(AND(AX232/AW232&gt;0,AX232/AW232&lt;=1),"Alerta",IF(AND(AX232/AW232&gt;1,AX232/AW232&lt;=1.5),"Fazer pedido",IF(AND(AX232/AW232&gt;1.5,AX232/AW232&lt;=2),"Ok",IF(AND(AX232/AW232&gt;2,AX232/AW232&lt;=2.5),"Estabilizando",IF(AND(AX232/AW232&gt;2.5,AX232/AW232&lt;=3),"Cheio","Abaixar preço"))))))</f>
        <v>Algo errado</v>
      </c>
      <c r="AO23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2" s="116">
        <f t="shared" si="12"/>
        <v>46002</v>
      </c>
      <c r="AQ23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2" s="82" cm="1">
        <f t="array" aca="1" ref="AV2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2" s="82" cm="1">
        <f t="array" aca="1" ref="AW2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2" s="82">
        <f>SUM(FluxoEstoqueDateTime[[#This Row],[OVO BRANCO A]:[OVO BRANCO JUMBO]])</f>
        <v>0</v>
      </c>
    </row>
    <row r="233" spans="1:50" x14ac:dyDescent="0.25">
      <c r="A233" s="4" t="s">
        <v>20</v>
      </c>
      <c r="B233" s="55" t="s">
        <v>13</v>
      </c>
      <c r="C233" s="5">
        <v>10</v>
      </c>
      <c r="D233" s="56">
        <v>20</v>
      </c>
      <c r="E233" s="56">
        <v>200</v>
      </c>
      <c r="F233" s="157">
        <v>46182</v>
      </c>
      <c r="G233" s="4" t="s">
        <v>290</v>
      </c>
      <c r="H233" s="4" t="s">
        <v>148</v>
      </c>
      <c r="I233" s="153">
        <v>36.270000000000003</v>
      </c>
      <c r="J233" s="12">
        <v>0.18132716049382705</v>
      </c>
      <c r="Z233" s="116">
        <f t="shared" si="10"/>
        <v>46001</v>
      </c>
      <c r="AA23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3" s="116">
        <f t="shared" si="11"/>
        <v>46001</v>
      </c>
      <c r="AI233" s="1" t="str" cm="1">
        <f t="array" ref="AI233">IFERROR(_xlfn.IFS(AQ233="","Sem Produto",AND(AQ233/(AA233/12)&gt;0,AQ233/(AA233/12)&lt;=2),"Acabando",AND(AQ233/(AA233/12)&gt;2,AQ233/(AA233/12)&lt;=3),"Fazer Pedido",AND(AQ233/(AA233/12)&gt;3,AQ233/(AA233/12)&lt;=7),"OK",AND(AQ233/(AA233/12)&gt;7,AQ233/(AA233/12)&lt;=14),"Abaixar Preço",AND(AQ233/(AA233/12)&gt;14,AQ233/(AA233/12)&lt;=20),"Estabilizando",AQ233/(AA233/12)&gt;20,"Instavel"),"Instavel")</f>
        <v>Sem Produto</v>
      </c>
      <c r="AJ233" s="1" t="str" cm="1">
        <f t="array" ref="AJ233">IFERROR(_xlfn.IFS(AR233="","Sem Produto",AND(AR233/(AB233/12)&gt;0,AR233/(AB233/12)&lt;=2),"Acabando",AND(AR233/(AB233/12)&gt;2,AR233/(AB233/12)&lt;=3),"Fazer Pedido",AND(AR233/(AB233/12)&gt;3,AR233/(AB233/12)&lt;=7),"OK",AND(AR233/(AB233/12)&gt;7,AR233/(AB233/12)&lt;=14),"Abaixar Preço",AND(AR233/(AB233/12)&gt;14,AR233/(AB233/12)&lt;=20),"Estabilizando",AR233/(AB233/12)&gt;20,"Instavel"),"Instavel")</f>
        <v>Sem Produto</v>
      </c>
      <c r="AK233" s="1" t="str" cm="1">
        <f t="array" ref="AK233">IFERROR(_xlfn.IFS(AS233="","Sem Produto",AND(AS233/(AC233/12)&gt;0,AS233/(AC233/12)&lt;=2),"Acabando",AND(AS233/(AC233/12)&gt;2,AS233/(AC233/12)&lt;=3),"Fazer Pedido",AND(AS233/(AC233/12)&gt;3,AS233/(AC233/12)&lt;=7),"OK",AND(AS233/(AC233/12)&gt;7,AS233/(AC233/12)&lt;=14),"Abaixar Preço",AND(AS233/(AC233/12)&gt;14,AS233/(AC233/12)&lt;=20),"Estabilizando",AS233/(AC233/12)&gt;20,"Instavel"),"Instavel")</f>
        <v>Sem Produto</v>
      </c>
      <c r="AL233" s="1" t="str" cm="1">
        <f t="array" ref="AL233">IFERROR(_xlfn.IFS(AT233="","Sem Produto",AND(AT233/(AD233/12)&gt;0,AT233/(AD233/12)&lt;=2),"Acabando",AND(AT233/(AD233/12)&gt;2,AT233/(AD233/12)&lt;=3),"Fazer Pedido",AND(AT233/(AD233/12)&gt;3,AT233/(AD233/12)&lt;=7),"OK",AND(AT233/(AD233/12)&gt;7,AT233/(AD233/12)&lt;=14),"Abaixar Preço",AND(AT233/(AD233/12)&gt;14,AT233/(AD233/12)&lt;=20),"Estabilizando",AT233/(AD233/12)&gt;20,"Instavel"),"Instavel")</f>
        <v>Sem Produto</v>
      </c>
      <c r="AM233" s="1" t="str" cm="1">
        <f t="array" ref="AM233">IFERROR(_xlfn.IFS(AU233="","Sem Produto",AND(AU233/(AE233/12)&gt;0,AU233/(AE233/12)&lt;=2),"Acabando",AND(AU233/(AE233/12)&gt;2,AU233/(AE233/12)&lt;=3),"Fazer Pedido",AND(AU233/(AE233/12)&gt;3,AU233/(AE233/12)&lt;=7),"OK",AND(AU233/(AE233/12)&gt;7,AU233/(AE233/12)&lt;=14),"Abaixar Preço",AND(AU233/(AE233/12)&gt;14,AU233/(AE233/12)&lt;=20),"Estabilizando",AU233/(AE233/12)&gt;20,"Instavel"),"Instavel")</f>
        <v>Sem Produto</v>
      </c>
      <c r="AN233" s="1" t="str">
        <f>IF(SUMIF(vendaAno[data],SituaçãoEstoqueFluxo[[#This Row],[data]],vendaAno[estoque])=0,"Algo errado",IF(AND(AX233/AW233&gt;0,AX233/AW233&lt;=1),"Alerta",IF(AND(AX233/AW233&gt;1,AX233/AW233&lt;=1.5),"Fazer pedido",IF(AND(AX233/AW233&gt;1.5,AX233/AW233&lt;=2),"Ok",IF(AND(AX233/AW233&gt;2,AX233/AW233&lt;=2.5),"Estabilizando",IF(AND(AX233/AW233&gt;2.5,AX233/AW233&lt;=3),"Cheio","Abaixar preço"))))))</f>
        <v>Algo errado</v>
      </c>
      <c r="AO23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3" s="116">
        <f t="shared" si="12"/>
        <v>46001</v>
      </c>
      <c r="AQ23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3" s="82" cm="1">
        <f t="array" aca="1" ref="AV2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3" s="82" cm="1">
        <f t="array" aca="1" ref="AW2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3" s="82">
        <f>SUM(FluxoEstoqueDateTime[[#This Row],[OVO BRANCO A]:[OVO BRANCO JUMBO]])</f>
        <v>0</v>
      </c>
    </row>
    <row r="234" spans="1:50" x14ac:dyDescent="0.25">
      <c r="A234" s="4" t="s">
        <v>20</v>
      </c>
      <c r="B234" s="55" t="s">
        <v>12</v>
      </c>
      <c r="C234" s="5">
        <v>1</v>
      </c>
      <c r="D234" s="56">
        <v>16</v>
      </c>
      <c r="E234" s="56">
        <v>16</v>
      </c>
      <c r="F234" s="157">
        <v>46182</v>
      </c>
      <c r="G234" s="4" t="s">
        <v>290</v>
      </c>
      <c r="H234" s="4" t="s">
        <v>148</v>
      </c>
      <c r="I234" s="153">
        <v>2.17</v>
      </c>
      <c r="J234" s="12">
        <v>0.13541666666666652</v>
      </c>
      <c r="Z234" s="116">
        <f t="shared" si="10"/>
        <v>46000</v>
      </c>
      <c r="AA23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4" s="116">
        <f t="shared" si="11"/>
        <v>46000</v>
      </c>
      <c r="AI234" s="1" t="str" cm="1">
        <f t="array" ref="AI234">IFERROR(_xlfn.IFS(AQ234="","Sem Produto",AND(AQ234/(AA234/12)&gt;0,AQ234/(AA234/12)&lt;=2),"Acabando",AND(AQ234/(AA234/12)&gt;2,AQ234/(AA234/12)&lt;=3),"Fazer Pedido",AND(AQ234/(AA234/12)&gt;3,AQ234/(AA234/12)&lt;=7),"OK",AND(AQ234/(AA234/12)&gt;7,AQ234/(AA234/12)&lt;=14),"Abaixar Preço",AND(AQ234/(AA234/12)&gt;14,AQ234/(AA234/12)&lt;=20),"Estabilizando",AQ234/(AA234/12)&gt;20,"Instavel"),"Instavel")</f>
        <v>Sem Produto</v>
      </c>
      <c r="AJ234" s="1" t="str" cm="1">
        <f t="array" ref="AJ234">IFERROR(_xlfn.IFS(AR234="","Sem Produto",AND(AR234/(AB234/12)&gt;0,AR234/(AB234/12)&lt;=2),"Acabando",AND(AR234/(AB234/12)&gt;2,AR234/(AB234/12)&lt;=3),"Fazer Pedido",AND(AR234/(AB234/12)&gt;3,AR234/(AB234/12)&lt;=7),"OK",AND(AR234/(AB234/12)&gt;7,AR234/(AB234/12)&lt;=14),"Abaixar Preço",AND(AR234/(AB234/12)&gt;14,AR234/(AB234/12)&lt;=20),"Estabilizando",AR234/(AB234/12)&gt;20,"Instavel"),"Instavel")</f>
        <v>Sem Produto</v>
      </c>
      <c r="AK234" s="1" t="str" cm="1">
        <f t="array" ref="AK234">IFERROR(_xlfn.IFS(AS234="","Sem Produto",AND(AS234/(AC234/12)&gt;0,AS234/(AC234/12)&lt;=2),"Acabando",AND(AS234/(AC234/12)&gt;2,AS234/(AC234/12)&lt;=3),"Fazer Pedido",AND(AS234/(AC234/12)&gt;3,AS234/(AC234/12)&lt;=7),"OK",AND(AS234/(AC234/12)&gt;7,AS234/(AC234/12)&lt;=14),"Abaixar Preço",AND(AS234/(AC234/12)&gt;14,AS234/(AC234/12)&lt;=20),"Estabilizando",AS234/(AC234/12)&gt;20,"Instavel"),"Instavel")</f>
        <v>Sem Produto</v>
      </c>
      <c r="AL234" s="1" t="str" cm="1">
        <f t="array" ref="AL234">IFERROR(_xlfn.IFS(AT234="","Sem Produto",AND(AT234/(AD234/12)&gt;0,AT234/(AD234/12)&lt;=2),"Acabando",AND(AT234/(AD234/12)&gt;2,AT234/(AD234/12)&lt;=3),"Fazer Pedido",AND(AT234/(AD234/12)&gt;3,AT234/(AD234/12)&lt;=7),"OK",AND(AT234/(AD234/12)&gt;7,AT234/(AD234/12)&lt;=14),"Abaixar Preço",AND(AT234/(AD234/12)&gt;14,AT234/(AD234/12)&lt;=20),"Estabilizando",AT234/(AD234/12)&gt;20,"Instavel"),"Instavel")</f>
        <v>Sem Produto</v>
      </c>
      <c r="AM234" s="1" t="str" cm="1">
        <f t="array" ref="AM234">IFERROR(_xlfn.IFS(AU234="","Sem Produto",AND(AU234/(AE234/12)&gt;0,AU234/(AE234/12)&lt;=2),"Acabando",AND(AU234/(AE234/12)&gt;2,AU234/(AE234/12)&lt;=3),"Fazer Pedido",AND(AU234/(AE234/12)&gt;3,AU234/(AE234/12)&lt;=7),"OK",AND(AU234/(AE234/12)&gt;7,AU234/(AE234/12)&lt;=14),"Abaixar Preço",AND(AU234/(AE234/12)&gt;14,AU234/(AE234/12)&lt;=20),"Estabilizando",AU234/(AE234/12)&gt;20,"Instavel"),"Instavel")</f>
        <v>Sem Produto</v>
      </c>
      <c r="AN234" s="1" t="str">
        <f>IF(SUMIF(vendaAno[data],SituaçãoEstoqueFluxo[[#This Row],[data]],vendaAno[estoque])=0,"Algo errado",IF(AND(AX234/AW234&gt;0,AX234/AW234&lt;=1),"Alerta",IF(AND(AX234/AW234&gt;1,AX234/AW234&lt;=1.5),"Fazer pedido",IF(AND(AX234/AW234&gt;1.5,AX234/AW234&lt;=2),"Ok",IF(AND(AX234/AW234&gt;2,AX234/AW234&lt;=2.5),"Estabilizando",IF(AND(AX234/AW234&gt;2.5,AX234/AW234&lt;=3),"Cheio","Abaixar preço"))))))</f>
        <v>Algo errado</v>
      </c>
      <c r="AO23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4" s="116">
        <f t="shared" si="12"/>
        <v>46000</v>
      </c>
      <c r="AQ23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4" s="82" cm="1">
        <f t="array" aca="1" ref="AV2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4" s="82" cm="1">
        <f t="array" aca="1" ref="AW2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4" s="82">
        <f>SUM(FluxoEstoqueDateTime[[#This Row],[OVO BRANCO A]:[OVO BRANCO JUMBO]])</f>
        <v>0</v>
      </c>
    </row>
    <row r="235" spans="1:50" x14ac:dyDescent="0.25">
      <c r="A235" s="4" t="s">
        <v>20</v>
      </c>
      <c r="B235" s="55" t="s">
        <v>11</v>
      </c>
      <c r="C235" s="5">
        <v>13</v>
      </c>
      <c r="D235" s="56">
        <v>17</v>
      </c>
      <c r="E235" s="56">
        <v>209</v>
      </c>
      <c r="F235" s="157">
        <v>46182</v>
      </c>
      <c r="G235" s="4" t="s">
        <v>290</v>
      </c>
      <c r="H235" s="4" t="s">
        <v>148</v>
      </c>
      <c r="I235" s="153">
        <v>17.850000000000001</v>
      </c>
      <c r="J235" s="12">
        <v>8.538829591461182E-2</v>
      </c>
      <c r="Z235" s="116">
        <f t="shared" si="10"/>
        <v>45999</v>
      </c>
      <c r="AA23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5" s="116">
        <f t="shared" si="11"/>
        <v>45999</v>
      </c>
      <c r="AI235" s="1" t="str" cm="1">
        <f t="array" ref="AI235">IFERROR(_xlfn.IFS(AQ235="","Sem Produto",AND(AQ235/(AA235/12)&gt;0,AQ235/(AA235/12)&lt;=2),"Acabando",AND(AQ235/(AA235/12)&gt;2,AQ235/(AA235/12)&lt;=3),"Fazer Pedido",AND(AQ235/(AA235/12)&gt;3,AQ235/(AA235/12)&lt;=7),"OK",AND(AQ235/(AA235/12)&gt;7,AQ235/(AA235/12)&lt;=14),"Abaixar Preço",AND(AQ235/(AA235/12)&gt;14,AQ235/(AA235/12)&lt;=20),"Estabilizando",AQ235/(AA235/12)&gt;20,"Instavel"),"Instavel")</f>
        <v>Sem Produto</v>
      </c>
      <c r="AJ235" s="1" t="str" cm="1">
        <f t="array" ref="AJ235">IFERROR(_xlfn.IFS(AR235="","Sem Produto",AND(AR235/(AB235/12)&gt;0,AR235/(AB235/12)&lt;=2),"Acabando",AND(AR235/(AB235/12)&gt;2,AR235/(AB235/12)&lt;=3),"Fazer Pedido",AND(AR235/(AB235/12)&gt;3,AR235/(AB235/12)&lt;=7),"OK",AND(AR235/(AB235/12)&gt;7,AR235/(AB235/12)&lt;=14),"Abaixar Preço",AND(AR235/(AB235/12)&gt;14,AR235/(AB235/12)&lt;=20),"Estabilizando",AR235/(AB235/12)&gt;20,"Instavel"),"Instavel")</f>
        <v>Sem Produto</v>
      </c>
      <c r="AK235" s="1" t="str" cm="1">
        <f t="array" ref="AK235">IFERROR(_xlfn.IFS(AS235="","Sem Produto",AND(AS235/(AC235/12)&gt;0,AS235/(AC235/12)&lt;=2),"Acabando",AND(AS235/(AC235/12)&gt;2,AS235/(AC235/12)&lt;=3),"Fazer Pedido",AND(AS235/(AC235/12)&gt;3,AS235/(AC235/12)&lt;=7),"OK",AND(AS235/(AC235/12)&gt;7,AS235/(AC235/12)&lt;=14),"Abaixar Preço",AND(AS235/(AC235/12)&gt;14,AS235/(AC235/12)&lt;=20),"Estabilizando",AS235/(AC235/12)&gt;20,"Instavel"),"Instavel")</f>
        <v>Sem Produto</v>
      </c>
      <c r="AL235" s="1" t="str" cm="1">
        <f t="array" ref="AL235">IFERROR(_xlfn.IFS(AT235="","Sem Produto",AND(AT235/(AD235/12)&gt;0,AT235/(AD235/12)&lt;=2),"Acabando",AND(AT235/(AD235/12)&gt;2,AT235/(AD235/12)&lt;=3),"Fazer Pedido",AND(AT235/(AD235/12)&gt;3,AT235/(AD235/12)&lt;=7),"OK",AND(AT235/(AD235/12)&gt;7,AT235/(AD235/12)&lt;=14),"Abaixar Preço",AND(AT235/(AD235/12)&gt;14,AT235/(AD235/12)&lt;=20),"Estabilizando",AT235/(AD235/12)&gt;20,"Instavel"),"Instavel")</f>
        <v>Sem Produto</v>
      </c>
      <c r="AM235" s="1" t="str" cm="1">
        <f t="array" ref="AM235">IFERROR(_xlfn.IFS(AU235="","Sem Produto",AND(AU235/(AE235/12)&gt;0,AU235/(AE235/12)&lt;=2),"Acabando",AND(AU235/(AE235/12)&gt;2,AU235/(AE235/12)&lt;=3),"Fazer Pedido",AND(AU235/(AE235/12)&gt;3,AU235/(AE235/12)&lt;=7),"OK",AND(AU235/(AE235/12)&gt;7,AU235/(AE235/12)&lt;=14),"Abaixar Preço",AND(AU235/(AE235/12)&gt;14,AU235/(AE235/12)&lt;=20),"Estabilizando",AU235/(AE235/12)&gt;20,"Instavel"),"Instavel")</f>
        <v>Sem Produto</v>
      </c>
      <c r="AN235" s="1" t="str">
        <f>IF(SUMIF(vendaAno[data],SituaçãoEstoqueFluxo[[#This Row],[data]],vendaAno[estoque])=0,"Algo errado",IF(AND(AX235/AW235&gt;0,AX235/AW235&lt;=1),"Alerta",IF(AND(AX235/AW235&gt;1,AX235/AW235&lt;=1.5),"Fazer pedido",IF(AND(AX235/AW235&gt;1.5,AX235/AW235&lt;=2),"Ok",IF(AND(AX235/AW235&gt;2,AX235/AW235&lt;=2.5),"Estabilizando",IF(AND(AX235/AW235&gt;2.5,AX235/AW235&lt;=3),"Cheio","Abaixar preço"))))))</f>
        <v>Algo errado</v>
      </c>
      <c r="AO23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5" s="116">
        <f t="shared" si="12"/>
        <v>45999</v>
      </c>
      <c r="AQ23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5" s="82" cm="1">
        <f t="array" aca="1" ref="AV2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5" s="82" cm="1">
        <f t="array" aca="1" ref="AW2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5" s="82">
        <f>SUM(FluxoEstoqueDateTime[[#This Row],[OVO BRANCO A]:[OVO BRANCO JUMBO]])</f>
        <v>0</v>
      </c>
    </row>
    <row r="236" spans="1:50" x14ac:dyDescent="0.25">
      <c r="A236" s="4" t="s">
        <v>20</v>
      </c>
      <c r="B236" s="55" t="s">
        <v>10</v>
      </c>
      <c r="C236" s="5">
        <v>9</v>
      </c>
      <c r="D236" s="56">
        <v>18</v>
      </c>
      <c r="E236" s="56">
        <v>162</v>
      </c>
      <c r="F236" s="157">
        <v>46182</v>
      </c>
      <c r="G236" s="4" t="s">
        <v>290</v>
      </c>
      <c r="H236" s="4" t="s">
        <v>148</v>
      </c>
      <c r="I236" s="153">
        <v>23.01</v>
      </c>
      <c r="J236" s="12">
        <v>0.1420384133309617</v>
      </c>
      <c r="Z236" s="116">
        <f t="shared" si="10"/>
        <v>45998</v>
      </c>
      <c r="AA23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6" s="116">
        <f t="shared" si="11"/>
        <v>45998</v>
      </c>
      <c r="AI236" s="1" t="str" cm="1">
        <f t="array" ref="AI236">IFERROR(_xlfn.IFS(AQ236="","Sem Produto",AND(AQ236/(AA236/12)&gt;0,AQ236/(AA236/12)&lt;=2),"Acabando",AND(AQ236/(AA236/12)&gt;2,AQ236/(AA236/12)&lt;=3),"Fazer Pedido",AND(AQ236/(AA236/12)&gt;3,AQ236/(AA236/12)&lt;=7),"OK",AND(AQ236/(AA236/12)&gt;7,AQ236/(AA236/12)&lt;=14),"Abaixar Preço",AND(AQ236/(AA236/12)&gt;14,AQ236/(AA236/12)&lt;=20),"Estabilizando",AQ236/(AA236/12)&gt;20,"Instavel"),"Instavel")</f>
        <v>Sem Produto</v>
      </c>
      <c r="AJ236" s="1" t="str" cm="1">
        <f t="array" ref="AJ236">IFERROR(_xlfn.IFS(AR236="","Sem Produto",AND(AR236/(AB236/12)&gt;0,AR236/(AB236/12)&lt;=2),"Acabando",AND(AR236/(AB236/12)&gt;2,AR236/(AB236/12)&lt;=3),"Fazer Pedido",AND(AR236/(AB236/12)&gt;3,AR236/(AB236/12)&lt;=7),"OK",AND(AR236/(AB236/12)&gt;7,AR236/(AB236/12)&lt;=14),"Abaixar Preço",AND(AR236/(AB236/12)&gt;14,AR236/(AB236/12)&lt;=20),"Estabilizando",AR236/(AB236/12)&gt;20,"Instavel"),"Instavel")</f>
        <v>Sem Produto</v>
      </c>
      <c r="AK236" s="1" t="str" cm="1">
        <f t="array" ref="AK236">IFERROR(_xlfn.IFS(AS236="","Sem Produto",AND(AS236/(AC236/12)&gt;0,AS236/(AC236/12)&lt;=2),"Acabando",AND(AS236/(AC236/12)&gt;2,AS236/(AC236/12)&lt;=3),"Fazer Pedido",AND(AS236/(AC236/12)&gt;3,AS236/(AC236/12)&lt;=7),"OK",AND(AS236/(AC236/12)&gt;7,AS236/(AC236/12)&lt;=14),"Abaixar Preço",AND(AS236/(AC236/12)&gt;14,AS236/(AC236/12)&lt;=20),"Estabilizando",AS236/(AC236/12)&gt;20,"Instavel"),"Instavel")</f>
        <v>Sem Produto</v>
      </c>
      <c r="AL236" s="1" t="str" cm="1">
        <f t="array" ref="AL236">IFERROR(_xlfn.IFS(AT236="","Sem Produto",AND(AT236/(AD236/12)&gt;0,AT236/(AD236/12)&lt;=2),"Acabando",AND(AT236/(AD236/12)&gt;2,AT236/(AD236/12)&lt;=3),"Fazer Pedido",AND(AT236/(AD236/12)&gt;3,AT236/(AD236/12)&lt;=7),"OK",AND(AT236/(AD236/12)&gt;7,AT236/(AD236/12)&lt;=14),"Abaixar Preço",AND(AT236/(AD236/12)&gt;14,AT236/(AD236/12)&lt;=20),"Estabilizando",AT236/(AD236/12)&gt;20,"Instavel"),"Instavel")</f>
        <v>Sem Produto</v>
      </c>
      <c r="AM236" s="1" t="str" cm="1">
        <f t="array" ref="AM236">IFERROR(_xlfn.IFS(AU236="","Sem Produto",AND(AU236/(AE236/12)&gt;0,AU236/(AE236/12)&lt;=2),"Acabando",AND(AU236/(AE236/12)&gt;2,AU236/(AE236/12)&lt;=3),"Fazer Pedido",AND(AU236/(AE236/12)&gt;3,AU236/(AE236/12)&lt;=7),"OK",AND(AU236/(AE236/12)&gt;7,AU236/(AE236/12)&lt;=14),"Abaixar Preço",AND(AU236/(AE236/12)&gt;14,AU236/(AE236/12)&lt;=20),"Estabilizando",AU236/(AE236/12)&gt;20,"Instavel"),"Instavel")</f>
        <v>Sem Produto</v>
      </c>
      <c r="AN236" s="1" t="str">
        <f>IF(SUMIF(vendaAno[data],SituaçãoEstoqueFluxo[[#This Row],[data]],vendaAno[estoque])=0,"Algo errado",IF(AND(AX236/AW236&gt;0,AX236/AW236&lt;=1),"Alerta",IF(AND(AX236/AW236&gt;1,AX236/AW236&lt;=1.5),"Fazer pedido",IF(AND(AX236/AW236&gt;1.5,AX236/AW236&lt;=2),"Ok",IF(AND(AX236/AW236&gt;2,AX236/AW236&lt;=2.5),"Estabilizando",IF(AND(AX236/AW236&gt;2.5,AX236/AW236&lt;=3),"Cheio","Abaixar preço"))))))</f>
        <v>Algo errado</v>
      </c>
      <c r="AO23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6" s="116">
        <f t="shared" si="12"/>
        <v>45998</v>
      </c>
      <c r="AQ23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6" s="82" cm="1">
        <f t="array" aca="1" ref="AV2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6" s="82" cm="1">
        <f t="array" aca="1" ref="AW2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6" s="82">
        <f>SUM(FluxoEstoqueDateTime[[#This Row],[OVO BRANCO A]:[OVO BRANCO JUMBO]])</f>
        <v>0</v>
      </c>
    </row>
    <row r="237" spans="1:50" x14ac:dyDescent="0.25">
      <c r="A237" s="4" t="s">
        <v>20</v>
      </c>
      <c r="B237" s="55" t="s">
        <v>13</v>
      </c>
      <c r="C237" s="5">
        <v>1</v>
      </c>
      <c r="D237" s="56"/>
      <c r="E237" s="56"/>
      <c r="F237" s="157">
        <v>46182</v>
      </c>
      <c r="G237" s="4" t="s">
        <v>290</v>
      </c>
      <c r="H237" s="4" t="s">
        <v>148</v>
      </c>
      <c r="I237" s="153">
        <v>-13.83</v>
      </c>
      <c r="J237" s="12">
        <v>0</v>
      </c>
      <c r="Z237" s="116">
        <f t="shared" si="10"/>
        <v>45997</v>
      </c>
      <c r="AA23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7" s="116">
        <f t="shared" si="11"/>
        <v>45997</v>
      </c>
      <c r="AI237" s="1" t="str" cm="1">
        <f t="array" ref="AI237">IFERROR(_xlfn.IFS(AQ237="","Sem Produto",AND(AQ237/(AA237/12)&gt;0,AQ237/(AA237/12)&lt;=2),"Acabando",AND(AQ237/(AA237/12)&gt;2,AQ237/(AA237/12)&lt;=3),"Fazer Pedido",AND(AQ237/(AA237/12)&gt;3,AQ237/(AA237/12)&lt;=7),"OK",AND(AQ237/(AA237/12)&gt;7,AQ237/(AA237/12)&lt;=14),"Abaixar Preço",AND(AQ237/(AA237/12)&gt;14,AQ237/(AA237/12)&lt;=20),"Estabilizando",AQ237/(AA237/12)&gt;20,"Instavel"),"Instavel")</f>
        <v>Sem Produto</v>
      </c>
      <c r="AJ237" s="1" t="str" cm="1">
        <f t="array" ref="AJ237">IFERROR(_xlfn.IFS(AR237="","Sem Produto",AND(AR237/(AB237/12)&gt;0,AR237/(AB237/12)&lt;=2),"Acabando",AND(AR237/(AB237/12)&gt;2,AR237/(AB237/12)&lt;=3),"Fazer Pedido",AND(AR237/(AB237/12)&gt;3,AR237/(AB237/12)&lt;=7),"OK",AND(AR237/(AB237/12)&gt;7,AR237/(AB237/12)&lt;=14),"Abaixar Preço",AND(AR237/(AB237/12)&gt;14,AR237/(AB237/12)&lt;=20),"Estabilizando",AR237/(AB237/12)&gt;20,"Instavel"),"Instavel")</f>
        <v>Sem Produto</v>
      </c>
      <c r="AK237" s="1" t="str" cm="1">
        <f t="array" ref="AK237">IFERROR(_xlfn.IFS(AS237="","Sem Produto",AND(AS237/(AC237/12)&gt;0,AS237/(AC237/12)&lt;=2),"Acabando",AND(AS237/(AC237/12)&gt;2,AS237/(AC237/12)&lt;=3),"Fazer Pedido",AND(AS237/(AC237/12)&gt;3,AS237/(AC237/12)&lt;=7),"OK",AND(AS237/(AC237/12)&gt;7,AS237/(AC237/12)&lt;=14),"Abaixar Preço",AND(AS237/(AC237/12)&gt;14,AS237/(AC237/12)&lt;=20),"Estabilizando",AS237/(AC237/12)&gt;20,"Instavel"),"Instavel")</f>
        <v>Sem Produto</v>
      </c>
      <c r="AL237" s="1" t="str" cm="1">
        <f t="array" ref="AL237">IFERROR(_xlfn.IFS(AT237="","Sem Produto",AND(AT237/(AD237/12)&gt;0,AT237/(AD237/12)&lt;=2),"Acabando",AND(AT237/(AD237/12)&gt;2,AT237/(AD237/12)&lt;=3),"Fazer Pedido",AND(AT237/(AD237/12)&gt;3,AT237/(AD237/12)&lt;=7),"OK",AND(AT237/(AD237/12)&gt;7,AT237/(AD237/12)&lt;=14),"Abaixar Preço",AND(AT237/(AD237/12)&gt;14,AT237/(AD237/12)&lt;=20),"Estabilizando",AT237/(AD237/12)&gt;20,"Instavel"),"Instavel")</f>
        <v>Sem Produto</v>
      </c>
      <c r="AM237" s="1" t="str" cm="1">
        <f t="array" ref="AM237">IFERROR(_xlfn.IFS(AU237="","Sem Produto",AND(AU237/(AE237/12)&gt;0,AU237/(AE237/12)&lt;=2),"Acabando",AND(AU237/(AE237/12)&gt;2,AU237/(AE237/12)&lt;=3),"Fazer Pedido",AND(AU237/(AE237/12)&gt;3,AU237/(AE237/12)&lt;=7),"OK",AND(AU237/(AE237/12)&gt;7,AU237/(AE237/12)&lt;=14),"Abaixar Preço",AND(AU237/(AE237/12)&gt;14,AU237/(AE237/12)&lt;=20),"Estabilizando",AU237/(AE237/12)&gt;20,"Instavel"),"Instavel")</f>
        <v>Sem Produto</v>
      </c>
      <c r="AN237" s="1" t="str">
        <f>IF(SUMIF(vendaAno[data],SituaçãoEstoqueFluxo[[#This Row],[data]],vendaAno[estoque])=0,"Algo errado",IF(AND(AX237/AW237&gt;0,AX237/AW237&lt;=1),"Alerta",IF(AND(AX237/AW237&gt;1,AX237/AW237&lt;=1.5),"Fazer pedido",IF(AND(AX237/AW237&gt;1.5,AX237/AW237&lt;=2),"Ok",IF(AND(AX237/AW237&gt;2,AX237/AW237&lt;=2.5),"Estabilizando",IF(AND(AX237/AW237&gt;2.5,AX237/AW237&lt;=3),"Cheio","Abaixar preço"))))))</f>
        <v>Algo errado</v>
      </c>
      <c r="AO23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7" s="116">
        <f t="shared" si="12"/>
        <v>45997</v>
      </c>
      <c r="AQ23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7" s="82" cm="1">
        <f t="array" aca="1" ref="AV2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7" s="82" cm="1">
        <f t="array" aca="1" ref="AW2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7" s="82">
        <f>SUM(FluxoEstoqueDateTime[[#This Row],[OVO BRANCO A]:[OVO BRANCO JUMBO]])</f>
        <v>0</v>
      </c>
    </row>
    <row r="238" spans="1:50" x14ac:dyDescent="0.25">
      <c r="A238" s="4" t="s">
        <v>20</v>
      </c>
      <c r="B238" s="55" t="s">
        <v>11</v>
      </c>
      <c r="C238" s="5">
        <v>3</v>
      </c>
      <c r="D238" s="56"/>
      <c r="E238" s="56"/>
      <c r="F238" s="157">
        <v>46182</v>
      </c>
      <c r="G238" s="4" t="s">
        <v>290</v>
      </c>
      <c r="H238" s="4" t="s">
        <v>148</v>
      </c>
      <c r="I238" s="153">
        <f>-14.7*3</f>
        <v>-44.099999999999994</v>
      </c>
      <c r="J238" s="12">
        <v>0</v>
      </c>
      <c r="Z238" s="116">
        <f t="shared" si="10"/>
        <v>45996</v>
      </c>
      <c r="AA23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8" s="116">
        <f t="shared" si="11"/>
        <v>45996</v>
      </c>
      <c r="AI238" s="1" t="str" cm="1">
        <f t="array" ref="AI238">IFERROR(_xlfn.IFS(AQ238="","Sem Produto",AND(AQ238/(AA238/12)&gt;0,AQ238/(AA238/12)&lt;=2),"Acabando",AND(AQ238/(AA238/12)&gt;2,AQ238/(AA238/12)&lt;=3),"Fazer Pedido",AND(AQ238/(AA238/12)&gt;3,AQ238/(AA238/12)&lt;=7),"OK",AND(AQ238/(AA238/12)&gt;7,AQ238/(AA238/12)&lt;=14),"Abaixar Preço",AND(AQ238/(AA238/12)&gt;14,AQ238/(AA238/12)&lt;=20),"Estabilizando",AQ238/(AA238/12)&gt;20,"Instavel"),"Instavel")</f>
        <v>Sem Produto</v>
      </c>
      <c r="AJ238" s="1" t="str" cm="1">
        <f t="array" ref="AJ238">IFERROR(_xlfn.IFS(AR238="","Sem Produto",AND(AR238/(AB238/12)&gt;0,AR238/(AB238/12)&lt;=2),"Acabando",AND(AR238/(AB238/12)&gt;2,AR238/(AB238/12)&lt;=3),"Fazer Pedido",AND(AR238/(AB238/12)&gt;3,AR238/(AB238/12)&lt;=7),"OK",AND(AR238/(AB238/12)&gt;7,AR238/(AB238/12)&lt;=14),"Abaixar Preço",AND(AR238/(AB238/12)&gt;14,AR238/(AB238/12)&lt;=20),"Estabilizando",AR238/(AB238/12)&gt;20,"Instavel"),"Instavel")</f>
        <v>Sem Produto</v>
      </c>
      <c r="AK238" s="1" t="str" cm="1">
        <f t="array" ref="AK238">IFERROR(_xlfn.IFS(AS238="","Sem Produto",AND(AS238/(AC238/12)&gt;0,AS238/(AC238/12)&lt;=2),"Acabando",AND(AS238/(AC238/12)&gt;2,AS238/(AC238/12)&lt;=3),"Fazer Pedido",AND(AS238/(AC238/12)&gt;3,AS238/(AC238/12)&lt;=7),"OK",AND(AS238/(AC238/12)&gt;7,AS238/(AC238/12)&lt;=14),"Abaixar Preço",AND(AS238/(AC238/12)&gt;14,AS238/(AC238/12)&lt;=20),"Estabilizando",AS238/(AC238/12)&gt;20,"Instavel"),"Instavel")</f>
        <v>Sem Produto</v>
      </c>
      <c r="AL238" s="1" t="str" cm="1">
        <f t="array" ref="AL238">IFERROR(_xlfn.IFS(AT238="","Sem Produto",AND(AT238/(AD238/12)&gt;0,AT238/(AD238/12)&lt;=2),"Acabando",AND(AT238/(AD238/12)&gt;2,AT238/(AD238/12)&lt;=3),"Fazer Pedido",AND(AT238/(AD238/12)&gt;3,AT238/(AD238/12)&lt;=7),"OK",AND(AT238/(AD238/12)&gt;7,AT238/(AD238/12)&lt;=14),"Abaixar Preço",AND(AT238/(AD238/12)&gt;14,AT238/(AD238/12)&lt;=20),"Estabilizando",AT238/(AD238/12)&gt;20,"Instavel"),"Instavel")</f>
        <v>Sem Produto</v>
      </c>
      <c r="AM238" s="1" t="str" cm="1">
        <f t="array" ref="AM238">IFERROR(_xlfn.IFS(AU238="","Sem Produto",AND(AU238/(AE238/12)&gt;0,AU238/(AE238/12)&lt;=2),"Acabando",AND(AU238/(AE238/12)&gt;2,AU238/(AE238/12)&lt;=3),"Fazer Pedido",AND(AU238/(AE238/12)&gt;3,AU238/(AE238/12)&lt;=7),"OK",AND(AU238/(AE238/12)&gt;7,AU238/(AE238/12)&lt;=14),"Abaixar Preço",AND(AU238/(AE238/12)&gt;14,AU238/(AE238/12)&lt;=20),"Estabilizando",AU238/(AE238/12)&gt;20,"Instavel"),"Instavel")</f>
        <v>Sem Produto</v>
      </c>
      <c r="AN238" s="1" t="str">
        <f>IF(SUMIF(vendaAno[data],SituaçãoEstoqueFluxo[[#This Row],[data]],vendaAno[estoque])=0,"Algo errado",IF(AND(AX238/AW238&gt;0,AX238/AW238&lt;=1),"Alerta",IF(AND(AX238/AW238&gt;1,AX238/AW238&lt;=1.5),"Fazer pedido",IF(AND(AX238/AW238&gt;1.5,AX238/AW238&lt;=2),"Ok",IF(AND(AX238/AW238&gt;2,AX238/AW238&lt;=2.5),"Estabilizando",IF(AND(AX238/AW238&gt;2.5,AX238/AW238&lt;=3),"Cheio","Abaixar preço"))))))</f>
        <v>Algo errado</v>
      </c>
      <c r="AO23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8" s="116">
        <f t="shared" si="12"/>
        <v>45996</v>
      </c>
      <c r="AQ23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8" s="82" cm="1">
        <f t="array" aca="1" ref="AV2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8" s="82" cm="1">
        <f t="array" aca="1" ref="AW2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8" s="82">
        <f>SUM(FluxoEstoqueDateTime[[#This Row],[OVO BRANCO A]:[OVO BRANCO JUMBO]])</f>
        <v>0</v>
      </c>
    </row>
    <row r="239" spans="1:50" x14ac:dyDescent="0.25">
      <c r="A239" s="4" t="s">
        <v>20</v>
      </c>
      <c r="B239" s="55" t="s">
        <v>13</v>
      </c>
      <c r="C239" s="5">
        <v>8</v>
      </c>
      <c r="D239" s="56">
        <v>20</v>
      </c>
      <c r="E239" s="56">
        <v>160</v>
      </c>
      <c r="F239" s="157">
        <v>46181</v>
      </c>
      <c r="G239" s="4" t="s">
        <v>291</v>
      </c>
      <c r="H239" s="4" t="s">
        <v>148</v>
      </c>
      <c r="I239" s="153">
        <v>29.01</v>
      </c>
      <c r="J239" s="12">
        <v>0.18132716049382705</v>
      </c>
      <c r="Z239" s="116">
        <f t="shared" si="10"/>
        <v>45995</v>
      </c>
      <c r="AA23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3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3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3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3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3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3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39" s="116">
        <f t="shared" si="11"/>
        <v>45995</v>
      </c>
      <c r="AI239" s="1" t="str" cm="1">
        <f t="array" ref="AI239">IFERROR(_xlfn.IFS(AQ239="","Sem Produto",AND(AQ239/(AA239/12)&gt;0,AQ239/(AA239/12)&lt;=2),"Acabando",AND(AQ239/(AA239/12)&gt;2,AQ239/(AA239/12)&lt;=3),"Fazer Pedido",AND(AQ239/(AA239/12)&gt;3,AQ239/(AA239/12)&lt;=7),"OK",AND(AQ239/(AA239/12)&gt;7,AQ239/(AA239/12)&lt;=14),"Abaixar Preço",AND(AQ239/(AA239/12)&gt;14,AQ239/(AA239/12)&lt;=20),"Estabilizando",AQ239/(AA239/12)&gt;20,"Instavel"),"Instavel")</f>
        <v>Sem Produto</v>
      </c>
      <c r="AJ239" s="1" t="str" cm="1">
        <f t="array" ref="AJ239">IFERROR(_xlfn.IFS(AR239="","Sem Produto",AND(AR239/(AB239/12)&gt;0,AR239/(AB239/12)&lt;=2),"Acabando",AND(AR239/(AB239/12)&gt;2,AR239/(AB239/12)&lt;=3),"Fazer Pedido",AND(AR239/(AB239/12)&gt;3,AR239/(AB239/12)&lt;=7),"OK",AND(AR239/(AB239/12)&gt;7,AR239/(AB239/12)&lt;=14),"Abaixar Preço",AND(AR239/(AB239/12)&gt;14,AR239/(AB239/12)&lt;=20),"Estabilizando",AR239/(AB239/12)&gt;20,"Instavel"),"Instavel")</f>
        <v>Sem Produto</v>
      </c>
      <c r="AK239" s="1" t="str" cm="1">
        <f t="array" ref="AK239">IFERROR(_xlfn.IFS(AS239="","Sem Produto",AND(AS239/(AC239/12)&gt;0,AS239/(AC239/12)&lt;=2),"Acabando",AND(AS239/(AC239/12)&gt;2,AS239/(AC239/12)&lt;=3),"Fazer Pedido",AND(AS239/(AC239/12)&gt;3,AS239/(AC239/12)&lt;=7),"OK",AND(AS239/(AC239/12)&gt;7,AS239/(AC239/12)&lt;=14),"Abaixar Preço",AND(AS239/(AC239/12)&gt;14,AS239/(AC239/12)&lt;=20),"Estabilizando",AS239/(AC239/12)&gt;20,"Instavel"),"Instavel")</f>
        <v>Sem Produto</v>
      </c>
      <c r="AL239" s="1" t="str" cm="1">
        <f t="array" ref="AL239">IFERROR(_xlfn.IFS(AT239="","Sem Produto",AND(AT239/(AD239/12)&gt;0,AT239/(AD239/12)&lt;=2),"Acabando",AND(AT239/(AD239/12)&gt;2,AT239/(AD239/12)&lt;=3),"Fazer Pedido",AND(AT239/(AD239/12)&gt;3,AT239/(AD239/12)&lt;=7),"OK",AND(AT239/(AD239/12)&gt;7,AT239/(AD239/12)&lt;=14),"Abaixar Preço",AND(AT239/(AD239/12)&gt;14,AT239/(AD239/12)&lt;=20),"Estabilizando",AT239/(AD239/12)&gt;20,"Instavel"),"Instavel")</f>
        <v>Sem Produto</v>
      </c>
      <c r="AM239" s="1" t="str" cm="1">
        <f t="array" ref="AM239">IFERROR(_xlfn.IFS(AU239="","Sem Produto",AND(AU239/(AE239/12)&gt;0,AU239/(AE239/12)&lt;=2),"Acabando",AND(AU239/(AE239/12)&gt;2,AU239/(AE239/12)&lt;=3),"Fazer Pedido",AND(AU239/(AE239/12)&gt;3,AU239/(AE239/12)&lt;=7),"OK",AND(AU239/(AE239/12)&gt;7,AU239/(AE239/12)&lt;=14),"Abaixar Preço",AND(AU239/(AE239/12)&gt;14,AU239/(AE239/12)&lt;=20),"Estabilizando",AU239/(AE239/12)&gt;20,"Instavel"),"Instavel")</f>
        <v>Sem Produto</v>
      </c>
      <c r="AN239" s="1" t="str">
        <f>IF(SUMIF(vendaAno[data],SituaçãoEstoqueFluxo[[#This Row],[data]],vendaAno[estoque])=0,"Algo errado",IF(AND(AX239/AW239&gt;0,AX239/AW239&lt;=1),"Alerta",IF(AND(AX239/AW239&gt;1,AX239/AW239&lt;=1.5),"Fazer pedido",IF(AND(AX239/AW239&gt;1.5,AX239/AW239&lt;=2),"Ok",IF(AND(AX239/AW239&gt;2,AX239/AW239&lt;=2.5),"Estabilizando",IF(AND(AX239/AW239&gt;2.5,AX239/AW239&lt;=3),"Cheio","Abaixar preço"))))))</f>
        <v>Algo errado</v>
      </c>
      <c r="AO23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39" s="116">
        <f t="shared" si="12"/>
        <v>45995</v>
      </c>
      <c r="AQ2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3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3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3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3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39" s="82" cm="1">
        <f t="array" aca="1" ref="AV2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39" s="82" cm="1">
        <f t="array" aca="1" ref="AW2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39" s="82">
        <f>SUM(FluxoEstoqueDateTime[[#This Row],[OVO BRANCO A]:[OVO BRANCO JUMBO]])</f>
        <v>0</v>
      </c>
    </row>
    <row r="240" spans="1:50" x14ac:dyDescent="0.25">
      <c r="A240" s="4" t="s">
        <v>20</v>
      </c>
      <c r="B240" s="55" t="s">
        <v>11</v>
      </c>
      <c r="C240" s="5">
        <v>15</v>
      </c>
      <c r="D240" s="56">
        <v>17</v>
      </c>
      <c r="E240" s="56">
        <v>255</v>
      </c>
      <c r="F240" s="157">
        <v>46181</v>
      </c>
      <c r="G240" s="4" t="s">
        <v>291</v>
      </c>
      <c r="H240" s="4" t="s">
        <v>148</v>
      </c>
      <c r="I240" s="153">
        <v>34.44</v>
      </c>
      <c r="J240" s="12">
        <v>0.13505046989209898</v>
      </c>
      <c r="Z240" s="116">
        <f t="shared" si="10"/>
        <v>45994</v>
      </c>
      <c r="AA24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0" s="116">
        <f t="shared" si="11"/>
        <v>45994</v>
      </c>
      <c r="AI240" s="1" t="str" cm="1">
        <f t="array" ref="AI240">IFERROR(_xlfn.IFS(AQ240="","Sem Produto",AND(AQ240/(AA240/12)&gt;0,AQ240/(AA240/12)&lt;=2),"Acabando",AND(AQ240/(AA240/12)&gt;2,AQ240/(AA240/12)&lt;=3),"Fazer Pedido",AND(AQ240/(AA240/12)&gt;3,AQ240/(AA240/12)&lt;=7),"OK",AND(AQ240/(AA240/12)&gt;7,AQ240/(AA240/12)&lt;=14),"Abaixar Preço",AND(AQ240/(AA240/12)&gt;14,AQ240/(AA240/12)&lt;=20),"Estabilizando",AQ240/(AA240/12)&gt;20,"Instavel"),"Instavel")</f>
        <v>Sem Produto</v>
      </c>
      <c r="AJ240" s="1" t="str" cm="1">
        <f t="array" ref="AJ240">IFERROR(_xlfn.IFS(AR240="","Sem Produto",AND(AR240/(AB240/12)&gt;0,AR240/(AB240/12)&lt;=2),"Acabando",AND(AR240/(AB240/12)&gt;2,AR240/(AB240/12)&lt;=3),"Fazer Pedido",AND(AR240/(AB240/12)&gt;3,AR240/(AB240/12)&lt;=7),"OK",AND(AR240/(AB240/12)&gt;7,AR240/(AB240/12)&lt;=14),"Abaixar Preço",AND(AR240/(AB240/12)&gt;14,AR240/(AB240/12)&lt;=20),"Estabilizando",AR240/(AB240/12)&gt;20,"Instavel"),"Instavel")</f>
        <v>Sem Produto</v>
      </c>
      <c r="AK240" s="1" t="str" cm="1">
        <f t="array" ref="AK240">IFERROR(_xlfn.IFS(AS240="","Sem Produto",AND(AS240/(AC240/12)&gt;0,AS240/(AC240/12)&lt;=2),"Acabando",AND(AS240/(AC240/12)&gt;2,AS240/(AC240/12)&lt;=3),"Fazer Pedido",AND(AS240/(AC240/12)&gt;3,AS240/(AC240/12)&lt;=7),"OK",AND(AS240/(AC240/12)&gt;7,AS240/(AC240/12)&lt;=14),"Abaixar Preço",AND(AS240/(AC240/12)&gt;14,AS240/(AC240/12)&lt;=20),"Estabilizando",AS240/(AC240/12)&gt;20,"Instavel"),"Instavel")</f>
        <v>Sem Produto</v>
      </c>
      <c r="AL240" s="1" t="str" cm="1">
        <f t="array" ref="AL240">IFERROR(_xlfn.IFS(AT240="","Sem Produto",AND(AT240/(AD240/12)&gt;0,AT240/(AD240/12)&lt;=2),"Acabando",AND(AT240/(AD240/12)&gt;2,AT240/(AD240/12)&lt;=3),"Fazer Pedido",AND(AT240/(AD240/12)&gt;3,AT240/(AD240/12)&lt;=7),"OK",AND(AT240/(AD240/12)&gt;7,AT240/(AD240/12)&lt;=14),"Abaixar Preço",AND(AT240/(AD240/12)&gt;14,AT240/(AD240/12)&lt;=20),"Estabilizando",AT240/(AD240/12)&gt;20,"Instavel"),"Instavel")</f>
        <v>Sem Produto</v>
      </c>
      <c r="AM240" s="1" t="str" cm="1">
        <f t="array" ref="AM240">IFERROR(_xlfn.IFS(AU240="","Sem Produto",AND(AU240/(AE240/12)&gt;0,AU240/(AE240/12)&lt;=2),"Acabando",AND(AU240/(AE240/12)&gt;2,AU240/(AE240/12)&lt;=3),"Fazer Pedido",AND(AU240/(AE240/12)&gt;3,AU240/(AE240/12)&lt;=7),"OK",AND(AU240/(AE240/12)&gt;7,AU240/(AE240/12)&lt;=14),"Abaixar Preço",AND(AU240/(AE240/12)&gt;14,AU240/(AE240/12)&lt;=20),"Estabilizando",AU240/(AE240/12)&gt;20,"Instavel"),"Instavel")</f>
        <v>Sem Produto</v>
      </c>
      <c r="AN240" s="1" t="str">
        <f>IF(SUMIF(vendaAno[data],SituaçãoEstoqueFluxo[[#This Row],[data]],vendaAno[estoque])=0,"Algo errado",IF(AND(AX240/AW240&gt;0,AX240/AW240&lt;=1),"Alerta",IF(AND(AX240/AW240&gt;1,AX240/AW240&lt;=1.5),"Fazer pedido",IF(AND(AX240/AW240&gt;1.5,AX240/AW240&lt;=2),"Ok",IF(AND(AX240/AW240&gt;2,AX240/AW240&lt;=2.5),"Estabilizando",IF(AND(AX240/AW240&gt;2.5,AX240/AW240&lt;=3),"Cheio","Abaixar preço"))))))</f>
        <v>Algo errado</v>
      </c>
      <c r="AO24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0" s="116">
        <f t="shared" si="12"/>
        <v>45994</v>
      </c>
      <c r="AQ2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0" s="82" cm="1">
        <f t="array" aca="1" ref="AV2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0" s="82" cm="1">
        <f t="array" aca="1" ref="AW2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0" s="82">
        <f>SUM(FluxoEstoqueDateTime[[#This Row],[OVO BRANCO A]:[OVO BRANCO JUMBO]])</f>
        <v>0</v>
      </c>
    </row>
    <row r="241" spans="1:50" x14ac:dyDescent="0.25">
      <c r="A241" s="4" t="s">
        <v>20</v>
      </c>
      <c r="B241" s="55" t="s">
        <v>10</v>
      </c>
      <c r="C241" s="5">
        <v>3</v>
      </c>
      <c r="D241" s="56">
        <v>18</v>
      </c>
      <c r="E241" s="56">
        <v>54</v>
      </c>
      <c r="F241" s="157">
        <v>46181</v>
      </c>
      <c r="G241" s="4" t="s">
        <v>291</v>
      </c>
      <c r="H241" s="4" t="s">
        <v>148</v>
      </c>
      <c r="I241" s="153">
        <v>7.67</v>
      </c>
      <c r="J241" s="12">
        <v>0.14203841333096168</v>
      </c>
      <c r="Z241" s="116">
        <f t="shared" si="10"/>
        <v>45993</v>
      </c>
      <c r="AA24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1" s="116">
        <f t="shared" si="11"/>
        <v>45993</v>
      </c>
      <c r="AI241" s="1" t="str" cm="1">
        <f t="array" ref="AI241">IFERROR(_xlfn.IFS(AQ241="","Sem Produto",AND(AQ241/(AA241/12)&gt;0,AQ241/(AA241/12)&lt;=2),"Acabando",AND(AQ241/(AA241/12)&gt;2,AQ241/(AA241/12)&lt;=3),"Fazer Pedido",AND(AQ241/(AA241/12)&gt;3,AQ241/(AA241/12)&lt;=7),"OK",AND(AQ241/(AA241/12)&gt;7,AQ241/(AA241/12)&lt;=14),"Abaixar Preço",AND(AQ241/(AA241/12)&gt;14,AQ241/(AA241/12)&lt;=20),"Estabilizando",AQ241/(AA241/12)&gt;20,"Instavel"),"Instavel")</f>
        <v>Sem Produto</v>
      </c>
      <c r="AJ241" s="1" t="str" cm="1">
        <f t="array" ref="AJ241">IFERROR(_xlfn.IFS(AR241="","Sem Produto",AND(AR241/(AB241/12)&gt;0,AR241/(AB241/12)&lt;=2),"Acabando",AND(AR241/(AB241/12)&gt;2,AR241/(AB241/12)&lt;=3),"Fazer Pedido",AND(AR241/(AB241/12)&gt;3,AR241/(AB241/12)&lt;=7),"OK",AND(AR241/(AB241/12)&gt;7,AR241/(AB241/12)&lt;=14),"Abaixar Preço",AND(AR241/(AB241/12)&gt;14,AR241/(AB241/12)&lt;=20),"Estabilizando",AR241/(AB241/12)&gt;20,"Instavel"),"Instavel")</f>
        <v>Sem Produto</v>
      </c>
      <c r="AK241" s="1" t="str" cm="1">
        <f t="array" ref="AK241">IFERROR(_xlfn.IFS(AS241="","Sem Produto",AND(AS241/(AC241/12)&gt;0,AS241/(AC241/12)&lt;=2),"Acabando",AND(AS241/(AC241/12)&gt;2,AS241/(AC241/12)&lt;=3),"Fazer Pedido",AND(AS241/(AC241/12)&gt;3,AS241/(AC241/12)&lt;=7),"OK",AND(AS241/(AC241/12)&gt;7,AS241/(AC241/12)&lt;=14),"Abaixar Preço",AND(AS241/(AC241/12)&gt;14,AS241/(AC241/12)&lt;=20),"Estabilizando",AS241/(AC241/12)&gt;20,"Instavel"),"Instavel")</f>
        <v>Sem Produto</v>
      </c>
      <c r="AL241" s="1" t="str" cm="1">
        <f t="array" ref="AL241">IFERROR(_xlfn.IFS(AT241="","Sem Produto",AND(AT241/(AD241/12)&gt;0,AT241/(AD241/12)&lt;=2),"Acabando",AND(AT241/(AD241/12)&gt;2,AT241/(AD241/12)&lt;=3),"Fazer Pedido",AND(AT241/(AD241/12)&gt;3,AT241/(AD241/12)&lt;=7),"OK",AND(AT241/(AD241/12)&gt;7,AT241/(AD241/12)&lt;=14),"Abaixar Preço",AND(AT241/(AD241/12)&gt;14,AT241/(AD241/12)&lt;=20),"Estabilizando",AT241/(AD241/12)&gt;20,"Instavel"),"Instavel")</f>
        <v>Sem Produto</v>
      </c>
      <c r="AM241" s="1" t="str" cm="1">
        <f t="array" ref="AM241">IFERROR(_xlfn.IFS(AU241="","Sem Produto",AND(AU241/(AE241/12)&gt;0,AU241/(AE241/12)&lt;=2),"Acabando",AND(AU241/(AE241/12)&gt;2,AU241/(AE241/12)&lt;=3),"Fazer Pedido",AND(AU241/(AE241/12)&gt;3,AU241/(AE241/12)&lt;=7),"OK",AND(AU241/(AE241/12)&gt;7,AU241/(AE241/12)&lt;=14),"Abaixar Preço",AND(AU241/(AE241/12)&gt;14,AU241/(AE241/12)&lt;=20),"Estabilizando",AU241/(AE241/12)&gt;20,"Instavel"),"Instavel")</f>
        <v>Sem Produto</v>
      </c>
      <c r="AN241" s="1" t="str">
        <f>IF(SUMIF(vendaAno[data],SituaçãoEstoqueFluxo[[#This Row],[data]],vendaAno[estoque])=0,"Algo errado",IF(AND(AX241/AW241&gt;0,AX241/AW241&lt;=1),"Alerta",IF(AND(AX241/AW241&gt;1,AX241/AW241&lt;=1.5),"Fazer pedido",IF(AND(AX241/AW241&gt;1.5,AX241/AW241&lt;=2),"Ok",IF(AND(AX241/AW241&gt;2,AX241/AW241&lt;=2.5),"Estabilizando",IF(AND(AX241/AW241&gt;2.5,AX241/AW241&lt;=3),"Cheio","Abaixar preço"))))))</f>
        <v>Algo errado</v>
      </c>
      <c r="AO24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1" s="116">
        <f t="shared" si="12"/>
        <v>45993</v>
      </c>
      <c r="AQ2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1" s="82" cm="1">
        <f t="array" aca="1" ref="AV2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1" s="82" cm="1">
        <f t="array" aca="1" ref="AW2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1" s="82">
        <f>SUM(FluxoEstoqueDateTime[[#This Row],[OVO BRANCO A]:[OVO BRANCO JUMBO]])</f>
        <v>0</v>
      </c>
    </row>
    <row r="242" spans="1:50" x14ac:dyDescent="0.25">
      <c r="A242" s="4" t="s">
        <v>20</v>
      </c>
      <c r="B242" s="55" t="s">
        <v>12</v>
      </c>
      <c r="C242" s="5">
        <v>3</v>
      </c>
      <c r="D242" s="56">
        <v>16</v>
      </c>
      <c r="E242" s="56">
        <v>48</v>
      </c>
      <c r="F242" s="157">
        <v>46180</v>
      </c>
      <c r="G242" s="4" t="s">
        <v>93</v>
      </c>
      <c r="H242" s="4" t="s">
        <v>148</v>
      </c>
      <c r="I242" s="153">
        <v>6.5</v>
      </c>
      <c r="J242" s="12">
        <v>0.13541666666666652</v>
      </c>
      <c r="Z242" s="116">
        <f t="shared" si="10"/>
        <v>45992</v>
      </c>
      <c r="AA24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2" s="116">
        <f t="shared" si="11"/>
        <v>45992</v>
      </c>
      <c r="AI242" s="1" t="str" cm="1">
        <f t="array" ref="AI242">IFERROR(_xlfn.IFS(AQ242="","Sem Produto",AND(AQ242/(AA242/12)&gt;0,AQ242/(AA242/12)&lt;=2),"Acabando",AND(AQ242/(AA242/12)&gt;2,AQ242/(AA242/12)&lt;=3),"Fazer Pedido",AND(AQ242/(AA242/12)&gt;3,AQ242/(AA242/12)&lt;=7),"OK",AND(AQ242/(AA242/12)&gt;7,AQ242/(AA242/12)&lt;=14),"Abaixar Preço",AND(AQ242/(AA242/12)&gt;14,AQ242/(AA242/12)&lt;=20),"Estabilizando",AQ242/(AA242/12)&gt;20,"Instavel"),"Instavel")</f>
        <v>Sem Produto</v>
      </c>
      <c r="AJ242" s="1" t="str" cm="1">
        <f t="array" ref="AJ242">IFERROR(_xlfn.IFS(AR242="","Sem Produto",AND(AR242/(AB242/12)&gt;0,AR242/(AB242/12)&lt;=2),"Acabando",AND(AR242/(AB242/12)&gt;2,AR242/(AB242/12)&lt;=3),"Fazer Pedido",AND(AR242/(AB242/12)&gt;3,AR242/(AB242/12)&lt;=7),"OK",AND(AR242/(AB242/12)&gt;7,AR242/(AB242/12)&lt;=14),"Abaixar Preço",AND(AR242/(AB242/12)&gt;14,AR242/(AB242/12)&lt;=20),"Estabilizando",AR242/(AB242/12)&gt;20,"Instavel"),"Instavel")</f>
        <v>Sem Produto</v>
      </c>
      <c r="AK242" s="1" t="str" cm="1">
        <f t="array" ref="AK242">IFERROR(_xlfn.IFS(AS242="","Sem Produto",AND(AS242/(AC242/12)&gt;0,AS242/(AC242/12)&lt;=2),"Acabando",AND(AS242/(AC242/12)&gt;2,AS242/(AC242/12)&lt;=3),"Fazer Pedido",AND(AS242/(AC242/12)&gt;3,AS242/(AC242/12)&lt;=7),"OK",AND(AS242/(AC242/12)&gt;7,AS242/(AC242/12)&lt;=14),"Abaixar Preço",AND(AS242/(AC242/12)&gt;14,AS242/(AC242/12)&lt;=20),"Estabilizando",AS242/(AC242/12)&gt;20,"Instavel"),"Instavel")</f>
        <v>Sem Produto</v>
      </c>
      <c r="AL242" s="1" t="str" cm="1">
        <f t="array" ref="AL242">IFERROR(_xlfn.IFS(AT242="","Sem Produto",AND(AT242/(AD242/12)&gt;0,AT242/(AD242/12)&lt;=2),"Acabando",AND(AT242/(AD242/12)&gt;2,AT242/(AD242/12)&lt;=3),"Fazer Pedido",AND(AT242/(AD242/12)&gt;3,AT242/(AD242/12)&lt;=7),"OK",AND(AT242/(AD242/12)&gt;7,AT242/(AD242/12)&lt;=14),"Abaixar Preço",AND(AT242/(AD242/12)&gt;14,AT242/(AD242/12)&lt;=20),"Estabilizando",AT242/(AD242/12)&gt;20,"Instavel"),"Instavel")</f>
        <v>Sem Produto</v>
      </c>
      <c r="AM242" s="1" t="str" cm="1">
        <f t="array" ref="AM242">IFERROR(_xlfn.IFS(AU242="","Sem Produto",AND(AU242/(AE242/12)&gt;0,AU242/(AE242/12)&lt;=2),"Acabando",AND(AU242/(AE242/12)&gt;2,AU242/(AE242/12)&lt;=3),"Fazer Pedido",AND(AU242/(AE242/12)&gt;3,AU242/(AE242/12)&lt;=7),"OK",AND(AU242/(AE242/12)&gt;7,AU242/(AE242/12)&lt;=14),"Abaixar Preço",AND(AU242/(AE242/12)&gt;14,AU242/(AE242/12)&lt;=20),"Estabilizando",AU242/(AE242/12)&gt;20,"Instavel"),"Instavel")</f>
        <v>Sem Produto</v>
      </c>
      <c r="AN242" s="1" t="str">
        <f>IF(SUMIF(vendaAno[data],SituaçãoEstoqueFluxo[[#This Row],[data]],vendaAno[estoque])=0,"Algo errado",IF(AND(AX242/AW242&gt;0,AX242/AW242&lt;=1),"Alerta",IF(AND(AX242/AW242&gt;1,AX242/AW242&lt;=1.5),"Fazer pedido",IF(AND(AX242/AW242&gt;1.5,AX242/AW242&lt;=2),"Ok",IF(AND(AX242/AW242&gt;2,AX242/AW242&lt;=2.5),"Estabilizando",IF(AND(AX242/AW242&gt;2.5,AX242/AW242&lt;=3),"Cheio","Abaixar preço"))))))</f>
        <v>Algo errado</v>
      </c>
      <c r="AO24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2" s="116">
        <f t="shared" si="12"/>
        <v>45992</v>
      </c>
      <c r="AQ24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2" s="82" cm="1">
        <f t="array" aca="1" ref="AV2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2" s="82" cm="1">
        <f t="array" aca="1" ref="AW2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2" s="82">
        <f>SUM(FluxoEstoqueDateTime[[#This Row],[OVO BRANCO A]:[OVO BRANCO JUMBO]])</f>
        <v>0</v>
      </c>
    </row>
    <row r="243" spans="1:50" x14ac:dyDescent="0.25">
      <c r="A243" s="4" t="s">
        <v>20</v>
      </c>
      <c r="B243" s="55" t="s">
        <v>14</v>
      </c>
      <c r="C243" s="5">
        <v>2</v>
      </c>
      <c r="D243" s="56">
        <v>22</v>
      </c>
      <c r="E243" s="56">
        <v>44</v>
      </c>
      <c r="F243" s="157">
        <v>46180</v>
      </c>
      <c r="G243" s="4" t="s">
        <v>93</v>
      </c>
      <c r="H243" s="4" t="s">
        <v>148</v>
      </c>
      <c r="I243" s="153">
        <v>9.18</v>
      </c>
      <c r="J243" s="12">
        <v>0.20852683708696354</v>
      </c>
      <c r="Z243" s="116">
        <f t="shared" si="10"/>
        <v>45991</v>
      </c>
      <c r="AA24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3" s="116">
        <f t="shared" si="11"/>
        <v>45991</v>
      </c>
      <c r="AI243" s="1" t="str" cm="1">
        <f t="array" ref="AI243">IFERROR(_xlfn.IFS(AQ243="","Sem Produto",AND(AQ243/(AA243/12)&gt;0,AQ243/(AA243/12)&lt;=2),"Acabando",AND(AQ243/(AA243/12)&gt;2,AQ243/(AA243/12)&lt;=3),"Fazer Pedido",AND(AQ243/(AA243/12)&gt;3,AQ243/(AA243/12)&lt;=7),"OK",AND(AQ243/(AA243/12)&gt;7,AQ243/(AA243/12)&lt;=14),"Abaixar Preço",AND(AQ243/(AA243/12)&gt;14,AQ243/(AA243/12)&lt;=20),"Estabilizando",AQ243/(AA243/12)&gt;20,"Instavel"),"Instavel")</f>
        <v>Sem Produto</v>
      </c>
      <c r="AJ243" s="1" t="str" cm="1">
        <f t="array" ref="AJ243">IFERROR(_xlfn.IFS(AR243="","Sem Produto",AND(AR243/(AB243/12)&gt;0,AR243/(AB243/12)&lt;=2),"Acabando",AND(AR243/(AB243/12)&gt;2,AR243/(AB243/12)&lt;=3),"Fazer Pedido",AND(AR243/(AB243/12)&gt;3,AR243/(AB243/12)&lt;=7),"OK",AND(AR243/(AB243/12)&gt;7,AR243/(AB243/12)&lt;=14),"Abaixar Preço",AND(AR243/(AB243/12)&gt;14,AR243/(AB243/12)&lt;=20),"Estabilizando",AR243/(AB243/12)&gt;20,"Instavel"),"Instavel")</f>
        <v>Sem Produto</v>
      </c>
      <c r="AK243" s="1" t="str" cm="1">
        <f t="array" ref="AK243">IFERROR(_xlfn.IFS(AS243="","Sem Produto",AND(AS243/(AC243/12)&gt;0,AS243/(AC243/12)&lt;=2),"Acabando",AND(AS243/(AC243/12)&gt;2,AS243/(AC243/12)&lt;=3),"Fazer Pedido",AND(AS243/(AC243/12)&gt;3,AS243/(AC243/12)&lt;=7),"OK",AND(AS243/(AC243/12)&gt;7,AS243/(AC243/12)&lt;=14),"Abaixar Preço",AND(AS243/(AC243/12)&gt;14,AS243/(AC243/12)&lt;=20),"Estabilizando",AS243/(AC243/12)&gt;20,"Instavel"),"Instavel")</f>
        <v>Sem Produto</v>
      </c>
      <c r="AL243" s="1" t="str" cm="1">
        <f t="array" ref="AL243">IFERROR(_xlfn.IFS(AT243="","Sem Produto",AND(AT243/(AD243/12)&gt;0,AT243/(AD243/12)&lt;=2),"Acabando",AND(AT243/(AD243/12)&gt;2,AT243/(AD243/12)&lt;=3),"Fazer Pedido",AND(AT243/(AD243/12)&gt;3,AT243/(AD243/12)&lt;=7),"OK",AND(AT243/(AD243/12)&gt;7,AT243/(AD243/12)&lt;=14),"Abaixar Preço",AND(AT243/(AD243/12)&gt;14,AT243/(AD243/12)&lt;=20),"Estabilizando",AT243/(AD243/12)&gt;20,"Instavel"),"Instavel")</f>
        <v>Sem Produto</v>
      </c>
      <c r="AM243" s="1" t="str" cm="1">
        <f t="array" ref="AM243">IFERROR(_xlfn.IFS(AU243="","Sem Produto",AND(AU243/(AE243/12)&gt;0,AU243/(AE243/12)&lt;=2),"Acabando",AND(AU243/(AE243/12)&gt;2,AU243/(AE243/12)&lt;=3),"Fazer Pedido",AND(AU243/(AE243/12)&gt;3,AU243/(AE243/12)&lt;=7),"OK",AND(AU243/(AE243/12)&gt;7,AU243/(AE243/12)&lt;=14),"Abaixar Preço",AND(AU243/(AE243/12)&gt;14,AU243/(AE243/12)&lt;=20),"Estabilizando",AU243/(AE243/12)&gt;20,"Instavel"),"Instavel")</f>
        <v>Sem Produto</v>
      </c>
      <c r="AN243" s="1" t="str">
        <f>IF(SUMIF(vendaAno[data],SituaçãoEstoqueFluxo[[#This Row],[data]],vendaAno[estoque])=0,"Algo errado",IF(AND(AX243/AW243&gt;0,AX243/AW243&lt;=1),"Alerta",IF(AND(AX243/AW243&gt;1,AX243/AW243&lt;=1.5),"Fazer pedido",IF(AND(AX243/AW243&gt;1.5,AX243/AW243&lt;=2),"Ok",IF(AND(AX243/AW243&gt;2,AX243/AW243&lt;=2.5),"Estabilizando",IF(AND(AX243/AW243&gt;2.5,AX243/AW243&lt;=3),"Cheio","Abaixar preço"))))))</f>
        <v>Algo errado</v>
      </c>
      <c r="AO24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3" s="116">
        <f t="shared" si="12"/>
        <v>45991</v>
      </c>
      <c r="AQ24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3" s="82" cm="1">
        <f t="array" aca="1" ref="AV2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3" s="82" cm="1">
        <f t="array" aca="1" ref="AW2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3" s="82">
        <f>SUM(FluxoEstoqueDateTime[[#This Row],[OVO BRANCO A]:[OVO BRANCO JUMBO]])</f>
        <v>0</v>
      </c>
    </row>
    <row r="244" spans="1:50" x14ac:dyDescent="0.25">
      <c r="A244" s="4" t="s">
        <v>20</v>
      </c>
      <c r="B244" s="55" t="s">
        <v>13</v>
      </c>
      <c r="C244" s="5">
        <v>9</v>
      </c>
      <c r="D244" s="56">
        <v>20</v>
      </c>
      <c r="E244" s="56">
        <v>180</v>
      </c>
      <c r="F244" s="157">
        <v>46180</v>
      </c>
      <c r="G244" s="4" t="s">
        <v>93</v>
      </c>
      <c r="H244" s="4" t="s">
        <v>148</v>
      </c>
      <c r="I244" s="153">
        <v>32.64</v>
      </c>
      <c r="J244" s="12">
        <v>0.18132716049382708</v>
      </c>
      <c r="Z244" s="116">
        <f t="shared" si="10"/>
        <v>45990</v>
      </c>
      <c r="AA24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4" s="116">
        <f t="shared" si="11"/>
        <v>45990</v>
      </c>
      <c r="AI244" s="1" t="str" cm="1">
        <f t="array" ref="AI244">IFERROR(_xlfn.IFS(AQ244="","Sem Produto",AND(AQ244/(AA244/12)&gt;0,AQ244/(AA244/12)&lt;=2),"Acabando",AND(AQ244/(AA244/12)&gt;2,AQ244/(AA244/12)&lt;=3),"Fazer Pedido",AND(AQ244/(AA244/12)&gt;3,AQ244/(AA244/12)&lt;=7),"OK",AND(AQ244/(AA244/12)&gt;7,AQ244/(AA244/12)&lt;=14),"Abaixar Preço",AND(AQ244/(AA244/12)&gt;14,AQ244/(AA244/12)&lt;=20),"Estabilizando",AQ244/(AA244/12)&gt;20,"Instavel"),"Instavel")</f>
        <v>Sem Produto</v>
      </c>
      <c r="AJ244" s="1" t="str" cm="1">
        <f t="array" ref="AJ244">IFERROR(_xlfn.IFS(AR244="","Sem Produto",AND(AR244/(AB244/12)&gt;0,AR244/(AB244/12)&lt;=2),"Acabando",AND(AR244/(AB244/12)&gt;2,AR244/(AB244/12)&lt;=3),"Fazer Pedido",AND(AR244/(AB244/12)&gt;3,AR244/(AB244/12)&lt;=7),"OK",AND(AR244/(AB244/12)&gt;7,AR244/(AB244/12)&lt;=14),"Abaixar Preço",AND(AR244/(AB244/12)&gt;14,AR244/(AB244/12)&lt;=20),"Estabilizando",AR244/(AB244/12)&gt;20,"Instavel"),"Instavel")</f>
        <v>Sem Produto</v>
      </c>
      <c r="AK244" s="1" t="str" cm="1">
        <f t="array" ref="AK244">IFERROR(_xlfn.IFS(AS244="","Sem Produto",AND(AS244/(AC244/12)&gt;0,AS244/(AC244/12)&lt;=2),"Acabando",AND(AS244/(AC244/12)&gt;2,AS244/(AC244/12)&lt;=3),"Fazer Pedido",AND(AS244/(AC244/12)&gt;3,AS244/(AC244/12)&lt;=7),"OK",AND(AS244/(AC244/12)&gt;7,AS244/(AC244/12)&lt;=14),"Abaixar Preço",AND(AS244/(AC244/12)&gt;14,AS244/(AC244/12)&lt;=20),"Estabilizando",AS244/(AC244/12)&gt;20,"Instavel"),"Instavel")</f>
        <v>Sem Produto</v>
      </c>
      <c r="AL244" s="1" t="str" cm="1">
        <f t="array" ref="AL244">IFERROR(_xlfn.IFS(AT244="","Sem Produto",AND(AT244/(AD244/12)&gt;0,AT244/(AD244/12)&lt;=2),"Acabando",AND(AT244/(AD244/12)&gt;2,AT244/(AD244/12)&lt;=3),"Fazer Pedido",AND(AT244/(AD244/12)&gt;3,AT244/(AD244/12)&lt;=7),"OK",AND(AT244/(AD244/12)&gt;7,AT244/(AD244/12)&lt;=14),"Abaixar Preço",AND(AT244/(AD244/12)&gt;14,AT244/(AD244/12)&lt;=20),"Estabilizando",AT244/(AD244/12)&gt;20,"Instavel"),"Instavel")</f>
        <v>Sem Produto</v>
      </c>
      <c r="AM244" s="1" t="str" cm="1">
        <f t="array" ref="AM244">IFERROR(_xlfn.IFS(AU244="","Sem Produto",AND(AU244/(AE244/12)&gt;0,AU244/(AE244/12)&lt;=2),"Acabando",AND(AU244/(AE244/12)&gt;2,AU244/(AE244/12)&lt;=3),"Fazer Pedido",AND(AU244/(AE244/12)&gt;3,AU244/(AE244/12)&lt;=7),"OK",AND(AU244/(AE244/12)&gt;7,AU244/(AE244/12)&lt;=14),"Abaixar Preço",AND(AU244/(AE244/12)&gt;14,AU244/(AE244/12)&lt;=20),"Estabilizando",AU244/(AE244/12)&gt;20,"Instavel"),"Instavel")</f>
        <v>Sem Produto</v>
      </c>
      <c r="AN244" s="1" t="str">
        <f>IF(SUMIF(vendaAno[data],SituaçãoEstoqueFluxo[[#This Row],[data]],vendaAno[estoque])=0,"Algo errado",IF(AND(AX244/AW244&gt;0,AX244/AW244&lt;=1),"Alerta",IF(AND(AX244/AW244&gt;1,AX244/AW244&lt;=1.5),"Fazer pedido",IF(AND(AX244/AW244&gt;1.5,AX244/AW244&lt;=2),"Ok",IF(AND(AX244/AW244&gt;2,AX244/AW244&lt;=2.5),"Estabilizando",IF(AND(AX244/AW244&gt;2.5,AX244/AW244&lt;=3),"Cheio","Abaixar preço"))))))</f>
        <v>Algo errado</v>
      </c>
      <c r="AO24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4" s="116">
        <f t="shared" si="12"/>
        <v>45990</v>
      </c>
      <c r="AQ24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4" s="82" cm="1">
        <f t="array" aca="1" ref="AV2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4" s="82" cm="1">
        <f t="array" aca="1" ref="AW2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4" s="82">
        <f>SUM(FluxoEstoqueDateTime[[#This Row],[OVO BRANCO A]:[OVO BRANCO JUMBO]])</f>
        <v>0</v>
      </c>
    </row>
    <row r="245" spans="1:50" x14ac:dyDescent="0.25">
      <c r="A245" s="4" t="s">
        <v>20</v>
      </c>
      <c r="B245" s="55" t="s">
        <v>10</v>
      </c>
      <c r="C245" s="5">
        <v>15</v>
      </c>
      <c r="D245" s="56">
        <v>19</v>
      </c>
      <c r="E245" s="56">
        <v>285</v>
      </c>
      <c r="F245" s="157">
        <v>46180</v>
      </c>
      <c r="G245" s="4" t="s">
        <v>93</v>
      </c>
      <c r="H245" s="4" t="s">
        <v>148</v>
      </c>
      <c r="I245" s="153">
        <v>53.35</v>
      </c>
      <c r="J245" s="12">
        <v>0.18719428631354257</v>
      </c>
      <c r="Z245" s="116">
        <f t="shared" si="10"/>
        <v>45989</v>
      </c>
      <c r="AA24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5" s="116">
        <f t="shared" si="11"/>
        <v>45989</v>
      </c>
      <c r="AI245" s="1" t="str" cm="1">
        <f t="array" ref="AI245">IFERROR(_xlfn.IFS(AQ245="","Sem Produto",AND(AQ245/(AA245/12)&gt;0,AQ245/(AA245/12)&lt;=2),"Acabando",AND(AQ245/(AA245/12)&gt;2,AQ245/(AA245/12)&lt;=3),"Fazer Pedido",AND(AQ245/(AA245/12)&gt;3,AQ245/(AA245/12)&lt;=7),"OK",AND(AQ245/(AA245/12)&gt;7,AQ245/(AA245/12)&lt;=14),"Abaixar Preço",AND(AQ245/(AA245/12)&gt;14,AQ245/(AA245/12)&lt;=20),"Estabilizando",AQ245/(AA245/12)&gt;20,"Instavel"),"Instavel")</f>
        <v>Sem Produto</v>
      </c>
      <c r="AJ245" s="1" t="str" cm="1">
        <f t="array" ref="AJ245">IFERROR(_xlfn.IFS(AR245="","Sem Produto",AND(AR245/(AB245/12)&gt;0,AR245/(AB245/12)&lt;=2),"Acabando",AND(AR245/(AB245/12)&gt;2,AR245/(AB245/12)&lt;=3),"Fazer Pedido",AND(AR245/(AB245/12)&gt;3,AR245/(AB245/12)&lt;=7),"OK",AND(AR245/(AB245/12)&gt;7,AR245/(AB245/12)&lt;=14),"Abaixar Preço",AND(AR245/(AB245/12)&gt;14,AR245/(AB245/12)&lt;=20),"Estabilizando",AR245/(AB245/12)&gt;20,"Instavel"),"Instavel")</f>
        <v>Sem Produto</v>
      </c>
      <c r="AK245" s="1" t="str" cm="1">
        <f t="array" ref="AK245">IFERROR(_xlfn.IFS(AS245="","Sem Produto",AND(AS245/(AC245/12)&gt;0,AS245/(AC245/12)&lt;=2),"Acabando",AND(AS245/(AC245/12)&gt;2,AS245/(AC245/12)&lt;=3),"Fazer Pedido",AND(AS245/(AC245/12)&gt;3,AS245/(AC245/12)&lt;=7),"OK",AND(AS245/(AC245/12)&gt;7,AS245/(AC245/12)&lt;=14),"Abaixar Preço",AND(AS245/(AC245/12)&gt;14,AS245/(AC245/12)&lt;=20),"Estabilizando",AS245/(AC245/12)&gt;20,"Instavel"),"Instavel")</f>
        <v>Sem Produto</v>
      </c>
      <c r="AL245" s="1" t="str" cm="1">
        <f t="array" ref="AL245">IFERROR(_xlfn.IFS(AT245="","Sem Produto",AND(AT245/(AD245/12)&gt;0,AT245/(AD245/12)&lt;=2),"Acabando",AND(AT245/(AD245/12)&gt;2,AT245/(AD245/12)&lt;=3),"Fazer Pedido",AND(AT245/(AD245/12)&gt;3,AT245/(AD245/12)&lt;=7),"OK",AND(AT245/(AD245/12)&gt;7,AT245/(AD245/12)&lt;=14),"Abaixar Preço",AND(AT245/(AD245/12)&gt;14,AT245/(AD245/12)&lt;=20),"Estabilizando",AT245/(AD245/12)&gt;20,"Instavel"),"Instavel")</f>
        <v>Sem Produto</v>
      </c>
      <c r="AM245" s="1" t="str" cm="1">
        <f t="array" ref="AM245">IFERROR(_xlfn.IFS(AU245="","Sem Produto",AND(AU245/(AE245/12)&gt;0,AU245/(AE245/12)&lt;=2),"Acabando",AND(AU245/(AE245/12)&gt;2,AU245/(AE245/12)&lt;=3),"Fazer Pedido",AND(AU245/(AE245/12)&gt;3,AU245/(AE245/12)&lt;=7),"OK",AND(AU245/(AE245/12)&gt;7,AU245/(AE245/12)&lt;=14),"Abaixar Preço",AND(AU245/(AE245/12)&gt;14,AU245/(AE245/12)&lt;=20),"Estabilizando",AU245/(AE245/12)&gt;20,"Instavel"),"Instavel")</f>
        <v>Sem Produto</v>
      </c>
      <c r="AN245" s="1" t="str">
        <f>IF(SUMIF(vendaAno[data],SituaçãoEstoqueFluxo[[#This Row],[data]],vendaAno[estoque])=0,"Algo errado",IF(AND(AX245/AW245&gt;0,AX245/AW245&lt;=1),"Alerta",IF(AND(AX245/AW245&gt;1,AX245/AW245&lt;=1.5),"Fazer pedido",IF(AND(AX245/AW245&gt;1.5,AX245/AW245&lt;=2),"Ok",IF(AND(AX245/AW245&gt;2,AX245/AW245&lt;=2.5),"Estabilizando",IF(AND(AX245/AW245&gt;2.5,AX245/AW245&lt;=3),"Cheio","Abaixar preço"))))))</f>
        <v>Algo errado</v>
      </c>
      <c r="AO24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5" s="116">
        <f t="shared" si="12"/>
        <v>45989</v>
      </c>
      <c r="AQ24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5" s="82" cm="1">
        <f t="array" aca="1" ref="AV2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5" s="82" cm="1">
        <f t="array" aca="1" ref="AW2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5" s="82">
        <f>SUM(FluxoEstoqueDateTime[[#This Row],[OVO BRANCO A]:[OVO BRANCO JUMBO]])</f>
        <v>0</v>
      </c>
    </row>
    <row r="246" spans="1:50" x14ac:dyDescent="0.25">
      <c r="A246" s="4" t="s">
        <v>20</v>
      </c>
      <c r="B246" s="55" t="s">
        <v>14</v>
      </c>
      <c r="C246" s="5">
        <v>3</v>
      </c>
      <c r="D246" s="56">
        <v>22</v>
      </c>
      <c r="E246" s="56">
        <v>66</v>
      </c>
      <c r="F246" s="157">
        <v>46179</v>
      </c>
      <c r="G246" s="4" t="s">
        <v>92</v>
      </c>
      <c r="H246" s="4" t="s">
        <v>148</v>
      </c>
      <c r="I246" s="153">
        <v>13.76</v>
      </c>
      <c r="J246" s="12">
        <v>0.20852683708696354</v>
      </c>
      <c r="Z246" s="116">
        <f t="shared" si="10"/>
        <v>45988</v>
      </c>
      <c r="AA24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6" s="116">
        <f t="shared" si="11"/>
        <v>45988</v>
      </c>
      <c r="AI246" s="1" t="str" cm="1">
        <f t="array" ref="AI246">IFERROR(_xlfn.IFS(AQ246="","Sem Produto",AND(AQ246/(AA246/12)&gt;0,AQ246/(AA246/12)&lt;=2),"Acabando",AND(AQ246/(AA246/12)&gt;2,AQ246/(AA246/12)&lt;=3),"Fazer Pedido",AND(AQ246/(AA246/12)&gt;3,AQ246/(AA246/12)&lt;=7),"OK",AND(AQ246/(AA246/12)&gt;7,AQ246/(AA246/12)&lt;=14),"Abaixar Preço",AND(AQ246/(AA246/12)&gt;14,AQ246/(AA246/12)&lt;=20),"Estabilizando",AQ246/(AA246/12)&gt;20,"Instavel"),"Instavel")</f>
        <v>Sem Produto</v>
      </c>
      <c r="AJ246" s="1" t="str" cm="1">
        <f t="array" ref="AJ246">IFERROR(_xlfn.IFS(AR246="","Sem Produto",AND(AR246/(AB246/12)&gt;0,AR246/(AB246/12)&lt;=2),"Acabando",AND(AR246/(AB246/12)&gt;2,AR246/(AB246/12)&lt;=3),"Fazer Pedido",AND(AR246/(AB246/12)&gt;3,AR246/(AB246/12)&lt;=7),"OK",AND(AR246/(AB246/12)&gt;7,AR246/(AB246/12)&lt;=14),"Abaixar Preço",AND(AR246/(AB246/12)&gt;14,AR246/(AB246/12)&lt;=20),"Estabilizando",AR246/(AB246/12)&gt;20,"Instavel"),"Instavel")</f>
        <v>Sem Produto</v>
      </c>
      <c r="AK246" s="1" t="str" cm="1">
        <f t="array" ref="AK246">IFERROR(_xlfn.IFS(AS246="","Sem Produto",AND(AS246/(AC246/12)&gt;0,AS246/(AC246/12)&lt;=2),"Acabando",AND(AS246/(AC246/12)&gt;2,AS246/(AC246/12)&lt;=3),"Fazer Pedido",AND(AS246/(AC246/12)&gt;3,AS246/(AC246/12)&lt;=7),"OK",AND(AS246/(AC246/12)&gt;7,AS246/(AC246/12)&lt;=14),"Abaixar Preço",AND(AS246/(AC246/12)&gt;14,AS246/(AC246/12)&lt;=20),"Estabilizando",AS246/(AC246/12)&gt;20,"Instavel"),"Instavel")</f>
        <v>Sem Produto</v>
      </c>
      <c r="AL246" s="1" t="str" cm="1">
        <f t="array" ref="AL246">IFERROR(_xlfn.IFS(AT246="","Sem Produto",AND(AT246/(AD246/12)&gt;0,AT246/(AD246/12)&lt;=2),"Acabando",AND(AT246/(AD246/12)&gt;2,AT246/(AD246/12)&lt;=3),"Fazer Pedido",AND(AT246/(AD246/12)&gt;3,AT246/(AD246/12)&lt;=7),"OK",AND(AT246/(AD246/12)&gt;7,AT246/(AD246/12)&lt;=14),"Abaixar Preço",AND(AT246/(AD246/12)&gt;14,AT246/(AD246/12)&lt;=20),"Estabilizando",AT246/(AD246/12)&gt;20,"Instavel"),"Instavel")</f>
        <v>Sem Produto</v>
      </c>
      <c r="AM246" s="1" t="str" cm="1">
        <f t="array" ref="AM246">IFERROR(_xlfn.IFS(AU246="","Sem Produto",AND(AU246/(AE246/12)&gt;0,AU246/(AE246/12)&lt;=2),"Acabando",AND(AU246/(AE246/12)&gt;2,AU246/(AE246/12)&lt;=3),"Fazer Pedido",AND(AU246/(AE246/12)&gt;3,AU246/(AE246/12)&lt;=7),"OK",AND(AU246/(AE246/12)&gt;7,AU246/(AE246/12)&lt;=14),"Abaixar Preço",AND(AU246/(AE246/12)&gt;14,AU246/(AE246/12)&lt;=20),"Estabilizando",AU246/(AE246/12)&gt;20,"Instavel"),"Instavel")</f>
        <v>Sem Produto</v>
      </c>
      <c r="AN246" s="1" t="str">
        <f>IF(SUMIF(vendaAno[data],SituaçãoEstoqueFluxo[[#This Row],[data]],vendaAno[estoque])=0,"Algo errado",IF(AND(AX246/AW246&gt;0,AX246/AW246&lt;=1),"Alerta",IF(AND(AX246/AW246&gt;1,AX246/AW246&lt;=1.5),"Fazer pedido",IF(AND(AX246/AW246&gt;1.5,AX246/AW246&lt;=2),"Ok",IF(AND(AX246/AW246&gt;2,AX246/AW246&lt;=2.5),"Estabilizando",IF(AND(AX246/AW246&gt;2.5,AX246/AW246&lt;=3),"Cheio","Abaixar preço"))))))</f>
        <v>Algo errado</v>
      </c>
      <c r="AO24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6" s="116">
        <f t="shared" si="12"/>
        <v>45988</v>
      </c>
      <c r="AQ24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6" s="82" cm="1">
        <f t="array" aca="1" ref="AV2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6" s="82" cm="1">
        <f t="array" aca="1" ref="AW2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6" s="82">
        <f>SUM(FluxoEstoqueDateTime[[#This Row],[OVO BRANCO A]:[OVO BRANCO JUMBO]])</f>
        <v>0</v>
      </c>
    </row>
    <row r="247" spans="1:50" x14ac:dyDescent="0.25">
      <c r="A247" s="4" t="s">
        <v>20</v>
      </c>
      <c r="B247" s="55" t="s">
        <v>13</v>
      </c>
      <c r="C247" s="5">
        <v>3</v>
      </c>
      <c r="D247" s="56">
        <v>20</v>
      </c>
      <c r="E247" s="56">
        <v>60</v>
      </c>
      <c r="F247" s="157">
        <v>46179</v>
      </c>
      <c r="G247" s="4" t="s">
        <v>92</v>
      </c>
      <c r="H247" s="4" t="s">
        <v>148</v>
      </c>
      <c r="I247" s="153">
        <v>10.88</v>
      </c>
      <c r="J247" s="12">
        <v>0.18132716049382705</v>
      </c>
      <c r="Z247" s="116">
        <f t="shared" si="10"/>
        <v>45987</v>
      </c>
      <c r="AA24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7" s="116">
        <f t="shared" si="11"/>
        <v>45987</v>
      </c>
      <c r="AI247" s="1" t="str" cm="1">
        <f t="array" ref="AI247">IFERROR(_xlfn.IFS(AQ247="","Sem Produto",AND(AQ247/(AA247/12)&gt;0,AQ247/(AA247/12)&lt;=2),"Acabando",AND(AQ247/(AA247/12)&gt;2,AQ247/(AA247/12)&lt;=3),"Fazer Pedido",AND(AQ247/(AA247/12)&gt;3,AQ247/(AA247/12)&lt;=7),"OK",AND(AQ247/(AA247/12)&gt;7,AQ247/(AA247/12)&lt;=14),"Abaixar Preço",AND(AQ247/(AA247/12)&gt;14,AQ247/(AA247/12)&lt;=20),"Estabilizando",AQ247/(AA247/12)&gt;20,"Instavel"),"Instavel")</f>
        <v>Sem Produto</v>
      </c>
      <c r="AJ247" s="1" t="str" cm="1">
        <f t="array" ref="AJ247">IFERROR(_xlfn.IFS(AR247="","Sem Produto",AND(AR247/(AB247/12)&gt;0,AR247/(AB247/12)&lt;=2),"Acabando",AND(AR247/(AB247/12)&gt;2,AR247/(AB247/12)&lt;=3),"Fazer Pedido",AND(AR247/(AB247/12)&gt;3,AR247/(AB247/12)&lt;=7),"OK",AND(AR247/(AB247/12)&gt;7,AR247/(AB247/12)&lt;=14),"Abaixar Preço",AND(AR247/(AB247/12)&gt;14,AR247/(AB247/12)&lt;=20),"Estabilizando",AR247/(AB247/12)&gt;20,"Instavel"),"Instavel")</f>
        <v>Sem Produto</v>
      </c>
      <c r="AK247" s="1" t="str" cm="1">
        <f t="array" ref="AK247">IFERROR(_xlfn.IFS(AS247="","Sem Produto",AND(AS247/(AC247/12)&gt;0,AS247/(AC247/12)&lt;=2),"Acabando",AND(AS247/(AC247/12)&gt;2,AS247/(AC247/12)&lt;=3),"Fazer Pedido",AND(AS247/(AC247/12)&gt;3,AS247/(AC247/12)&lt;=7),"OK",AND(AS247/(AC247/12)&gt;7,AS247/(AC247/12)&lt;=14),"Abaixar Preço",AND(AS247/(AC247/12)&gt;14,AS247/(AC247/12)&lt;=20),"Estabilizando",AS247/(AC247/12)&gt;20,"Instavel"),"Instavel")</f>
        <v>Sem Produto</v>
      </c>
      <c r="AL247" s="1" t="str" cm="1">
        <f t="array" ref="AL247">IFERROR(_xlfn.IFS(AT247="","Sem Produto",AND(AT247/(AD247/12)&gt;0,AT247/(AD247/12)&lt;=2),"Acabando",AND(AT247/(AD247/12)&gt;2,AT247/(AD247/12)&lt;=3),"Fazer Pedido",AND(AT247/(AD247/12)&gt;3,AT247/(AD247/12)&lt;=7),"OK",AND(AT247/(AD247/12)&gt;7,AT247/(AD247/12)&lt;=14),"Abaixar Preço",AND(AT247/(AD247/12)&gt;14,AT247/(AD247/12)&lt;=20),"Estabilizando",AT247/(AD247/12)&gt;20,"Instavel"),"Instavel")</f>
        <v>Sem Produto</v>
      </c>
      <c r="AM247" s="1" t="str" cm="1">
        <f t="array" ref="AM247">IFERROR(_xlfn.IFS(AU247="","Sem Produto",AND(AU247/(AE247/12)&gt;0,AU247/(AE247/12)&lt;=2),"Acabando",AND(AU247/(AE247/12)&gt;2,AU247/(AE247/12)&lt;=3),"Fazer Pedido",AND(AU247/(AE247/12)&gt;3,AU247/(AE247/12)&lt;=7),"OK",AND(AU247/(AE247/12)&gt;7,AU247/(AE247/12)&lt;=14),"Abaixar Preço",AND(AU247/(AE247/12)&gt;14,AU247/(AE247/12)&lt;=20),"Estabilizando",AU247/(AE247/12)&gt;20,"Instavel"),"Instavel")</f>
        <v>Sem Produto</v>
      </c>
      <c r="AN247" s="1" t="str">
        <f>IF(SUMIF(vendaAno[data],SituaçãoEstoqueFluxo[[#This Row],[data]],vendaAno[estoque])=0,"Algo errado",IF(AND(AX247/AW247&gt;0,AX247/AW247&lt;=1),"Alerta",IF(AND(AX247/AW247&gt;1,AX247/AW247&lt;=1.5),"Fazer pedido",IF(AND(AX247/AW247&gt;1.5,AX247/AW247&lt;=2),"Ok",IF(AND(AX247/AW247&gt;2,AX247/AW247&lt;=2.5),"Estabilizando",IF(AND(AX247/AW247&gt;2.5,AX247/AW247&lt;=3),"Cheio","Abaixar preço"))))))</f>
        <v>Algo errado</v>
      </c>
      <c r="AO24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7" s="116">
        <f t="shared" si="12"/>
        <v>45987</v>
      </c>
      <c r="AQ24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7" s="82" cm="1">
        <f t="array" aca="1" ref="AV2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7" s="82" cm="1">
        <f t="array" aca="1" ref="AW2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7" s="82">
        <f>SUM(FluxoEstoqueDateTime[[#This Row],[OVO BRANCO A]:[OVO BRANCO JUMBO]])</f>
        <v>0</v>
      </c>
    </row>
    <row r="248" spans="1:50" x14ac:dyDescent="0.25">
      <c r="A248" s="4" t="s">
        <v>20</v>
      </c>
      <c r="B248" s="55" t="s">
        <v>11</v>
      </c>
      <c r="C248" s="5">
        <v>5</v>
      </c>
      <c r="D248" s="56">
        <v>18</v>
      </c>
      <c r="E248" s="56">
        <v>90</v>
      </c>
      <c r="F248" s="157">
        <v>46179</v>
      </c>
      <c r="G248" s="4" t="s">
        <v>92</v>
      </c>
      <c r="H248" s="4" t="s">
        <v>148</v>
      </c>
      <c r="I248" s="153">
        <v>16.48</v>
      </c>
      <c r="J248" s="12">
        <v>0.18310322156476014</v>
      </c>
      <c r="Z248" s="116">
        <f t="shared" si="10"/>
        <v>45986</v>
      </c>
      <c r="AA24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8" s="116">
        <f t="shared" si="11"/>
        <v>45986</v>
      </c>
      <c r="AI248" s="1" t="str" cm="1">
        <f t="array" ref="AI248">IFERROR(_xlfn.IFS(AQ248="","Sem Produto",AND(AQ248/(AA248/12)&gt;0,AQ248/(AA248/12)&lt;=2),"Acabando",AND(AQ248/(AA248/12)&gt;2,AQ248/(AA248/12)&lt;=3),"Fazer Pedido",AND(AQ248/(AA248/12)&gt;3,AQ248/(AA248/12)&lt;=7),"OK",AND(AQ248/(AA248/12)&gt;7,AQ248/(AA248/12)&lt;=14),"Abaixar Preço",AND(AQ248/(AA248/12)&gt;14,AQ248/(AA248/12)&lt;=20),"Estabilizando",AQ248/(AA248/12)&gt;20,"Instavel"),"Instavel")</f>
        <v>Sem Produto</v>
      </c>
      <c r="AJ248" s="1" t="str" cm="1">
        <f t="array" ref="AJ248">IFERROR(_xlfn.IFS(AR248="","Sem Produto",AND(AR248/(AB248/12)&gt;0,AR248/(AB248/12)&lt;=2),"Acabando",AND(AR248/(AB248/12)&gt;2,AR248/(AB248/12)&lt;=3),"Fazer Pedido",AND(AR248/(AB248/12)&gt;3,AR248/(AB248/12)&lt;=7),"OK",AND(AR248/(AB248/12)&gt;7,AR248/(AB248/12)&lt;=14),"Abaixar Preço",AND(AR248/(AB248/12)&gt;14,AR248/(AB248/12)&lt;=20),"Estabilizando",AR248/(AB248/12)&gt;20,"Instavel"),"Instavel")</f>
        <v>Sem Produto</v>
      </c>
      <c r="AK248" s="1" t="str" cm="1">
        <f t="array" ref="AK248">IFERROR(_xlfn.IFS(AS248="","Sem Produto",AND(AS248/(AC248/12)&gt;0,AS248/(AC248/12)&lt;=2),"Acabando",AND(AS248/(AC248/12)&gt;2,AS248/(AC248/12)&lt;=3),"Fazer Pedido",AND(AS248/(AC248/12)&gt;3,AS248/(AC248/12)&lt;=7),"OK",AND(AS248/(AC248/12)&gt;7,AS248/(AC248/12)&lt;=14),"Abaixar Preço",AND(AS248/(AC248/12)&gt;14,AS248/(AC248/12)&lt;=20),"Estabilizando",AS248/(AC248/12)&gt;20,"Instavel"),"Instavel")</f>
        <v>Sem Produto</v>
      </c>
      <c r="AL248" s="1" t="str" cm="1">
        <f t="array" ref="AL248">IFERROR(_xlfn.IFS(AT248="","Sem Produto",AND(AT248/(AD248/12)&gt;0,AT248/(AD248/12)&lt;=2),"Acabando",AND(AT248/(AD248/12)&gt;2,AT248/(AD248/12)&lt;=3),"Fazer Pedido",AND(AT248/(AD248/12)&gt;3,AT248/(AD248/12)&lt;=7),"OK",AND(AT248/(AD248/12)&gt;7,AT248/(AD248/12)&lt;=14),"Abaixar Preço",AND(AT248/(AD248/12)&gt;14,AT248/(AD248/12)&lt;=20),"Estabilizando",AT248/(AD248/12)&gt;20,"Instavel"),"Instavel")</f>
        <v>Sem Produto</v>
      </c>
      <c r="AM248" s="1" t="str" cm="1">
        <f t="array" ref="AM248">IFERROR(_xlfn.IFS(AU248="","Sem Produto",AND(AU248/(AE248/12)&gt;0,AU248/(AE248/12)&lt;=2),"Acabando",AND(AU248/(AE248/12)&gt;2,AU248/(AE248/12)&lt;=3),"Fazer Pedido",AND(AU248/(AE248/12)&gt;3,AU248/(AE248/12)&lt;=7),"OK",AND(AU248/(AE248/12)&gt;7,AU248/(AE248/12)&lt;=14),"Abaixar Preço",AND(AU248/(AE248/12)&gt;14,AU248/(AE248/12)&lt;=20),"Estabilizando",AU248/(AE248/12)&gt;20,"Instavel"),"Instavel")</f>
        <v>Sem Produto</v>
      </c>
      <c r="AN248" s="1" t="str">
        <f>IF(SUMIF(vendaAno[data],SituaçãoEstoqueFluxo[[#This Row],[data]],vendaAno[estoque])=0,"Algo errado",IF(AND(AX248/AW248&gt;0,AX248/AW248&lt;=1),"Alerta",IF(AND(AX248/AW248&gt;1,AX248/AW248&lt;=1.5),"Fazer pedido",IF(AND(AX248/AW248&gt;1.5,AX248/AW248&lt;=2),"Ok",IF(AND(AX248/AW248&gt;2,AX248/AW248&lt;=2.5),"Estabilizando",IF(AND(AX248/AW248&gt;2.5,AX248/AW248&lt;=3),"Cheio","Abaixar preço"))))))</f>
        <v>Algo errado</v>
      </c>
      <c r="AO24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8" s="116">
        <f t="shared" si="12"/>
        <v>45986</v>
      </c>
      <c r="AQ24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8" s="82" cm="1">
        <f t="array" aca="1" ref="AV2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8" s="82" cm="1">
        <f t="array" aca="1" ref="AW2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8" s="82">
        <f>SUM(FluxoEstoqueDateTime[[#This Row],[OVO BRANCO A]:[OVO BRANCO JUMBO]])</f>
        <v>0</v>
      </c>
    </row>
    <row r="249" spans="1:50" x14ac:dyDescent="0.25">
      <c r="A249" s="4" t="s">
        <v>20</v>
      </c>
      <c r="B249" s="55" t="s">
        <v>10</v>
      </c>
      <c r="C249" s="5">
        <v>4</v>
      </c>
      <c r="D249" s="56">
        <v>19</v>
      </c>
      <c r="E249" s="56">
        <v>76</v>
      </c>
      <c r="F249" s="157">
        <v>46179</v>
      </c>
      <c r="G249" s="4" t="s">
        <v>92</v>
      </c>
      <c r="H249" s="4" t="s">
        <v>148</v>
      </c>
      <c r="I249" s="153">
        <v>14.23</v>
      </c>
      <c r="J249" s="12">
        <v>0.18719428631354257</v>
      </c>
      <c r="Z249" s="116">
        <f t="shared" si="10"/>
        <v>45985</v>
      </c>
      <c r="AA24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4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4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4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4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4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49" s="116">
        <f t="shared" si="11"/>
        <v>45985</v>
      </c>
      <c r="AI249" s="1" t="str" cm="1">
        <f t="array" ref="AI249">IFERROR(_xlfn.IFS(AQ249="","Sem Produto",AND(AQ249/(AA249/12)&gt;0,AQ249/(AA249/12)&lt;=2),"Acabando",AND(AQ249/(AA249/12)&gt;2,AQ249/(AA249/12)&lt;=3),"Fazer Pedido",AND(AQ249/(AA249/12)&gt;3,AQ249/(AA249/12)&lt;=7),"OK",AND(AQ249/(AA249/12)&gt;7,AQ249/(AA249/12)&lt;=14),"Abaixar Preço",AND(AQ249/(AA249/12)&gt;14,AQ249/(AA249/12)&lt;=20),"Estabilizando",AQ249/(AA249/12)&gt;20,"Instavel"),"Instavel")</f>
        <v>Sem Produto</v>
      </c>
      <c r="AJ249" s="1" t="str" cm="1">
        <f t="array" ref="AJ249">IFERROR(_xlfn.IFS(AR249="","Sem Produto",AND(AR249/(AB249/12)&gt;0,AR249/(AB249/12)&lt;=2),"Acabando",AND(AR249/(AB249/12)&gt;2,AR249/(AB249/12)&lt;=3),"Fazer Pedido",AND(AR249/(AB249/12)&gt;3,AR249/(AB249/12)&lt;=7),"OK",AND(AR249/(AB249/12)&gt;7,AR249/(AB249/12)&lt;=14),"Abaixar Preço",AND(AR249/(AB249/12)&gt;14,AR249/(AB249/12)&lt;=20),"Estabilizando",AR249/(AB249/12)&gt;20,"Instavel"),"Instavel")</f>
        <v>Sem Produto</v>
      </c>
      <c r="AK249" s="1" t="str" cm="1">
        <f t="array" ref="AK249">IFERROR(_xlfn.IFS(AS249="","Sem Produto",AND(AS249/(AC249/12)&gt;0,AS249/(AC249/12)&lt;=2),"Acabando",AND(AS249/(AC249/12)&gt;2,AS249/(AC249/12)&lt;=3),"Fazer Pedido",AND(AS249/(AC249/12)&gt;3,AS249/(AC249/12)&lt;=7),"OK",AND(AS249/(AC249/12)&gt;7,AS249/(AC249/12)&lt;=14),"Abaixar Preço",AND(AS249/(AC249/12)&gt;14,AS249/(AC249/12)&lt;=20),"Estabilizando",AS249/(AC249/12)&gt;20,"Instavel"),"Instavel")</f>
        <v>Sem Produto</v>
      </c>
      <c r="AL249" s="1" t="str" cm="1">
        <f t="array" ref="AL249">IFERROR(_xlfn.IFS(AT249="","Sem Produto",AND(AT249/(AD249/12)&gt;0,AT249/(AD249/12)&lt;=2),"Acabando",AND(AT249/(AD249/12)&gt;2,AT249/(AD249/12)&lt;=3),"Fazer Pedido",AND(AT249/(AD249/12)&gt;3,AT249/(AD249/12)&lt;=7),"OK",AND(AT249/(AD249/12)&gt;7,AT249/(AD249/12)&lt;=14),"Abaixar Preço",AND(AT249/(AD249/12)&gt;14,AT249/(AD249/12)&lt;=20),"Estabilizando",AT249/(AD249/12)&gt;20,"Instavel"),"Instavel")</f>
        <v>Sem Produto</v>
      </c>
      <c r="AM249" s="1" t="str" cm="1">
        <f t="array" ref="AM249">IFERROR(_xlfn.IFS(AU249="","Sem Produto",AND(AU249/(AE249/12)&gt;0,AU249/(AE249/12)&lt;=2),"Acabando",AND(AU249/(AE249/12)&gt;2,AU249/(AE249/12)&lt;=3),"Fazer Pedido",AND(AU249/(AE249/12)&gt;3,AU249/(AE249/12)&lt;=7),"OK",AND(AU249/(AE249/12)&gt;7,AU249/(AE249/12)&lt;=14),"Abaixar Preço",AND(AU249/(AE249/12)&gt;14,AU249/(AE249/12)&lt;=20),"Estabilizando",AU249/(AE249/12)&gt;20,"Instavel"),"Instavel")</f>
        <v>Sem Produto</v>
      </c>
      <c r="AN249" s="1" t="str">
        <f>IF(SUMIF(vendaAno[data],SituaçãoEstoqueFluxo[[#This Row],[data]],vendaAno[estoque])=0,"Algo errado",IF(AND(AX249/AW249&gt;0,AX249/AW249&lt;=1),"Alerta",IF(AND(AX249/AW249&gt;1,AX249/AW249&lt;=1.5),"Fazer pedido",IF(AND(AX249/AW249&gt;1.5,AX249/AW249&lt;=2),"Ok",IF(AND(AX249/AW249&gt;2,AX249/AW249&lt;=2.5),"Estabilizando",IF(AND(AX249/AW249&gt;2.5,AX249/AW249&lt;=3),"Cheio","Abaixar preço"))))))</f>
        <v>Algo errado</v>
      </c>
      <c r="AO24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49" s="116">
        <f t="shared" si="12"/>
        <v>45985</v>
      </c>
      <c r="AQ24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4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4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4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49" s="82" cm="1">
        <f t="array" aca="1" ref="AV2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49" s="82" cm="1">
        <f t="array" aca="1" ref="AW2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49" s="82">
        <f>SUM(FluxoEstoqueDateTime[[#This Row],[OVO BRANCO A]:[OVO BRANCO JUMBO]])</f>
        <v>0</v>
      </c>
    </row>
    <row r="250" spans="1:50" x14ac:dyDescent="0.25">
      <c r="A250" s="4" t="s">
        <v>20</v>
      </c>
      <c r="B250" s="55" t="s">
        <v>14</v>
      </c>
      <c r="C250" s="5">
        <v>5</v>
      </c>
      <c r="D250" s="56">
        <v>22</v>
      </c>
      <c r="E250" s="56">
        <v>110</v>
      </c>
      <c r="F250" s="157">
        <v>46178</v>
      </c>
      <c r="G250" s="4" t="s">
        <v>83</v>
      </c>
      <c r="H250" s="4" t="s">
        <v>148</v>
      </c>
      <c r="I250" s="153">
        <v>22.94</v>
      </c>
      <c r="J250" s="12">
        <v>0.20852683708696354</v>
      </c>
      <c r="Z250" s="116">
        <f t="shared" si="10"/>
        <v>45984</v>
      </c>
      <c r="AA25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0" s="116">
        <f t="shared" si="11"/>
        <v>45984</v>
      </c>
      <c r="AI250" s="1" t="str" cm="1">
        <f t="array" ref="AI250">IFERROR(_xlfn.IFS(AQ250="","Sem Produto",AND(AQ250/(AA250/12)&gt;0,AQ250/(AA250/12)&lt;=2),"Acabando",AND(AQ250/(AA250/12)&gt;2,AQ250/(AA250/12)&lt;=3),"Fazer Pedido",AND(AQ250/(AA250/12)&gt;3,AQ250/(AA250/12)&lt;=7),"OK",AND(AQ250/(AA250/12)&gt;7,AQ250/(AA250/12)&lt;=14),"Abaixar Preço",AND(AQ250/(AA250/12)&gt;14,AQ250/(AA250/12)&lt;=20),"Estabilizando",AQ250/(AA250/12)&gt;20,"Instavel"),"Instavel")</f>
        <v>Sem Produto</v>
      </c>
      <c r="AJ250" s="1" t="str" cm="1">
        <f t="array" ref="AJ250">IFERROR(_xlfn.IFS(AR250="","Sem Produto",AND(AR250/(AB250/12)&gt;0,AR250/(AB250/12)&lt;=2),"Acabando",AND(AR250/(AB250/12)&gt;2,AR250/(AB250/12)&lt;=3),"Fazer Pedido",AND(AR250/(AB250/12)&gt;3,AR250/(AB250/12)&lt;=7),"OK",AND(AR250/(AB250/12)&gt;7,AR250/(AB250/12)&lt;=14),"Abaixar Preço",AND(AR250/(AB250/12)&gt;14,AR250/(AB250/12)&lt;=20),"Estabilizando",AR250/(AB250/12)&gt;20,"Instavel"),"Instavel")</f>
        <v>Sem Produto</v>
      </c>
      <c r="AK250" s="1" t="str" cm="1">
        <f t="array" ref="AK250">IFERROR(_xlfn.IFS(AS250="","Sem Produto",AND(AS250/(AC250/12)&gt;0,AS250/(AC250/12)&lt;=2),"Acabando",AND(AS250/(AC250/12)&gt;2,AS250/(AC250/12)&lt;=3),"Fazer Pedido",AND(AS250/(AC250/12)&gt;3,AS250/(AC250/12)&lt;=7),"OK",AND(AS250/(AC250/12)&gt;7,AS250/(AC250/12)&lt;=14),"Abaixar Preço",AND(AS250/(AC250/12)&gt;14,AS250/(AC250/12)&lt;=20),"Estabilizando",AS250/(AC250/12)&gt;20,"Instavel"),"Instavel")</f>
        <v>Sem Produto</v>
      </c>
      <c r="AL250" s="1" t="str" cm="1">
        <f t="array" ref="AL250">IFERROR(_xlfn.IFS(AT250="","Sem Produto",AND(AT250/(AD250/12)&gt;0,AT250/(AD250/12)&lt;=2),"Acabando",AND(AT250/(AD250/12)&gt;2,AT250/(AD250/12)&lt;=3),"Fazer Pedido",AND(AT250/(AD250/12)&gt;3,AT250/(AD250/12)&lt;=7),"OK",AND(AT250/(AD250/12)&gt;7,AT250/(AD250/12)&lt;=14),"Abaixar Preço",AND(AT250/(AD250/12)&gt;14,AT250/(AD250/12)&lt;=20),"Estabilizando",AT250/(AD250/12)&gt;20,"Instavel"),"Instavel")</f>
        <v>Sem Produto</v>
      </c>
      <c r="AM250" s="1" t="str" cm="1">
        <f t="array" ref="AM250">IFERROR(_xlfn.IFS(AU250="","Sem Produto",AND(AU250/(AE250/12)&gt;0,AU250/(AE250/12)&lt;=2),"Acabando",AND(AU250/(AE250/12)&gt;2,AU250/(AE250/12)&lt;=3),"Fazer Pedido",AND(AU250/(AE250/12)&gt;3,AU250/(AE250/12)&lt;=7),"OK",AND(AU250/(AE250/12)&gt;7,AU250/(AE250/12)&lt;=14),"Abaixar Preço",AND(AU250/(AE250/12)&gt;14,AU250/(AE250/12)&lt;=20),"Estabilizando",AU250/(AE250/12)&gt;20,"Instavel"),"Instavel")</f>
        <v>Sem Produto</v>
      </c>
      <c r="AN250" s="1" t="str">
        <f>IF(SUMIF(vendaAno[data],SituaçãoEstoqueFluxo[[#This Row],[data]],vendaAno[estoque])=0,"Algo errado",IF(AND(AX250/AW250&gt;0,AX250/AW250&lt;=1),"Alerta",IF(AND(AX250/AW250&gt;1,AX250/AW250&lt;=1.5),"Fazer pedido",IF(AND(AX250/AW250&gt;1.5,AX250/AW250&lt;=2),"Ok",IF(AND(AX250/AW250&gt;2,AX250/AW250&lt;=2.5),"Estabilizando",IF(AND(AX250/AW250&gt;2.5,AX250/AW250&lt;=3),"Cheio","Abaixar preço"))))))</f>
        <v>Algo errado</v>
      </c>
      <c r="AO25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0" s="116">
        <f t="shared" si="12"/>
        <v>45984</v>
      </c>
      <c r="AQ25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0" s="82" cm="1">
        <f t="array" aca="1" ref="AV2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0" s="82" cm="1">
        <f t="array" aca="1" ref="AW2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0" s="82">
        <f>SUM(FluxoEstoqueDateTime[[#This Row],[OVO BRANCO A]:[OVO BRANCO JUMBO]])</f>
        <v>0</v>
      </c>
    </row>
    <row r="251" spans="1:50" x14ac:dyDescent="0.25">
      <c r="A251" s="4" t="s">
        <v>20</v>
      </c>
      <c r="B251" s="55" t="s">
        <v>13</v>
      </c>
      <c r="C251" s="5">
        <v>9</v>
      </c>
      <c r="D251" s="56">
        <v>20</v>
      </c>
      <c r="E251" s="56">
        <v>180</v>
      </c>
      <c r="F251" s="157">
        <v>46178</v>
      </c>
      <c r="G251" s="4" t="s">
        <v>83</v>
      </c>
      <c r="H251" s="4" t="s">
        <v>148</v>
      </c>
      <c r="I251" s="153">
        <v>32.64</v>
      </c>
      <c r="J251" s="12">
        <v>0.18132716049382708</v>
      </c>
      <c r="Z251" s="116">
        <f t="shared" si="10"/>
        <v>45983</v>
      </c>
      <c r="AA25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1" s="116">
        <f t="shared" si="11"/>
        <v>45983</v>
      </c>
      <c r="AI251" s="1" t="str" cm="1">
        <f t="array" ref="AI251">IFERROR(_xlfn.IFS(AQ251="","Sem Produto",AND(AQ251/(AA251/12)&gt;0,AQ251/(AA251/12)&lt;=2),"Acabando",AND(AQ251/(AA251/12)&gt;2,AQ251/(AA251/12)&lt;=3),"Fazer Pedido",AND(AQ251/(AA251/12)&gt;3,AQ251/(AA251/12)&lt;=7),"OK",AND(AQ251/(AA251/12)&gt;7,AQ251/(AA251/12)&lt;=14),"Abaixar Preço",AND(AQ251/(AA251/12)&gt;14,AQ251/(AA251/12)&lt;=20),"Estabilizando",AQ251/(AA251/12)&gt;20,"Instavel"),"Instavel")</f>
        <v>Sem Produto</v>
      </c>
      <c r="AJ251" s="1" t="str" cm="1">
        <f t="array" ref="AJ251">IFERROR(_xlfn.IFS(AR251="","Sem Produto",AND(AR251/(AB251/12)&gt;0,AR251/(AB251/12)&lt;=2),"Acabando",AND(AR251/(AB251/12)&gt;2,AR251/(AB251/12)&lt;=3),"Fazer Pedido",AND(AR251/(AB251/12)&gt;3,AR251/(AB251/12)&lt;=7),"OK",AND(AR251/(AB251/12)&gt;7,AR251/(AB251/12)&lt;=14),"Abaixar Preço",AND(AR251/(AB251/12)&gt;14,AR251/(AB251/12)&lt;=20),"Estabilizando",AR251/(AB251/12)&gt;20,"Instavel"),"Instavel")</f>
        <v>Sem Produto</v>
      </c>
      <c r="AK251" s="1" t="str" cm="1">
        <f t="array" ref="AK251">IFERROR(_xlfn.IFS(AS251="","Sem Produto",AND(AS251/(AC251/12)&gt;0,AS251/(AC251/12)&lt;=2),"Acabando",AND(AS251/(AC251/12)&gt;2,AS251/(AC251/12)&lt;=3),"Fazer Pedido",AND(AS251/(AC251/12)&gt;3,AS251/(AC251/12)&lt;=7),"OK",AND(AS251/(AC251/12)&gt;7,AS251/(AC251/12)&lt;=14),"Abaixar Preço",AND(AS251/(AC251/12)&gt;14,AS251/(AC251/12)&lt;=20),"Estabilizando",AS251/(AC251/12)&gt;20,"Instavel"),"Instavel")</f>
        <v>Sem Produto</v>
      </c>
      <c r="AL251" s="1" t="str" cm="1">
        <f t="array" ref="AL251">IFERROR(_xlfn.IFS(AT251="","Sem Produto",AND(AT251/(AD251/12)&gt;0,AT251/(AD251/12)&lt;=2),"Acabando",AND(AT251/(AD251/12)&gt;2,AT251/(AD251/12)&lt;=3),"Fazer Pedido",AND(AT251/(AD251/12)&gt;3,AT251/(AD251/12)&lt;=7),"OK",AND(AT251/(AD251/12)&gt;7,AT251/(AD251/12)&lt;=14),"Abaixar Preço",AND(AT251/(AD251/12)&gt;14,AT251/(AD251/12)&lt;=20),"Estabilizando",AT251/(AD251/12)&gt;20,"Instavel"),"Instavel")</f>
        <v>Sem Produto</v>
      </c>
      <c r="AM251" s="1" t="str" cm="1">
        <f t="array" ref="AM251">IFERROR(_xlfn.IFS(AU251="","Sem Produto",AND(AU251/(AE251/12)&gt;0,AU251/(AE251/12)&lt;=2),"Acabando",AND(AU251/(AE251/12)&gt;2,AU251/(AE251/12)&lt;=3),"Fazer Pedido",AND(AU251/(AE251/12)&gt;3,AU251/(AE251/12)&lt;=7),"OK",AND(AU251/(AE251/12)&gt;7,AU251/(AE251/12)&lt;=14),"Abaixar Preço",AND(AU251/(AE251/12)&gt;14,AU251/(AE251/12)&lt;=20),"Estabilizando",AU251/(AE251/12)&gt;20,"Instavel"),"Instavel")</f>
        <v>Sem Produto</v>
      </c>
      <c r="AN251" s="1" t="str">
        <f>IF(SUMIF(vendaAno[data],SituaçãoEstoqueFluxo[[#This Row],[data]],vendaAno[estoque])=0,"Algo errado",IF(AND(AX251/AW251&gt;0,AX251/AW251&lt;=1),"Alerta",IF(AND(AX251/AW251&gt;1,AX251/AW251&lt;=1.5),"Fazer pedido",IF(AND(AX251/AW251&gt;1.5,AX251/AW251&lt;=2),"Ok",IF(AND(AX251/AW251&gt;2,AX251/AW251&lt;=2.5),"Estabilizando",IF(AND(AX251/AW251&gt;2.5,AX251/AW251&lt;=3),"Cheio","Abaixar preço"))))))</f>
        <v>Algo errado</v>
      </c>
      <c r="AO25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1" s="116">
        <f t="shared" si="12"/>
        <v>45983</v>
      </c>
      <c r="AQ25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1" s="82" cm="1">
        <f t="array" aca="1" ref="AV2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1" s="82" cm="1">
        <f t="array" aca="1" ref="AW2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1" s="82">
        <f>SUM(FluxoEstoqueDateTime[[#This Row],[OVO BRANCO A]:[OVO BRANCO JUMBO]])</f>
        <v>0</v>
      </c>
    </row>
    <row r="252" spans="1:50" x14ac:dyDescent="0.25">
      <c r="A252" s="4" t="s">
        <v>20</v>
      </c>
      <c r="B252" s="55" t="s">
        <v>11</v>
      </c>
      <c r="C252" s="5">
        <v>2</v>
      </c>
      <c r="D252" s="56">
        <v>18</v>
      </c>
      <c r="E252" s="56">
        <v>36</v>
      </c>
      <c r="F252" s="157">
        <v>46178</v>
      </c>
      <c r="G252" s="4" t="s">
        <v>83</v>
      </c>
      <c r="H252" s="4" t="s">
        <v>148</v>
      </c>
      <c r="I252" s="153">
        <v>6.59</v>
      </c>
      <c r="J252" s="12">
        <v>0.18310322156476014</v>
      </c>
      <c r="Z252" s="116">
        <f t="shared" si="10"/>
        <v>45982</v>
      </c>
      <c r="AA25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2" s="116">
        <f t="shared" si="11"/>
        <v>45982</v>
      </c>
      <c r="AI252" s="1" t="str" cm="1">
        <f t="array" ref="AI252">IFERROR(_xlfn.IFS(AQ252="","Sem Produto",AND(AQ252/(AA252/12)&gt;0,AQ252/(AA252/12)&lt;=2),"Acabando",AND(AQ252/(AA252/12)&gt;2,AQ252/(AA252/12)&lt;=3),"Fazer Pedido",AND(AQ252/(AA252/12)&gt;3,AQ252/(AA252/12)&lt;=7),"OK",AND(AQ252/(AA252/12)&gt;7,AQ252/(AA252/12)&lt;=14),"Abaixar Preço",AND(AQ252/(AA252/12)&gt;14,AQ252/(AA252/12)&lt;=20),"Estabilizando",AQ252/(AA252/12)&gt;20,"Instavel"),"Instavel")</f>
        <v>Sem Produto</v>
      </c>
      <c r="AJ252" s="1" t="str" cm="1">
        <f t="array" ref="AJ252">IFERROR(_xlfn.IFS(AR252="","Sem Produto",AND(AR252/(AB252/12)&gt;0,AR252/(AB252/12)&lt;=2),"Acabando",AND(AR252/(AB252/12)&gt;2,AR252/(AB252/12)&lt;=3),"Fazer Pedido",AND(AR252/(AB252/12)&gt;3,AR252/(AB252/12)&lt;=7),"OK",AND(AR252/(AB252/12)&gt;7,AR252/(AB252/12)&lt;=14),"Abaixar Preço",AND(AR252/(AB252/12)&gt;14,AR252/(AB252/12)&lt;=20),"Estabilizando",AR252/(AB252/12)&gt;20,"Instavel"),"Instavel")</f>
        <v>Sem Produto</v>
      </c>
      <c r="AK252" s="1" t="str" cm="1">
        <f t="array" ref="AK252">IFERROR(_xlfn.IFS(AS252="","Sem Produto",AND(AS252/(AC252/12)&gt;0,AS252/(AC252/12)&lt;=2),"Acabando",AND(AS252/(AC252/12)&gt;2,AS252/(AC252/12)&lt;=3),"Fazer Pedido",AND(AS252/(AC252/12)&gt;3,AS252/(AC252/12)&lt;=7),"OK",AND(AS252/(AC252/12)&gt;7,AS252/(AC252/12)&lt;=14),"Abaixar Preço",AND(AS252/(AC252/12)&gt;14,AS252/(AC252/12)&lt;=20),"Estabilizando",AS252/(AC252/12)&gt;20,"Instavel"),"Instavel")</f>
        <v>Sem Produto</v>
      </c>
      <c r="AL252" s="1" t="str" cm="1">
        <f t="array" ref="AL252">IFERROR(_xlfn.IFS(AT252="","Sem Produto",AND(AT252/(AD252/12)&gt;0,AT252/(AD252/12)&lt;=2),"Acabando",AND(AT252/(AD252/12)&gt;2,AT252/(AD252/12)&lt;=3),"Fazer Pedido",AND(AT252/(AD252/12)&gt;3,AT252/(AD252/12)&lt;=7),"OK",AND(AT252/(AD252/12)&gt;7,AT252/(AD252/12)&lt;=14),"Abaixar Preço",AND(AT252/(AD252/12)&gt;14,AT252/(AD252/12)&lt;=20),"Estabilizando",AT252/(AD252/12)&gt;20,"Instavel"),"Instavel")</f>
        <v>Sem Produto</v>
      </c>
      <c r="AM252" s="1" t="str" cm="1">
        <f t="array" ref="AM252">IFERROR(_xlfn.IFS(AU252="","Sem Produto",AND(AU252/(AE252/12)&gt;0,AU252/(AE252/12)&lt;=2),"Acabando",AND(AU252/(AE252/12)&gt;2,AU252/(AE252/12)&lt;=3),"Fazer Pedido",AND(AU252/(AE252/12)&gt;3,AU252/(AE252/12)&lt;=7),"OK",AND(AU252/(AE252/12)&gt;7,AU252/(AE252/12)&lt;=14),"Abaixar Preço",AND(AU252/(AE252/12)&gt;14,AU252/(AE252/12)&lt;=20),"Estabilizando",AU252/(AE252/12)&gt;20,"Instavel"),"Instavel")</f>
        <v>Sem Produto</v>
      </c>
      <c r="AN252" s="1" t="str">
        <f>IF(SUMIF(vendaAno[data],SituaçãoEstoqueFluxo[[#This Row],[data]],vendaAno[estoque])=0,"Algo errado",IF(AND(AX252/AW252&gt;0,AX252/AW252&lt;=1),"Alerta",IF(AND(AX252/AW252&gt;1,AX252/AW252&lt;=1.5),"Fazer pedido",IF(AND(AX252/AW252&gt;1.5,AX252/AW252&lt;=2),"Ok",IF(AND(AX252/AW252&gt;2,AX252/AW252&lt;=2.5),"Estabilizando",IF(AND(AX252/AW252&gt;2.5,AX252/AW252&lt;=3),"Cheio","Abaixar preço"))))))</f>
        <v>Algo errado</v>
      </c>
      <c r="AO25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2" s="116">
        <f t="shared" si="12"/>
        <v>45982</v>
      </c>
      <c r="AQ25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2" s="82" cm="1">
        <f t="array" aca="1" ref="AV2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2" s="82" cm="1">
        <f t="array" aca="1" ref="AW2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2" s="82">
        <f>SUM(FluxoEstoqueDateTime[[#This Row],[OVO BRANCO A]:[OVO BRANCO JUMBO]])</f>
        <v>0</v>
      </c>
    </row>
    <row r="253" spans="1:50" x14ac:dyDescent="0.25">
      <c r="A253" s="4" t="s">
        <v>20</v>
      </c>
      <c r="B253" s="55" t="s">
        <v>10</v>
      </c>
      <c r="C253" s="5">
        <v>15</v>
      </c>
      <c r="D253" s="56">
        <v>19</v>
      </c>
      <c r="E253" s="56">
        <v>285</v>
      </c>
      <c r="F253" s="157">
        <v>46178</v>
      </c>
      <c r="G253" s="4" t="s">
        <v>83</v>
      </c>
      <c r="H253" s="4" t="s">
        <v>148</v>
      </c>
      <c r="I253" s="153">
        <v>53.35</v>
      </c>
      <c r="J253" s="12">
        <v>0.18719428631354257</v>
      </c>
      <c r="Z253" s="116">
        <f t="shared" si="10"/>
        <v>45981</v>
      </c>
      <c r="AA25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3" s="116">
        <f t="shared" si="11"/>
        <v>45981</v>
      </c>
      <c r="AI253" s="1" t="str" cm="1">
        <f t="array" ref="AI253">IFERROR(_xlfn.IFS(AQ253="","Sem Produto",AND(AQ253/(AA253/12)&gt;0,AQ253/(AA253/12)&lt;=2),"Acabando",AND(AQ253/(AA253/12)&gt;2,AQ253/(AA253/12)&lt;=3),"Fazer Pedido",AND(AQ253/(AA253/12)&gt;3,AQ253/(AA253/12)&lt;=7),"OK",AND(AQ253/(AA253/12)&gt;7,AQ253/(AA253/12)&lt;=14),"Abaixar Preço",AND(AQ253/(AA253/12)&gt;14,AQ253/(AA253/12)&lt;=20),"Estabilizando",AQ253/(AA253/12)&gt;20,"Instavel"),"Instavel")</f>
        <v>Sem Produto</v>
      </c>
      <c r="AJ253" s="1" t="str" cm="1">
        <f t="array" ref="AJ253">IFERROR(_xlfn.IFS(AR253="","Sem Produto",AND(AR253/(AB253/12)&gt;0,AR253/(AB253/12)&lt;=2),"Acabando",AND(AR253/(AB253/12)&gt;2,AR253/(AB253/12)&lt;=3),"Fazer Pedido",AND(AR253/(AB253/12)&gt;3,AR253/(AB253/12)&lt;=7),"OK",AND(AR253/(AB253/12)&gt;7,AR253/(AB253/12)&lt;=14),"Abaixar Preço",AND(AR253/(AB253/12)&gt;14,AR253/(AB253/12)&lt;=20),"Estabilizando",AR253/(AB253/12)&gt;20,"Instavel"),"Instavel")</f>
        <v>Sem Produto</v>
      </c>
      <c r="AK253" s="1" t="str" cm="1">
        <f t="array" ref="AK253">IFERROR(_xlfn.IFS(AS253="","Sem Produto",AND(AS253/(AC253/12)&gt;0,AS253/(AC253/12)&lt;=2),"Acabando",AND(AS253/(AC253/12)&gt;2,AS253/(AC253/12)&lt;=3),"Fazer Pedido",AND(AS253/(AC253/12)&gt;3,AS253/(AC253/12)&lt;=7),"OK",AND(AS253/(AC253/12)&gt;7,AS253/(AC253/12)&lt;=14),"Abaixar Preço",AND(AS253/(AC253/12)&gt;14,AS253/(AC253/12)&lt;=20),"Estabilizando",AS253/(AC253/12)&gt;20,"Instavel"),"Instavel")</f>
        <v>Sem Produto</v>
      </c>
      <c r="AL253" s="1" t="str" cm="1">
        <f t="array" ref="AL253">IFERROR(_xlfn.IFS(AT253="","Sem Produto",AND(AT253/(AD253/12)&gt;0,AT253/(AD253/12)&lt;=2),"Acabando",AND(AT253/(AD253/12)&gt;2,AT253/(AD253/12)&lt;=3),"Fazer Pedido",AND(AT253/(AD253/12)&gt;3,AT253/(AD253/12)&lt;=7),"OK",AND(AT253/(AD253/12)&gt;7,AT253/(AD253/12)&lt;=14),"Abaixar Preço",AND(AT253/(AD253/12)&gt;14,AT253/(AD253/12)&lt;=20),"Estabilizando",AT253/(AD253/12)&gt;20,"Instavel"),"Instavel")</f>
        <v>Sem Produto</v>
      </c>
      <c r="AM253" s="1" t="str" cm="1">
        <f t="array" ref="AM253">IFERROR(_xlfn.IFS(AU253="","Sem Produto",AND(AU253/(AE253/12)&gt;0,AU253/(AE253/12)&lt;=2),"Acabando",AND(AU253/(AE253/12)&gt;2,AU253/(AE253/12)&lt;=3),"Fazer Pedido",AND(AU253/(AE253/12)&gt;3,AU253/(AE253/12)&lt;=7),"OK",AND(AU253/(AE253/12)&gt;7,AU253/(AE253/12)&lt;=14),"Abaixar Preço",AND(AU253/(AE253/12)&gt;14,AU253/(AE253/12)&lt;=20),"Estabilizando",AU253/(AE253/12)&gt;20,"Instavel"),"Instavel")</f>
        <v>Sem Produto</v>
      </c>
      <c r="AN253" s="1" t="str">
        <f>IF(SUMIF(vendaAno[data],SituaçãoEstoqueFluxo[[#This Row],[data]],vendaAno[estoque])=0,"Algo errado",IF(AND(AX253/AW253&gt;0,AX253/AW253&lt;=1),"Alerta",IF(AND(AX253/AW253&gt;1,AX253/AW253&lt;=1.5),"Fazer pedido",IF(AND(AX253/AW253&gt;1.5,AX253/AW253&lt;=2),"Ok",IF(AND(AX253/AW253&gt;2,AX253/AW253&lt;=2.5),"Estabilizando",IF(AND(AX253/AW253&gt;2.5,AX253/AW253&lt;=3),"Cheio","Abaixar preço"))))))</f>
        <v>Algo errado</v>
      </c>
      <c r="AO25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3" s="116">
        <f t="shared" si="12"/>
        <v>45981</v>
      </c>
      <c r="AQ25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3" s="82" cm="1">
        <f t="array" aca="1" ref="AV2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3" s="82" cm="1">
        <f t="array" aca="1" ref="AW2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3" s="82">
        <f>SUM(FluxoEstoqueDateTime[[#This Row],[OVO BRANCO A]:[OVO BRANCO JUMBO]])</f>
        <v>0</v>
      </c>
    </row>
    <row r="254" spans="1:50" x14ac:dyDescent="0.25">
      <c r="A254" s="4" t="s">
        <v>20</v>
      </c>
      <c r="B254" s="55" t="s">
        <v>14</v>
      </c>
      <c r="C254" s="5">
        <v>5</v>
      </c>
      <c r="D254" s="56">
        <v>22</v>
      </c>
      <c r="E254" s="56">
        <v>110</v>
      </c>
      <c r="F254" s="157">
        <v>46177</v>
      </c>
      <c r="G254" s="4" t="s">
        <v>294</v>
      </c>
      <c r="H254" s="4" t="s">
        <v>148</v>
      </c>
      <c r="I254" s="153">
        <v>22.94</v>
      </c>
      <c r="J254" s="12">
        <v>0.20852683708696354</v>
      </c>
      <c r="Z254" s="116">
        <f t="shared" si="10"/>
        <v>45980</v>
      </c>
      <c r="AA25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4" s="116">
        <f t="shared" si="11"/>
        <v>45980</v>
      </c>
      <c r="AI254" s="1" t="str" cm="1">
        <f t="array" ref="AI254">IFERROR(_xlfn.IFS(AQ254="","Sem Produto",AND(AQ254/(AA254/12)&gt;0,AQ254/(AA254/12)&lt;=2),"Acabando",AND(AQ254/(AA254/12)&gt;2,AQ254/(AA254/12)&lt;=3),"Fazer Pedido",AND(AQ254/(AA254/12)&gt;3,AQ254/(AA254/12)&lt;=7),"OK",AND(AQ254/(AA254/12)&gt;7,AQ254/(AA254/12)&lt;=14),"Abaixar Preço",AND(AQ254/(AA254/12)&gt;14,AQ254/(AA254/12)&lt;=20),"Estabilizando",AQ254/(AA254/12)&gt;20,"Instavel"),"Instavel")</f>
        <v>Sem Produto</v>
      </c>
      <c r="AJ254" s="1" t="str" cm="1">
        <f t="array" ref="AJ254">IFERROR(_xlfn.IFS(AR254="","Sem Produto",AND(AR254/(AB254/12)&gt;0,AR254/(AB254/12)&lt;=2),"Acabando",AND(AR254/(AB254/12)&gt;2,AR254/(AB254/12)&lt;=3),"Fazer Pedido",AND(AR254/(AB254/12)&gt;3,AR254/(AB254/12)&lt;=7),"OK",AND(AR254/(AB254/12)&gt;7,AR254/(AB254/12)&lt;=14),"Abaixar Preço",AND(AR254/(AB254/12)&gt;14,AR254/(AB254/12)&lt;=20),"Estabilizando",AR254/(AB254/12)&gt;20,"Instavel"),"Instavel")</f>
        <v>Sem Produto</v>
      </c>
      <c r="AK254" s="1" t="str" cm="1">
        <f t="array" ref="AK254">IFERROR(_xlfn.IFS(AS254="","Sem Produto",AND(AS254/(AC254/12)&gt;0,AS254/(AC254/12)&lt;=2),"Acabando",AND(AS254/(AC254/12)&gt;2,AS254/(AC254/12)&lt;=3),"Fazer Pedido",AND(AS254/(AC254/12)&gt;3,AS254/(AC254/12)&lt;=7),"OK",AND(AS254/(AC254/12)&gt;7,AS254/(AC254/12)&lt;=14),"Abaixar Preço",AND(AS254/(AC254/12)&gt;14,AS254/(AC254/12)&lt;=20),"Estabilizando",AS254/(AC254/12)&gt;20,"Instavel"),"Instavel")</f>
        <v>Sem Produto</v>
      </c>
      <c r="AL254" s="1" t="str" cm="1">
        <f t="array" ref="AL254">IFERROR(_xlfn.IFS(AT254="","Sem Produto",AND(AT254/(AD254/12)&gt;0,AT254/(AD254/12)&lt;=2),"Acabando",AND(AT254/(AD254/12)&gt;2,AT254/(AD254/12)&lt;=3),"Fazer Pedido",AND(AT254/(AD254/12)&gt;3,AT254/(AD254/12)&lt;=7),"OK",AND(AT254/(AD254/12)&gt;7,AT254/(AD254/12)&lt;=14),"Abaixar Preço",AND(AT254/(AD254/12)&gt;14,AT254/(AD254/12)&lt;=20),"Estabilizando",AT254/(AD254/12)&gt;20,"Instavel"),"Instavel")</f>
        <v>Sem Produto</v>
      </c>
      <c r="AM254" s="1" t="str" cm="1">
        <f t="array" ref="AM254">IFERROR(_xlfn.IFS(AU254="","Sem Produto",AND(AU254/(AE254/12)&gt;0,AU254/(AE254/12)&lt;=2),"Acabando",AND(AU254/(AE254/12)&gt;2,AU254/(AE254/12)&lt;=3),"Fazer Pedido",AND(AU254/(AE254/12)&gt;3,AU254/(AE254/12)&lt;=7),"OK",AND(AU254/(AE254/12)&gt;7,AU254/(AE254/12)&lt;=14),"Abaixar Preço",AND(AU254/(AE254/12)&gt;14,AU254/(AE254/12)&lt;=20),"Estabilizando",AU254/(AE254/12)&gt;20,"Instavel"),"Instavel")</f>
        <v>Sem Produto</v>
      </c>
      <c r="AN254" s="1" t="str">
        <f>IF(SUMIF(vendaAno[data],SituaçãoEstoqueFluxo[[#This Row],[data]],vendaAno[estoque])=0,"Algo errado",IF(AND(AX254/AW254&gt;0,AX254/AW254&lt;=1),"Alerta",IF(AND(AX254/AW254&gt;1,AX254/AW254&lt;=1.5),"Fazer pedido",IF(AND(AX254/AW254&gt;1.5,AX254/AW254&lt;=2),"Ok",IF(AND(AX254/AW254&gt;2,AX254/AW254&lt;=2.5),"Estabilizando",IF(AND(AX254/AW254&gt;2.5,AX254/AW254&lt;=3),"Cheio","Abaixar preço"))))))</f>
        <v>Algo errado</v>
      </c>
      <c r="AO25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4" s="116">
        <f t="shared" si="12"/>
        <v>45980</v>
      </c>
      <c r="AQ25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4" s="82" cm="1">
        <f t="array" aca="1" ref="AV2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4" s="82" cm="1">
        <f t="array" aca="1" ref="AW2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4" s="82">
        <f>SUM(FluxoEstoqueDateTime[[#This Row],[OVO BRANCO A]:[OVO BRANCO JUMBO]])</f>
        <v>0</v>
      </c>
    </row>
    <row r="255" spans="1:50" x14ac:dyDescent="0.25">
      <c r="A255" s="4" t="s">
        <v>20</v>
      </c>
      <c r="B255" s="55" t="s">
        <v>13</v>
      </c>
      <c r="C255" s="5">
        <v>16</v>
      </c>
      <c r="D255" s="56">
        <v>20</v>
      </c>
      <c r="E255" s="56">
        <v>320</v>
      </c>
      <c r="F255" s="157">
        <v>46177</v>
      </c>
      <c r="G255" s="4" t="s">
        <v>294</v>
      </c>
      <c r="H255" s="4" t="s">
        <v>148</v>
      </c>
      <c r="I255" s="153">
        <v>58.02</v>
      </c>
      <c r="J255" s="12">
        <v>0.18132716049382705</v>
      </c>
      <c r="Z255" s="116">
        <f t="shared" si="10"/>
        <v>45979</v>
      </c>
      <c r="AA25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5" s="116">
        <f t="shared" si="11"/>
        <v>45979</v>
      </c>
      <c r="AI255" s="1" t="str" cm="1">
        <f t="array" ref="AI255">IFERROR(_xlfn.IFS(AQ255="","Sem Produto",AND(AQ255/(AA255/12)&gt;0,AQ255/(AA255/12)&lt;=2),"Acabando",AND(AQ255/(AA255/12)&gt;2,AQ255/(AA255/12)&lt;=3),"Fazer Pedido",AND(AQ255/(AA255/12)&gt;3,AQ255/(AA255/12)&lt;=7),"OK",AND(AQ255/(AA255/12)&gt;7,AQ255/(AA255/12)&lt;=14),"Abaixar Preço",AND(AQ255/(AA255/12)&gt;14,AQ255/(AA255/12)&lt;=20),"Estabilizando",AQ255/(AA255/12)&gt;20,"Instavel"),"Instavel")</f>
        <v>Sem Produto</v>
      </c>
      <c r="AJ255" s="1" t="str" cm="1">
        <f t="array" ref="AJ255">IFERROR(_xlfn.IFS(AR255="","Sem Produto",AND(AR255/(AB255/12)&gt;0,AR255/(AB255/12)&lt;=2),"Acabando",AND(AR255/(AB255/12)&gt;2,AR255/(AB255/12)&lt;=3),"Fazer Pedido",AND(AR255/(AB255/12)&gt;3,AR255/(AB255/12)&lt;=7),"OK",AND(AR255/(AB255/12)&gt;7,AR255/(AB255/12)&lt;=14),"Abaixar Preço",AND(AR255/(AB255/12)&gt;14,AR255/(AB255/12)&lt;=20),"Estabilizando",AR255/(AB255/12)&gt;20,"Instavel"),"Instavel")</f>
        <v>Sem Produto</v>
      </c>
      <c r="AK255" s="1" t="str" cm="1">
        <f t="array" ref="AK255">IFERROR(_xlfn.IFS(AS255="","Sem Produto",AND(AS255/(AC255/12)&gt;0,AS255/(AC255/12)&lt;=2),"Acabando",AND(AS255/(AC255/12)&gt;2,AS255/(AC255/12)&lt;=3),"Fazer Pedido",AND(AS255/(AC255/12)&gt;3,AS255/(AC255/12)&lt;=7),"OK",AND(AS255/(AC255/12)&gt;7,AS255/(AC255/12)&lt;=14),"Abaixar Preço",AND(AS255/(AC255/12)&gt;14,AS255/(AC255/12)&lt;=20),"Estabilizando",AS255/(AC255/12)&gt;20,"Instavel"),"Instavel")</f>
        <v>Sem Produto</v>
      </c>
      <c r="AL255" s="1" t="str" cm="1">
        <f t="array" ref="AL255">IFERROR(_xlfn.IFS(AT255="","Sem Produto",AND(AT255/(AD255/12)&gt;0,AT255/(AD255/12)&lt;=2),"Acabando",AND(AT255/(AD255/12)&gt;2,AT255/(AD255/12)&lt;=3),"Fazer Pedido",AND(AT255/(AD255/12)&gt;3,AT255/(AD255/12)&lt;=7),"OK",AND(AT255/(AD255/12)&gt;7,AT255/(AD255/12)&lt;=14),"Abaixar Preço",AND(AT255/(AD255/12)&gt;14,AT255/(AD255/12)&lt;=20),"Estabilizando",AT255/(AD255/12)&gt;20,"Instavel"),"Instavel")</f>
        <v>Sem Produto</v>
      </c>
      <c r="AM255" s="1" t="str" cm="1">
        <f t="array" ref="AM255">IFERROR(_xlfn.IFS(AU255="","Sem Produto",AND(AU255/(AE255/12)&gt;0,AU255/(AE255/12)&lt;=2),"Acabando",AND(AU255/(AE255/12)&gt;2,AU255/(AE255/12)&lt;=3),"Fazer Pedido",AND(AU255/(AE255/12)&gt;3,AU255/(AE255/12)&lt;=7),"OK",AND(AU255/(AE255/12)&gt;7,AU255/(AE255/12)&lt;=14),"Abaixar Preço",AND(AU255/(AE255/12)&gt;14,AU255/(AE255/12)&lt;=20),"Estabilizando",AU255/(AE255/12)&gt;20,"Instavel"),"Instavel")</f>
        <v>Sem Produto</v>
      </c>
      <c r="AN255" s="1" t="str">
        <f>IF(SUMIF(vendaAno[data],SituaçãoEstoqueFluxo[[#This Row],[data]],vendaAno[estoque])=0,"Algo errado",IF(AND(AX255/AW255&gt;0,AX255/AW255&lt;=1),"Alerta",IF(AND(AX255/AW255&gt;1,AX255/AW255&lt;=1.5),"Fazer pedido",IF(AND(AX255/AW255&gt;1.5,AX255/AW255&lt;=2),"Ok",IF(AND(AX255/AW255&gt;2,AX255/AW255&lt;=2.5),"Estabilizando",IF(AND(AX255/AW255&gt;2.5,AX255/AW255&lt;=3),"Cheio","Abaixar preço"))))))</f>
        <v>Algo errado</v>
      </c>
      <c r="AO25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5" s="116">
        <f t="shared" si="12"/>
        <v>45979</v>
      </c>
      <c r="AQ25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5" s="82" cm="1">
        <f t="array" aca="1" ref="AV2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5" s="82" cm="1">
        <f t="array" aca="1" ref="AW2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5" s="82">
        <f>SUM(FluxoEstoqueDateTime[[#This Row],[OVO BRANCO A]:[OVO BRANCO JUMBO]])</f>
        <v>0</v>
      </c>
    </row>
    <row r="256" spans="1:50" x14ac:dyDescent="0.25">
      <c r="A256" s="4" t="s">
        <v>20</v>
      </c>
      <c r="B256" s="55" t="s">
        <v>11</v>
      </c>
      <c r="C256" s="5">
        <v>1</v>
      </c>
      <c r="D256" s="56">
        <v>18</v>
      </c>
      <c r="E256" s="56">
        <v>18</v>
      </c>
      <c r="F256" s="157">
        <v>46177</v>
      </c>
      <c r="G256" s="4" t="s">
        <v>294</v>
      </c>
      <c r="H256" s="4" t="s">
        <v>148</v>
      </c>
      <c r="I256" s="153">
        <v>3.3</v>
      </c>
      <c r="J256" s="12">
        <v>0.18310322156476003</v>
      </c>
      <c r="Z256" s="116">
        <f t="shared" si="10"/>
        <v>45978</v>
      </c>
      <c r="AA25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6" s="116">
        <f t="shared" si="11"/>
        <v>45978</v>
      </c>
      <c r="AI256" s="1" t="str" cm="1">
        <f t="array" ref="AI256">IFERROR(_xlfn.IFS(AQ256="","Sem Produto",AND(AQ256/(AA256/12)&gt;0,AQ256/(AA256/12)&lt;=2),"Acabando",AND(AQ256/(AA256/12)&gt;2,AQ256/(AA256/12)&lt;=3),"Fazer Pedido",AND(AQ256/(AA256/12)&gt;3,AQ256/(AA256/12)&lt;=7),"OK",AND(AQ256/(AA256/12)&gt;7,AQ256/(AA256/12)&lt;=14),"Abaixar Preço",AND(AQ256/(AA256/12)&gt;14,AQ256/(AA256/12)&lt;=20),"Estabilizando",AQ256/(AA256/12)&gt;20,"Instavel"),"Instavel")</f>
        <v>Sem Produto</v>
      </c>
      <c r="AJ256" s="1" t="str" cm="1">
        <f t="array" ref="AJ256">IFERROR(_xlfn.IFS(AR256="","Sem Produto",AND(AR256/(AB256/12)&gt;0,AR256/(AB256/12)&lt;=2),"Acabando",AND(AR256/(AB256/12)&gt;2,AR256/(AB256/12)&lt;=3),"Fazer Pedido",AND(AR256/(AB256/12)&gt;3,AR256/(AB256/12)&lt;=7),"OK",AND(AR256/(AB256/12)&gt;7,AR256/(AB256/12)&lt;=14),"Abaixar Preço",AND(AR256/(AB256/12)&gt;14,AR256/(AB256/12)&lt;=20),"Estabilizando",AR256/(AB256/12)&gt;20,"Instavel"),"Instavel")</f>
        <v>Sem Produto</v>
      </c>
      <c r="AK256" s="1" t="str" cm="1">
        <f t="array" ref="AK256">IFERROR(_xlfn.IFS(AS256="","Sem Produto",AND(AS256/(AC256/12)&gt;0,AS256/(AC256/12)&lt;=2),"Acabando",AND(AS256/(AC256/12)&gt;2,AS256/(AC256/12)&lt;=3),"Fazer Pedido",AND(AS256/(AC256/12)&gt;3,AS256/(AC256/12)&lt;=7),"OK",AND(AS256/(AC256/12)&gt;7,AS256/(AC256/12)&lt;=14),"Abaixar Preço",AND(AS256/(AC256/12)&gt;14,AS256/(AC256/12)&lt;=20),"Estabilizando",AS256/(AC256/12)&gt;20,"Instavel"),"Instavel")</f>
        <v>Sem Produto</v>
      </c>
      <c r="AL256" s="1" t="str" cm="1">
        <f t="array" ref="AL256">IFERROR(_xlfn.IFS(AT256="","Sem Produto",AND(AT256/(AD256/12)&gt;0,AT256/(AD256/12)&lt;=2),"Acabando",AND(AT256/(AD256/12)&gt;2,AT256/(AD256/12)&lt;=3),"Fazer Pedido",AND(AT256/(AD256/12)&gt;3,AT256/(AD256/12)&lt;=7),"OK",AND(AT256/(AD256/12)&gt;7,AT256/(AD256/12)&lt;=14),"Abaixar Preço",AND(AT256/(AD256/12)&gt;14,AT256/(AD256/12)&lt;=20),"Estabilizando",AT256/(AD256/12)&gt;20,"Instavel"),"Instavel")</f>
        <v>Sem Produto</v>
      </c>
      <c r="AM256" s="1" t="str" cm="1">
        <f t="array" ref="AM256">IFERROR(_xlfn.IFS(AU256="","Sem Produto",AND(AU256/(AE256/12)&gt;0,AU256/(AE256/12)&lt;=2),"Acabando",AND(AU256/(AE256/12)&gt;2,AU256/(AE256/12)&lt;=3),"Fazer Pedido",AND(AU256/(AE256/12)&gt;3,AU256/(AE256/12)&lt;=7),"OK",AND(AU256/(AE256/12)&gt;7,AU256/(AE256/12)&lt;=14),"Abaixar Preço",AND(AU256/(AE256/12)&gt;14,AU256/(AE256/12)&lt;=20),"Estabilizando",AU256/(AE256/12)&gt;20,"Instavel"),"Instavel")</f>
        <v>Sem Produto</v>
      </c>
      <c r="AN256" s="1" t="str">
        <f>IF(SUMIF(vendaAno[data],SituaçãoEstoqueFluxo[[#This Row],[data]],vendaAno[estoque])=0,"Algo errado",IF(AND(AX256/AW256&gt;0,AX256/AW256&lt;=1),"Alerta",IF(AND(AX256/AW256&gt;1,AX256/AW256&lt;=1.5),"Fazer pedido",IF(AND(AX256/AW256&gt;1.5,AX256/AW256&lt;=2),"Ok",IF(AND(AX256/AW256&gt;2,AX256/AW256&lt;=2.5),"Estabilizando",IF(AND(AX256/AW256&gt;2.5,AX256/AW256&lt;=3),"Cheio","Abaixar preço"))))))</f>
        <v>Algo errado</v>
      </c>
      <c r="AO25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6" s="116">
        <f t="shared" si="12"/>
        <v>45978</v>
      </c>
      <c r="AQ25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6" s="82" cm="1">
        <f t="array" aca="1" ref="AV2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6" s="82" cm="1">
        <f t="array" aca="1" ref="AW2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6" s="82">
        <f>SUM(FluxoEstoqueDateTime[[#This Row],[OVO BRANCO A]:[OVO BRANCO JUMBO]])</f>
        <v>0</v>
      </c>
    </row>
    <row r="257" spans="1:50" x14ac:dyDescent="0.25">
      <c r="A257" s="4" t="s">
        <v>20</v>
      </c>
      <c r="B257" s="55" t="s">
        <v>10</v>
      </c>
      <c r="C257" s="5">
        <v>18</v>
      </c>
      <c r="D257" s="56">
        <v>19</v>
      </c>
      <c r="E257" s="56">
        <v>342</v>
      </c>
      <c r="F257" s="157">
        <v>46177</v>
      </c>
      <c r="G257" s="4" t="s">
        <v>294</v>
      </c>
      <c r="H257" s="4" t="s">
        <v>148</v>
      </c>
      <c r="I257" s="153">
        <v>64.02</v>
      </c>
      <c r="J257" s="12">
        <v>0.18719428631354254</v>
      </c>
      <c r="Z257" s="116">
        <f t="shared" si="10"/>
        <v>45977</v>
      </c>
      <c r="AA25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7" s="116">
        <f t="shared" si="11"/>
        <v>45977</v>
      </c>
      <c r="AI257" s="1" t="str" cm="1">
        <f t="array" ref="AI257">IFERROR(_xlfn.IFS(AQ257="","Sem Produto",AND(AQ257/(AA257/12)&gt;0,AQ257/(AA257/12)&lt;=2),"Acabando",AND(AQ257/(AA257/12)&gt;2,AQ257/(AA257/12)&lt;=3),"Fazer Pedido",AND(AQ257/(AA257/12)&gt;3,AQ257/(AA257/12)&lt;=7),"OK",AND(AQ257/(AA257/12)&gt;7,AQ257/(AA257/12)&lt;=14),"Abaixar Preço",AND(AQ257/(AA257/12)&gt;14,AQ257/(AA257/12)&lt;=20),"Estabilizando",AQ257/(AA257/12)&gt;20,"Instavel"),"Instavel")</f>
        <v>Sem Produto</v>
      </c>
      <c r="AJ257" s="1" t="str" cm="1">
        <f t="array" ref="AJ257">IFERROR(_xlfn.IFS(AR257="","Sem Produto",AND(AR257/(AB257/12)&gt;0,AR257/(AB257/12)&lt;=2),"Acabando",AND(AR257/(AB257/12)&gt;2,AR257/(AB257/12)&lt;=3),"Fazer Pedido",AND(AR257/(AB257/12)&gt;3,AR257/(AB257/12)&lt;=7),"OK",AND(AR257/(AB257/12)&gt;7,AR257/(AB257/12)&lt;=14),"Abaixar Preço",AND(AR257/(AB257/12)&gt;14,AR257/(AB257/12)&lt;=20),"Estabilizando",AR257/(AB257/12)&gt;20,"Instavel"),"Instavel")</f>
        <v>Sem Produto</v>
      </c>
      <c r="AK257" s="1" t="str" cm="1">
        <f t="array" ref="AK257">IFERROR(_xlfn.IFS(AS257="","Sem Produto",AND(AS257/(AC257/12)&gt;0,AS257/(AC257/12)&lt;=2),"Acabando",AND(AS257/(AC257/12)&gt;2,AS257/(AC257/12)&lt;=3),"Fazer Pedido",AND(AS257/(AC257/12)&gt;3,AS257/(AC257/12)&lt;=7),"OK",AND(AS257/(AC257/12)&gt;7,AS257/(AC257/12)&lt;=14),"Abaixar Preço",AND(AS257/(AC257/12)&gt;14,AS257/(AC257/12)&lt;=20),"Estabilizando",AS257/(AC257/12)&gt;20,"Instavel"),"Instavel")</f>
        <v>Sem Produto</v>
      </c>
      <c r="AL257" s="1" t="str" cm="1">
        <f t="array" ref="AL257">IFERROR(_xlfn.IFS(AT257="","Sem Produto",AND(AT257/(AD257/12)&gt;0,AT257/(AD257/12)&lt;=2),"Acabando",AND(AT257/(AD257/12)&gt;2,AT257/(AD257/12)&lt;=3),"Fazer Pedido",AND(AT257/(AD257/12)&gt;3,AT257/(AD257/12)&lt;=7),"OK",AND(AT257/(AD257/12)&gt;7,AT257/(AD257/12)&lt;=14),"Abaixar Preço",AND(AT257/(AD257/12)&gt;14,AT257/(AD257/12)&lt;=20),"Estabilizando",AT257/(AD257/12)&gt;20,"Instavel"),"Instavel")</f>
        <v>Sem Produto</v>
      </c>
      <c r="AM257" s="1" t="str" cm="1">
        <f t="array" ref="AM257">IFERROR(_xlfn.IFS(AU257="","Sem Produto",AND(AU257/(AE257/12)&gt;0,AU257/(AE257/12)&lt;=2),"Acabando",AND(AU257/(AE257/12)&gt;2,AU257/(AE257/12)&lt;=3),"Fazer Pedido",AND(AU257/(AE257/12)&gt;3,AU257/(AE257/12)&lt;=7),"OK",AND(AU257/(AE257/12)&gt;7,AU257/(AE257/12)&lt;=14),"Abaixar Preço",AND(AU257/(AE257/12)&gt;14,AU257/(AE257/12)&lt;=20),"Estabilizando",AU257/(AE257/12)&gt;20,"Instavel"),"Instavel")</f>
        <v>Sem Produto</v>
      </c>
      <c r="AN257" s="1" t="str">
        <f>IF(SUMIF(vendaAno[data],SituaçãoEstoqueFluxo[[#This Row],[data]],vendaAno[estoque])=0,"Algo errado",IF(AND(AX257/AW257&gt;0,AX257/AW257&lt;=1),"Alerta",IF(AND(AX257/AW257&gt;1,AX257/AW257&lt;=1.5),"Fazer pedido",IF(AND(AX257/AW257&gt;1.5,AX257/AW257&lt;=2),"Ok",IF(AND(AX257/AW257&gt;2,AX257/AW257&lt;=2.5),"Estabilizando",IF(AND(AX257/AW257&gt;2.5,AX257/AW257&lt;=3),"Cheio","Abaixar preço"))))))</f>
        <v>Algo errado</v>
      </c>
      <c r="AO25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7" s="116">
        <f t="shared" si="12"/>
        <v>45977</v>
      </c>
      <c r="AQ25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7" s="82" cm="1">
        <f t="array" aca="1" ref="AV2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7" s="82" cm="1">
        <f t="array" aca="1" ref="AW2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7" s="82">
        <f>SUM(FluxoEstoqueDateTime[[#This Row],[OVO BRANCO A]:[OVO BRANCO JUMBO]])</f>
        <v>0</v>
      </c>
    </row>
    <row r="258" spans="1:50" x14ac:dyDescent="0.25">
      <c r="A258" s="4" t="s">
        <v>20</v>
      </c>
      <c r="B258" s="55" t="s">
        <v>13</v>
      </c>
      <c r="C258" s="5">
        <v>3</v>
      </c>
      <c r="D258" s="56">
        <v>20</v>
      </c>
      <c r="E258" s="56"/>
      <c r="F258" s="157">
        <v>46177</v>
      </c>
      <c r="G258" s="4" t="s">
        <v>294</v>
      </c>
      <c r="H258" s="4" t="s">
        <v>148</v>
      </c>
      <c r="I258" s="153">
        <f>-16.37*3</f>
        <v>-49.11</v>
      </c>
      <c r="J258" s="12"/>
      <c r="Z258" s="116">
        <f t="shared" si="10"/>
        <v>45976</v>
      </c>
      <c r="AA25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8" s="116">
        <f t="shared" si="11"/>
        <v>45976</v>
      </c>
      <c r="AI258" s="1" t="str" cm="1">
        <f t="array" ref="AI258">IFERROR(_xlfn.IFS(AQ258="","Sem Produto",AND(AQ258/(AA258/12)&gt;0,AQ258/(AA258/12)&lt;=2),"Acabando",AND(AQ258/(AA258/12)&gt;2,AQ258/(AA258/12)&lt;=3),"Fazer Pedido",AND(AQ258/(AA258/12)&gt;3,AQ258/(AA258/12)&lt;=7),"OK",AND(AQ258/(AA258/12)&gt;7,AQ258/(AA258/12)&lt;=14),"Abaixar Preço",AND(AQ258/(AA258/12)&gt;14,AQ258/(AA258/12)&lt;=20),"Estabilizando",AQ258/(AA258/12)&gt;20,"Instavel"),"Instavel")</f>
        <v>Sem Produto</v>
      </c>
      <c r="AJ258" s="1" t="str" cm="1">
        <f t="array" ref="AJ258">IFERROR(_xlfn.IFS(AR258="","Sem Produto",AND(AR258/(AB258/12)&gt;0,AR258/(AB258/12)&lt;=2),"Acabando",AND(AR258/(AB258/12)&gt;2,AR258/(AB258/12)&lt;=3),"Fazer Pedido",AND(AR258/(AB258/12)&gt;3,AR258/(AB258/12)&lt;=7),"OK",AND(AR258/(AB258/12)&gt;7,AR258/(AB258/12)&lt;=14),"Abaixar Preço",AND(AR258/(AB258/12)&gt;14,AR258/(AB258/12)&lt;=20),"Estabilizando",AR258/(AB258/12)&gt;20,"Instavel"),"Instavel")</f>
        <v>Sem Produto</v>
      </c>
      <c r="AK258" s="1" t="str" cm="1">
        <f t="array" ref="AK258">IFERROR(_xlfn.IFS(AS258="","Sem Produto",AND(AS258/(AC258/12)&gt;0,AS258/(AC258/12)&lt;=2),"Acabando",AND(AS258/(AC258/12)&gt;2,AS258/(AC258/12)&lt;=3),"Fazer Pedido",AND(AS258/(AC258/12)&gt;3,AS258/(AC258/12)&lt;=7),"OK",AND(AS258/(AC258/12)&gt;7,AS258/(AC258/12)&lt;=14),"Abaixar Preço",AND(AS258/(AC258/12)&gt;14,AS258/(AC258/12)&lt;=20),"Estabilizando",AS258/(AC258/12)&gt;20,"Instavel"),"Instavel")</f>
        <v>Sem Produto</v>
      </c>
      <c r="AL258" s="1" t="str" cm="1">
        <f t="array" ref="AL258">IFERROR(_xlfn.IFS(AT258="","Sem Produto",AND(AT258/(AD258/12)&gt;0,AT258/(AD258/12)&lt;=2),"Acabando",AND(AT258/(AD258/12)&gt;2,AT258/(AD258/12)&lt;=3),"Fazer Pedido",AND(AT258/(AD258/12)&gt;3,AT258/(AD258/12)&lt;=7),"OK",AND(AT258/(AD258/12)&gt;7,AT258/(AD258/12)&lt;=14),"Abaixar Preço",AND(AT258/(AD258/12)&gt;14,AT258/(AD258/12)&lt;=20),"Estabilizando",AT258/(AD258/12)&gt;20,"Instavel"),"Instavel")</f>
        <v>Sem Produto</v>
      </c>
      <c r="AM258" s="1" t="str" cm="1">
        <f t="array" ref="AM258">IFERROR(_xlfn.IFS(AU258="","Sem Produto",AND(AU258/(AE258/12)&gt;0,AU258/(AE258/12)&lt;=2),"Acabando",AND(AU258/(AE258/12)&gt;2,AU258/(AE258/12)&lt;=3),"Fazer Pedido",AND(AU258/(AE258/12)&gt;3,AU258/(AE258/12)&lt;=7),"OK",AND(AU258/(AE258/12)&gt;7,AU258/(AE258/12)&lt;=14),"Abaixar Preço",AND(AU258/(AE258/12)&gt;14,AU258/(AE258/12)&lt;=20),"Estabilizando",AU258/(AE258/12)&gt;20,"Instavel"),"Instavel")</f>
        <v>Sem Produto</v>
      </c>
      <c r="AN258" s="1" t="str">
        <f>IF(SUMIF(vendaAno[data],SituaçãoEstoqueFluxo[[#This Row],[data]],vendaAno[estoque])=0,"Algo errado",IF(AND(AX258/AW258&gt;0,AX258/AW258&lt;=1),"Alerta",IF(AND(AX258/AW258&gt;1,AX258/AW258&lt;=1.5),"Fazer pedido",IF(AND(AX258/AW258&gt;1.5,AX258/AW258&lt;=2),"Ok",IF(AND(AX258/AW258&gt;2,AX258/AW258&lt;=2.5),"Estabilizando",IF(AND(AX258/AW258&gt;2.5,AX258/AW258&lt;=3),"Cheio","Abaixar preço"))))))</f>
        <v>Algo errado</v>
      </c>
      <c r="AO25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8" s="116">
        <f t="shared" si="12"/>
        <v>45976</v>
      </c>
      <c r="AQ25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8" s="82" cm="1">
        <f t="array" aca="1" ref="AV2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8" s="82" cm="1">
        <f t="array" aca="1" ref="AW2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8" s="82">
        <f>SUM(FluxoEstoqueDateTime[[#This Row],[OVO BRANCO A]:[OVO BRANCO JUMBO]])</f>
        <v>0</v>
      </c>
    </row>
    <row r="259" spans="1:50" x14ac:dyDescent="0.25">
      <c r="A259" s="4" t="s">
        <v>20</v>
      </c>
      <c r="B259" s="55" t="s">
        <v>14</v>
      </c>
      <c r="C259" s="5">
        <v>7</v>
      </c>
      <c r="D259" s="56">
        <v>22</v>
      </c>
      <c r="E259" s="56">
        <v>154</v>
      </c>
      <c r="F259" s="157">
        <v>46176</v>
      </c>
      <c r="G259" s="4" t="s">
        <v>32</v>
      </c>
      <c r="H259" s="4" t="s">
        <v>148</v>
      </c>
      <c r="I259" s="153">
        <v>32.11</v>
      </c>
      <c r="J259" s="12">
        <v>0.20852683708696354</v>
      </c>
      <c r="Z259" s="116">
        <f t="shared" si="10"/>
        <v>45975</v>
      </c>
      <c r="AA25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5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5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5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5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5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5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59" s="116">
        <f t="shared" si="11"/>
        <v>45975</v>
      </c>
      <c r="AI259" s="1" t="str" cm="1">
        <f t="array" ref="AI259">IFERROR(_xlfn.IFS(AQ259="","Sem Produto",AND(AQ259/(AA259/12)&gt;0,AQ259/(AA259/12)&lt;=2),"Acabando",AND(AQ259/(AA259/12)&gt;2,AQ259/(AA259/12)&lt;=3),"Fazer Pedido",AND(AQ259/(AA259/12)&gt;3,AQ259/(AA259/12)&lt;=7),"OK",AND(AQ259/(AA259/12)&gt;7,AQ259/(AA259/12)&lt;=14),"Abaixar Preço",AND(AQ259/(AA259/12)&gt;14,AQ259/(AA259/12)&lt;=20),"Estabilizando",AQ259/(AA259/12)&gt;20,"Instavel"),"Instavel")</f>
        <v>Sem Produto</v>
      </c>
      <c r="AJ259" s="1" t="str" cm="1">
        <f t="array" ref="AJ259">IFERROR(_xlfn.IFS(AR259="","Sem Produto",AND(AR259/(AB259/12)&gt;0,AR259/(AB259/12)&lt;=2),"Acabando",AND(AR259/(AB259/12)&gt;2,AR259/(AB259/12)&lt;=3),"Fazer Pedido",AND(AR259/(AB259/12)&gt;3,AR259/(AB259/12)&lt;=7),"OK",AND(AR259/(AB259/12)&gt;7,AR259/(AB259/12)&lt;=14),"Abaixar Preço",AND(AR259/(AB259/12)&gt;14,AR259/(AB259/12)&lt;=20),"Estabilizando",AR259/(AB259/12)&gt;20,"Instavel"),"Instavel")</f>
        <v>Sem Produto</v>
      </c>
      <c r="AK259" s="1" t="str" cm="1">
        <f t="array" ref="AK259">IFERROR(_xlfn.IFS(AS259="","Sem Produto",AND(AS259/(AC259/12)&gt;0,AS259/(AC259/12)&lt;=2),"Acabando",AND(AS259/(AC259/12)&gt;2,AS259/(AC259/12)&lt;=3),"Fazer Pedido",AND(AS259/(AC259/12)&gt;3,AS259/(AC259/12)&lt;=7),"OK",AND(AS259/(AC259/12)&gt;7,AS259/(AC259/12)&lt;=14),"Abaixar Preço",AND(AS259/(AC259/12)&gt;14,AS259/(AC259/12)&lt;=20),"Estabilizando",AS259/(AC259/12)&gt;20,"Instavel"),"Instavel")</f>
        <v>Sem Produto</v>
      </c>
      <c r="AL259" s="1" t="str" cm="1">
        <f t="array" ref="AL259">IFERROR(_xlfn.IFS(AT259="","Sem Produto",AND(AT259/(AD259/12)&gt;0,AT259/(AD259/12)&lt;=2),"Acabando",AND(AT259/(AD259/12)&gt;2,AT259/(AD259/12)&lt;=3),"Fazer Pedido",AND(AT259/(AD259/12)&gt;3,AT259/(AD259/12)&lt;=7),"OK",AND(AT259/(AD259/12)&gt;7,AT259/(AD259/12)&lt;=14),"Abaixar Preço",AND(AT259/(AD259/12)&gt;14,AT259/(AD259/12)&lt;=20),"Estabilizando",AT259/(AD259/12)&gt;20,"Instavel"),"Instavel")</f>
        <v>Sem Produto</v>
      </c>
      <c r="AM259" s="1" t="str" cm="1">
        <f t="array" ref="AM259">IFERROR(_xlfn.IFS(AU259="","Sem Produto",AND(AU259/(AE259/12)&gt;0,AU259/(AE259/12)&lt;=2),"Acabando",AND(AU259/(AE259/12)&gt;2,AU259/(AE259/12)&lt;=3),"Fazer Pedido",AND(AU259/(AE259/12)&gt;3,AU259/(AE259/12)&lt;=7),"OK",AND(AU259/(AE259/12)&gt;7,AU259/(AE259/12)&lt;=14),"Abaixar Preço",AND(AU259/(AE259/12)&gt;14,AU259/(AE259/12)&lt;=20),"Estabilizando",AU259/(AE259/12)&gt;20,"Instavel"),"Instavel")</f>
        <v>Sem Produto</v>
      </c>
      <c r="AN259" s="1" t="str">
        <f>IF(SUMIF(vendaAno[data],SituaçãoEstoqueFluxo[[#This Row],[data]],vendaAno[estoque])=0,"Algo errado",IF(AND(AX259/AW259&gt;0,AX259/AW259&lt;=1),"Alerta",IF(AND(AX259/AW259&gt;1,AX259/AW259&lt;=1.5),"Fazer pedido",IF(AND(AX259/AW259&gt;1.5,AX259/AW259&lt;=2),"Ok",IF(AND(AX259/AW259&gt;2,AX259/AW259&lt;=2.5),"Estabilizando",IF(AND(AX259/AW259&gt;2.5,AX259/AW259&lt;=3),"Cheio","Abaixar preço"))))))</f>
        <v>Algo errado</v>
      </c>
      <c r="AO25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59" s="116">
        <f t="shared" si="12"/>
        <v>45975</v>
      </c>
      <c r="AQ25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5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5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5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5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59" s="82" cm="1">
        <f t="array" aca="1" ref="AV2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59" s="82" cm="1">
        <f t="array" aca="1" ref="AW2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59" s="82">
        <f>SUM(FluxoEstoqueDateTime[[#This Row],[OVO BRANCO A]:[OVO BRANCO JUMBO]])</f>
        <v>0</v>
      </c>
    </row>
    <row r="260" spans="1:50" x14ac:dyDescent="0.25">
      <c r="A260" s="4" t="s">
        <v>20</v>
      </c>
      <c r="B260" s="55" t="s">
        <v>13</v>
      </c>
      <c r="C260" s="5">
        <v>4</v>
      </c>
      <c r="D260" s="56">
        <v>20</v>
      </c>
      <c r="E260" s="56">
        <v>80</v>
      </c>
      <c r="F260" s="157">
        <v>46176</v>
      </c>
      <c r="G260" s="4" t="s">
        <v>32</v>
      </c>
      <c r="H260" s="4" t="s">
        <v>148</v>
      </c>
      <c r="I260" s="153">
        <v>14.51</v>
      </c>
      <c r="J260" s="12">
        <v>0.18132716049382705</v>
      </c>
      <c r="Z260" s="116">
        <f t="shared" ref="Z260:Z323" si="13">Z259-1</f>
        <v>45974</v>
      </c>
      <c r="AA26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0" s="116">
        <f t="shared" ref="AH260:AH323" si="14">AH259-1</f>
        <v>45974</v>
      </c>
      <c r="AI260" s="1" t="str" cm="1">
        <f t="array" ref="AI260">IFERROR(_xlfn.IFS(AQ260="","Sem Produto",AND(AQ260/(AA260/12)&gt;0,AQ260/(AA260/12)&lt;=2),"Acabando",AND(AQ260/(AA260/12)&gt;2,AQ260/(AA260/12)&lt;=3),"Fazer Pedido",AND(AQ260/(AA260/12)&gt;3,AQ260/(AA260/12)&lt;=7),"OK",AND(AQ260/(AA260/12)&gt;7,AQ260/(AA260/12)&lt;=14),"Abaixar Preço",AND(AQ260/(AA260/12)&gt;14,AQ260/(AA260/12)&lt;=20),"Estabilizando",AQ260/(AA260/12)&gt;20,"Instavel"),"Instavel")</f>
        <v>Sem Produto</v>
      </c>
      <c r="AJ260" s="1" t="str" cm="1">
        <f t="array" ref="AJ260">IFERROR(_xlfn.IFS(AR260="","Sem Produto",AND(AR260/(AB260/12)&gt;0,AR260/(AB260/12)&lt;=2),"Acabando",AND(AR260/(AB260/12)&gt;2,AR260/(AB260/12)&lt;=3),"Fazer Pedido",AND(AR260/(AB260/12)&gt;3,AR260/(AB260/12)&lt;=7),"OK",AND(AR260/(AB260/12)&gt;7,AR260/(AB260/12)&lt;=14),"Abaixar Preço",AND(AR260/(AB260/12)&gt;14,AR260/(AB260/12)&lt;=20),"Estabilizando",AR260/(AB260/12)&gt;20,"Instavel"),"Instavel")</f>
        <v>Sem Produto</v>
      </c>
      <c r="AK260" s="1" t="str" cm="1">
        <f t="array" ref="AK260">IFERROR(_xlfn.IFS(AS260="","Sem Produto",AND(AS260/(AC260/12)&gt;0,AS260/(AC260/12)&lt;=2),"Acabando",AND(AS260/(AC260/12)&gt;2,AS260/(AC260/12)&lt;=3),"Fazer Pedido",AND(AS260/(AC260/12)&gt;3,AS260/(AC260/12)&lt;=7),"OK",AND(AS260/(AC260/12)&gt;7,AS260/(AC260/12)&lt;=14),"Abaixar Preço",AND(AS260/(AC260/12)&gt;14,AS260/(AC260/12)&lt;=20),"Estabilizando",AS260/(AC260/12)&gt;20,"Instavel"),"Instavel")</f>
        <v>Sem Produto</v>
      </c>
      <c r="AL260" s="1" t="str" cm="1">
        <f t="array" ref="AL260">IFERROR(_xlfn.IFS(AT260="","Sem Produto",AND(AT260/(AD260/12)&gt;0,AT260/(AD260/12)&lt;=2),"Acabando",AND(AT260/(AD260/12)&gt;2,AT260/(AD260/12)&lt;=3),"Fazer Pedido",AND(AT260/(AD260/12)&gt;3,AT260/(AD260/12)&lt;=7),"OK",AND(AT260/(AD260/12)&gt;7,AT260/(AD260/12)&lt;=14),"Abaixar Preço",AND(AT260/(AD260/12)&gt;14,AT260/(AD260/12)&lt;=20),"Estabilizando",AT260/(AD260/12)&gt;20,"Instavel"),"Instavel")</f>
        <v>Sem Produto</v>
      </c>
      <c r="AM260" s="1" t="str" cm="1">
        <f t="array" ref="AM260">IFERROR(_xlfn.IFS(AU260="","Sem Produto",AND(AU260/(AE260/12)&gt;0,AU260/(AE260/12)&lt;=2),"Acabando",AND(AU260/(AE260/12)&gt;2,AU260/(AE260/12)&lt;=3),"Fazer Pedido",AND(AU260/(AE260/12)&gt;3,AU260/(AE260/12)&lt;=7),"OK",AND(AU260/(AE260/12)&gt;7,AU260/(AE260/12)&lt;=14),"Abaixar Preço",AND(AU260/(AE260/12)&gt;14,AU260/(AE260/12)&lt;=20),"Estabilizando",AU260/(AE260/12)&gt;20,"Instavel"),"Instavel")</f>
        <v>Sem Produto</v>
      </c>
      <c r="AN260" s="1" t="str">
        <f>IF(SUMIF(vendaAno[data],SituaçãoEstoqueFluxo[[#This Row],[data]],vendaAno[estoque])=0,"Algo errado",IF(AND(AX260/AW260&gt;0,AX260/AW260&lt;=1),"Alerta",IF(AND(AX260/AW260&gt;1,AX260/AW260&lt;=1.5),"Fazer pedido",IF(AND(AX260/AW260&gt;1.5,AX260/AW260&lt;=2),"Ok",IF(AND(AX260/AW260&gt;2,AX260/AW260&lt;=2.5),"Estabilizando",IF(AND(AX260/AW260&gt;2.5,AX260/AW260&lt;=3),"Cheio","Abaixar preço"))))))</f>
        <v>Algo errado</v>
      </c>
      <c r="AO26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0" s="116">
        <f t="shared" ref="AP260:AP323" si="15">AP259-1</f>
        <v>45974</v>
      </c>
      <c r="AQ26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0" s="82" cm="1">
        <f t="array" aca="1" ref="AV2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0" s="82" cm="1">
        <f t="array" aca="1" ref="AW2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0" s="82">
        <f>SUM(FluxoEstoqueDateTime[[#This Row],[OVO BRANCO A]:[OVO BRANCO JUMBO]])</f>
        <v>0</v>
      </c>
    </row>
    <row r="261" spans="1:50" x14ac:dyDescent="0.25">
      <c r="A261" s="4" t="s">
        <v>20</v>
      </c>
      <c r="B261" s="55" t="s">
        <v>12</v>
      </c>
      <c r="C261" s="5">
        <v>2</v>
      </c>
      <c r="D261" s="56">
        <v>16</v>
      </c>
      <c r="E261" s="56">
        <v>32</v>
      </c>
      <c r="F261" s="157">
        <v>46176</v>
      </c>
      <c r="G261" s="4" t="s">
        <v>32</v>
      </c>
      <c r="H261" s="4" t="s">
        <v>148</v>
      </c>
      <c r="I261" s="153">
        <v>4.33</v>
      </c>
      <c r="J261" s="12">
        <v>0.13541666666666663</v>
      </c>
      <c r="Z261" s="116">
        <f t="shared" si="13"/>
        <v>45973</v>
      </c>
      <c r="AA26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1" s="116">
        <f t="shared" si="14"/>
        <v>45973</v>
      </c>
      <c r="AI261" s="1" t="str" cm="1">
        <f t="array" ref="AI261">IFERROR(_xlfn.IFS(AQ261="","Sem Produto",AND(AQ261/(AA261/12)&gt;0,AQ261/(AA261/12)&lt;=2),"Acabando",AND(AQ261/(AA261/12)&gt;2,AQ261/(AA261/12)&lt;=3),"Fazer Pedido",AND(AQ261/(AA261/12)&gt;3,AQ261/(AA261/12)&lt;=7),"OK",AND(AQ261/(AA261/12)&gt;7,AQ261/(AA261/12)&lt;=14),"Abaixar Preço",AND(AQ261/(AA261/12)&gt;14,AQ261/(AA261/12)&lt;=20),"Estabilizando",AQ261/(AA261/12)&gt;20,"Instavel"),"Instavel")</f>
        <v>Sem Produto</v>
      </c>
      <c r="AJ261" s="1" t="str" cm="1">
        <f t="array" ref="AJ261">IFERROR(_xlfn.IFS(AR261="","Sem Produto",AND(AR261/(AB261/12)&gt;0,AR261/(AB261/12)&lt;=2),"Acabando",AND(AR261/(AB261/12)&gt;2,AR261/(AB261/12)&lt;=3),"Fazer Pedido",AND(AR261/(AB261/12)&gt;3,AR261/(AB261/12)&lt;=7),"OK",AND(AR261/(AB261/12)&gt;7,AR261/(AB261/12)&lt;=14),"Abaixar Preço",AND(AR261/(AB261/12)&gt;14,AR261/(AB261/12)&lt;=20),"Estabilizando",AR261/(AB261/12)&gt;20,"Instavel"),"Instavel")</f>
        <v>Sem Produto</v>
      </c>
      <c r="AK261" s="1" t="str" cm="1">
        <f t="array" ref="AK261">IFERROR(_xlfn.IFS(AS261="","Sem Produto",AND(AS261/(AC261/12)&gt;0,AS261/(AC261/12)&lt;=2),"Acabando",AND(AS261/(AC261/12)&gt;2,AS261/(AC261/12)&lt;=3),"Fazer Pedido",AND(AS261/(AC261/12)&gt;3,AS261/(AC261/12)&lt;=7),"OK",AND(AS261/(AC261/12)&gt;7,AS261/(AC261/12)&lt;=14),"Abaixar Preço",AND(AS261/(AC261/12)&gt;14,AS261/(AC261/12)&lt;=20),"Estabilizando",AS261/(AC261/12)&gt;20,"Instavel"),"Instavel")</f>
        <v>Sem Produto</v>
      </c>
      <c r="AL261" s="1" t="str" cm="1">
        <f t="array" ref="AL261">IFERROR(_xlfn.IFS(AT261="","Sem Produto",AND(AT261/(AD261/12)&gt;0,AT261/(AD261/12)&lt;=2),"Acabando",AND(AT261/(AD261/12)&gt;2,AT261/(AD261/12)&lt;=3),"Fazer Pedido",AND(AT261/(AD261/12)&gt;3,AT261/(AD261/12)&lt;=7),"OK",AND(AT261/(AD261/12)&gt;7,AT261/(AD261/12)&lt;=14),"Abaixar Preço",AND(AT261/(AD261/12)&gt;14,AT261/(AD261/12)&lt;=20),"Estabilizando",AT261/(AD261/12)&gt;20,"Instavel"),"Instavel")</f>
        <v>Sem Produto</v>
      </c>
      <c r="AM261" s="1" t="str" cm="1">
        <f t="array" ref="AM261">IFERROR(_xlfn.IFS(AU261="","Sem Produto",AND(AU261/(AE261/12)&gt;0,AU261/(AE261/12)&lt;=2),"Acabando",AND(AU261/(AE261/12)&gt;2,AU261/(AE261/12)&lt;=3),"Fazer Pedido",AND(AU261/(AE261/12)&gt;3,AU261/(AE261/12)&lt;=7),"OK",AND(AU261/(AE261/12)&gt;7,AU261/(AE261/12)&lt;=14),"Abaixar Preço",AND(AU261/(AE261/12)&gt;14,AU261/(AE261/12)&lt;=20),"Estabilizando",AU261/(AE261/12)&gt;20,"Instavel"),"Instavel")</f>
        <v>Sem Produto</v>
      </c>
      <c r="AN261" s="1" t="str">
        <f>IF(SUMIF(vendaAno[data],SituaçãoEstoqueFluxo[[#This Row],[data]],vendaAno[estoque])=0,"Algo errado",IF(AND(AX261/AW261&gt;0,AX261/AW261&lt;=1),"Alerta",IF(AND(AX261/AW261&gt;1,AX261/AW261&lt;=1.5),"Fazer pedido",IF(AND(AX261/AW261&gt;1.5,AX261/AW261&lt;=2),"Ok",IF(AND(AX261/AW261&gt;2,AX261/AW261&lt;=2.5),"Estabilizando",IF(AND(AX261/AW261&gt;2.5,AX261/AW261&lt;=3),"Cheio","Abaixar preço"))))))</f>
        <v>Algo errado</v>
      </c>
      <c r="AO26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1" s="116">
        <f t="shared" si="15"/>
        <v>45973</v>
      </c>
      <c r="AQ26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1" s="82" cm="1">
        <f t="array" aca="1" ref="AV2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1" s="82" cm="1">
        <f t="array" aca="1" ref="AW2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1" s="82">
        <f>SUM(FluxoEstoqueDateTime[[#This Row],[OVO BRANCO A]:[OVO BRANCO JUMBO]])</f>
        <v>0</v>
      </c>
    </row>
    <row r="262" spans="1:50" x14ac:dyDescent="0.25">
      <c r="A262" s="4" t="s">
        <v>20</v>
      </c>
      <c r="B262" s="55" t="s">
        <v>11</v>
      </c>
      <c r="C262" s="5">
        <v>6</v>
      </c>
      <c r="D262" s="56">
        <v>18</v>
      </c>
      <c r="E262" s="56">
        <v>108</v>
      </c>
      <c r="F262" s="157">
        <v>46176</v>
      </c>
      <c r="G262" s="4" t="s">
        <v>32</v>
      </c>
      <c r="H262" s="4" t="s">
        <v>148</v>
      </c>
      <c r="I262" s="153">
        <v>19.78</v>
      </c>
      <c r="J262" s="12">
        <v>0.18310322156476003</v>
      </c>
      <c r="Z262" s="116">
        <f t="shared" si="13"/>
        <v>45972</v>
      </c>
      <c r="AA26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2" s="116">
        <f t="shared" si="14"/>
        <v>45972</v>
      </c>
      <c r="AI262" s="1" t="str" cm="1">
        <f t="array" ref="AI262">IFERROR(_xlfn.IFS(AQ262="","Sem Produto",AND(AQ262/(AA262/12)&gt;0,AQ262/(AA262/12)&lt;=2),"Acabando",AND(AQ262/(AA262/12)&gt;2,AQ262/(AA262/12)&lt;=3),"Fazer Pedido",AND(AQ262/(AA262/12)&gt;3,AQ262/(AA262/12)&lt;=7),"OK",AND(AQ262/(AA262/12)&gt;7,AQ262/(AA262/12)&lt;=14),"Abaixar Preço",AND(AQ262/(AA262/12)&gt;14,AQ262/(AA262/12)&lt;=20),"Estabilizando",AQ262/(AA262/12)&gt;20,"Instavel"),"Instavel")</f>
        <v>Sem Produto</v>
      </c>
      <c r="AJ262" s="1" t="str" cm="1">
        <f t="array" ref="AJ262">IFERROR(_xlfn.IFS(AR262="","Sem Produto",AND(AR262/(AB262/12)&gt;0,AR262/(AB262/12)&lt;=2),"Acabando",AND(AR262/(AB262/12)&gt;2,AR262/(AB262/12)&lt;=3),"Fazer Pedido",AND(AR262/(AB262/12)&gt;3,AR262/(AB262/12)&lt;=7),"OK",AND(AR262/(AB262/12)&gt;7,AR262/(AB262/12)&lt;=14),"Abaixar Preço",AND(AR262/(AB262/12)&gt;14,AR262/(AB262/12)&lt;=20),"Estabilizando",AR262/(AB262/12)&gt;20,"Instavel"),"Instavel")</f>
        <v>Sem Produto</v>
      </c>
      <c r="AK262" s="1" t="str" cm="1">
        <f t="array" ref="AK262">IFERROR(_xlfn.IFS(AS262="","Sem Produto",AND(AS262/(AC262/12)&gt;0,AS262/(AC262/12)&lt;=2),"Acabando",AND(AS262/(AC262/12)&gt;2,AS262/(AC262/12)&lt;=3),"Fazer Pedido",AND(AS262/(AC262/12)&gt;3,AS262/(AC262/12)&lt;=7),"OK",AND(AS262/(AC262/12)&gt;7,AS262/(AC262/12)&lt;=14),"Abaixar Preço",AND(AS262/(AC262/12)&gt;14,AS262/(AC262/12)&lt;=20),"Estabilizando",AS262/(AC262/12)&gt;20,"Instavel"),"Instavel")</f>
        <v>Sem Produto</v>
      </c>
      <c r="AL262" s="1" t="str" cm="1">
        <f t="array" ref="AL262">IFERROR(_xlfn.IFS(AT262="","Sem Produto",AND(AT262/(AD262/12)&gt;0,AT262/(AD262/12)&lt;=2),"Acabando",AND(AT262/(AD262/12)&gt;2,AT262/(AD262/12)&lt;=3),"Fazer Pedido",AND(AT262/(AD262/12)&gt;3,AT262/(AD262/12)&lt;=7),"OK",AND(AT262/(AD262/12)&gt;7,AT262/(AD262/12)&lt;=14),"Abaixar Preço",AND(AT262/(AD262/12)&gt;14,AT262/(AD262/12)&lt;=20),"Estabilizando",AT262/(AD262/12)&gt;20,"Instavel"),"Instavel")</f>
        <v>Sem Produto</v>
      </c>
      <c r="AM262" s="1" t="str" cm="1">
        <f t="array" ref="AM262">IFERROR(_xlfn.IFS(AU262="","Sem Produto",AND(AU262/(AE262/12)&gt;0,AU262/(AE262/12)&lt;=2),"Acabando",AND(AU262/(AE262/12)&gt;2,AU262/(AE262/12)&lt;=3),"Fazer Pedido",AND(AU262/(AE262/12)&gt;3,AU262/(AE262/12)&lt;=7),"OK",AND(AU262/(AE262/12)&gt;7,AU262/(AE262/12)&lt;=14),"Abaixar Preço",AND(AU262/(AE262/12)&gt;14,AU262/(AE262/12)&lt;=20),"Estabilizando",AU262/(AE262/12)&gt;20,"Instavel"),"Instavel")</f>
        <v>Sem Produto</v>
      </c>
      <c r="AN262" s="1" t="str">
        <f>IF(SUMIF(vendaAno[data],SituaçãoEstoqueFluxo[[#This Row],[data]],vendaAno[estoque])=0,"Algo errado",IF(AND(AX262/AW262&gt;0,AX262/AW262&lt;=1),"Alerta",IF(AND(AX262/AW262&gt;1,AX262/AW262&lt;=1.5),"Fazer pedido",IF(AND(AX262/AW262&gt;1.5,AX262/AW262&lt;=2),"Ok",IF(AND(AX262/AW262&gt;2,AX262/AW262&lt;=2.5),"Estabilizando",IF(AND(AX262/AW262&gt;2.5,AX262/AW262&lt;=3),"Cheio","Abaixar preço"))))))</f>
        <v>Algo errado</v>
      </c>
      <c r="AO26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2" s="116">
        <f t="shared" si="15"/>
        <v>45972</v>
      </c>
      <c r="AQ26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2" s="82" cm="1">
        <f t="array" aca="1" ref="AV2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2" s="82" cm="1">
        <f t="array" aca="1" ref="AW2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2" s="82">
        <f>SUM(FluxoEstoqueDateTime[[#This Row],[OVO BRANCO A]:[OVO BRANCO JUMBO]])</f>
        <v>0</v>
      </c>
    </row>
    <row r="263" spans="1:50" x14ac:dyDescent="0.25">
      <c r="A263" s="4" t="s">
        <v>20</v>
      </c>
      <c r="B263" s="55" t="s">
        <v>14</v>
      </c>
      <c r="C263" s="5">
        <v>9</v>
      </c>
      <c r="D263" s="56">
        <v>22</v>
      </c>
      <c r="E263" s="56">
        <v>198</v>
      </c>
      <c r="F263" s="157">
        <v>46175</v>
      </c>
      <c r="G263" s="4" t="s">
        <v>290</v>
      </c>
      <c r="H263" s="4" t="s">
        <v>148</v>
      </c>
      <c r="I263" s="153">
        <v>41.29</v>
      </c>
      <c r="J263" s="12">
        <v>0.20852683708696354</v>
      </c>
      <c r="Z263" s="116">
        <f t="shared" si="13"/>
        <v>45971</v>
      </c>
      <c r="AA26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3" s="116">
        <f t="shared" si="14"/>
        <v>45971</v>
      </c>
      <c r="AI263" s="1" t="str" cm="1">
        <f t="array" ref="AI263">IFERROR(_xlfn.IFS(AQ263="","Sem Produto",AND(AQ263/(AA263/12)&gt;0,AQ263/(AA263/12)&lt;=2),"Acabando",AND(AQ263/(AA263/12)&gt;2,AQ263/(AA263/12)&lt;=3),"Fazer Pedido",AND(AQ263/(AA263/12)&gt;3,AQ263/(AA263/12)&lt;=7),"OK",AND(AQ263/(AA263/12)&gt;7,AQ263/(AA263/12)&lt;=14),"Abaixar Preço",AND(AQ263/(AA263/12)&gt;14,AQ263/(AA263/12)&lt;=20),"Estabilizando",AQ263/(AA263/12)&gt;20,"Instavel"),"Instavel")</f>
        <v>Sem Produto</v>
      </c>
      <c r="AJ263" s="1" t="str" cm="1">
        <f t="array" ref="AJ263">IFERROR(_xlfn.IFS(AR263="","Sem Produto",AND(AR263/(AB263/12)&gt;0,AR263/(AB263/12)&lt;=2),"Acabando",AND(AR263/(AB263/12)&gt;2,AR263/(AB263/12)&lt;=3),"Fazer Pedido",AND(AR263/(AB263/12)&gt;3,AR263/(AB263/12)&lt;=7),"OK",AND(AR263/(AB263/12)&gt;7,AR263/(AB263/12)&lt;=14),"Abaixar Preço",AND(AR263/(AB263/12)&gt;14,AR263/(AB263/12)&lt;=20),"Estabilizando",AR263/(AB263/12)&gt;20,"Instavel"),"Instavel")</f>
        <v>Sem Produto</v>
      </c>
      <c r="AK263" s="1" t="str" cm="1">
        <f t="array" ref="AK263">IFERROR(_xlfn.IFS(AS263="","Sem Produto",AND(AS263/(AC263/12)&gt;0,AS263/(AC263/12)&lt;=2),"Acabando",AND(AS263/(AC263/12)&gt;2,AS263/(AC263/12)&lt;=3),"Fazer Pedido",AND(AS263/(AC263/12)&gt;3,AS263/(AC263/12)&lt;=7),"OK",AND(AS263/(AC263/12)&gt;7,AS263/(AC263/12)&lt;=14),"Abaixar Preço",AND(AS263/(AC263/12)&gt;14,AS263/(AC263/12)&lt;=20),"Estabilizando",AS263/(AC263/12)&gt;20,"Instavel"),"Instavel")</f>
        <v>Sem Produto</v>
      </c>
      <c r="AL263" s="1" t="str" cm="1">
        <f t="array" ref="AL263">IFERROR(_xlfn.IFS(AT263="","Sem Produto",AND(AT263/(AD263/12)&gt;0,AT263/(AD263/12)&lt;=2),"Acabando",AND(AT263/(AD263/12)&gt;2,AT263/(AD263/12)&lt;=3),"Fazer Pedido",AND(AT263/(AD263/12)&gt;3,AT263/(AD263/12)&lt;=7),"OK",AND(AT263/(AD263/12)&gt;7,AT263/(AD263/12)&lt;=14),"Abaixar Preço",AND(AT263/(AD263/12)&gt;14,AT263/(AD263/12)&lt;=20),"Estabilizando",AT263/(AD263/12)&gt;20,"Instavel"),"Instavel")</f>
        <v>Sem Produto</v>
      </c>
      <c r="AM263" s="1" t="str" cm="1">
        <f t="array" ref="AM263">IFERROR(_xlfn.IFS(AU263="","Sem Produto",AND(AU263/(AE263/12)&gt;0,AU263/(AE263/12)&lt;=2),"Acabando",AND(AU263/(AE263/12)&gt;2,AU263/(AE263/12)&lt;=3),"Fazer Pedido",AND(AU263/(AE263/12)&gt;3,AU263/(AE263/12)&lt;=7),"OK",AND(AU263/(AE263/12)&gt;7,AU263/(AE263/12)&lt;=14),"Abaixar Preço",AND(AU263/(AE263/12)&gt;14,AU263/(AE263/12)&lt;=20),"Estabilizando",AU263/(AE263/12)&gt;20,"Instavel"),"Instavel")</f>
        <v>Sem Produto</v>
      </c>
      <c r="AN263" s="1" t="str">
        <f>IF(SUMIF(vendaAno[data],SituaçãoEstoqueFluxo[[#This Row],[data]],vendaAno[estoque])=0,"Algo errado",IF(AND(AX263/AW263&gt;0,AX263/AW263&lt;=1),"Alerta",IF(AND(AX263/AW263&gt;1,AX263/AW263&lt;=1.5),"Fazer pedido",IF(AND(AX263/AW263&gt;1.5,AX263/AW263&lt;=2),"Ok",IF(AND(AX263/AW263&gt;2,AX263/AW263&lt;=2.5),"Estabilizando",IF(AND(AX263/AW263&gt;2.5,AX263/AW263&lt;=3),"Cheio","Abaixar preço"))))))</f>
        <v>Algo errado</v>
      </c>
      <c r="AO26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3" s="116">
        <f t="shared" si="15"/>
        <v>45971</v>
      </c>
      <c r="AQ26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3" s="82" cm="1">
        <f t="array" aca="1" ref="AV2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3" s="82" cm="1">
        <f t="array" aca="1" ref="AW2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3" s="82">
        <f>SUM(FluxoEstoqueDateTime[[#This Row],[OVO BRANCO A]:[OVO BRANCO JUMBO]])</f>
        <v>0</v>
      </c>
    </row>
    <row r="264" spans="1:50" x14ac:dyDescent="0.25">
      <c r="A264" s="4" t="s">
        <v>20</v>
      </c>
      <c r="B264" s="55" t="s">
        <v>13</v>
      </c>
      <c r="C264" s="5">
        <v>4</v>
      </c>
      <c r="D264" s="56">
        <v>20</v>
      </c>
      <c r="E264" s="56">
        <v>80</v>
      </c>
      <c r="F264" s="157">
        <v>46175</v>
      </c>
      <c r="G264" s="4" t="s">
        <v>290</v>
      </c>
      <c r="H264" s="4" t="s">
        <v>148</v>
      </c>
      <c r="I264" s="153">
        <v>14.51</v>
      </c>
      <c r="J264" s="12">
        <v>0.18132716049382705</v>
      </c>
      <c r="Z264" s="116">
        <f t="shared" si="13"/>
        <v>45970</v>
      </c>
      <c r="AA26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4" s="116">
        <f t="shared" si="14"/>
        <v>45970</v>
      </c>
      <c r="AI264" s="1" t="str" cm="1">
        <f t="array" ref="AI264">IFERROR(_xlfn.IFS(AQ264="","Sem Produto",AND(AQ264/(AA264/12)&gt;0,AQ264/(AA264/12)&lt;=2),"Acabando",AND(AQ264/(AA264/12)&gt;2,AQ264/(AA264/12)&lt;=3),"Fazer Pedido",AND(AQ264/(AA264/12)&gt;3,AQ264/(AA264/12)&lt;=7),"OK",AND(AQ264/(AA264/12)&gt;7,AQ264/(AA264/12)&lt;=14),"Abaixar Preço",AND(AQ264/(AA264/12)&gt;14,AQ264/(AA264/12)&lt;=20),"Estabilizando",AQ264/(AA264/12)&gt;20,"Instavel"),"Instavel")</f>
        <v>Sem Produto</v>
      </c>
      <c r="AJ264" s="1" t="str" cm="1">
        <f t="array" ref="AJ264">IFERROR(_xlfn.IFS(AR264="","Sem Produto",AND(AR264/(AB264/12)&gt;0,AR264/(AB264/12)&lt;=2),"Acabando",AND(AR264/(AB264/12)&gt;2,AR264/(AB264/12)&lt;=3),"Fazer Pedido",AND(AR264/(AB264/12)&gt;3,AR264/(AB264/12)&lt;=7),"OK",AND(AR264/(AB264/12)&gt;7,AR264/(AB264/12)&lt;=14),"Abaixar Preço",AND(AR264/(AB264/12)&gt;14,AR264/(AB264/12)&lt;=20),"Estabilizando",AR264/(AB264/12)&gt;20,"Instavel"),"Instavel")</f>
        <v>Sem Produto</v>
      </c>
      <c r="AK264" s="1" t="str" cm="1">
        <f t="array" ref="AK264">IFERROR(_xlfn.IFS(AS264="","Sem Produto",AND(AS264/(AC264/12)&gt;0,AS264/(AC264/12)&lt;=2),"Acabando",AND(AS264/(AC264/12)&gt;2,AS264/(AC264/12)&lt;=3),"Fazer Pedido",AND(AS264/(AC264/12)&gt;3,AS264/(AC264/12)&lt;=7),"OK",AND(AS264/(AC264/12)&gt;7,AS264/(AC264/12)&lt;=14),"Abaixar Preço",AND(AS264/(AC264/12)&gt;14,AS264/(AC264/12)&lt;=20),"Estabilizando",AS264/(AC264/12)&gt;20,"Instavel"),"Instavel")</f>
        <v>Sem Produto</v>
      </c>
      <c r="AL264" s="1" t="str" cm="1">
        <f t="array" ref="AL264">IFERROR(_xlfn.IFS(AT264="","Sem Produto",AND(AT264/(AD264/12)&gt;0,AT264/(AD264/12)&lt;=2),"Acabando",AND(AT264/(AD264/12)&gt;2,AT264/(AD264/12)&lt;=3),"Fazer Pedido",AND(AT264/(AD264/12)&gt;3,AT264/(AD264/12)&lt;=7),"OK",AND(AT264/(AD264/12)&gt;7,AT264/(AD264/12)&lt;=14),"Abaixar Preço",AND(AT264/(AD264/12)&gt;14,AT264/(AD264/12)&lt;=20),"Estabilizando",AT264/(AD264/12)&gt;20,"Instavel"),"Instavel")</f>
        <v>Sem Produto</v>
      </c>
      <c r="AM264" s="1" t="str" cm="1">
        <f t="array" ref="AM264">IFERROR(_xlfn.IFS(AU264="","Sem Produto",AND(AU264/(AE264/12)&gt;0,AU264/(AE264/12)&lt;=2),"Acabando",AND(AU264/(AE264/12)&gt;2,AU264/(AE264/12)&lt;=3),"Fazer Pedido",AND(AU264/(AE264/12)&gt;3,AU264/(AE264/12)&lt;=7),"OK",AND(AU264/(AE264/12)&gt;7,AU264/(AE264/12)&lt;=14),"Abaixar Preço",AND(AU264/(AE264/12)&gt;14,AU264/(AE264/12)&lt;=20),"Estabilizando",AU264/(AE264/12)&gt;20,"Instavel"),"Instavel")</f>
        <v>Sem Produto</v>
      </c>
      <c r="AN264" s="1" t="str">
        <f>IF(SUMIF(vendaAno[data],SituaçãoEstoqueFluxo[[#This Row],[data]],vendaAno[estoque])=0,"Algo errado",IF(AND(AX264/AW264&gt;0,AX264/AW264&lt;=1),"Alerta",IF(AND(AX264/AW264&gt;1,AX264/AW264&lt;=1.5),"Fazer pedido",IF(AND(AX264/AW264&gt;1.5,AX264/AW264&lt;=2),"Ok",IF(AND(AX264/AW264&gt;2,AX264/AW264&lt;=2.5),"Estabilizando",IF(AND(AX264/AW264&gt;2.5,AX264/AW264&lt;=3),"Cheio","Abaixar preço"))))))</f>
        <v>Algo errado</v>
      </c>
      <c r="AO26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4" s="116">
        <f t="shared" si="15"/>
        <v>45970</v>
      </c>
      <c r="AQ26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4" s="82" cm="1">
        <f t="array" aca="1" ref="AV2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4" s="82" cm="1">
        <f t="array" aca="1" ref="AW2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4" s="82">
        <f>SUM(FluxoEstoqueDateTime[[#This Row],[OVO BRANCO A]:[OVO BRANCO JUMBO]])</f>
        <v>0</v>
      </c>
    </row>
    <row r="265" spans="1:50" x14ac:dyDescent="0.25">
      <c r="A265" s="4" t="s">
        <v>20</v>
      </c>
      <c r="B265" s="55" t="s">
        <v>12</v>
      </c>
      <c r="C265" s="5">
        <v>5</v>
      </c>
      <c r="D265" s="56">
        <v>16</v>
      </c>
      <c r="E265" s="56">
        <v>80</v>
      </c>
      <c r="F265" s="157">
        <v>46175</v>
      </c>
      <c r="G265" s="4" t="s">
        <v>290</v>
      </c>
      <c r="H265" s="4" t="s">
        <v>148</v>
      </c>
      <c r="I265" s="153">
        <v>10.83</v>
      </c>
      <c r="J265" s="12">
        <v>0.13541666666666663</v>
      </c>
      <c r="Z265" s="116">
        <f t="shared" si="13"/>
        <v>45969</v>
      </c>
      <c r="AA26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5" s="116">
        <f t="shared" si="14"/>
        <v>45969</v>
      </c>
      <c r="AI265" s="1" t="str" cm="1">
        <f t="array" ref="AI265">IFERROR(_xlfn.IFS(AQ265="","Sem Produto",AND(AQ265/(AA265/12)&gt;0,AQ265/(AA265/12)&lt;=2),"Acabando",AND(AQ265/(AA265/12)&gt;2,AQ265/(AA265/12)&lt;=3),"Fazer Pedido",AND(AQ265/(AA265/12)&gt;3,AQ265/(AA265/12)&lt;=7),"OK",AND(AQ265/(AA265/12)&gt;7,AQ265/(AA265/12)&lt;=14),"Abaixar Preço",AND(AQ265/(AA265/12)&gt;14,AQ265/(AA265/12)&lt;=20),"Estabilizando",AQ265/(AA265/12)&gt;20,"Instavel"),"Instavel")</f>
        <v>Sem Produto</v>
      </c>
      <c r="AJ265" s="1" t="str" cm="1">
        <f t="array" ref="AJ265">IFERROR(_xlfn.IFS(AR265="","Sem Produto",AND(AR265/(AB265/12)&gt;0,AR265/(AB265/12)&lt;=2),"Acabando",AND(AR265/(AB265/12)&gt;2,AR265/(AB265/12)&lt;=3),"Fazer Pedido",AND(AR265/(AB265/12)&gt;3,AR265/(AB265/12)&lt;=7),"OK",AND(AR265/(AB265/12)&gt;7,AR265/(AB265/12)&lt;=14),"Abaixar Preço",AND(AR265/(AB265/12)&gt;14,AR265/(AB265/12)&lt;=20),"Estabilizando",AR265/(AB265/12)&gt;20,"Instavel"),"Instavel")</f>
        <v>Sem Produto</v>
      </c>
      <c r="AK265" s="1" t="str" cm="1">
        <f t="array" ref="AK265">IFERROR(_xlfn.IFS(AS265="","Sem Produto",AND(AS265/(AC265/12)&gt;0,AS265/(AC265/12)&lt;=2),"Acabando",AND(AS265/(AC265/12)&gt;2,AS265/(AC265/12)&lt;=3),"Fazer Pedido",AND(AS265/(AC265/12)&gt;3,AS265/(AC265/12)&lt;=7),"OK",AND(AS265/(AC265/12)&gt;7,AS265/(AC265/12)&lt;=14),"Abaixar Preço",AND(AS265/(AC265/12)&gt;14,AS265/(AC265/12)&lt;=20),"Estabilizando",AS265/(AC265/12)&gt;20,"Instavel"),"Instavel")</f>
        <v>Sem Produto</v>
      </c>
      <c r="AL265" s="1" t="str" cm="1">
        <f t="array" ref="AL265">IFERROR(_xlfn.IFS(AT265="","Sem Produto",AND(AT265/(AD265/12)&gt;0,AT265/(AD265/12)&lt;=2),"Acabando",AND(AT265/(AD265/12)&gt;2,AT265/(AD265/12)&lt;=3),"Fazer Pedido",AND(AT265/(AD265/12)&gt;3,AT265/(AD265/12)&lt;=7),"OK",AND(AT265/(AD265/12)&gt;7,AT265/(AD265/12)&lt;=14),"Abaixar Preço",AND(AT265/(AD265/12)&gt;14,AT265/(AD265/12)&lt;=20),"Estabilizando",AT265/(AD265/12)&gt;20,"Instavel"),"Instavel")</f>
        <v>Sem Produto</v>
      </c>
      <c r="AM265" s="1" t="str" cm="1">
        <f t="array" ref="AM265">IFERROR(_xlfn.IFS(AU265="","Sem Produto",AND(AU265/(AE265/12)&gt;0,AU265/(AE265/12)&lt;=2),"Acabando",AND(AU265/(AE265/12)&gt;2,AU265/(AE265/12)&lt;=3),"Fazer Pedido",AND(AU265/(AE265/12)&gt;3,AU265/(AE265/12)&lt;=7),"OK",AND(AU265/(AE265/12)&gt;7,AU265/(AE265/12)&lt;=14),"Abaixar Preço",AND(AU265/(AE265/12)&gt;14,AU265/(AE265/12)&lt;=20),"Estabilizando",AU265/(AE265/12)&gt;20,"Instavel"),"Instavel")</f>
        <v>Sem Produto</v>
      </c>
      <c r="AN265" s="1" t="str">
        <f>IF(SUMIF(vendaAno[data],SituaçãoEstoqueFluxo[[#This Row],[data]],vendaAno[estoque])=0,"Algo errado",IF(AND(AX265/AW265&gt;0,AX265/AW265&lt;=1),"Alerta",IF(AND(AX265/AW265&gt;1,AX265/AW265&lt;=1.5),"Fazer pedido",IF(AND(AX265/AW265&gt;1.5,AX265/AW265&lt;=2),"Ok",IF(AND(AX265/AW265&gt;2,AX265/AW265&lt;=2.5),"Estabilizando",IF(AND(AX265/AW265&gt;2.5,AX265/AW265&lt;=3),"Cheio","Abaixar preço"))))))</f>
        <v>Algo errado</v>
      </c>
      <c r="AO26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5" s="116">
        <f t="shared" si="15"/>
        <v>45969</v>
      </c>
      <c r="AQ26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5" s="82" cm="1">
        <f t="array" aca="1" ref="AV2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5" s="82" cm="1">
        <f t="array" aca="1" ref="AW2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5" s="82">
        <f>SUM(FluxoEstoqueDateTime[[#This Row],[OVO BRANCO A]:[OVO BRANCO JUMBO]])</f>
        <v>0</v>
      </c>
    </row>
    <row r="266" spans="1:50" x14ac:dyDescent="0.25">
      <c r="A266" s="4" t="s">
        <v>20</v>
      </c>
      <c r="B266" s="55" t="s">
        <v>11</v>
      </c>
      <c r="C266" s="5">
        <v>3</v>
      </c>
      <c r="D266" s="56">
        <v>18</v>
      </c>
      <c r="E266" s="56">
        <v>54</v>
      </c>
      <c r="F266" s="157">
        <v>46175</v>
      </c>
      <c r="G266" s="4" t="s">
        <v>290</v>
      </c>
      <c r="H266" s="4" t="s">
        <v>148</v>
      </c>
      <c r="I266" s="153">
        <v>9.89</v>
      </c>
      <c r="J266" s="12">
        <v>0.18310322156476003</v>
      </c>
      <c r="Z266" s="116">
        <f t="shared" si="13"/>
        <v>45968</v>
      </c>
      <c r="AA26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6" s="116">
        <f t="shared" si="14"/>
        <v>45968</v>
      </c>
      <c r="AI266" s="1" t="str" cm="1">
        <f t="array" ref="AI266">IFERROR(_xlfn.IFS(AQ266="","Sem Produto",AND(AQ266/(AA266/12)&gt;0,AQ266/(AA266/12)&lt;=2),"Acabando",AND(AQ266/(AA266/12)&gt;2,AQ266/(AA266/12)&lt;=3),"Fazer Pedido",AND(AQ266/(AA266/12)&gt;3,AQ266/(AA266/12)&lt;=7),"OK",AND(AQ266/(AA266/12)&gt;7,AQ266/(AA266/12)&lt;=14),"Abaixar Preço",AND(AQ266/(AA266/12)&gt;14,AQ266/(AA266/12)&lt;=20),"Estabilizando",AQ266/(AA266/12)&gt;20,"Instavel"),"Instavel")</f>
        <v>Sem Produto</v>
      </c>
      <c r="AJ266" s="1" t="str" cm="1">
        <f t="array" ref="AJ266">IFERROR(_xlfn.IFS(AR266="","Sem Produto",AND(AR266/(AB266/12)&gt;0,AR266/(AB266/12)&lt;=2),"Acabando",AND(AR266/(AB266/12)&gt;2,AR266/(AB266/12)&lt;=3),"Fazer Pedido",AND(AR266/(AB266/12)&gt;3,AR266/(AB266/12)&lt;=7),"OK",AND(AR266/(AB266/12)&gt;7,AR266/(AB266/12)&lt;=14),"Abaixar Preço",AND(AR266/(AB266/12)&gt;14,AR266/(AB266/12)&lt;=20),"Estabilizando",AR266/(AB266/12)&gt;20,"Instavel"),"Instavel")</f>
        <v>Sem Produto</v>
      </c>
      <c r="AK266" s="1" t="str" cm="1">
        <f t="array" ref="AK266">IFERROR(_xlfn.IFS(AS266="","Sem Produto",AND(AS266/(AC266/12)&gt;0,AS266/(AC266/12)&lt;=2),"Acabando",AND(AS266/(AC266/12)&gt;2,AS266/(AC266/12)&lt;=3),"Fazer Pedido",AND(AS266/(AC266/12)&gt;3,AS266/(AC266/12)&lt;=7),"OK",AND(AS266/(AC266/12)&gt;7,AS266/(AC266/12)&lt;=14),"Abaixar Preço",AND(AS266/(AC266/12)&gt;14,AS266/(AC266/12)&lt;=20),"Estabilizando",AS266/(AC266/12)&gt;20,"Instavel"),"Instavel")</f>
        <v>Sem Produto</v>
      </c>
      <c r="AL266" s="1" t="str" cm="1">
        <f t="array" ref="AL266">IFERROR(_xlfn.IFS(AT266="","Sem Produto",AND(AT266/(AD266/12)&gt;0,AT266/(AD266/12)&lt;=2),"Acabando",AND(AT266/(AD266/12)&gt;2,AT266/(AD266/12)&lt;=3),"Fazer Pedido",AND(AT266/(AD266/12)&gt;3,AT266/(AD266/12)&lt;=7),"OK",AND(AT266/(AD266/12)&gt;7,AT266/(AD266/12)&lt;=14),"Abaixar Preço",AND(AT266/(AD266/12)&gt;14,AT266/(AD266/12)&lt;=20),"Estabilizando",AT266/(AD266/12)&gt;20,"Instavel"),"Instavel")</f>
        <v>Sem Produto</v>
      </c>
      <c r="AM266" s="1" t="str" cm="1">
        <f t="array" ref="AM266">IFERROR(_xlfn.IFS(AU266="","Sem Produto",AND(AU266/(AE266/12)&gt;0,AU266/(AE266/12)&lt;=2),"Acabando",AND(AU266/(AE266/12)&gt;2,AU266/(AE266/12)&lt;=3),"Fazer Pedido",AND(AU266/(AE266/12)&gt;3,AU266/(AE266/12)&lt;=7),"OK",AND(AU266/(AE266/12)&gt;7,AU266/(AE266/12)&lt;=14),"Abaixar Preço",AND(AU266/(AE266/12)&gt;14,AU266/(AE266/12)&lt;=20),"Estabilizando",AU266/(AE266/12)&gt;20,"Instavel"),"Instavel")</f>
        <v>Sem Produto</v>
      </c>
      <c r="AN266" s="1" t="str">
        <f>IF(SUMIF(vendaAno[data],SituaçãoEstoqueFluxo[[#This Row],[data]],vendaAno[estoque])=0,"Algo errado",IF(AND(AX266/AW266&gt;0,AX266/AW266&lt;=1),"Alerta",IF(AND(AX266/AW266&gt;1,AX266/AW266&lt;=1.5),"Fazer pedido",IF(AND(AX266/AW266&gt;1.5,AX266/AW266&lt;=2),"Ok",IF(AND(AX266/AW266&gt;2,AX266/AW266&lt;=2.5),"Estabilizando",IF(AND(AX266/AW266&gt;2.5,AX266/AW266&lt;=3),"Cheio","Abaixar preço"))))))</f>
        <v>Algo errado</v>
      </c>
      <c r="AO26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6" s="116">
        <f t="shared" si="15"/>
        <v>45968</v>
      </c>
      <c r="AQ26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6" s="82" cm="1">
        <f t="array" aca="1" ref="AV2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6" s="82" cm="1">
        <f t="array" aca="1" ref="AW2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6" s="82">
        <f>SUM(FluxoEstoqueDateTime[[#This Row],[OVO BRANCO A]:[OVO BRANCO JUMBO]])</f>
        <v>0</v>
      </c>
    </row>
    <row r="267" spans="1:50" x14ac:dyDescent="0.25">
      <c r="A267" s="4" t="s">
        <v>20</v>
      </c>
      <c r="B267" s="55" t="s">
        <v>10</v>
      </c>
      <c r="C267" s="5">
        <v>3</v>
      </c>
      <c r="D267" s="56">
        <v>19</v>
      </c>
      <c r="E267" s="56">
        <v>57</v>
      </c>
      <c r="F267" s="157">
        <v>46175</v>
      </c>
      <c r="G267" s="4" t="s">
        <v>290</v>
      </c>
      <c r="H267" s="4" t="s">
        <v>148</v>
      </c>
      <c r="I267" s="153">
        <v>10.67</v>
      </c>
      <c r="J267" s="12">
        <v>0.18719428631354246</v>
      </c>
      <c r="Z267" s="116">
        <f t="shared" si="13"/>
        <v>45967</v>
      </c>
      <c r="AA26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7" s="116">
        <f t="shared" si="14"/>
        <v>45967</v>
      </c>
      <c r="AI267" s="1" t="str" cm="1">
        <f t="array" ref="AI267">IFERROR(_xlfn.IFS(AQ267="","Sem Produto",AND(AQ267/(AA267/12)&gt;0,AQ267/(AA267/12)&lt;=2),"Acabando",AND(AQ267/(AA267/12)&gt;2,AQ267/(AA267/12)&lt;=3),"Fazer Pedido",AND(AQ267/(AA267/12)&gt;3,AQ267/(AA267/12)&lt;=7),"OK",AND(AQ267/(AA267/12)&gt;7,AQ267/(AA267/12)&lt;=14),"Abaixar Preço",AND(AQ267/(AA267/12)&gt;14,AQ267/(AA267/12)&lt;=20),"Estabilizando",AQ267/(AA267/12)&gt;20,"Instavel"),"Instavel")</f>
        <v>Sem Produto</v>
      </c>
      <c r="AJ267" s="1" t="str" cm="1">
        <f t="array" ref="AJ267">IFERROR(_xlfn.IFS(AR267="","Sem Produto",AND(AR267/(AB267/12)&gt;0,AR267/(AB267/12)&lt;=2),"Acabando",AND(AR267/(AB267/12)&gt;2,AR267/(AB267/12)&lt;=3),"Fazer Pedido",AND(AR267/(AB267/12)&gt;3,AR267/(AB267/12)&lt;=7),"OK",AND(AR267/(AB267/12)&gt;7,AR267/(AB267/12)&lt;=14),"Abaixar Preço",AND(AR267/(AB267/12)&gt;14,AR267/(AB267/12)&lt;=20),"Estabilizando",AR267/(AB267/12)&gt;20,"Instavel"),"Instavel")</f>
        <v>Sem Produto</v>
      </c>
      <c r="AK267" s="1" t="str" cm="1">
        <f t="array" ref="AK267">IFERROR(_xlfn.IFS(AS267="","Sem Produto",AND(AS267/(AC267/12)&gt;0,AS267/(AC267/12)&lt;=2),"Acabando",AND(AS267/(AC267/12)&gt;2,AS267/(AC267/12)&lt;=3),"Fazer Pedido",AND(AS267/(AC267/12)&gt;3,AS267/(AC267/12)&lt;=7),"OK",AND(AS267/(AC267/12)&gt;7,AS267/(AC267/12)&lt;=14),"Abaixar Preço",AND(AS267/(AC267/12)&gt;14,AS267/(AC267/12)&lt;=20),"Estabilizando",AS267/(AC267/12)&gt;20,"Instavel"),"Instavel")</f>
        <v>Sem Produto</v>
      </c>
      <c r="AL267" s="1" t="str" cm="1">
        <f t="array" ref="AL267">IFERROR(_xlfn.IFS(AT267="","Sem Produto",AND(AT267/(AD267/12)&gt;0,AT267/(AD267/12)&lt;=2),"Acabando",AND(AT267/(AD267/12)&gt;2,AT267/(AD267/12)&lt;=3),"Fazer Pedido",AND(AT267/(AD267/12)&gt;3,AT267/(AD267/12)&lt;=7),"OK",AND(AT267/(AD267/12)&gt;7,AT267/(AD267/12)&lt;=14),"Abaixar Preço",AND(AT267/(AD267/12)&gt;14,AT267/(AD267/12)&lt;=20),"Estabilizando",AT267/(AD267/12)&gt;20,"Instavel"),"Instavel")</f>
        <v>Sem Produto</v>
      </c>
      <c r="AM267" s="1" t="str" cm="1">
        <f t="array" ref="AM267">IFERROR(_xlfn.IFS(AU267="","Sem Produto",AND(AU267/(AE267/12)&gt;0,AU267/(AE267/12)&lt;=2),"Acabando",AND(AU267/(AE267/12)&gt;2,AU267/(AE267/12)&lt;=3),"Fazer Pedido",AND(AU267/(AE267/12)&gt;3,AU267/(AE267/12)&lt;=7),"OK",AND(AU267/(AE267/12)&gt;7,AU267/(AE267/12)&lt;=14),"Abaixar Preço",AND(AU267/(AE267/12)&gt;14,AU267/(AE267/12)&lt;=20),"Estabilizando",AU267/(AE267/12)&gt;20,"Instavel"),"Instavel")</f>
        <v>Sem Produto</v>
      </c>
      <c r="AN267" s="1" t="str">
        <f>IF(SUMIF(vendaAno[data],SituaçãoEstoqueFluxo[[#This Row],[data]],vendaAno[estoque])=0,"Algo errado",IF(AND(AX267/AW267&gt;0,AX267/AW267&lt;=1),"Alerta",IF(AND(AX267/AW267&gt;1,AX267/AW267&lt;=1.5),"Fazer pedido",IF(AND(AX267/AW267&gt;1.5,AX267/AW267&lt;=2),"Ok",IF(AND(AX267/AW267&gt;2,AX267/AW267&lt;=2.5),"Estabilizando",IF(AND(AX267/AW267&gt;2.5,AX267/AW267&lt;=3),"Cheio","Abaixar preço"))))))</f>
        <v>Algo errado</v>
      </c>
      <c r="AO26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7" s="116">
        <f t="shared" si="15"/>
        <v>45967</v>
      </c>
      <c r="AQ26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7" s="82" cm="1">
        <f t="array" aca="1" ref="AV2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7" s="82" cm="1">
        <f t="array" aca="1" ref="AW2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7" s="82">
        <f>SUM(FluxoEstoqueDateTime[[#This Row],[OVO BRANCO A]:[OVO BRANCO JUMBO]])</f>
        <v>0</v>
      </c>
    </row>
    <row r="268" spans="1:50" x14ac:dyDescent="0.25">
      <c r="A268" s="4" t="s">
        <v>20</v>
      </c>
      <c r="B268" s="55" t="s">
        <v>13</v>
      </c>
      <c r="C268" s="5">
        <v>3</v>
      </c>
      <c r="D268" s="56">
        <v>20</v>
      </c>
      <c r="E268" s="56"/>
      <c r="F268" s="157">
        <v>46174</v>
      </c>
      <c r="G268" s="4" t="s">
        <v>291</v>
      </c>
      <c r="H268" s="4" t="s">
        <v>148</v>
      </c>
      <c r="I268" s="153">
        <f>-16.37*3</f>
        <v>-49.11</v>
      </c>
      <c r="J268" s="12"/>
      <c r="Z268" s="116">
        <f t="shared" si="13"/>
        <v>45966</v>
      </c>
      <c r="AA26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8" s="116">
        <f t="shared" si="14"/>
        <v>45966</v>
      </c>
      <c r="AI268" s="1" t="str" cm="1">
        <f t="array" ref="AI268">IFERROR(_xlfn.IFS(AQ268="","Sem Produto",AND(AQ268/(AA268/12)&gt;0,AQ268/(AA268/12)&lt;=2),"Acabando",AND(AQ268/(AA268/12)&gt;2,AQ268/(AA268/12)&lt;=3),"Fazer Pedido",AND(AQ268/(AA268/12)&gt;3,AQ268/(AA268/12)&lt;=7),"OK",AND(AQ268/(AA268/12)&gt;7,AQ268/(AA268/12)&lt;=14),"Abaixar Preço",AND(AQ268/(AA268/12)&gt;14,AQ268/(AA268/12)&lt;=20),"Estabilizando",AQ268/(AA268/12)&gt;20,"Instavel"),"Instavel")</f>
        <v>Sem Produto</v>
      </c>
      <c r="AJ268" s="1" t="str" cm="1">
        <f t="array" ref="AJ268">IFERROR(_xlfn.IFS(AR268="","Sem Produto",AND(AR268/(AB268/12)&gt;0,AR268/(AB268/12)&lt;=2),"Acabando",AND(AR268/(AB268/12)&gt;2,AR268/(AB268/12)&lt;=3),"Fazer Pedido",AND(AR268/(AB268/12)&gt;3,AR268/(AB268/12)&lt;=7),"OK",AND(AR268/(AB268/12)&gt;7,AR268/(AB268/12)&lt;=14),"Abaixar Preço",AND(AR268/(AB268/12)&gt;14,AR268/(AB268/12)&lt;=20),"Estabilizando",AR268/(AB268/12)&gt;20,"Instavel"),"Instavel")</f>
        <v>Sem Produto</v>
      </c>
      <c r="AK268" s="1" t="str" cm="1">
        <f t="array" ref="AK268">IFERROR(_xlfn.IFS(AS268="","Sem Produto",AND(AS268/(AC268/12)&gt;0,AS268/(AC268/12)&lt;=2),"Acabando",AND(AS268/(AC268/12)&gt;2,AS268/(AC268/12)&lt;=3),"Fazer Pedido",AND(AS268/(AC268/12)&gt;3,AS268/(AC268/12)&lt;=7),"OK",AND(AS268/(AC268/12)&gt;7,AS268/(AC268/12)&lt;=14),"Abaixar Preço",AND(AS268/(AC268/12)&gt;14,AS268/(AC268/12)&lt;=20),"Estabilizando",AS268/(AC268/12)&gt;20,"Instavel"),"Instavel")</f>
        <v>Sem Produto</v>
      </c>
      <c r="AL268" s="1" t="str" cm="1">
        <f t="array" ref="AL268">IFERROR(_xlfn.IFS(AT268="","Sem Produto",AND(AT268/(AD268/12)&gt;0,AT268/(AD268/12)&lt;=2),"Acabando",AND(AT268/(AD268/12)&gt;2,AT268/(AD268/12)&lt;=3),"Fazer Pedido",AND(AT268/(AD268/12)&gt;3,AT268/(AD268/12)&lt;=7),"OK",AND(AT268/(AD268/12)&gt;7,AT268/(AD268/12)&lt;=14),"Abaixar Preço",AND(AT268/(AD268/12)&gt;14,AT268/(AD268/12)&lt;=20),"Estabilizando",AT268/(AD268/12)&gt;20,"Instavel"),"Instavel")</f>
        <v>Sem Produto</v>
      </c>
      <c r="AM268" s="1" t="str" cm="1">
        <f t="array" ref="AM268">IFERROR(_xlfn.IFS(AU268="","Sem Produto",AND(AU268/(AE268/12)&gt;0,AU268/(AE268/12)&lt;=2),"Acabando",AND(AU268/(AE268/12)&gt;2,AU268/(AE268/12)&lt;=3),"Fazer Pedido",AND(AU268/(AE268/12)&gt;3,AU268/(AE268/12)&lt;=7),"OK",AND(AU268/(AE268/12)&gt;7,AU268/(AE268/12)&lt;=14),"Abaixar Preço",AND(AU268/(AE268/12)&gt;14,AU268/(AE268/12)&lt;=20),"Estabilizando",AU268/(AE268/12)&gt;20,"Instavel"),"Instavel")</f>
        <v>Sem Produto</v>
      </c>
      <c r="AN268" s="1" t="str">
        <f>IF(SUMIF(vendaAno[data],SituaçãoEstoqueFluxo[[#This Row],[data]],vendaAno[estoque])=0,"Algo errado",IF(AND(AX268/AW268&gt;0,AX268/AW268&lt;=1),"Alerta",IF(AND(AX268/AW268&gt;1,AX268/AW268&lt;=1.5),"Fazer pedido",IF(AND(AX268/AW268&gt;1.5,AX268/AW268&lt;=2),"Ok",IF(AND(AX268/AW268&gt;2,AX268/AW268&lt;=2.5),"Estabilizando",IF(AND(AX268/AW268&gt;2.5,AX268/AW268&lt;=3),"Cheio","Abaixar preço"))))))</f>
        <v>Algo errado</v>
      </c>
      <c r="AO26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8" s="116">
        <f t="shared" si="15"/>
        <v>45966</v>
      </c>
      <c r="AQ26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8" s="82" cm="1">
        <f t="array" aca="1" ref="AV26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8" s="82" cm="1">
        <f t="array" aca="1" ref="AW26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8" s="82">
        <f>SUM(FluxoEstoqueDateTime[[#This Row],[OVO BRANCO A]:[OVO BRANCO JUMBO]])</f>
        <v>0</v>
      </c>
    </row>
    <row r="269" spans="1:50" x14ac:dyDescent="0.25">
      <c r="A269" s="4" t="s">
        <v>20</v>
      </c>
      <c r="B269" s="55" t="s">
        <v>14</v>
      </c>
      <c r="C269" s="5">
        <v>10</v>
      </c>
      <c r="D269" s="56">
        <v>22</v>
      </c>
      <c r="E269" s="56">
        <v>220</v>
      </c>
      <c r="F269" s="157">
        <v>46174</v>
      </c>
      <c r="G269" s="4" t="s">
        <v>291</v>
      </c>
      <c r="H269" s="4" t="s">
        <v>148</v>
      </c>
      <c r="I269" s="153">
        <v>45.88</v>
      </c>
      <c r="J269" s="12">
        <v>0.20852683708696354</v>
      </c>
      <c r="Z269" s="116">
        <f t="shared" si="13"/>
        <v>45965</v>
      </c>
      <c r="AA26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6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6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6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6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6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6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69" s="116">
        <f t="shared" si="14"/>
        <v>45965</v>
      </c>
      <c r="AI269" s="1" t="str" cm="1">
        <f t="array" ref="AI269">IFERROR(_xlfn.IFS(AQ269="","Sem Produto",AND(AQ269/(AA269/12)&gt;0,AQ269/(AA269/12)&lt;=2),"Acabando",AND(AQ269/(AA269/12)&gt;2,AQ269/(AA269/12)&lt;=3),"Fazer Pedido",AND(AQ269/(AA269/12)&gt;3,AQ269/(AA269/12)&lt;=7),"OK",AND(AQ269/(AA269/12)&gt;7,AQ269/(AA269/12)&lt;=14),"Abaixar Preço",AND(AQ269/(AA269/12)&gt;14,AQ269/(AA269/12)&lt;=20),"Estabilizando",AQ269/(AA269/12)&gt;20,"Instavel"),"Instavel")</f>
        <v>Sem Produto</v>
      </c>
      <c r="AJ269" s="1" t="str" cm="1">
        <f t="array" ref="AJ269">IFERROR(_xlfn.IFS(AR269="","Sem Produto",AND(AR269/(AB269/12)&gt;0,AR269/(AB269/12)&lt;=2),"Acabando",AND(AR269/(AB269/12)&gt;2,AR269/(AB269/12)&lt;=3),"Fazer Pedido",AND(AR269/(AB269/12)&gt;3,AR269/(AB269/12)&lt;=7),"OK",AND(AR269/(AB269/12)&gt;7,AR269/(AB269/12)&lt;=14),"Abaixar Preço",AND(AR269/(AB269/12)&gt;14,AR269/(AB269/12)&lt;=20),"Estabilizando",AR269/(AB269/12)&gt;20,"Instavel"),"Instavel")</f>
        <v>Sem Produto</v>
      </c>
      <c r="AK269" s="1" t="str" cm="1">
        <f t="array" ref="AK269">IFERROR(_xlfn.IFS(AS269="","Sem Produto",AND(AS269/(AC269/12)&gt;0,AS269/(AC269/12)&lt;=2),"Acabando",AND(AS269/(AC269/12)&gt;2,AS269/(AC269/12)&lt;=3),"Fazer Pedido",AND(AS269/(AC269/12)&gt;3,AS269/(AC269/12)&lt;=7),"OK",AND(AS269/(AC269/12)&gt;7,AS269/(AC269/12)&lt;=14),"Abaixar Preço",AND(AS269/(AC269/12)&gt;14,AS269/(AC269/12)&lt;=20),"Estabilizando",AS269/(AC269/12)&gt;20,"Instavel"),"Instavel")</f>
        <v>Sem Produto</v>
      </c>
      <c r="AL269" s="1" t="str" cm="1">
        <f t="array" ref="AL269">IFERROR(_xlfn.IFS(AT269="","Sem Produto",AND(AT269/(AD269/12)&gt;0,AT269/(AD269/12)&lt;=2),"Acabando",AND(AT269/(AD269/12)&gt;2,AT269/(AD269/12)&lt;=3),"Fazer Pedido",AND(AT269/(AD269/12)&gt;3,AT269/(AD269/12)&lt;=7),"OK",AND(AT269/(AD269/12)&gt;7,AT269/(AD269/12)&lt;=14),"Abaixar Preço",AND(AT269/(AD269/12)&gt;14,AT269/(AD269/12)&lt;=20),"Estabilizando",AT269/(AD269/12)&gt;20,"Instavel"),"Instavel")</f>
        <v>Sem Produto</v>
      </c>
      <c r="AM269" s="1" t="str" cm="1">
        <f t="array" ref="AM269">IFERROR(_xlfn.IFS(AU269="","Sem Produto",AND(AU269/(AE269/12)&gt;0,AU269/(AE269/12)&lt;=2),"Acabando",AND(AU269/(AE269/12)&gt;2,AU269/(AE269/12)&lt;=3),"Fazer Pedido",AND(AU269/(AE269/12)&gt;3,AU269/(AE269/12)&lt;=7),"OK",AND(AU269/(AE269/12)&gt;7,AU269/(AE269/12)&lt;=14),"Abaixar Preço",AND(AU269/(AE269/12)&gt;14,AU269/(AE269/12)&lt;=20),"Estabilizando",AU269/(AE269/12)&gt;20,"Instavel"),"Instavel")</f>
        <v>Sem Produto</v>
      </c>
      <c r="AN269" s="1" t="str">
        <f>IF(SUMIF(vendaAno[data],SituaçãoEstoqueFluxo[[#This Row],[data]],vendaAno[estoque])=0,"Algo errado",IF(AND(AX269/AW269&gt;0,AX269/AW269&lt;=1),"Alerta",IF(AND(AX269/AW269&gt;1,AX269/AW269&lt;=1.5),"Fazer pedido",IF(AND(AX269/AW269&gt;1.5,AX269/AW269&lt;=2),"Ok",IF(AND(AX269/AW269&gt;2,AX269/AW269&lt;=2.5),"Estabilizando",IF(AND(AX269/AW269&gt;2.5,AX269/AW269&lt;=3),"Cheio","Abaixar preço"))))))</f>
        <v>Algo errado</v>
      </c>
      <c r="AO26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69" s="116">
        <f t="shared" si="15"/>
        <v>45965</v>
      </c>
      <c r="AQ26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6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6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6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6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69" s="82" cm="1">
        <f t="array" aca="1" ref="AV26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69" s="82" cm="1">
        <f t="array" aca="1" ref="AW26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69" s="82">
        <f>SUM(FluxoEstoqueDateTime[[#This Row],[OVO BRANCO A]:[OVO BRANCO JUMBO]])</f>
        <v>0</v>
      </c>
    </row>
    <row r="270" spans="1:50" x14ac:dyDescent="0.25">
      <c r="A270" s="4" t="s">
        <v>20</v>
      </c>
      <c r="B270" s="55" t="s">
        <v>13</v>
      </c>
      <c r="C270" s="5">
        <v>10</v>
      </c>
      <c r="D270" s="56">
        <v>20</v>
      </c>
      <c r="E270" s="56">
        <v>200</v>
      </c>
      <c r="F270" s="157">
        <v>46174</v>
      </c>
      <c r="G270" s="4" t="s">
        <v>291</v>
      </c>
      <c r="H270" s="4" t="s">
        <v>148</v>
      </c>
      <c r="I270" s="153">
        <v>36.270000000000003</v>
      </c>
      <c r="J270" s="12">
        <v>0.18132716049382705</v>
      </c>
      <c r="Z270" s="116">
        <f t="shared" si="13"/>
        <v>45964</v>
      </c>
      <c r="AA27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0" s="116">
        <f t="shared" si="14"/>
        <v>45964</v>
      </c>
      <c r="AI270" s="1" t="str" cm="1">
        <f t="array" ref="AI270">IFERROR(_xlfn.IFS(AQ270="","Sem Produto",AND(AQ270/(AA270/12)&gt;0,AQ270/(AA270/12)&lt;=2),"Acabando",AND(AQ270/(AA270/12)&gt;2,AQ270/(AA270/12)&lt;=3),"Fazer Pedido",AND(AQ270/(AA270/12)&gt;3,AQ270/(AA270/12)&lt;=7),"OK",AND(AQ270/(AA270/12)&gt;7,AQ270/(AA270/12)&lt;=14),"Abaixar Preço",AND(AQ270/(AA270/12)&gt;14,AQ270/(AA270/12)&lt;=20),"Estabilizando",AQ270/(AA270/12)&gt;20,"Instavel"),"Instavel")</f>
        <v>Sem Produto</v>
      </c>
      <c r="AJ270" s="1" t="str" cm="1">
        <f t="array" ref="AJ270">IFERROR(_xlfn.IFS(AR270="","Sem Produto",AND(AR270/(AB270/12)&gt;0,AR270/(AB270/12)&lt;=2),"Acabando",AND(AR270/(AB270/12)&gt;2,AR270/(AB270/12)&lt;=3),"Fazer Pedido",AND(AR270/(AB270/12)&gt;3,AR270/(AB270/12)&lt;=7),"OK",AND(AR270/(AB270/12)&gt;7,AR270/(AB270/12)&lt;=14),"Abaixar Preço",AND(AR270/(AB270/12)&gt;14,AR270/(AB270/12)&lt;=20),"Estabilizando",AR270/(AB270/12)&gt;20,"Instavel"),"Instavel")</f>
        <v>Sem Produto</v>
      </c>
      <c r="AK270" s="1" t="str" cm="1">
        <f t="array" ref="AK270">IFERROR(_xlfn.IFS(AS270="","Sem Produto",AND(AS270/(AC270/12)&gt;0,AS270/(AC270/12)&lt;=2),"Acabando",AND(AS270/(AC270/12)&gt;2,AS270/(AC270/12)&lt;=3),"Fazer Pedido",AND(AS270/(AC270/12)&gt;3,AS270/(AC270/12)&lt;=7),"OK",AND(AS270/(AC270/12)&gt;7,AS270/(AC270/12)&lt;=14),"Abaixar Preço",AND(AS270/(AC270/12)&gt;14,AS270/(AC270/12)&lt;=20),"Estabilizando",AS270/(AC270/12)&gt;20,"Instavel"),"Instavel")</f>
        <v>Sem Produto</v>
      </c>
      <c r="AL270" s="1" t="str" cm="1">
        <f t="array" ref="AL270">IFERROR(_xlfn.IFS(AT270="","Sem Produto",AND(AT270/(AD270/12)&gt;0,AT270/(AD270/12)&lt;=2),"Acabando",AND(AT270/(AD270/12)&gt;2,AT270/(AD270/12)&lt;=3),"Fazer Pedido",AND(AT270/(AD270/12)&gt;3,AT270/(AD270/12)&lt;=7),"OK",AND(AT270/(AD270/12)&gt;7,AT270/(AD270/12)&lt;=14),"Abaixar Preço",AND(AT270/(AD270/12)&gt;14,AT270/(AD270/12)&lt;=20),"Estabilizando",AT270/(AD270/12)&gt;20,"Instavel"),"Instavel")</f>
        <v>Sem Produto</v>
      </c>
      <c r="AM270" s="1" t="str" cm="1">
        <f t="array" ref="AM270">IFERROR(_xlfn.IFS(AU270="","Sem Produto",AND(AU270/(AE270/12)&gt;0,AU270/(AE270/12)&lt;=2),"Acabando",AND(AU270/(AE270/12)&gt;2,AU270/(AE270/12)&lt;=3),"Fazer Pedido",AND(AU270/(AE270/12)&gt;3,AU270/(AE270/12)&lt;=7),"OK",AND(AU270/(AE270/12)&gt;7,AU270/(AE270/12)&lt;=14),"Abaixar Preço",AND(AU270/(AE270/12)&gt;14,AU270/(AE270/12)&lt;=20),"Estabilizando",AU270/(AE270/12)&gt;20,"Instavel"),"Instavel")</f>
        <v>Sem Produto</v>
      </c>
      <c r="AN270" s="1" t="str">
        <f>IF(SUMIF(vendaAno[data],SituaçãoEstoqueFluxo[[#This Row],[data]],vendaAno[estoque])=0,"Algo errado",IF(AND(AX270/AW270&gt;0,AX270/AW270&lt;=1),"Alerta",IF(AND(AX270/AW270&gt;1,AX270/AW270&lt;=1.5),"Fazer pedido",IF(AND(AX270/AW270&gt;1.5,AX270/AW270&lt;=2),"Ok",IF(AND(AX270/AW270&gt;2,AX270/AW270&lt;=2.5),"Estabilizando",IF(AND(AX270/AW270&gt;2.5,AX270/AW270&lt;=3),"Cheio","Abaixar preço"))))))</f>
        <v>Algo errado</v>
      </c>
      <c r="AO27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0" s="116">
        <f t="shared" si="15"/>
        <v>45964</v>
      </c>
      <c r="AQ27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0" s="82" cm="1">
        <f t="array" aca="1" ref="AV27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0" s="82" cm="1">
        <f t="array" aca="1" ref="AW27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0" s="82">
        <f>SUM(FluxoEstoqueDateTime[[#This Row],[OVO BRANCO A]:[OVO BRANCO JUMBO]])</f>
        <v>0</v>
      </c>
    </row>
    <row r="271" spans="1:50" x14ac:dyDescent="0.25">
      <c r="A271" s="4" t="s">
        <v>20</v>
      </c>
      <c r="B271" s="55" t="s">
        <v>12</v>
      </c>
      <c r="C271" s="5">
        <v>3</v>
      </c>
      <c r="D271" s="56">
        <v>16</v>
      </c>
      <c r="E271" s="56">
        <v>48</v>
      </c>
      <c r="F271" s="157">
        <v>46174</v>
      </c>
      <c r="G271" s="4" t="s">
        <v>291</v>
      </c>
      <c r="H271" s="4" t="s">
        <v>148</v>
      </c>
      <c r="I271" s="153">
        <v>6.5</v>
      </c>
      <c r="J271" s="12">
        <v>0.13541666666666663</v>
      </c>
      <c r="Z271" s="116">
        <f t="shared" si="13"/>
        <v>45963</v>
      </c>
      <c r="AA27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1" s="116">
        <f t="shared" si="14"/>
        <v>45963</v>
      </c>
      <c r="AI271" s="1" t="str" cm="1">
        <f t="array" ref="AI271">IFERROR(_xlfn.IFS(AQ271="","Sem Produto",AND(AQ271/(AA271/12)&gt;0,AQ271/(AA271/12)&lt;=2),"Acabando",AND(AQ271/(AA271/12)&gt;2,AQ271/(AA271/12)&lt;=3),"Fazer Pedido",AND(AQ271/(AA271/12)&gt;3,AQ271/(AA271/12)&lt;=7),"OK",AND(AQ271/(AA271/12)&gt;7,AQ271/(AA271/12)&lt;=14),"Abaixar Preço",AND(AQ271/(AA271/12)&gt;14,AQ271/(AA271/12)&lt;=20),"Estabilizando",AQ271/(AA271/12)&gt;20,"Instavel"),"Instavel")</f>
        <v>Sem Produto</v>
      </c>
      <c r="AJ271" s="1" t="str" cm="1">
        <f t="array" ref="AJ271">IFERROR(_xlfn.IFS(AR271="","Sem Produto",AND(AR271/(AB271/12)&gt;0,AR271/(AB271/12)&lt;=2),"Acabando",AND(AR271/(AB271/12)&gt;2,AR271/(AB271/12)&lt;=3),"Fazer Pedido",AND(AR271/(AB271/12)&gt;3,AR271/(AB271/12)&lt;=7),"OK",AND(AR271/(AB271/12)&gt;7,AR271/(AB271/12)&lt;=14),"Abaixar Preço",AND(AR271/(AB271/12)&gt;14,AR271/(AB271/12)&lt;=20),"Estabilizando",AR271/(AB271/12)&gt;20,"Instavel"),"Instavel")</f>
        <v>Sem Produto</v>
      </c>
      <c r="AK271" s="1" t="str" cm="1">
        <f t="array" ref="AK271">IFERROR(_xlfn.IFS(AS271="","Sem Produto",AND(AS271/(AC271/12)&gt;0,AS271/(AC271/12)&lt;=2),"Acabando",AND(AS271/(AC271/12)&gt;2,AS271/(AC271/12)&lt;=3),"Fazer Pedido",AND(AS271/(AC271/12)&gt;3,AS271/(AC271/12)&lt;=7),"OK",AND(AS271/(AC271/12)&gt;7,AS271/(AC271/12)&lt;=14),"Abaixar Preço",AND(AS271/(AC271/12)&gt;14,AS271/(AC271/12)&lt;=20),"Estabilizando",AS271/(AC271/12)&gt;20,"Instavel"),"Instavel")</f>
        <v>Sem Produto</v>
      </c>
      <c r="AL271" s="1" t="str" cm="1">
        <f t="array" ref="AL271">IFERROR(_xlfn.IFS(AT271="","Sem Produto",AND(AT271/(AD271/12)&gt;0,AT271/(AD271/12)&lt;=2),"Acabando",AND(AT271/(AD271/12)&gt;2,AT271/(AD271/12)&lt;=3),"Fazer Pedido",AND(AT271/(AD271/12)&gt;3,AT271/(AD271/12)&lt;=7),"OK",AND(AT271/(AD271/12)&gt;7,AT271/(AD271/12)&lt;=14),"Abaixar Preço",AND(AT271/(AD271/12)&gt;14,AT271/(AD271/12)&lt;=20),"Estabilizando",AT271/(AD271/12)&gt;20,"Instavel"),"Instavel")</f>
        <v>Sem Produto</v>
      </c>
      <c r="AM271" s="1" t="str" cm="1">
        <f t="array" ref="AM271">IFERROR(_xlfn.IFS(AU271="","Sem Produto",AND(AU271/(AE271/12)&gt;0,AU271/(AE271/12)&lt;=2),"Acabando",AND(AU271/(AE271/12)&gt;2,AU271/(AE271/12)&lt;=3),"Fazer Pedido",AND(AU271/(AE271/12)&gt;3,AU271/(AE271/12)&lt;=7),"OK",AND(AU271/(AE271/12)&gt;7,AU271/(AE271/12)&lt;=14),"Abaixar Preço",AND(AU271/(AE271/12)&gt;14,AU271/(AE271/12)&lt;=20),"Estabilizando",AU271/(AE271/12)&gt;20,"Instavel"),"Instavel")</f>
        <v>Sem Produto</v>
      </c>
      <c r="AN271" s="1" t="str">
        <f>IF(SUMIF(vendaAno[data],SituaçãoEstoqueFluxo[[#This Row],[data]],vendaAno[estoque])=0,"Algo errado",IF(AND(AX271/AW271&gt;0,AX271/AW271&lt;=1),"Alerta",IF(AND(AX271/AW271&gt;1,AX271/AW271&lt;=1.5),"Fazer pedido",IF(AND(AX271/AW271&gt;1.5,AX271/AW271&lt;=2),"Ok",IF(AND(AX271/AW271&gt;2,AX271/AW271&lt;=2.5),"Estabilizando",IF(AND(AX271/AW271&gt;2.5,AX271/AW271&lt;=3),"Cheio","Abaixar preço"))))))</f>
        <v>Algo errado</v>
      </c>
      <c r="AO27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1" s="116">
        <f t="shared" si="15"/>
        <v>45963</v>
      </c>
      <c r="AQ27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1" s="82" cm="1">
        <f t="array" aca="1" ref="AV27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1" s="82" cm="1">
        <f t="array" aca="1" ref="AW27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1" s="82">
        <f>SUM(FluxoEstoqueDateTime[[#This Row],[OVO BRANCO A]:[OVO BRANCO JUMBO]])</f>
        <v>0</v>
      </c>
    </row>
    <row r="272" spans="1:50" x14ac:dyDescent="0.25">
      <c r="A272" s="4" t="s">
        <v>20</v>
      </c>
      <c r="B272" s="55" t="s">
        <v>11</v>
      </c>
      <c r="C272" s="5">
        <v>5</v>
      </c>
      <c r="D272" s="56">
        <v>18</v>
      </c>
      <c r="E272" s="56">
        <v>90</v>
      </c>
      <c r="F272" s="157">
        <v>46174</v>
      </c>
      <c r="G272" s="4" t="s">
        <v>291</v>
      </c>
      <c r="H272" s="4" t="s">
        <v>148</v>
      </c>
      <c r="I272" s="153">
        <v>16.48</v>
      </c>
      <c r="J272" s="12">
        <v>0.18310322156476003</v>
      </c>
      <c r="Z272" s="116">
        <f t="shared" si="13"/>
        <v>45962</v>
      </c>
      <c r="AA27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2" s="116">
        <f t="shared" si="14"/>
        <v>45962</v>
      </c>
      <c r="AI272" s="1" t="str" cm="1">
        <f t="array" ref="AI272">IFERROR(_xlfn.IFS(AQ272="","Sem Produto",AND(AQ272/(AA272/12)&gt;0,AQ272/(AA272/12)&lt;=2),"Acabando",AND(AQ272/(AA272/12)&gt;2,AQ272/(AA272/12)&lt;=3),"Fazer Pedido",AND(AQ272/(AA272/12)&gt;3,AQ272/(AA272/12)&lt;=7),"OK",AND(AQ272/(AA272/12)&gt;7,AQ272/(AA272/12)&lt;=14),"Abaixar Preço",AND(AQ272/(AA272/12)&gt;14,AQ272/(AA272/12)&lt;=20),"Estabilizando",AQ272/(AA272/12)&gt;20,"Instavel"),"Instavel")</f>
        <v>Sem Produto</v>
      </c>
      <c r="AJ272" s="1" t="str" cm="1">
        <f t="array" ref="AJ272">IFERROR(_xlfn.IFS(AR272="","Sem Produto",AND(AR272/(AB272/12)&gt;0,AR272/(AB272/12)&lt;=2),"Acabando",AND(AR272/(AB272/12)&gt;2,AR272/(AB272/12)&lt;=3),"Fazer Pedido",AND(AR272/(AB272/12)&gt;3,AR272/(AB272/12)&lt;=7),"OK",AND(AR272/(AB272/12)&gt;7,AR272/(AB272/12)&lt;=14),"Abaixar Preço",AND(AR272/(AB272/12)&gt;14,AR272/(AB272/12)&lt;=20),"Estabilizando",AR272/(AB272/12)&gt;20,"Instavel"),"Instavel")</f>
        <v>Sem Produto</v>
      </c>
      <c r="AK272" s="1" t="str" cm="1">
        <f t="array" ref="AK272">IFERROR(_xlfn.IFS(AS272="","Sem Produto",AND(AS272/(AC272/12)&gt;0,AS272/(AC272/12)&lt;=2),"Acabando",AND(AS272/(AC272/12)&gt;2,AS272/(AC272/12)&lt;=3),"Fazer Pedido",AND(AS272/(AC272/12)&gt;3,AS272/(AC272/12)&lt;=7),"OK",AND(AS272/(AC272/12)&gt;7,AS272/(AC272/12)&lt;=14),"Abaixar Preço",AND(AS272/(AC272/12)&gt;14,AS272/(AC272/12)&lt;=20),"Estabilizando",AS272/(AC272/12)&gt;20,"Instavel"),"Instavel")</f>
        <v>Sem Produto</v>
      </c>
      <c r="AL272" s="1" t="str" cm="1">
        <f t="array" ref="AL272">IFERROR(_xlfn.IFS(AT272="","Sem Produto",AND(AT272/(AD272/12)&gt;0,AT272/(AD272/12)&lt;=2),"Acabando",AND(AT272/(AD272/12)&gt;2,AT272/(AD272/12)&lt;=3),"Fazer Pedido",AND(AT272/(AD272/12)&gt;3,AT272/(AD272/12)&lt;=7),"OK",AND(AT272/(AD272/12)&gt;7,AT272/(AD272/12)&lt;=14),"Abaixar Preço",AND(AT272/(AD272/12)&gt;14,AT272/(AD272/12)&lt;=20),"Estabilizando",AT272/(AD272/12)&gt;20,"Instavel"),"Instavel")</f>
        <v>Sem Produto</v>
      </c>
      <c r="AM272" s="1" t="str" cm="1">
        <f t="array" ref="AM272">IFERROR(_xlfn.IFS(AU272="","Sem Produto",AND(AU272/(AE272/12)&gt;0,AU272/(AE272/12)&lt;=2),"Acabando",AND(AU272/(AE272/12)&gt;2,AU272/(AE272/12)&lt;=3),"Fazer Pedido",AND(AU272/(AE272/12)&gt;3,AU272/(AE272/12)&lt;=7),"OK",AND(AU272/(AE272/12)&gt;7,AU272/(AE272/12)&lt;=14),"Abaixar Preço",AND(AU272/(AE272/12)&gt;14,AU272/(AE272/12)&lt;=20),"Estabilizando",AU272/(AE272/12)&gt;20,"Instavel"),"Instavel")</f>
        <v>Sem Produto</v>
      </c>
      <c r="AN272" s="1" t="str">
        <f>IF(SUMIF(vendaAno[data],SituaçãoEstoqueFluxo[[#This Row],[data]],vendaAno[estoque])=0,"Algo errado",IF(AND(AX272/AW272&gt;0,AX272/AW272&lt;=1),"Alerta",IF(AND(AX272/AW272&gt;1,AX272/AW272&lt;=1.5),"Fazer pedido",IF(AND(AX272/AW272&gt;1.5,AX272/AW272&lt;=2),"Ok",IF(AND(AX272/AW272&gt;2,AX272/AW272&lt;=2.5),"Estabilizando",IF(AND(AX272/AW272&gt;2.5,AX272/AW272&lt;=3),"Cheio","Abaixar preço"))))))</f>
        <v>Algo errado</v>
      </c>
      <c r="AO27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2" s="116">
        <f t="shared" si="15"/>
        <v>45962</v>
      </c>
      <c r="AQ27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2" s="82" cm="1">
        <f t="array" aca="1" ref="AV27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2" s="82" cm="1">
        <f t="array" aca="1" ref="AW27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2" s="82">
        <f>SUM(FluxoEstoqueDateTime[[#This Row],[OVO BRANCO A]:[OVO BRANCO JUMBO]])</f>
        <v>0</v>
      </c>
    </row>
    <row r="273" spans="1:50" x14ac:dyDescent="0.25">
      <c r="A273" s="4" t="s">
        <v>20</v>
      </c>
      <c r="B273" s="55" t="s">
        <v>10</v>
      </c>
      <c r="C273" s="5">
        <v>3</v>
      </c>
      <c r="D273" s="56">
        <v>19</v>
      </c>
      <c r="E273" s="56">
        <v>57</v>
      </c>
      <c r="F273" s="157">
        <v>46174</v>
      </c>
      <c r="G273" s="4" t="s">
        <v>291</v>
      </c>
      <c r="H273" s="4" t="s">
        <v>148</v>
      </c>
      <c r="I273" s="153">
        <v>10.67</v>
      </c>
      <c r="J273" s="12">
        <v>0.18719428631354237</v>
      </c>
      <c r="Z273" s="116">
        <f t="shared" si="13"/>
        <v>45961</v>
      </c>
      <c r="AA27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3" s="116">
        <f t="shared" si="14"/>
        <v>45961</v>
      </c>
      <c r="AI273" s="1" t="str" cm="1">
        <f t="array" ref="AI273">IFERROR(_xlfn.IFS(AQ273="","Sem Produto",AND(AQ273/(AA273/12)&gt;0,AQ273/(AA273/12)&lt;=2),"Acabando",AND(AQ273/(AA273/12)&gt;2,AQ273/(AA273/12)&lt;=3),"Fazer Pedido",AND(AQ273/(AA273/12)&gt;3,AQ273/(AA273/12)&lt;=7),"OK",AND(AQ273/(AA273/12)&gt;7,AQ273/(AA273/12)&lt;=14),"Abaixar Preço",AND(AQ273/(AA273/12)&gt;14,AQ273/(AA273/12)&lt;=20),"Estabilizando",AQ273/(AA273/12)&gt;20,"Instavel"),"Instavel")</f>
        <v>Sem Produto</v>
      </c>
      <c r="AJ273" s="1" t="str" cm="1">
        <f t="array" ref="AJ273">IFERROR(_xlfn.IFS(AR273="","Sem Produto",AND(AR273/(AB273/12)&gt;0,AR273/(AB273/12)&lt;=2),"Acabando",AND(AR273/(AB273/12)&gt;2,AR273/(AB273/12)&lt;=3),"Fazer Pedido",AND(AR273/(AB273/12)&gt;3,AR273/(AB273/12)&lt;=7),"OK",AND(AR273/(AB273/12)&gt;7,AR273/(AB273/12)&lt;=14),"Abaixar Preço",AND(AR273/(AB273/12)&gt;14,AR273/(AB273/12)&lt;=20),"Estabilizando",AR273/(AB273/12)&gt;20,"Instavel"),"Instavel")</f>
        <v>Sem Produto</v>
      </c>
      <c r="AK273" s="1" t="str" cm="1">
        <f t="array" ref="AK273">IFERROR(_xlfn.IFS(AS273="","Sem Produto",AND(AS273/(AC273/12)&gt;0,AS273/(AC273/12)&lt;=2),"Acabando",AND(AS273/(AC273/12)&gt;2,AS273/(AC273/12)&lt;=3),"Fazer Pedido",AND(AS273/(AC273/12)&gt;3,AS273/(AC273/12)&lt;=7),"OK",AND(AS273/(AC273/12)&gt;7,AS273/(AC273/12)&lt;=14),"Abaixar Preço",AND(AS273/(AC273/12)&gt;14,AS273/(AC273/12)&lt;=20),"Estabilizando",AS273/(AC273/12)&gt;20,"Instavel"),"Instavel")</f>
        <v>Sem Produto</v>
      </c>
      <c r="AL273" s="1" t="str" cm="1">
        <f t="array" ref="AL273">IFERROR(_xlfn.IFS(AT273="","Sem Produto",AND(AT273/(AD273/12)&gt;0,AT273/(AD273/12)&lt;=2),"Acabando",AND(AT273/(AD273/12)&gt;2,AT273/(AD273/12)&lt;=3),"Fazer Pedido",AND(AT273/(AD273/12)&gt;3,AT273/(AD273/12)&lt;=7),"OK",AND(AT273/(AD273/12)&gt;7,AT273/(AD273/12)&lt;=14),"Abaixar Preço",AND(AT273/(AD273/12)&gt;14,AT273/(AD273/12)&lt;=20),"Estabilizando",AT273/(AD273/12)&gt;20,"Instavel"),"Instavel")</f>
        <v>Sem Produto</v>
      </c>
      <c r="AM273" s="1" t="str" cm="1">
        <f t="array" ref="AM273">IFERROR(_xlfn.IFS(AU273="","Sem Produto",AND(AU273/(AE273/12)&gt;0,AU273/(AE273/12)&lt;=2),"Acabando",AND(AU273/(AE273/12)&gt;2,AU273/(AE273/12)&lt;=3),"Fazer Pedido",AND(AU273/(AE273/12)&gt;3,AU273/(AE273/12)&lt;=7),"OK",AND(AU273/(AE273/12)&gt;7,AU273/(AE273/12)&lt;=14),"Abaixar Preço",AND(AU273/(AE273/12)&gt;14,AU273/(AE273/12)&lt;=20),"Estabilizando",AU273/(AE273/12)&gt;20,"Instavel"),"Instavel")</f>
        <v>Sem Produto</v>
      </c>
      <c r="AN273" s="1" t="str">
        <f>IF(SUMIF(vendaAno[data],SituaçãoEstoqueFluxo[[#This Row],[data]],vendaAno[estoque])=0,"Algo errado",IF(AND(AX273/AW273&gt;0,AX273/AW273&lt;=1),"Alerta",IF(AND(AX273/AW273&gt;1,AX273/AW273&lt;=1.5),"Fazer pedido",IF(AND(AX273/AW273&gt;1.5,AX273/AW273&lt;=2),"Ok",IF(AND(AX273/AW273&gt;2,AX273/AW273&lt;=2.5),"Estabilizando",IF(AND(AX273/AW273&gt;2.5,AX273/AW273&lt;=3),"Cheio","Abaixar preço"))))))</f>
        <v>Algo errado</v>
      </c>
      <c r="AO27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3" s="116">
        <f t="shared" si="15"/>
        <v>45961</v>
      </c>
      <c r="AQ27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3" s="82" cm="1">
        <f t="array" aca="1" ref="AV27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3" s="82" cm="1">
        <f t="array" aca="1" ref="AW27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3" s="82">
        <f>SUM(FluxoEstoqueDateTime[[#This Row],[OVO BRANCO A]:[OVO BRANCO JUMBO]])</f>
        <v>0</v>
      </c>
    </row>
    <row r="274" spans="1:50" x14ac:dyDescent="0.25">
      <c r="A274" s="4" t="s">
        <v>292</v>
      </c>
      <c r="B274" s="55" t="s">
        <v>11</v>
      </c>
      <c r="C274" s="5">
        <v>60</v>
      </c>
      <c r="D274" s="56">
        <v>170</v>
      </c>
      <c r="E274" s="56">
        <v>850</v>
      </c>
      <c r="F274" s="157">
        <v>46174</v>
      </c>
      <c r="G274" s="4" t="s">
        <v>291</v>
      </c>
      <c r="H274" s="4" t="s">
        <v>148</v>
      </c>
      <c r="I274" s="153"/>
      <c r="J274" s="12"/>
      <c r="Z274" s="116">
        <f t="shared" si="13"/>
        <v>45960</v>
      </c>
      <c r="AA27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4" s="116">
        <f t="shared" si="14"/>
        <v>45960</v>
      </c>
      <c r="AI274" s="1" t="str" cm="1">
        <f t="array" ref="AI274">IFERROR(_xlfn.IFS(AQ274="","Sem Produto",AND(AQ274/(AA274/12)&gt;0,AQ274/(AA274/12)&lt;=2),"Acabando",AND(AQ274/(AA274/12)&gt;2,AQ274/(AA274/12)&lt;=3),"Fazer Pedido",AND(AQ274/(AA274/12)&gt;3,AQ274/(AA274/12)&lt;=7),"OK",AND(AQ274/(AA274/12)&gt;7,AQ274/(AA274/12)&lt;=14),"Abaixar Preço",AND(AQ274/(AA274/12)&gt;14,AQ274/(AA274/12)&lt;=20),"Estabilizando",AQ274/(AA274/12)&gt;20,"Instavel"),"Instavel")</f>
        <v>Sem Produto</v>
      </c>
      <c r="AJ274" s="1" t="str" cm="1">
        <f t="array" ref="AJ274">IFERROR(_xlfn.IFS(AR274="","Sem Produto",AND(AR274/(AB274/12)&gt;0,AR274/(AB274/12)&lt;=2),"Acabando",AND(AR274/(AB274/12)&gt;2,AR274/(AB274/12)&lt;=3),"Fazer Pedido",AND(AR274/(AB274/12)&gt;3,AR274/(AB274/12)&lt;=7),"OK",AND(AR274/(AB274/12)&gt;7,AR274/(AB274/12)&lt;=14),"Abaixar Preço",AND(AR274/(AB274/12)&gt;14,AR274/(AB274/12)&lt;=20),"Estabilizando",AR274/(AB274/12)&gt;20,"Instavel"),"Instavel")</f>
        <v>Sem Produto</v>
      </c>
      <c r="AK274" s="1" t="str" cm="1">
        <f t="array" ref="AK274">IFERROR(_xlfn.IFS(AS274="","Sem Produto",AND(AS274/(AC274/12)&gt;0,AS274/(AC274/12)&lt;=2),"Acabando",AND(AS274/(AC274/12)&gt;2,AS274/(AC274/12)&lt;=3),"Fazer Pedido",AND(AS274/(AC274/12)&gt;3,AS274/(AC274/12)&lt;=7),"OK",AND(AS274/(AC274/12)&gt;7,AS274/(AC274/12)&lt;=14),"Abaixar Preço",AND(AS274/(AC274/12)&gt;14,AS274/(AC274/12)&lt;=20),"Estabilizando",AS274/(AC274/12)&gt;20,"Instavel"),"Instavel")</f>
        <v>Sem Produto</v>
      </c>
      <c r="AL274" s="1" t="str" cm="1">
        <f t="array" ref="AL274">IFERROR(_xlfn.IFS(AT274="","Sem Produto",AND(AT274/(AD274/12)&gt;0,AT274/(AD274/12)&lt;=2),"Acabando",AND(AT274/(AD274/12)&gt;2,AT274/(AD274/12)&lt;=3),"Fazer Pedido",AND(AT274/(AD274/12)&gt;3,AT274/(AD274/12)&lt;=7),"OK",AND(AT274/(AD274/12)&gt;7,AT274/(AD274/12)&lt;=14),"Abaixar Preço",AND(AT274/(AD274/12)&gt;14,AT274/(AD274/12)&lt;=20),"Estabilizando",AT274/(AD274/12)&gt;20,"Instavel"),"Instavel")</f>
        <v>Sem Produto</v>
      </c>
      <c r="AM274" s="1" t="str" cm="1">
        <f t="array" ref="AM274">IFERROR(_xlfn.IFS(AU274="","Sem Produto",AND(AU274/(AE274/12)&gt;0,AU274/(AE274/12)&lt;=2),"Acabando",AND(AU274/(AE274/12)&gt;2,AU274/(AE274/12)&lt;=3),"Fazer Pedido",AND(AU274/(AE274/12)&gt;3,AU274/(AE274/12)&lt;=7),"OK",AND(AU274/(AE274/12)&gt;7,AU274/(AE274/12)&lt;=14),"Abaixar Preço",AND(AU274/(AE274/12)&gt;14,AU274/(AE274/12)&lt;=20),"Estabilizando",AU274/(AE274/12)&gt;20,"Instavel"),"Instavel")</f>
        <v>Sem Produto</v>
      </c>
      <c r="AN274" s="1" t="str">
        <f>IF(SUMIF(vendaAno[data],SituaçãoEstoqueFluxo[[#This Row],[data]],vendaAno[estoque])=0,"Algo errado",IF(AND(AX274/AW274&gt;0,AX274/AW274&lt;=1),"Alerta",IF(AND(AX274/AW274&gt;1,AX274/AW274&lt;=1.5),"Fazer pedido",IF(AND(AX274/AW274&gt;1.5,AX274/AW274&lt;=2),"Ok",IF(AND(AX274/AW274&gt;2,AX274/AW274&lt;=2.5),"Estabilizando",IF(AND(AX274/AW274&gt;2.5,AX274/AW274&lt;=3),"Cheio","Abaixar preço"))))))</f>
        <v>Algo errado</v>
      </c>
      <c r="AO27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4" s="116">
        <f t="shared" si="15"/>
        <v>45960</v>
      </c>
      <c r="AQ27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4" s="82" cm="1">
        <f t="array" aca="1" ref="AV27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4" s="82" cm="1">
        <f t="array" aca="1" ref="AW27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4" s="82">
        <f>SUM(FluxoEstoqueDateTime[[#This Row],[OVO BRANCO A]:[OVO BRANCO JUMBO]])</f>
        <v>0</v>
      </c>
    </row>
    <row r="275" spans="1:50" x14ac:dyDescent="0.25">
      <c r="A275" s="4" t="s">
        <v>292</v>
      </c>
      <c r="B275" s="55" t="s">
        <v>10</v>
      </c>
      <c r="C275" s="5">
        <v>120</v>
      </c>
      <c r="D275" s="56">
        <v>185</v>
      </c>
      <c r="E275" s="56">
        <v>1850</v>
      </c>
      <c r="F275" s="157">
        <v>46174</v>
      </c>
      <c r="G275" s="4" t="s">
        <v>291</v>
      </c>
      <c r="H275" s="4" t="s">
        <v>148</v>
      </c>
      <c r="I275" s="153"/>
      <c r="J275" s="12"/>
      <c r="Z275" s="116">
        <f t="shared" si="13"/>
        <v>45959</v>
      </c>
      <c r="AA27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5" s="116">
        <f t="shared" si="14"/>
        <v>45959</v>
      </c>
      <c r="AI275" s="1" t="str" cm="1">
        <f t="array" ref="AI275">IFERROR(_xlfn.IFS(AQ275="","Sem Produto",AND(AQ275/(AA275/12)&gt;0,AQ275/(AA275/12)&lt;=2),"Acabando",AND(AQ275/(AA275/12)&gt;2,AQ275/(AA275/12)&lt;=3),"Fazer Pedido",AND(AQ275/(AA275/12)&gt;3,AQ275/(AA275/12)&lt;=7),"OK",AND(AQ275/(AA275/12)&gt;7,AQ275/(AA275/12)&lt;=14),"Abaixar Preço",AND(AQ275/(AA275/12)&gt;14,AQ275/(AA275/12)&lt;=20),"Estabilizando",AQ275/(AA275/12)&gt;20,"Instavel"),"Instavel")</f>
        <v>Sem Produto</v>
      </c>
      <c r="AJ275" s="1" t="str" cm="1">
        <f t="array" ref="AJ275">IFERROR(_xlfn.IFS(AR275="","Sem Produto",AND(AR275/(AB275/12)&gt;0,AR275/(AB275/12)&lt;=2),"Acabando",AND(AR275/(AB275/12)&gt;2,AR275/(AB275/12)&lt;=3),"Fazer Pedido",AND(AR275/(AB275/12)&gt;3,AR275/(AB275/12)&lt;=7),"OK",AND(AR275/(AB275/12)&gt;7,AR275/(AB275/12)&lt;=14),"Abaixar Preço",AND(AR275/(AB275/12)&gt;14,AR275/(AB275/12)&lt;=20),"Estabilizando",AR275/(AB275/12)&gt;20,"Instavel"),"Instavel")</f>
        <v>Sem Produto</v>
      </c>
      <c r="AK275" s="1" t="str" cm="1">
        <f t="array" ref="AK275">IFERROR(_xlfn.IFS(AS275="","Sem Produto",AND(AS275/(AC275/12)&gt;0,AS275/(AC275/12)&lt;=2),"Acabando",AND(AS275/(AC275/12)&gt;2,AS275/(AC275/12)&lt;=3),"Fazer Pedido",AND(AS275/(AC275/12)&gt;3,AS275/(AC275/12)&lt;=7),"OK",AND(AS275/(AC275/12)&gt;7,AS275/(AC275/12)&lt;=14),"Abaixar Preço",AND(AS275/(AC275/12)&gt;14,AS275/(AC275/12)&lt;=20),"Estabilizando",AS275/(AC275/12)&gt;20,"Instavel"),"Instavel")</f>
        <v>Sem Produto</v>
      </c>
      <c r="AL275" s="1" t="str" cm="1">
        <f t="array" ref="AL275">IFERROR(_xlfn.IFS(AT275="","Sem Produto",AND(AT275/(AD275/12)&gt;0,AT275/(AD275/12)&lt;=2),"Acabando",AND(AT275/(AD275/12)&gt;2,AT275/(AD275/12)&lt;=3),"Fazer Pedido",AND(AT275/(AD275/12)&gt;3,AT275/(AD275/12)&lt;=7),"OK",AND(AT275/(AD275/12)&gt;7,AT275/(AD275/12)&lt;=14),"Abaixar Preço",AND(AT275/(AD275/12)&gt;14,AT275/(AD275/12)&lt;=20),"Estabilizando",AT275/(AD275/12)&gt;20,"Instavel"),"Instavel")</f>
        <v>Sem Produto</v>
      </c>
      <c r="AM275" s="1" t="str" cm="1">
        <f t="array" ref="AM275">IFERROR(_xlfn.IFS(AU275="","Sem Produto",AND(AU275/(AE275/12)&gt;0,AU275/(AE275/12)&lt;=2),"Acabando",AND(AU275/(AE275/12)&gt;2,AU275/(AE275/12)&lt;=3),"Fazer Pedido",AND(AU275/(AE275/12)&gt;3,AU275/(AE275/12)&lt;=7),"OK",AND(AU275/(AE275/12)&gt;7,AU275/(AE275/12)&lt;=14),"Abaixar Preço",AND(AU275/(AE275/12)&gt;14,AU275/(AE275/12)&lt;=20),"Estabilizando",AU275/(AE275/12)&gt;20,"Instavel"),"Instavel")</f>
        <v>Sem Produto</v>
      </c>
      <c r="AN275" s="1" t="str">
        <f>IF(SUMIF(vendaAno[data],SituaçãoEstoqueFluxo[[#This Row],[data]],vendaAno[estoque])=0,"Algo errado",IF(AND(AX275/AW275&gt;0,AX275/AW275&lt;=1),"Alerta",IF(AND(AX275/AW275&gt;1,AX275/AW275&lt;=1.5),"Fazer pedido",IF(AND(AX275/AW275&gt;1.5,AX275/AW275&lt;=2),"Ok",IF(AND(AX275/AW275&gt;2,AX275/AW275&lt;=2.5),"Estabilizando",IF(AND(AX275/AW275&gt;2.5,AX275/AW275&lt;=3),"Cheio","Abaixar preço"))))))</f>
        <v>Algo errado</v>
      </c>
      <c r="AO27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5" s="116">
        <f t="shared" si="15"/>
        <v>45959</v>
      </c>
      <c r="AQ27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5" s="82" cm="1">
        <f t="array" aca="1" ref="AV27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5" s="82" cm="1">
        <f t="array" aca="1" ref="AW27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5" s="82">
        <f>SUM(FluxoEstoqueDateTime[[#This Row],[OVO BRANCO A]:[OVO BRANCO JUMBO]])</f>
        <v>0</v>
      </c>
    </row>
    <row r="276" spans="1:50" x14ac:dyDescent="0.25">
      <c r="A276" s="4" t="s">
        <v>20</v>
      </c>
      <c r="B276" s="55" t="s">
        <v>14</v>
      </c>
      <c r="C276" s="5">
        <v>13</v>
      </c>
      <c r="D276" s="56">
        <v>22</v>
      </c>
      <c r="E276" s="56">
        <v>280</v>
      </c>
      <c r="F276" s="157">
        <v>46173</v>
      </c>
      <c r="G276" s="4" t="s">
        <v>93</v>
      </c>
      <c r="H276" s="4" t="s">
        <v>147</v>
      </c>
      <c r="I276" s="153">
        <v>53.64</v>
      </c>
      <c r="J276" s="12">
        <v>0.19156669788168418</v>
      </c>
      <c r="Z276" s="116">
        <f t="shared" si="13"/>
        <v>45958</v>
      </c>
      <c r="AA27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6" s="116">
        <f t="shared" si="14"/>
        <v>45958</v>
      </c>
      <c r="AI276" s="1" t="str" cm="1">
        <f t="array" ref="AI276">IFERROR(_xlfn.IFS(AQ276="","Sem Produto",AND(AQ276/(AA276/12)&gt;0,AQ276/(AA276/12)&lt;=2),"Acabando",AND(AQ276/(AA276/12)&gt;2,AQ276/(AA276/12)&lt;=3),"Fazer Pedido",AND(AQ276/(AA276/12)&gt;3,AQ276/(AA276/12)&lt;=7),"OK",AND(AQ276/(AA276/12)&gt;7,AQ276/(AA276/12)&lt;=14),"Abaixar Preço",AND(AQ276/(AA276/12)&gt;14,AQ276/(AA276/12)&lt;=20),"Estabilizando",AQ276/(AA276/12)&gt;20,"Instavel"),"Instavel")</f>
        <v>Sem Produto</v>
      </c>
      <c r="AJ276" s="1" t="str" cm="1">
        <f t="array" ref="AJ276">IFERROR(_xlfn.IFS(AR276="","Sem Produto",AND(AR276/(AB276/12)&gt;0,AR276/(AB276/12)&lt;=2),"Acabando",AND(AR276/(AB276/12)&gt;2,AR276/(AB276/12)&lt;=3),"Fazer Pedido",AND(AR276/(AB276/12)&gt;3,AR276/(AB276/12)&lt;=7),"OK",AND(AR276/(AB276/12)&gt;7,AR276/(AB276/12)&lt;=14),"Abaixar Preço",AND(AR276/(AB276/12)&gt;14,AR276/(AB276/12)&lt;=20),"Estabilizando",AR276/(AB276/12)&gt;20,"Instavel"),"Instavel")</f>
        <v>Sem Produto</v>
      </c>
      <c r="AK276" s="1" t="str" cm="1">
        <f t="array" ref="AK276">IFERROR(_xlfn.IFS(AS276="","Sem Produto",AND(AS276/(AC276/12)&gt;0,AS276/(AC276/12)&lt;=2),"Acabando",AND(AS276/(AC276/12)&gt;2,AS276/(AC276/12)&lt;=3),"Fazer Pedido",AND(AS276/(AC276/12)&gt;3,AS276/(AC276/12)&lt;=7),"OK",AND(AS276/(AC276/12)&gt;7,AS276/(AC276/12)&lt;=14),"Abaixar Preço",AND(AS276/(AC276/12)&gt;14,AS276/(AC276/12)&lt;=20),"Estabilizando",AS276/(AC276/12)&gt;20,"Instavel"),"Instavel")</f>
        <v>Sem Produto</v>
      </c>
      <c r="AL276" s="1" t="str" cm="1">
        <f t="array" ref="AL276">IFERROR(_xlfn.IFS(AT276="","Sem Produto",AND(AT276/(AD276/12)&gt;0,AT276/(AD276/12)&lt;=2),"Acabando",AND(AT276/(AD276/12)&gt;2,AT276/(AD276/12)&lt;=3),"Fazer Pedido",AND(AT276/(AD276/12)&gt;3,AT276/(AD276/12)&lt;=7),"OK",AND(AT276/(AD276/12)&gt;7,AT276/(AD276/12)&lt;=14),"Abaixar Preço",AND(AT276/(AD276/12)&gt;14,AT276/(AD276/12)&lt;=20),"Estabilizando",AT276/(AD276/12)&gt;20,"Instavel"),"Instavel")</f>
        <v>Sem Produto</v>
      </c>
      <c r="AM276" s="1" t="str" cm="1">
        <f t="array" ref="AM276">IFERROR(_xlfn.IFS(AU276="","Sem Produto",AND(AU276/(AE276/12)&gt;0,AU276/(AE276/12)&lt;=2),"Acabando",AND(AU276/(AE276/12)&gt;2,AU276/(AE276/12)&lt;=3),"Fazer Pedido",AND(AU276/(AE276/12)&gt;3,AU276/(AE276/12)&lt;=7),"OK",AND(AU276/(AE276/12)&gt;7,AU276/(AE276/12)&lt;=14),"Abaixar Preço",AND(AU276/(AE276/12)&gt;14,AU276/(AE276/12)&lt;=20),"Estabilizando",AU276/(AE276/12)&gt;20,"Instavel"),"Instavel")</f>
        <v>Sem Produto</v>
      </c>
      <c r="AN276" s="1" t="str">
        <f>IF(SUMIF(vendaAno[data],SituaçãoEstoqueFluxo[[#This Row],[data]],vendaAno[estoque])=0,"Algo errado",IF(AND(AX276/AW276&gt;0,AX276/AW276&lt;=1),"Alerta",IF(AND(AX276/AW276&gt;1,AX276/AW276&lt;=1.5),"Fazer pedido",IF(AND(AX276/AW276&gt;1.5,AX276/AW276&lt;=2),"Ok",IF(AND(AX276/AW276&gt;2,AX276/AW276&lt;=2.5),"Estabilizando",IF(AND(AX276/AW276&gt;2.5,AX276/AW276&lt;=3),"Cheio","Abaixar preço"))))))</f>
        <v>Algo errado</v>
      </c>
      <c r="AO27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6" s="116">
        <f t="shared" si="15"/>
        <v>45958</v>
      </c>
      <c r="AQ27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6" s="82" cm="1">
        <f t="array" aca="1" ref="AV27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6" s="82" cm="1">
        <f t="array" aca="1" ref="AW27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6" s="82">
        <f>SUM(FluxoEstoqueDateTime[[#This Row],[OVO BRANCO A]:[OVO BRANCO JUMBO]])</f>
        <v>0</v>
      </c>
    </row>
    <row r="277" spans="1:50" x14ac:dyDescent="0.25">
      <c r="A277" s="4" t="s">
        <v>20</v>
      </c>
      <c r="B277" s="55" t="s">
        <v>13</v>
      </c>
      <c r="C277" s="5">
        <v>20</v>
      </c>
      <c r="D277" s="56">
        <v>20</v>
      </c>
      <c r="E277" s="56">
        <v>400</v>
      </c>
      <c r="F277" s="157">
        <v>46173</v>
      </c>
      <c r="G277" s="4" t="s">
        <v>93</v>
      </c>
      <c r="H277" s="4" t="s">
        <v>147</v>
      </c>
      <c r="I277" s="153">
        <v>72.53</v>
      </c>
      <c r="J277" s="12">
        <v>0.18132716049382705</v>
      </c>
      <c r="Z277" s="116">
        <f t="shared" si="13"/>
        <v>45957</v>
      </c>
      <c r="AA27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7" s="116">
        <f t="shared" si="14"/>
        <v>45957</v>
      </c>
      <c r="AI277" s="1" t="str" cm="1">
        <f t="array" ref="AI277">IFERROR(_xlfn.IFS(AQ277="","Sem Produto",AND(AQ277/(AA277/12)&gt;0,AQ277/(AA277/12)&lt;=2),"Acabando",AND(AQ277/(AA277/12)&gt;2,AQ277/(AA277/12)&lt;=3),"Fazer Pedido",AND(AQ277/(AA277/12)&gt;3,AQ277/(AA277/12)&lt;=7),"OK",AND(AQ277/(AA277/12)&gt;7,AQ277/(AA277/12)&lt;=14),"Abaixar Preço",AND(AQ277/(AA277/12)&gt;14,AQ277/(AA277/12)&lt;=20),"Estabilizando",AQ277/(AA277/12)&gt;20,"Instavel"),"Instavel")</f>
        <v>Sem Produto</v>
      </c>
      <c r="AJ277" s="1" t="str" cm="1">
        <f t="array" ref="AJ277">IFERROR(_xlfn.IFS(AR277="","Sem Produto",AND(AR277/(AB277/12)&gt;0,AR277/(AB277/12)&lt;=2),"Acabando",AND(AR277/(AB277/12)&gt;2,AR277/(AB277/12)&lt;=3),"Fazer Pedido",AND(AR277/(AB277/12)&gt;3,AR277/(AB277/12)&lt;=7),"OK",AND(AR277/(AB277/12)&gt;7,AR277/(AB277/12)&lt;=14),"Abaixar Preço",AND(AR277/(AB277/12)&gt;14,AR277/(AB277/12)&lt;=20),"Estabilizando",AR277/(AB277/12)&gt;20,"Instavel"),"Instavel")</f>
        <v>Sem Produto</v>
      </c>
      <c r="AK277" s="1" t="str" cm="1">
        <f t="array" ref="AK277">IFERROR(_xlfn.IFS(AS277="","Sem Produto",AND(AS277/(AC277/12)&gt;0,AS277/(AC277/12)&lt;=2),"Acabando",AND(AS277/(AC277/12)&gt;2,AS277/(AC277/12)&lt;=3),"Fazer Pedido",AND(AS277/(AC277/12)&gt;3,AS277/(AC277/12)&lt;=7),"OK",AND(AS277/(AC277/12)&gt;7,AS277/(AC277/12)&lt;=14),"Abaixar Preço",AND(AS277/(AC277/12)&gt;14,AS277/(AC277/12)&lt;=20),"Estabilizando",AS277/(AC277/12)&gt;20,"Instavel"),"Instavel")</f>
        <v>Sem Produto</v>
      </c>
      <c r="AL277" s="1" t="str" cm="1">
        <f t="array" ref="AL277">IFERROR(_xlfn.IFS(AT277="","Sem Produto",AND(AT277/(AD277/12)&gt;0,AT277/(AD277/12)&lt;=2),"Acabando",AND(AT277/(AD277/12)&gt;2,AT277/(AD277/12)&lt;=3),"Fazer Pedido",AND(AT277/(AD277/12)&gt;3,AT277/(AD277/12)&lt;=7),"OK",AND(AT277/(AD277/12)&gt;7,AT277/(AD277/12)&lt;=14),"Abaixar Preço",AND(AT277/(AD277/12)&gt;14,AT277/(AD277/12)&lt;=20),"Estabilizando",AT277/(AD277/12)&gt;20,"Instavel"),"Instavel")</f>
        <v>Sem Produto</v>
      </c>
      <c r="AM277" s="1" t="str" cm="1">
        <f t="array" ref="AM277">IFERROR(_xlfn.IFS(AU277="","Sem Produto",AND(AU277/(AE277/12)&gt;0,AU277/(AE277/12)&lt;=2),"Acabando",AND(AU277/(AE277/12)&gt;2,AU277/(AE277/12)&lt;=3),"Fazer Pedido",AND(AU277/(AE277/12)&gt;3,AU277/(AE277/12)&lt;=7),"OK",AND(AU277/(AE277/12)&gt;7,AU277/(AE277/12)&lt;=14),"Abaixar Preço",AND(AU277/(AE277/12)&gt;14,AU277/(AE277/12)&lt;=20),"Estabilizando",AU277/(AE277/12)&gt;20,"Instavel"),"Instavel")</f>
        <v>Sem Produto</v>
      </c>
      <c r="AN277" s="1" t="str">
        <f>IF(SUMIF(vendaAno[data],SituaçãoEstoqueFluxo[[#This Row],[data]],vendaAno[estoque])=0,"Algo errado",IF(AND(AX277/AW277&gt;0,AX277/AW277&lt;=1),"Alerta",IF(AND(AX277/AW277&gt;1,AX277/AW277&lt;=1.5),"Fazer pedido",IF(AND(AX277/AW277&gt;1.5,AX277/AW277&lt;=2),"Ok",IF(AND(AX277/AW277&gt;2,AX277/AW277&lt;=2.5),"Estabilizando",IF(AND(AX277/AW277&gt;2.5,AX277/AW277&lt;=3),"Cheio","Abaixar preço"))))))</f>
        <v>Algo errado</v>
      </c>
      <c r="AO27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7" s="116">
        <f t="shared" si="15"/>
        <v>45957</v>
      </c>
      <c r="AQ27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7" s="82" cm="1">
        <f t="array" aca="1" ref="AV27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7" s="82" cm="1">
        <f t="array" aca="1" ref="AW27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7" s="82">
        <f>SUM(FluxoEstoqueDateTime[[#This Row],[OVO BRANCO A]:[OVO BRANCO JUMBO]])</f>
        <v>0</v>
      </c>
    </row>
    <row r="278" spans="1:50" x14ac:dyDescent="0.25">
      <c r="A278" s="4" t="s">
        <v>20</v>
      </c>
      <c r="B278" s="55" t="s">
        <v>12</v>
      </c>
      <c r="C278" s="5">
        <v>2</v>
      </c>
      <c r="D278" s="56">
        <v>16</v>
      </c>
      <c r="E278" s="56">
        <v>32</v>
      </c>
      <c r="F278" s="157">
        <v>46173</v>
      </c>
      <c r="G278" s="4" t="s">
        <v>93</v>
      </c>
      <c r="H278" s="4" t="s">
        <v>147</v>
      </c>
      <c r="I278" s="153">
        <v>4.33</v>
      </c>
      <c r="J278" s="12">
        <v>0.13541666666666663</v>
      </c>
      <c r="Z278" s="116">
        <f t="shared" si="13"/>
        <v>45956</v>
      </c>
      <c r="AA27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8" s="116">
        <f t="shared" si="14"/>
        <v>45956</v>
      </c>
      <c r="AI278" s="1" t="str" cm="1">
        <f t="array" ref="AI278">IFERROR(_xlfn.IFS(AQ278="","Sem Produto",AND(AQ278/(AA278/12)&gt;0,AQ278/(AA278/12)&lt;=2),"Acabando",AND(AQ278/(AA278/12)&gt;2,AQ278/(AA278/12)&lt;=3),"Fazer Pedido",AND(AQ278/(AA278/12)&gt;3,AQ278/(AA278/12)&lt;=7),"OK",AND(AQ278/(AA278/12)&gt;7,AQ278/(AA278/12)&lt;=14),"Abaixar Preço",AND(AQ278/(AA278/12)&gt;14,AQ278/(AA278/12)&lt;=20),"Estabilizando",AQ278/(AA278/12)&gt;20,"Instavel"),"Instavel")</f>
        <v>Sem Produto</v>
      </c>
      <c r="AJ278" s="1" t="str" cm="1">
        <f t="array" ref="AJ278">IFERROR(_xlfn.IFS(AR278="","Sem Produto",AND(AR278/(AB278/12)&gt;0,AR278/(AB278/12)&lt;=2),"Acabando",AND(AR278/(AB278/12)&gt;2,AR278/(AB278/12)&lt;=3),"Fazer Pedido",AND(AR278/(AB278/12)&gt;3,AR278/(AB278/12)&lt;=7),"OK",AND(AR278/(AB278/12)&gt;7,AR278/(AB278/12)&lt;=14),"Abaixar Preço",AND(AR278/(AB278/12)&gt;14,AR278/(AB278/12)&lt;=20),"Estabilizando",AR278/(AB278/12)&gt;20,"Instavel"),"Instavel")</f>
        <v>Sem Produto</v>
      </c>
      <c r="AK278" s="1" t="str" cm="1">
        <f t="array" ref="AK278">IFERROR(_xlfn.IFS(AS278="","Sem Produto",AND(AS278/(AC278/12)&gt;0,AS278/(AC278/12)&lt;=2),"Acabando",AND(AS278/(AC278/12)&gt;2,AS278/(AC278/12)&lt;=3),"Fazer Pedido",AND(AS278/(AC278/12)&gt;3,AS278/(AC278/12)&lt;=7),"OK",AND(AS278/(AC278/12)&gt;7,AS278/(AC278/12)&lt;=14),"Abaixar Preço",AND(AS278/(AC278/12)&gt;14,AS278/(AC278/12)&lt;=20),"Estabilizando",AS278/(AC278/12)&gt;20,"Instavel"),"Instavel")</f>
        <v>Sem Produto</v>
      </c>
      <c r="AL278" s="1" t="str" cm="1">
        <f t="array" ref="AL278">IFERROR(_xlfn.IFS(AT278="","Sem Produto",AND(AT278/(AD278/12)&gt;0,AT278/(AD278/12)&lt;=2),"Acabando",AND(AT278/(AD278/12)&gt;2,AT278/(AD278/12)&lt;=3),"Fazer Pedido",AND(AT278/(AD278/12)&gt;3,AT278/(AD278/12)&lt;=7),"OK",AND(AT278/(AD278/12)&gt;7,AT278/(AD278/12)&lt;=14),"Abaixar Preço",AND(AT278/(AD278/12)&gt;14,AT278/(AD278/12)&lt;=20),"Estabilizando",AT278/(AD278/12)&gt;20,"Instavel"),"Instavel")</f>
        <v>Sem Produto</v>
      </c>
      <c r="AM278" s="1" t="str" cm="1">
        <f t="array" ref="AM278">IFERROR(_xlfn.IFS(AU278="","Sem Produto",AND(AU278/(AE278/12)&gt;0,AU278/(AE278/12)&lt;=2),"Acabando",AND(AU278/(AE278/12)&gt;2,AU278/(AE278/12)&lt;=3),"Fazer Pedido",AND(AU278/(AE278/12)&gt;3,AU278/(AE278/12)&lt;=7),"OK",AND(AU278/(AE278/12)&gt;7,AU278/(AE278/12)&lt;=14),"Abaixar Preço",AND(AU278/(AE278/12)&gt;14,AU278/(AE278/12)&lt;=20),"Estabilizando",AU278/(AE278/12)&gt;20,"Instavel"),"Instavel")</f>
        <v>Sem Produto</v>
      </c>
      <c r="AN278" s="1" t="str">
        <f>IF(SUMIF(vendaAno[data],SituaçãoEstoqueFluxo[[#This Row],[data]],vendaAno[estoque])=0,"Algo errado",IF(AND(AX278/AW278&gt;0,AX278/AW278&lt;=1),"Alerta",IF(AND(AX278/AW278&gt;1,AX278/AW278&lt;=1.5),"Fazer pedido",IF(AND(AX278/AW278&gt;1.5,AX278/AW278&lt;=2),"Ok",IF(AND(AX278/AW278&gt;2,AX278/AW278&lt;=2.5),"Estabilizando",IF(AND(AX278/AW278&gt;2.5,AX278/AW278&lt;=3),"Cheio","Abaixar preço"))))))</f>
        <v>Algo errado</v>
      </c>
      <c r="AO27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8" s="116">
        <f t="shared" si="15"/>
        <v>45956</v>
      </c>
      <c r="AQ27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8" s="82" cm="1">
        <f t="array" aca="1" ref="AV27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8" s="82" cm="1">
        <f t="array" aca="1" ref="AW27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8" s="82">
        <f>SUM(FluxoEstoqueDateTime[[#This Row],[OVO BRANCO A]:[OVO BRANCO JUMBO]])</f>
        <v>0</v>
      </c>
    </row>
    <row r="279" spans="1:50" x14ac:dyDescent="0.25">
      <c r="A279" s="4" t="s">
        <v>20</v>
      </c>
      <c r="B279" s="55" t="s">
        <v>11</v>
      </c>
      <c r="C279" s="5">
        <v>4</v>
      </c>
      <c r="D279" s="56">
        <v>18</v>
      </c>
      <c r="E279" s="56">
        <v>72</v>
      </c>
      <c r="F279" s="157">
        <v>46173</v>
      </c>
      <c r="G279" s="4" t="s">
        <v>93</v>
      </c>
      <c r="H279" s="4" t="s">
        <v>147</v>
      </c>
      <c r="I279" s="153">
        <v>12</v>
      </c>
      <c r="J279" s="12">
        <v>0.16666666666666666</v>
      </c>
      <c r="Z279" s="116">
        <f t="shared" si="13"/>
        <v>45955</v>
      </c>
      <c r="AA27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7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7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7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7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7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7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79" s="116">
        <f t="shared" si="14"/>
        <v>45955</v>
      </c>
      <c r="AI279" s="1" t="str" cm="1">
        <f t="array" ref="AI279">IFERROR(_xlfn.IFS(AQ279="","Sem Produto",AND(AQ279/(AA279/12)&gt;0,AQ279/(AA279/12)&lt;=2),"Acabando",AND(AQ279/(AA279/12)&gt;2,AQ279/(AA279/12)&lt;=3),"Fazer Pedido",AND(AQ279/(AA279/12)&gt;3,AQ279/(AA279/12)&lt;=7),"OK",AND(AQ279/(AA279/12)&gt;7,AQ279/(AA279/12)&lt;=14),"Abaixar Preço",AND(AQ279/(AA279/12)&gt;14,AQ279/(AA279/12)&lt;=20),"Estabilizando",AQ279/(AA279/12)&gt;20,"Instavel"),"Instavel")</f>
        <v>Sem Produto</v>
      </c>
      <c r="AJ279" s="1" t="str" cm="1">
        <f t="array" ref="AJ279">IFERROR(_xlfn.IFS(AR279="","Sem Produto",AND(AR279/(AB279/12)&gt;0,AR279/(AB279/12)&lt;=2),"Acabando",AND(AR279/(AB279/12)&gt;2,AR279/(AB279/12)&lt;=3),"Fazer Pedido",AND(AR279/(AB279/12)&gt;3,AR279/(AB279/12)&lt;=7),"OK",AND(AR279/(AB279/12)&gt;7,AR279/(AB279/12)&lt;=14),"Abaixar Preço",AND(AR279/(AB279/12)&gt;14,AR279/(AB279/12)&lt;=20),"Estabilizando",AR279/(AB279/12)&gt;20,"Instavel"),"Instavel")</f>
        <v>Sem Produto</v>
      </c>
      <c r="AK279" s="1" t="str" cm="1">
        <f t="array" ref="AK279">IFERROR(_xlfn.IFS(AS279="","Sem Produto",AND(AS279/(AC279/12)&gt;0,AS279/(AC279/12)&lt;=2),"Acabando",AND(AS279/(AC279/12)&gt;2,AS279/(AC279/12)&lt;=3),"Fazer Pedido",AND(AS279/(AC279/12)&gt;3,AS279/(AC279/12)&lt;=7),"OK",AND(AS279/(AC279/12)&gt;7,AS279/(AC279/12)&lt;=14),"Abaixar Preço",AND(AS279/(AC279/12)&gt;14,AS279/(AC279/12)&lt;=20),"Estabilizando",AS279/(AC279/12)&gt;20,"Instavel"),"Instavel")</f>
        <v>Sem Produto</v>
      </c>
      <c r="AL279" s="1" t="str" cm="1">
        <f t="array" ref="AL279">IFERROR(_xlfn.IFS(AT279="","Sem Produto",AND(AT279/(AD279/12)&gt;0,AT279/(AD279/12)&lt;=2),"Acabando",AND(AT279/(AD279/12)&gt;2,AT279/(AD279/12)&lt;=3),"Fazer Pedido",AND(AT279/(AD279/12)&gt;3,AT279/(AD279/12)&lt;=7),"OK",AND(AT279/(AD279/12)&gt;7,AT279/(AD279/12)&lt;=14),"Abaixar Preço",AND(AT279/(AD279/12)&gt;14,AT279/(AD279/12)&lt;=20),"Estabilizando",AT279/(AD279/12)&gt;20,"Instavel"),"Instavel")</f>
        <v>Sem Produto</v>
      </c>
      <c r="AM279" s="1" t="str" cm="1">
        <f t="array" ref="AM279">IFERROR(_xlfn.IFS(AU279="","Sem Produto",AND(AU279/(AE279/12)&gt;0,AU279/(AE279/12)&lt;=2),"Acabando",AND(AU279/(AE279/12)&gt;2,AU279/(AE279/12)&lt;=3),"Fazer Pedido",AND(AU279/(AE279/12)&gt;3,AU279/(AE279/12)&lt;=7),"OK",AND(AU279/(AE279/12)&gt;7,AU279/(AE279/12)&lt;=14),"Abaixar Preço",AND(AU279/(AE279/12)&gt;14,AU279/(AE279/12)&lt;=20),"Estabilizando",AU279/(AE279/12)&gt;20,"Instavel"),"Instavel")</f>
        <v>Sem Produto</v>
      </c>
      <c r="AN279" s="1" t="str">
        <f>IF(SUMIF(vendaAno[data],SituaçãoEstoqueFluxo[[#This Row],[data]],vendaAno[estoque])=0,"Algo errado",IF(AND(AX279/AW279&gt;0,AX279/AW279&lt;=1),"Alerta",IF(AND(AX279/AW279&gt;1,AX279/AW279&lt;=1.5),"Fazer pedido",IF(AND(AX279/AW279&gt;1.5,AX279/AW279&lt;=2),"Ok",IF(AND(AX279/AW279&gt;2,AX279/AW279&lt;=2.5),"Estabilizando",IF(AND(AX279/AW279&gt;2.5,AX279/AW279&lt;=3),"Cheio","Abaixar preço"))))))</f>
        <v>Algo errado</v>
      </c>
      <c r="AO27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79" s="116">
        <f t="shared" si="15"/>
        <v>45955</v>
      </c>
      <c r="AQ27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7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7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7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7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79" s="82" cm="1">
        <f t="array" aca="1" ref="AV27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79" s="82" cm="1">
        <f t="array" aca="1" ref="AW27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79" s="82">
        <f>SUM(FluxoEstoqueDateTime[[#This Row],[OVO BRANCO A]:[OVO BRANCO JUMBO]])</f>
        <v>0</v>
      </c>
    </row>
    <row r="280" spans="1:50" x14ac:dyDescent="0.25">
      <c r="A280" s="4" t="s">
        <v>20</v>
      </c>
      <c r="B280" s="55" t="s">
        <v>10</v>
      </c>
      <c r="C280" s="5">
        <v>15</v>
      </c>
      <c r="D280" s="56">
        <v>19</v>
      </c>
      <c r="E280" s="56">
        <v>273</v>
      </c>
      <c r="F280" s="157">
        <v>46173</v>
      </c>
      <c r="G280" s="4" t="s">
        <v>93</v>
      </c>
      <c r="H280" s="4" t="s">
        <v>147</v>
      </c>
      <c r="I280" s="153">
        <v>38.950000000000003</v>
      </c>
      <c r="J280" s="12">
        <v>0.14268352086269948</v>
      </c>
      <c r="Z280" s="116">
        <f t="shared" si="13"/>
        <v>45954</v>
      </c>
      <c r="AA28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0" s="116">
        <f t="shared" si="14"/>
        <v>45954</v>
      </c>
      <c r="AI280" s="1" t="str" cm="1">
        <f t="array" ref="AI280">IFERROR(_xlfn.IFS(AQ280="","Sem Produto",AND(AQ280/(AA280/12)&gt;0,AQ280/(AA280/12)&lt;=2),"Acabando",AND(AQ280/(AA280/12)&gt;2,AQ280/(AA280/12)&lt;=3),"Fazer Pedido",AND(AQ280/(AA280/12)&gt;3,AQ280/(AA280/12)&lt;=7),"OK",AND(AQ280/(AA280/12)&gt;7,AQ280/(AA280/12)&lt;=14),"Abaixar Preço",AND(AQ280/(AA280/12)&gt;14,AQ280/(AA280/12)&lt;=20),"Estabilizando",AQ280/(AA280/12)&gt;20,"Instavel"),"Instavel")</f>
        <v>Sem Produto</v>
      </c>
      <c r="AJ280" s="1" t="str" cm="1">
        <f t="array" ref="AJ280">IFERROR(_xlfn.IFS(AR280="","Sem Produto",AND(AR280/(AB280/12)&gt;0,AR280/(AB280/12)&lt;=2),"Acabando",AND(AR280/(AB280/12)&gt;2,AR280/(AB280/12)&lt;=3),"Fazer Pedido",AND(AR280/(AB280/12)&gt;3,AR280/(AB280/12)&lt;=7),"OK",AND(AR280/(AB280/12)&gt;7,AR280/(AB280/12)&lt;=14),"Abaixar Preço",AND(AR280/(AB280/12)&gt;14,AR280/(AB280/12)&lt;=20),"Estabilizando",AR280/(AB280/12)&gt;20,"Instavel"),"Instavel")</f>
        <v>Sem Produto</v>
      </c>
      <c r="AK280" s="1" t="str" cm="1">
        <f t="array" ref="AK280">IFERROR(_xlfn.IFS(AS280="","Sem Produto",AND(AS280/(AC280/12)&gt;0,AS280/(AC280/12)&lt;=2),"Acabando",AND(AS280/(AC280/12)&gt;2,AS280/(AC280/12)&lt;=3),"Fazer Pedido",AND(AS280/(AC280/12)&gt;3,AS280/(AC280/12)&lt;=7),"OK",AND(AS280/(AC280/12)&gt;7,AS280/(AC280/12)&lt;=14),"Abaixar Preço",AND(AS280/(AC280/12)&gt;14,AS280/(AC280/12)&lt;=20),"Estabilizando",AS280/(AC280/12)&gt;20,"Instavel"),"Instavel")</f>
        <v>Sem Produto</v>
      </c>
      <c r="AL280" s="1" t="str" cm="1">
        <f t="array" ref="AL280">IFERROR(_xlfn.IFS(AT280="","Sem Produto",AND(AT280/(AD280/12)&gt;0,AT280/(AD280/12)&lt;=2),"Acabando",AND(AT280/(AD280/12)&gt;2,AT280/(AD280/12)&lt;=3),"Fazer Pedido",AND(AT280/(AD280/12)&gt;3,AT280/(AD280/12)&lt;=7),"OK",AND(AT280/(AD280/12)&gt;7,AT280/(AD280/12)&lt;=14),"Abaixar Preço",AND(AT280/(AD280/12)&gt;14,AT280/(AD280/12)&lt;=20),"Estabilizando",AT280/(AD280/12)&gt;20,"Instavel"),"Instavel")</f>
        <v>Sem Produto</v>
      </c>
      <c r="AM280" s="1" t="str" cm="1">
        <f t="array" ref="AM280">IFERROR(_xlfn.IFS(AU280="","Sem Produto",AND(AU280/(AE280/12)&gt;0,AU280/(AE280/12)&lt;=2),"Acabando",AND(AU280/(AE280/12)&gt;2,AU280/(AE280/12)&lt;=3),"Fazer Pedido",AND(AU280/(AE280/12)&gt;3,AU280/(AE280/12)&lt;=7),"OK",AND(AU280/(AE280/12)&gt;7,AU280/(AE280/12)&lt;=14),"Abaixar Preço",AND(AU280/(AE280/12)&gt;14,AU280/(AE280/12)&lt;=20),"Estabilizando",AU280/(AE280/12)&gt;20,"Instavel"),"Instavel")</f>
        <v>Sem Produto</v>
      </c>
      <c r="AN280" s="1" t="str">
        <f>IF(SUMIF(vendaAno[data],SituaçãoEstoqueFluxo[[#This Row],[data]],vendaAno[estoque])=0,"Algo errado",IF(AND(AX280/AW280&gt;0,AX280/AW280&lt;=1),"Alerta",IF(AND(AX280/AW280&gt;1,AX280/AW280&lt;=1.5),"Fazer pedido",IF(AND(AX280/AW280&gt;1.5,AX280/AW280&lt;=2),"Ok",IF(AND(AX280/AW280&gt;2,AX280/AW280&lt;=2.5),"Estabilizando",IF(AND(AX280/AW280&gt;2.5,AX280/AW280&lt;=3),"Cheio","Abaixar preço"))))))</f>
        <v>Algo errado</v>
      </c>
      <c r="AO28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0" s="116">
        <f t="shared" si="15"/>
        <v>45954</v>
      </c>
      <c r="AQ28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0" s="82" cm="1">
        <f t="array" aca="1" ref="AV28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0" s="82" cm="1">
        <f t="array" aca="1" ref="AW28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0" s="82">
        <f>SUM(FluxoEstoqueDateTime[[#This Row],[OVO BRANCO A]:[OVO BRANCO JUMBO]])</f>
        <v>0</v>
      </c>
    </row>
    <row r="281" spans="1:50" x14ac:dyDescent="0.25">
      <c r="A281" s="4" t="s">
        <v>20</v>
      </c>
      <c r="B281" s="55" t="s">
        <v>14</v>
      </c>
      <c r="C281" s="5">
        <v>10</v>
      </c>
      <c r="D281" s="56">
        <v>22</v>
      </c>
      <c r="E281" s="56">
        <v>220</v>
      </c>
      <c r="F281" s="157">
        <v>46172</v>
      </c>
      <c r="G281" s="4" t="s">
        <v>92</v>
      </c>
      <c r="H281" s="4" t="s">
        <v>147</v>
      </c>
      <c r="I281" s="153">
        <v>45.88</v>
      </c>
      <c r="J281" s="12">
        <v>0.20852683708696354</v>
      </c>
      <c r="Z281" s="116">
        <f t="shared" si="13"/>
        <v>45953</v>
      </c>
      <c r="AA28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1" s="116">
        <f t="shared" si="14"/>
        <v>45953</v>
      </c>
      <c r="AI281" s="1" t="str" cm="1">
        <f t="array" ref="AI281">IFERROR(_xlfn.IFS(AQ281="","Sem Produto",AND(AQ281/(AA281/12)&gt;0,AQ281/(AA281/12)&lt;=2),"Acabando",AND(AQ281/(AA281/12)&gt;2,AQ281/(AA281/12)&lt;=3),"Fazer Pedido",AND(AQ281/(AA281/12)&gt;3,AQ281/(AA281/12)&lt;=7),"OK",AND(AQ281/(AA281/12)&gt;7,AQ281/(AA281/12)&lt;=14),"Abaixar Preço",AND(AQ281/(AA281/12)&gt;14,AQ281/(AA281/12)&lt;=20),"Estabilizando",AQ281/(AA281/12)&gt;20,"Instavel"),"Instavel")</f>
        <v>Sem Produto</v>
      </c>
      <c r="AJ281" s="1" t="str" cm="1">
        <f t="array" ref="AJ281">IFERROR(_xlfn.IFS(AR281="","Sem Produto",AND(AR281/(AB281/12)&gt;0,AR281/(AB281/12)&lt;=2),"Acabando",AND(AR281/(AB281/12)&gt;2,AR281/(AB281/12)&lt;=3),"Fazer Pedido",AND(AR281/(AB281/12)&gt;3,AR281/(AB281/12)&lt;=7),"OK",AND(AR281/(AB281/12)&gt;7,AR281/(AB281/12)&lt;=14),"Abaixar Preço",AND(AR281/(AB281/12)&gt;14,AR281/(AB281/12)&lt;=20),"Estabilizando",AR281/(AB281/12)&gt;20,"Instavel"),"Instavel")</f>
        <v>Sem Produto</v>
      </c>
      <c r="AK281" s="1" t="str" cm="1">
        <f t="array" ref="AK281">IFERROR(_xlfn.IFS(AS281="","Sem Produto",AND(AS281/(AC281/12)&gt;0,AS281/(AC281/12)&lt;=2),"Acabando",AND(AS281/(AC281/12)&gt;2,AS281/(AC281/12)&lt;=3),"Fazer Pedido",AND(AS281/(AC281/12)&gt;3,AS281/(AC281/12)&lt;=7),"OK",AND(AS281/(AC281/12)&gt;7,AS281/(AC281/12)&lt;=14),"Abaixar Preço",AND(AS281/(AC281/12)&gt;14,AS281/(AC281/12)&lt;=20),"Estabilizando",AS281/(AC281/12)&gt;20,"Instavel"),"Instavel")</f>
        <v>Sem Produto</v>
      </c>
      <c r="AL281" s="1" t="str" cm="1">
        <f t="array" ref="AL281">IFERROR(_xlfn.IFS(AT281="","Sem Produto",AND(AT281/(AD281/12)&gt;0,AT281/(AD281/12)&lt;=2),"Acabando",AND(AT281/(AD281/12)&gt;2,AT281/(AD281/12)&lt;=3),"Fazer Pedido",AND(AT281/(AD281/12)&gt;3,AT281/(AD281/12)&lt;=7),"OK",AND(AT281/(AD281/12)&gt;7,AT281/(AD281/12)&lt;=14),"Abaixar Preço",AND(AT281/(AD281/12)&gt;14,AT281/(AD281/12)&lt;=20),"Estabilizando",AT281/(AD281/12)&gt;20,"Instavel"),"Instavel")</f>
        <v>Sem Produto</v>
      </c>
      <c r="AM281" s="1" t="str" cm="1">
        <f t="array" ref="AM281">IFERROR(_xlfn.IFS(AU281="","Sem Produto",AND(AU281/(AE281/12)&gt;0,AU281/(AE281/12)&lt;=2),"Acabando",AND(AU281/(AE281/12)&gt;2,AU281/(AE281/12)&lt;=3),"Fazer Pedido",AND(AU281/(AE281/12)&gt;3,AU281/(AE281/12)&lt;=7),"OK",AND(AU281/(AE281/12)&gt;7,AU281/(AE281/12)&lt;=14),"Abaixar Preço",AND(AU281/(AE281/12)&gt;14,AU281/(AE281/12)&lt;=20),"Estabilizando",AU281/(AE281/12)&gt;20,"Instavel"),"Instavel")</f>
        <v>Sem Produto</v>
      </c>
      <c r="AN281" s="1" t="str">
        <f>IF(SUMIF(vendaAno[data],SituaçãoEstoqueFluxo[[#This Row],[data]],vendaAno[estoque])=0,"Algo errado",IF(AND(AX281/AW281&gt;0,AX281/AW281&lt;=1),"Alerta",IF(AND(AX281/AW281&gt;1,AX281/AW281&lt;=1.5),"Fazer pedido",IF(AND(AX281/AW281&gt;1.5,AX281/AW281&lt;=2),"Ok",IF(AND(AX281/AW281&gt;2,AX281/AW281&lt;=2.5),"Estabilizando",IF(AND(AX281/AW281&gt;2.5,AX281/AW281&lt;=3),"Cheio","Abaixar preço"))))))</f>
        <v>Algo errado</v>
      </c>
      <c r="AO28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1" s="116">
        <f t="shared" si="15"/>
        <v>45953</v>
      </c>
      <c r="AQ28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1" s="82" cm="1">
        <f t="array" aca="1" ref="AV28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1" s="82" cm="1">
        <f t="array" aca="1" ref="AW28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1" s="82">
        <f>SUM(FluxoEstoqueDateTime[[#This Row],[OVO BRANCO A]:[OVO BRANCO JUMBO]])</f>
        <v>0</v>
      </c>
    </row>
    <row r="282" spans="1:50" x14ac:dyDescent="0.25">
      <c r="A282" s="4" t="s">
        <v>20</v>
      </c>
      <c r="B282" s="55" t="s">
        <v>13</v>
      </c>
      <c r="C282" s="5">
        <v>4</v>
      </c>
      <c r="D282" s="56">
        <v>20</v>
      </c>
      <c r="E282" s="56">
        <v>80</v>
      </c>
      <c r="F282" s="157">
        <v>46172</v>
      </c>
      <c r="G282" s="4" t="s">
        <v>92</v>
      </c>
      <c r="H282" s="4" t="s">
        <v>147</v>
      </c>
      <c r="I282" s="153">
        <v>14.51</v>
      </c>
      <c r="J282" s="12">
        <v>0.18132716049382705</v>
      </c>
      <c r="Z282" s="116">
        <f t="shared" si="13"/>
        <v>45952</v>
      </c>
      <c r="AA28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2" s="116">
        <f t="shared" si="14"/>
        <v>45952</v>
      </c>
      <c r="AI282" s="1" t="str" cm="1">
        <f t="array" ref="AI282">IFERROR(_xlfn.IFS(AQ282="","Sem Produto",AND(AQ282/(AA282/12)&gt;0,AQ282/(AA282/12)&lt;=2),"Acabando",AND(AQ282/(AA282/12)&gt;2,AQ282/(AA282/12)&lt;=3),"Fazer Pedido",AND(AQ282/(AA282/12)&gt;3,AQ282/(AA282/12)&lt;=7),"OK",AND(AQ282/(AA282/12)&gt;7,AQ282/(AA282/12)&lt;=14),"Abaixar Preço",AND(AQ282/(AA282/12)&gt;14,AQ282/(AA282/12)&lt;=20),"Estabilizando",AQ282/(AA282/12)&gt;20,"Instavel"),"Instavel")</f>
        <v>Sem Produto</v>
      </c>
      <c r="AJ282" s="1" t="str" cm="1">
        <f t="array" ref="AJ282">IFERROR(_xlfn.IFS(AR282="","Sem Produto",AND(AR282/(AB282/12)&gt;0,AR282/(AB282/12)&lt;=2),"Acabando",AND(AR282/(AB282/12)&gt;2,AR282/(AB282/12)&lt;=3),"Fazer Pedido",AND(AR282/(AB282/12)&gt;3,AR282/(AB282/12)&lt;=7),"OK",AND(AR282/(AB282/12)&gt;7,AR282/(AB282/12)&lt;=14),"Abaixar Preço",AND(AR282/(AB282/12)&gt;14,AR282/(AB282/12)&lt;=20),"Estabilizando",AR282/(AB282/12)&gt;20,"Instavel"),"Instavel")</f>
        <v>Sem Produto</v>
      </c>
      <c r="AK282" s="1" t="str" cm="1">
        <f t="array" ref="AK282">IFERROR(_xlfn.IFS(AS282="","Sem Produto",AND(AS282/(AC282/12)&gt;0,AS282/(AC282/12)&lt;=2),"Acabando",AND(AS282/(AC282/12)&gt;2,AS282/(AC282/12)&lt;=3),"Fazer Pedido",AND(AS282/(AC282/12)&gt;3,AS282/(AC282/12)&lt;=7),"OK",AND(AS282/(AC282/12)&gt;7,AS282/(AC282/12)&lt;=14),"Abaixar Preço",AND(AS282/(AC282/12)&gt;14,AS282/(AC282/12)&lt;=20),"Estabilizando",AS282/(AC282/12)&gt;20,"Instavel"),"Instavel")</f>
        <v>Sem Produto</v>
      </c>
      <c r="AL282" s="1" t="str" cm="1">
        <f t="array" ref="AL282">IFERROR(_xlfn.IFS(AT282="","Sem Produto",AND(AT282/(AD282/12)&gt;0,AT282/(AD282/12)&lt;=2),"Acabando",AND(AT282/(AD282/12)&gt;2,AT282/(AD282/12)&lt;=3),"Fazer Pedido",AND(AT282/(AD282/12)&gt;3,AT282/(AD282/12)&lt;=7),"OK",AND(AT282/(AD282/12)&gt;7,AT282/(AD282/12)&lt;=14),"Abaixar Preço",AND(AT282/(AD282/12)&gt;14,AT282/(AD282/12)&lt;=20),"Estabilizando",AT282/(AD282/12)&gt;20,"Instavel"),"Instavel")</f>
        <v>Sem Produto</v>
      </c>
      <c r="AM282" s="1" t="str" cm="1">
        <f t="array" ref="AM282">IFERROR(_xlfn.IFS(AU282="","Sem Produto",AND(AU282/(AE282/12)&gt;0,AU282/(AE282/12)&lt;=2),"Acabando",AND(AU282/(AE282/12)&gt;2,AU282/(AE282/12)&lt;=3),"Fazer Pedido",AND(AU282/(AE282/12)&gt;3,AU282/(AE282/12)&lt;=7),"OK",AND(AU282/(AE282/12)&gt;7,AU282/(AE282/12)&lt;=14),"Abaixar Preço",AND(AU282/(AE282/12)&gt;14,AU282/(AE282/12)&lt;=20),"Estabilizando",AU282/(AE282/12)&gt;20,"Instavel"),"Instavel")</f>
        <v>Sem Produto</v>
      </c>
      <c r="AN282" s="1" t="str">
        <f>IF(SUMIF(vendaAno[data],SituaçãoEstoqueFluxo[[#This Row],[data]],vendaAno[estoque])=0,"Algo errado",IF(AND(AX282/AW282&gt;0,AX282/AW282&lt;=1),"Alerta",IF(AND(AX282/AW282&gt;1,AX282/AW282&lt;=1.5),"Fazer pedido",IF(AND(AX282/AW282&gt;1.5,AX282/AW282&lt;=2),"Ok",IF(AND(AX282/AW282&gt;2,AX282/AW282&lt;=2.5),"Estabilizando",IF(AND(AX282/AW282&gt;2.5,AX282/AW282&lt;=3),"Cheio","Abaixar preço"))))))</f>
        <v>Algo errado</v>
      </c>
      <c r="AO28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2" s="116">
        <f t="shared" si="15"/>
        <v>45952</v>
      </c>
      <c r="AQ28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2" s="82" cm="1">
        <f t="array" aca="1" ref="AV28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2" s="82" cm="1">
        <f t="array" aca="1" ref="AW28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2" s="82">
        <f>SUM(FluxoEstoqueDateTime[[#This Row],[OVO BRANCO A]:[OVO BRANCO JUMBO]])</f>
        <v>0</v>
      </c>
    </row>
    <row r="283" spans="1:50" x14ac:dyDescent="0.25">
      <c r="A283" s="4" t="s">
        <v>20</v>
      </c>
      <c r="B283" s="55" t="s">
        <v>12</v>
      </c>
      <c r="C283" s="5">
        <v>3</v>
      </c>
      <c r="D283" s="56">
        <v>16</v>
      </c>
      <c r="E283" s="56">
        <v>48</v>
      </c>
      <c r="F283" s="157">
        <v>46172</v>
      </c>
      <c r="G283" s="4" t="s">
        <v>92</v>
      </c>
      <c r="H283" s="4" t="s">
        <v>147</v>
      </c>
      <c r="I283" s="153">
        <v>6.5</v>
      </c>
      <c r="J283" s="12">
        <v>0.13541666666666663</v>
      </c>
      <c r="Z283" s="116">
        <f t="shared" si="13"/>
        <v>45951</v>
      </c>
      <c r="AA28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3" s="116">
        <f t="shared" si="14"/>
        <v>45951</v>
      </c>
      <c r="AI283" s="1" t="str" cm="1">
        <f t="array" ref="AI283">IFERROR(_xlfn.IFS(AQ283="","Sem Produto",AND(AQ283/(AA283/12)&gt;0,AQ283/(AA283/12)&lt;=2),"Acabando",AND(AQ283/(AA283/12)&gt;2,AQ283/(AA283/12)&lt;=3),"Fazer Pedido",AND(AQ283/(AA283/12)&gt;3,AQ283/(AA283/12)&lt;=7),"OK",AND(AQ283/(AA283/12)&gt;7,AQ283/(AA283/12)&lt;=14),"Abaixar Preço",AND(AQ283/(AA283/12)&gt;14,AQ283/(AA283/12)&lt;=20),"Estabilizando",AQ283/(AA283/12)&gt;20,"Instavel"),"Instavel")</f>
        <v>Sem Produto</v>
      </c>
      <c r="AJ283" s="1" t="str" cm="1">
        <f t="array" ref="AJ283">IFERROR(_xlfn.IFS(AR283="","Sem Produto",AND(AR283/(AB283/12)&gt;0,AR283/(AB283/12)&lt;=2),"Acabando",AND(AR283/(AB283/12)&gt;2,AR283/(AB283/12)&lt;=3),"Fazer Pedido",AND(AR283/(AB283/12)&gt;3,AR283/(AB283/12)&lt;=7),"OK",AND(AR283/(AB283/12)&gt;7,AR283/(AB283/12)&lt;=14),"Abaixar Preço",AND(AR283/(AB283/12)&gt;14,AR283/(AB283/12)&lt;=20),"Estabilizando",AR283/(AB283/12)&gt;20,"Instavel"),"Instavel")</f>
        <v>Sem Produto</v>
      </c>
      <c r="AK283" s="1" t="str" cm="1">
        <f t="array" ref="AK283">IFERROR(_xlfn.IFS(AS283="","Sem Produto",AND(AS283/(AC283/12)&gt;0,AS283/(AC283/12)&lt;=2),"Acabando",AND(AS283/(AC283/12)&gt;2,AS283/(AC283/12)&lt;=3),"Fazer Pedido",AND(AS283/(AC283/12)&gt;3,AS283/(AC283/12)&lt;=7),"OK",AND(AS283/(AC283/12)&gt;7,AS283/(AC283/12)&lt;=14),"Abaixar Preço",AND(AS283/(AC283/12)&gt;14,AS283/(AC283/12)&lt;=20),"Estabilizando",AS283/(AC283/12)&gt;20,"Instavel"),"Instavel")</f>
        <v>Sem Produto</v>
      </c>
      <c r="AL283" s="1" t="str" cm="1">
        <f t="array" ref="AL283">IFERROR(_xlfn.IFS(AT283="","Sem Produto",AND(AT283/(AD283/12)&gt;0,AT283/(AD283/12)&lt;=2),"Acabando",AND(AT283/(AD283/12)&gt;2,AT283/(AD283/12)&lt;=3),"Fazer Pedido",AND(AT283/(AD283/12)&gt;3,AT283/(AD283/12)&lt;=7),"OK",AND(AT283/(AD283/12)&gt;7,AT283/(AD283/12)&lt;=14),"Abaixar Preço",AND(AT283/(AD283/12)&gt;14,AT283/(AD283/12)&lt;=20),"Estabilizando",AT283/(AD283/12)&gt;20,"Instavel"),"Instavel")</f>
        <v>Sem Produto</v>
      </c>
      <c r="AM283" s="1" t="str" cm="1">
        <f t="array" ref="AM283">IFERROR(_xlfn.IFS(AU283="","Sem Produto",AND(AU283/(AE283/12)&gt;0,AU283/(AE283/12)&lt;=2),"Acabando",AND(AU283/(AE283/12)&gt;2,AU283/(AE283/12)&lt;=3),"Fazer Pedido",AND(AU283/(AE283/12)&gt;3,AU283/(AE283/12)&lt;=7),"OK",AND(AU283/(AE283/12)&gt;7,AU283/(AE283/12)&lt;=14),"Abaixar Preço",AND(AU283/(AE283/12)&gt;14,AU283/(AE283/12)&lt;=20),"Estabilizando",AU283/(AE283/12)&gt;20,"Instavel"),"Instavel")</f>
        <v>Sem Produto</v>
      </c>
      <c r="AN283" s="1" t="str">
        <f>IF(SUMIF(vendaAno[data],SituaçãoEstoqueFluxo[[#This Row],[data]],vendaAno[estoque])=0,"Algo errado",IF(AND(AX283/AW283&gt;0,AX283/AW283&lt;=1),"Alerta",IF(AND(AX283/AW283&gt;1,AX283/AW283&lt;=1.5),"Fazer pedido",IF(AND(AX283/AW283&gt;1.5,AX283/AW283&lt;=2),"Ok",IF(AND(AX283/AW283&gt;2,AX283/AW283&lt;=2.5),"Estabilizando",IF(AND(AX283/AW283&gt;2.5,AX283/AW283&lt;=3),"Cheio","Abaixar preço"))))))</f>
        <v>Algo errado</v>
      </c>
      <c r="AO28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3" s="116">
        <f t="shared" si="15"/>
        <v>45951</v>
      </c>
      <c r="AQ28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3" s="82" cm="1">
        <f t="array" aca="1" ref="AV28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3" s="82" cm="1">
        <f t="array" aca="1" ref="AW28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3" s="82">
        <f>SUM(FluxoEstoqueDateTime[[#This Row],[OVO BRANCO A]:[OVO BRANCO JUMBO]])</f>
        <v>0</v>
      </c>
    </row>
    <row r="284" spans="1:50" x14ac:dyDescent="0.25">
      <c r="A284" s="4" t="s">
        <v>20</v>
      </c>
      <c r="B284" s="55" t="s">
        <v>11</v>
      </c>
      <c r="C284" s="5">
        <v>3</v>
      </c>
      <c r="D284" s="56">
        <v>18</v>
      </c>
      <c r="E284" s="56">
        <v>54</v>
      </c>
      <c r="F284" s="157">
        <v>46172</v>
      </c>
      <c r="G284" s="4" t="s">
        <v>92</v>
      </c>
      <c r="H284" s="4" t="s">
        <v>147</v>
      </c>
      <c r="I284" s="153">
        <v>9</v>
      </c>
      <c r="J284" s="12">
        <v>0.16666666666666666</v>
      </c>
      <c r="Z284" s="116">
        <f t="shared" si="13"/>
        <v>45950</v>
      </c>
      <c r="AA28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4" s="116">
        <f t="shared" si="14"/>
        <v>45950</v>
      </c>
      <c r="AI284" s="1" t="str" cm="1">
        <f t="array" ref="AI284">IFERROR(_xlfn.IFS(AQ284="","Sem Produto",AND(AQ284/(AA284/12)&gt;0,AQ284/(AA284/12)&lt;=2),"Acabando",AND(AQ284/(AA284/12)&gt;2,AQ284/(AA284/12)&lt;=3),"Fazer Pedido",AND(AQ284/(AA284/12)&gt;3,AQ284/(AA284/12)&lt;=7),"OK",AND(AQ284/(AA284/12)&gt;7,AQ284/(AA284/12)&lt;=14),"Abaixar Preço",AND(AQ284/(AA284/12)&gt;14,AQ284/(AA284/12)&lt;=20),"Estabilizando",AQ284/(AA284/12)&gt;20,"Instavel"),"Instavel")</f>
        <v>Sem Produto</v>
      </c>
      <c r="AJ284" s="1" t="str" cm="1">
        <f t="array" ref="AJ284">IFERROR(_xlfn.IFS(AR284="","Sem Produto",AND(AR284/(AB284/12)&gt;0,AR284/(AB284/12)&lt;=2),"Acabando",AND(AR284/(AB284/12)&gt;2,AR284/(AB284/12)&lt;=3),"Fazer Pedido",AND(AR284/(AB284/12)&gt;3,AR284/(AB284/12)&lt;=7),"OK",AND(AR284/(AB284/12)&gt;7,AR284/(AB284/12)&lt;=14),"Abaixar Preço",AND(AR284/(AB284/12)&gt;14,AR284/(AB284/12)&lt;=20),"Estabilizando",AR284/(AB284/12)&gt;20,"Instavel"),"Instavel")</f>
        <v>Sem Produto</v>
      </c>
      <c r="AK284" s="1" t="str" cm="1">
        <f t="array" ref="AK284">IFERROR(_xlfn.IFS(AS284="","Sem Produto",AND(AS284/(AC284/12)&gt;0,AS284/(AC284/12)&lt;=2),"Acabando",AND(AS284/(AC284/12)&gt;2,AS284/(AC284/12)&lt;=3),"Fazer Pedido",AND(AS284/(AC284/12)&gt;3,AS284/(AC284/12)&lt;=7),"OK",AND(AS284/(AC284/12)&gt;7,AS284/(AC284/12)&lt;=14),"Abaixar Preço",AND(AS284/(AC284/12)&gt;14,AS284/(AC284/12)&lt;=20),"Estabilizando",AS284/(AC284/12)&gt;20,"Instavel"),"Instavel")</f>
        <v>Sem Produto</v>
      </c>
      <c r="AL284" s="1" t="str" cm="1">
        <f t="array" ref="AL284">IFERROR(_xlfn.IFS(AT284="","Sem Produto",AND(AT284/(AD284/12)&gt;0,AT284/(AD284/12)&lt;=2),"Acabando",AND(AT284/(AD284/12)&gt;2,AT284/(AD284/12)&lt;=3),"Fazer Pedido",AND(AT284/(AD284/12)&gt;3,AT284/(AD284/12)&lt;=7),"OK",AND(AT284/(AD284/12)&gt;7,AT284/(AD284/12)&lt;=14),"Abaixar Preço",AND(AT284/(AD284/12)&gt;14,AT284/(AD284/12)&lt;=20),"Estabilizando",AT284/(AD284/12)&gt;20,"Instavel"),"Instavel")</f>
        <v>Sem Produto</v>
      </c>
      <c r="AM284" s="1" t="str" cm="1">
        <f t="array" ref="AM284">IFERROR(_xlfn.IFS(AU284="","Sem Produto",AND(AU284/(AE284/12)&gt;0,AU284/(AE284/12)&lt;=2),"Acabando",AND(AU284/(AE284/12)&gt;2,AU284/(AE284/12)&lt;=3),"Fazer Pedido",AND(AU284/(AE284/12)&gt;3,AU284/(AE284/12)&lt;=7),"OK",AND(AU284/(AE284/12)&gt;7,AU284/(AE284/12)&lt;=14),"Abaixar Preço",AND(AU284/(AE284/12)&gt;14,AU284/(AE284/12)&lt;=20),"Estabilizando",AU284/(AE284/12)&gt;20,"Instavel"),"Instavel")</f>
        <v>Sem Produto</v>
      </c>
      <c r="AN284" s="1" t="str">
        <f>IF(SUMIF(vendaAno[data],SituaçãoEstoqueFluxo[[#This Row],[data]],vendaAno[estoque])=0,"Algo errado",IF(AND(AX284/AW284&gt;0,AX284/AW284&lt;=1),"Alerta",IF(AND(AX284/AW284&gt;1,AX284/AW284&lt;=1.5),"Fazer pedido",IF(AND(AX284/AW284&gt;1.5,AX284/AW284&lt;=2),"Ok",IF(AND(AX284/AW284&gt;2,AX284/AW284&lt;=2.5),"Estabilizando",IF(AND(AX284/AW284&gt;2.5,AX284/AW284&lt;=3),"Cheio","Abaixar preço"))))))</f>
        <v>Algo errado</v>
      </c>
      <c r="AO28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4" s="116">
        <f t="shared" si="15"/>
        <v>45950</v>
      </c>
      <c r="AQ28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4" s="82" cm="1">
        <f t="array" aca="1" ref="AV28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4" s="82" cm="1">
        <f t="array" aca="1" ref="AW28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4" s="82">
        <f>SUM(FluxoEstoqueDateTime[[#This Row],[OVO BRANCO A]:[OVO BRANCO JUMBO]])</f>
        <v>0</v>
      </c>
    </row>
    <row r="285" spans="1:50" x14ac:dyDescent="0.25">
      <c r="A285" s="4" t="s">
        <v>20</v>
      </c>
      <c r="B285" s="55" t="s">
        <v>10</v>
      </c>
      <c r="C285" s="5">
        <v>26</v>
      </c>
      <c r="D285" s="56">
        <v>19</v>
      </c>
      <c r="E285" s="56">
        <v>494</v>
      </c>
      <c r="F285" s="157">
        <v>46172</v>
      </c>
      <c r="G285" s="4" t="s">
        <v>92</v>
      </c>
      <c r="H285" s="4" t="s">
        <v>147</v>
      </c>
      <c r="I285" s="153">
        <v>88.32</v>
      </c>
      <c r="J285" s="12">
        <v>0.17878105682637518</v>
      </c>
      <c r="Z285" s="116">
        <f t="shared" si="13"/>
        <v>45949</v>
      </c>
      <c r="AA28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5" s="116">
        <f t="shared" si="14"/>
        <v>45949</v>
      </c>
      <c r="AI285" s="1" t="str" cm="1">
        <f t="array" ref="AI285">IFERROR(_xlfn.IFS(AQ285="","Sem Produto",AND(AQ285/(AA285/12)&gt;0,AQ285/(AA285/12)&lt;=2),"Acabando",AND(AQ285/(AA285/12)&gt;2,AQ285/(AA285/12)&lt;=3),"Fazer Pedido",AND(AQ285/(AA285/12)&gt;3,AQ285/(AA285/12)&lt;=7),"OK",AND(AQ285/(AA285/12)&gt;7,AQ285/(AA285/12)&lt;=14),"Abaixar Preço",AND(AQ285/(AA285/12)&gt;14,AQ285/(AA285/12)&lt;=20),"Estabilizando",AQ285/(AA285/12)&gt;20,"Instavel"),"Instavel")</f>
        <v>Sem Produto</v>
      </c>
      <c r="AJ285" s="1" t="str" cm="1">
        <f t="array" ref="AJ285">IFERROR(_xlfn.IFS(AR285="","Sem Produto",AND(AR285/(AB285/12)&gt;0,AR285/(AB285/12)&lt;=2),"Acabando",AND(AR285/(AB285/12)&gt;2,AR285/(AB285/12)&lt;=3),"Fazer Pedido",AND(AR285/(AB285/12)&gt;3,AR285/(AB285/12)&lt;=7),"OK",AND(AR285/(AB285/12)&gt;7,AR285/(AB285/12)&lt;=14),"Abaixar Preço",AND(AR285/(AB285/12)&gt;14,AR285/(AB285/12)&lt;=20),"Estabilizando",AR285/(AB285/12)&gt;20,"Instavel"),"Instavel")</f>
        <v>Sem Produto</v>
      </c>
      <c r="AK285" s="1" t="str" cm="1">
        <f t="array" ref="AK285">IFERROR(_xlfn.IFS(AS285="","Sem Produto",AND(AS285/(AC285/12)&gt;0,AS285/(AC285/12)&lt;=2),"Acabando",AND(AS285/(AC285/12)&gt;2,AS285/(AC285/12)&lt;=3),"Fazer Pedido",AND(AS285/(AC285/12)&gt;3,AS285/(AC285/12)&lt;=7),"OK",AND(AS285/(AC285/12)&gt;7,AS285/(AC285/12)&lt;=14),"Abaixar Preço",AND(AS285/(AC285/12)&gt;14,AS285/(AC285/12)&lt;=20),"Estabilizando",AS285/(AC285/12)&gt;20,"Instavel"),"Instavel")</f>
        <v>Sem Produto</v>
      </c>
      <c r="AL285" s="1" t="str" cm="1">
        <f t="array" ref="AL285">IFERROR(_xlfn.IFS(AT285="","Sem Produto",AND(AT285/(AD285/12)&gt;0,AT285/(AD285/12)&lt;=2),"Acabando",AND(AT285/(AD285/12)&gt;2,AT285/(AD285/12)&lt;=3),"Fazer Pedido",AND(AT285/(AD285/12)&gt;3,AT285/(AD285/12)&lt;=7),"OK",AND(AT285/(AD285/12)&gt;7,AT285/(AD285/12)&lt;=14),"Abaixar Preço",AND(AT285/(AD285/12)&gt;14,AT285/(AD285/12)&lt;=20),"Estabilizando",AT285/(AD285/12)&gt;20,"Instavel"),"Instavel")</f>
        <v>Sem Produto</v>
      </c>
      <c r="AM285" s="1" t="str" cm="1">
        <f t="array" ref="AM285">IFERROR(_xlfn.IFS(AU285="","Sem Produto",AND(AU285/(AE285/12)&gt;0,AU285/(AE285/12)&lt;=2),"Acabando",AND(AU285/(AE285/12)&gt;2,AU285/(AE285/12)&lt;=3),"Fazer Pedido",AND(AU285/(AE285/12)&gt;3,AU285/(AE285/12)&lt;=7),"OK",AND(AU285/(AE285/12)&gt;7,AU285/(AE285/12)&lt;=14),"Abaixar Preço",AND(AU285/(AE285/12)&gt;14,AU285/(AE285/12)&lt;=20),"Estabilizando",AU285/(AE285/12)&gt;20,"Instavel"),"Instavel")</f>
        <v>Sem Produto</v>
      </c>
      <c r="AN285" s="1" t="str">
        <f>IF(SUMIF(vendaAno[data],SituaçãoEstoqueFluxo[[#This Row],[data]],vendaAno[estoque])=0,"Algo errado",IF(AND(AX285/AW285&gt;0,AX285/AW285&lt;=1),"Alerta",IF(AND(AX285/AW285&gt;1,AX285/AW285&lt;=1.5),"Fazer pedido",IF(AND(AX285/AW285&gt;1.5,AX285/AW285&lt;=2),"Ok",IF(AND(AX285/AW285&gt;2,AX285/AW285&lt;=2.5),"Estabilizando",IF(AND(AX285/AW285&gt;2.5,AX285/AW285&lt;=3),"Cheio","Abaixar preço"))))))</f>
        <v>Algo errado</v>
      </c>
      <c r="AO28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5" s="116">
        <f t="shared" si="15"/>
        <v>45949</v>
      </c>
      <c r="AQ28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5" s="82" cm="1">
        <f t="array" aca="1" ref="AV28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5" s="82" cm="1">
        <f t="array" aca="1" ref="AW28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5" s="82">
        <f>SUM(FluxoEstoqueDateTime[[#This Row],[OVO BRANCO A]:[OVO BRANCO JUMBO]])</f>
        <v>0</v>
      </c>
    </row>
    <row r="286" spans="1:50" x14ac:dyDescent="0.25">
      <c r="A286" s="4" t="s">
        <v>20</v>
      </c>
      <c r="B286" s="55" t="s">
        <v>14</v>
      </c>
      <c r="C286" s="5">
        <v>2</v>
      </c>
      <c r="D286" s="56">
        <v>22</v>
      </c>
      <c r="E286" s="56">
        <v>44</v>
      </c>
      <c r="F286" s="157">
        <v>46171</v>
      </c>
      <c r="G286" s="4" t="s">
        <v>83</v>
      </c>
      <c r="H286" s="4" t="s">
        <v>147</v>
      </c>
      <c r="I286" s="153">
        <v>9.18</v>
      </c>
      <c r="J286" s="12">
        <v>0.20852683708696354</v>
      </c>
      <c r="Z286" s="116">
        <f t="shared" si="13"/>
        <v>45948</v>
      </c>
      <c r="AA28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6" s="116">
        <f t="shared" si="14"/>
        <v>45948</v>
      </c>
      <c r="AI286" s="1" t="str" cm="1">
        <f t="array" ref="AI286">IFERROR(_xlfn.IFS(AQ286="","Sem Produto",AND(AQ286/(AA286/12)&gt;0,AQ286/(AA286/12)&lt;=2),"Acabando",AND(AQ286/(AA286/12)&gt;2,AQ286/(AA286/12)&lt;=3),"Fazer Pedido",AND(AQ286/(AA286/12)&gt;3,AQ286/(AA286/12)&lt;=7),"OK",AND(AQ286/(AA286/12)&gt;7,AQ286/(AA286/12)&lt;=14),"Abaixar Preço",AND(AQ286/(AA286/12)&gt;14,AQ286/(AA286/12)&lt;=20),"Estabilizando",AQ286/(AA286/12)&gt;20,"Instavel"),"Instavel")</f>
        <v>Sem Produto</v>
      </c>
      <c r="AJ286" s="1" t="str" cm="1">
        <f t="array" ref="AJ286">IFERROR(_xlfn.IFS(AR286="","Sem Produto",AND(AR286/(AB286/12)&gt;0,AR286/(AB286/12)&lt;=2),"Acabando",AND(AR286/(AB286/12)&gt;2,AR286/(AB286/12)&lt;=3),"Fazer Pedido",AND(AR286/(AB286/12)&gt;3,AR286/(AB286/12)&lt;=7),"OK",AND(AR286/(AB286/12)&gt;7,AR286/(AB286/12)&lt;=14),"Abaixar Preço",AND(AR286/(AB286/12)&gt;14,AR286/(AB286/12)&lt;=20),"Estabilizando",AR286/(AB286/12)&gt;20,"Instavel"),"Instavel")</f>
        <v>Sem Produto</v>
      </c>
      <c r="AK286" s="1" t="str" cm="1">
        <f t="array" ref="AK286">IFERROR(_xlfn.IFS(AS286="","Sem Produto",AND(AS286/(AC286/12)&gt;0,AS286/(AC286/12)&lt;=2),"Acabando",AND(AS286/(AC286/12)&gt;2,AS286/(AC286/12)&lt;=3),"Fazer Pedido",AND(AS286/(AC286/12)&gt;3,AS286/(AC286/12)&lt;=7),"OK",AND(AS286/(AC286/12)&gt;7,AS286/(AC286/12)&lt;=14),"Abaixar Preço",AND(AS286/(AC286/12)&gt;14,AS286/(AC286/12)&lt;=20),"Estabilizando",AS286/(AC286/12)&gt;20,"Instavel"),"Instavel")</f>
        <v>Sem Produto</v>
      </c>
      <c r="AL286" s="1" t="str" cm="1">
        <f t="array" ref="AL286">IFERROR(_xlfn.IFS(AT286="","Sem Produto",AND(AT286/(AD286/12)&gt;0,AT286/(AD286/12)&lt;=2),"Acabando",AND(AT286/(AD286/12)&gt;2,AT286/(AD286/12)&lt;=3),"Fazer Pedido",AND(AT286/(AD286/12)&gt;3,AT286/(AD286/12)&lt;=7),"OK",AND(AT286/(AD286/12)&gt;7,AT286/(AD286/12)&lt;=14),"Abaixar Preço",AND(AT286/(AD286/12)&gt;14,AT286/(AD286/12)&lt;=20),"Estabilizando",AT286/(AD286/12)&gt;20,"Instavel"),"Instavel")</f>
        <v>Sem Produto</v>
      </c>
      <c r="AM286" s="1" t="str" cm="1">
        <f t="array" ref="AM286">IFERROR(_xlfn.IFS(AU286="","Sem Produto",AND(AU286/(AE286/12)&gt;0,AU286/(AE286/12)&lt;=2),"Acabando",AND(AU286/(AE286/12)&gt;2,AU286/(AE286/12)&lt;=3),"Fazer Pedido",AND(AU286/(AE286/12)&gt;3,AU286/(AE286/12)&lt;=7),"OK",AND(AU286/(AE286/12)&gt;7,AU286/(AE286/12)&lt;=14),"Abaixar Preço",AND(AU286/(AE286/12)&gt;14,AU286/(AE286/12)&lt;=20),"Estabilizando",AU286/(AE286/12)&gt;20,"Instavel"),"Instavel")</f>
        <v>Sem Produto</v>
      </c>
      <c r="AN286" s="1" t="str">
        <f>IF(SUMIF(vendaAno[data],SituaçãoEstoqueFluxo[[#This Row],[data]],vendaAno[estoque])=0,"Algo errado",IF(AND(AX286/AW286&gt;0,AX286/AW286&lt;=1),"Alerta",IF(AND(AX286/AW286&gt;1,AX286/AW286&lt;=1.5),"Fazer pedido",IF(AND(AX286/AW286&gt;1.5,AX286/AW286&lt;=2),"Ok",IF(AND(AX286/AW286&gt;2,AX286/AW286&lt;=2.5),"Estabilizando",IF(AND(AX286/AW286&gt;2.5,AX286/AW286&lt;=3),"Cheio","Abaixar preço"))))))</f>
        <v>Algo errado</v>
      </c>
      <c r="AO28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6" s="116">
        <f t="shared" si="15"/>
        <v>45948</v>
      </c>
      <c r="AQ28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6" s="82" cm="1">
        <f t="array" aca="1" ref="AV28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6" s="82" cm="1">
        <f t="array" aca="1" ref="AW28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6" s="82">
        <f>SUM(FluxoEstoqueDateTime[[#This Row],[OVO BRANCO A]:[OVO BRANCO JUMBO]])</f>
        <v>0</v>
      </c>
    </row>
    <row r="287" spans="1:50" x14ac:dyDescent="0.25">
      <c r="A287" s="4" t="s">
        <v>20</v>
      </c>
      <c r="B287" s="55" t="s">
        <v>13</v>
      </c>
      <c r="C287" s="5">
        <v>7</v>
      </c>
      <c r="D287" s="56">
        <v>20</v>
      </c>
      <c r="E287" s="56">
        <v>140</v>
      </c>
      <c r="F287" s="157">
        <v>46171</v>
      </c>
      <c r="G287" s="4" t="s">
        <v>83</v>
      </c>
      <c r="H287" s="4" t="s">
        <v>147</v>
      </c>
      <c r="I287" s="153">
        <v>25.39</v>
      </c>
      <c r="J287" s="12">
        <v>0.18132716049382705</v>
      </c>
      <c r="Z287" s="116">
        <f t="shared" si="13"/>
        <v>45947</v>
      </c>
      <c r="AA28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7" s="116">
        <f t="shared" si="14"/>
        <v>45947</v>
      </c>
      <c r="AI287" s="1" t="str" cm="1">
        <f t="array" ref="AI287">IFERROR(_xlfn.IFS(AQ287="","Sem Produto",AND(AQ287/(AA287/12)&gt;0,AQ287/(AA287/12)&lt;=2),"Acabando",AND(AQ287/(AA287/12)&gt;2,AQ287/(AA287/12)&lt;=3),"Fazer Pedido",AND(AQ287/(AA287/12)&gt;3,AQ287/(AA287/12)&lt;=7),"OK",AND(AQ287/(AA287/12)&gt;7,AQ287/(AA287/12)&lt;=14),"Abaixar Preço",AND(AQ287/(AA287/12)&gt;14,AQ287/(AA287/12)&lt;=20),"Estabilizando",AQ287/(AA287/12)&gt;20,"Instavel"),"Instavel")</f>
        <v>Sem Produto</v>
      </c>
      <c r="AJ287" s="1" t="str" cm="1">
        <f t="array" ref="AJ287">IFERROR(_xlfn.IFS(AR287="","Sem Produto",AND(AR287/(AB287/12)&gt;0,AR287/(AB287/12)&lt;=2),"Acabando",AND(AR287/(AB287/12)&gt;2,AR287/(AB287/12)&lt;=3),"Fazer Pedido",AND(AR287/(AB287/12)&gt;3,AR287/(AB287/12)&lt;=7),"OK",AND(AR287/(AB287/12)&gt;7,AR287/(AB287/12)&lt;=14),"Abaixar Preço",AND(AR287/(AB287/12)&gt;14,AR287/(AB287/12)&lt;=20),"Estabilizando",AR287/(AB287/12)&gt;20,"Instavel"),"Instavel")</f>
        <v>Sem Produto</v>
      </c>
      <c r="AK287" s="1" t="str" cm="1">
        <f t="array" ref="AK287">IFERROR(_xlfn.IFS(AS287="","Sem Produto",AND(AS287/(AC287/12)&gt;0,AS287/(AC287/12)&lt;=2),"Acabando",AND(AS287/(AC287/12)&gt;2,AS287/(AC287/12)&lt;=3),"Fazer Pedido",AND(AS287/(AC287/12)&gt;3,AS287/(AC287/12)&lt;=7),"OK",AND(AS287/(AC287/12)&gt;7,AS287/(AC287/12)&lt;=14),"Abaixar Preço",AND(AS287/(AC287/12)&gt;14,AS287/(AC287/12)&lt;=20),"Estabilizando",AS287/(AC287/12)&gt;20,"Instavel"),"Instavel")</f>
        <v>Sem Produto</v>
      </c>
      <c r="AL287" s="1" t="str" cm="1">
        <f t="array" ref="AL287">IFERROR(_xlfn.IFS(AT287="","Sem Produto",AND(AT287/(AD287/12)&gt;0,AT287/(AD287/12)&lt;=2),"Acabando",AND(AT287/(AD287/12)&gt;2,AT287/(AD287/12)&lt;=3),"Fazer Pedido",AND(AT287/(AD287/12)&gt;3,AT287/(AD287/12)&lt;=7),"OK",AND(AT287/(AD287/12)&gt;7,AT287/(AD287/12)&lt;=14),"Abaixar Preço",AND(AT287/(AD287/12)&gt;14,AT287/(AD287/12)&lt;=20),"Estabilizando",AT287/(AD287/12)&gt;20,"Instavel"),"Instavel")</f>
        <v>Sem Produto</v>
      </c>
      <c r="AM287" s="1" t="str" cm="1">
        <f t="array" ref="AM287">IFERROR(_xlfn.IFS(AU287="","Sem Produto",AND(AU287/(AE287/12)&gt;0,AU287/(AE287/12)&lt;=2),"Acabando",AND(AU287/(AE287/12)&gt;2,AU287/(AE287/12)&lt;=3),"Fazer Pedido",AND(AU287/(AE287/12)&gt;3,AU287/(AE287/12)&lt;=7),"OK",AND(AU287/(AE287/12)&gt;7,AU287/(AE287/12)&lt;=14),"Abaixar Preço",AND(AU287/(AE287/12)&gt;14,AU287/(AE287/12)&lt;=20),"Estabilizando",AU287/(AE287/12)&gt;20,"Instavel"),"Instavel")</f>
        <v>Sem Produto</v>
      </c>
      <c r="AN287" s="1" t="str">
        <f>IF(SUMIF(vendaAno[data],SituaçãoEstoqueFluxo[[#This Row],[data]],vendaAno[estoque])=0,"Algo errado",IF(AND(AX287/AW287&gt;0,AX287/AW287&lt;=1),"Alerta",IF(AND(AX287/AW287&gt;1,AX287/AW287&lt;=1.5),"Fazer pedido",IF(AND(AX287/AW287&gt;1.5,AX287/AW287&lt;=2),"Ok",IF(AND(AX287/AW287&gt;2,AX287/AW287&lt;=2.5),"Estabilizando",IF(AND(AX287/AW287&gt;2.5,AX287/AW287&lt;=3),"Cheio","Abaixar preço"))))))</f>
        <v>Algo errado</v>
      </c>
      <c r="AO28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7" s="116">
        <f t="shared" si="15"/>
        <v>45947</v>
      </c>
      <c r="AQ28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7" s="82" cm="1">
        <f t="array" aca="1" ref="AV28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7" s="82" cm="1">
        <f t="array" aca="1" ref="AW28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7" s="82">
        <f>SUM(FluxoEstoqueDateTime[[#This Row],[OVO BRANCO A]:[OVO BRANCO JUMBO]])</f>
        <v>0</v>
      </c>
    </row>
    <row r="288" spans="1:50" x14ac:dyDescent="0.25">
      <c r="A288" s="4" t="s">
        <v>20</v>
      </c>
      <c r="B288" s="55" t="s">
        <v>12</v>
      </c>
      <c r="C288" s="5">
        <v>1</v>
      </c>
      <c r="D288" s="56">
        <v>16</v>
      </c>
      <c r="E288" s="56">
        <v>16</v>
      </c>
      <c r="F288" s="157">
        <v>46171</v>
      </c>
      <c r="G288" s="4" t="s">
        <v>83</v>
      </c>
      <c r="H288" s="4" t="s">
        <v>147</v>
      </c>
      <c r="I288" s="153">
        <v>2.17</v>
      </c>
      <c r="J288" s="12">
        <v>0.13541666666666663</v>
      </c>
      <c r="Z288" s="116">
        <f t="shared" si="13"/>
        <v>45946</v>
      </c>
      <c r="AA28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8" s="116">
        <f t="shared" si="14"/>
        <v>45946</v>
      </c>
      <c r="AI288" s="1" t="str" cm="1">
        <f t="array" ref="AI288">IFERROR(_xlfn.IFS(AQ288="","Sem Produto",AND(AQ288/(AA288/12)&gt;0,AQ288/(AA288/12)&lt;=2),"Acabando",AND(AQ288/(AA288/12)&gt;2,AQ288/(AA288/12)&lt;=3),"Fazer Pedido",AND(AQ288/(AA288/12)&gt;3,AQ288/(AA288/12)&lt;=7),"OK",AND(AQ288/(AA288/12)&gt;7,AQ288/(AA288/12)&lt;=14),"Abaixar Preço",AND(AQ288/(AA288/12)&gt;14,AQ288/(AA288/12)&lt;=20),"Estabilizando",AQ288/(AA288/12)&gt;20,"Instavel"),"Instavel")</f>
        <v>Sem Produto</v>
      </c>
      <c r="AJ288" s="1" t="str" cm="1">
        <f t="array" ref="AJ288">IFERROR(_xlfn.IFS(AR288="","Sem Produto",AND(AR288/(AB288/12)&gt;0,AR288/(AB288/12)&lt;=2),"Acabando",AND(AR288/(AB288/12)&gt;2,AR288/(AB288/12)&lt;=3),"Fazer Pedido",AND(AR288/(AB288/12)&gt;3,AR288/(AB288/12)&lt;=7),"OK",AND(AR288/(AB288/12)&gt;7,AR288/(AB288/12)&lt;=14),"Abaixar Preço",AND(AR288/(AB288/12)&gt;14,AR288/(AB288/12)&lt;=20),"Estabilizando",AR288/(AB288/12)&gt;20,"Instavel"),"Instavel")</f>
        <v>Sem Produto</v>
      </c>
      <c r="AK288" s="1" t="str" cm="1">
        <f t="array" ref="AK288">IFERROR(_xlfn.IFS(AS288="","Sem Produto",AND(AS288/(AC288/12)&gt;0,AS288/(AC288/12)&lt;=2),"Acabando",AND(AS288/(AC288/12)&gt;2,AS288/(AC288/12)&lt;=3),"Fazer Pedido",AND(AS288/(AC288/12)&gt;3,AS288/(AC288/12)&lt;=7),"OK",AND(AS288/(AC288/12)&gt;7,AS288/(AC288/12)&lt;=14),"Abaixar Preço",AND(AS288/(AC288/12)&gt;14,AS288/(AC288/12)&lt;=20),"Estabilizando",AS288/(AC288/12)&gt;20,"Instavel"),"Instavel")</f>
        <v>Sem Produto</v>
      </c>
      <c r="AL288" s="1" t="str" cm="1">
        <f t="array" ref="AL288">IFERROR(_xlfn.IFS(AT288="","Sem Produto",AND(AT288/(AD288/12)&gt;0,AT288/(AD288/12)&lt;=2),"Acabando",AND(AT288/(AD288/12)&gt;2,AT288/(AD288/12)&lt;=3),"Fazer Pedido",AND(AT288/(AD288/12)&gt;3,AT288/(AD288/12)&lt;=7),"OK",AND(AT288/(AD288/12)&gt;7,AT288/(AD288/12)&lt;=14),"Abaixar Preço",AND(AT288/(AD288/12)&gt;14,AT288/(AD288/12)&lt;=20),"Estabilizando",AT288/(AD288/12)&gt;20,"Instavel"),"Instavel")</f>
        <v>Sem Produto</v>
      </c>
      <c r="AM288" s="1" t="str" cm="1">
        <f t="array" ref="AM288">IFERROR(_xlfn.IFS(AU288="","Sem Produto",AND(AU288/(AE288/12)&gt;0,AU288/(AE288/12)&lt;=2),"Acabando",AND(AU288/(AE288/12)&gt;2,AU288/(AE288/12)&lt;=3),"Fazer Pedido",AND(AU288/(AE288/12)&gt;3,AU288/(AE288/12)&lt;=7),"OK",AND(AU288/(AE288/12)&gt;7,AU288/(AE288/12)&lt;=14),"Abaixar Preço",AND(AU288/(AE288/12)&gt;14,AU288/(AE288/12)&lt;=20),"Estabilizando",AU288/(AE288/12)&gt;20,"Instavel"),"Instavel")</f>
        <v>Sem Produto</v>
      </c>
      <c r="AN288" s="1" t="str">
        <f>IF(SUMIF(vendaAno[data],SituaçãoEstoqueFluxo[[#This Row],[data]],vendaAno[estoque])=0,"Algo errado",IF(AND(AX288/AW288&gt;0,AX288/AW288&lt;=1),"Alerta",IF(AND(AX288/AW288&gt;1,AX288/AW288&lt;=1.5),"Fazer pedido",IF(AND(AX288/AW288&gt;1.5,AX288/AW288&lt;=2),"Ok",IF(AND(AX288/AW288&gt;2,AX288/AW288&lt;=2.5),"Estabilizando",IF(AND(AX288/AW288&gt;2.5,AX288/AW288&lt;=3),"Cheio","Abaixar preço"))))))</f>
        <v>Algo errado</v>
      </c>
      <c r="AO28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8" s="116">
        <f t="shared" si="15"/>
        <v>45946</v>
      </c>
      <c r="AQ28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8" s="82" cm="1">
        <f t="array" aca="1" ref="AV28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8" s="82" cm="1">
        <f t="array" aca="1" ref="AW28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8" s="82">
        <f>SUM(FluxoEstoqueDateTime[[#This Row],[OVO BRANCO A]:[OVO BRANCO JUMBO]])</f>
        <v>0</v>
      </c>
    </row>
    <row r="289" spans="1:50" x14ac:dyDescent="0.25">
      <c r="A289" s="4" t="s">
        <v>20</v>
      </c>
      <c r="B289" s="55" t="s">
        <v>11</v>
      </c>
      <c r="C289" s="5">
        <v>2</v>
      </c>
      <c r="D289" s="56">
        <v>18</v>
      </c>
      <c r="E289" s="56">
        <v>36</v>
      </c>
      <c r="F289" s="157">
        <v>46171</v>
      </c>
      <c r="G289" s="4" t="s">
        <v>83</v>
      </c>
      <c r="H289" s="4" t="s">
        <v>147</v>
      </c>
      <c r="I289" s="153">
        <v>6</v>
      </c>
      <c r="J289" s="12">
        <v>0.16666666666666666</v>
      </c>
      <c r="Z289" s="116">
        <f t="shared" si="13"/>
        <v>45945</v>
      </c>
      <c r="AA28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8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8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8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8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8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8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89" s="116">
        <f t="shared" si="14"/>
        <v>45945</v>
      </c>
      <c r="AI289" s="1" t="str" cm="1">
        <f t="array" ref="AI289">IFERROR(_xlfn.IFS(AQ289="","Sem Produto",AND(AQ289/(AA289/12)&gt;0,AQ289/(AA289/12)&lt;=2),"Acabando",AND(AQ289/(AA289/12)&gt;2,AQ289/(AA289/12)&lt;=3),"Fazer Pedido",AND(AQ289/(AA289/12)&gt;3,AQ289/(AA289/12)&lt;=7),"OK",AND(AQ289/(AA289/12)&gt;7,AQ289/(AA289/12)&lt;=14),"Abaixar Preço",AND(AQ289/(AA289/12)&gt;14,AQ289/(AA289/12)&lt;=20),"Estabilizando",AQ289/(AA289/12)&gt;20,"Instavel"),"Instavel")</f>
        <v>Sem Produto</v>
      </c>
      <c r="AJ289" s="1" t="str" cm="1">
        <f t="array" ref="AJ289">IFERROR(_xlfn.IFS(AR289="","Sem Produto",AND(AR289/(AB289/12)&gt;0,AR289/(AB289/12)&lt;=2),"Acabando",AND(AR289/(AB289/12)&gt;2,AR289/(AB289/12)&lt;=3),"Fazer Pedido",AND(AR289/(AB289/12)&gt;3,AR289/(AB289/12)&lt;=7),"OK",AND(AR289/(AB289/12)&gt;7,AR289/(AB289/12)&lt;=14),"Abaixar Preço",AND(AR289/(AB289/12)&gt;14,AR289/(AB289/12)&lt;=20),"Estabilizando",AR289/(AB289/12)&gt;20,"Instavel"),"Instavel")</f>
        <v>Sem Produto</v>
      </c>
      <c r="AK289" s="1" t="str" cm="1">
        <f t="array" ref="AK289">IFERROR(_xlfn.IFS(AS289="","Sem Produto",AND(AS289/(AC289/12)&gt;0,AS289/(AC289/12)&lt;=2),"Acabando",AND(AS289/(AC289/12)&gt;2,AS289/(AC289/12)&lt;=3),"Fazer Pedido",AND(AS289/(AC289/12)&gt;3,AS289/(AC289/12)&lt;=7),"OK",AND(AS289/(AC289/12)&gt;7,AS289/(AC289/12)&lt;=14),"Abaixar Preço",AND(AS289/(AC289/12)&gt;14,AS289/(AC289/12)&lt;=20),"Estabilizando",AS289/(AC289/12)&gt;20,"Instavel"),"Instavel")</f>
        <v>Sem Produto</v>
      </c>
      <c r="AL289" s="1" t="str" cm="1">
        <f t="array" ref="AL289">IFERROR(_xlfn.IFS(AT289="","Sem Produto",AND(AT289/(AD289/12)&gt;0,AT289/(AD289/12)&lt;=2),"Acabando",AND(AT289/(AD289/12)&gt;2,AT289/(AD289/12)&lt;=3),"Fazer Pedido",AND(AT289/(AD289/12)&gt;3,AT289/(AD289/12)&lt;=7),"OK",AND(AT289/(AD289/12)&gt;7,AT289/(AD289/12)&lt;=14),"Abaixar Preço",AND(AT289/(AD289/12)&gt;14,AT289/(AD289/12)&lt;=20),"Estabilizando",AT289/(AD289/12)&gt;20,"Instavel"),"Instavel")</f>
        <v>Sem Produto</v>
      </c>
      <c r="AM289" s="1" t="str" cm="1">
        <f t="array" ref="AM289">IFERROR(_xlfn.IFS(AU289="","Sem Produto",AND(AU289/(AE289/12)&gt;0,AU289/(AE289/12)&lt;=2),"Acabando",AND(AU289/(AE289/12)&gt;2,AU289/(AE289/12)&lt;=3),"Fazer Pedido",AND(AU289/(AE289/12)&gt;3,AU289/(AE289/12)&lt;=7),"OK",AND(AU289/(AE289/12)&gt;7,AU289/(AE289/12)&lt;=14),"Abaixar Preço",AND(AU289/(AE289/12)&gt;14,AU289/(AE289/12)&lt;=20),"Estabilizando",AU289/(AE289/12)&gt;20,"Instavel"),"Instavel")</f>
        <v>Sem Produto</v>
      </c>
      <c r="AN289" s="1" t="str">
        <f>IF(SUMIF(vendaAno[data],SituaçãoEstoqueFluxo[[#This Row],[data]],vendaAno[estoque])=0,"Algo errado",IF(AND(AX289/AW289&gt;0,AX289/AW289&lt;=1),"Alerta",IF(AND(AX289/AW289&gt;1,AX289/AW289&lt;=1.5),"Fazer pedido",IF(AND(AX289/AW289&gt;1.5,AX289/AW289&lt;=2),"Ok",IF(AND(AX289/AW289&gt;2,AX289/AW289&lt;=2.5),"Estabilizando",IF(AND(AX289/AW289&gt;2.5,AX289/AW289&lt;=3),"Cheio","Abaixar preço"))))))</f>
        <v>Algo errado</v>
      </c>
      <c r="AO28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89" s="116">
        <f t="shared" si="15"/>
        <v>45945</v>
      </c>
      <c r="AQ28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8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8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8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8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89" s="82" cm="1">
        <f t="array" aca="1" ref="AV28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89" s="82" cm="1">
        <f t="array" aca="1" ref="AW28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89" s="82">
        <f>SUM(FluxoEstoqueDateTime[[#This Row],[OVO BRANCO A]:[OVO BRANCO JUMBO]])</f>
        <v>0</v>
      </c>
    </row>
    <row r="290" spans="1:50" x14ac:dyDescent="0.25">
      <c r="A290" s="4" t="s">
        <v>20</v>
      </c>
      <c r="B290" s="55" t="s">
        <v>10</v>
      </c>
      <c r="C290" s="5">
        <v>1</v>
      </c>
      <c r="D290" s="56">
        <v>19</v>
      </c>
      <c r="E290" s="56">
        <v>19</v>
      </c>
      <c r="F290" s="157">
        <v>46171</v>
      </c>
      <c r="G290" s="4" t="s">
        <v>83</v>
      </c>
      <c r="H290" s="4" t="s">
        <v>147</v>
      </c>
      <c r="I290" s="153">
        <v>3.4</v>
      </c>
      <c r="J290" s="12">
        <v>0.17878105682637518</v>
      </c>
      <c r="Z290" s="116">
        <f t="shared" si="13"/>
        <v>45944</v>
      </c>
      <c r="AA29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0" s="116">
        <f t="shared" si="14"/>
        <v>45944</v>
      </c>
      <c r="AI290" s="1" t="str" cm="1">
        <f t="array" ref="AI290">IFERROR(_xlfn.IFS(AQ290="","Sem Produto",AND(AQ290/(AA290/12)&gt;0,AQ290/(AA290/12)&lt;=2),"Acabando",AND(AQ290/(AA290/12)&gt;2,AQ290/(AA290/12)&lt;=3),"Fazer Pedido",AND(AQ290/(AA290/12)&gt;3,AQ290/(AA290/12)&lt;=7),"OK",AND(AQ290/(AA290/12)&gt;7,AQ290/(AA290/12)&lt;=14),"Abaixar Preço",AND(AQ290/(AA290/12)&gt;14,AQ290/(AA290/12)&lt;=20),"Estabilizando",AQ290/(AA290/12)&gt;20,"Instavel"),"Instavel")</f>
        <v>Sem Produto</v>
      </c>
      <c r="AJ290" s="1" t="str" cm="1">
        <f t="array" ref="AJ290">IFERROR(_xlfn.IFS(AR290="","Sem Produto",AND(AR290/(AB290/12)&gt;0,AR290/(AB290/12)&lt;=2),"Acabando",AND(AR290/(AB290/12)&gt;2,AR290/(AB290/12)&lt;=3),"Fazer Pedido",AND(AR290/(AB290/12)&gt;3,AR290/(AB290/12)&lt;=7),"OK",AND(AR290/(AB290/12)&gt;7,AR290/(AB290/12)&lt;=14),"Abaixar Preço",AND(AR290/(AB290/12)&gt;14,AR290/(AB290/12)&lt;=20),"Estabilizando",AR290/(AB290/12)&gt;20,"Instavel"),"Instavel")</f>
        <v>Sem Produto</v>
      </c>
      <c r="AK290" s="1" t="str" cm="1">
        <f t="array" ref="AK290">IFERROR(_xlfn.IFS(AS290="","Sem Produto",AND(AS290/(AC290/12)&gt;0,AS290/(AC290/12)&lt;=2),"Acabando",AND(AS290/(AC290/12)&gt;2,AS290/(AC290/12)&lt;=3),"Fazer Pedido",AND(AS290/(AC290/12)&gt;3,AS290/(AC290/12)&lt;=7),"OK",AND(AS290/(AC290/12)&gt;7,AS290/(AC290/12)&lt;=14),"Abaixar Preço",AND(AS290/(AC290/12)&gt;14,AS290/(AC290/12)&lt;=20),"Estabilizando",AS290/(AC290/12)&gt;20,"Instavel"),"Instavel")</f>
        <v>Sem Produto</v>
      </c>
      <c r="AL290" s="1" t="str" cm="1">
        <f t="array" ref="AL290">IFERROR(_xlfn.IFS(AT290="","Sem Produto",AND(AT290/(AD290/12)&gt;0,AT290/(AD290/12)&lt;=2),"Acabando",AND(AT290/(AD290/12)&gt;2,AT290/(AD290/12)&lt;=3),"Fazer Pedido",AND(AT290/(AD290/12)&gt;3,AT290/(AD290/12)&lt;=7),"OK",AND(AT290/(AD290/12)&gt;7,AT290/(AD290/12)&lt;=14),"Abaixar Preço",AND(AT290/(AD290/12)&gt;14,AT290/(AD290/12)&lt;=20),"Estabilizando",AT290/(AD290/12)&gt;20,"Instavel"),"Instavel")</f>
        <v>Sem Produto</v>
      </c>
      <c r="AM290" s="1" t="str" cm="1">
        <f t="array" ref="AM290">IFERROR(_xlfn.IFS(AU290="","Sem Produto",AND(AU290/(AE290/12)&gt;0,AU290/(AE290/12)&lt;=2),"Acabando",AND(AU290/(AE290/12)&gt;2,AU290/(AE290/12)&lt;=3),"Fazer Pedido",AND(AU290/(AE290/12)&gt;3,AU290/(AE290/12)&lt;=7),"OK",AND(AU290/(AE290/12)&gt;7,AU290/(AE290/12)&lt;=14),"Abaixar Preço",AND(AU290/(AE290/12)&gt;14,AU290/(AE290/12)&lt;=20),"Estabilizando",AU290/(AE290/12)&gt;20,"Instavel"),"Instavel")</f>
        <v>Sem Produto</v>
      </c>
      <c r="AN290" s="1" t="str">
        <f>IF(SUMIF(vendaAno[data],SituaçãoEstoqueFluxo[[#This Row],[data]],vendaAno[estoque])=0,"Algo errado",IF(AND(AX290/AW290&gt;0,AX290/AW290&lt;=1),"Alerta",IF(AND(AX290/AW290&gt;1,AX290/AW290&lt;=1.5),"Fazer pedido",IF(AND(AX290/AW290&gt;1.5,AX290/AW290&lt;=2),"Ok",IF(AND(AX290/AW290&gt;2,AX290/AW290&lt;=2.5),"Estabilizando",IF(AND(AX290/AW290&gt;2.5,AX290/AW290&lt;=3),"Cheio","Abaixar preço"))))))</f>
        <v>Algo errado</v>
      </c>
      <c r="AO29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0" s="116">
        <f t="shared" si="15"/>
        <v>45944</v>
      </c>
      <c r="AQ29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0" s="82" cm="1">
        <f t="array" aca="1" ref="AV29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0" s="82" cm="1">
        <f t="array" aca="1" ref="AW29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0" s="82">
        <f>SUM(FluxoEstoqueDateTime[[#This Row],[OVO BRANCO A]:[OVO BRANCO JUMBO]])</f>
        <v>0</v>
      </c>
    </row>
    <row r="291" spans="1:50" x14ac:dyDescent="0.25">
      <c r="A291" s="4" t="s">
        <v>20</v>
      </c>
      <c r="B291" s="55" t="s">
        <v>14</v>
      </c>
      <c r="C291" s="5">
        <v>6</v>
      </c>
      <c r="D291" s="56">
        <v>22</v>
      </c>
      <c r="E291" s="56">
        <v>132</v>
      </c>
      <c r="F291" s="157">
        <v>46170</v>
      </c>
      <c r="G291" s="4" t="s">
        <v>294</v>
      </c>
      <c r="H291" s="4" t="s">
        <v>147</v>
      </c>
      <c r="I291" s="153">
        <v>27.53</v>
      </c>
      <c r="J291" s="12">
        <v>0.20852683708696354</v>
      </c>
      <c r="Z291" s="116">
        <f t="shared" si="13"/>
        <v>45943</v>
      </c>
      <c r="AA29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1" s="116">
        <f t="shared" si="14"/>
        <v>45943</v>
      </c>
      <c r="AI291" s="1" t="str" cm="1">
        <f t="array" ref="AI291">IFERROR(_xlfn.IFS(AQ291="","Sem Produto",AND(AQ291/(AA291/12)&gt;0,AQ291/(AA291/12)&lt;=2),"Acabando",AND(AQ291/(AA291/12)&gt;2,AQ291/(AA291/12)&lt;=3),"Fazer Pedido",AND(AQ291/(AA291/12)&gt;3,AQ291/(AA291/12)&lt;=7),"OK",AND(AQ291/(AA291/12)&gt;7,AQ291/(AA291/12)&lt;=14),"Abaixar Preço",AND(AQ291/(AA291/12)&gt;14,AQ291/(AA291/12)&lt;=20),"Estabilizando",AQ291/(AA291/12)&gt;20,"Instavel"),"Instavel")</f>
        <v>Sem Produto</v>
      </c>
      <c r="AJ291" s="1" t="str" cm="1">
        <f t="array" ref="AJ291">IFERROR(_xlfn.IFS(AR291="","Sem Produto",AND(AR291/(AB291/12)&gt;0,AR291/(AB291/12)&lt;=2),"Acabando",AND(AR291/(AB291/12)&gt;2,AR291/(AB291/12)&lt;=3),"Fazer Pedido",AND(AR291/(AB291/12)&gt;3,AR291/(AB291/12)&lt;=7),"OK",AND(AR291/(AB291/12)&gt;7,AR291/(AB291/12)&lt;=14),"Abaixar Preço",AND(AR291/(AB291/12)&gt;14,AR291/(AB291/12)&lt;=20),"Estabilizando",AR291/(AB291/12)&gt;20,"Instavel"),"Instavel")</f>
        <v>Sem Produto</v>
      </c>
      <c r="AK291" s="1" t="str" cm="1">
        <f t="array" ref="AK291">IFERROR(_xlfn.IFS(AS291="","Sem Produto",AND(AS291/(AC291/12)&gt;0,AS291/(AC291/12)&lt;=2),"Acabando",AND(AS291/(AC291/12)&gt;2,AS291/(AC291/12)&lt;=3),"Fazer Pedido",AND(AS291/(AC291/12)&gt;3,AS291/(AC291/12)&lt;=7),"OK",AND(AS291/(AC291/12)&gt;7,AS291/(AC291/12)&lt;=14),"Abaixar Preço",AND(AS291/(AC291/12)&gt;14,AS291/(AC291/12)&lt;=20),"Estabilizando",AS291/(AC291/12)&gt;20,"Instavel"),"Instavel")</f>
        <v>Sem Produto</v>
      </c>
      <c r="AL291" s="1" t="str" cm="1">
        <f t="array" ref="AL291">IFERROR(_xlfn.IFS(AT291="","Sem Produto",AND(AT291/(AD291/12)&gt;0,AT291/(AD291/12)&lt;=2),"Acabando",AND(AT291/(AD291/12)&gt;2,AT291/(AD291/12)&lt;=3),"Fazer Pedido",AND(AT291/(AD291/12)&gt;3,AT291/(AD291/12)&lt;=7),"OK",AND(AT291/(AD291/12)&gt;7,AT291/(AD291/12)&lt;=14),"Abaixar Preço",AND(AT291/(AD291/12)&gt;14,AT291/(AD291/12)&lt;=20),"Estabilizando",AT291/(AD291/12)&gt;20,"Instavel"),"Instavel")</f>
        <v>Sem Produto</v>
      </c>
      <c r="AM291" s="1" t="str" cm="1">
        <f t="array" ref="AM291">IFERROR(_xlfn.IFS(AU291="","Sem Produto",AND(AU291/(AE291/12)&gt;0,AU291/(AE291/12)&lt;=2),"Acabando",AND(AU291/(AE291/12)&gt;2,AU291/(AE291/12)&lt;=3),"Fazer Pedido",AND(AU291/(AE291/12)&gt;3,AU291/(AE291/12)&lt;=7),"OK",AND(AU291/(AE291/12)&gt;7,AU291/(AE291/12)&lt;=14),"Abaixar Preço",AND(AU291/(AE291/12)&gt;14,AU291/(AE291/12)&lt;=20),"Estabilizando",AU291/(AE291/12)&gt;20,"Instavel"),"Instavel")</f>
        <v>Sem Produto</v>
      </c>
      <c r="AN291" s="1" t="str">
        <f>IF(SUMIF(vendaAno[data],SituaçãoEstoqueFluxo[[#This Row],[data]],vendaAno[estoque])=0,"Algo errado",IF(AND(AX291/AW291&gt;0,AX291/AW291&lt;=1),"Alerta",IF(AND(AX291/AW291&gt;1,AX291/AW291&lt;=1.5),"Fazer pedido",IF(AND(AX291/AW291&gt;1.5,AX291/AW291&lt;=2),"Ok",IF(AND(AX291/AW291&gt;2,AX291/AW291&lt;=2.5),"Estabilizando",IF(AND(AX291/AW291&gt;2.5,AX291/AW291&lt;=3),"Cheio","Abaixar preço"))))))</f>
        <v>Algo errado</v>
      </c>
      <c r="AO29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1" s="116">
        <f t="shared" si="15"/>
        <v>45943</v>
      </c>
      <c r="AQ29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1" s="82" cm="1">
        <f t="array" aca="1" ref="AV29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1" s="82" cm="1">
        <f t="array" aca="1" ref="AW29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1" s="82">
        <f>SUM(FluxoEstoqueDateTime[[#This Row],[OVO BRANCO A]:[OVO BRANCO JUMBO]])</f>
        <v>0</v>
      </c>
    </row>
    <row r="292" spans="1:50" x14ac:dyDescent="0.25">
      <c r="A292" s="4" t="s">
        <v>20</v>
      </c>
      <c r="B292" s="55" t="s">
        <v>13</v>
      </c>
      <c r="C292" s="5">
        <v>6</v>
      </c>
      <c r="D292" s="56">
        <v>20</v>
      </c>
      <c r="E292" s="56">
        <v>120</v>
      </c>
      <c r="F292" s="157">
        <v>46170</v>
      </c>
      <c r="G292" s="4" t="s">
        <v>294</v>
      </c>
      <c r="H292" s="4" t="s">
        <v>147</v>
      </c>
      <c r="I292" s="153">
        <v>21.76</v>
      </c>
      <c r="J292" s="12">
        <v>0.18132716049382705</v>
      </c>
      <c r="Z292" s="116">
        <f t="shared" si="13"/>
        <v>45942</v>
      </c>
      <c r="AA29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2" s="116">
        <f t="shared" si="14"/>
        <v>45942</v>
      </c>
      <c r="AI292" s="1" t="str" cm="1">
        <f t="array" ref="AI292">IFERROR(_xlfn.IFS(AQ292="","Sem Produto",AND(AQ292/(AA292/12)&gt;0,AQ292/(AA292/12)&lt;=2),"Acabando",AND(AQ292/(AA292/12)&gt;2,AQ292/(AA292/12)&lt;=3),"Fazer Pedido",AND(AQ292/(AA292/12)&gt;3,AQ292/(AA292/12)&lt;=7),"OK",AND(AQ292/(AA292/12)&gt;7,AQ292/(AA292/12)&lt;=14),"Abaixar Preço",AND(AQ292/(AA292/12)&gt;14,AQ292/(AA292/12)&lt;=20),"Estabilizando",AQ292/(AA292/12)&gt;20,"Instavel"),"Instavel")</f>
        <v>Sem Produto</v>
      </c>
      <c r="AJ292" s="1" t="str" cm="1">
        <f t="array" ref="AJ292">IFERROR(_xlfn.IFS(AR292="","Sem Produto",AND(AR292/(AB292/12)&gt;0,AR292/(AB292/12)&lt;=2),"Acabando",AND(AR292/(AB292/12)&gt;2,AR292/(AB292/12)&lt;=3),"Fazer Pedido",AND(AR292/(AB292/12)&gt;3,AR292/(AB292/12)&lt;=7),"OK",AND(AR292/(AB292/12)&gt;7,AR292/(AB292/12)&lt;=14),"Abaixar Preço",AND(AR292/(AB292/12)&gt;14,AR292/(AB292/12)&lt;=20),"Estabilizando",AR292/(AB292/12)&gt;20,"Instavel"),"Instavel")</f>
        <v>Sem Produto</v>
      </c>
      <c r="AK292" s="1" t="str" cm="1">
        <f t="array" ref="AK292">IFERROR(_xlfn.IFS(AS292="","Sem Produto",AND(AS292/(AC292/12)&gt;0,AS292/(AC292/12)&lt;=2),"Acabando",AND(AS292/(AC292/12)&gt;2,AS292/(AC292/12)&lt;=3),"Fazer Pedido",AND(AS292/(AC292/12)&gt;3,AS292/(AC292/12)&lt;=7),"OK",AND(AS292/(AC292/12)&gt;7,AS292/(AC292/12)&lt;=14),"Abaixar Preço",AND(AS292/(AC292/12)&gt;14,AS292/(AC292/12)&lt;=20),"Estabilizando",AS292/(AC292/12)&gt;20,"Instavel"),"Instavel")</f>
        <v>Sem Produto</v>
      </c>
      <c r="AL292" s="1" t="str" cm="1">
        <f t="array" ref="AL292">IFERROR(_xlfn.IFS(AT292="","Sem Produto",AND(AT292/(AD292/12)&gt;0,AT292/(AD292/12)&lt;=2),"Acabando",AND(AT292/(AD292/12)&gt;2,AT292/(AD292/12)&lt;=3),"Fazer Pedido",AND(AT292/(AD292/12)&gt;3,AT292/(AD292/12)&lt;=7),"OK",AND(AT292/(AD292/12)&gt;7,AT292/(AD292/12)&lt;=14),"Abaixar Preço",AND(AT292/(AD292/12)&gt;14,AT292/(AD292/12)&lt;=20),"Estabilizando",AT292/(AD292/12)&gt;20,"Instavel"),"Instavel")</f>
        <v>Sem Produto</v>
      </c>
      <c r="AM292" s="1" t="str" cm="1">
        <f t="array" ref="AM292">IFERROR(_xlfn.IFS(AU292="","Sem Produto",AND(AU292/(AE292/12)&gt;0,AU292/(AE292/12)&lt;=2),"Acabando",AND(AU292/(AE292/12)&gt;2,AU292/(AE292/12)&lt;=3),"Fazer Pedido",AND(AU292/(AE292/12)&gt;3,AU292/(AE292/12)&lt;=7),"OK",AND(AU292/(AE292/12)&gt;7,AU292/(AE292/12)&lt;=14),"Abaixar Preço",AND(AU292/(AE292/12)&gt;14,AU292/(AE292/12)&lt;=20),"Estabilizando",AU292/(AE292/12)&gt;20,"Instavel"),"Instavel")</f>
        <v>Sem Produto</v>
      </c>
      <c r="AN292" s="1" t="str">
        <f>IF(SUMIF(vendaAno[data],SituaçãoEstoqueFluxo[[#This Row],[data]],vendaAno[estoque])=0,"Algo errado",IF(AND(AX292/AW292&gt;0,AX292/AW292&lt;=1),"Alerta",IF(AND(AX292/AW292&gt;1,AX292/AW292&lt;=1.5),"Fazer pedido",IF(AND(AX292/AW292&gt;1.5,AX292/AW292&lt;=2),"Ok",IF(AND(AX292/AW292&gt;2,AX292/AW292&lt;=2.5),"Estabilizando",IF(AND(AX292/AW292&gt;2.5,AX292/AW292&lt;=3),"Cheio","Abaixar preço"))))))</f>
        <v>Algo errado</v>
      </c>
      <c r="AO29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2" s="116">
        <f t="shared" si="15"/>
        <v>45942</v>
      </c>
      <c r="AQ29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2" s="82" cm="1">
        <f t="array" aca="1" ref="AV29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2" s="82" cm="1">
        <f t="array" aca="1" ref="AW29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2" s="82">
        <f>SUM(FluxoEstoqueDateTime[[#This Row],[OVO BRANCO A]:[OVO BRANCO JUMBO]])</f>
        <v>0</v>
      </c>
    </row>
    <row r="293" spans="1:50" x14ac:dyDescent="0.25">
      <c r="A293" s="4" t="s">
        <v>20</v>
      </c>
      <c r="B293" s="55" t="s">
        <v>12</v>
      </c>
      <c r="C293" s="5">
        <v>3</v>
      </c>
      <c r="D293" s="56">
        <v>16</v>
      </c>
      <c r="E293" s="56">
        <v>48</v>
      </c>
      <c r="F293" s="157">
        <v>46170</v>
      </c>
      <c r="G293" s="4" t="s">
        <v>294</v>
      </c>
      <c r="H293" s="4" t="s">
        <v>147</v>
      </c>
      <c r="I293" s="153">
        <v>6.5</v>
      </c>
      <c r="J293" s="12">
        <v>0.13541666666666663</v>
      </c>
      <c r="Z293" s="116">
        <f t="shared" si="13"/>
        <v>45941</v>
      </c>
      <c r="AA29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3" s="116">
        <f t="shared" si="14"/>
        <v>45941</v>
      </c>
      <c r="AI293" s="1" t="str" cm="1">
        <f t="array" ref="AI293">IFERROR(_xlfn.IFS(AQ293="","Sem Produto",AND(AQ293/(AA293/12)&gt;0,AQ293/(AA293/12)&lt;=2),"Acabando",AND(AQ293/(AA293/12)&gt;2,AQ293/(AA293/12)&lt;=3),"Fazer Pedido",AND(AQ293/(AA293/12)&gt;3,AQ293/(AA293/12)&lt;=7),"OK",AND(AQ293/(AA293/12)&gt;7,AQ293/(AA293/12)&lt;=14),"Abaixar Preço",AND(AQ293/(AA293/12)&gt;14,AQ293/(AA293/12)&lt;=20),"Estabilizando",AQ293/(AA293/12)&gt;20,"Instavel"),"Instavel")</f>
        <v>Sem Produto</v>
      </c>
      <c r="AJ293" s="1" t="str" cm="1">
        <f t="array" ref="AJ293">IFERROR(_xlfn.IFS(AR293="","Sem Produto",AND(AR293/(AB293/12)&gt;0,AR293/(AB293/12)&lt;=2),"Acabando",AND(AR293/(AB293/12)&gt;2,AR293/(AB293/12)&lt;=3),"Fazer Pedido",AND(AR293/(AB293/12)&gt;3,AR293/(AB293/12)&lt;=7),"OK",AND(AR293/(AB293/12)&gt;7,AR293/(AB293/12)&lt;=14),"Abaixar Preço",AND(AR293/(AB293/12)&gt;14,AR293/(AB293/12)&lt;=20),"Estabilizando",AR293/(AB293/12)&gt;20,"Instavel"),"Instavel")</f>
        <v>Sem Produto</v>
      </c>
      <c r="AK293" s="1" t="str" cm="1">
        <f t="array" ref="AK293">IFERROR(_xlfn.IFS(AS293="","Sem Produto",AND(AS293/(AC293/12)&gt;0,AS293/(AC293/12)&lt;=2),"Acabando",AND(AS293/(AC293/12)&gt;2,AS293/(AC293/12)&lt;=3),"Fazer Pedido",AND(AS293/(AC293/12)&gt;3,AS293/(AC293/12)&lt;=7),"OK",AND(AS293/(AC293/12)&gt;7,AS293/(AC293/12)&lt;=14),"Abaixar Preço",AND(AS293/(AC293/12)&gt;14,AS293/(AC293/12)&lt;=20),"Estabilizando",AS293/(AC293/12)&gt;20,"Instavel"),"Instavel")</f>
        <v>Sem Produto</v>
      </c>
      <c r="AL293" s="1" t="str" cm="1">
        <f t="array" ref="AL293">IFERROR(_xlfn.IFS(AT293="","Sem Produto",AND(AT293/(AD293/12)&gt;0,AT293/(AD293/12)&lt;=2),"Acabando",AND(AT293/(AD293/12)&gt;2,AT293/(AD293/12)&lt;=3),"Fazer Pedido",AND(AT293/(AD293/12)&gt;3,AT293/(AD293/12)&lt;=7),"OK",AND(AT293/(AD293/12)&gt;7,AT293/(AD293/12)&lt;=14),"Abaixar Preço",AND(AT293/(AD293/12)&gt;14,AT293/(AD293/12)&lt;=20),"Estabilizando",AT293/(AD293/12)&gt;20,"Instavel"),"Instavel")</f>
        <v>Sem Produto</v>
      </c>
      <c r="AM293" s="1" t="str" cm="1">
        <f t="array" ref="AM293">IFERROR(_xlfn.IFS(AU293="","Sem Produto",AND(AU293/(AE293/12)&gt;0,AU293/(AE293/12)&lt;=2),"Acabando",AND(AU293/(AE293/12)&gt;2,AU293/(AE293/12)&lt;=3),"Fazer Pedido",AND(AU293/(AE293/12)&gt;3,AU293/(AE293/12)&lt;=7),"OK",AND(AU293/(AE293/12)&gt;7,AU293/(AE293/12)&lt;=14),"Abaixar Preço",AND(AU293/(AE293/12)&gt;14,AU293/(AE293/12)&lt;=20),"Estabilizando",AU293/(AE293/12)&gt;20,"Instavel"),"Instavel")</f>
        <v>Sem Produto</v>
      </c>
      <c r="AN293" s="1" t="str">
        <f>IF(SUMIF(vendaAno[data],SituaçãoEstoqueFluxo[[#This Row],[data]],vendaAno[estoque])=0,"Algo errado",IF(AND(AX293/AW293&gt;0,AX293/AW293&lt;=1),"Alerta",IF(AND(AX293/AW293&gt;1,AX293/AW293&lt;=1.5),"Fazer pedido",IF(AND(AX293/AW293&gt;1.5,AX293/AW293&lt;=2),"Ok",IF(AND(AX293/AW293&gt;2,AX293/AW293&lt;=2.5),"Estabilizando",IF(AND(AX293/AW293&gt;2.5,AX293/AW293&lt;=3),"Cheio","Abaixar preço"))))))</f>
        <v>Algo errado</v>
      </c>
      <c r="AO29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3" s="116">
        <f t="shared" si="15"/>
        <v>45941</v>
      </c>
      <c r="AQ29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3" s="82" cm="1">
        <f t="array" aca="1" ref="AV29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3" s="82" cm="1">
        <f t="array" aca="1" ref="AW29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3" s="82">
        <f>SUM(FluxoEstoqueDateTime[[#This Row],[OVO BRANCO A]:[OVO BRANCO JUMBO]])</f>
        <v>0</v>
      </c>
    </row>
    <row r="294" spans="1:50" x14ac:dyDescent="0.25">
      <c r="A294" s="4" t="s">
        <v>20</v>
      </c>
      <c r="B294" s="55" t="s">
        <v>11</v>
      </c>
      <c r="C294" s="5">
        <v>2</v>
      </c>
      <c r="D294" s="56">
        <v>18</v>
      </c>
      <c r="E294" s="56">
        <v>36</v>
      </c>
      <c r="F294" s="157">
        <v>46170</v>
      </c>
      <c r="G294" s="4" t="s">
        <v>294</v>
      </c>
      <c r="H294" s="4" t="s">
        <v>147</v>
      </c>
      <c r="I294" s="153">
        <v>6</v>
      </c>
      <c r="J294" s="12">
        <v>0.16666666666666666</v>
      </c>
      <c r="Z294" s="116">
        <f t="shared" si="13"/>
        <v>45940</v>
      </c>
      <c r="AA29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4" s="116">
        <f t="shared" si="14"/>
        <v>45940</v>
      </c>
      <c r="AI294" s="1" t="str" cm="1">
        <f t="array" ref="AI294">IFERROR(_xlfn.IFS(AQ294="","Sem Produto",AND(AQ294/(AA294/12)&gt;0,AQ294/(AA294/12)&lt;=2),"Acabando",AND(AQ294/(AA294/12)&gt;2,AQ294/(AA294/12)&lt;=3),"Fazer Pedido",AND(AQ294/(AA294/12)&gt;3,AQ294/(AA294/12)&lt;=7),"OK",AND(AQ294/(AA294/12)&gt;7,AQ294/(AA294/12)&lt;=14),"Abaixar Preço",AND(AQ294/(AA294/12)&gt;14,AQ294/(AA294/12)&lt;=20),"Estabilizando",AQ294/(AA294/12)&gt;20,"Instavel"),"Instavel")</f>
        <v>Sem Produto</v>
      </c>
      <c r="AJ294" s="1" t="str" cm="1">
        <f t="array" ref="AJ294">IFERROR(_xlfn.IFS(AR294="","Sem Produto",AND(AR294/(AB294/12)&gt;0,AR294/(AB294/12)&lt;=2),"Acabando",AND(AR294/(AB294/12)&gt;2,AR294/(AB294/12)&lt;=3),"Fazer Pedido",AND(AR294/(AB294/12)&gt;3,AR294/(AB294/12)&lt;=7),"OK",AND(AR294/(AB294/12)&gt;7,AR294/(AB294/12)&lt;=14),"Abaixar Preço",AND(AR294/(AB294/12)&gt;14,AR294/(AB294/12)&lt;=20),"Estabilizando",AR294/(AB294/12)&gt;20,"Instavel"),"Instavel")</f>
        <v>Sem Produto</v>
      </c>
      <c r="AK294" s="1" t="str" cm="1">
        <f t="array" ref="AK294">IFERROR(_xlfn.IFS(AS294="","Sem Produto",AND(AS294/(AC294/12)&gt;0,AS294/(AC294/12)&lt;=2),"Acabando",AND(AS294/(AC294/12)&gt;2,AS294/(AC294/12)&lt;=3),"Fazer Pedido",AND(AS294/(AC294/12)&gt;3,AS294/(AC294/12)&lt;=7),"OK",AND(AS294/(AC294/12)&gt;7,AS294/(AC294/12)&lt;=14),"Abaixar Preço",AND(AS294/(AC294/12)&gt;14,AS294/(AC294/12)&lt;=20),"Estabilizando",AS294/(AC294/12)&gt;20,"Instavel"),"Instavel")</f>
        <v>Sem Produto</v>
      </c>
      <c r="AL294" s="1" t="str" cm="1">
        <f t="array" ref="AL294">IFERROR(_xlfn.IFS(AT294="","Sem Produto",AND(AT294/(AD294/12)&gt;0,AT294/(AD294/12)&lt;=2),"Acabando",AND(AT294/(AD294/12)&gt;2,AT294/(AD294/12)&lt;=3),"Fazer Pedido",AND(AT294/(AD294/12)&gt;3,AT294/(AD294/12)&lt;=7),"OK",AND(AT294/(AD294/12)&gt;7,AT294/(AD294/12)&lt;=14),"Abaixar Preço",AND(AT294/(AD294/12)&gt;14,AT294/(AD294/12)&lt;=20),"Estabilizando",AT294/(AD294/12)&gt;20,"Instavel"),"Instavel")</f>
        <v>Sem Produto</v>
      </c>
      <c r="AM294" s="1" t="str" cm="1">
        <f t="array" ref="AM294">IFERROR(_xlfn.IFS(AU294="","Sem Produto",AND(AU294/(AE294/12)&gt;0,AU294/(AE294/12)&lt;=2),"Acabando",AND(AU294/(AE294/12)&gt;2,AU294/(AE294/12)&lt;=3),"Fazer Pedido",AND(AU294/(AE294/12)&gt;3,AU294/(AE294/12)&lt;=7),"OK",AND(AU294/(AE294/12)&gt;7,AU294/(AE294/12)&lt;=14),"Abaixar Preço",AND(AU294/(AE294/12)&gt;14,AU294/(AE294/12)&lt;=20),"Estabilizando",AU294/(AE294/12)&gt;20,"Instavel"),"Instavel")</f>
        <v>Sem Produto</v>
      </c>
      <c r="AN294" s="1" t="str">
        <f>IF(SUMIF(vendaAno[data],SituaçãoEstoqueFluxo[[#This Row],[data]],vendaAno[estoque])=0,"Algo errado",IF(AND(AX294/AW294&gt;0,AX294/AW294&lt;=1),"Alerta",IF(AND(AX294/AW294&gt;1,AX294/AW294&lt;=1.5),"Fazer pedido",IF(AND(AX294/AW294&gt;1.5,AX294/AW294&lt;=2),"Ok",IF(AND(AX294/AW294&gt;2,AX294/AW294&lt;=2.5),"Estabilizando",IF(AND(AX294/AW294&gt;2.5,AX294/AW294&lt;=3),"Cheio","Abaixar preço"))))))</f>
        <v>Algo errado</v>
      </c>
      <c r="AO29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4" s="116">
        <f t="shared" si="15"/>
        <v>45940</v>
      </c>
      <c r="AQ29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4" s="82" cm="1">
        <f t="array" aca="1" ref="AV29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4" s="82" cm="1">
        <f t="array" aca="1" ref="AW29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4" s="82">
        <f>SUM(FluxoEstoqueDateTime[[#This Row],[OVO BRANCO A]:[OVO BRANCO JUMBO]])</f>
        <v>0</v>
      </c>
    </row>
    <row r="295" spans="1:50" x14ac:dyDescent="0.25">
      <c r="A295" s="4" t="s">
        <v>20</v>
      </c>
      <c r="B295" s="55" t="s">
        <v>10</v>
      </c>
      <c r="C295" s="5">
        <v>17</v>
      </c>
      <c r="D295" s="56">
        <v>19</v>
      </c>
      <c r="E295" s="56">
        <v>323</v>
      </c>
      <c r="F295" s="157">
        <v>46170</v>
      </c>
      <c r="G295" s="4" t="s">
        <v>294</v>
      </c>
      <c r="H295" s="4" t="s">
        <v>147</v>
      </c>
      <c r="I295" s="153">
        <v>57.75</v>
      </c>
      <c r="J295" s="12">
        <v>0.17878105682637518</v>
      </c>
      <c r="Z295" s="116">
        <f t="shared" si="13"/>
        <v>45939</v>
      </c>
      <c r="AA29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5" s="116">
        <f t="shared" si="14"/>
        <v>45939</v>
      </c>
      <c r="AI295" s="1" t="str" cm="1">
        <f t="array" ref="AI295">IFERROR(_xlfn.IFS(AQ295="","Sem Produto",AND(AQ295/(AA295/12)&gt;0,AQ295/(AA295/12)&lt;=2),"Acabando",AND(AQ295/(AA295/12)&gt;2,AQ295/(AA295/12)&lt;=3),"Fazer Pedido",AND(AQ295/(AA295/12)&gt;3,AQ295/(AA295/12)&lt;=7),"OK",AND(AQ295/(AA295/12)&gt;7,AQ295/(AA295/12)&lt;=14),"Abaixar Preço",AND(AQ295/(AA295/12)&gt;14,AQ295/(AA295/12)&lt;=20),"Estabilizando",AQ295/(AA295/12)&gt;20,"Instavel"),"Instavel")</f>
        <v>Sem Produto</v>
      </c>
      <c r="AJ295" s="1" t="str" cm="1">
        <f t="array" ref="AJ295">IFERROR(_xlfn.IFS(AR295="","Sem Produto",AND(AR295/(AB295/12)&gt;0,AR295/(AB295/12)&lt;=2),"Acabando",AND(AR295/(AB295/12)&gt;2,AR295/(AB295/12)&lt;=3),"Fazer Pedido",AND(AR295/(AB295/12)&gt;3,AR295/(AB295/12)&lt;=7),"OK",AND(AR295/(AB295/12)&gt;7,AR295/(AB295/12)&lt;=14),"Abaixar Preço",AND(AR295/(AB295/12)&gt;14,AR295/(AB295/12)&lt;=20),"Estabilizando",AR295/(AB295/12)&gt;20,"Instavel"),"Instavel")</f>
        <v>Sem Produto</v>
      </c>
      <c r="AK295" s="1" t="str" cm="1">
        <f t="array" ref="AK295">IFERROR(_xlfn.IFS(AS295="","Sem Produto",AND(AS295/(AC295/12)&gt;0,AS295/(AC295/12)&lt;=2),"Acabando",AND(AS295/(AC295/12)&gt;2,AS295/(AC295/12)&lt;=3),"Fazer Pedido",AND(AS295/(AC295/12)&gt;3,AS295/(AC295/12)&lt;=7),"OK",AND(AS295/(AC295/12)&gt;7,AS295/(AC295/12)&lt;=14),"Abaixar Preço",AND(AS295/(AC295/12)&gt;14,AS295/(AC295/12)&lt;=20),"Estabilizando",AS295/(AC295/12)&gt;20,"Instavel"),"Instavel")</f>
        <v>Sem Produto</v>
      </c>
      <c r="AL295" s="1" t="str" cm="1">
        <f t="array" ref="AL295">IFERROR(_xlfn.IFS(AT295="","Sem Produto",AND(AT295/(AD295/12)&gt;0,AT295/(AD295/12)&lt;=2),"Acabando",AND(AT295/(AD295/12)&gt;2,AT295/(AD295/12)&lt;=3),"Fazer Pedido",AND(AT295/(AD295/12)&gt;3,AT295/(AD295/12)&lt;=7),"OK",AND(AT295/(AD295/12)&gt;7,AT295/(AD295/12)&lt;=14),"Abaixar Preço",AND(AT295/(AD295/12)&gt;14,AT295/(AD295/12)&lt;=20),"Estabilizando",AT295/(AD295/12)&gt;20,"Instavel"),"Instavel")</f>
        <v>Sem Produto</v>
      </c>
      <c r="AM295" s="1" t="str" cm="1">
        <f t="array" ref="AM295">IFERROR(_xlfn.IFS(AU295="","Sem Produto",AND(AU295/(AE295/12)&gt;0,AU295/(AE295/12)&lt;=2),"Acabando",AND(AU295/(AE295/12)&gt;2,AU295/(AE295/12)&lt;=3),"Fazer Pedido",AND(AU295/(AE295/12)&gt;3,AU295/(AE295/12)&lt;=7),"OK",AND(AU295/(AE295/12)&gt;7,AU295/(AE295/12)&lt;=14),"Abaixar Preço",AND(AU295/(AE295/12)&gt;14,AU295/(AE295/12)&lt;=20),"Estabilizando",AU295/(AE295/12)&gt;20,"Instavel"),"Instavel")</f>
        <v>Sem Produto</v>
      </c>
      <c r="AN295" s="1" t="str">
        <f>IF(SUMIF(vendaAno[data],SituaçãoEstoqueFluxo[[#This Row],[data]],vendaAno[estoque])=0,"Algo errado",IF(AND(AX295/AW295&gt;0,AX295/AW295&lt;=1),"Alerta",IF(AND(AX295/AW295&gt;1,AX295/AW295&lt;=1.5),"Fazer pedido",IF(AND(AX295/AW295&gt;1.5,AX295/AW295&lt;=2),"Ok",IF(AND(AX295/AW295&gt;2,AX295/AW295&lt;=2.5),"Estabilizando",IF(AND(AX295/AW295&gt;2.5,AX295/AW295&lt;=3),"Cheio","Abaixar preço"))))))</f>
        <v>Algo errado</v>
      </c>
      <c r="AO29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5" s="116">
        <f t="shared" si="15"/>
        <v>45939</v>
      </c>
      <c r="AQ29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5" s="82" cm="1">
        <f t="array" aca="1" ref="AV29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5" s="82" cm="1">
        <f t="array" aca="1" ref="AW29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5" s="82">
        <f>SUM(FluxoEstoqueDateTime[[#This Row],[OVO BRANCO A]:[OVO BRANCO JUMBO]])</f>
        <v>0</v>
      </c>
    </row>
    <row r="296" spans="1:50" x14ac:dyDescent="0.25">
      <c r="A296" s="4" t="s">
        <v>31</v>
      </c>
      <c r="B296" s="55" t="s">
        <v>14</v>
      </c>
      <c r="C296" s="5">
        <v>48</v>
      </c>
      <c r="D296" s="56">
        <v>210</v>
      </c>
      <c r="E296" s="56">
        <v>840</v>
      </c>
      <c r="F296" s="157">
        <v>46169</v>
      </c>
      <c r="G296" s="4" t="s">
        <v>32</v>
      </c>
      <c r="H296" s="4" t="s">
        <v>147</v>
      </c>
      <c r="I296" s="153"/>
      <c r="J296" s="12"/>
      <c r="Z296" s="116">
        <f t="shared" si="13"/>
        <v>45938</v>
      </c>
      <c r="AA29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6" s="116">
        <f t="shared" si="14"/>
        <v>45938</v>
      </c>
      <c r="AI296" s="1" t="str" cm="1">
        <f t="array" ref="AI296">IFERROR(_xlfn.IFS(AQ296="","Sem Produto",AND(AQ296/(AA296/12)&gt;0,AQ296/(AA296/12)&lt;=2),"Acabando",AND(AQ296/(AA296/12)&gt;2,AQ296/(AA296/12)&lt;=3),"Fazer Pedido",AND(AQ296/(AA296/12)&gt;3,AQ296/(AA296/12)&lt;=7),"OK",AND(AQ296/(AA296/12)&gt;7,AQ296/(AA296/12)&lt;=14),"Abaixar Preço",AND(AQ296/(AA296/12)&gt;14,AQ296/(AA296/12)&lt;=20),"Estabilizando",AQ296/(AA296/12)&gt;20,"Instavel"),"Instavel")</f>
        <v>Sem Produto</v>
      </c>
      <c r="AJ296" s="1" t="str" cm="1">
        <f t="array" ref="AJ296">IFERROR(_xlfn.IFS(AR296="","Sem Produto",AND(AR296/(AB296/12)&gt;0,AR296/(AB296/12)&lt;=2),"Acabando",AND(AR296/(AB296/12)&gt;2,AR296/(AB296/12)&lt;=3),"Fazer Pedido",AND(AR296/(AB296/12)&gt;3,AR296/(AB296/12)&lt;=7),"OK",AND(AR296/(AB296/12)&gt;7,AR296/(AB296/12)&lt;=14),"Abaixar Preço",AND(AR296/(AB296/12)&gt;14,AR296/(AB296/12)&lt;=20),"Estabilizando",AR296/(AB296/12)&gt;20,"Instavel"),"Instavel")</f>
        <v>Sem Produto</v>
      </c>
      <c r="AK296" s="1" t="str" cm="1">
        <f t="array" ref="AK296">IFERROR(_xlfn.IFS(AS296="","Sem Produto",AND(AS296/(AC296/12)&gt;0,AS296/(AC296/12)&lt;=2),"Acabando",AND(AS296/(AC296/12)&gt;2,AS296/(AC296/12)&lt;=3),"Fazer Pedido",AND(AS296/(AC296/12)&gt;3,AS296/(AC296/12)&lt;=7),"OK",AND(AS296/(AC296/12)&gt;7,AS296/(AC296/12)&lt;=14),"Abaixar Preço",AND(AS296/(AC296/12)&gt;14,AS296/(AC296/12)&lt;=20),"Estabilizando",AS296/(AC296/12)&gt;20,"Instavel"),"Instavel")</f>
        <v>Sem Produto</v>
      </c>
      <c r="AL296" s="1" t="str" cm="1">
        <f t="array" ref="AL296">IFERROR(_xlfn.IFS(AT296="","Sem Produto",AND(AT296/(AD296/12)&gt;0,AT296/(AD296/12)&lt;=2),"Acabando",AND(AT296/(AD296/12)&gt;2,AT296/(AD296/12)&lt;=3),"Fazer Pedido",AND(AT296/(AD296/12)&gt;3,AT296/(AD296/12)&lt;=7),"OK",AND(AT296/(AD296/12)&gt;7,AT296/(AD296/12)&lt;=14),"Abaixar Preço",AND(AT296/(AD296/12)&gt;14,AT296/(AD296/12)&lt;=20),"Estabilizando",AT296/(AD296/12)&gt;20,"Instavel"),"Instavel")</f>
        <v>Sem Produto</v>
      </c>
      <c r="AM296" s="1" t="str" cm="1">
        <f t="array" ref="AM296">IFERROR(_xlfn.IFS(AU296="","Sem Produto",AND(AU296/(AE296/12)&gt;0,AU296/(AE296/12)&lt;=2),"Acabando",AND(AU296/(AE296/12)&gt;2,AU296/(AE296/12)&lt;=3),"Fazer Pedido",AND(AU296/(AE296/12)&gt;3,AU296/(AE296/12)&lt;=7),"OK",AND(AU296/(AE296/12)&gt;7,AU296/(AE296/12)&lt;=14),"Abaixar Preço",AND(AU296/(AE296/12)&gt;14,AU296/(AE296/12)&lt;=20),"Estabilizando",AU296/(AE296/12)&gt;20,"Instavel"),"Instavel")</f>
        <v>Sem Produto</v>
      </c>
      <c r="AN296" s="1" t="str">
        <f>IF(SUMIF(vendaAno[data],SituaçãoEstoqueFluxo[[#This Row],[data]],vendaAno[estoque])=0,"Algo errado",IF(AND(AX296/AW296&gt;0,AX296/AW296&lt;=1),"Alerta",IF(AND(AX296/AW296&gt;1,AX296/AW296&lt;=1.5),"Fazer pedido",IF(AND(AX296/AW296&gt;1.5,AX296/AW296&lt;=2),"Ok",IF(AND(AX296/AW296&gt;2,AX296/AW296&lt;=2.5),"Estabilizando",IF(AND(AX296/AW296&gt;2.5,AX296/AW296&lt;=3),"Cheio","Abaixar preço"))))))</f>
        <v>Algo errado</v>
      </c>
      <c r="AO29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6" s="116">
        <f t="shared" si="15"/>
        <v>45938</v>
      </c>
      <c r="AQ29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6" s="82" cm="1">
        <f t="array" aca="1" ref="AV29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6" s="82" cm="1">
        <f t="array" aca="1" ref="AW29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6" s="82">
        <f>SUM(FluxoEstoqueDateTime[[#This Row],[OVO BRANCO A]:[OVO BRANCO JUMBO]])</f>
        <v>0</v>
      </c>
    </row>
    <row r="297" spans="1:50" x14ac:dyDescent="0.25">
      <c r="A297" s="4" t="s">
        <v>31</v>
      </c>
      <c r="B297" s="55" t="s">
        <v>11</v>
      </c>
      <c r="C297" s="5">
        <v>120</v>
      </c>
      <c r="D297" s="56">
        <v>180</v>
      </c>
      <c r="E297" s="56">
        <v>1800</v>
      </c>
      <c r="F297" s="157">
        <v>46169</v>
      </c>
      <c r="G297" s="4" t="s">
        <v>32</v>
      </c>
      <c r="H297" s="4" t="s">
        <v>147</v>
      </c>
      <c r="I297" s="153"/>
      <c r="J297" s="12"/>
      <c r="Z297" s="116">
        <f t="shared" si="13"/>
        <v>45937</v>
      </c>
      <c r="AA29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7" s="116">
        <f t="shared" si="14"/>
        <v>45937</v>
      </c>
      <c r="AI297" s="1" t="str" cm="1">
        <f t="array" ref="AI297">IFERROR(_xlfn.IFS(AQ297="","Sem Produto",AND(AQ297/(AA297/12)&gt;0,AQ297/(AA297/12)&lt;=2),"Acabando",AND(AQ297/(AA297/12)&gt;2,AQ297/(AA297/12)&lt;=3),"Fazer Pedido",AND(AQ297/(AA297/12)&gt;3,AQ297/(AA297/12)&lt;=7),"OK",AND(AQ297/(AA297/12)&gt;7,AQ297/(AA297/12)&lt;=14),"Abaixar Preço",AND(AQ297/(AA297/12)&gt;14,AQ297/(AA297/12)&lt;=20),"Estabilizando",AQ297/(AA297/12)&gt;20,"Instavel"),"Instavel")</f>
        <v>Sem Produto</v>
      </c>
      <c r="AJ297" s="1" t="str" cm="1">
        <f t="array" ref="AJ297">IFERROR(_xlfn.IFS(AR297="","Sem Produto",AND(AR297/(AB297/12)&gt;0,AR297/(AB297/12)&lt;=2),"Acabando",AND(AR297/(AB297/12)&gt;2,AR297/(AB297/12)&lt;=3),"Fazer Pedido",AND(AR297/(AB297/12)&gt;3,AR297/(AB297/12)&lt;=7),"OK",AND(AR297/(AB297/12)&gt;7,AR297/(AB297/12)&lt;=14),"Abaixar Preço",AND(AR297/(AB297/12)&gt;14,AR297/(AB297/12)&lt;=20),"Estabilizando",AR297/(AB297/12)&gt;20,"Instavel"),"Instavel")</f>
        <v>Sem Produto</v>
      </c>
      <c r="AK297" s="1" t="str" cm="1">
        <f t="array" ref="AK297">IFERROR(_xlfn.IFS(AS297="","Sem Produto",AND(AS297/(AC297/12)&gt;0,AS297/(AC297/12)&lt;=2),"Acabando",AND(AS297/(AC297/12)&gt;2,AS297/(AC297/12)&lt;=3),"Fazer Pedido",AND(AS297/(AC297/12)&gt;3,AS297/(AC297/12)&lt;=7),"OK",AND(AS297/(AC297/12)&gt;7,AS297/(AC297/12)&lt;=14),"Abaixar Preço",AND(AS297/(AC297/12)&gt;14,AS297/(AC297/12)&lt;=20),"Estabilizando",AS297/(AC297/12)&gt;20,"Instavel"),"Instavel")</f>
        <v>Sem Produto</v>
      </c>
      <c r="AL297" s="1" t="str" cm="1">
        <f t="array" ref="AL297">IFERROR(_xlfn.IFS(AT297="","Sem Produto",AND(AT297/(AD297/12)&gt;0,AT297/(AD297/12)&lt;=2),"Acabando",AND(AT297/(AD297/12)&gt;2,AT297/(AD297/12)&lt;=3),"Fazer Pedido",AND(AT297/(AD297/12)&gt;3,AT297/(AD297/12)&lt;=7),"OK",AND(AT297/(AD297/12)&gt;7,AT297/(AD297/12)&lt;=14),"Abaixar Preço",AND(AT297/(AD297/12)&gt;14,AT297/(AD297/12)&lt;=20),"Estabilizando",AT297/(AD297/12)&gt;20,"Instavel"),"Instavel")</f>
        <v>Sem Produto</v>
      </c>
      <c r="AM297" s="1" t="str" cm="1">
        <f t="array" ref="AM297">IFERROR(_xlfn.IFS(AU297="","Sem Produto",AND(AU297/(AE297/12)&gt;0,AU297/(AE297/12)&lt;=2),"Acabando",AND(AU297/(AE297/12)&gt;2,AU297/(AE297/12)&lt;=3),"Fazer Pedido",AND(AU297/(AE297/12)&gt;3,AU297/(AE297/12)&lt;=7),"OK",AND(AU297/(AE297/12)&gt;7,AU297/(AE297/12)&lt;=14),"Abaixar Preço",AND(AU297/(AE297/12)&gt;14,AU297/(AE297/12)&lt;=20),"Estabilizando",AU297/(AE297/12)&gt;20,"Instavel"),"Instavel")</f>
        <v>Sem Produto</v>
      </c>
      <c r="AN297" s="1" t="str">
        <f>IF(SUMIF(vendaAno[data],SituaçãoEstoqueFluxo[[#This Row],[data]],vendaAno[estoque])=0,"Algo errado",IF(AND(AX297/AW297&gt;0,AX297/AW297&lt;=1),"Alerta",IF(AND(AX297/AW297&gt;1,AX297/AW297&lt;=1.5),"Fazer pedido",IF(AND(AX297/AW297&gt;1.5,AX297/AW297&lt;=2),"Ok",IF(AND(AX297/AW297&gt;2,AX297/AW297&lt;=2.5),"Estabilizando",IF(AND(AX297/AW297&gt;2.5,AX297/AW297&lt;=3),"Cheio","Abaixar preço"))))))</f>
        <v>Algo errado</v>
      </c>
      <c r="AO29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7" s="116">
        <f t="shared" si="15"/>
        <v>45937</v>
      </c>
      <c r="AQ29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7" s="82" cm="1">
        <f t="array" aca="1" ref="AV29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7" s="82" cm="1">
        <f t="array" aca="1" ref="AW29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7" s="82">
        <f>SUM(FluxoEstoqueDateTime[[#This Row],[OVO BRANCO A]:[OVO BRANCO JUMBO]])</f>
        <v>0</v>
      </c>
    </row>
    <row r="298" spans="1:50" x14ac:dyDescent="0.25">
      <c r="A298" s="4" t="s">
        <v>31</v>
      </c>
      <c r="B298" s="55" t="s">
        <v>12</v>
      </c>
      <c r="C298" s="5">
        <v>24</v>
      </c>
      <c r="D298" s="56">
        <v>160</v>
      </c>
      <c r="E298" s="56">
        <v>320</v>
      </c>
      <c r="F298" s="157">
        <v>46169</v>
      </c>
      <c r="G298" s="4" t="s">
        <v>32</v>
      </c>
      <c r="H298" s="4" t="s">
        <v>147</v>
      </c>
      <c r="I298" s="153"/>
      <c r="J298" s="12"/>
      <c r="Z298" s="116">
        <f t="shared" si="13"/>
        <v>45936</v>
      </c>
      <c r="AA29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8" s="116">
        <f t="shared" si="14"/>
        <v>45936</v>
      </c>
      <c r="AI298" s="1" t="str" cm="1">
        <f t="array" ref="AI298">IFERROR(_xlfn.IFS(AQ298="","Sem Produto",AND(AQ298/(AA298/12)&gt;0,AQ298/(AA298/12)&lt;=2),"Acabando",AND(AQ298/(AA298/12)&gt;2,AQ298/(AA298/12)&lt;=3),"Fazer Pedido",AND(AQ298/(AA298/12)&gt;3,AQ298/(AA298/12)&lt;=7),"OK",AND(AQ298/(AA298/12)&gt;7,AQ298/(AA298/12)&lt;=14),"Abaixar Preço",AND(AQ298/(AA298/12)&gt;14,AQ298/(AA298/12)&lt;=20),"Estabilizando",AQ298/(AA298/12)&gt;20,"Instavel"),"Instavel")</f>
        <v>Sem Produto</v>
      </c>
      <c r="AJ298" s="1" t="str" cm="1">
        <f t="array" ref="AJ298">IFERROR(_xlfn.IFS(AR298="","Sem Produto",AND(AR298/(AB298/12)&gt;0,AR298/(AB298/12)&lt;=2),"Acabando",AND(AR298/(AB298/12)&gt;2,AR298/(AB298/12)&lt;=3),"Fazer Pedido",AND(AR298/(AB298/12)&gt;3,AR298/(AB298/12)&lt;=7),"OK",AND(AR298/(AB298/12)&gt;7,AR298/(AB298/12)&lt;=14),"Abaixar Preço",AND(AR298/(AB298/12)&gt;14,AR298/(AB298/12)&lt;=20),"Estabilizando",AR298/(AB298/12)&gt;20,"Instavel"),"Instavel")</f>
        <v>Sem Produto</v>
      </c>
      <c r="AK298" s="1" t="str" cm="1">
        <f t="array" ref="AK298">IFERROR(_xlfn.IFS(AS298="","Sem Produto",AND(AS298/(AC298/12)&gt;0,AS298/(AC298/12)&lt;=2),"Acabando",AND(AS298/(AC298/12)&gt;2,AS298/(AC298/12)&lt;=3),"Fazer Pedido",AND(AS298/(AC298/12)&gt;3,AS298/(AC298/12)&lt;=7),"OK",AND(AS298/(AC298/12)&gt;7,AS298/(AC298/12)&lt;=14),"Abaixar Preço",AND(AS298/(AC298/12)&gt;14,AS298/(AC298/12)&lt;=20),"Estabilizando",AS298/(AC298/12)&gt;20,"Instavel"),"Instavel")</f>
        <v>Sem Produto</v>
      </c>
      <c r="AL298" s="1" t="str" cm="1">
        <f t="array" ref="AL298">IFERROR(_xlfn.IFS(AT298="","Sem Produto",AND(AT298/(AD298/12)&gt;0,AT298/(AD298/12)&lt;=2),"Acabando",AND(AT298/(AD298/12)&gt;2,AT298/(AD298/12)&lt;=3),"Fazer Pedido",AND(AT298/(AD298/12)&gt;3,AT298/(AD298/12)&lt;=7),"OK",AND(AT298/(AD298/12)&gt;7,AT298/(AD298/12)&lt;=14),"Abaixar Preço",AND(AT298/(AD298/12)&gt;14,AT298/(AD298/12)&lt;=20),"Estabilizando",AT298/(AD298/12)&gt;20,"Instavel"),"Instavel")</f>
        <v>Sem Produto</v>
      </c>
      <c r="AM298" s="1" t="str" cm="1">
        <f t="array" ref="AM298">IFERROR(_xlfn.IFS(AU298="","Sem Produto",AND(AU298/(AE298/12)&gt;0,AU298/(AE298/12)&lt;=2),"Acabando",AND(AU298/(AE298/12)&gt;2,AU298/(AE298/12)&lt;=3),"Fazer Pedido",AND(AU298/(AE298/12)&gt;3,AU298/(AE298/12)&lt;=7),"OK",AND(AU298/(AE298/12)&gt;7,AU298/(AE298/12)&lt;=14),"Abaixar Preço",AND(AU298/(AE298/12)&gt;14,AU298/(AE298/12)&lt;=20),"Estabilizando",AU298/(AE298/12)&gt;20,"Instavel"),"Instavel")</f>
        <v>Sem Produto</v>
      </c>
      <c r="AN298" s="1" t="str">
        <f>IF(SUMIF(vendaAno[data],SituaçãoEstoqueFluxo[[#This Row],[data]],vendaAno[estoque])=0,"Algo errado",IF(AND(AX298/AW298&gt;0,AX298/AW298&lt;=1),"Alerta",IF(AND(AX298/AW298&gt;1,AX298/AW298&lt;=1.5),"Fazer pedido",IF(AND(AX298/AW298&gt;1.5,AX298/AW298&lt;=2),"Ok",IF(AND(AX298/AW298&gt;2,AX298/AW298&lt;=2.5),"Estabilizando",IF(AND(AX298/AW298&gt;2.5,AX298/AW298&lt;=3),"Cheio","Abaixar preço"))))))</f>
        <v>Algo errado</v>
      </c>
      <c r="AO29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8" s="116">
        <f t="shared" si="15"/>
        <v>45936</v>
      </c>
      <c r="AQ29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8" s="82" cm="1">
        <f t="array" aca="1" ref="AV29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8" s="82" cm="1">
        <f t="array" aca="1" ref="AW29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8" s="82">
        <f>SUM(FluxoEstoqueDateTime[[#This Row],[OVO BRANCO A]:[OVO BRANCO JUMBO]])</f>
        <v>0</v>
      </c>
    </row>
    <row r="299" spans="1:50" x14ac:dyDescent="0.25">
      <c r="A299" s="4" t="s">
        <v>31</v>
      </c>
      <c r="B299" s="55" t="s">
        <v>12</v>
      </c>
      <c r="C299" s="5">
        <v>36</v>
      </c>
      <c r="D299" s="56">
        <v>170</v>
      </c>
      <c r="E299" s="56">
        <v>510</v>
      </c>
      <c r="F299" s="157">
        <v>46169</v>
      </c>
      <c r="G299" s="4" t="s">
        <v>32</v>
      </c>
      <c r="H299" s="4" t="s">
        <v>147</v>
      </c>
      <c r="I299" s="153"/>
      <c r="J299" s="12"/>
      <c r="Z299" s="116">
        <f t="shared" si="13"/>
        <v>45935</v>
      </c>
      <c r="AA29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29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29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29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29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29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29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299" s="116">
        <f t="shared" si="14"/>
        <v>45935</v>
      </c>
      <c r="AI299" s="1" t="str" cm="1">
        <f t="array" ref="AI299">IFERROR(_xlfn.IFS(AQ299="","Sem Produto",AND(AQ299/(AA299/12)&gt;0,AQ299/(AA299/12)&lt;=2),"Acabando",AND(AQ299/(AA299/12)&gt;2,AQ299/(AA299/12)&lt;=3),"Fazer Pedido",AND(AQ299/(AA299/12)&gt;3,AQ299/(AA299/12)&lt;=7),"OK",AND(AQ299/(AA299/12)&gt;7,AQ299/(AA299/12)&lt;=14),"Abaixar Preço",AND(AQ299/(AA299/12)&gt;14,AQ299/(AA299/12)&lt;=20),"Estabilizando",AQ299/(AA299/12)&gt;20,"Instavel"),"Instavel")</f>
        <v>Sem Produto</v>
      </c>
      <c r="AJ299" s="1" t="str" cm="1">
        <f t="array" ref="AJ299">IFERROR(_xlfn.IFS(AR299="","Sem Produto",AND(AR299/(AB299/12)&gt;0,AR299/(AB299/12)&lt;=2),"Acabando",AND(AR299/(AB299/12)&gt;2,AR299/(AB299/12)&lt;=3),"Fazer Pedido",AND(AR299/(AB299/12)&gt;3,AR299/(AB299/12)&lt;=7),"OK",AND(AR299/(AB299/12)&gt;7,AR299/(AB299/12)&lt;=14),"Abaixar Preço",AND(AR299/(AB299/12)&gt;14,AR299/(AB299/12)&lt;=20),"Estabilizando",AR299/(AB299/12)&gt;20,"Instavel"),"Instavel")</f>
        <v>Sem Produto</v>
      </c>
      <c r="AK299" s="1" t="str" cm="1">
        <f t="array" ref="AK299">IFERROR(_xlfn.IFS(AS299="","Sem Produto",AND(AS299/(AC299/12)&gt;0,AS299/(AC299/12)&lt;=2),"Acabando",AND(AS299/(AC299/12)&gt;2,AS299/(AC299/12)&lt;=3),"Fazer Pedido",AND(AS299/(AC299/12)&gt;3,AS299/(AC299/12)&lt;=7),"OK",AND(AS299/(AC299/12)&gt;7,AS299/(AC299/12)&lt;=14),"Abaixar Preço",AND(AS299/(AC299/12)&gt;14,AS299/(AC299/12)&lt;=20),"Estabilizando",AS299/(AC299/12)&gt;20,"Instavel"),"Instavel")</f>
        <v>Sem Produto</v>
      </c>
      <c r="AL299" s="1" t="str" cm="1">
        <f t="array" ref="AL299">IFERROR(_xlfn.IFS(AT299="","Sem Produto",AND(AT299/(AD299/12)&gt;0,AT299/(AD299/12)&lt;=2),"Acabando",AND(AT299/(AD299/12)&gt;2,AT299/(AD299/12)&lt;=3),"Fazer Pedido",AND(AT299/(AD299/12)&gt;3,AT299/(AD299/12)&lt;=7),"OK",AND(AT299/(AD299/12)&gt;7,AT299/(AD299/12)&lt;=14),"Abaixar Preço",AND(AT299/(AD299/12)&gt;14,AT299/(AD299/12)&lt;=20),"Estabilizando",AT299/(AD299/12)&gt;20,"Instavel"),"Instavel")</f>
        <v>Sem Produto</v>
      </c>
      <c r="AM299" s="1" t="str" cm="1">
        <f t="array" ref="AM299">IFERROR(_xlfn.IFS(AU299="","Sem Produto",AND(AU299/(AE299/12)&gt;0,AU299/(AE299/12)&lt;=2),"Acabando",AND(AU299/(AE299/12)&gt;2,AU299/(AE299/12)&lt;=3),"Fazer Pedido",AND(AU299/(AE299/12)&gt;3,AU299/(AE299/12)&lt;=7),"OK",AND(AU299/(AE299/12)&gt;7,AU299/(AE299/12)&lt;=14),"Abaixar Preço",AND(AU299/(AE299/12)&gt;14,AU299/(AE299/12)&lt;=20),"Estabilizando",AU299/(AE299/12)&gt;20,"Instavel"),"Instavel")</f>
        <v>Sem Produto</v>
      </c>
      <c r="AN299" s="1" t="str">
        <f>IF(SUMIF(vendaAno[data],SituaçãoEstoqueFluxo[[#This Row],[data]],vendaAno[estoque])=0,"Algo errado",IF(AND(AX299/AW299&gt;0,AX299/AW299&lt;=1),"Alerta",IF(AND(AX299/AW299&gt;1,AX299/AW299&lt;=1.5),"Fazer pedido",IF(AND(AX299/AW299&gt;1.5,AX299/AW299&lt;=2),"Ok",IF(AND(AX299/AW299&gt;2,AX299/AW299&lt;=2.5),"Estabilizando",IF(AND(AX299/AW299&gt;2.5,AX299/AW299&lt;=3),"Cheio","Abaixar preço"))))))</f>
        <v>Algo errado</v>
      </c>
      <c r="AO29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299" s="116">
        <f t="shared" si="15"/>
        <v>45935</v>
      </c>
      <c r="AQ29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29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29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29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29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299" s="82" cm="1">
        <f t="array" aca="1" ref="AV29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299" s="82" cm="1">
        <f t="array" aca="1" ref="AW29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299" s="82">
        <f>SUM(FluxoEstoqueDateTime[[#This Row],[OVO BRANCO A]:[OVO BRANCO JUMBO]])</f>
        <v>0</v>
      </c>
    </row>
    <row r="300" spans="1:50" x14ac:dyDescent="0.25">
      <c r="A300" s="4" t="s">
        <v>31</v>
      </c>
      <c r="B300" s="55" t="s">
        <v>13</v>
      </c>
      <c r="C300" s="5">
        <v>60</v>
      </c>
      <c r="D300" s="56">
        <v>195</v>
      </c>
      <c r="E300" s="56">
        <v>975</v>
      </c>
      <c r="F300" s="157">
        <v>46169</v>
      </c>
      <c r="G300" s="4" t="s">
        <v>32</v>
      </c>
      <c r="H300" s="4" t="s">
        <v>147</v>
      </c>
      <c r="I300" s="153"/>
      <c r="J300" s="12"/>
      <c r="Z300" s="116">
        <f t="shared" si="13"/>
        <v>45934</v>
      </c>
      <c r="AA30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0" s="116">
        <f t="shared" si="14"/>
        <v>45934</v>
      </c>
      <c r="AI300" s="1" t="str" cm="1">
        <f t="array" ref="AI300">IFERROR(_xlfn.IFS(AQ300="","Sem Produto",AND(AQ300/(AA300/12)&gt;0,AQ300/(AA300/12)&lt;=2),"Acabando",AND(AQ300/(AA300/12)&gt;2,AQ300/(AA300/12)&lt;=3),"Fazer Pedido",AND(AQ300/(AA300/12)&gt;3,AQ300/(AA300/12)&lt;=7),"OK",AND(AQ300/(AA300/12)&gt;7,AQ300/(AA300/12)&lt;=14),"Abaixar Preço",AND(AQ300/(AA300/12)&gt;14,AQ300/(AA300/12)&lt;=20),"Estabilizando",AQ300/(AA300/12)&gt;20,"Instavel"),"Instavel")</f>
        <v>Sem Produto</v>
      </c>
      <c r="AJ300" s="1" t="str" cm="1">
        <f t="array" ref="AJ300">IFERROR(_xlfn.IFS(AR300="","Sem Produto",AND(AR300/(AB300/12)&gt;0,AR300/(AB300/12)&lt;=2),"Acabando",AND(AR300/(AB300/12)&gt;2,AR300/(AB300/12)&lt;=3),"Fazer Pedido",AND(AR300/(AB300/12)&gt;3,AR300/(AB300/12)&lt;=7),"OK",AND(AR300/(AB300/12)&gt;7,AR300/(AB300/12)&lt;=14),"Abaixar Preço",AND(AR300/(AB300/12)&gt;14,AR300/(AB300/12)&lt;=20),"Estabilizando",AR300/(AB300/12)&gt;20,"Instavel"),"Instavel")</f>
        <v>Sem Produto</v>
      </c>
      <c r="AK300" s="1" t="str" cm="1">
        <f t="array" ref="AK300">IFERROR(_xlfn.IFS(AS300="","Sem Produto",AND(AS300/(AC300/12)&gt;0,AS300/(AC300/12)&lt;=2),"Acabando",AND(AS300/(AC300/12)&gt;2,AS300/(AC300/12)&lt;=3),"Fazer Pedido",AND(AS300/(AC300/12)&gt;3,AS300/(AC300/12)&lt;=7),"OK",AND(AS300/(AC300/12)&gt;7,AS300/(AC300/12)&lt;=14),"Abaixar Preço",AND(AS300/(AC300/12)&gt;14,AS300/(AC300/12)&lt;=20),"Estabilizando",AS300/(AC300/12)&gt;20,"Instavel"),"Instavel")</f>
        <v>Sem Produto</v>
      </c>
      <c r="AL300" s="1" t="str" cm="1">
        <f t="array" ref="AL300">IFERROR(_xlfn.IFS(AT300="","Sem Produto",AND(AT300/(AD300/12)&gt;0,AT300/(AD300/12)&lt;=2),"Acabando",AND(AT300/(AD300/12)&gt;2,AT300/(AD300/12)&lt;=3),"Fazer Pedido",AND(AT300/(AD300/12)&gt;3,AT300/(AD300/12)&lt;=7),"OK",AND(AT300/(AD300/12)&gt;7,AT300/(AD300/12)&lt;=14),"Abaixar Preço",AND(AT300/(AD300/12)&gt;14,AT300/(AD300/12)&lt;=20),"Estabilizando",AT300/(AD300/12)&gt;20,"Instavel"),"Instavel")</f>
        <v>Sem Produto</v>
      </c>
      <c r="AM300" s="1" t="str" cm="1">
        <f t="array" ref="AM300">IFERROR(_xlfn.IFS(AU300="","Sem Produto",AND(AU300/(AE300/12)&gt;0,AU300/(AE300/12)&lt;=2),"Acabando",AND(AU300/(AE300/12)&gt;2,AU300/(AE300/12)&lt;=3),"Fazer Pedido",AND(AU300/(AE300/12)&gt;3,AU300/(AE300/12)&lt;=7),"OK",AND(AU300/(AE300/12)&gt;7,AU300/(AE300/12)&lt;=14),"Abaixar Preço",AND(AU300/(AE300/12)&gt;14,AU300/(AE300/12)&lt;=20),"Estabilizando",AU300/(AE300/12)&gt;20,"Instavel"),"Instavel")</f>
        <v>Sem Produto</v>
      </c>
      <c r="AN300" s="1" t="str">
        <f>IF(SUMIF(vendaAno[data],SituaçãoEstoqueFluxo[[#This Row],[data]],vendaAno[estoque])=0,"Algo errado",IF(AND(AX300/AW300&gt;0,AX300/AW300&lt;=1),"Alerta",IF(AND(AX300/AW300&gt;1,AX300/AW300&lt;=1.5),"Fazer pedido",IF(AND(AX300/AW300&gt;1.5,AX300/AW300&lt;=2),"Ok",IF(AND(AX300/AW300&gt;2,AX300/AW300&lt;=2.5),"Estabilizando",IF(AND(AX300/AW300&gt;2.5,AX300/AW300&lt;=3),"Cheio","Abaixar preço"))))))</f>
        <v>Algo errado</v>
      </c>
      <c r="AO30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0" s="116">
        <f t="shared" si="15"/>
        <v>45934</v>
      </c>
      <c r="AQ30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0" s="82" cm="1">
        <f t="array" aca="1" ref="AV30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0" s="82" cm="1">
        <f t="array" aca="1" ref="AW30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0" s="82">
        <f>SUM(FluxoEstoqueDateTime[[#This Row],[OVO BRANCO A]:[OVO BRANCO JUMBO]])</f>
        <v>0</v>
      </c>
    </row>
    <row r="301" spans="1:50" x14ac:dyDescent="0.25">
      <c r="A301" s="4" t="s">
        <v>31</v>
      </c>
      <c r="B301" s="55" t="s">
        <v>10</v>
      </c>
      <c r="C301" s="5">
        <v>60</v>
      </c>
      <c r="D301" s="56">
        <v>185</v>
      </c>
      <c r="E301" s="56">
        <v>925</v>
      </c>
      <c r="F301" s="157">
        <v>46169</v>
      </c>
      <c r="G301" s="4" t="s">
        <v>32</v>
      </c>
      <c r="H301" s="4" t="s">
        <v>147</v>
      </c>
      <c r="I301" s="153"/>
      <c r="J301" s="12"/>
      <c r="Z301" s="116">
        <f t="shared" si="13"/>
        <v>45933</v>
      </c>
      <c r="AA30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1" s="116">
        <f t="shared" si="14"/>
        <v>45933</v>
      </c>
      <c r="AI301" s="1" t="str" cm="1">
        <f t="array" ref="AI301">IFERROR(_xlfn.IFS(AQ301="","Sem Produto",AND(AQ301/(AA301/12)&gt;0,AQ301/(AA301/12)&lt;=2),"Acabando",AND(AQ301/(AA301/12)&gt;2,AQ301/(AA301/12)&lt;=3),"Fazer Pedido",AND(AQ301/(AA301/12)&gt;3,AQ301/(AA301/12)&lt;=7),"OK",AND(AQ301/(AA301/12)&gt;7,AQ301/(AA301/12)&lt;=14),"Abaixar Preço",AND(AQ301/(AA301/12)&gt;14,AQ301/(AA301/12)&lt;=20),"Estabilizando",AQ301/(AA301/12)&gt;20,"Instavel"),"Instavel")</f>
        <v>Sem Produto</v>
      </c>
      <c r="AJ301" s="1" t="str" cm="1">
        <f t="array" ref="AJ301">IFERROR(_xlfn.IFS(AR301="","Sem Produto",AND(AR301/(AB301/12)&gt;0,AR301/(AB301/12)&lt;=2),"Acabando",AND(AR301/(AB301/12)&gt;2,AR301/(AB301/12)&lt;=3),"Fazer Pedido",AND(AR301/(AB301/12)&gt;3,AR301/(AB301/12)&lt;=7),"OK",AND(AR301/(AB301/12)&gt;7,AR301/(AB301/12)&lt;=14),"Abaixar Preço",AND(AR301/(AB301/12)&gt;14,AR301/(AB301/12)&lt;=20),"Estabilizando",AR301/(AB301/12)&gt;20,"Instavel"),"Instavel")</f>
        <v>Sem Produto</v>
      </c>
      <c r="AK301" s="1" t="str" cm="1">
        <f t="array" ref="AK301">IFERROR(_xlfn.IFS(AS301="","Sem Produto",AND(AS301/(AC301/12)&gt;0,AS301/(AC301/12)&lt;=2),"Acabando",AND(AS301/(AC301/12)&gt;2,AS301/(AC301/12)&lt;=3),"Fazer Pedido",AND(AS301/(AC301/12)&gt;3,AS301/(AC301/12)&lt;=7),"OK",AND(AS301/(AC301/12)&gt;7,AS301/(AC301/12)&lt;=14),"Abaixar Preço",AND(AS301/(AC301/12)&gt;14,AS301/(AC301/12)&lt;=20),"Estabilizando",AS301/(AC301/12)&gt;20,"Instavel"),"Instavel")</f>
        <v>Sem Produto</v>
      </c>
      <c r="AL301" s="1" t="str" cm="1">
        <f t="array" ref="AL301">IFERROR(_xlfn.IFS(AT301="","Sem Produto",AND(AT301/(AD301/12)&gt;0,AT301/(AD301/12)&lt;=2),"Acabando",AND(AT301/(AD301/12)&gt;2,AT301/(AD301/12)&lt;=3),"Fazer Pedido",AND(AT301/(AD301/12)&gt;3,AT301/(AD301/12)&lt;=7),"OK",AND(AT301/(AD301/12)&gt;7,AT301/(AD301/12)&lt;=14),"Abaixar Preço",AND(AT301/(AD301/12)&gt;14,AT301/(AD301/12)&lt;=20),"Estabilizando",AT301/(AD301/12)&gt;20,"Instavel"),"Instavel")</f>
        <v>Sem Produto</v>
      </c>
      <c r="AM301" s="1" t="str" cm="1">
        <f t="array" ref="AM301">IFERROR(_xlfn.IFS(AU301="","Sem Produto",AND(AU301/(AE301/12)&gt;0,AU301/(AE301/12)&lt;=2),"Acabando",AND(AU301/(AE301/12)&gt;2,AU301/(AE301/12)&lt;=3),"Fazer Pedido",AND(AU301/(AE301/12)&gt;3,AU301/(AE301/12)&lt;=7),"OK",AND(AU301/(AE301/12)&gt;7,AU301/(AE301/12)&lt;=14),"Abaixar Preço",AND(AU301/(AE301/12)&gt;14,AU301/(AE301/12)&lt;=20),"Estabilizando",AU301/(AE301/12)&gt;20,"Instavel"),"Instavel")</f>
        <v>Sem Produto</v>
      </c>
      <c r="AN301" s="1" t="str">
        <f>IF(SUMIF(vendaAno[data],SituaçãoEstoqueFluxo[[#This Row],[data]],vendaAno[estoque])=0,"Algo errado",IF(AND(AX301/AW301&gt;0,AX301/AW301&lt;=1),"Alerta",IF(AND(AX301/AW301&gt;1,AX301/AW301&lt;=1.5),"Fazer pedido",IF(AND(AX301/AW301&gt;1.5,AX301/AW301&lt;=2),"Ok",IF(AND(AX301/AW301&gt;2,AX301/AW301&lt;=2.5),"Estabilizando",IF(AND(AX301/AW301&gt;2.5,AX301/AW301&lt;=3),"Cheio","Abaixar preço"))))))</f>
        <v>Algo errado</v>
      </c>
      <c r="AO30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1" s="116">
        <f t="shared" si="15"/>
        <v>45933</v>
      </c>
      <c r="AQ30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1" s="82" cm="1">
        <f t="array" aca="1" ref="AV30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1" s="82" cm="1">
        <f t="array" aca="1" ref="AW30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1" s="82">
        <f>SUM(FluxoEstoqueDateTime[[#This Row],[OVO BRANCO A]:[OVO BRANCO JUMBO]])</f>
        <v>0</v>
      </c>
    </row>
    <row r="302" spans="1:50" x14ac:dyDescent="0.25">
      <c r="A302" s="4" t="s">
        <v>20</v>
      </c>
      <c r="B302" s="55" t="s">
        <v>14</v>
      </c>
      <c r="C302" s="5">
        <v>7</v>
      </c>
      <c r="D302" s="56">
        <v>22</v>
      </c>
      <c r="E302" s="56">
        <v>154</v>
      </c>
      <c r="F302" s="157">
        <v>46169</v>
      </c>
      <c r="G302" s="4" t="s">
        <v>32</v>
      </c>
      <c r="H302" s="4" t="s">
        <v>147</v>
      </c>
      <c r="I302" s="153">
        <v>33.06</v>
      </c>
      <c r="J302" s="12">
        <v>0.21469155844155841</v>
      </c>
      <c r="Z302" s="116">
        <f t="shared" si="13"/>
        <v>45932</v>
      </c>
      <c r="AA30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2" s="116">
        <f t="shared" si="14"/>
        <v>45932</v>
      </c>
      <c r="AI302" s="1" t="str" cm="1">
        <f t="array" ref="AI302">IFERROR(_xlfn.IFS(AQ302="","Sem Produto",AND(AQ302/(AA302/12)&gt;0,AQ302/(AA302/12)&lt;=2),"Acabando",AND(AQ302/(AA302/12)&gt;2,AQ302/(AA302/12)&lt;=3),"Fazer Pedido",AND(AQ302/(AA302/12)&gt;3,AQ302/(AA302/12)&lt;=7),"OK",AND(AQ302/(AA302/12)&gt;7,AQ302/(AA302/12)&lt;=14),"Abaixar Preço",AND(AQ302/(AA302/12)&gt;14,AQ302/(AA302/12)&lt;=20),"Estabilizando",AQ302/(AA302/12)&gt;20,"Instavel"),"Instavel")</f>
        <v>Sem Produto</v>
      </c>
      <c r="AJ302" s="1" t="str" cm="1">
        <f t="array" ref="AJ302">IFERROR(_xlfn.IFS(AR302="","Sem Produto",AND(AR302/(AB302/12)&gt;0,AR302/(AB302/12)&lt;=2),"Acabando",AND(AR302/(AB302/12)&gt;2,AR302/(AB302/12)&lt;=3),"Fazer Pedido",AND(AR302/(AB302/12)&gt;3,AR302/(AB302/12)&lt;=7),"OK",AND(AR302/(AB302/12)&gt;7,AR302/(AB302/12)&lt;=14),"Abaixar Preço",AND(AR302/(AB302/12)&gt;14,AR302/(AB302/12)&lt;=20),"Estabilizando",AR302/(AB302/12)&gt;20,"Instavel"),"Instavel")</f>
        <v>Sem Produto</v>
      </c>
      <c r="AK302" s="1" t="str" cm="1">
        <f t="array" ref="AK302">IFERROR(_xlfn.IFS(AS302="","Sem Produto",AND(AS302/(AC302/12)&gt;0,AS302/(AC302/12)&lt;=2),"Acabando",AND(AS302/(AC302/12)&gt;2,AS302/(AC302/12)&lt;=3),"Fazer Pedido",AND(AS302/(AC302/12)&gt;3,AS302/(AC302/12)&lt;=7),"OK",AND(AS302/(AC302/12)&gt;7,AS302/(AC302/12)&lt;=14),"Abaixar Preço",AND(AS302/(AC302/12)&gt;14,AS302/(AC302/12)&lt;=20),"Estabilizando",AS302/(AC302/12)&gt;20,"Instavel"),"Instavel")</f>
        <v>Sem Produto</v>
      </c>
      <c r="AL302" s="1" t="str" cm="1">
        <f t="array" ref="AL302">IFERROR(_xlfn.IFS(AT302="","Sem Produto",AND(AT302/(AD302/12)&gt;0,AT302/(AD302/12)&lt;=2),"Acabando",AND(AT302/(AD302/12)&gt;2,AT302/(AD302/12)&lt;=3),"Fazer Pedido",AND(AT302/(AD302/12)&gt;3,AT302/(AD302/12)&lt;=7),"OK",AND(AT302/(AD302/12)&gt;7,AT302/(AD302/12)&lt;=14),"Abaixar Preço",AND(AT302/(AD302/12)&gt;14,AT302/(AD302/12)&lt;=20),"Estabilizando",AT302/(AD302/12)&gt;20,"Instavel"),"Instavel")</f>
        <v>Sem Produto</v>
      </c>
      <c r="AM302" s="1" t="str" cm="1">
        <f t="array" ref="AM302">IFERROR(_xlfn.IFS(AU302="","Sem Produto",AND(AU302/(AE302/12)&gt;0,AU302/(AE302/12)&lt;=2),"Acabando",AND(AU302/(AE302/12)&gt;2,AU302/(AE302/12)&lt;=3),"Fazer Pedido",AND(AU302/(AE302/12)&gt;3,AU302/(AE302/12)&lt;=7),"OK",AND(AU302/(AE302/12)&gt;7,AU302/(AE302/12)&lt;=14),"Abaixar Preço",AND(AU302/(AE302/12)&gt;14,AU302/(AE302/12)&lt;=20),"Estabilizando",AU302/(AE302/12)&gt;20,"Instavel"),"Instavel")</f>
        <v>Sem Produto</v>
      </c>
      <c r="AN302" s="1" t="str">
        <f>IF(SUMIF(vendaAno[data],SituaçãoEstoqueFluxo[[#This Row],[data]],vendaAno[estoque])=0,"Algo errado",IF(AND(AX302/AW302&gt;0,AX302/AW302&lt;=1),"Alerta",IF(AND(AX302/AW302&gt;1,AX302/AW302&lt;=1.5),"Fazer pedido",IF(AND(AX302/AW302&gt;1.5,AX302/AW302&lt;=2),"Ok",IF(AND(AX302/AW302&gt;2,AX302/AW302&lt;=2.5),"Estabilizando",IF(AND(AX302/AW302&gt;2.5,AX302/AW302&lt;=3),"Cheio","Abaixar preço"))))))</f>
        <v>Algo errado</v>
      </c>
      <c r="AO30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2" s="116">
        <f t="shared" si="15"/>
        <v>45932</v>
      </c>
      <c r="AQ30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2" s="82" cm="1">
        <f t="array" aca="1" ref="AV30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2" s="82" cm="1">
        <f t="array" aca="1" ref="AW30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2" s="82">
        <f>SUM(FluxoEstoqueDateTime[[#This Row],[OVO BRANCO A]:[OVO BRANCO JUMBO]])</f>
        <v>0</v>
      </c>
    </row>
    <row r="303" spans="1:50" x14ac:dyDescent="0.25">
      <c r="A303" s="4" t="s">
        <v>20</v>
      </c>
      <c r="B303" s="55" t="s">
        <v>13</v>
      </c>
      <c r="C303" s="5">
        <v>6</v>
      </c>
      <c r="D303" s="56">
        <v>21</v>
      </c>
      <c r="E303" s="56">
        <v>126</v>
      </c>
      <c r="F303" s="157">
        <v>46169</v>
      </c>
      <c r="G303" s="4" t="s">
        <v>32</v>
      </c>
      <c r="H303" s="4" t="s">
        <v>147</v>
      </c>
      <c r="I303" s="153">
        <v>27.2</v>
      </c>
      <c r="J303" s="12">
        <v>0.21590241034685473</v>
      </c>
      <c r="Z303" s="116">
        <f t="shared" si="13"/>
        <v>45931</v>
      </c>
      <c r="AA30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3" s="116">
        <f t="shared" si="14"/>
        <v>45931</v>
      </c>
      <c r="AI303" s="1" t="str" cm="1">
        <f t="array" ref="AI303">IFERROR(_xlfn.IFS(AQ303="","Sem Produto",AND(AQ303/(AA303/12)&gt;0,AQ303/(AA303/12)&lt;=2),"Acabando",AND(AQ303/(AA303/12)&gt;2,AQ303/(AA303/12)&lt;=3),"Fazer Pedido",AND(AQ303/(AA303/12)&gt;3,AQ303/(AA303/12)&lt;=7),"OK",AND(AQ303/(AA303/12)&gt;7,AQ303/(AA303/12)&lt;=14),"Abaixar Preço",AND(AQ303/(AA303/12)&gt;14,AQ303/(AA303/12)&lt;=20),"Estabilizando",AQ303/(AA303/12)&gt;20,"Instavel"),"Instavel")</f>
        <v>Sem Produto</v>
      </c>
      <c r="AJ303" s="1" t="str" cm="1">
        <f t="array" ref="AJ303">IFERROR(_xlfn.IFS(AR303="","Sem Produto",AND(AR303/(AB303/12)&gt;0,AR303/(AB303/12)&lt;=2),"Acabando",AND(AR303/(AB303/12)&gt;2,AR303/(AB303/12)&lt;=3),"Fazer Pedido",AND(AR303/(AB303/12)&gt;3,AR303/(AB303/12)&lt;=7),"OK",AND(AR303/(AB303/12)&gt;7,AR303/(AB303/12)&lt;=14),"Abaixar Preço",AND(AR303/(AB303/12)&gt;14,AR303/(AB303/12)&lt;=20),"Estabilizando",AR303/(AB303/12)&gt;20,"Instavel"),"Instavel")</f>
        <v>Sem Produto</v>
      </c>
      <c r="AK303" s="1" t="str" cm="1">
        <f t="array" ref="AK303">IFERROR(_xlfn.IFS(AS303="","Sem Produto",AND(AS303/(AC303/12)&gt;0,AS303/(AC303/12)&lt;=2),"Acabando",AND(AS303/(AC303/12)&gt;2,AS303/(AC303/12)&lt;=3),"Fazer Pedido",AND(AS303/(AC303/12)&gt;3,AS303/(AC303/12)&lt;=7),"OK",AND(AS303/(AC303/12)&gt;7,AS303/(AC303/12)&lt;=14),"Abaixar Preço",AND(AS303/(AC303/12)&gt;14,AS303/(AC303/12)&lt;=20),"Estabilizando",AS303/(AC303/12)&gt;20,"Instavel"),"Instavel")</f>
        <v>Sem Produto</v>
      </c>
      <c r="AL303" s="1" t="str" cm="1">
        <f t="array" ref="AL303">IFERROR(_xlfn.IFS(AT303="","Sem Produto",AND(AT303/(AD303/12)&gt;0,AT303/(AD303/12)&lt;=2),"Acabando",AND(AT303/(AD303/12)&gt;2,AT303/(AD303/12)&lt;=3),"Fazer Pedido",AND(AT303/(AD303/12)&gt;3,AT303/(AD303/12)&lt;=7),"OK",AND(AT303/(AD303/12)&gt;7,AT303/(AD303/12)&lt;=14),"Abaixar Preço",AND(AT303/(AD303/12)&gt;14,AT303/(AD303/12)&lt;=20),"Estabilizando",AT303/(AD303/12)&gt;20,"Instavel"),"Instavel")</f>
        <v>Sem Produto</v>
      </c>
      <c r="AM303" s="1" t="str" cm="1">
        <f t="array" ref="AM303">IFERROR(_xlfn.IFS(AU303="","Sem Produto",AND(AU303/(AE303/12)&gt;0,AU303/(AE303/12)&lt;=2),"Acabando",AND(AU303/(AE303/12)&gt;2,AU303/(AE303/12)&lt;=3),"Fazer Pedido",AND(AU303/(AE303/12)&gt;3,AU303/(AE303/12)&lt;=7),"OK",AND(AU303/(AE303/12)&gt;7,AU303/(AE303/12)&lt;=14),"Abaixar Preço",AND(AU303/(AE303/12)&gt;14,AU303/(AE303/12)&lt;=20),"Estabilizando",AU303/(AE303/12)&gt;20,"Instavel"),"Instavel")</f>
        <v>Sem Produto</v>
      </c>
      <c r="AN303" s="1" t="str">
        <f>IF(SUMIF(vendaAno[data],SituaçãoEstoqueFluxo[[#This Row],[data]],vendaAno[estoque])=0,"Algo errado",IF(AND(AX303/AW303&gt;0,AX303/AW303&lt;=1),"Alerta",IF(AND(AX303/AW303&gt;1,AX303/AW303&lt;=1.5),"Fazer pedido",IF(AND(AX303/AW303&gt;1.5,AX303/AW303&lt;=2),"Ok",IF(AND(AX303/AW303&gt;2,AX303/AW303&lt;=2.5),"Estabilizando",IF(AND(AX303/AW303&gt;2.5,AX303/AW303&lt;=3),"Cheio","Abaixar preço"))))))</f>
        <v>Algo errado</v>
      </c>
      <c r="AO30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3" s="116">
        <f t="shared" si="15"/>
        <v>45931</v>
      </c>
      <c r="AQ30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3" s="82" cm="1">
        <f t="array" aca="1" ref="AV30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3" s="82" cm="1">
        <f t="array" aca="1" ref="AW30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3" s="82">
        <f>SUM(FluxoEstoqueDateTime[[#This Row],[OVO BRANCO A]:[OVO BRANCO JUMBO]])</f>
        <v>0</v>
      </c>
    </row>
    <row r="304" spans="1:50" x14ac:dyDescent="0.25">
      <c r="A304" s="4" t="s">
        <v>20</v>
      </c>
      <c r="B304" s="55" t="s">
        <v>10</v>
      </c>
      <c r="C304" s="5">
        <v>7</v>
      </c>
      <c r="D304" s="56">
        <v>20</v>
      </c>
      <c r="E304" s="56">
        <v>140</v>
      </c>
      <c r="F304" s="157">
        <v>46169</v>
      </c>
      <c r="G304" s="4" t="s">
        <v>32</v>
      </c>
      <c r="H304" s="4" t="s">
        <v>147</v>
      </c>
      <c r="I304" s="153">
        <v>27.77</v>
      </c>
      <c r="J304" s="12">
        <v>0.19832355164287954</v>
      </c>
      <c r="Z304" s="116">
        <f t="shared" si="13"/>
        <v>45930</v>
      </c>
      <c r="AA30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4" s="116">
        <f t="shared" si="14"/>
        <v>45930</v>
      </c>
      <c r="AI304" s="1" t="str" cm="1">
        <f t="array" ref="AI304">IFERROR(_xlfn.IFS(AQ304="","Sem Produto",AND(AQ304/(AA304/12)&gt;0,AQ304/(AA304/12)&lt;=2),"Acabando",AND(AQ304/(AA304/12)&gt;2,AQ304/(AA304/12)&lt;=3),"Fazer Pedido",AND(AQ304/(AA304/12)&gt;3,AQ304/(AA304/12)&lt;=7),"OK",AND(AQ304/(AA304/12)&gt;7,AQ304/(AA304/12)&lt;=14),"Abaixar Preço",AND(AQ304/(AA304/12)&gt;14,AQ304/(AA304/12)&lt;=20),"Estabilizando",AQ304/(AA304/12)&gt;20,"Instavel"),"Instavel")</f>
        <v>Sem Produto</v>
      </c>
      <c r="AJ304" s="1" t="str" cm="1">
        <f t="array" ref="AJ304">IFERROR(_xlfn.IFS(AR304="","Sem Produto",AND(AR304/(AB304/12)&gt;0,AR304/(AB304/12)&lt;=2),"Acabando",AND(AR304/(AB304/12)&gt;2,AR304/(AB304/12)&lt;=3),"Fazer Pedido",AND(AR304/(AB304/12)&gt;3,AR304/(AB304/12)&lt;=7),"OK",AND(AR304/(AB304/12)&gt;7,AR304/(AB304/12)&lt;=14),"Abaixar Preço",AND(AR304/(AB304/12)&gt;14,AR304/(AB304/12)&lt;=20),"Estabilizando",AR304/(AB304/12)&gt;20,"Instavel"),"Instavel")</f>
        <v>Sem Produto</v>
      </c>
      <c r="AK304" s="1" t="str" cm="1">
        <f t="array" ref="AK304">IFERROR(_xlfn.IFS(AS304="","Sem Produto",AND(AS304/(AC304/12)&gt;0,AS304/(AC304/12)&lt;=2),"Acabando",AND(AS304/(AC304/12)&gt;2,AS304/(AC304/12)&lt;=3),"Fazer Pedido",AND(AS304/(AC304/12)&gt;3,AS304/(AC304/12)&lt;=7),"OK",AND(AS304/(AC304/12)&gt;7,AS304/(AC304/12)&lt;=14),"Abaixar Preço",AND(AS304/(AC304/12)&gt;14,AS304/(AC304/12)&lt;=20),"Estabilizando",AS304/(AC304/12)&gt;20,"Instavel"),"Instavel")</f>
        <v>Sem Produto</v>
      </c>
      <c r="AL304" s="1" t="str" cm="1">
        <f t="array" ref="AL304">IFERROR(_xlfn.IFS(AT304="","Sem Produto",AND(AT304/(AD304/12)&gt;0,AT304/(AD304/12)&lt;=2),"Acabando",AND(AT304/(AD304/12)&gt;2,AT304/(AD304/12)&lt;=3),"Fazer Pedido",AND(AT304/(AD304/12)&gt;3,AT304/(AD304/12)&lt;=7),"OK",AND(AT304/(AD304/12)&gt;7,AT304/(AD304/12)&lt;=14),"Abaixar Preço",AND(AT304/(AD304/12)&gt;14,AT304/(AD304/12)&lt;=20),"Estabilizando",AT304/(AD304/12)&gt;20,"Instavel"),"Instavel")</f>
        <v>Sem Produto</v>
      </c>
      <c r="AM304" s="1" t="str" cm="1">
        <f t="array" ref="AM304">IFERROR(_xlfn.IFS(AU304="","Sem Produto",AND(AU304/(AE304/12)&gt;0,AU304/(AE304/12)&lt;=2),"Acabando",AND(AU304/(AE304/12)&gt;2,AU304/(AE304/12)&lt;=3),"Fazer Pedido",AND(AU304/(AE304/12)&gt;3,AU304/(AE304/12)&lt;=7),"OK",AND(AU304/(AE304/12)&gt;7,AU304/(AE304/12)&lt;=14),"Abaixar Preço",AND(AU304/(AE304/12)&gt;14,AU304/(AE304/12)&lt;=20),"Estabilizando",AU304/(AE304/12)&gt;20,"Instavel"),"Instavel")</f>
        <v>Sem Produto</v>
      </c>
      <c r="AN304" s="1" t="str">
        <f>IF(SUMIF(vendaAno[data],SituaçãoEstoqueFluxo[[#This Row],[data]],vendaAno[estoque])=0,"Algo errado",IF(AND(AX304/AW304&gt;0,AX304/AW304&lt;=1),"Alerta",IF(AND(AX304/AW304&gt;1,AX304/AW304&lt;=1.5),"Fazer pedido",IF(AND(AX304/AW304&gt;1.5,AX304/AW304&lt;=2),"Ok",IF(AND(AX304/AW304&gt;2,AX304/AW304&lt;=2.5),"Estabilizando",IF(AND(AX304/AW304&gt;2.5,AX304/AW304&lt;=3),"Cheio","Abaixar preço"))))))</f>
        <v>Algo errado</v>
      </c>
      <c r="AO30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4" s="116">
        <f t="shared" si="15"/>
        <v>45930</v>
      </c>
      <c r="AQ30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4" s="82" cm="1">
        <f t="array" aca="1" ref="AV30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4" s="82" cm="1">
        <f t="array" aca="1" ref="AW30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4" s="82">
        <f>SUM(FluxoEstoqueDateTime[[#This Row],[OVO BRANCO A]:[OVO BRANCO JUMBO]])</f>
        <v>0</v>
      </c>
    </row>
    <row r="305" spans="1:50" x14ac:dyDescent="0.25">
      <c r="A305" s="4" t="s">
        <v>20</v>
      </c>
      <c r="B305" s="55" t="s">
        <v>13</v>
      </c>
      <c r="C305" s="5">
        <v>14</v>
      </c>
      <c r="D305" s="56">
        <v>21</v>
      </c>
      <c r="E305" s="56">
        <v>294</v>
      </c>
      <c r="F305" s="157">
        <v>46168</v>
      </c>
      <c r="G305" s="4" t="s">
        <v>290</v>
      </c>
      <c r="H305" s="4" t="s">
        <v>147</v>
      </c>
      <c r="I305" s="153">
        <v>63.48</v>
      </c>
      <c r="J305" s="12">
        <v>0.21590241034685473</v>
      </c>
      <c r="Z305" s="116">
        <f t="shared" si="13"/>
        <v>45929</v>
      </c>
      <c r="AA30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5" s="116">
        <f t="shared" si="14"/>
        <v>45929</v>
      </c>
      <c r="AI305" s="1" t="str" cm="1">
        <f t="array" ref="AI305">IFERROR(_xlfn.IFS(AQ305="","Sem Produto",AND(AQ305/(AA305/12)&gt;0,AQ305/(AA305/12)&lt;=2),"Acabando",AND(AQ305/(AA305/12)&gt;2,AQ305/(AA305/12)&lt;=3),"Fazer Pedido",AND(AQ305/(AA305/12)&gt;3,AQ305/(AA305/12)&lt;=7),"OK",AND(AQ305/(AA305/12)&gt;7,AQ305/(AA305/12)&lt;=14),"Abaixar Preço",AND(AQ305/(AA305/12)&gt;14,AQ305/(AA305/12)&lt;=20),"Estabilizando",AQ305/(AA305/12)&gt;20,"Instavel"),"Instavel")</f>
        <v>Sem Produto</v>
      </c>
      <c r="AJ305" s="1" t="str" cm="1">
        <f t="array" ref="AJ305">IFERROR(_xlfn.IFS(AR305="","Sem Produto",AND(AR305/(AB305/12)&gt;0,AR305/(AB305/12)&lt;=2),"Acabando",AND(AR305/(AB305/12)&gt;2,AR305/(AB305/12)&lt;=3),"Fazer Pedido",AND(AR305/(AB305/12)&gt;3,AR305/(AB305/12)&lt;=7),"OK",AND(AR305/(AB305/12)&gt;7,AR305/(AB305/12)&lt;=14),"Abaixar Preço",AND(AR305/(AB305/12)&gt;14,AR305/(AB305/12)&lt;=20),"Estabilizando",AR305/(AB305/12)&gt;20,"Instavel"),"Instavel")</f>
        <v>Sem Produto</v>
      </c>
      <c r="AK305" s="1" t="str" cm="1">
        <f t="array" ref="AK305">IFERROR(_xlfn.IFS(AS305="","Sem Produto",AND(AS305/(AC305/12)&gt;0,AS305/(AC305/12)&lt;=2),"Acabando",AND(AS305/(AC305/12)&gt;2,AS305/(AC305/12)&lt;=3),"Fazer Pedido",AND(AS305/(AC305/12)&gt;3,AS305/(AC305/12)&lt;=7),"OK",AND(AS305/(AC305/12)&gt;7,AS305/(AC305/12)&lt;=14),"Abaixar Preço",AND(AS305/(AC305/12)&gt;14,AS305/(AC305/12)&lt;=20),"Estabilizando",AS305/(AC305/12)&gt;20,"Instavel"),"Instavel")</f>
        <v>Sem Produto</v>
      </c>
      <c r="AL305" s="1" t="str" cm="1">
        <f t="array" ref="AL305">IFERROR(_xlfn.IFS(AT305="","Sem Produto",AND(AT305/(AD305/12)&gt;0,AT305/(AD305/12)&lt;=2),"Acabando",AND(AT305/(AD305/12)&gt;2,AT305/(AD305/12)&lt;=3),"Fazer Pedido",AND(AT305/(AD305/12)&gt;3,AT305/(AD305/12)&lt;=7),"OK",AND(AT305/(AD305/12)&gt;7,AT305/(AD305/12)&lt;=14),"Abaixar Preço",AND(AT305/(AD305/12)&gt;14,AT305/(AD305/12)&lt;=20),"Estabilizando",AT305/(AD305/12)&gt;20,"Instavel"),"Instavel")</f>
        <v>Sem Produto</v>
      </c>
      <c r="AM305" s="1" t="str" cm="1">
        <f t="array" ref="AM305">IFERROR(_xlfn.IFS(AU305="","Sem Produto",AND(AU305/(AE305/12)&gt;0,AU305/(AE305/12)&lt;=2),"Acabando",AND(AU305/(AE305/12)&gt;2,AU305/(AE305/12)&lt;=3),"Fazer Pedido",AND(AU305/(AE305/12)&gt;3,AU305/(AE305/12)&lt;=7),"OK",AND(AU305/(AE305/12)&gt;7,AU305/(AE305/12)&lt;=14),"Abaixar Preço",AND(AU305/(AE305/12)&gt;14,AU305/(AE305/12)&lt;=20),"Estabilizando",AU305/(AE305/12)&gt;20,"Instavel"),"Instavel")</f>
        <v>Sem Produto</v>
      </c>
      <c r="AN305" s="1" t="str">
        <f>IF(SUMIF(vendaAno[data],SituaçãoEstoqueFluxo[[#This Row],[data]],vendaAno[estoque])=0,"Algo errado",IF(AND(AX305/AW305&gt;0,AX305/AW305&lt;=1),"Alerta",IF(AND(AX305/AW305&gt;1,AX305/AW305&lt;=1.5),"Fazer pedido",IF(AND(AX305/AW305&gt;1.5,AX305/AW305&lt;=2),"Ok",IF(AND(AX305/AW305&gt;2,AX305/AW305&lt;=2.5),"Estabilizando",IF(AND(AX305/AW305&gt;2.5,AX305/AW305&lt;=3),"Cheio","Abaixar preço"))))))</f>
        <v>Algo errado</v>
      </c>
      <c r="AO30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5" s="116">
        <f t="shared" si="15"/>
        <v>45929</v>
      </c>
      <c r="AQ30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5" s="82" cm="1">
        <f t="array" aca="1" ref="AV30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5" s="82" cm="1">
        <f t="array" aca="1" ref="AW30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5" s="82">
        <f>SUM(FluxoEstoqueDateTime[[#This Row],[OVO BRANCO A]:[OVO BRANCO JUMBO]])</f>
        <v>0</v>
      </c>
    </row>
    <row r="306" spans="1:50" x14ac:dyDescent="0.25">
      <c r="A306" s="4" t="s">
        <v>20</v>
      </c>
      <c r="B306" s="55" t="s">
        <v>11</v>
      </c>
      <c r="C306" s="5">
        <v>24</v>
      </c>
      <c r="D306" s="56">
        <v>19</v>
      </c>
      <c r="E306" s="56">
        <v>438</v>
      </c>
      <c r="F306" s="157">
        <v>46168</v>
      </c>
      <c r="G306" s="4" t="s">
        <v>290</v>
      </c>
      <c r="H306" s="4" t="s">
        <v>147</v>
      </c>
      <c r="I306" s="153">
        <v>78</v>
      </c>
      <c r="J306" s="12">
        <v>0.17808219178082191</v>
      </c>
      <c r="Z306" s="116">
        <f t="shared" si="13"/>
        <v>45928</v>
      </c>
      <c r="AA30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6" s="116">
        <f t="shared" si="14"/>
        <v>45928</v>
      </c>
      <c r="AI306" s="1" t="str" cm="1">
        <f t="array" ref="AI306">IFERROR(_xlfn.IFS(AQ306="","Sem Produto",AND(AQ306/(AA306/12)&gt;0,AQ306/(AA306/12)&lt;=2),"Acabando",AND(AQ306/(AA306/12)&gt;2,AQ306/(AA306/12)&lt;=3),"Fazer Pedido",AND(AQ306/(AA306/12)&gt;3,AQ306/(AA306/12)&lt;=7),"OK",AND(AQ306/(AA306/12)&gt;7,AQ306/(AA306/12)&lt;=14),"Abaixar Preço",AND(AQ306/(AA306/12)&gt;14,AQ306/(AA306/12)&lt;=20),"Estabilizando",AQ306/(AA306/12)&gt;20,"Instavel"),"Instavel")</f>
        <v>Sem Produto</v>
      </c>
      <c r="AJ306" s="1" t="str" cm="1">
        <f t="array" ref="AJ306">IFERROR(_xlfn.IFS(AR306="","Sem Produto",AND(AR306/(AB306/12)&gt;0,AR306/(AB306/12)&lt;=2),"Acabando",AND(AR306/(AB306/12)&gt;2,AR306/(AB306/12)&lt;=3),"Fazer Pedido",AND(AR306/(AB306/12)&gt;3,AR306/(AB306/12)&lt;=7),"OK",AND(AR306/(AB306/12)&gt;7,AR306/(AB306/12)&lt;=14),"Abaixar Preço",AND(AR306/(AB306/12)&gt;14,AR306/(AB306/12)&lt;=20),"Estabilizando",AR306/(AB306/12)&gt;20,"Instavel"),"Instavel")</f>
        <v>Sem Produto</v>
      </c>
      <c r="AK306" s="1" t="str" cm="1">
        <f t="array" ref="AK306">IFERROR(_xlfn.IFS(AS306="","Sem Produto",AND(AS306/(AC306/12)&gt;0,AS306/(AC306/12)&lt;=2),"Acabando",AND(AS306/(AC306/12)&gt;2,AS306/(AC306/12)&lt;=3),"Fazer Pedido",AND(AS306/(AC306/12)&gt;3,AS306/(AC306/12)&lt;=7),"OK",AND(AS306/(AC306/12)&gt;7,AS306/(AC306/12)&lt;=14),"Abaixar Preço",AND(AS306/(AC306/12)&gt;14,AS306/(AC306/12)&lt;=20),"Estabilizando",AS306/(AC306/12)&gt;20,"Instavel"),"Instavel")</f>
        <v>Sem Produto</v>
      </c>
      <c r="AL306" s="1" t="str" cm="1">
        <f t="array" ref="AL306">IFERROR(_xlfn.IFS(AT306="","Sem Produto",AND(AT306/(AD306/12)&gt;0,AT306/(AD306/12)&lt;=2),"Acabando",AND(AT306/(AD306/12)&gt;2,AT306/(AD306/12)&lt;=3),"Fazer Pedido",AND(AT306/(AD306/12)&gt;3,AT306/(AD306/12)&lt;=7),"OK",AND(AT306/(AD306/12)&gt;7,AT306/(AD306/12)&lt;=14),"Abaixar Preço",AND(AT306/(AD306/12)&gt;14,AT306/(AD306/12)&lt;=20),"Estabilizando",AT306/(AD306/12)&gt;20,"Instavel"),"Instavel")</f>
        <v>Sem Produto</v>
      </c>
      <c r="AM306" s="1" t="str" cm="1">
        <f t="array" ref="AM306">IFERROR(_xlfn.IFS(AU306="","Sem Produto",AND(AU306/(AE306/12)&gt;0,AU306/(AE306/12)&lt;=2),"Acabando",AND(AU306/(AE306/12)&gt;2,AU306/(AE306/12)&lt;=3),"Fazer Pedido",AND(AU306/(AE306/12)&gt;3,AU306/(AE306/12)&lt;=7),"OK",AND(AU306/(AE306/12)&gt;7,AU306/(AE306/12)&lt;=14),"Abaixar Preço",AND(AU306/(AE306/12)&gt;14,AU306/(AE306/12)&lt;=20),"Estabilizando",AU306/(AE306/12)&gt;20,"Instavel"),"Instavel")</f>
        <v>Sem Produto</v>
      </c>
      <c r="AN306" s="1" t="str">
        <f>IF(SUMIF(vendaAno[data],SituaçãoEstoqueFluxo[[#This Row],[data]],vendaAno[estoque])=0,"Algo errado",IF(AND(AX306/AW306&gt;0,AX306/AW306&lt;=1),"Alerta",IF(AND(AX306/AW306&gt;1,AX306/AW306&lt;=1.5),"Fazer pedido",IF(AND(AX306/AW306&gt;1.5,AX306/AW306&lt;=2),"Ok",IF(AND(AX306/AW306&gt;2,AX306/AW306&lt;=2.5),"Estabilizando",IF(AND(AX306/AW306&gt;2.5,AX306/AW306&lt;=3),"Cheio","Abaixar preço"))))))</f>
        <v>Algo errado</v>
      </c>
      <c r="AO30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6" s="116">
        <f t="shared" si="15"/>
        <v>45928</v>
      </c>
      <c r="AQ30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6" s="82" cm="1">
        <f t="array" aca="1" ref="AV30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6" s="82" cm="1">
        <f t="array" aca="1" ref="AW30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6" s="82">
        <f>SUM(FluxoEstoqueDateTime[[#This Row],[OVO BRANCO A]:[OVO BRANCO JUMBO]])</f>
        <v>0</v>
      </c>
    </row>
    <row r="307" spans="1:50" x14ac:dyDescent="0.25">
      <c r="A307" s="4" t="s">
        <v>20</v>
      </c>
      <c r="B307" s="55" t="s">
        <v>10</v>
      </c>
      <c r="C307" s="5">
        <v>4</v>
      </c>
      <c r="D307" s="56">
        <v>20</v>
      </c>
      <c r="E307" s="56">
        <v>80</v>
      </c>
      <c r="F307" s="157">
        <v>46168</v>
      </c>
      <c r="G307" s="4" t="s">
        <v>290</v>
      </c>
      <c r="H307" s="4" t="s">
        <v>147</v>
      </c>
      <c r="I307" s="153">
        <v>15.87</v>
      </c>
      <c r="J307" s="12">
        <v>0.19832355164287954</v>
      </c>
      <c r="Z307" s="116">
        <f t="shared" si="13"/>
        <v>45927</v>
      </c>
      <c r="AA30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7" s="116">
        <f t="shared" si="14"/>
        <v>45927</v>
      </c>
      <c r="AI307" s="1" t="str" cm="1">
        <f t="array" ref="AI307">IFERROR(_xlfn.IFS(AQ307="","Sem Produto",AND(AQ307/(AA307/12)&gt;0,AQ307/(AA307/12)&lt;=2),"Acabando",AND(AQ307/(AA307/12)&gt;2,AQ307/(AA307/12)&lt;=3),"Fazer Pedido",AND(AQ307/(AA307/12)&gt;3,AQ307/(AA307/12)&lt;=7),"OK",AND(AQ307/(AA307/12)&gt;7,AQ307/(AA307/12)&lt;=14),"Abaixar Preço",AND(AQ307/(AA307/12)&gt;14,AQ307/(AA307/12)&lt;=20),"Estabilizando",AQ307/(AA307/12)&gt;20,"Instavel"),"Instavel")</f>
        <v>Sem Produto</v>
      </c>
      <c r="AJ307" s="1" t="str" cm="1">
        <f t="array" ref="AJ307">IFERROR(_xlfn.IFS(AR307="","Sem Produto",AND(AR307/(AB307/12)&gt;0,AR307/(AB307/12)&lt;=2),"Acabando",AND(AR307/(AB307/12)&gt;2,AR307/(AB307/12)&lt;=3),"Fazer Pedido",AND(AR307/(AB307/12)&gt;3,AR307/(AB307/12)&lt;=7),"OK",AND(AR307/(AB307/12)&gt;7,AR307/(AB307/12)&lt;=14),"Abaixar Preço",AND(AR307/(AB307/12)&gt;14,AR307/(AB307/12)&lt;=20),"Estabilizando",AR307/(AB307/12)&gt;20,"Instavel"),"Instavel")</f>
        <v>Sem Produto</v>
      </c>
      <c r="AK307" s="1" t="str" cm="1">
        <f t="array" ref="AK307">IFERROR(_xlfn.IFS(AS307="","Sem Produto",AND(AS307/(AC307/12)&gt;0,AS307/(AC307/12)&lt;=2),"Acabando",AND(AS307/(AC307/12)&gt;2,AS307/(AC307/12)&lt;=3),"Fazer Pedido",AND(AS307/(AC307/12)&gt;3,AS307/(AC307/12)&lt;=7),"OK",AND(AS307/(AC307/12)&gt;7,AS307/(AC307/12)&lt;=14),"Abaixar Preço",AND(AS307/(AC307/12)&gt;14,AS307/(AC307/12)&lt;=20),"Estabilizando",AS307/(AC307/12)&gt;20,"Instavel"),"Instavel")</f>
        <v>Sem Produto</v>
      </c>
      <c r="AL307" s="1" t="str" cm="1">
        <f t="array" ref="AL307">IFERROR(_xlfn.IFS(AT307="","Sem Produto",AND(AT307/(AD307/12)&gt;0,AT307/(AD307/12)&lt;=2),"Acabando",AND(AT307/(AD307/12)&gt;2,AT307/(AD307/12)&lt;=3),"Fazer Pedido",AND(AT307/(AD307/12)&gt;3,AT307/(AD307/12)&lt;=7),"OK",AND(AT307/(AD307/12)&gt;7,AT307/(AD307/12)&lt;=14),"Abaixar Preço",AND(AT307/(AD307/12)&gt;14,AT307/(AD307/12)&lt;=20),"Estabilizando",AT307/(AD307/12)&gt;20,"Instavel"),"Instavel")</f>
        <v>Sem Produto</v>
      </c>
      <c r="AM307" s="1" t="str" cm="1">
        <f t="array" ref="AM307">IFERROR(_xlfn.IFS(AU307="","Sem Produto",AND(AU307/(AE307/12)&gt;0,AU307/(AE307/12)&lt;=2),"Acabando",AND(AU307/(AE307/12)&gt;2,AU307/(AE307/12)&lt;=3),"Fazer Pedido",AND(AU307/(AE307/12)&gt;3,AU307/(AE307/12)&lt;=7),"OK",AND(AU307/(AE307/12)&gt;7,AU307/(AE307/12)&lt;=14),"Abaixar Preço",AND(AU307/(AE307/12)&gt;14,AU307/(AE307/12)&lt;=20),"Estabilizando",AU307/(AE307/12)&gt;20,"Instavel"),"Instavel")</f>
        <v>Sem Produto</v>
      </c>
      <c r="AN307" s="1" t="str">
        <f>IF(SUMIF(vendaAno[data],SituaçãoEstoqueFluxo[[#This Row],[data]],vendaAno[estoque])=0,"Algo errado",IF(AND(AX307/AW307&gt;0,AX307/AW307&lt;=1),"Alerta",IF(AND(AX307/AW307&gt;1,AX307/AW307&lt;=1.5),"Fazer pedido",IF(AND(AX307/AW307&gt;1.5,AX307/AW307&lt;=2),"Ok",IF(AND(AX307/AW307&gt;2,AX307/AW307&lt;=2.5),"Estabilizando",IF(AND(AX307/AW307&gt;2.5,AX307/AW307&lt;=3),"Cheio","Abaixar preço"))))))</f>
        <v>Algo errado</v>
      </c>
      <c r="AO30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7" s="116">
        <f t="shared" si="15"/>
        <v>45927</v>
      </c>
      <c r="AQ30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7" s="82" cm="1">
        <f t="array" aca="1" ref="AV30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7" s="82" cm="1">
        <f t="array" aca="1" ref="AW30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7" s="82">
        <f>SUM(FluxoEstoqueDateTime[[#This Row],[OVO BRANCO A]:[OVO BRANCO JUMBO]])</f>
        <v>0</v>
      </c>
    </row>
    <row r="308" spans="1:50" x14ac:dyDescent="0.25">
      <c r="A308" s="4" t="s">
        <v>20</v>
      </c>
      <c r="B308" s="55" t="s">
        <v>14</v>
      </c>
      <c r="C308" s="5">
        <v>9</v>
      </c>
      <c r="D308" s="56">
        <v>22</v>
      </c>
      <c r="E308" s="56">
        <v>198</v>
      </c>
      <c r="F308" s="157">
        <v>46167</v>
      </c>
      <c r="G308" s="4" t="s">
        <v>291</v>
      </c>
      <c r="H308" s="4" t="s">
        <v>147</v>
      </c>
      <c r="I308" s="153">
        <v>42.51</v>
      </c>
      <c r="J308" s="12">
        <v>0.21469155844155841</v>
      </c>
      <c r="Z308" s="116">
        <f t="shared" si="13"/>
        <v>45926</v>
      </c>
      <c r="AA30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8" s="116">
        <f t="shared" si="14"/>
        <v>45926</v>
      </c>
      <c r="AI308" s="1" t="str" cm="1">
        <f t="array" ref="AI308">IFERROR(_xlfn.IFS(AQ308="","Sem Produto",AND(AQ308/(AA308/12)&gt;0,AQ308/(AA308/12)&lt;=2),"Acabando",AND(AQ308/(AA308/12)&gt;2,AQ308/(AA308/12)&lt;=3),"Fazer Pedido",AND(AQ308/(AA308/12)&gt;3,AQ308/(AA308/12)&lt;=7),"OK",AND(AQ308/(AA308/12)&gt;7,AQ308/(AA308/12)&lt;=14),"Abaixar Preço",AND(AQ308/(AA308/12)&gt;14,AQ308/(AA308/12)&lt;=20),"Estabilizando",AQ308/(AA308/12)&gt;20,"Instavel"),"Instavel")</f>
        <v>Sem Produto</v>
      </c>
      <c r="AJ308" s="1" t="str" cm="1">
        <f t="array" ref="AJ308">IFERROR(_xlfn.IFS(AR308="","Sem Produto",AND(AR308/(AB308/12)&gt;0,AR308/(AB308/12)&lt;=2),"Acabando",AND(AR308/(AB308/12)&gt;2,AR308/(AB308/12)&lt;=3),"Fazer Pedido",AND(AR308/(AB308/12)&gt;3,AR308/(AB308/12)&lt;=7),"OK",AND(AR308/(AB308/12)&gt;7,AR308/(AB308/12)&lt;=14),"Abaixar Preço",AND(AR308/(AB308/12)&gt;14,AR308/(AB308/12)&lt;=20),"Estabilizando",AR308/(AB308/12)&gt;20,"Instavel"),"Instavel")</f>
        <v>Sem Produto</v>
      </c>
      <c r="AK308" s="1" t="str" cm="1">
        <f t="array" ref="AK308">IFERROR(_xlfn.IFS(AS308="","Sem Produto",AND(AS308/(AC308/12)&gt;0,AS308/(AC308/12)&lt;=2),"Acabando",AND(AS308/(AC308/12)&gt;2,AS308/(AC308/12)&lt;=3),"Fazer Pedido",AND(AS308/(AC308/12)&gt;3,AS308/(AC308/12)&lt;=7),"OK",AND(AS308/(AC308/12)&gt;7,AS308/(AC308/12)&lt;=14),"Abaixar Preço",AND(AS308/(AC308/12)&gt;14,AS308/(AC308/12)&lt;=20),"Estabilizando",AS308/(AC308/12)&gt;20,"Instavel"),"Instavel")</f>
        <v>Sem Produto</v>
      </c>
      <c r="AL308" s="1" t="str" cm="1">
        <f t="array" ref="AL308">IFERROR(_xlfn.IFS(AT308="","Sem Produto",AND(AT308/(AD308/12)&gt;0,AT308/(AD308/12)&lt;=2),"Acabando",AND(AT308/(AD308/12)&gt;2,AT308/(AD308/12)&lt;=3),"Fazer Pedido",AND(AT308/(AD308/12)&gt;3,AT308/(AD308/12)&lt;=7),"OK",AND(AT308/(AD308/12)&gt;7,AT308/(AD308/12)&lt;=14),"Abaixar Preço",AND(AT308/(AD308/12)&gt;14,AT308/(AD308/12)&lt;=20),"Estabilizando",AT308/(AD308/12)&gt;20,"Instavel"),"Instavel")</f>
        <v>Sem Produto</v>
      </c>
      <c r="AM308" s="1" t="str" cm="1">
        <f t="array" ref="AM308">IFERROR(_xlfn.IFS(AU308="","Sem Produto",AND(AU308/(AE308/12)&gt;0,AU308/(AE308/12)&lt;=2),"Acabando",AND(AU308/(AE308/12)&gt;2,AU308/(AE308/12)&lt;=3),"Fazer Pedido",AND(AU308/(AE308/12)&gt;3,AU308/(AE308/12)&lt;=7),"OK",AND(AU308/(AE308/12)&gt;7,AU308/(AE308/12)&lt;=14),"Abaixar Preço",AND(AU308/(AE308/12)&gt;14,AU308/(AE308/12)&lt;=20),"Estabilizando",AU308/(AE308/12)&gt;20,"Instavel"),"Instavel")</f>
        <v>Sem Produto</v>
      </c>
      <c r="AN308" s="1" t="str">
        <f>IF(SUMIF(vendaAno[data],SituaçãoEstoqueFluxo[[#This Row],[data]],vendaAno[estoque])=0,"Algo errado",IF(AND(AX308/AW308&gt;0,AX308/AW308&lt;=1),"Alerta",IF(AND(AX308/AW308&gt;1,AX308/AW308&lt;=1.5),"Fazer pedido",IF(AND(AX308/AW308&gt;1.5,AX308/AW308&lt;=2),"Ok",IF(AND(AX308/AW308&gt;2,AX308/AW308&lt;=2.5),"Estabilizando",IF(AND(AX308/AW308&gt;2.5,AX308/AW308&lt;=3),"Cheio","Abaixar preço"))))))</f>
        <v>Algo errado</v>
      </c>
      <c r="AO30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8" s="116">
        <f t="shared" si="15"/>
        <v>45926</v>
      </c>
      <c r="AQ30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8" s="82" cm="1">
        <f t="array" aca="1" ref="AV30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8" s="82" cm="1">
        <f t="array" aca="1" ref="AW30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8" s="82">
        <f>SUM(FluxoEstoqueDateTime[[#This Row],[OVO BRANCO A]:[OVO BRANCO JUMBO]])</f>
        <v>0</v>
      </c>
    </row>
    <row r="309" spans="1:50" x14ac:dyDescent="0.25">
      <c r="A309" s="4" t="s">
        <v>20</v>
      </c>
      <c r="B309" s="55" t="s">
        <v>13</v>
      </c>
      <c r="C309" s="5">
        <v>4</v>
      </c>
      <c r="D309" s="56">
        <v>21</v>
      </c>
      <c r="E309" s="56">
        <v>84</v>
      </c>
      <c r="F309" s="157">
        <v>46167</v>
      </c>
      <c r="G309" s="4" t="s">
        <v>291</v>
      </c>
      <c r="H309" s="4" t="s">
        <v>147</v>
      </c>
      <c r="I309" s="153">
        <v>18.14</v>
      </c>
      <c r="J309" s="12">
        <v>0.21590241034685473</v>
      </c>
      <c r="Z309" s="116">
        <f t="shared" si="13"/>
        <v>45925</v>
      </c>
      <c r="AA30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0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0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0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0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0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0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09" s="116">
        <f t="shared" si="14"/>
        <v>45925</v>
      </c>
      <c r="AI309" s="1" t="str" cm="1">
        <f t="array" ref="AI309">IFERROR(_xlfn.IFS(AQ309="","Sem Produto",AND(AQ309/(AA309/12)&gt;0,AQ309/(AA309/12)&lt;=2),"Acabando",AND(AQ309/(AA309/12)&gt;2,AQ309/(AA309/12)&lt;=3),"Fazer Pedido",AND(AQ309/(AA309/12)&gt;3,AQ309/(AA309/12)&lt;=7),"OK",AND(AQ309/(AA309/12)&gt;7,AQ309/(AA309/12)&lt;=14),"Abaixar Preço",AND(AQ309/(AA309/12)&gt;14,AQ309/(AA309/12)&lt;=20),"Estabilizando",AQ309/(AA309/12)&gt;20,"Instavel"),"Instavel")</f>
        <v>Sem Produto</v>
      </c>
      <c r="AJ309" s="1" t="str" cm="1">
        <f t="array" ref="AJ309">IFERROR(_xlfn.IFS(AR309="","Sem Produto",AND(AR309/(AB309/12)&gt;0,AR309/(AB309/12)&lt;=2),"Acabando",AND(AR309/(AB309/12)&gt;2,AR309/(AB309/12)&lt;=3),"Fazer Pedido",AND(AR309/(AB309/12)&gt;3,AR309/(AB309/12)&lt;=7),"OK",AND(AR309/(AB309/12)&gt;7,AR309/(AB309/12)&lt;=14),"Abaixar Preço",AND(AR309/(AB309/12)&gt;14,AR309/(AB309/12)&lt;=20),"Estabilizando",AR309/(AB309/12)&gt;20,"Instavel"),"Instavel")</f>
        <v>Sem Produto</v>
      </c>
      <c r="AK309" s="1" t="str" cm="1">
        <f t="array" ref="AK309">IFERROR(_xlfn.IFS(AS309="","Sem Produto",AND(AS309/(AC309/12)&gt;0,AS309/(AC309/12)&lt;=2),"Acabando",AND(AS309/(AC309/12)&gt;2,AS309/(AC309/12)&lt;=3),"Fazer Pedido",AND(AS309/(AC309/12)&gt;3,AS309/(AC309/12)&lt;=7),"OK",AND(AS309/(AC309/12)&gt;7,AS309/(AC309/12)&lt;=14),"Abaixar Preço",AND(AS309/(AC309/12)&gt;14,AS309/(AC309/12)&lt;=20),"Estabilizando",AS309/(AC309/12)&gt;20,"Instavel"),"Instavel")</f>
        <v>Sem Produto</v>
      </c>
      <c r="AL309" s="1" t="str" cm="1">
        <f t="array" ref="AL309">IFERROR(_xlfn.IFS(AT309="","Sem Produto",AND(AT309/(AD309/12)&gt;0,AT309/(AD309/12)&lt;=2),"Acabando",AND(AT309/(AD309/12)&gt;2,AT309/(AD309/12)&lt;=3),"Fazer Pedido",AND(AT309/(AD309/12)&gt;3,AT309/(AD309/12)&lt;=7),"OK",AND(AT309/(AD309/12)&gt;7,AT309/(AD309/12)&lt;=14),"Abaixar Preço",AND(AT309/(AD309/12)&gt;14,AT309/(AD309/12)&lt;=20),"Estabilizando",AT309/(AD309/12)&gt;20,"Instavel"),"Instavel")</f>
        <v>Sem Produto</v>
      </c>
      <c r="AM309" s="1" t="str" cm="1">
        <f t="array" ref="AM309">IFERROR(_xlfn.IFS(AU309="","Sem Produto",AND(AU309/(AE309/12)&gt;0,AU309/(AE309/12)&lt;=2),"Acabando",AND(AU309/(AE309/12)&gt;2,AU309/(AE309/12)&lt;=3),"Fazer Pedido",AND(AU309/(AE309/12)&gt;3,AU309/(AE309/12)&lt;=7),"OK",AND(AU309/(AE309/12)&gt;7,AU309/(AE309/12)&lt;=14),"Abaixar Preço",AND(AU309/(AE309/12)&gt;14,AU309/(AE309/12)&lt;=20),"Estabilizando",AU309/(AE309/12)&gt;20,"Instavel"),"Instavel")</f>
        <v>Sem Produto</v>
      </c>
      <c r="AN309" s="1" t="str">
        <f>IF(SUMIF(vendaAno[data],SituaçãoEstoqueFluxo[[#This Row],[data]],vendaAno[estoque])=0,"Algo errado",IF(AND(AX309/AW309&gt;0,AX309/AW309&lt;=1),"Alerta",IF(AND(AX309/AW309&gt;1,AX309/AW309&lt;=1.5),"Fazer pedido",IF(AND(AX309/AW309&gt;1.5,AX309/AW309&lt;=2),"Ok",IF(AND(AX309/AW309&gt;2,AX309/AW309&lt;=2.5),"Estabilizando",IF(AND(AX309/AW309&gt;2.5,AX309/AW309&lt;=3),"Cheio","Abaixar preço"))))))</f>
        <v>Algo errado</v>
      </c>
      <c r="AO30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09" s="116">
        <f t="shared" si="15"/>
        <v>45925</v>
      </c>
      <c r="AQ30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0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0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0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0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09" s="82" cm="1">
        <f t="array" aca="1" ref="AV30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09" s="82" cm="1">
        <f t="array" aca="1" ref="AW30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09" s="82">
        <f>SUM(FluxoEstoqueDateTime[[#This Row],[OVO BRANCO A]:[OVO BRANCO JUMBO]])</f>
        <v>0</v>
      </c>
    </row>
    <row r="310" spans="1:50" x14ac:dyDescent="0.25">
      <c r="A310" s="4" t="s">
        <v>20</v>
      </c>
      <c r="B310" s="55" t="s">
        <v>11</v>
      </c>
      <c r="C310" s="5">
        <v>2</v>
      </c>
      <c r="D310" s="56">
        <v>19</v>
      </c>
      <c r="E310" s="56">
        <v>38</v>
      </c>
      <c r="F310" s="157">
        <v>46167</v>
      </c>
      <c r="G310" s="4" t="s">
        <v>291</v>
      </c>
      <c r="H310" s="4" t="s">
        <v>147</v>
      </c>
      <c r="I310" s="153">
        <v>8</v>
      </c>
      <c r="J310" s="12">
        <v>0.21052631578947367</v>
      </c>
      <c r="Z310" s="116">
        <f t="shared" si="13"/>
        <v>45924</v>
      </c>
      <c r="AA31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0" s="116">
        <f t="shared" si="14"/>
        <v>45924</v>
      </c>
      <c r="AI310" s="1" t="str" cm="1">
        <f t="array" ref="AI310">IFERROR(_xlfn.IFS(AQ310="","Sem Produto",AND(AQ310/(AA310/12)&gt;0,AQ310/(AA310/12)&lt;=2),"Acabando",AND(AQ310/(AA310/12)&gt;2,AQ310/(AA310/12)&lt;=3),"Fazer Pedido",AND(AQ310/(AA310/12)&gt;3,AQ310/(AA310/12)&lt;=7),"OK",AND(AQ310/(AA310/12)&gt;7,AQ310/(AA310/12)&lt;=14),"Abaixar Preço",AND(AQ310/(AA310/12)&gt;14,AQ310/(AA310/12)&lt;=20),"Estabilizando",AQ310/(AA310/12)&gt;20,"Instavel"),"Instavel")</f>
        <v>Sem Produto</v>
      </c>
      <c r="AJ310" s="1" t="str" cm="1">
        <f t="array" ref="AJ310">IFERROR(_xlfn.IFS(AR310="","Sem Produto",AND(AR310/(AB310/12)&gt;0,AR310/(AB310/12)&lt;=2),"Acabando",AND(AR310/(AB310/12)&gt;2,AR310/(AB310/12)&lt;=3),"Fazer Pedido",AND(AR310/(AB310/12)&gt;3,AR310/(AB310/12)&lt;=7),"OK",AND(AR310/(AB310/12)&gt;7,AR310/(AB310/12)&lt;=14),"Abaixar Preço",AND(AR310/(AB310/12)&gt;14,AR310/(AB310/12)&lt;=20),"Estabilizando",AR310/(AB310/12)&gt;20,"Instavel"),"Instavel")</f>
        <v>Sem Produto</v>
      </c>
      <c r="AK310" s="1" t="str" cm="1">
        <f t="array" ref="AK310">IFERROR(_xlfn.IFS(AS310="","Sem Produto",AND(AS310/(AC310/12)&gt;0,AS310/(AC310/12)&lt;=2),"Acabando",AND(AS310/(AC310/12)&gt;2,AS310/(AC310/12)&lt;=3),"Fazer Pedido",AND(AS310/(AC310/12)&gt;3,AS310/(AC310/12)&lt;=7),"OK",AND(AS310/(AC310/12)&gt;7,AS310/(AC310/12)&lt;=14),"Abaixar Preço",AND(AS310/(AC310/12)&gt;14,AS310/(AC310/12)&lt;=20),"Estabilizando",AS310/(AC310/12)&gt;20,"Instavel"),"Instavel")</f>
        <v>Sem Produto</v>
      </c>
      <c r="AL310" s="1" t="str" cm="1">
        <f t="array" ref="AL310">IFERROR(_xlfn.IFS(AT310="","Sem Produto",AND(AT310/(AD310/12)&gt;0,AT310/(AD310/12)&lt;=2),"Acabando",AND(AT310/(AD310/12)&gt;2,AT310/(AD310/12)&lt;=3),"Fazer Pedido",AND(AT310/(AD310/12)&gt;3,AT310/(AD310/12)&lt;=7),"OK",AND(AT310/(AD310/12)&gt;7,AT310/(AD310/12)&lt;=14),"Abaixar Preço",AND(AT310/(AD310/12)&gt;14,AT310/(AD310/12)&lt;=20),"Estabilizando",AT310/(AD310/12)&gt;20,"Instavel"),"Instavel")</f>
        <v>Sem Produto</v>
      </c>
      <c r="AM310" s="1" t="str" cm="1">
        <f t="array" ref="AM310">IFERROR(_xlfn.IFS(AU310="","Sem Produto",AND(AU310/(AE310/12)&gt;0,AU310/(AE310/12)&lt;=2),"Acabando",AND(AU310/(AE310/12)&gt;2,AU310/(AE310/12)&lt;=3),"Fazer Pedido",AND(AU310/(AE310/12)&gt;3,AU310/(AE310/12)&lt;=7),"OK",AND(AU310/(AE310/12)&gt;7,AU310/(AE310/12)&lt;=14),"Abaixar Preço",AND(AU310/(AE310/12)&gt;14,AU310/(AE310/12)&lt;=20),"Estabilizando",AU310/(AE310/12)&gt;20,"Instavel"),"Instavel")</f>
        <v>Sem Produto</v>
      </c>
      <c r="AN310" s="1" t="str">
        <f>IF(SUMIF(vendaAno[data],SituaçãoEstoqueFluxo[[#This Row],[data]],vendaAno[estoque])=0,"Algo errado",IF(AND(AX310/AW310&gt;0,AX310/AW310&lt;=1),"Alerta",IF(AND(AX310/AW310&gt;1,AX310/AW310&lt;=1.5),"Fazer pedido",IF(AND(AX310/AW310&gt;1.5,AX310/AW310&lt;=2),"Ok",IF(AND(AX310/AW310&gt;2,AX310/AW310&lt;=2.5),"Estabilizando",IF(AND(AX310/AW310&gt;2.5,AX310/AW310&lt;=3),"Cheio","Abaixar preço"))))))</f>
        <v>Algo errado</v>
      </c>
      <c r="AO31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0" s="116">
        <f t="shared" si="15"/>
        <v>45924</v>
      </c>
      <c r="AQ31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0" s="82" cm="1">
        <f t="array" aca="1" ref="AV31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0" s="82" cm="1">
        <f t="array" aca="1" ref="AW31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0" s="82">
        <f>SUM(FluxoEstoqueDateTime[[#This Row],[OVO BRANCO A]:[OVO BRANCO JUMBO]])</f>
        <v>0</v>
      </c>
    </row>
    <row r="311" spans="1:50" x14ac:dyDescent="0.25">
      <c r="A311" s="4" t="s">
        <v>20</v>
      </c>
      <c r="B311" s="55" t="s">
        <v>10</v>
      </c>
      <c r="C311" s="5">
        <v>8</v>
      </c>
      <c r="D311" s="56">
        <v>20</v>
      </c>
      <c r="E311" s="56">
        <v>160</v>
      </c>
      <c r="F311" s="157">
        <v>46167</v>
      </c>
      <c r="G311" s="4" t="s">
        <v>291</v>
      </c>
      <c r="H311" s="4" t="s">
        <v>147</v>
      </c>
      <c r="I311" s="153">
        <v>31.73</v>
      </c>
      <c r="J311" s="12">
        <v>0.19832355164287954</v>
      </c>
      <c r="Z311" s="116">
        <f t="shared" si="13"/>
        <v>45923</v>
      </c>
      <c r="AA31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1" s="116">
        <f t="shared" si="14"/>
        <v>45923</v>
      </c>
      <c r="AI311" s="1" t="str" cm="1">
        <f t="array" ref="AI311">IFERROR(_xlfn.IFS(AQ311="","Sem Produto",AND(AQ311/(AA311/12)&gt;0,AQ311/(AA311/12)&lt;=2),"Acabando",AND(AQ311/(AA311/12)&gt;2,AQ311/(AA311/12)&lt;=3),"Fazer Pedido",AND(AQ311/(AA311/12)&gt;3,AQ311/(AA311/12)&lt;=7),"OK",AND(AQ311/(AA311/12)&gt;7,AQ311/(AA311/12)&lt;=14),"Abaixar Preço",AND(AQ311/(AA311/12)&gt;14,AQ311/(AA311/12)&lt;=20),"Estabilizando",AQ311/(AA311/12)&gt;20,"Instavel"),"Instavel")</f>
        <v>Sem Produto</v>
      </c>
      <c r="AJ311" s="1" t="str" cm="1">
        <f t="array" ref="AJ311">IFERROR(_xlfn.IFS(AR311="","Sem Produto",AND(AR311/(AB311/12)&gt;0,AR311/(AB311/12)&lt;=2),"Acabando",AND(AR311/(AB311/12)&gt;2,AR311/(AB311/12)&lt;=3),"Fazer Pedido",AND(AR311/(AB311/12)&gt;3,AR311/(AB311/12)&lt;=7),"OK",AND(AR311/(AB311/12)&gt;7,AR311/(AB311/12)&lt;=14),"Abaixar Preço",AND(AR311/(AB311/12)&gt;14,AR311/(AB311/12)&lt;=20),"Estabilizando",AR311/(AB311/12)&gt;20,"Instavel"),"Instavel")</f>
        <v>Sem Produto</v>
      </c>
      <c r="AK311" s="1" t="str" cm="1">
        <f t="array" ref="AK311">IFERROR(_xlfn.IFS(AS311="","Sem Produto",AND(AS311/(AC311/12)&gt;0,AS311/(AC311/12)&lt;=2),"Acabando",AND(AS311/(AC311/12)&gt;2,AS311/(AC311/12)&lt;=3),"Fazer Pedido",AND(AS311/(AC311/12)&gt;3,AS311/(AC311/12)&lt;=7),"OK",AND(AS311/(AC311/12)&gt;7,AS311/(AC311/12)&lt;=14),"Abaixar Preço",AND(AS311/(AC311/12)&gt;14,AS311/(AC311/12)&lt;=20),"Estabilizando",AS311/(AC311/12)&gt;20,"Instavel"),"Instavel")</f>
        <v>Sem Produto</v>
      </c>
      <c r="AL311" s="1" t="str" cm="1">
        <f t="array" ref="AL311">IFERROR(_xlfn.IFS(AT311="","Sem Produto",AND(AT311/(AD311/12)&gt;0,AT311/(AD311/12)&lt;=2),"Acabando",AND(AT311/(AD311/12)&gt;2,AT311/(AD311/12)&lt;=3),"Fazer Pedido",AND(AT311/(AD311/12)&gt;3,AT311/(AD311/12)&lt;=7),"OK",AND(AT311/(AD311/12)&gt;7,AT311/(AD311/12)&lt;=14),"Abaixar Preço",AND(AT311/(AD311/12)&gt;14,AT311/(AD311/12)&lt;=20),"Estabilizando",AT311/(AD311/12)&gt;20,"Instavel"),"Instavel")</f>
        <v>Sem Produto</v>
      </c>
      <c r="AM311" s="1" t="str" cm="1">
        <f t="array" ref="AM311">IFERROR(_xlfn.IFS(AU311="","Sem Produto",AND(AU311/(AE311/12)&gt;0,AU311/(AE311/12)&lt;=2),"Acabando",AND(AU311/(AE311/12)&gt;2,AU311/(AE311/12)&lt;=3),"Fazer Pedido",AND(AU311/(AE311/12)&gt;3,AU311/(AE311/12)&lt;=7),"OK",AND(AU311/(AE311/12)&gt;7,AU311/(AE311/12)&lt;=14),"Abaixar Preço",AND(AU311/(AE311/12)&gt;14,AU311/(AE311/12)&lt;=20),"Estabilizando",AU311/(AE311/12)&gt;20,"Instavel"),"Instavel")</f>
        <v>Sem Produto</v>
      </c>
      <c r="AN311" s="1" t="str">
        <f>IF(SUMIF(vendaAno[data],SituaçãoEstoqueFluxo[[#This Row],[data]],vendaAno[estoque])=0,"Algo errado",IF(AND(AX311/AW311&gt;0,AX311/AW311&lt;=1),"Alerta",IF(AND(AX311/AW311&gt;1,AX311/AW311&lt;=1.5),"Fazer pedido",IF(AND(AX311/AW311&gt;1.5,AX311/AW311&lt;=2),"Ok",IF(AND(AX311/AW311&gt;2,AX311/AW311&lt;=2.5),"Estabilizando",IF(AND(AX311/AW311&gt;2.5,AX311/AW311&lt;=3),"Cheio","Abaixar preço"))))))</f>
        <v>Algo errado</v>
      </c>
      <c r="AO31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1" s="116">
        <f t="shared" si="15"/>
        <v>45923</v>
      </c>
      <c r="AQ31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1" s="82" cm="1">
        <f t="array" aca="1" ref="AV31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1" s="82" cm="1">
        <f t="array" aca="1" ref="AW31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1" s="82">
        <f>SUM(FluxoEstoqueDateTime[[#This Row],[OVO BRANCO A]:[OVO BRANCO JUMBO]])</f>
        <v>0</v>
      </c>
    </row>
    <row r="312" spans="1:50" x14ac:dyDescent="0.25">
      <c r="A312" s="4" t="s">
        <v>20</v>
      </c>
      <c r="B312" s="55" t="s">
        <v>14</v>
      </c>
      <c r="C312" s="5">
        <v>7</v>
      </c>
      <c r="D312" s="56">
        <v>22</v>
      </c>
      <c r="E312" s="56">
        <v>154</v>
      </c>
      <c r="F312" s="157">
        <v>46166</v>
      </c>
      <c r="G312" s="4" t="s">
        <v>93</v>
      </c>
      <c r="H312" s="4" t="s">
        <v>147</v>
      </c>
      <c r="I312" s="153">
        <v>33.06</v>
      </c>
      <c r="J312" s="12">
        <v>0.21469155844155841</v>
      </c>
      <c r="Z312" s="116">
        <f t="shared" si="13"/>
        <v>45922</v>
      </c>
      <c r="AA31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2" s="116">
        <f t="shared" si="14"/>
        <v>45922</v>
      </c>
      <c r="AI312" s="1" t="str" cm="1">
        <f t="array" ref="AI312">IFERROR(_xlfn.IFS(AQ312="","Sem Produto",AND(AQ312/(AA312/12)&gt;0,AQ312/(AA312/12)&lt;=2),"Acabando",AND(AQ312/(AA312/12)&gt;2,AQ312/(AA312/12)&lt;=3),"Fazer Pedido",AND(AQ312/(AA312/12)&gt;3,AQ312/(AA312/12)&lt;=7),"OK",AND(AQ312/(AA312/12)&gt;7,AQ312/(AA312/12)&lt;=14),"Abaixar Preço",AND(AQ312/(AA312/12)&gt;14,AQ312/(AA312/12)&lt;=20),"Estabilizando",AQ312/(AA312/12)&gt;20,"Instavel"),"Instavel")</f>
        <v>Sem Produto</v>
      </c>
      <c r="AJ312" s="1" t="str" cm="1">
        <f t="array" ref="AJ312">IFERROR(_xlfn.IFS(AR312="","Sem Produto",AND(AR312/(AB312/12)&gt;0,AR312/(AB312/12)&lt;=2),"Acabando",AND(AR312/(AB312/12)&gt;2,AR312/(AB312/12)&lt;=3),"Fazer Pedido",AND(AR312/(AB312/12)&gt;3,AR312/(AB312/12)&lt;=7),"OK",AND(AR312/(AB312/12)&gt;7,AR312/(AB312/12)&lt;=14),"Abaixar Preço",AND(AR312/(AB312/12)&gt;14,AR312/(AB312/12)&lt;=20),"Estabilizando",AR312/(AB312/12)&gt;20,"Instavel"),"Instavel")</f>
        <v>Sem Produto</v>
      </c>
      <c r="AK312" s="1" t="str" cm="1">
        <f t="array" ref="AK312">IFERROR(_xlfn.IFS(AS312="","Sem Produto",AND(AS312/(AC312/12)&gt;0,AS312/(AC312/12)&lt;=2),"Acabando",AND(AS312/(AC312/12)&gt;2,AS312/(AC312/12)&lt;=3),"Fazer Pedido",AND(AS312/(AC312/12)&gt;3,AS312/(AC312/12)&lt;=7),"OK",AND(AS312/(AC312/12)&gt;7,AS312/(AC312/12)&lt;=14),"Abaixar Preço",AND(AS312/(AC312/12)&gt;14,AS312/(AC312/12)&lt;=20),"Estabilizando",AS312/(AC312/12)&gt;20,"Instavel"),"Instavel")</f>
        <v>Sem Produto</v>
      </c>
      <c r="AL312" s="1" t="str" cm="1">
        <f t="array" ref="AL312">IFERROR(_xlfn.IFS(AT312="","Sem Produto",AND(AT312/(AD312/12)&gt;0,AT312/(AD312/12)&lt;=2),"Acabando",AND(AT312/(AD312/12)&gt;2,AT312/(AD312/12)&lt;=3),"Fazer Pedido",AND(AT312/(AD312/12)&gt;3,AT312/(AD312/12)&lt;=7),"OK",AND(AT312/(AD312/12)&gt;7,AT312/(AD312/12)&lt;=14),"Abaixar Preço",AND(AT312/(AD312/12)&gt;14,AT312/(AD312/12)&lt;=20),"Estabilizando",AT312/(AD312/12)&gt;20,"Instavel"),"Instavel")</f>
        <v>Sem Produto</v>
      </c>
      <c r="AM312" s="1" t="str" cm="1">
        <f t="array" ref="AM312">IFERROR(_xlfn.IFS(AU312="","Sem Produto",AND(AU312/(AE312/12)&gt;0,AU312/(AE312/12)&lt;=2),"Acabando",AND(AU312/(AE312/12)&gt;2,AU312/(AE312/12)&lt;=3),"Fazer Pedido",AND(AU312/(AE312/12)&gt;3,AU312/(AE312/12)&lt;=7),"OK",AND(AU312/(AE312/12)&gt;7,AU312/(AE312/12)&lt;=14),"Abaixar Preço",AND(AU312/(AE312/12)&gt;14,AU312/(AE312/12)&lt;=20),"Estabilizando",AU312/(AE312/12)&gt;20,"Instavel"),"Instavel")</f>
        <v>Sem Produto</v>
      </c>
      <c r="AN312" s="1" t="str">
        <f>IF(SUMIF(vendaAno[data],SituaçãoEstoqueFluxo[[#This Row],[data]],vendaAno[estoque])=0,"Algo errado",IF(AND(AX312/AW312&gt;0,AX312/AW312&lt;=1),"Alerta",IF(AND(AX312/AW312&gt;1,AX312/AW312&lt;=1.5),"Fazer pedido",IF(AND(AX312/AW312&gt;1.5,AX312/AW312&lt;=2),"Ok",IF(AND(AX312/AW312&gt;2,AX312/AW312&lt;=2.5),"Estabilizando",IF(AND(AX312/AW312&gt;2.5,AX312/AW312&lt;=3),"Cheio","Abaixar preço"))))))</f>
        <v>Algo errado</v>
      </c>
      <c r="AO31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2" s="116">
        <f t="shared" si="15"/>
        <v>45922</v>
      </c>
      <c r="AQ31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2" s="82" cm="1">
        <f t="array" aca="1" ref="AV31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2" s="82" cm="1">
        <f t="array" aca="1" ref="AW31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2" s="82">
        <f>SUM(FluxoEstoqueDateTime[[#This Row],[OVO BRANCO A]:[OVO BRANCO JUMBO]])</f>
        <v>0</v>
      </c>
    </row>
    <row r="313" spans="1:50" x14ac:dyDescent="0.25">
      <c r="A313" s="4" t="s">
        <v>20</v>
      </c>
      <c r="B313" s="55" t="s">
        <v>13</v>
      </c>
      <c r="C313" s="5">
        <v>3</v>
      </c>
      <c r="D313" s="56">
        <v>21</v>
      </c>
      <c r="E313" s="56">
        <v>63</v>
      </c>
      <c r="F313" s="157">
        <v>46166</v>
      </c>
      <c r="G313" s="4" t="s">
        <v>93</v>
      </c>
      <c r="H313" s="4" t="s">
        <v>147</v>
      </c>
      <c r="I313" s="153">
        <v>13.6</v>
      </c>
      <c r="J313" s="12">
        <v>0.21590241034685473</v>
      </c>
      <c r="Z313" s="116">
        <f t="shared" si="13"/>
        <v>45921</v>
      </c>
      <c r="AA31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3" s="116">
        <f t="shared" si="14"/>
        <v>45921</v>
      </c>
      <c r="AI313" s="1" t="str" cm="1">
        <f t="array" ref="AI313">IFERROR(_xlfn.IFS(AQ313="","Sem Produto",AND(AQ313/(AA313/12)&gt;0,AQ313/(AA313/12)&lt;=2),"Acabando",AND(AQ313/(AA313/12)&gt;2,AQ313/(AA313/12)&lt;=3),"Fazer Pedido",AND(AQ313/(AA313/12)&gt;3,AQ313/(AA313/12)&lt;=7),"OK",AND(AQ313/(AA313/12)&gt;7,AQ313/(AA313/12)&lt;=14),"Abaixar Preço",AND(AQ313/(AA313/12)&gt;14,AQ313/(AA313/12)&lt;=20),"Estabilizando",AQ313/(AA313/12)&gt;20,"Instavel"),"Instavel")</f>
        <v>Sem Produto</v>
      </c>
      <c r="AJ313" s="1" t="str" cm="1">
        <f t="array" ref="AJ313">IFERROR(_xlfn.IFS(AR313="","Sem Produto",AND(AR313/(AB313/12)&gt;0,AR313/(AB313/12)&lt;=2),"Acabando",AND(AR313/(AB313/12)&gt;2,AR313/(AB313/12)&lt;=3),"Fazer Pedido",AND(AR313/(AB313/12)&gt;3,AR313/(AB313/12)&lt;=7),"OK",AND(AR313/(AB313/12)&gt;7,AR313/(AB313/12)&lt;=14),"Abaixar Preço",AND(AR313/(AB313/12)&gt;14,AR313/(AB313/12)&lt;=20),"Estabilizando",AR313/(AB313/12)&gt;20,"Instavel"),"Instavel")</f>
        <v>Sem Produto</v>
      </c>
      <c r="AK313" s="1" t="str" cm="1">
        <f t="array" ref="AK313">IFERROR(_xlfn.IFS(AS313="","Sem Produto",AND(AS313/(AC313/12)&gt;0,AS313/(AC313/12)&lt;=2),"Acabando",AND(AS313/(AC313/12)&gt;2,AS313/(AC313/12)&lt;=3),"Fazer Pedido",AND(AS313/(AC313/12)&gt;3,AS313/(AC313/12)&lt;=7),"OK",AND(AS313/(AC313/12)&gt;7,AS313/(AC313/12)&lt;=14),"Abaixar Preço",AND(AS313/(AC313/12)&gt;14,AS313/(AC313/12)&lt;=20),"Estabilizando",AS313/(AC313/12)&gt;20,"Instavel"),"Instavel")</f>
        <v>Sem Produto</v>
      </c>
      <c r="AL313" s="1" t="str" cm="1">
        <f t="array" ref="AL313">IFERROR(_xlfn.IFS(AT313="","Sem Produto",AND(AT313/(AD313/12)&gt;0,AT313/(AD313/12)&lt;=2),"Acabando",AND(AT313/(AD313/12)&gt;2,AT313/(AD313/12)&lt;=3),"Fazer Pedido",AND(AT313/(AD313/12)&gt;3,AT313/(AD313/12)&lt;=7),"OK",AND(AT313/(AD313/12)&gt;7,AT313/(AD313/12)&lt;=14),"Abaixar Preço",AND(AT313/(AD313/12)&gt;14,AT313/(AD313/12)&lt;=20),"Estabilizando",AT313/(AD313/12)&gt;20,"Instavel"),"Instavel")</f>
        <v>Sem Produto</v>
      </c>
      <c r="AM313" s="1" t="str" cm="1">
        <f t="array" ref="AM313">IFERROR(_xlfn.IFS(AU313="","Sem Produto",AND(AU313/(AE313/12)&gt;0,AU313/(AE313/12)&lt;=2),"Acabando",AND(AU313/(AE313/12)&gt;2,AU313/(AE313/12)&lt;=3),"Fazer Pedido",AND(AU313/(AE313/12)&gt;3,AU313/(AE313/12)&lt;=7),"OK",AND(AU313/(AE313/12)&gt;7,AU313/(AE313/12)&lt;=14),"Abaixar Preço",AND(AU313/(AE313/12)&gt;14,AU313/(AE313/12)&lt;=20),"Estabilizando",AU313/(AE313/12)&gt;20,"Instavel"),"Instavel")</f>
        <v>Sem Produto</v>
      </c>
      <c r="AN313" s="1" t="str">
        <f>IF(SUMIF(vendaAno[data],SituaçãoEstoqueFluxo[[#This Row],[data]],vendaAno[estoque])=0,"Algo errado",IF(AND(AX313/AW313&gt;0,AX313/AW313&lt;=1),"Alerta",IF(AND(AX313/AW313&gt;1,AX313/AW313&lt;=1.5),"Fazer pedido",IF(AND(AX313/AW313&gt;1.5,AX313/AW313&lt;=2),"Ok",IF(AND(AX313/AW313&gt;2,AX313/AW313&lt;=2.5),"Estabilizando",IF(AND(AX313/AW313&gt;2.5,AX313/AW313&lt;=3),"Cheio","Abaixar preço"))))))</f>
        <v>Algo errado</v>
      </c>
      <c r="AO31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3" s="116">
        <f t="shared" si="15"/>
        <v>45921</v>
      </c>
      <c r="AQ31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3" s="82" cm="1">
        <f t="array" aca="1" ref="AV31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3" s="82" cm="1">
        <f t="array" aca="1" ref="AW31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3" s="82">
        <f>SUM(FluxoEstoqueDateTime[[#This Row],[OVO BRANCO A]:[OVO BRANCO JUMBO]])</f>
        <v>0</v>
      </c>
    </row>
    <row r="314" spans="1:50" x14ac:dyDescent="0.25">
      <c r="A314" s="4" t="s">
        <v>20</v>
      </c>
      <c r="B314" s="55" t="s">
        <v>11</v>
      </c>
      <c r="C314" s="5">
        <v>9</v>
      </c>
      <c r="D314" s="56">
        <v>19</v>
      </c>
      <c r="E314" s="56">
        <v>171</v>
      </c>
      <c r="F314" s="157">
        <v>46166</v>
      </c>
      <c r="G314" s="4" t="s">
        <v>93</v>
      </c>
      <c r="H314" s="4" t="s">
        <v>147</v>
      </c>
      <c r="I314" s="153">
        <v>36</v>
      </c>
      <c r="J314" s="12">
        <v>0.21052631578947367</v>
      </c>
      <c r="Z314" s="116">
        <f t="shared" si="13"/>
        <v>45920</v>
      </c>
      <c r="AA31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4" s="116">
        <f t="shared" si="14"/>
        <v>45920</v>
      </c>
      <c r="AI314" s="1" t="str" cm="1">
        <f t="array" ref="AI314">IFERROR(_xlfn.IFS(AQ314="","Sem Produto",AND(AQ314/(AA314/12)&gt;0,AQ314/(AA314/12)&lt;=2),"Acabando",AND(AQ314/(AA314/12)&gt;2,AQ314/(AA314/12)&lt;=3),"Fazer Pedido",AND(AQ314/(AA314/12)&gt;3,AQ314/(AA314/12)&lt;=7),"OK",AND(AQ314/(AA314/12)&gt;7,AQ314/(AA314/12)&lt;=14),"Abaixar Preço",AND(AQ314/(AA314/12)&gt;14,AQ314/(AA314/12)&lt;=20),"Estabilizando",AQ314/(AA314/12)&gt;20,"Instavel"),"Instavel")</f>
        <v>Sem Produto</v>
      </c>
      <c r="AJ314" s="1" t="str" cm="1">
        <f t="array" ref="AJ314">IFERROR(_xlfn.IFS(AR314="","Sem Produto",AND(AR314/(AB314/12)&gt;0,AR314/(AB314/12)&lt;=2),"Acabando",AND(AR314/(AB314/12)&gt;2,AR314/(AB314/12)&lt;=3),"Fazer Pedido",AND(AR314/(AB314/12)&gt;3,AR314/(AB314/12)&lt;=7),"OK",AND(AR314/(AB314/12)&gt;7,AR314/(AB314/12)&lt;=14),"Abaixar Preço",AND(AR314/(AB314/12)&gt;14,AR314/(AB314/12)&lt;=20),"Estabilizando",AR314/(AB314/12)&gt;20,"Instavel"),"Instavel")</f>
        <v>Sem Produto</v>
      </c>
      <c r="AK314" s="1" t="str" cm="1">
        <f t="array" ref="AK314">IFERROR(_xlfn.IFS(AS314="","Sem Produto",AND(AS314/(AC314/12)&gt;0,AS314/(AC314/12)&lt;=2),"Acabando",AND(AS314/(AC314/12)&gt;2,AS314/(AC314/12)&lt;=3),"Fazer Pedido",AND(AS314/(AC314/12)&gt;3,AS314/(AC314/12)&lt;=7),"OK",AND(AS314/(AC314/12)&gt;7,AS314/(AC314/12)&lt;=14),"Abaixar Preço",AND(AS314/(AC314/12)&gt;14,AS314/(AC314/12)&lt;=20),"Estabilizando",AS314/(AC314/12)&gt;20,"Instavel"),"Instavel")</f>
        <v>Sem Produto</v>
      </c>
      <c r="AL314" s="1" t="str" cm="1">
        <f t="array" ref="AL314">IFERROR(_xlfn.IFS(AT314="","Sem Produto",AND(AT314/(AD314/12)&gt;0,AT314/(AD314/12)&lt;=2),"Acabando",AND(AT314/(AD314/12)&gt;2,AT314/(AD314/12)&lt;=3),"Fazer Pedido",AND(AT314/(AD314/12)&gt;3,AT314/(AD314/12)&lt;=7),"OK",AND(AT314/(AD314/12)&gt;7,AT314/(AD314/12)&lt;=14),"Abaixar Preço",AND(AT314/(AD314/12)&gt;14,AT314/(AD314/12)&lt;=20),"Estabilizando",AT314/(AD314/12)&gt;20,"Instavel"),"Instavel")</f>
        <v>Sem Produto</v>
      </c>
      <c r="AM314" s="1" t="str" cm="1">
        <f t="array" ref="AM314">IFERROR(_xlfn.IFS(AU314="","Sem Produto",AND(AU314/(AE314/12)&gt;0,AU314/(AE314/12)&lt;=2),"Acabando",AND(AU314/(AE314/12)&gt;2,AU314/(AE314/12)&lt;=3),"Fazer Pedido",AND(AU314/(AE314/12)&gt;3,AU314/(AE314/12)&lt;=7),"OK",AND(AU314/(AE314/12)&gt;7,AU314/(AE314/12)&lt;=14),"Abaixar Preço",AND(AU314/(AE314/12)&gt;14,AU314/(AE314/12)&lt;=20),"Estabilizando",AU314/(AE314/12)&gt;20,"Instavel"),"Instavel")</f>
        <v>Sem Produto</v>
      </c>
      <c r="AN314" s="1" t="str">
        <f>IF(SUMIF(vendaAno[data],SituaçãoEstoqueFluxo[[#This Row],[data]],vendaAno[estoque])=0,"Algo errado",IF(AND(AX314/AW314&gt;0,AX314/AW314&lt;=1),"Alerta",IF(AND(AX314/AW314&gt;1,AX314/AW314&lt;=1.5),"Fazer pedido",IF(AND(AX314/AW314&gt;1.5,AX314/AW314&lt;=2),"Ok",IF(AND(AX314/AW314&gt;2,AX314/AW314&lt;=2.5),"Estabilizando",IF(AND(AX314/AW314&gt;2.5,AX314/AW314&lt;=3),"Cheio","Abaixar preço"))))))</f>
        <v>Algo errado</v>
      </c>
      <c r="AO31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4" s="116">
        <f t="shared" si="15"/>
        <v>45920</v>
      </c>
      <c r="AQ31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4" s="82" cm="1">
        <f t="array" aca="1" ref="AV31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4" s="82" cm="1">
        <f t="array" aca="1" ref="AW31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4" s="82">
        <f>SUM(FluxoEstoqueDateTime[[#This Row],[OVO BRANCO A]:[OVO BRANCO JUMBO]])</f>
        <v>0</v>
      </c>
    </row>
    <row r="315" spans="1:50" x14ac:dyDescent="0.25">
      <c r="A315" s="4" t="s">
        <v>20</v>
      </c>
      <c r="B315" s="55" t="s">
        <v>10</v>
      </c>
      <c r="C315" s="5">
        <v>17</v>
      </c>
      <c r="D315" s="56">
        <v>20</v>
      </c>
      <c r="E315" s="56">
        <v>340</v>
      </c>
      <c r="F315" s="157">
        <v>46166</v>
      </c>
      <c r="G315" s="4" t="s">
        <v>93</v>
      </c>
      <c r="H315" s="4" t="s">
        <v>147</v>
      </c>
      <c r="I315" s="153">
        <v>67.430000000000007</v>
      </c>
      <c r="J315" s="12">
        <v>0.19832355164287951</v>
      </c>
      <c r="Z315" s="116">
        <f t="shared" si="13"/>
        <v>45919</v>
      </c>
      <c r="AA31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5" s="116">
        <f t="shared" si="14"/>
        <v>45919</v>
      </c>
      <c r="AI315" s="1" t="str" cm="1">
        <f t="array" ref="AI315">IFERROR(_xlfn.IFS(AQ315="","Sem Produto",AND(AQ315/(AA315/12)&gt;0,AQ315/(AA315/12)&lt;=2),"Acabando",AND(AQ315/(AA315/12)&gt;2,AQ315/(AA315/12)&lt;=3),"Fazer Pedido",AND(AQ315/(AA315/12)&gt;3,AQ315/(AA315/12)&lt;=7),"OK",AND(AQ315/(AA315/12)&gt;7,AQ315/(AA315/12)&lt;=14),"Abaixar Preço",AND(AQ315/(AA315/12)&gt;14,AQ315/(AA315/12)&lt;=20),"Estabilizando",AQ315/(AA315/12)&gt;20,"Instavel"),"Instavel")</f>
        <v>Sem Produto</v>
      </c>
      <c r="AJ315" s="1" t="str" cm="1">
        <f t="array" ref="AJ315">IFERROR(_xlfn.IFS(AR315="","Sem Produto",AND(AR315/(AB315/12)&gt;0,AR315/(AB315/12)&lt;=2),"Acabando",AND(AR315/(AB315/12)&gt;2,AR315/(AB315/12)&lt;=3),"Fazer Pedido",AND(AR315/(AB315/12)&gt;3,AR315/(AB315/12)&lt;=7),"OK",AND(AR315/(AB315/12)&gt;7,AR315/(AB315/12)&lt;=14),"Abaixar Preço",AND(AR315/(AB315/12)&gt;14,AR315/(AB315/12)&lt;=20),"Estabilizando",AR315/(AB315/12)&gt;20,"Instavel"),"Instavel")</f>
        <v>Sem Produto</v>
      </c>
      <c r="AK315" s="1" t="str" cm="1">
        <f t="array" ref="AK315">IFERROR(_xlfn.IFS(AS315="","Sem Produto",AND(AS315/(AC315/12)&gt;0,AS315/(AC315/12)&lt;=2),"Acabando",AND(AS315/(AC315/12)&gt;2,AS315/(AC315/12)&lt;=3),"Fazer Pedido",AND(AS315/(AC315/12)&gt;3,AS315/(AC315/12)&lt;=7),"OK",AND(AS315/(AC315/12)&gt;7,AS315/(AC315/12)&lt;=14),"Abaixar Preço",AND(AS315/(AC315/12)&gt;14,AS315/(AC315/12)&lt;=20),"Estabilizando",AS315/(AC315/12)&gt;20,"Instavel"),"Instavel")</f>
        <v>Sem Produto</v>
      </c>
      <c r="AL315" s="1" t="str" cm="1">
        <f t="array" ref="AL315">IFERROR(_xlfn.IFS(AT315="","Sem Produto",AND(AT315/(AD315/12)&gt;0,AT315/(AD315/12)&lt;=2),"Acabando",AND(AT315/(AD315/12)&gt;2,AT315/(AD315/12)&lt;=3),"Fazer Pedido",AND(AT315/(AD315/12)&gt;3,AT315/(AD315/12)&lt;=7),"OK",AND(AT315/(AD315/12)&gt;7,AT315/(AD315/12)&lt;=14),"Abaixar Preço",AND(AT315/(AD315/12)&gt;14,AT315/(AD315/12)&lt;=20),"Estabilizando",AT315/(AD315/12)&gt;20,"Instavel"),"Instavel")</f>
        <v>Sem Produto</v>
      </c>
      <c r="AM315" s="1" t="str" cm="1">
        <f t="array" ref="AM315">IFERROR(_xlfn.IFS(AU315="","Sem Produto",AND(AU315/(AE315/12)&gt;0,AU315/(AE315/12)&lt;=2),"Acabando",AND(AU315/(AE315/12)&gt;2,AU315/(AE315/12)&lt;=3),"Fazer Pedido",AND(AU315/(AE315/12)&gt;3,AU315/(AE315/12)&lt;=7),"OK",AND(AU315/(AE315/12)&gt;7,AU315/(AE315/12)&lt;=14),"Abaixar Preço",AND(AU315/(AE315/12)&gt;14,AU315/(AE315/12)&lt;=20),"Estabilizando",AU315/(AE315/12)&gt;20,"Instavel"),"Instavel")</f>
        <v>Sem Produto</v>
      </c>
      <c r="AN315" s="1" t="str">
        <f>IF(SUMIF(vendaAno[data],SituaçãoEstoqueFluxo[[#This Row],[data]],vendaAno[estoque])=0,"Algo errado",IF(AND(AX315/AW315&gt;0,AX315/AW315&lt;=1),"Alerta",IF(AND(AX315/AW315&gt;1,AX315/AW315&lt;=1.5),"Fazer pedido",IF(AND(AX315/AW315&gt;1.5,AX315/AW315&lt;=2),"Ok",IF(AND(AX315/AW315&gt;2,AX315/AW315&lt;=2.5),"Estabilizando",IF(AND(AX315/AW315&gt;2.5,AX315/AW315&lt;=3),"Cheio","Abaixar preço"))))))</f>
        <v>Algo errado</v>
      </c>
      <c r="AO31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5" s="116">
        <f t="shared" si="15"/>
        <v>45919</v>
      </c>
      <c r="AQ31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5" s="82" cm="1">
        <f t="array" aca="1" ref="AV31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5" s="82" cm="1">
        <f t="array" aca="1" ref="AW31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5" s="82">
        <f>SUM(FluxoEstoqueDateTime[[#This Row],[OVO BRANCO A]:[OVO BRANCO JUMBO]])</f>
        <v>0</v>
      </c>
    </row>
    <row r="316" spans="1:50" x14ac:dyDescent="0.25">
      <c r="A316" s="4" t="s">
        <v>20</v>
      </c>
      <c r="B316" s="55" t="s">
        <v>14</v>
      </c>
      <c r="C316" s="5">
        <v>5</v>
      </c>
      <c r="D316" s="56">
        <v>23</v>
      </c>
      <c r="E316" s="56">
        <v>115</v>
      </c>
      <c r="F316" s="157">
        <v>46165</v>
      </c>
      <c r="G316" s="4" t="s">
        <v>92</v>
      </c>
      <c r="H316" s="4" t="s">
        <v>147</v>
      </c>
      <c r="I316" s="153">
        <v>28.62</v>
      </c>
      <c r="J316" s="12">
        <v>0.24883540372670804</v>
      </c>
      <c r="Z316" s="116">
        <f t="shared" si="13"/>
        <v>45918</v>
      </c>
      <c r="AA31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6" s="116">
        <f t="shared" si="14"/>
        <v>45918</v>
      </c>
      <c r="AI316" s="1" t="str" cm="1">
        <f t="array" ref="AI316">IFERROR(_xlfn.IFS(AQ316="","Sem Produto",AND(AQ316/(AA316/12)&gt;0,AQ316/(AA316/12)&lt;=2),"Acabando",AND(AQ316/(AA316/12)&gt;2,AQ316/(AA316/12)&lt;=3),"Fazer Pedido",AND(AQ316/(AA316/12)&gt;3,AQ316/(AA316/12)&lt;=7),"OK",AND(AQ316/(AA316/12)&gt;7,AQ316/(AA316/12)&lt;=14),"Abaixar Preço",AND(AQ316/(AA316/12)&gt;14,AQ316/(AA316/12)&lt;=20),"Estabilizando",AQ316/(AA316/12)&gt;20,"Instavel"),"Instavel")</f>
        <v>Sem Produto</v>
      </c>
      <c r="AJ316" s="1" t="str" cm="1">
        <f t="array" ref="AJ316">IFERROR(_xlfn.IFS(AR316="","Sem Produto",AND(AR316/(AB316/12)&gt;0,AR316/(AB316/12)&lt;=2),"Acabando",AND(AR316/(AB316/12)&gt;2,AR316/(AB316/12)&lt;=3),"Fazer Pedido",AND(AR316/(AB316/12)&gt;3,AR316/(AB316/12)&lt;=7),"OK",AND(AR316/(AB316/12)&gt;7,AR316/(AB316/12)&lt;=14),"Abaixar Preço",AND(AR316/(AB316/12)&gt;14,AR316/(AB316/12)&lt;=20),"Estabilizando",AR316/(AB316/12)&gt;20,"Instavel"),"Instavel")</f>
        <v>Sem Produto</v>
      </c>
      <c r="AK316" s="1" t="str" cm="1">
        <f t="array" ref="AK316">IFERROR(_xlfn.IFS(AS316="","Sem Produto",AND(AS316/(AC316/12)&gt;0,AS316/(AC316/12)&lt;=2),"Acabando",AND(AS316/(AC316/12)&gt;2,AS316/(AC316/12)&lt;=3),"Fazer Pedido",AND(AS316/(AC316/12)&gt;3,AS316/(AC316/12)&lt;=7),"OK",AND(AS316/(AC316/12)&gt;7,AS316/(AC316/12)&lt;=14),"Abaixar Preço",AND(AS316/(AC316/12)&gt;14,AS316/(AC316/12)&lt;=20),"Estabilizando",AS316/(AC316/12)&gt;20,"Instavel"),"Instavel")</f>
        <v>Sem Produto</v>
      </c>
      <c r="AL316" s="1" t="str" cm="1">
        <f t="array" ref="AL316">IFERROR(_xlfn.IFS(AT316="","Sem Produto",AND(AT316/(AD316/12)&gt;0,AT316/(AD316/12)&lt;=2),"Acabando",AND(AT316/(AD316/12)&gt;2,AT316/(AD316/12)&lt;=3),"Fazer Pedido",AND(AT316/(AD316/12)&gt;3,AT316/(AD316/12)&lt;=7),"OK",AND(AT316/(AD316/12)&gt;7,AT316/(AD316/12)&lt;=14),"Abaixar Preço",AND(AT316/(AD316/12)&gt;14,AT316/(AD316/12)&lt;=20),"Estabilizando",AT316/(AD316/12)&gt;20,"Instavel"),"Instavel")</f>
        <v>Sem Produto</v>
      </c>
      <c r="AM316" s="1" t="str" cm="1">
        <f t="array" ref="AM316">IFERROR(_xlfn.IFS(AU316="","Sem Produto",AND(AU316/(AE316/12)&gt;0,AU316/(AE316/12)&lt;=2),"Acabando",AND(AU316/(AE316/12)&gt;2,AU316/(AE316/12)&lt;=3),"Fazer Pedido",AND(AU316/(AE316/12)&gt;3,AU316/(AE316/12)&lt;=7),"OK",AND(AU316/(AE316/12)&gt;7,AU316/(AE316/12)&lt;=14),"Abaixar Preço",AND(AU316/(AE316/12)&gt;14,AU316/(AE316/12)&lt;=20),"Estabilizando",AU316/(AE316/12)&gt;20,"Instavel"),"Instavel")</f>
        <v>Sem Produto</v>
      </c>
      <c r="AN316" s="1" t="str">
        <f>IF(SUMIF(vendaAno[data],SituaçãoEstoqueFluxo[[#This Row],[data]],vendaAno[estoque])=0,"Algo errado",IF(AND(AX316/AW316&gt;0,AX316/AW316&lt;=1),"Alerta",IF(AND(AX316/AW316&gt;1,AX316/AW316&lt;=1.5),"Fazer pedido",IF(AND(AX316/AW316&gt;1.5,AX316/AW316&lt;=2),"Ok",IF(AND(AX316/AW316&gt;2,AX316/AW316&lt;=2.5),"Estabilizando",IF(AND(AX316/AW316&gt;2.5,AX316/AW316&lt;=3),"Cheio","Abaixar preço"))))))</f>
        <v>Algo errado</v>
      </c>
      <c r="AO31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6" s="116">
        <f t="shared" si="15"/>
        <v>45918</v>
      </c>
      <c r="AQ31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6" s="82" cm="1">
        <f t="array" aca="1" ref="AV31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6" s="82" cm="1">
        <f t="array" aca="1" ref="AW31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6" s="82">
        <f>SUM(FluxoEstoqueDateTime[[#This Row],[OVO BRANCO A]:[OVO BRANCO JUMBO]])</f>
        <v>0</v>
      </c>
    </row>
    <row r="317" spans="1:50" x14ac:dyDescent="0.25">
      <c r="A317" s="4" t="s">
        <v>20</v>
      </c>
      <c r="B317" s="55" t="s">
        <v>13</v>
      </c>
      <c r="C317" s="5">
        <v>7</v>
      </c>
      <c r="D317" s="56">
        <v>22</v>
      </c>
      <c r="E317" s="56">
        <v>154</v>
      </c>
      <c r="F317" s="157">
        <v>46165</v>
      </c>
      <c r="G317" s="4" t="s">
        <v>92</v>
      </c>
      <c r="H317" s="4" t="s">
        <v>147</v>
      </c>
      <c r="I317" s="153">
        <v>38.74</v>
      </c>
      <c r="J317" s="12">
        <v>0.25154320987654316</v>
      </c>
      <c r="Z317" s="116">
        <f t="shared" si="13"/>
        <v>45917</v>
      </c>
      <c r="AA31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7" s="116">
        <f t="shared" si="14"/>
        <v>45917</v>
      </c>
      <c r="AI317" s="1" t="str" cm="1">
        <f t="array" ref="AI317">IFERROR(_xlfn.IFS(AQ317="","Sem Produto",AND(AQ317/(AA317/12)&gt;0,AQ317/(AA317/12)&lt;=2),"Acabando",AND(AQ317/(AA317/12)&gt;2,AQ317/(AA317/12)&lt;=3),"Fazer Pedido",AND(AQ317/(AA317/12)&gt;3,AQ317/(AA317/12)&lt;=7),"OK",AND(AQ317/(AA317/12)&gt;7,AQ317/(AA317/12)&lt;=14),"Abaixar Preço",AND(AQ317/(AA317/12)&gt;14,AQ317/(AA317/12)&lt;=20),"Estabilizando",AQ317/(AA317/12)&gt;20,"Instavel"),"Instavel")</f>
        <v>Sem Produto</v>
      </c>
      <c r="AJ317" s="1" t="str" cm="1">
        <f t="array" ref="AJ317">IFERROR(_xlfn.IFS(AR317="","Sem Produto",AND(AR317/(AB317/12)&gt;0,AR317/(AB317/12)&lt;=2),"Acabando",AND(AR317/(AB317/12)&gt;2,AR317/(AB317/12)&lt;=3),"Fazer Pedido",AND(AR317/(AB317/12)&gt;3,AR317/(AB317/12)&lt;=7),"OK",AND(AR317/(AB317/12)&gt;7,AR317/(AB317/12)&lt;=14),"Abaixar Preço",AND(AR317/(AB317/12)&gt;14,AR317/(AB317/12)&lt;=20),"Estabilizando",AR317/(AB317/12)&gt;20,"Instavel"),"Instavel")</f>
        <v>Sem Produto</v>
      </c>
      <c r="AK317" s="1" t="str" cm="1">
        <f t="array" ref="AK317">IFERROR(_xlfn.IFS(AS317="","Sem Produto",AND(AS317/(AC317/12)&gt;0,AS317/(AC317/12)&lt;=2),"Acabando",AND(AS317/(AC317/12)&gt;2,AS317/(AC317/12)&lt;=3),"Fazer Pedido",AND(AS317/(AC317/12)&gt;3,AS317/(AC317/12)&lt;=7),"OK",AND(AS317/(AC317/12)&gt;7,AS317/(AC317/12)&lt;=14),"Abaixar Preço",AND(AS317/(AC317/12)&gt;14,AS317/(AC317/12)&lt;=20),"Estabilizando",AS317/(AC317/12)&gt;20,"Instavel"),"Instavel")</f>
        <v>Sem Produto</v>
      </c>
      <c r="AL317" s="1" t="str" cm="1">
        <f t="array" ref="AL317">IFERROR(_xlfn.IFS(AT317="","Sem Produto",AND(AT317/(AD317/12)&gt;0,AT317/(AD317/12)&lt;=2),"Acabando",AND(AT317/(AD317/12)&gt;2,AT317/(AD317/12)&lt;=3),"Fazer Pedido",AND(AT317/(AD317/12)&gt;3,AT317/(AD317/12)&lt;=7),"OK",AND(AT317/(AD317/12)&gt;7,AT317/(AD317/12)&lt;=14),"Abaixar Preço",AND(AT317/(AD317/12)&gt;14,AT317/(AD317/12)&lt;=20),"Estabilizando",AT317/(AD317/12)&gt;20,"Instavel"),"Instavel")</f>
        <v>Sem Produto</v>
      </c>
      <c r="AM317" s="1" t="str" cm="1">
        <f t="array" ref="AM317">IFERROR(_xlfn.IFS(AU317="","Sem Produto",AND(AU317/(AE317/12)&gt;0,AU317/(AE317/12)&lt;=2),"Acabando",AND(AU317/(AE317/12)&gt;2,AU317/(AE317/12)&lt;=3),"Fazer Pedido",AND(AU317/(AE317/12)&gt;3,AU317/(AE317/12)&lt;=7),"OK",AND(AU317/(AE317/12)&gt;7,AU317/(AE317/12)&lt;=14),"Abaixar Preço",AND(AU317/(AE317/12)&gt;14,AU317/(AE317/12)&lt;=20),"Estabilizando",AU317/(AE317/12)&gt;20,"Instavel"),"Instavel")</f>
        <v>Sem Produto</v>
      </c>
      <c r="AN317" s="1" t="str">
        <f>IF(SUMIF(vendaAno[data],SituaçãoEstoqueFluxo[[#This Row],[data]],vendaAno[estoque])=0,"Algo errado",IF(AND(AX317/AW317&gt;0,AX317/AW317&lt;=1),"Alerta",IF(AND(AX317/AW317&gt;1,AX317/AW317&lt;=1.5),"Fazer pedido",IF(AND(AX317/AW317&gt;1.5,AX317/AW317&lt;=2),"Ok",IF(AND(AX317/AW317&gt;2,AX317/AW317&lt;=2.5),"Estabilizando",IF(AND(AX317/AW317&gt;2.5,AX317/AW317&lt;=3),"Cheio","Abaixar preço"))))))</f>
        <v>Algo errado</v>
      </c>
      <c r="AO31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7" s="116">
        <f t="shared" si="15"/>
        <v>45917</v>
      </c>
      <c r="AQ31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7" s="82" cm="1">
        <f t="array" aca="1" ref="AV31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7" s="82" cm="1">
        <f t="array" aca="1" ref="AW31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7" s="82">
        <f>SUM(FluxoEstoqueDateTime[[#This Row],[OVO BRANCO A]:[OVO BRANCO JUMBO]])</f>
        <v>0</v>
      </c>
    </row>
    <row r="318" spans="1:50" x14ac:dyDescent="0.25">
      <c r="A318" s="4" t="s">
        <v>20</v>
      </c>
      <c r="B318" s="55" t="s">
        <v>11</v>
      </c>
      <c r="C318" s="5">
        <v>6</v>
      </c>
      <c r="D318" s="56">
        <v>20</v>
      </c>
      <c r="E318" s="56">
        <v>120</v>
      </c>
      <c r="F318" s="157">
        <v>46165</v>
      </c>
      <c r="G318" s="4" t="s">
        <v>92</v>
      </c>
      <c r="H318" s="4" t="s">
        <v>147</v>
      </c>
      <c r="I318" s="153">
        <v>30</v>
      </c>
      <c r="J318" s="12">
        <v>0.25</v>
      </c>
      <c r="Z318" s="116">
        <f t="shared" si="13"/>
        <v>45916</v>
      </c>
      <c r="AA31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8" s="116">
        <f t="shared" si="14"/>
        <v>45916</v>
      </c>
      <c r="AI318" s="1" t="str" cm="1">
        <f t="array" ref="AI318">IFERROR(_xlfn.IFS(AQ318="","Sem Produto",AND(AQ318/(AA318/12)&gt;0,AQ318/(AA318/12)&lt;=2),"Acabando",AND(AQ318/(AA318/12)&gt;2,AQ318/(AA318/12)&lt;=3),"Fazer Pedido",AND(AQ318/(AA318/12)&gt;3,AQ318/(AA318/12)&lt;=7),"OK",AND(AQ318/(AA318/12)&gt;7,AQ318/(AA318/12)&lt;=14),"Abaixar Preço",AND(AQ318/(AA318/12)&gt;14,AQ318/(AA318/12)&lt;=20),"Estabilizando",AQ318/(AA318/12)&gt;20,"Instavel"),"Instavel")</f>
        <v>Sem Produto</v>
      </c>
      <c r="AJ318" s="1" t="str" cm="1">
        <f t="array" ref="AJ318">IFERROR(_xlfn.IFS(AR318="","Sem Produto",AND(AR318/(AB318/12)&gt;0,AR318/(AB318/12)&lt;=2),"Acabando",AND(AR318/(AB318/12)&gt;2,AR318/(AB318/12)&lt;=3),"Fazer Pedido",AND(AR318/(AB318/12)&gt;3,AR318/(AB318/12)&lt;=7),"OK",AND(AR318/(AB318/12)&gt;7,AR318/(AB318/12)&lt;=14),"Abaixar Preço",AND(AR318/(AB318/12)&gt;14,AR318/(AB318/12)&lt;=20),"Estabilizando",AR318/(AB318/12)&gt;20,"Instavel"),"Instavel")</f>
        <v>Sem Produto</v>
      </c>
      <c r="AK318" s="1" t="str" cm="1">
        <f t="array" ref="AK318">IFERROR(_xlfn.IFS(AS318="","Sem Produto",AND(AS318/(AC318/12)&gt;0,AS318/(AC318/12)&lt;=2),"Acabando",AND(AS318/(AC318/12)&gt;2,AS318/(AC318/12)&lt;=3),"Fazer Pedido",AND(AS318/(AC318/12)&gt;3,AS318/(AC318/12)&lt;=7),"OK",AND(AS318/(AC318/12)&gt;7,AS318/(AC318/12)&lt;=14),"Abaixar Preço",AND(AS318/(AC318/12)&gt;14,AS318/(AC318/12)&lt;=20),"Estabilizando",AS318/(AC318/12)&gt;20,"Instavel"),"Instavel")</f>
        <v>Sem Produto</v>
      </c>
      <c r="AL318" s="1" t="str" cm="1">
        <f t="array" ref="AL318">IFERROR(_xlfn.IFS(AT318="","Sem Produto",AND(AT318/(AD318/12)&gt;0,AT318/(AD318/12)&lt;=2),"Acabando",AND(AT318/(AD318/12)&gt;2,AT318/(AD318/12)&lt;=3),"Fazer Pedido",AND(AT318/(AD318/12)&gt;3,AT318/(AD318/12)&lt;=7),"OK",AND(AT318/(AD318/12)&gt;7,AT318/(AD318/12)&lt;=14),"Abaixar Preço",AND(AT318/(AD318/12)&gt;14,AT318/(AD318/12)&lt;=20),"Estabilizando",AT318/(AD318/12)&gt;20,"Instavel"),"Instavel")</f>
        <v>Sem Produto</v>
      </c>
      <c r="AM318" s="1" t="str" cm="1">
        <f t="array" ref="AM318">IFERROR(_xlfn.IFS(AU318="","Sem Produto",AND(AU318/(AE318/12)&gt;0,AU318/(AE318/12)&lt;=2),"Acabando",AND(AU318/(AE318/12)&gt;2,AU318/(AE318/12)&lt;=3),"Fazer Pedido",AND(AU318/(AE318/12)&gt;3,AU318/(AE318/12)&lt;=7),"OK",AND(AU318/(AE318/12)&gt;7,AU318/(AE318/12)&lt;=14),"Abaixar Preço",AND(AU318/(AE318/12)&gt;14,AU318/(AE318/12)&lt;=20),"Estabilizando",AU318/(AE318/12)&gt;20,"Instavel"),"Instavel")</f>
        <v>Sem Produto</v>
      </c>
      <c r="AN318" s="1" t="str">
        <f>IF(SUMIF(vendaAno[data],SituaçãoEstoqueFluxo[[#This Row],[data]],vendaAno[estoque])=0,"Algo errado",IF(AND(AX318/AW318&gt;0,AX318/AW318&lt;=1),"Alerta",IF(AND(AX318/AW318&gt;1,AX318/AW318&lt;=1.5),"Fazer pedido",IF(AND(AX318/AW318&gt;1.5,AX318/AW318&lt;=2),"Ok",IF(AND(AX318/AW318&gt;2,AX318/AW318&lt;=2.5),"Estabilizando",IF(AND(AX318/AW318&gt;2.5,AX318/AW318&lt;=3),"Cheio","Abaixar preço"))))))</f>
        <v>Algo errado</v>
      </c>
      <c r="AO31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8" s="116">
        <f t="shared" si="15"/>
        <v>45916</v>
      </c>
      <c r="AQ31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8" s="82" cm="1">
        <f t="array" aca="1" ref="AV31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8" s="82" cm="1">
        <f t="array" aca="1" ref="AW31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8" s="82">
        <f>SUM(FluxoEstoqueDateTime[[#This Row],[OVO BRANCO A]:[OVO BRANCO JUMBO]])</f>
        <v>0</v>
      </c>
    </row>
    <row r="319" spans="1:50" x14ac:dyDescent="0.25">
      <c r="A319" s="4" t="s">
        <v>20</v>
      </c>
      <c r="B319" s="55" t="s">
        <v>10</v>
      </c>
      <c r="C319" s="5">
        <v>1</v>
      </c>
      <c r="D319" s="56">
        <v>21</v>
      </c>
      <c r="E319" s="56">
        <v>21</v>
      </c>
      <c r="F319" s="157">
        <v>46165</v>
      </c>
      <c r="G319" s="4" t="s">
        <v>92</v>
      </c>
      <c r="H319" s="4" t="s">
        <v>147</v>
      </c>
      <c r="I319" s="153">
        <v>4.97</v>
      </c>
      <c r="J319" s="12">
        <v>0.23649862061226623</v>
      </c>
      <c r="Z319" s="116">
        <f t="shared" si="13"/>
        <v>45915</v>
      </c>
      <c r="AA31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1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1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1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1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1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1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19" s="116">
        <f t="shared" si="14"/>
        <v>45915</v>
      </c>
      <c r="AI319" s="1" t="str" cm="1">
        <f t="array" ref="AI319">IFERROR(_xlfn.IFS(AQ319="","Sem Produto",AND(AQ319/(AA319/12)&gt;0,AQ319/(AA319/12)&lt;=2),"Acabando",AND(AQ319/(AA319/12)&gt;2,AQ319/(AA319/12)&lt;=3),"Fazer Pedido",AND(AQ319/(AA319/12)&gt;3,AQ319/(AA319/12)&lt;=7),"OK",AND(AQ319/(AA319/12)&gt;7,AQ319/(AA319/12)&lt;=14),"Abaixar Preço",AND(AQ319/(AA319/12)&gt;14,AQ319/(AA319/12)&lt;=20),"Estabilizando",AQ319/(AA319/12)&gt;20,"Instavel"),"Instavel")</f>
        <v>Sem Produto</v>
      </c>
      <c r="AJ319" s="1" t="str" cm="1">
        <f t="array" ref="AJ319">IFERROR(_xlfn.IFS(AR319="","Sem Produto",AND(AR319/(AB319/12)&gt;0,AR319/(AB319/12)&lt;=2),"Acabando",AND(AR319/(AB319/12)&gt;2,AR319/(AB319/12)&lt;=3),"Fazer Pedido",AND(AR319/(AB319/12)&gt;3,AR319/(AB319/12)&lt;=7),"OK",AND(AR319/(AB319/12)&gt;7,AR319/(AB319/12)&lt;=14),"Abaixar Preço",AND(AR319/(AB319/12)&gt;14,AR319/(AB319/12)&lt;=20),"Estabilizando",AR319/(AB319/12)&gt;20,"Instavel"),"Instavel")</f>
        <v>Sem Produto</v>
      </c>
      <c r="AK319" s="1" t="str" cm="1">
        <f t="array" ref="AK319">IFERROR(_xlfn.IFS(AS319="","Sem Produto",AND(AS319/(AC319/12)&gt;0,AS319/(AC319/12)&lt;=2),"Acabando",AND(AS319/(AC319/12)&gt;2,AS319/(AC319/12)&lt;=3),"Fazer Pedido",AND(AS319/(AC319/12)&gt;3,AS319/(AC319/12)&lt;=7),"OK",AND(AS319/(AC319/12)&gt;7,AS319/(AC319/12)&lt;=14),"Abaixar Preço",AND(AS319/(AC319/12)&gt;14,AS319/(AC319/12)&lt;=20),"Estabilizando",AS319/(AC319/12)&gt;20,"Instavel"),"Instavel")</f>
        <v>Sem Produto</v>
      </c>
      <c r="AL319" s="1" t="str" cm="1">
        <f t="array" ref="AL319">IFERROR(_xlfn.IFS(AT319="","Sem Produto",AND(AT319/(AD319/12)&gt;0,AT319/(AD319/12)&lt;=2),"Acabando",AND(AT319/(AD319/12)&gt;2,AT319/(AD319/12)&lt;=3),"Fazer Pedido",AND(AT319/(AD319/12)&gt;3,AT319/(AD319/12)&lt;=7),"OK",AND(AT319/(AD319/12)&gt;7,AT319/(AD319/12)&lt;=14),"Abaixar Preço",AND(AT319/(AD319/12)&gt;14,AT319/(AD319/12)&lt;=20),"Estabilizando",AT319/(AD319/12)&gt;20,"Instavel"),"Instavel")</f>
        <v>Sem Produto</v>
      </c>
      <c r="AM319" s="1" t="str" cm="1">
        <f t="array" ref="AM319">IFERROR(_xlfn.IFS(AU319="","Sem Produto",AND(AU319/(AE319/12)&gt;0,AU319/(AE319/12)&lt;=2),"Acabando",AND(AU319/(AE319/12)&gt;2,AU319/(AE319/12)&lt;=3),"Fazer Pedido",AND(AU319/(AE319/12)&gt;3,AU319/(AE319/12)&lt;=7),"OK",AND(AU319/(AE319/12)&gt;7,AU319/(AE319/12)&lt;=14),"Abaixar Preço",AND(AU319/(AE319/12)&gt;14,AU319/(AE319/12)&lt;=20),"Estabilizando",AU319/(AE319/12)&gt;20,"Instavel"),"Instavel")</f>
        <v>Sem Produto</v>
      </c>
      <c r="AN319" s="1" t="str">
        <f>IF(SUMIF(vendaAno[data],SituaçãoEstoqueFluxo[[#This Row],[data]],vendaAno[estoque])=0,"Algo errado",IF(AND(AX319/AW319&gt;0,AX319/AW319&lt;=1),"Alerta",IF(AND(AX319/AW319&gt;1,AX319/AW319&lt;=1.5),"Fazer pedido",IF(AND(AX319/AW319&gt;1.5,AX319/AW319&lt;=2),"Ok",IF(AND(AX319/AW319&gt;2,AX319/AW319&lt;=2.5),"Estabilizando",IF(AND(AX319/AW319&gt;2.5,AX319/AW319&lt;=3),"Cheio","Abaixar preço"))))))</f>
        <v>Algo errado</v>
      </c>
      <c r="AO31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19" s="116">
        <f t="shared" si="15"/>
        <v>45915</v>
      </c>
      <c r="AQ31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1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1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1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1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19" s="82" cm="1">
        <f t="array" aca="1" ref="AV31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19" s="82" cm="1">
        <f t="array" aca="1" ref="AW31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19" s="82">
        <f>SUM(FluxoEstoqueDateTime[[#This Row],[OVO BRANCO A]:[OVO BRANCO JUMBO]])</f>
        <v>0</v>
      </c>
    </row>
    <row r="320" spans="1:50" x14ac:dyDescent="0.25">
      <c r="A320" s="4" t="s">
        <v>20</v>
      </c>
      <c r="B320" s="55" t="s">
        <v>14</v>
      </c>
      <c r="C320" s="5">
        <v>5</v>
      </c>
      <c r="D320" s="56">
        <v>23</v>
      </c>
      <c r="E320" s="56">
        <v>115</v>
      </c>
      <c r="F320" s="157">
        <v>46164</v>
      </c>
      <c r="G320" s="4" t="s">
        <v>83</v>
      </c>
      <c r="H320" s="4" t="s">
        <v>147</v>
      </c>
      <c r="I320" s="153">
        <v>28.62</v>
      </c>
      <c r="J320" s="12">
        <v>0.24883540372670804</v>
      </c>
      <c r="Z320" s="116">
        <f t="shared" si="13"/>
        <v>45914</v>
      </c>
      <c r="AA32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0" s="116">
        <f t="shared" si="14"/>
        <v>45914</v>
      </c>
      <c r="AI320" s="1" t="str" cm="1">
        <f t="array" ref="AI320">IFERROR(_xlfn.IFS(AQ320="","Sem Produto",AND(AQ320/(AA320/12)&gt;0,AQ320/(AA320/12)&lt;=2),"Acabando",AND(AQ320/(AA320/12)&gt;2,AQ320/(AA320/12)&lt;=3),"Fazer Pedido",AND(AQ320/(AA320/12)&gt;3,AQ320/(AA320/12)&lt;=7),"OK",AND(AQ320/(AA320/12)&gt;7,AQ320/(AA320/12)&lt;=14),"Abaixar Preço",AND(AQ320/(AA320/12)&gt;14,AQ320/(AA320/12)&lt;=20),"Estabilizando",AQ320/(AA320/12)&gt;20,"Instavel"),"Instavel")</f>
        <v>Sem Produto</v>
      </c>
      <c r="AJ320" s="1" t="str" cm="1">
        <f t="array" ref="AJ320">IFERROR(_xlfn.IFS(AR320="","Sem Produto",AND(AR320/(AB320/12)&gt;0,AR320/(AB320/12)&lt;=2),"Acabando",AND(AR320/(AB320/12)&gt;2,AR320/(AB320/12)&lt;=3),"Fazer Pedido",AND(AR320/(AB320/12)&gt;3,AR320/(AB320/12)&lt;=7),"OK",AND(AR320/(AB320/12)&gt;7,AR320/(AB320/12)&lt;=14),"Abaixar Preço",AND(AR320/(AB320/12)&gt;14,AR320/(AB320/12)&lt;=20),"Estabilizando",AR320/(AB320/12)&gt;20,"Instavel"),"Instavel")</f>
        <v>Sem Produto</v>
      </c>
      <c r="AK320" s="1" t="str" cm="1">
        <f t="array" ref="AK320">IFERROR(_xlfn.IFS(AS320="","Sem Produto",AND(AS320/(AC320/12)&gt;0,AS320/(AC320/12)&lt;=2),"Acabando",AND(AS320/(AC320/12)&gt;2,AS320/(AC320/12)&lt;=3),"Fazer Pedido",AND(AS320/(AC320/12)&gt;3,AS320/(AC320/12)&lt;=7),"OK",AND(AS320/(AC320/12)&gt;7,AS320/(AC320/12)&lt;=14),"Abaixar Preço",AND(AS320/(AC320/12)&gt;14,AS320/(AC320/12)&lt;=20),"Estabilizando",AS320/(AC320/12)&gt;20,"Instavel"),"Instavel")</f>
        <v>Sem Produto</v>
      </c>
      <c r="AL320" s="1" t="str" cm="1">
        <f t="array" ref="AL320">IFERROR(_xlfn.IFS(AT320="","Sem Produto",AND(AT320/(AD320/12)&gt;0,AT320/(AD320/12)&lt;=2),"Acabando",AND(AT320/(AD320/12)&gt;2,AT320/(AD320/12)&lt;=3),"Fazer Pedido",AND(AT320/(AD320/12)&gt;3,AT320/(AD320/12)&lt;=7),"OK",AND(AT320/(AD320/12)&gt;7,AT320/(AD320/12)&lt;=14),"Abaixar Preço",AND(AT320/(AD320/12)&gt;14,AT320/(AD320/12)&lt;=20),"Estabilizando",AT320/(AD320/12)&gt;20,"Instavel"),"Instavel")</f>
        <v>Sem Produto</v>
      </c>
      <c r="AM320" s="1" t="str" cm="1">
        <f t="array" ref="AM320">IFERROR(_xlfn.IFS(AU320="","Sem Produto",AND(AU320/(AE320/12)&gt;0,AU320/(AE320/12)&lt;=2),"Acabando",AND(AU320/(AE320/12)&gt;2,AU320/(AE320/12)&lt;=3),"Fazer Pedido",AND(AU320/(AE320/12)&gt;3,AU320/(AE320/12)&lt;=7),"OK",AND(AU320/(AE320/12)&gt;7,AU320/(AE320/12)&lt;=14),"Abaixar Preço",AND(AU320/(AE320/12)&gt;14,AU320/(AE320/12)&lt;=20),"Estabilizando",AU320/(AE320/12)&gt;20,"Instavel"),"Instavel")</f>
        <v>Sem Produto</v>
      </c>
      <c r="AN320" s="1" t="str">
        <f>IF(SUMIF(vendaAno[data],SituaçãoEstoqueFluxo[[#This Row],[data]],vendaAno[estoque])=0,"Algo errado",IF(AND(AX320/AW320&gt;0,AX320/AW320&lt;=1),"Alerta",IF(AND(AX320/AW320&gt;1,AX320/AW320&lt;=1.5),"Fazer pedido",IF(AND(AX320/AW320&gt;1.5,AX320/AW320&lt;=2),"Ok",IF(AND(AX320/AW320&gt;2,AX320/AW320&lt;=2.5),"Estabilizando",IF(AND(AX320/AW320&gt;2.5,AX320/AW320&lt;=3),"Cheio","Abaixar preço"))))))</f>
        <v>Algo errado</v>
      </c>
      <c r="AO32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0" s="116">
        <f t="shared" si="15"/>
        <v>45914</v>
      </c>
      <c r="AQ32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0" s="82" cm="1">
        <f t="array" aca="1" ref="AV32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0" s="82" cm="1">
        <f t="array" aca="1" ref="AW32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0" s="82">
        <f>SUM(FluxoEstoqueDateTime[[#This Row],[OVO BRANCO A]:[OVO BRANCO JUMBO]])</f>
        <v>0</v>
      </c>
    </row>
    <row r="321" spans="1:50" x14ac:dyDescent="0.25">
      <c r="A321" s="4" t="s">
        <v>20</v>
      </c>
      <c r="B321" s="55" t="s">
        <v>13</v>
      </c>
      <c r="C321" s="5">
        <v>2</v>
      </c>
      <c r="D321" s="56">
        <v>22</v>
      </c>
      <c r="E321" s="56">
        <v>44</v>
      </c>
      <c r="F321" s="157">
        <v>46164</v>
      </c>
      <c r="G321" s="4" t="s">
        <v>83</v>
      </c>
      <c r="H321" s="4" t="s">
        <v>147</v>
      </c>
      <c r="I321" s="153">
        <v>11.07</v>
      </c>
      <c r="J321" s="12">
        <v>0.25154320987654316</v>
      </c>
      <c r="Z321" s="116">
        <f t="shared" si="13"/>
        <v>45913</v>
      </c>
      <c r="AA32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1" s="116">
        <f t="shared" si="14"/>
        <v>45913</v>
      </c>
      <c r="AI321" s="1" t="str" cm="1">
        <f t="array" ref="AI321">IFERROR(_xlfn.IFS(AQ321="","Sem Produto",AND(AQ321/(AA321/12)&gt;0,AQ321/(AA321/12)&lt;=2),"Acabando",AND(AQ321/(AA321/12)&gt;2,AQ321/(AA321/12)&lt;=3),"Fazer Pedido",AND(AQ321/(AA321/12)&gt;3,AQ321/(AA321/12)&lt;=7),"OK",AND(AQ321/(AA321/12)&gt;7,AQ321/(AA321/12)&lt;=14),"Abaixar Preço",AND(AQ321/(AA321/12)&gt;14,AQ321/(AA321/12)&lt;=20),"Estabilizando",AQ321/(AA321/12)&gt;20,"Instavel"),"Instavel")</f>
        <v>Sem Produto</v>
      </c>
      <c r="AJ321" s="1" t="str" cm="1">
        <f t="array" ref="AJ321">IFERROR(_xlfn.IFS(AR321="","Sem Produto",AND(AR321/(AB321/12)&gt;0,AR321/(AB321/12)&lt;=2),"Acabando",AND(AR321/(AB321/12)&gt;2,AR321/(AB321/12)&lt;=3),"Fazer Pedido",AND(AR321/(AB321/12)&gt;3,AR321/(AB321/12)&lt;=7),"OK",AND(AR321/(AB321/12)&gt;7,AR321/(AB321/12)&lt;=14),"Abaixar Preço",AND(AR321/(AB321/12)&gt;14,AR321/(AB321/12)&lt;=20),"Estabilizando",AR321/(AB321/12)&gt;20,"Instavel"),"Instavel")</f>
        <v>Sem Produto</v>
      </c>
      <c r="AK321" s="1" t="str" cm="1">
        <f t="array" ref="AK321">IFERROR(_xlfn.IFS(AS321="","Sem Produto",AND(AS321/(AC321/12)&gt;0,AS321/(AC321/12)&lt;=2),"Acabando",AND(AS321/(AC321/12)&gt;2,AS321/(AC321/12)&lt;=3),"Fazer Pedido",AND(AS321/(AC321/12)&gt;3,AS321/(AC321/12)&lt;=7),"OK",AND(AS321/(AC321/12)&gt;7,AS321/(AC321/12)&lt;=14),"Abaixar Preço",AND(AS321/(AC321/12)&gt;14,AS321/(AC321/12)&lt;=20),"Estabilizando",AS321/(AC321/12)&gt;20,"Instavel"),"Instavel")</f>
        <v>Sem Produto</v>
      </c>
      <c r="AL321" s="1" t="str" cm="1">
        <f t="array" ref="AL321">IFERROR(_xlfn.IFS(AT321="","Sem Produto",AND(AT321/(AD321/12)&gt;0,AT321/(AD321/12)&lt;=2),"Acabando",AND(AT321/(AD321/12)&gt;2,AT321/(AD321/12)&lt;=3),"Fazer Pedido",AND(AT321/(AD321/12)&gt;3,AT321/(AD321/12)&lt;=7),"OK",AND(AT321/(AD321/12)&gt;7,AT321/(AD321/12)&lt;=14),"Abaixar Preço",AND(AT321/(AD321/12)&gt;14,AT321/(AD321/12)&lt;=20),"Estabilizando",AT321/(AD321/12)&gt;20,"Instavel"),"Instavel")</f>
        <v>Sem Produto</v>
      </c>
      <c r="AM321" s="1" t="str" cm="1">
        <f t="array" ref="AM321">IFERROR(_xlfn.IFS(AU321="","Sem Produto",AND(AU321/(AE321/12)&gt;0,AU321/(AE321/12)&lt;=2),"Acabando",AND(AU321/(AE321/12)&gt;2,AU321/(AE321/12)&lt;=3),"Fazer Pedido",AND(AU321/(AE321/12)&gt;3,AU321/(AE321/12)&lt;=7),"OK",AND(AU321/(AE321/12)&gt;7,AU321/(AE321/12)&lt;=14),"Abaixar Preço",AND(AU321/(AE321/12)&gt;14,AU321/(AE321/12)&lt;=20),"Estabilizando",AU321/(AE321/12)&gt;20,"Instavel"),"Instavel")</f>
        <v>Sem Produto</v>
      </c>
      <c r="AN321" s="1" t="str">
        <f>IF(SUMIF(vendaAno[data],SituaçãoEstoqueFluxo[[#This Row],[data]],vendaAno[estoque])=0,"Algo errado",IF(AND(AX321/AW321&gt;0,AX321/AW321&lt;=1),"Alerta",IF(AND(AX321/AW321&gt;1,AX321/AW321&lt;=1.5),"Fazer pedido",IF(AND(AX321/AW321&gt;1.5,AX321/AW321&lt;=2),"Ok",IF(AND(AX321/AW321&gt;2,AX321/AW321&lt;=2.5),"Estabilizando",IF(AND(AX321/AW321&gt;2.5,AX321/AW321&lt;=3),"Cheio","Abaixar preço"))))))</f>
        <v>Algo errado</v>
      </c>
      <c r="AO32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1" s="116">
        <f t="shared" si="15"/>
        <v>45913</v>
      </c>
      <c r="AQ32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1" s="82" cm="1">
        <f t="array" aca="1" ref="AV32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1" s="82" cm="1">
        <f t="array" aca="1" ref="AW32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1" s="82">
        <f>SUM(FluxoEstoqueDateTime[[#This Row],[OVO BRANCO A]:[OVO BRANCO JUMBO]])</f>
        <v>0</v>
      </c>
    </row>
    <row r="322" spans="1:50" x14ac:dyDescent="0.25">
      <c r="A322" s="4" t="s">
        <v>20</v>
      </c>
      <c r="B322" s="55" t="s">
        <v>11</v>
      </c>
      <c r="C322" s="5">
        <v>4</v>
      </c>
      <c r="D322" s="56">
        <v>20</v>
      </c>
      <c r="E322" s="56">
        <v>80</v>
      </c>
      <c r="F322" s="157">
        <v>46164</v>
      </c>
      <c r="G322" s="4" t="s">
        <v>83</v>
      </c>
      <c r="H322" s="4" t="s">
        <v>147</v>
      </c>
      <c r="I322" s="153">
        <v>20</v>
      </c>
      <c r="J322" s="12">
        <v>0.25</v>
      </c>
      <c r="Z322" s="116">
        <f t="shared" si="13"/>
        <v>45912</v>
      </c>
      <c r="AA32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2" s="116">
        <f t="shared" si="14"/>
        <v>45912</v>
      </c>
      <c r="AI322" s="1" t="str" cm="1">
        <f t="array" ref="AI322">IFERROR(_xlfn.IFS(AQ322="","Sem Produto",AND(AQ322/(AA322/12)&gt;0,AQ322/(AA322/12)&lt;=2),"Acabando",AND(AQ322/(AA322/12)&gt;2,AQ322/(AA322/12)&lt;=3),"Fazer Pedido",AND(AQ322/(AA322/12)&gt;3,AQ322/(AA322/12)&lt;=7),"OK",AND(AQ322/(AA322/12)&gt;7,AQ322/(AA322/12)&lt;=14),"Abaixar Preço",AND(AQ322/(AA322/12)&gt;14,AQ322/(AA322/12)&lt;=20),"Estabilizando",AQ322/(AA322/12)&gt;20,"Instavel"),"Instavel")</f>
        <v>Sem Produto</v>
      </c>
      <c r="AJ322" s="1" t="str" cm="1">
        <f t="array" ref="AJ322">IFERROR(_xlfn.IFS(AR322="","Sem Produto",AND(AR322/(AB322/12)&gt;0,AR322/(AB322/12)&lt;=2),"Acabando",AND(AR322/(AB322/12)&gt;2,AR322/(AB322/12)&lt;=3),"Fazer Pedido",AND(AR322/(AB322/12)&gt;3,AR322/(AB322/12)&lt;=7),"OK",AND(AR322/(AB322/12)&gt;7,AR322/(AB322/12)&lt;=14),"Abaixar Preço",AND(AR322/(AB322/12)&gt;14,AR322/(AB322/12)&lt;=20),"Estabilizando",AR322/(AB322/12)&gt;20,"Instavel"),"Instavel")</f>
        <v>Sem Produto</v>
      </c>
      <c r="AK322" s="1" t="str" cm="1">
        <f t="array" ref="AK322">IFERROR(_xlfn.IFS(AS322="","Sem Produto",AND(AS322/(AC322/12)&gt;0,AS322/(AC322/12)&lt;=2),"Acabando",AND(AS322/(AC322/12)&gt;2,AS322/(AC322/12)&lt;=3),"Fazer Pedido",AND(AS322/(AC322/12)&gt;3,AS322/(AC322/12)&lt;=7),"OK",AND(AS322/(AC322/12)&gt;7,AS322/(AC322/12)&lt;=14),"Abaixar Preço",AND(AS322/(AC322/12)&gt;14,AS322/(AC322/12)&lt;=20),"Estabilizando",AS322/(AC322/12)&gt;20,"Instavel"),"Instavel")</f>
        <v>Sem Produto</v>
      </c>
      <c r="AL322" s="1" t="str" cm="1">
        <f t="array" ref="AL322">IFERROR(_xlfn.IFS(AT322="","Sem Produto",AND(AT322/(AD322/12)&gt;0,AT322/(AD322/12)&lt;=2),"Acabando",AND(AT322/(AD322/12)&gt;2,AT322/(AD322/12)&lt;=3),"Fazer Pedido",AND(AT322/(AD322/12)&gt;3,AT322/(AD322/12)&lt;=7),"OK",AND(AT322/(AD322/12)&gt;7,AT322/(AD322/12)&lt;=14),"Abaixar Preço",AND(AT322/(AD322/12)&gt;14,AT322/(AD322/12)&lt;=20),"Estabilizando",AT322/(AD322/12)&gt;20,"Instavel"),"Instavel")</f>
        <v>Sem Produto</v>
      </c>
      <c r="AM322" s="1" t="str" cm="1">
        <f t="array" ref="AM322">IFERROR(_xlfn.IFS(AU322="","Sem Produto",AND(AU322/(AE322/12)&gt;0,AU322/(AE322/12)&lt;=2),"Acabando",AND(AU322/(AE322/12)&gt;2,AU322/(AE322/12)&lt;=3),"Fazer Pedido",AND(AU322/(AE322/12)&gt;3,AU322/(AE322/12)&lt;=7),"OK",AND(AU322/(AE322/12)&gt;7,AU322/(AE322/12)&lt;=14),"Abaixar Preço",AND(AU322/(AE322/12)&gt;14,AU322/(AE322/12)&lt;=20),"Estabilizando",AU322/(AE322/12)&gt;20,"Instavel"),"Instavel")</f>
        <v>Sem Produto</v>
      </c>
      <c r="AN322" s="1" t="str">
        <f>IF(SUMIF(vendaAno[data],SituaçãoEstoqueFluxo[[#This Row],[data]],vendaAno[estoque])=0,"Algo errado",IF(AND(AX322/AW322&gt;0,AX322/AW322&lt;=1),"Alerta",IF(AND(AX322/AW322&gt;1,AX322/AW322&lt;=1.5),"Fazer pedido",IF(AND(AX322/AW322&gt;1.5,AX322/AW322&lt;=2),"Ok",IF(AND(AX322/AW322&gt;2,AX322/AW322&lt;=2.5),"Estabilizando",IF(AND(AX322/AW322&gt;2.5,AX322/AW322&lt;=3),"Cheio","Abaixar preço"))))))</f>
        <v>Algo errado</v>
      </c>
      <c r="AO32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2" s="116">
        <f t="shared" si="15"/>
        <v>45912</v>
      </c>
      <c r="AQ32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2" s="82" cm="1">
        <f t="array" aca="1" ref="AV32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2" s="82" cm="1">
        <f t="array" aca="1" ref="AW32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2" s="82">
        <f>SUM(FluxoEstoqueDateTime[[#This Row],[OVO BRANCO A]:[OVO BRANCO JUMBO]])</f>
        <v>0</v>
      </c>
    </row>
    <row r="323" spans="1:50" x14ac:dyDescent="0.25">
      <c r="A323" s="4" t="s">
        <v>20</v>
      </c>
      <c r="B323" s="55" t="s">
        <v>10</v>
      </c>
      <c r="C323" s="5">
        <v>2</v>
      </c>
      <c r="D323" s="56">
        <v>21</v>
      </c>
      <c r="E323" s="56">
        <v>42</v>
      </c>
      <c r="F323" s="157">
        <v>46164</v>
      </c>
      <c r="G323" s="4" t="s">
        <v>83</v>
      </c>
      <c r="H323" s="4" t="s">
        <v>147</v>
      </c>
      <c r="I323" s="153">
        <v>9.93</v>
      </c>
      <c r="J323" s="12">
        <v>0.23649862061226623</v>
      </c>
      <c r="Z323" s="116">
        <f t="shared" si="13"/>
        <v>45911</v>
      </c>
      <c r="AA32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3" s="116">
        <f t="shared" si="14"/>
        <v>45911</v>
      </c>
      <c r="AI323" s="1" t="str" cm="1">
        <f t="array" ref="AI323">IFERROR(_xlfn.IFS(AQ323="","Sem Produto",AND(AQ323/(AA323/12)&gt;0,AQ323/(AA323/12)&lt;=2),"Acabando",AND(AQ323/(AA323/12)&gt;2,AQ323/(AA323/12)&lt;=3),"Fazer Pedido",AND(AQ323/(AA323/12)&gt;3,AQ323/(AA323/12)&lt;=7),"OK",AND(AQ323/(AA323/12)&gt;7,AQ323/(AA323/12)&lt;=14),"Abaixar Preço",AND(AQ323/(AA323/12)&gt;14,AQ323/(AA323/12)&lt;=20),"Estabilizando",AQ323/(AA323/12)&gt;20,"Instavel"),"Instavel")</f>
        <v>Sem Produto</v>
      </c>
      <c r="AJ323" s="1" t="str" cm="1">
        <f t="array" ref="AJ323">IFERROR(_xlfn.IFS(AR323="","Sem Produto",AND(AR323/(AB323/12)&gt;0,AR323/(AB323/12)&lt;=2),"Acabando",AND(AR323/(AB323/12)&gt;2,AR323/(AB323/12)&lt;=3),"Fazer Pedido",AND(AR323/(AB323/12)&gt;3,AR323/(AB323/12)&lt;=7),"OK",AND(AR323/(AB323/12)&gt;7,AR323/(AB323/12)&lt;=14),"Abaixar Preço",AND(AR323/(AB323/12)&gt;14,AR323/(AB323/12)&lt;=20),"Estabilizando",AR323/(AB323/12)&gt;20,"Instavel"),"Instavel")</f>
        <v>Sem Produto</v>
      </c>
      <c r="AK323" s="1" t="str" cm="1">
        <f t="array" ref="AK323">IFERROR(_xlfn.IFS(AS323="","Sem Produto",AND(AS323/(AC323/12)&gt;0,AS323/(AC323/12)&lt;=2),"Acabando",AND(AS323/(AC323/12)&gt;2,AS323/(AC323/12)&lt;=3),"Fazer Pedido",AND(AS323/(AC323/12)&gt;3,AS323/(AC323/12)&lt;=7),"OK",AND(AS323/(AC323/12)&gt;7,AS323/(AC323/12)&lt;=14),"Abaixar Preço",AND(AS323/(AC323/12)&gt;14,AS323/(AC323/12)&lt;=20),"Estabilizando",AS323/(AC323/12)&gt;20,"Instavel"),"Instavel")</f>
        <v>Sem Produto</v>
      </c>
      <c r="AL323" s="1" t="str" cm="1">
        <f t="array" ref="AL323">IFERROR(_xlfn.IFS(AT323="","Sem Produto",AND(AT323/(AD323/12)&gt;0,AT323/(AD323/12)&lt;=2),"Acabando",AND(AT323/(AD323/12)&gt;2,AT323/(AD323/12)&lt;=3),"Fazer Pedido",AND(AT323/(AD323/12)&gt;3,AT323/(AD323/12)&lt;=7),"OK",AND(AT323/(AD323/12)&gt;7,AT323/(AD323/12)&lt;=14),"Abaixar Preço",AND(AT323/(AD323/12)&gt;14,AT323/(AD323/12)&lt;=20),"Estabilizando",AT323/(AD323/12)&gt;20,"Instavel"),"Instavel")</f>
        <v>Sem Produto</v>
      </c>
      <c r="AM323" s="1" t="str" cm="1">
        <f t="array" ref="AM323">IFERROR(_xlfn.IFS(AU323="","Sem Produto",AND(AU323/(AE323/12)&gt;0,AU323/(AE323/12)&lt;=2),"Acabando",AND(AU323/(AE323/12)&gt;2,AU323/(AE323/12)&lt;=3),"Fazer Pedido",AND(AU323/(AE323/12)&gt;3,AU323/(AE323/12)&lt;=7),"OK",AND(AU323/(AE323/12)&gt;7,AU323/(AE323/12)&lt;=14),"Abaixar Preço",AND(AU323/(AE323/12)&gt;14,AU323/(AE323/12)&lt;=20),"Estabilizando",AU323/(AE323/12)&gt;20,"Instavel"),"Instavel")</f>
        <v>Sem Produto</v>
      </c>
      <c r="AN323" s="1" t="str">
        <f>IF(SUMIF(vendaAno[data],SituaçãoEstoqueFluxo[[#This Row],[data]],vendaAno[estoque])=0,"Algo errado",IF(AND(AX323/AW323&gt;0,AX323/AW323&lt;=1),"Alerta",IF(AND(AX323/AW323&gt;1,AX323/AW323&lt;=1.5),"Fazer pedido",IF(AND(AX323/AW323&gt;1.5,AX323/AW323&lt;=2),"Ok",IF(AND(AX323/AW323&gt;2,AX323/AW323&lt;=2.5),"Estabilizando",IF(AND(AX323/AW323&gt;2.5,AX323/AW323&lt;=3),"Cheio","Abaixar preço"))))))</f>
        <v>Algo errado</v>
      </c>
      <c r="AO32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3" s="116">
        <f t="shared" si="15"/>
        <v>45911</v>
      </c>
      <c r="AQ32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3" s="82" cm="1">
        <f t="array" aca="1" ref="AV32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3" s="82" cm="1">
        <f t="array" aca="1" ref="AW32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3" s="82">
        <f>SUM(FluxoEstoqueDateTime[[#This Row],[OVO BRANCO A]:[OVO BRANCO JUMBO]])</f>
        <v>0</v>
      </c>
    </row>
    <row r="324" spans="1:50" x14ac:dyDescent="0.25">
      <c r="A324" s="4" t="s">
        <v>20</v>
      </c>
      <c r="B324" s="55" t="s">
        <v>14</v>
      </c>
      <c r="C324" s="5">
        <v>8</v>
      </c>
      <c r="D324" s="56">
        <v>23</v>
      </c>
      <c r="E324" s="56">
        <v>184</v>
      </c>
      <c r="F324" s="157">
        <v>46163</v>
      </c>
      <c r="G324" s="4" t="s">
        <v>294</v>
      </c>
      <c r="H324" s="4" t="s">
        <v>147</v>
      </c>
      <c r="I324" s="153">
        <v>45.79</v>
      </c>
      <c r="J324" s="12">
        <v>0.24883540372670804</v>
      </c>
      <c r="Z324" s="116">
        <f t="shared" ref="Z324:Z367" si="16">Z323-1</f>
        <v>45910</v>
      </c>
      <c r="AA32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4" s="116">
        <f t="shared" ref="AH324:AH367" si="17">AH323-1</f>
        <v>45910</v>
      </c>
      <c r="AI324" s="1" t="str" cm="1">
        <f t="array" ref="AI324">IFERROR(_xlfn.IFS(AQ324="","Sem Produto",AND(AQ324/(AA324/12)&gt;0,AQ324/(AA324/12)&lt;=2),"Acabando",AND(AQ324/(AA324/12)&gt;2,AQ324/(AA324/12)&lt;=3),"Fazer Pedido",AND(AQ324/(AA324/12)&gt;3,AQ324/(AA324/12)&lt;=7),"OK",AND(AQ324/(AA324/12)&gt;7,AQ324/(AA324/12)&lt;=14),"Abaixar Preço",AND(AQ324/(AA324/12)&gt;14,AQ324/(AA324/12)&lt;=20),"Estabilizando",AQ324/(AA324/12)&gt;20,"Instavel"),"Instavel")</f>
        <v>Sem Produto</v>
      </c>
      <c r="AJ324" s="1" t="str" cm="1">
        <f t="array" ref="AJ324">IFERROR(_xlfn.IFS(AR324="","Sem Produto",AND(AR324/(AB324/12)&gt;0,AR324/(AB324/12)&lt;=2),"Acabando",AND(AR324/(AB324/12)&gt;2,AR324/(AB324/12)&lt;=3),"Fazer Pedido",AND(AR324/(AB324/12)&gt;3,AR324/(AB324/12)&lt;=7),"OK",AND(AR324/(AB324/12)&gt;7,AR324/(AB324/12)&lt;=14),"Abaixar Preço",AND(AR324/(AB324/12)&gt;14,AR324/(AB324/12)&lt;=20),"Estabilizando",AR324/(AB324/12)&gt;20,"Instavel"),"Instavel")</f>
        <v>Sem Produto</v>
      </c>
      <c r="AK324" s="1" t="str" cm="1">
        <f t="array" ref="AK324">IFERROR(_xlfn.IFS(AS324="","Sem Produto",AND(AS324/(AC324/12)&gt;0,AS324/(AC324/12)&lt;=2),"Acabando",AND(AS324/(AC324/12)&gt;2,AS324/(AC324/12)&lt;=3),"Fazer Pedido",AND(AS324/(AC324/12)&gt;3,AS324/(AC324/12)&lt;=7),"OK",AND(AS324/(AC324/12)&gt;7,AS324/(AC324/12)&lt;=14),"Abaixar Preço",AND(AS324/(AC324/12)&gt;14,AS324/(AC324/12)&lt;=20),"Estabilizando",AS324/(AC324/12)&gt;20,"Instavel"),"Instavel")</f>
        <v>Sem Produto</v>
      </c>
      <c r="AL324" s="1" t="str" cm="1">
        <f t="array" ref="AL324">IFERROR(_xlfn.IFS(AT324="","Sem Produto",AND(AT324/(AD324/12)&gt;0,AT324/(AD324/12)&lt;=2),"Acabando",AND(AT324/(AD324/12)&gt;2,AT324/(AD324/12)&lt;=3),"Fazer Pedido",AND(AT324/(AD324/12)&gt;3,AT324/(AD324/12)&lt;=7),"OK",AND(AT324/(AD324/12)&gt;7,AT324/(AD324/12)&lt;=14),"Abaixar Preço",AND(AT324/(AD324/12)&gt;14,AT324/(AD324/12)&lt;=20),"Estabilizando",AT324/(AD324/12)&gt;20,"Instavel"),"Instavel")</f>
        <v>Sem Produto</v>
      </c>
      <c r="AM324" s="1" t="str" cm="1">
        <f t="array" ref="AM324">IFERROR(_xlfn.IFS(AU324="","Sem Produto",AND(AU324/(AE324/12)&gt;0,AU324/(AE324/12)&lt;=2),"Acabando",AND(AU324/(AE324/12)&gt;2,AU324/(AE324/12)&lt;=3),"Fazer Pedido",AND(AU324/(AE324/12)&gt;3,AU324/(AE324/12)&lt;=7),"OK",AND(AU324/(AE324/12)&gt;7,AU324/(AE324/12)&lt;=14),"Abaixar Preço",AND(AU324/(AE324/12)&gt;14,AU324/(AE324/12)&lt;=20),"Estabilizando",AU324/(AE324/12)&gt;20,"Instavel"),"Instavel")</f>
        <v>Sem Produto</v>
      </c>
      <c r="AN324" s="1" t="str">
        <f>IF(SUMIF(vendaAno[data],SituaçãoEstoqueFluxo[[#This Row],[data]],vendaAno[estoque])=0,"Algo errado",IF(AND(AX324/AW324&gt;0,AX324/AW324&lt;=1),"Alerta",IF(AND(AX324/AW324&gt;1,AX324/AW324&lt;=1.5),"Fazer pedido",IF(AND(AX324/AW324&gt;1.5,AX324/AW324&lt;=2),"Ok",IF(AND(AX324/AW324&gt;2,AX324/AW324&lt;=2.5),"Estabilizando",IF(AND(AX324/AW324&gt;2.5,AX324/AW324&lt;=3),"Cheio","Abaixar preço"))))))</f>
        <v>Algo errado</v>
      </c>
      <c r="AO32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4" s="116">
        <f t="shared" ref="AP324:AP367" si="18">AP323-1</f>
        <v>45910</v>
      </c>
      <c r="AQ32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4" s="82" cm="1">
        <f t="array" aca="1" ref="AV32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4" s="82" cm="1">
        <f t="array" aca="1" ref="AW32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4" s="82">
        <f>SUM(FluxoEstoqueDateTime[[#This Row],[OVO BRANCO A]:[OVO BRANCO JUMBO]])</f>
        <v>0</v>
      </c>
    </row>
    <row r="325" spans="1:50" x14ac:dyDescent="0.25">
      <c r="A325" s="4" t="s">
        <v>20</v>
      </c>
      <c r="B325" s="55" t="s">
        <v>13</v>
      </c>
      <c r="C325" s="5">
        <v>5</v>
      </c>
      <c r="D325" s="56">
        <v>22</v>
      </c>
      <c r="E325" s="56">
        <v>110</v>
      </c>
      <c r="F325" s="157">
        <v>46163</v>
      </c>
      <c r="G325" s="4" t="s">
        <v>294</v>
      </c>
      <c r="H325" s="4" t="s">
        <v>147</v>
      </c>
      <c r="I325" s="153">
        <v>27.67</v>
      </c>
      <c r="J325" s="12">
        <v>0.25154320987654316</v>
      </c>
      <c r="Z325" s="116">
        <f t="shared" si="16"/>
        <v>45909</v>
      </c>
      <c r="AA32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5" s="116">
        <f t="shared" si="17"/>
        <v>45909</v>
      </c>
      <c r="AI325" s="1" t="str" cm="1">
        <f t="array" ref="AI325">IFERROR(_xlfn.IFS(AQ325="","Sem Produto",AND(AQ325/(AA325/12)&gt;0,AQ325/(AA325/12)&lt;=2),"Acabando",AND(AQ325/(AA325/12)&gt;2,AQ325/(AA325/12)&lt;=3),"Fazer Pedido",AND(AQ325/(AA325/12)&gt;3,AQ325/(AA325/12)&lt;=7),"OK",AND(AQ325/(AA325/12)&gt;7,AQ325/(AA325/12)&lt;=14),"Abaixar Preço",AND(AQ325/(AA325/12)&gt;14,AQ325/(AA325/12)&lt;=20),"Estabilizando",AQ325/(AA325/12)&gt;20,"Instavel"),"Instavel")</f>
        <v>Sem Produto</v>
      </c>
      <c r="AJ325" s="1" t="str" cm="1">
        <f t="array" ref="AJ325">IFERROR(_xlfn.IFS(AR325="","Sem Produto",AND(AR325/(AB325/12)&gt;0,AR325/(AB325/12)&lt;=2),"Acabando",AND(AR325/(AB325/12)&gt;2,AR325/(AB325/12)&lt;=3),"Fazer Pedido",AND(AR325/(AB325/12)&gt;3,AR325/(AB325/12)&lt;=7),"OK",AND(AR325/(AB325/12)&gt;7,AR325/(AB325/12)&lt;=14),"Abaixar Preço",AND(AR325/(AB325/12)&gt;14,AR325/(AB325/12)&lt;=20),"Estabilizando",AR325/(AB325/12)&gt;20,"Instavel"),"Instavel")</f>
        <v>Sem Produto</v>
      </c>
      <c r="AK325" s="1" t="str" cm="1">
        <f t="array" ref="AK325">IFERROR(_xlfn.IFS(AS325="","Sem Produto",AND(AS325/(AC325/12)&gt;0,AS325/(AC325/12)&lt;=2),"Acabando",AND(AS325/(AC325/12)&gt;2,AS325/(AC325/12)&lt;=3),"Fazer Pedido",AND(AS325/(AC325/12)&gt;3,AS325/(AC325/12)&lt;=7),"OK",AND(AS325/(AC325/12)&gt;7,AS325/(AC325/12)&lt;=14),"Abaixar Preço",AND(AS325/(AC325/12)&gt;14,AS325/(AC325/12)&lt;=20),"Estabilizando",AS325/(AC325/12)&gt;20,"Instavel"),"Instavel")</f>
        <v>Sem Produto</v>
      </c>
      <c r="AL325" s="1" t="str" cm="1">
        <f t="array" ref="AL325">IFERROR(_xlfn.IFS(AT325="","Sem Produto",AND(AT325/(AD325/12)&gt;0,AT325/(AD325/12)&lt;=2),"Acabando",AND(AT325/(AD325/12)&gt;2,AT325/(AD325/12)&lt;=3),"Fazer Pedido",AND(AT325/(AD325/12)&gt;3,AT325/(AD325/12)&lt;=7),"OK",AND(AT325/(AD325/12)&gt;7,AT325/(AD325/12)&lt;=14),"Abaixar Preço",AND(AT325/(AD325/12)&gt;14,AT325/(AD325/12)&lt;=20),"Estabilizando",AT325/(AD325/12)&gt;20,"Instavel"),"Instavel")</f>
        <v>Sem Produto</v>
      </c>
      <c r="AM325" s="1" t="str" cm="1">
        <f t="array" ref="AM325">IFERROR(_xlfn.IFS(AU325="","Sem Produto",AND(AU325/(AE325/12)&gt;0,AU325/(AE325/12)&lt;=2),"Acabando",AND(AU325/(AE325/12)&gt;2,AU325/(AE325/12)&lt;=3),"Fazer Pedido",AND(AU325/(AE325/12)&gt;3,AU325/(AE325/12)&lt;=7),"OK",AND(AU325/(AE325/12)&gt;7,AU325/(AE325/12)&lt;=14),"Abaixar Preço",AND(AU325/(AE325/12)&gt;14,AU325/(AE325/12)&lt;=20),"Estabilizando",AU325/(AE325/12)&gt;20,"Instavel"),"Instavel")</f>
        <v>Sem Produto</v>
      </c>
      <c r="AN325" s="1" t="str">
        <f>IF(SUMIF(vendaAno[data],SituaçãoEstoqueFluxo[[#This Row],[data]],vendaAno[estoque])=0,"Algo errado",IF(AND(AX325/AW325&gt;0,AX325/AW325&lt;=1),"Alerta",IF(AND(AX325/AW325&gt;1,AX325/AW325&lt;=1.5),"Fazer pedido",IF(AND(AX325/AW325&gt;1.5,AX325/AW325&lt;=2),"Ok",IF(AND(AX325/AW325&gt;2,AX325/AW325&lt;=2.5),"Estabilizando",IF(AND(AX325/AW325&gt;2.5,AX325/AW325&lt;=3),"Cheio","Abaixar preço"))))))</f>
        <v>Algo errado</v>
      </c>
      <c r="AO32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5" s="116">
        <f t="shared" si="18"/>
        <v>45909</v>
      </c>
      <c r="AQ32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5" s="82" cm="1">
        <f t="array" aca="1" ref="AV32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5" s="82" cm="1">
        <f t="array" aca="1" ref="AW32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5" s="82">
        <f>SUM(FluxoEstoqueDateTime[[#This Row],[OVO BRANCO A]:[OVO BRANCO JUMBO]])</f>
        <v>0</v>
      </c>
    </row>
    <row r="326" spans="1:50" x14ac:dyDescent="0.25">
      <c r="A326" s="4" t="s">
        <v>20</v>
      </c>
      <c r="B326" s="55" t="s">
        <v>11</v>
      </c>
      <c r="C326" s="5">
        <v>13</v>
      </c>
      <c r="D326" s="56">
        <v>20</v>
      </c>
      <c r="E326" s="56">
        <v>260</v>
      </c>
      <c r="F326" s="157">
        <v>46163</v>
      </c>
      <c r="G326" s="4" t="s">
        <v>294</v>
      </c>
      <c r="H326" s="4" t="s">
        <v>147</v>
      </c>
      <c r="I326" s="153">
        <v>65</v>
      </c>
      <c r="J326" s="12">
        <v>0.25</v>
      </c>
      <c r="Z326" s="116">
        <f t="shared" si="16"/>
        <v>45908</v>
      </c>
      <c r="AA32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6" s="116">
        <f t="shared" si="17"/>
        <v>45908</v>
      </c>
      <c r="AI326" s="1" t="str" cm="1">
        <f t="array" ref="AI326">IFERROR(_xlfn.IFS(AQ326="","Sem Produto",AND(AQ326/(AA326/12)&gt;0,AQ326/(AA326/12)&lt;=2),"Acabando",AND(AQ326/(AA326/12)&gt;2,AQ326/(AA326/12)&lt;=3),"Fazer Pedido",AND(AQ326/(AA326/12)&gt;3,AQ326/(AA326/12)&lt;=7),"OK",AND(AQ326/(AA326/12)&gt;7,AQ326/(AA326/12)&lt;=14),"Abaixar Preço",AND(AQ326/(AA326/12)&gt;14,AQ326/(AA326/12)&lt;=20),"Estabilizando",AQ326/(AA326/12)&gt;20,"Instavel"),"Instavel")</f>
        <v>Sem Produto</v>
      </c>
      <c r="AJ326" s="1" t="str" cm="1">
        <f t="array" ref="AJ326">IFERROR(_xlfn.IFS(AR326="","Sem Produto",AND(AR326/(AB326/12)&gt;0,AR326/(AB326/12)&lt;=2),"Acabando",AND(AR326/(AB326/12)&gt;2,AR326/(AB326/12)&lt;=3),"Fazer Pedido",AND(AR326/(AB326/12)&gt;3,AR326/(AB326/12)&lt;=7),"OK",AND(AR326/(AB326/12)&gt;7,AR326/(AB326/12)&lt;=14),"Abaixar Preço",AND(AR326/(AB326/12)&gt;14,AR326/(AB326/12)&lt;=20),"Estabilizando",AR326/(AB326/12)&gt;20,"Instavel"),"Instavel")</f>
        <v>Sem Produto</v>
      </c>
      <c r="AK326" s="1" t="str" cm="1">
        <f t="array" ref="AK326">IFERROR(_xlfn.IFS(AS326="","Sem Produto",AND(AS326/(AC326/12)&gt;0,AS326/(AC326/12)&lt;=2),"Acabando",AND(AS326/(AC326/12)&gt;2,AS326/(AC326/12)&lt;=3),"Fazer Pedido",AND(AS326/(AC326/12)&gt;3,AS326/(AC326/12)&lt;=7),"OK",AND(AS326/(AC326/12)&gt;7,AS326/(AC326/12)&lt;=14),"Abaixar Preço",AND(AS326/(AC326/12)&gt;14,AS326/(AC326/12)&lt;=20),"Estabilizando",AS326/(AC326/12)&gt;20,"Instavel"),"Instavel")</f>
        <v>Sem Produto</v>
      </c>
      <c r="AL326" s="1" t="str" cm="1">
        <f t="array" ref="AL326">IFERROR(_xlfn.IFS(AT326="","Sem Produto",AND(AT326/(AD326/12)&gt;0,AT326/(AD326/12)&lt;=2),"Acabando",AND(AT326/(AD326/12)&gt;2,AT326/(AD326/12)&lt;=3),"Fazer Pedido",AND(AT326/(AD326/12)&gt;3,AT326/(AD326/12)&lt;=7),"OK",AND(AT326/(AD326/12)&gt;7,AT326/(AD326/12)&lt;=14),"Abaixar Preço",AND(AT326/(AD326/12)&gt;14,AT326/(AD326/12)&lt;=20),"Estabilizando",AT326/(AD326/12)&gt;20,"Instavel"),"Instavel")</f>
        <v>Sem Produto</v>
      </c>
      <c r="AM326" s="1" t="str" cm="1">
        <f t="array" ref="AM326">IFERROR(_xlfn.IFS(AU326="","Sem Produto",AND(AU326/(AE326/12)&gt;0,AU326/(AE326/12)&lt;=2),"Acabando",AND(AU326/(AE326/12)&gt;2,AU326/(AE326/12)&lt;=3),"Fazer Pedido",AND(AU326/(AE326/12)&gt;3,AU326/(AE326/12)&lt;=7),"OK",AND(AU326/(AE326/12)&gt;7,AU326/(AE326/12)&lt;=14),"Abaixar Preço",AND(AU326/(AE326/12)&gt;14,AU326/(AE326/12)&lt;=20),"Estabilizando",AU326/(AE326/12)&gt;20,"Instavel"),"Instavel")</f>
        <v>Sem Produto</v>
      </c>
      <c r="AN326" s="1" t="str">
        <f>IF(SUMIF(vendaAno[data],SituaçãoEstoqueFluxo[[#This Row],[data]],vendaAno[estoque])=0,"Algo errado",IF(AND(AX326/AW326&gt;0,AX326/AW326&lt;=1),"Alerta",IF(AND(AX326/AW326&gt;1,AX326/AW326&lt;=1.5),"Fazer pedido",IF(AND(AX326/AW326&gt;1.5,AX326/AW326&lt;=2),"Ok",IF(AND(AX326/AW326&gt;2,AX326/AW326&lt;=2.5),"Estabilizando",IF(AND(AX326/AW326&gt;2.5,AX326/AW326&lt;=3),"Cheio","Abaixar preço"))))))</f>
        <v>Algo errado</v>
      </c>
      <c r="AO32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6" s="116">
        <f t="shared" si="18"/>
        <v>45908</v>
      </c>
      <c r="AQ32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6" s="82" cm="1">
        <f t="array" aca="1" ref="AV32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6" s="82" cm="1">
        <f t="array" aca="1" ref="AW32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6" s="82">
        <f>SUM(FluxoEstoqueDateTime[[#This Row],[OVO BRANCO A]:[OVO BRANCO JUMBO]])</f>
        <v>0</v>
      </c>
    </row>
    <row r="327" spans="1:50" x14ac:dyDescent="0.25">
      <c r="A327" s="4" t="s">
        <v>20</v>
      </c>
      <c r="B327" s="55" t="s">
        <v>10</v>
      </c>
      <c r="C327" s="5">
        <v>6</v>
      </c>
      <c r="D327" s="56">
        <v>21</v>
      </c>
      <c r="E327" s="56">
        <v>122</v>
      </c>
      <c r="F327" s="157">
        <v>46163</v>
      </c>
      <c r="G327" s="4" t="s">
        <v>294</v>
      </c>
      <c r="H327" s="4" t="s">
        <v>147</v>
      </c>
      <c r="I327" s="153">
        <v>25.8</v>
      </c>
      <c r="J327" s="12">
        <v>0.21146578850119299</v>
      </c>
      <c r="Z327" s="116">
        <f t="shared" si="16"/>
        <v>45907</v>
      </c>
      <c r="AA32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7" s="116">
        <f t="shared" si="17"/>
        <v>45907</v>
      </c>
      <c r="AI327" s="1" t="str" cm="1">
        <f t="array" ref="AI327">IFERROR(_xlfn.IFS(AQ327="","Sem Produto",AND(AQ327/(AA327/12)&gt;0,AQ327/(AA327/12)&lt;=2),"Acabando",AND(AQ327/(AA327/12)&gt;2,AQ327/(AA327/12)&lt;=3),"Fazer Pedido",AND(AQ327/(AA327/12)&gt;3,AQ327/(AA327/12)&lt;=7),"OK",AND(AQ327/(AA327/12)&gt;7,AQ327/(AA327/12)&lt;=14),"Abaixar Preço",AND(AQ327/(AA327/12)&gt;14,AQ327/(AA327/12)&lt;=20),"Estabilizando",AQ327/(AA327/12)&gt;20,"Instavel"),"Instavel")</f>
        <v>Sem Produto</v>
      </c>
      <c r="AJ327" s="1" t="str" cm="1">
        <f t="array" ref="AJ327">IFERROR(_xlfn.IFS(AR327="","Sem Produto",AND(AR327/(AB327/12)&gt;0,AR327/(AB327/12)&lt;=2),"Acabando",AND(AR327/(AB327/12)&gt;2,AR327/(AB327/12)&lt;=3),"Fazer Pedido",AND(AR327/(AB327/12)&gt;3,AR327/(AB327/12)&lt;=7),"OK",AND(AR327/(AB327/12)&gt;7,AR327/(AB327/12)&lt;=14),"Abaixar Preço",AND(AR327/(AB327/12)&gt;14,AR327/(AB327/12)&lt;=20),"Estabilizando",AR327/(AB327/12)&gt;20,"Instavel"),"Instavel")</f>
        <v>Sem Produto</v>
      </c>
      <c r="AK327" s="1" t="str" cm="1">
        <f t="array" ref="AK327">IFERROR(_xlfn.IFS(AS327="","Sem Produto",AND(AS327/(AC327/12)&gt;0,AS327/(AC327/12)&lt;=2),"Acabando",AND(AS327/(AC327/12)&gt;2,AS327/(AC327/12)&lt;=3),"Fazer Pedido",AND(AS327/(AC327/12)&gt;3,AS327/(AC327/12)&lt;=7),"OK",AND(AS327/(AC327/12)&gt;7,AS327/(AC327/12)&lt;=14),"Abaixar Preço",AND(AS327/(AC327/12)&gt;14,AS327/(AC327/12)&lt;=20),"Estabilizando",AS327/(AC327/12)&gt;20,"Instavel"),"Instavel")</f>
        <v>Sem Produto</v>
      </c>
      <c r="AL327" s="1" t="str" cm="1">
        <f t="array" ref="AL327">IFERROR(_xlfn.IFS(AT327="","Sem Produto",AND(AT327/(AD327/12)&gt;0,AT327/(AD327/12)&lt;=2),"Acabando",AND(AT327/(AD327/12)&gt;2,AT327/(AD327/12)&lt;=3),"Fazer Pedido",AND(AT327/(AD327/12)&gt;3,AT327/(AD327/12)&lt;=7),"OK",AND(AT327/(AD327/12)&gt;7,AT327/(AD327/12)&lt;=14),"Abaixar Preço",AND(AT327/(AD327/12)&gt;14,AT327/(AD327/12)&lt;=20),"Estabilizando",AT327/(AD327/12)&gt;20,"Instavel"),"Instavel")</f>
        <v>Sem Produto</v>
      </c>
      <c r="AM327" s="1" t="str" cm="1">
        <f t="array" ref="AM327">IFERROR(_xlfn.IFS(AU327="","Sem Produto",AND(AU327/(AE327/12)&gt;0,AU327/(AE327/12)&lt;=2),"Acabando",AND(AU327/(AE327/12)&gt;2,AU327/(AE327/12)&lt;=3),"Fazer Pedido",AND(AU327/(AE327/12)&gt;3,AU327/(AE327/12)&lt;=7),"OK",AND(AU327/(AE327/12)&gt;7,AU327/(AE327/12)&lt;=14),"Abaixar Preço",AND(AU327/(AE327/12)&gt;14,AU327/(AE327/12)&lt;=20),"Estabilizando",AU327/(AE327/12)&gt;20,"Instavel"),"Instavel")</f>
        <v>Sem Produto</v>
      </c>
      <c r="AN327" s="1" t="str">
        <f>IF(SUMIF(vendaAno[data],SituaçãoEstoqueFluxo[[#This Row],[data]],vendaAno[estoque])=0,"Algo errado",IF(AND(AX327/AW327&gt;0,AX327/AW327&lt;=1),"Alerta",IF(AND(AX327/AW327&gt;1,AX327/AW327&lt;=1.5),"Fazer pedido",IF(AND(AX327/AW327&gt;1.5,AX327/AW327&lt;=2),"Ok",IF(AND(AX327/AW327&gt;2,AX327/AW327&lt;=2.5),"Estabilizando",IF(AND(AX327/AW327&gt;2.5,AX327/AW327&lt;=3),"Cheio","Abaixar preço"))))))</f>
        <v>Algo errado</v>
      </c>
      <c r="AO32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7" s="116">
        <f t="shared" si="18"/>
        <v>45907</v>
      </c>
      <c r="AQ32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7" s="82" cm="1">
        <f t="array" aca="1" ref="AV32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7" s="82" cm="1">
        <f t="array" aca="1" ref="AW32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7" s="82">
        <f>SUM(FluxoEstoqueDateTime[[#This Row],[OVO BRANCO A]:[OVO BRANCO JUMBO]])</f>
        <v>0</v>
      </c>
    </row>
    <row r="328" spans="1:50" x14ac:dyDescent="0.25">
      <c r="A328" s="4" t="s">
        <v>20</v>
      </c>
      <c r="B328" s="55" t="s">
        <v>14</v>
      </c>
      <c r="C328" s="5">
        <v>13</v>
      </c>
      <c r="D328" s="56">
        <v>23</v>
      </c>
      <c r="E328" s="56">
        <v>299</v>
      </c>
      <c r="F328" s="157">
        <v>46162</v>
      </c>
      <c r="G328" s="4" t="s">
        <v>32</v>
      </c>
      <c r="H328" s="4" t="s">
        <v>147</v>
      </c>
      <c r="I328" s="153">
        <v>74.400000000000006</v>
      </c>
      <c r="J328" s="12">
        <v>0.24883540372670801</v>
      </c>
      <c r="Z328" s="116">
        <f t="shared" si="16"/>
        <v>45906</v>
      </c>
      <c r="AA32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8" s="116">
        <f t="shared" si="17"/>
        <v>45906</v>
      </c>
      <c r="AI328" s="1" t="str" cm="1">
        <f t="array" ref="AI328">IFERROR(_xlfn.IFS(AQ328="","Sem Produto",AND(AQ328/(AA328/12)&gt;0,AQ328/(AA328/12)&lt;=2),"Acabando",AND(AQ328/(AA328/12)&gt;2,AQ328/(AA328/12)&lt;=3),"Fazer Pedido",AND(AQ328/(AA328/12)&gt;3,AQ328/(AA328/12)&lt;=7),"OK",AND(AQ328/(AA328/12)&gt;7,AQ328/(AA328/12)&lt;=14),"Abaixar Preço",AND(AQ328/(AA328/12)&gt;14,AQ328/(AA328/12)&lt;=20),"Estabilizando",AQ328/(AA328/12)&gt;20,"Instavel"),"Instavel")</f>
        <v>Sem Produto</v>
      </c>
      <c r="AJ328" s="1" t="str" cm="1">
        <f t="array" ref="AJ328">IFERROR(_xlfn.IFS(AR328="","Sem Produto",AND(AR328/(AB328/12)&gt;0,AR328/(AB328/12)&lt;=2),"Acabando",AND(AR328/(AB328/12)&gt;2,AR328/(AB328/12)&lt;=3),"Fazer Pedido",AND(AR328/(AB328/12)&gt;3,AR328/(AB328/12)&lt;=7),"OK",AND(AR328/(AB328/12)&gt;7,AR328/(AB328/12)&lt;=14),"Abaixar Preço",AND(AR328/(AB328/12)&gt;14,AR328/(AB328/12)&lt;=20),"Estabilizando",AR328/(AB328/12)&gt;20,"Instavel"),"Instavel")</f>
        <v>Sem Produto</v>
      </c>
      <c r="AK328" s="1" t="str" cm="1">
        <f t="array" ref="AK328">IFERROR(_xlfn.IFS(AS328="","Sem Produto",AND(AS328/(AC328/12)&gt;0,AS328/(AC328/12)&lt;=2),"Acabando",AND(AS328/(AC328/12)&gt;2,AS328/(AC328/12)&lt;=3),"Fazer Pedido",AND(AS328/(AC328/12)&gt;3,AS328/(AC328/12)&lt;=7),"OK",AND(AS328/(AC328/12)&gt;7,AS328/(AC328/12)&lt;=14),"Abaixar Preço",AND(AS328/(AC328/12)&gt;14,AS328/(AC328/12)&lt;=20),"Estabilizando",AS328/(AC328/12)&gt;20,"Instavel"),"Instavel")</f>
        <v>Sem Produto</v>
      </c>
      <c r="AL328" s="1" t="str" cm="1">
        <f t="array" ref="AL328">IFERROR(_xlfn.IFS(AT328="","Sem Produto",AND(AT328/(AD328/12)&gt;0,AT328/(AD328/12)&lt;=2),"Acabando",AND(AT328/(AD328/12)&gt;2,AT328/(AD328/12)&lt;=3),"Fazer Pedido",AND(AT328/(AD328/12)&gt;3,AT328/(AD328/12)&lt;=7),"OK",AND(AT328/(AD328/12)&gt;7,AT328/(AD328/12)&lt;=14),"Abaixar Preço",AND(AT328/(AD328/12)&gt;14,AT328/(AD328/12)&lt;=20),"Estabilizando",AT328/(AD328/12)&gt;20,"Instavel"),"Instavel")</f>
        <v>Sem Produto</v>
      </c>
      <c r="AM328" s="1" t="str" cm="1">
        <f t="array" ref="AM328">IFERROR(_xlfn.IFS(AU328="","Sem Produto",AND(AU328/(AE328/12)&gt;0,AU328/(AE328/12)&lt;=2),"Acabando",AND(AU328/(AE328/12)&gt;2,AU328/(AE328/12)&lt;=3),"Fazer Pedido",AND(AU328/(AE328/12)&gt;3,AU328/(AE328/12)&lt;=7),"OK",AND(AU328/(AE328/12)&gt;7,AU328/(AE328/12)&lt;=14),"Abaixar Preço",AND(AU328/(AE328/12)&gt;14,AU328/(AE328/12)&lt;=20),"Estabilizando",AU328/(AE328/12)&gt;20,"Instavel"),"Instavel")</f>
        <v>Sem Produto</v>
      </c>
      <c r="AN328" s="1" t="str">
        <f>IF(SUMIF(vendaAno[data],SituaçãoEstoqueFluxo[[#This Row],[data]],vendaAno[estoque])=0,"Algo errado",IF(AND(AX328/AW328&gt;0,AX328/AW328&lt;=1),"Alerta",IF(AND(AX328/AW328&gt;1,AX328/AW328&lt;=1.5),"Fazer pedido",IF(AND(AX328/AW328&gt;1.5,AX328/AW328&lt;=2),"Ok",IF(AND(AX328/AW328&gt;2,AX328/AW328&lt;=2.5),"Estabilizando",IF(AND(AX328/AW328&gt;2.5,AX328/AW328&lt;=3),"Cheio","Abaixar preço"))))))</f>
        <v>Algo errado</v>
      </c>
      <c r="AO32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8" s="116">
        <f t="shared" si="18"/>
        <v>45906</v>
      </c>
      <c r="AQ32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8" s="82" cm="1">
        <f t="array" aca="1" ref="AV32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8" s="82" cm="1">
        <f t="array" aca="1" ref="AW32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8" s="82">
        <f>SUM(FluxoEstoqueDateTime[[#This Row],[OVO BRANCO A]:[OVO BRANCO JUMBO]])</f>
        <v>0</v>
      </c>
    </row>
    <row r="329" spans="1:50" x14ac:dyDescent="0.25">
      <c r="A329" s="4" t="s">
        <v>20</v>
      </c>
      <c r="B329" s="55" t="s">
        <v>13</v>
      </c>
      <c r="C329" s="5">
        <v>10</v>
      </c>
      <c r="D329" s="56">
        <v>22</v>
      </c>
      <c r="E329" s="56">
        <v>220</v>
      </c>
      <c r="F329" s="157">
        <v>46162</v>
      </c>
      <c r="G329" s="4" t="s">
        <v>32</v>
      </c>
      <c r="H329" s="4" t="s">
        <v>147</v>
      </c>
      <c r="I329" s="153">
        <v>55.34</v>
      </c>
      <c r="J329" s="12">
        <v>0.25154320987654316</v>
      </c>
      <c r="Z329" s="116">
        <f t="shared" si="16"/>
        <v>45905</v>
      </c>
      <c r="AA32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2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2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2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2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2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2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29" s="116">
        <f t="shared" si="17"/>
        <v>45905</v>
      </c>
      <c r="AI329" s="1" t="str" cm="1">
        <f t="array" ref="AI329">IFERROR(_xlfn.IFS(AQ329="","Sem Produto",AND(AQ329/(AA329/12)&gt;0,AQ329/(AA329/12)&lt;=2),"Acabando",AND(AQ329/(AA329/12)&gt;2,AQ329/(AA329/12)&lt;=3),"Fazer Pedido",AND(AQ329/(AA329/12)&gt;3,AQ329/(AA329/12)&lt;=7),"OK",AND(AQ329/(AA329/12)&gt;7,AQ329/(AA329/12)&lt;=14),"Abaixar Preço",AND(AQ329/(AA329/12)&gt;14,AQ329/(AA329/12)&lt;=20),"Estabilizando",AQ329/(AA329/12)&gt;20,"Instavel"),"Instavel")</f>
        <v>Sem Produto</v>
      </c>
      <c r="AJ329" s="1" t="str" cm="1">
        <f t="array" ref="AJ329">IFERROR(_xlfn.IFS(AR329="","Sem Produto",AND(AR329/(AB329/12)&gt;0,AR329/(AB329/12)&lt;=2),"Acabando",AND(AR329/(AB329/12)&gt;2,AR329/(AB329/12)&lt;=3),"Fazer Pedido",AND(AR329/(AB329/12)&gt;3,AR329/(AB329/12)&lt;=7),"OK",AND(AR329/(AB329/12)&gt;7,AR329/(AB329/12)&lt;=14),"Abaixar Preço",AND(AR329/(AB329/12)&gt;14,AR329/(AB329/12)&lt;=20),"Estabilizando",AR329/(AB329/12)&gt;20,"Instavel"),"Instavel")</f>
        <v>Sem Produto</v>
      </c>
      <c r="AK329" s="1" t="str" cm="1">
        <f t="array" ref="AK329">IFERROR(_xlfn.IFS(AS329="","Sem Produto",AND(AS329/(AC329/12)&gt;0,AS329/(AC329/12)&lt;=2),"Acabando",AND(AS329/(AC329/12)&gt;2,AS329/(AC329/12)&lt;=3),"Fazer Pedido",AND(AS329/(AC329/12)&gt;3,AS329/(AC329/12)&lt;=7),"OK",AND(AS329/(AC329/12)&gt;7,AS329/(AC329/12)&lt;=14),"Abaixar Preço",AND(AS329/(AC329/12)&gt;14,AS329/(AC329/12)&lt;=20),"Estabilizando",AS329/(AC329/12)&gt;20,"Instavel"),"Instavel")</f>
        <v>Sem Produto</v>
      </c>
      <c r="AL329" s="1" t="str" cm="1">
        <f t="array" ref="AL329">IFERROR(_xlfn.IFS(AT329="","Sem Produto",AND(AT329/(AD329/12)&gt;0,AT329/(AD329/12)&lt;=2),"Acabando",AND(AT329/(AD329/12)&gt;2,AT329/(AD329/12)&lt;=3),"Fazer Pedido",AND(AT329/(AD329/12)&gt;3,AT329/(AD329/12)&lt;=7),"OK",AND(AT329/(AD329/12)&gt;7,AT329/(AD329/12)&lt;=14),"Abaixar Preço",AND(AT329/(AD329/12)&gt;14,AT329/(AD329/12)&lt;=20),"Estabilizando",AT329/(AD329/12)&gt;20,"Instavel"),"Instavel")</f>
        <v>Sem Produto</v>
      </c>
      <c r="AM329" s="1" t="str" cm="1">
        <f t="array" ref="AM329">IFERROR(_xlfn.IFS(AU329="","Sem Produto",AND(AU329/(AE329/12)&gt;0,AU329/(AE329/12)&lt;=2),"Acabando",AND(AU329/(AE329/12)&gt;2,AU329/(AE329/12)&lt;=3),"Fazer Pedido",AND(AU329/(AE329/12)&gt;3,AU329/(AE329/12)&lt;=7),"OK",AND(AU329/(AE329/12)&gt;7,AU329/(AE329/12)&lt;=14),"Abaixar Preço",AND(AU329/(AE329/12)&gt;14,AU329/(AE329/12)&lt;=20),"Estabilizando",AU329/(AE329/12)&gt;20,"Instavel"),"Instavel")</f>
        <v>Sem Produto</v>
      </c>
      <c r="AN329" s="1" t="str">
        <f>IF(SUMIF(vendaAno[data],SituaçãoEstoqueFluxo[[#This Row],[data]],vendaAno[estoque])=0,"Algo errado",IF(AND(AX329/AW329&gt;0,AX329/AW329&lt;=1),"Alerta",IF(AND(AX329/AW329&gt;1,AX329/AW329&lt;=1.5),"Fazer pedido",IF(AND(AX329/AW329&gt;1.5,AX329/AW329&lt;=2),"Ok",IF(AND(AX329/AW329&gt;2,AX329/AW329&lt;=2.5),"Estabilizando",IF(AND(AX329/AW329&gt;2.5,AX329/AW329&lt;=3),"Cheio","Abaixar preço"))))))</f>
        <v>Algo errado</v>
      </c>
      <c r="AO32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29" s="116">
        <f t="shared" si="18"/>
        <v>45905</v>
      </c>
      <c r="AQ32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2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2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2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2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29" s="82" cm="1">
        <f t="array" aca="1" ref="AV32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29" s="82" cm="1">
        <f t="array" aca="1" ref="AW32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29" s="82">
        <f>SUM(FluxoEstoqueDateTime[[#This Row],[OVO BRANCO A]:[OVO BRANCO JUMBO]])</f>
        <v>0</v>
      </c>
    </row>
    <row r="330" spans="1:50" x14ac:dyDescent="0.25">
      <c r="A330" s="4" t="s">
        <v>20</v>
      </c>
      <c r="B330" s="55" t="s">
        <v>11</v>
      </c>
      <c r="C330" s="5">
        <v>10</v>
      </c>
      <c r="D330" s="56">
        <v>20</v>
      </c>
      <c r="E330" s="56">
        <v>189.5</v>
      </c>
      <c r="F330" s="157">
        <v>46162</v>
      </c>
      <c r="G330" s="4" t="s">
        <v>32</v>
      </c>
      <c r="H330" s="4" t="s">
        <v>147</v>
      </c>
      <c r="I330" s="153">
        <v>39.5</v>
      </c>
      <c r="J330" s="12">
        <v>0.20844327176781002</v>
      </c>
      <c r="Z330" s="116">
        <f t="shared" si="16"/>
        <v>45904</v>
      </c>
      <c r="AA33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0" s="116">
        <f t="shared" si="17"/>
        <v>45904</v>
      </c>
      <c r="AI330" s="1" t="str" cm="1">
        <f t="array" ref="AI330">IFERROR(_xlfn.IFS(AQ330="","Sem Produto",AND(AQ330/(AA330/12)&gt;0,AQ330/(AA330/12)&lt;=2),"Acabando",AND(AQ330/(AA330/12)&gt;2,AQ330/(AA330/12)&lt;=3),"Fazer Pedido",AND(AQ330/(AA330/12)&gt;3,AQ330/(AA330/12)&lt;=7),"OK",AND(AQ330/(AA330/12)&gt;7,AQ330/(AA330/12)&lt;=14),"Abaixar Preço",AND(AQ330/(AA330/12)&gt;14,AQ330/(AA330/12)&lt;=20),"Estabilizando",AQ330/(AA330/12)&gt;20,"Instavel"),"Instavel")</f>
        <v>Sem Produto</v>
      </c>
      <c r="AJ330" s="1" t="str" cm="1">
        <f t="array" ref="AJ330">IFERROR(_xlfn.IFS(AR330="","Sem Produto",AND(AR330/(AB330/12)&gt;0,AR330/(AB330/12)&lt;=2),"Acabando",AND(AR330/(AB330/12)&gt;2,AR330/(AB330/12)&lt;=3),"Fazer Pedido",AND(AR330/(AB330/12)&gt;3,AR330/(AB330/12)&lt;=7),"OK",AND(AR330/(AB330/12)&gt;7,AR330/(AB330/12)&lt;=14),"Abaixar Preço",AND(AR330/(AB330/12)&gt;14,AR330/(AB330/12)&lt;=20),"Estabilizando",AR330/(AB330/12)&gt;20,"Instavel"),"Instavel")</f>
        <v>Sem Produto</v>
      </c>
      <c r="AK330" s="1" t="str" cm="1">
        <f t="array" ref="AK330">IFERROR(_xlfn.IFS(AS330="","Sem Produto",AND(AS330/(AC330/12)&gt;0,AS330/(AC330/12)&lt;=2),"Acabando",AND(AS330/(AC330/12)&gt;2,AS330/(AC330/12)&lt;=3),"Fazer Pedido",AND(AS330/(AC330/12)&gt;3,AS330/(AC330/12)&lt;=7),"OK",AND(AS330/(AC330/12)&gt;7,AS330/(AC330/12)&lt;=14),"Abaixar Preço",AND(AS330/(AC330/12)&gt;14,AS330/(AC330/12)&lt;=20),"Estabilizando",AS330/(AC330/12)&gt;20,"Instavel"),"Instavel")</f>
        <v>Sem Produto</v>
      </c>
      <c r="AL330" s="1" t="str" cm="1">
        <f t="array" ref="AL330">IFERROR(_xlfn.IFS(AT330="","Sem Produto",AND(AT330/(AD330/12)&gt;0,AT330/(AD330/12)&lt;=2),"Acabando",AND(AT330/(AD330/12)&gt;2,AT330/(AD330/12)&lt;=3),"Fazer Pedido",AND(AT330/(AD330/12)&gt;3,AT330/(AD330/12)&lt;=7),"OK",AND(AT330/(AD330/12)&gt;7,AT330/(AD330/12)&lt;=14),"Abaixar Preço",AND(AT330/(AD330/12)&gt;14,AT330/(AD330/12)&lt;=20),"Estabilizando",AT330/(AD330/12)&gt;20,"Instavel"),"Instavel")</f>
        <v>Sem Produto</v>
      </c>
      <c r="AM330" s="1" t="str" cm="1">
        <f t="array" ref="AM330">IFERROR(_xlfn.IFS(AU330="","Sem Produto",AND(AU330/(AE330/12)&gt;0,AU330/(AE330/12)&lt;=2),"Acabando",AND(AU330/(AE330/12)&gt;2,AU330/(AE330/12)&lt;=3),"Fazer Pedido",AND(AU330/(AE330/12)&gt;3,AU330/(AE330/12)&lt;=7),"OK",AND(AU330/(AE330/12)&gt;7,AU330/(AE330/12)&lt;=14),"Abaixar Preço",AND(AU330/(AE330/12)&gt;14,AU330/(AE330/12)&lt;=20),"Estabilizando",AU330/(AE330/12)&gt;20,"Instavel"),"Instavel")</f>
        <v>Sem Produto</v>
      </c>
      <c r="AN330" s="1" t="str">
        <f>IF(SUMIF(vendaAno[data],SituaçãoEstoqueFluxo[[#This Row],[data]],vendaAno[estoque])=0,"Algo errado",IF(AND(AX330/AW330&gt;0,AX330/AW330&lt;=1),"Alerta",IF(AND(AX330/AW330&gt;1,AX330/AW330&lt;=1.5),"Fazer pedido",IF(AND(AX330/AW330&gt;1.5,AX330/AW330&lt;=2),"Ok",IF(AND(AX330/AW330&gt;2,AX330/AW330&lt;=2.5),"Estabilizando",IF(AND(AX330/AW330&gt;2.5,AX330/AW330&lt;=3),"Cheio","Abaixar preço"))))))</f>
        <v>Algo errado</v>
      </c>
      <c r="AO33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0" s="116">
        <f t="shared" si="18"/>
        <v>45904</v>
      </c>
      <c r="AQ33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0" s="82" cm="1">
        <f t="array" aca="1" ref="AV33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0" s="82" cm="1">
        <f t="array" aca="1" ref="AW33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0" s="82">
        <f>SUM(FluxoEstoqueDateTime[[#This Row],[OVO BRANCO A]:[OVO BRANCO JUMBO]])</f>
        <v>0</v>
      </c>
    </row>
    <row r="331" spans="1:50" x14ac:dyDescent="0.25">
      <c r="A331" s="4" t="s">
        <v>20</v>
      </c>
      <c r="B331" s="55" t="s">
        <v>10</v>
      </c>
      <c r="C331" s="5">
        <v>3</v>
      </c>
      <c r="D331" s="56">
        <v>21</v>
      </c>
      <c r="E331" s="56">
        <v>63</v>
      </c>
      <c r="F331" s="157">
        <v>46162</v>
      </c>
      <c r="G331" s="4" t="s">
        <v>32</v>
      </c>
      <c r="H331" s="4" t="s">
        <v>147</v>
      </c>
      <c r="I331" s="153">
        <v>14.9</v>
      </c>
      <c r="J331" s="12">
        <v>0.23649862061226623</v>
      </c>
      <c r="Z331" s="116">
        <f t="shared" si="16"/>
        <v>45903</v>
      </c>
      <c r="AA33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1" s="116">
        <f t="shared" si="17"/>
        <v>45903</v>
      </c>
      <c r="AI331" s="1" t="str" cm="1">
        <f t="array" ref="AI331">IFERROR(_xlfn.IFS(AQ331="","Sem Produto",AND(AQ331/(AA331/12)&gt;0,AQ331/(AA331/12)&lt;=2),"Acabando",AND(AQ331/(AA331/12)&gt;2,AQ331/(AA331/12)&lt;=3),"Fazer Pedido",AND(AQ331/(AA331/12)&gt;3,AQ331/(AA331/12)&lt;=7),"OK",AND(AQ331/(AA331/12)&gt;7,AQ331/(AA331/12)&lt;=14),"Abaixar Preço",AND(AQ331/(AA331/12)&gt;14,AQ331/(AA331/12)&lt;=20),"Estabilizando",AQ331/(AA331/12)&gt;20,"Instavel"),"Instavel")</f>
        <v>Sem Produto</v>
      </c>
      <c r="AJ331" s="1" t="str" cm="1">
        <f t="array" ref="AJ331">IFERROR(_xlfn.IFS(AR331="","Sem Produto",AND(AR331/(AB331/12)&gt;0,AR331/(AB331/12)&lt;=2),"Acabando",AND(AR331/(AB331/12)&gt;2,AR331/(AB331/12)&lt;=3),"Fazer Pedido",AND(AR331/(AB331/12)&gt;3,AR331/(AB331/12)&lt;=7),"OK",AND(AR331/(AB331/12)&gt;7,AR331/(AB331/12)&lt;=14),"Abaixar Preço",AND(AR331/(AB331/12)&gt;14,AR331/(AB331/12)&lt;=20),"Estabilizando",AR331/(AB331/12)&gt;20,"Instavel"),"Instavel")</f>
        <v>Sem Produto</v>
      </c>
      <c r="AK331" s="1" t="str" cm="1">
        <f t="array" ref="AK331">IFERROR(_xlfn.IFS(AS331="","Sem Produto",AND(AS331/(AC331/12)&gt;0,AS331/(AC331/12)&lt;=2),"Acabando",AND(AS331/(AC331/12)&gt;2,AS331/(AC331/12)&lt;=3),"Fazer Pedido",AND(AS331/(AC331/12)&gt;3,AS331/(AC331/12)&lt;=7),"OK",AND(AS331/(AC331/12)&gt;7,AS331/(AC331/12)&lt;=14),"Abaixar Preço",AND(AS331/(AC331/12)&gt;14,AS331/(AC331/12)&lt;=20),"Estabilizando",AS331/(AC331/12)&gt;20,"Instavel"),"Instavel")</f>
        <v>Sem Produto</v>
      </c>
      <c r="AL331" s="1" t="str" cm="1">
        <f t="array" ref="AL331">IFERROR(_xlfn.IFS(AT331="","Sem Produto",AND(AT331/(AD331/12)&gt;0,AT331/(AD331/12)&lt;=2),"Acabando",AND(AT331/(AD331/12)&gt;2,AT331/(AD331/12)&lt;=3),"Fazer Pedido",AND(AT331/(AD331/12)&gt;3,AT331/(AD331/12)&lt;=7),"OK",AND(AT331/(AD331/12)&gt;7,AT331/(AD331/12)&lt;=14),"Abaixar Preço",AND(AT331/(AD331/12)&gt;14,AT331/(AD331/12)&lt;=20),"Estabilizando",AT331/(AD331/12)&gt;20,"Instavel"),"Instavel")</f>
        <v>Sem Produto</v>
      </c>
      <c r="AM331" s="1" t="str" cm="1">
        <f t="array" ref="AM331">IFERROR(_xlfn.IFS(AU331="","Sem Produto",AND(AU331/(AE331/12)&gt;0,AU331/(AE331/12)&lt;=2),"Acabando",AND(AU331/(AE331/12)&gt;2,AU331/(AE331/12)&lt;=3),"Fazer Pedido",AND(AU331/(AE331/12)&gt;3,AU331/(AE331/12)&lt;=7),"OK",AND(AU331/(AE331/12)&gt;7,AU331/(AE331/12)&lt;=14),"Abaixar Preço",AND(AU331/(AE331/12)&gt;14,AU331/(AE331/12)&lt;=20),"Estabilizando",AU331/(AE331/12)&gt;20,"Instavel"),"Instavel")</f>
        <v>Sem Produto</v>
      </c>
      <c r="AN331" s="1" t="str">
        <f>IF(SUMIF(vendaAno[data],SituaçãoEstoqueFluxo[[#This Row],[data]],vendaAno[estoque])=0,"Algo errado",IF(AND(AX331/AW331&gt;0,AX331/AW331&lt;=1),"Alerta",IF(AND(AX331/AW331&gt;1,AX331/AW331&lt;=1.5),"Fazer pedido",IF(AND(AX331/AW331&gt;1.5,AX331/AW331&lt;=2),"Ok",IF(AND(AX331/AW331&gt;2,AX331/AW331&lt;=2.5),"Estabilizando",IF(AND(AX331/AW331&gt;2.5,AX331/AW331&lt;=3),"Cheio","Abaixar preço"))))))</f>
        <v>Algo errado</v>
      </c>
      <c r="AO33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1" s="116">
        <f t="shared" si="18"/>
        <v>45903</v>
      </c>
      <c r="AQ33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1" s="82" cm="1">
        <f t="array" aca="1" ref="AV33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1" s="82" cm="1">
        <f t="array" aca="1" ref="AW33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1" s="82">
        <f>SUM(FluxoEstoqueDateTime[[#This Row],[OVO BRANCO A]:[OVO BRANCO JUMBO]])</f>
        <v>0</v>
      </c>
    </row>
    <row r="332" spans="1:50" x14ac:dyDescent="0.25">
      <c r="A332" s="4" t="s">
        <v>20</v>
      </c>
      <c r="B332" s="55" t="s">
        <v>14</v>
      </c>
      <c r="C332" s="5">
        <v>5</v>
      </c>
      <c r="D332" s="56">
        <v>23</v>
      </c>
      <c r="E332" s="56">
        <v>115</v>
      </c>
      <c r="F332" s="157">
        <v>46161</v>
      </c>
      <c r="G332" s="4" t="s">
        <v>290</v>
      </c>
      <c r="H332" s="4" t="s">
        <v>147</v>
      </c>
      <c r="I332" s="153">
        <v>28.62</v>
      </c>
      <c r="J332" s="12">
        <v>0.24883540372670804</v>
      </c>
      <c r="Z332" s="116">
        <f t="shared" si="16"/>
        <v>45902</v>
      </c>
      <c r="AA33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2" s="116">
        <f t="shared" si="17"/>
        <v>45902</v>
      </c>
      <c r="AI332" s="1" t="str" cm="1">
        <f t="array" ref="AI332">IFERROR(_xlfn.IFS(AQ332="","Sem Produto",AND(AQ332/(AA332/12)&gt;0,AQ332/(AA332/12)&lt;=2),"Acabando",AND(AQ332/(AA332/12)&gt;2,AQ332/(AA332/12)&lt;=3),"Fazer Pedido",AND(AQ332/(AA332/12)&gt;3,AQ332/(AA332/12)&lt;=7),"OK",AND(AQ332/(AA332/12)&gt;7,AQ332/(AA332/12)&lt;=14),"Abaixar Preço",AND(AQ332/(AA332/12)&gt;14,AQ332/(AA332/12)&lt;=20),"Estabilizando",AQ332/(AA332/12)&gt;20,"Instavel"),"Instavel")</f>
        <v>Sem Produto</v>
      </c>
      <c r="AJ332" s="1" t="str" cm="1">
        <f t="array" ref="AJ332">IFERROR(_xlfn.IFS(AR332="","Sem Produto",AND(AR332/(AB332/12)&gt;0,AR332/(AB332/12)&lt;=2),"Acabando",AND(AR332/(AB332/12)&gt;2,AR332/(AB332/12)&lt;=3),"Fazer Pedido",AND(AR332/(AB332/12)&gt;3,AR332/(AB332/12)&lt;=7),"OK",AND(AR332/(AB332/12)&gt;7,AR332/(AB332/12)&lt;=14),"Abaixar Preço",AND(AR332/(AB332/12)&gt;14,AR332/(AB332/12)&lt;=20),"Estabilizando",AR332/(AB332/12)&gt;20,"Instavel"),"Instavel")</f>
        <v>Sem Produto</v>
      </c>
      <c r="AK332" s="1" t="str" cm="1">
        <f t="array" ref="AK332">IFERROR(_xlfn.IFS(AS332="","Sem Produto",AND(AS332/(AC332/12)&gt;0,AS332/(AC332/12)&lt;=2),"Acabando",AND(AS332/(AC332/12)&gt;2,AS332/(AC332/12)&lt;=3),"Fazer Pedido",AND(AS332/(AC332/12)&gt;3,AS332/(AC332/12)&lt;=7),"OK",AND(AS332/(AC332/12)&gt;7,AS332/(AC332/12)&lt;=14),"Abaixar Preço",AND(AS332/(AC332/12)&gt;14,AS332/(AC332/12)&lt;=20),"Estabilizando",AS332/(AC332/12)&gt;20,"Instavel"),"Instavel")</f>
        <v>Sem Produto</v>
      </c>
      <c r="AL332" s="1" t="str" cm="1">
        <f t="array" ref="AL332">IFERROR(_xlfn.IFS(AT332="","Sem Produto",AND(AT332/(AD332/12)&gt;0,AT332/(AD332/12)&lt;=2),"Acabando",AND(AT332/(AD332/12)&gt;2,AT332/(AD332/12)&lt;=3),"Fazer Pedido",AND(AT332/(AD332/12)&gt;3,AT332/(AD332/12)&lt;=7),"OK",AND(AT332/(AD332/12)&gt;7,AT332/(AD332/12)&lt;=14),"Abaixar Preço",AND(AT332/(AD332/12)&gt;14,AT332/(AD332/12)&lt;=20),"Estabilizando",AT332/(AD332/12)&gt;20,"Instavel"),"Instavel")</f>
        <v>Sem Produto</v>
      </c>
      <c r="AM332" s="1" t="str" cm="1">
        <f t="array" ref="AM332">IFERROR(_xlfn.IFS(AU332="","Sem Produto",AND(AU332/(AE332/12)&gt;0,AU332/(AE332/12)&lt;=2),"Acabando",AND(AU332/(AE332/12)&gt;2,AU332/(AE332/12)&lt;=3),"Fazer Pedido",AND(AU332/(AE332/12)&gt;3,AU332/(AE332/12)&lt;=7),"OK",AND(AU332/(AE332/12)&gt;7,AU332/(AE332/12)&lt;=14),"Abaixar Preço",AND(AU332/(AE332/12)&gt;14,AU332/(AE332/12)&lt;=20),"Estabilizando",AU332/(AE332/12)&gt;20,"Instavel"),"Instavel")</f>
        <v>Sem Produto</v>
      </c>
      <c r="AN332" s="1" t="str">
        <f>IF(SUMIF(vendaAno[data],SituaçãoEstoqueFluxo[[#This Row],[data]],vendaAno[estoque])=0,"Algo errado",IF(AND(AX332/AW332&gt;0,AX332/AW332&lt;=1),"Alerta",IF(AND(AX332/AW332&gt;1,AX332/AW332&lt;=1.5),"Fazer pedido",IF(AND(AX332/AW332&gt;1.5,AX332/AW332&lt;=2),"Ok",IF(AND(AX332/AW332&gt;2,AX332/AW332&lt;=2.5),"Estabilizando",IF(AND(AX332/AW332&gt;2.5,AX332/AW332&lt;=3),"Cheio","Abaixar preço"))))))</f>
        <v>Algo errado</v>
      </c>
      <c r="AO33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2" s="116">
        <f t="shared" si="18"/>
        <v>45902</v>
      </c>
      <c r="AQ33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2" s="82" cm="1">
        <f t="array" aca="1" ref="AV33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2" s="82" cm="1">
        <f t="array" aca="1" ref="AW33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2" s="82">
        <f>SUM(FluxoEstoqueDateTime[[#This Row],[OVO BRANCO A]:[OVO BRANCO JUMBO]])</f>
        <v>0</v>
      </c>
    </row>
    <row r="333" spans="1:50" x14ac:dyDescent="0.25">
      <c r="A333" s="4" t="s">
        <v>20</v>
      </c>
      <c r="B333" s="55" t="s">
        <v>13</v>
      </c>
      <c r="C333" s="5">
        <v>3</v>
      </c>
      <c r="D333" s="56">
        <v>22</v>
      </c>
      <c r="E333" s="56">
        <v>66</v>
      </c>
      <c r="F333" s="157">
        <v>46161</v>
      </c>
      <c r="G333" s="4" t="s">
        <v>290</v>
      </c>
      <c r="H333" s="4" t="s">
        <v>147</v>
      </c>
      <c r="I333" s="153">
        <v>16.600000000000001</v>
      </c>
      <c r="J333" s="12">
        <v>0.25154320987654316</v>
      </c>
      <c r="Z333" s="116">
        <f t="shared" si="16"/>
        <v>45901</v>
      </c>
      <c r="AA33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3" s="116">
        <f t="shared" si="17"/>
        <v>45901</v>
      </c>
      <c r="AI333" s="1" t="str" cm="1">
        <f t="array" ref="AI333">IFERROR(_xlfn.IFS(AQ333="","Sem Produto",AND(AQ333/(AA333/12)&gt;0,AQ333/(AA333/12)&lt;=2),"Acabando",AND(AQ333/(AA333/12)&gt;2,AQ333/(AA333/12)&lt;=3),"Fazer Pedido",AND(AQ333/(AA333/12)&gt;3,AQ333/(AA333/12)&lt;=7),"OK",AND(AQ333/(AA333/12)&gt;7,AQ333/(AA333/12)&lt;=14),"Abaixar Preço",AND(AQ333/(AA333/12)&gt;14,AQ333/(AA333/12)&lt;=20),"Estabilizando",AQ333/(AA333/12)&gt;20,"Instavel"),"Instavel")</f>
        <v>Sem Produto</v>
      </c>
      <c r="AJ333" s="1" t="str" cm="1">
        <f t="array" ref="AJ333">IFERROR(_xlfn.IFS(AR333="","Sem Produto",AND(AR333/(AB333/12)&gt;0,AR333/(AB333/12)&lt;=2),"Acabando",AND(AR333/(AB333/12)&gt;2,AR333/(AB333/12)&lt;=3),"Fazer Pedido",AND(AR333/(AB333/12)&gt;3,AR333/(AB333/12)&lt;=7),"OK",AND(AR333/(AB333/12)&gt;7,AR333/(AB333/12)&lt;=14),"Abaixar Preço",AND(AR333/(AB333/12)&gt;14,AR333/(AB333/12)&lt;=20),"Estabilizando",AR333/(AB333/12)&gt;20,"Instavel"),"Instavel")</f>
        <v>Sem Produto</v>
      </c>
      <c r="AK333" s="1" t="str" cm="1">
        <f t="array" ref="AK333">IFERROR(_xlfn.IFS(AS333="","Sem Produto",AND(AS333/(AC333/12)&gt;0,AS333/(AC333/12)&lt;=2),"Acabando",AND(AS333/(AC333/12)&gt;2,AS333/(AC333/12)&lt;=3),"Fazer Pedido",AND(AS333/(AC333/12)&gt;3,AS333/(AC333/12)&lt;=7),"OK",AND(AS333/(AC333/12)&gt;7,AS333/(AC333/12)&lt;=14),"Abaixar Preço",AND(AS333/(AC333/12)&gt;14,AS333/(AC333/12)&lt;=20),"Estabilizando",AS333/(AC333/12)&gt;20,"Instavel"),"Instavel")</f>
        <v>Sem Produto</v>
      </c>
      <c r="AL333" s="1" t="str" cm="1">
        <f t="array" ref="AL333">IFERROR(_xlfn.IFS(AT333="","Sem Produto",AND(AT333/(AD333/12)&gt;0,AT333/(AD333/12)&lt;=2),"Acabando",AND(AT333/(AD333/12)&gt;2,AT333/(AD333/12)&lt;=3),"Fazer Pedido",AND(AT333/(AD333/12)&gt;3,AT333/(AD333/12)&lt;=7),"OK",AND(AT333/(AD333/12)&gt;7,AT333/(AD333/12)&lt;=14),"Abaixar Preço",AND(AT333/(AD333/12)&gt;14,AT333/(AD333/12)&lt;=20),"Estabilizando",AT333/(AD333/12)&gt;20,"Instavel"),"Instavel")</f>
        <v>Sem Produto</v>
      </c>
      <c r="AM333" s="1" t="str" cm="1">
        <f t="array" ref="AM333">IFERROR(_xlfn.IFS(AU333="","Sem Produto",AND(AU333/(AE333/12)&gt;0,AU333/(AE333/12)&lt;=2),"Acabando",AND(AU333/(AE333/12)&gt;2,AU333/(AE333/12)&lt;=3),"Fazer Pedido",AND(AU333/(AE333/12)&gt;3,AU333/(AE333/12)&lt;=7),"OK",AND(AU333/(AE333/12)&gt;7,AU333/(AE333/12)&lt;=14),"Abaixar Preço",AND(AU333/(AE333/12)&gt;14,AU333/(AE333/12)&lt;=20),"Estabilizando",AU333/(AE333/12)&gt;20,"Instavel"),"Instavel")</f>
        <v>Sem Produto</v>
      </c>
      <c r="AN333" s="1" t="str">
        <f>IF(SUMIF(vendaAno[data],SituaçãoEstoqueFluxo[[#This Row],[data]],vendaAno[estoque])=0,"Algo errado",IF(AND(AX333/AW333&gt;0,AX333/AW333&lt;=1),"Alerta",IF(AND(AX333/AW333&gt;1,AX333/AW333&lt;=1.5),"Fazer pedido",IF(AND(AX333/AW333&gt;1.5,AX333/AW333&lt;=2),"Ok",IF(AND(AX333/AW333&gt;2,AX333/AW333&lt;=2.5),"Estabilizando",IF(AND(AX333/AW333&gt;2.5,AX333/AW333&lt;=3),"Cheio","Abaixar preço"))))))</f>
        <v>Algo errado</v>
      </c>
      <c r="AO33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3" s="116">
        <f t="shared" si="18"/>
        <v>45901</v>
      </c>
      <c r="AQ33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3" s="82" cm="1">
        <f t="array" aca="1" ref="AV33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3" s="82" cm="1">
        <f t="array" aca="1" ref="AW33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3" s="82">
        <f>SUM(FluxoEstoqueDateTime[[#This Row],[OVO BRANCO A]:[OVO BRANCO JUMBO]])</f>
        <v>0</v>
      </c>
    </row>
    <row r="334" spans="1:50" x14ac:dyDescent="0.25">
      <c r="A334" s="4" t="s">
        <v>20</v>
      </c>
      <c r="B334" s="55" t="s">
        <v>11</v>
      </c>
      <c r="C334" s="5">
        <v>19</v>
      </c>
      <c r="D334" s="56">
        <v>20</v>
      </c>
      <c r="E334" s="56">
        <v>357.25</v>
      </c>
      <c r="F334" s="157">
        <v>46161</v>
      </c>
      <c r="G334" s="4" t="s">
        <v>290</v>
      </c>
      <c r="H334" s="4" t="s">
        <v>147</v>
      </c>
      <c r="I334" s="153">
        <v>72.25</v>
      </c>
      <c r="J334" s="12">
        <v>0.20223932820153953</v>
      </c>
      <c r="Z334" s="116">
        <f t="shared" si="16"/>
        <v>45900</v>
      </c>
      <c r="AA33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4" s="116">
        <f t="shared" si="17"/>
        <v>45900</v>
      </c>
      <c r="AI334" s="1" t="str" cm="1">
        <f t="array" ref="AI334">IFERROR(_xlfn.IFS(AQ334="","Sem Produto",AND(AQ334/(AA334/12)&gt;0,AQ334/(AA334/12)&lt;=2),"Acabando",AND(AQ334/(AA334/12)&gt;2,AQ334/(AA334/12)&lt;=3),"Fazer Pedido",AND(AQ334/(AA334/12)&gt;3,AQ334/(AA334/12)&lt;=7),"OK",AND(AQ334/(AA334/12)&gt;7,AQ334/(AA334/12)&lt;=14),"Abaixar Preço",AND(AQ334/(AA334/12)&gt;14,AQ334/(AA334/12)&lt;=20),"Estabilizando",AQ334/(AA334/12)&gt;20,"Instavel"),"Instavel")</f>
        <v>Sem Produto</v>
      </c>
      <c r="AJ334" s="1" t="str" cm="1">
        <f t="array" ref="AJ334">IFERROR(_xlfn.IFS(AR334="","Sem Produto",AND(AR334/(AB334/12)&gt;0,AR334/(AB334/12)&lt;=2),"Acabando",AND(AR334/(AB334/12)&gt;2,AR334/(AB334/12)&lt;=3),"Fazer Pedido",AND(AR334/(AB334/12)&gt;3,AR334/(AB334/12)&lt;=7),"OK",AND(AR334/(AB334/12)&gt;7,AR334/(AB334/12)&lt;=14),"Abaixar Preço",AND(AR334/(AB334/12)&gt;14,AR334/(AB334/12)&lt;=20),"Estabilizando",AR334/(AB334/12)&gt;20,"Instavel"),"Instavel")</f>
        <v>Sem Produto</v>
      </c>
      <c r="AK334" s="1" t="str" cm="1">
        <f t="array" ref="AK334">IFERROR(_xlfn.IFS(AS334="","Sem Produto",AND(AS334/(AC334/12)&gt;0,AS334/(AC334/12)&lt;=2),"Acabando",AND(AS334/(AC334/12)&gt;2,AS334/(AC334/12)&lt;=3),"Fazer Pedido",AND(AS334/(AC334/12)&gt;3,AS334/(AC334/12)&lt;=7),"OK",AND(AS334/(AC334/12)&gt;7,AS334/(AC334/12)&lt;=14),"Abaixar Preço",AND(AS334/(AC334/12)&gt;14,AS334/(AC334/12)&lt;=20),"Estabilizando",AS334/(AC334/12)&gt;20,"Instavel"),"Instavel")</f>
        <v>Sem Produto</v>
      </c>
      <c r="AL334" s="1" t="str" cm="1">
        <f t="array" ref="AL334">IFERROR(_xlfn.IFS(AT334="","Sem Produto",AND(AT334/(AD334/12)&gt;0,AT334/(AD334/12)&lt;=2),"Acabando",AND(AT334/(AD334/12)&gt;2,AT334/(AD334/12)&lt;=3),"Fazer Pedido",AND(AT334/(AD334/12)&gt;3,AT334/(AD334/12)&lt;=7),"OK",AND(AT334/(AD334/12)&gt;7,AT334/(AD334/12)&lt;=14),"Abaixar Preço",AND(AT334/(AD334/12)&gt;14,AT334/(AD334/12)&lt;=20),"Estabilizando",AT334/(AD334/12)&gt;20,"Instavel"),"Instavel")</f>
        <v>Sem Produto</v>
      </c>
      <c r="AM334" s="1" t="str" cm="1">
        <f t="array" ref="AM334">IFERROR(_xlfn.IFS(AU334="","Sem Produto",AND(AU334/(AE334/12)&gt;0,AU334/(AE334/12)&lt;=2),"Acabando",AND(AU334/(AE334/12)&gt;2,AU334/(AE334/12)&lt;=3),"Fazer Pedido",AND(AU334/(AE334/12)&gt;3,AU334/(AE334/12)&lt;=7),"OK",AND(AU334/(AE334/12)&gt;7,AU334/(AE334/12)&lt;=14),"Abaixar Preço",AND(AU334/(AE334/12)&gt;14,AU334/(AE334/12)&lt;=20),"Estabilizando",AU334/(AE334/12)&gt;20,"Instavel"),"Instavel")</f>
        <v>Sem Produto</v>
      </c>
      <c r="AN334" s="1" t="str">
        <f>IF(SUMIF(vendaAno[data],SituaçãoEstoqueFluxo[[#This Row],[data]],vendaAno[estoque])=0,"Algo errado",IF(AND(AX334/AW334&gt;0,AX334/AW334&lt;=1),"Alerta",IF(AND(AX334/AW334&gt;1,AX334/AW334&lt;=1.5),"Fazer pedido",IF(AND(AX334/AW334&gt;1.5,AX334/AW334&lt;=2),"Ok",IF(AND(AX334/AW334&gt;2,AX334/AW334&lt;=2.5),"Estabilizando",IF(AND(AX334/AW334&gt;2.5,AX334/AW334&lt;=3),"Cheio","Abaixar preço"))))))</f>
        <v>Algo errado</v>
      </c>
      <c r="AO33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4" s="116">
        <f t="shared" si="18"/>
        <v>45900</v>
      </c>
      <c r="AQ33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4" s="82" cm="1">
        <f t="array" aca="1" ref="AV33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4" s="82" cm="1">
        <f t="array" aca="1" ref="AW33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4" s="82">
        <f>SUM(FluxoEstoqueDateTime[[#This Row],[OVO BRANCO A]:[OVO BRANCO JUMBO]])</f>
        <v>0</v>
      </c>
    </row>
    <row r="335" spans="1:50" x14ac:dyDescent="0.25">
      <c r="A335" s="4" t="s">
        <v>20</v>
      </c>
      <c r="B335" s="55" t="s">
        <v>10</v>
      </c>
      <c r="C335" s="5">
        <v>16</v>
      </c>
      <c r="D335" s="56">
        <v>21</v>
      </c>
      <c r="E335" s="56">
        <v>312</v>
      </c>
      <c r="F335" s="157">
        <v>46161</v>
      </c>
      <c r="G335" s="4" t="s">
        <v>290</v>
      </c>
      <c r="H335" s="4" t="s">
        <v>147</v>
      </c>
      <c r="I335" s="153">
        <v>55.46</v>
      </c>
      <c r="J335" s="12">
        <v>0.17776774527474823</v>
      </c>
      <c r="Z335" s="116">
        <f t="shared" si="16"/>
        <v>45899</v>
      </c>
      <c r="AA33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5" s="116">
        <f t="shared" si="17"/>
        <v>45899</v>
      </c>
      <c r="AI335" s="1" t="str" cm="1">
        <f t="array" ref="AI335">IFERROR(_xlfn.IFS(AQ335="","Sem Produto",AND(AQ335/(AA335/12)&gt;0,AQ335/(AA335/12)&lt;=2),"Acabando",AND(AQ335/(AA335/12)&gt;2,AQ335/(AA335/12)&lt;=3),"Fazer Pedido",AND(AQ335/(AA335/12)&gt;3,AQ335/(AA335/12)&lt;=7),"OK",AND(AQ335/(AA335/12)&gt;7,AQ335/(AA335/12)&lt;=14),"Abaixar Preço",AND(AQ335/(AA335/12)&gt;14,AQ335/(AA335/12)&lt;=20),"Estabilizando",AQ335/(AA335/12)&gt;20,"Instavel"),"Instavel")</f>
        <v>Sem Produto</v>
      </c>
      <c r="AJ335" s="1" t="str" cm="1">
        <f t="array" ref="AJ335">IFERROR(_xlfn.IFS(AR335="","Sem Produto",AND(AR335/(AB335/12)&gt;0,AR335/(AB335/12)&lt;=2),"Acabando",AND(AR335/(AB335/12)&gt;2,AR335/(AB335/12)&lt;=3),"Fazer Pedido",AND(AR335/(AB335/12)&gt;3,AR335/(AB335/12)&lt;=7),"OK",AND(AR335/(AB335/12)&gt;7,AR335/(AB335/12)&lt;=14),"Abaixar Preço",AND(AR335/(AB335/12)&gt;14,AR335/(AB335/12)&lt;=20),"Estabilizando",AR335/(AB335/12)&gt;20,"Instavel"),"Instavel")</f>
        <v>Sem Produto</v>
      </c>
      <c r="AK335" s="1" t="str" cm="1">
        <f t="array" ref="AK335">IFERROR(_xlfn.IFS(AS335="","Sem Produto",AND(AS335/(AC335/12)&gt;0,AS335/(AC335/12)&lt;=2),"Acabando",AND(AS335/(AC335/12)&gt;2,AS335/(AC335/12)&lt;=3),"Fazer Pedido",AND(AS335/(AC335/12)&gt;3,AS335/(AC335/12)&lt;=7),"OK",AND(AS335/(AC335/12)&gt;7,AS335/(AC335/12)&lt;=14),"Abaixar Preço",AND(AS335/(AC335/12)&gt;14,AS335/(AC335/12)&lt;=20),"Estabilizando",AS335/(AC335/12)&gt;20,"Instavel"),"Instavel")</f>
        <v>Sem Produto</v>
      </c>
      <c r="AL335" s="1" t="str" cm="1">
        <f t="array" ref="AL335">IFERROR(_xlfn.IFS(AT335="","Sem Produto",AND(AT335/(AD335/12)&gt;0,AT335/(AD335/12)&lt;=2),"Acabando",AND(AT335/(AD335/12)&gt;2,AT335/(AD335/12)&lt;=3),"Fazer Pedido",AND(AT335/(AD335/12)&gt;3,AT335/(AD335/12)&lt;=7),"OK",AND(AT335/(AD335/12)&gt;7,AT335/(AD335/12)&lt;=14),"Abaixar Preço",AND(AT335/(AD335/12)&gt;14,AT335/(AD335/12)&lt;=20),"Estabilizando",AT335/(AD335/12)&gt;20,"Instavel"),"Instavel")</f>
        <v>Sem Produto</v>
      </c>
      <c r="AM335" s="1" t="str" cm="1">
        <f t="array" ref="AM335">IFERROR(_xlfn.IFS(AU335="","Sem Produto",AND(AU335/(AE335/12)&gt;0,AU335/(AE335/12)&lt;=2),"Acabando",AND(AU335/(AE335/12)&gt;2,AU335/(AE335/12)&lt;=3),"Fazer Pedido",AND(AU335/(AE335/12)&gt;3,AU335/(AE335/12)&lt;=7),"OK",AND(AU335/(AE335/12)&gt;7,AU335/(AE335/12)&lt;=14),"Abaixar Preço",AND(AU335/(AE335/12)&gt;14,AU335/(AE335/12)&lt;=20),"Estabilizando",AU335/(AE335/12)&gt;20,"Instavel"),"Instavel")</f>
        <v>Sem Produto</v>
      </c>
      <c r="AN335" s="1" t="str">
        <f>IF(SUMIF(vendaAno[data],SituaçãoEstoqueFluxo[[#This Row],[data]],vendaAno[estoque])=0,"Algo errado",IF(AND(AX335/AW335&gt;0,AX335/AW335&lt;=1),"Alerta",IF(AND(AX335/AW335&gt;1,AX335/AW335&lt;=1.5),"Fazer pedido",IF(AND(AX335/AW335&gt;1.5,AX335/AW335&lt;=2),"Ok",IF(AND(AX335/AW335&gt;2,AX335/AW335&lt;=2.5),"Estabilizando",IF(AND(AX335/AW335&gt;2.5,AX335/AW335&lt;=3),"Cheio","Abaixar preço"))))))</f>
        <v>Algo errado</v>
      </c>
      <c r="AO33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5" s="116">
        <f t="shared" si="18"/>
        <v>45899</v>
      </c>
      <c r="AQ33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5" s="82" cm="1">
        <f t="array" aca="1" ref="AV33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5" s="82" cm="1">
        <f t="array" aca="1" ref="AW33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5" s="82">
        <f>SUM(FluxoEstoqueDateTime[[#This Row],[OVO BRANCO A]:[OVO BRANCO JUMBO]])</f>
        <v>0</v>
      </c>
    </row>
    <row r="336" spans="1:50" x14ac:dyDescent="0.25">
      <c r="A336" s="4" t="s">
        <v>20</v>
      </c>
      <c r="B336" s="55" t="s">
        <v>14</v>
      </c>
      <c r="C336" s="5">
        <v>8</v>
      </c>
      <c r="D336" s="56">
        <v>23</v>
      </c>
      <c r="E336" s="56">
        <v>184</v>
      </c>
      <c r="F336" s="157">
        <v>46160</v>
      </c>
      <c r="G336" s="4" t="s">
        <v>291</v>
      </c>
      <c r="H336" s="4" t="s">
        <v>147</v>
      </c>
      <c r="I336" s="153">
        <v>45.79</v>
      </c>
      <c r="J336" s="12">
        <v>0.24883540372670804</v>
      </c>
      <c r="Z336" s="116">
        <f t="shared" si="16"/>
        <v>45898</v>
      </c>
      <c r="AA33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6" s="116">
        <f t="shared" si="17"/>
        <v>45898</v>
      </c>
      <c r="AI336" s="1" t="str" cm="1">
        <f t="array" ref="AI336">IFERROR(_xlfn.IFS(AQ336="","Sem Produto",AND(AQ336/(AA336/12)&gt;0,AQ336/(AA336/12)&lt;=2),"Acabando",AND(AQ336/(AA336/12)&gt;2,AQ336/(AA336/12)&lt;=3),"Fazer Pedido",AND(AQ336/(AA336/12)&gt;3,AQ336/(AA336/12)&lt;=7),"OK",AND(AQ336/(AA336/12)&gt;7,AQ336/(AA336/12)&lt;=14),"Abaixar Preço",AND(AQ336/(AA336/12)&gt;14,AQ336/(AA336/12)&lt;=20),"Estabilizando",AQ336/(AA336/12)&gt;20,"Instavel"),"Instavel")</f>
        <v>Sem Produto</v>
      </c>
      <c r="AJ336" s="1" t="str" cm="1">
        <f t="array" ref="AJ336">IFERROR(_xlfn.IFS(AR336="","Sem Produto",AND(AR336/(AB336/12)&gt;0,AR336/(AB336/12)&lt;=2),"Acabando",AND(AR336/(AB336/12)&gt;2,AR336/(AB336/12)&lt;=3),"Fazer Pedido",AND(AR336/(AB336/12)&gt;3,AR336/(AB336/12)&lt;=7),"OK",AND(AR336/(AB336/12)&gt;7,AR336/(AB336/12)&lt;=14),"Abaixar Preço",AND(AR336/(AB336/12)&gt;14,AR336/(AB336/12)&lt;=20),"Estabilizando",AR336/(AB336/12)&gt;20,"Instavel"),"Instavel")</f>
        <v>Sem Produto</v>
      </c>
      <c r="AK336" s="1" t="str" cm="1">
        <f t="array" ref="AK336">IFERROR(_xlfn.IFS(AS336="","Sem Produto",AND(AS336/(AC336/12)&gt;0,AS336/(AC336/12)&lt;=2),"Acabando",AND(AS336/(AC336/12)&gt;2,AS336/(AC336/12)&lt;=3),"Fazer Pedido",AND(AS336/(AC336/12)&gt;3,AS336/(AC336/12)&lt;=7),"OK",AND(AS336/(AC336/12)&gt;7,AS336/(AC336/12)&lt;=14),"Abaixar Preço",AND(AS336/(AC336/12)&gt;14,AS336/(AC336/12)&lt;=20),"Estabilizando",AS336/(AC336/12)&gt;20,"Instavel"),"Instavel")</f>
        <v>Sem Produto</v>
      </c>
      <c r="AL336" s="1" t="str" cm="1">
        <f t="array" ref="AL336">IFERROR(_xlfn.IFS(AT336="","Sem Produto",AND(AT336/(AD336/12)&gt;0,AT336/(AD336/12)&lt;=2),"Acabando",AND(AT336/(AD336/12)&gt;2,AT336/(AD336/12)&lt;=3),"Fazer Pedido",AND(AT336/(AD336/12)&gt;3,AT336/(AD336/12)&lt;=7),"OK",AND(AT336/(AD336/12)&gt;7,AT336/(AD336/12)&lt;=14),"Abaixar Preço",AND(AT336/(AD336/12)&gt;14,AT336/(AD336/12)&lt;=20),"Estabilizando",AT336/(AD336/12)&gt;20,"Instavel"),"Instavel")</f>
        <v>Sem Produto</v>
      </c>
      <c r="AM336" s="1" t="str" cm="1">
        <f t="array" ref="AM336">IFERROR(_xlfn.IFS(AU336="","Sem Produto",AND(AU336/(AE336/12)&gt;0,AU336/(AE336/12)&lt;=2),"Acabando",AND(AU336/(AE336/12)&gt;2,AU336/(AE336/12)&lt;=3),"Fazer Pedido",AND(AU336/(AE336/12)&gt;3,AU336/(AE336/12)&lt;=7),"OK",AND(AU336/(AE336/12)&gt;7,AU336/(AE336/12)&lt;=14),"Abaixar Preço",AND(AU336/(AE336/12)&gt;14,AU336/(AE336/12)&lt;=20),"Estabilizando",AU336/(AE336/12)&gt;20,"Instavel"),"Instavel")</f>
        <v>Sem Produto</v>
      </c>
      <c r="AN336" s="1" t="str">
        <f>IF(SUMIF(vendaAno[data],SituaçãoEstoqueFluxo[[#This Row],[data]],vendaAno[estoque])=0,"Algo errado",IF(AND(AX336/AW336&gt;0,AX336/AW336&lt;=1),"Alerta",IF(AND(AX336/AW336&gt;1,AX336/AW336&lt;=1.5),"Fazer pedido",IF(AND(AX336/AW336&gt;1.5,AX336/AW336&lt;=2),"Ok",IF(AND(AX336/AW336&gt;2,AX336/AW336&lt;=2.5),"Estabilizando",IF(AND(AX336/AW336&gt;2.5,AX336/AW336&lt;=3),"Cheio","Abaixar preço"))))))</f>
        <v>Algo errado</v>
      </c>
      <c r="AO33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6" s="116">
        <f t="shared" si="18"/>
        <v>45898</v>
      </c>
      <c r="AQ33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6" s="82" cm="1">
        <f t="array" aca="1" ref="AV33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6" s="82" cm="1">
        <f t="array" aca="1" ref="AW33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6" s="82">
        <f>SUM(FluxoEstoqueDateTime[[#This Row],[OVO BRANCO A]:[OVO BRANCO JUMBO]])</f>
        <v>0</v>
      </c>
    </row>
    <row r="337" spans="1:50" x14ac:dyDescent="0.25">
      <c r="A337" s="4" t="s">
        <v>20</v>
      </c>
      <c r="B337" s="55" t="s">
        <v>13</v>
      </c>
      <c r="C337" s="5">
        <v>7</v>
      </c>
      <c r="D337" s="56">
        <v>22</v>
      </c>
      <c r="E337" s="56">
        <v>154</v>
      </c>
      <c r="F337" s="157">
        <v>46160</v>
      </c>
      <c r="G337" s="4" t="s">
        <v>291</v>
      </c>
      <c r="H337" s="4" t="s">
        <v>147</v>
      </c>
      <c r="I337" s="153">
        <v>38.74</v>
      </c>
      <c r="J337" s="12">
        <v>0.25154320987654316</v>
      </c>
      <c r="Z337" s="116">
        <f t="shared" si="16"/>
        <v>45897</v>
      </c>
      <c r="AA33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7" s="116">
        <f t="shared" si="17"/>
        <v>45897</v>
      </c>
      <c r="AI337" s="1" t="str" cm="1">
        <f t="array" ref="AI337">IFERROR(_xlfn.IFS(AQ337="","Sem Produto",AND(AQ337/(AA337/12)&gt;0,AQ337/(AA337/12)&lt;=2),"Acabando",AND(AQ337/(AA337/12)&gt;2,AQ337/(AA337/12)&lt;=3),"Fazer Pedido",AND(AQ337/(AA337/12)&gt;3,AQ337/(AA337/12)&lt;=7),"OK",AND(AQ337/(AA337/12)&gt;7,AQ337/(AA337/12)&lt;=14),"Abaixar Preço",AND(AQ337/(AA337/12)&gt;14,AQ337/(AA337/12)&lt;=20),"Estabilizando",AQ337/(AA337/12)&gt;20,"Instavel"),"Instavel")</f>
        <v>Sem Produto</v>
      </c>
      <c r="AJ337" s="1" t="str" cm="1">
        <f t="array" ref="AJ337">IFERROR(_xlfn.IFS(AR337="","Sem Produto",AND(AR337/(AB337/12)&gt;0,AR337/(AB337/12)&lt;=2),"Acabando",AND(AR337/(AB337/12)&gt;2,AR337/(AB337/12)&lt;=3),"Fazer Pedido",AND(AR337/(AB337/12)&gt;3,AR337/(AB337/12)&lt;=7),"OK",AND(AR337/(AB337/12)&gt;7,AR337/(AB337/12)&lt;=14),"Abaixar Preço",AND(AR337/(AB337/12)&gt;14,AR337/(AB337/12)&lt;=20),"Estabilizando",AR337/(AB337/12)&gt;20,"Instavel"),"Instavel")</f>
        <v>Sem Produto</v>
      </c>
      <c r="AK337" s="1" t="str" cm="1">
        <f t="array" ref="AK337">IFERROR(_xlfn.IFS(AS337="","Sem Produto",AND(AS337/(AC337/12)&gt;0,AS337/(AC337/12)&lt;=2),"Acabando",AND(AS337/(AC337/12)&gt;2,AS337/(AC337/12)&lt;=3),"Fazer Pedido",AND(AS337/(AC337/12)&gt;3,AS337/(AC337/12)&lt;=7),"OK",AND(AS337/(AC337/12)&gt;7,AS337/(AC337/12)&lt;=14),"Abaixar Preço",AND(AS337/(AC337/12)&gt;14,AS337/(AC337/12)&lt;=20),"Estabilizando",AS337/(AC337/12)&gt;20,"Instavel"),"Instavel")</f>
        <v>Sem Produto</v>
      </c>
      <c r="AL337" s="1" t="str" cm="1">
        <f t="array" ref="AL337">IFERROR(_xlfn.IFS(AT337="","Sem Produto",AND(AT337/(AD337/12)&gt;0,AT337/(AD337/12)&lt;=2),"Acabando",AND(AT337/(AD337/12)&gt;2,AT337/(AD337/12)&lt;=3),"Fazer Pedido",AND(AT337/(AD337/12)&gt;3,AT337/(AD337/12)&lt;=7),"OK",AND(AT337/(AD337/12)&gt;7,AT337/(AD337/12)&lt;=14),"Abaixar Preço",AND(AT337/(AD337/12)&gt;14,AT337/(AD337/12)&lt;=20),"Estabilizando",AT337/(AD337/12)&gt;20,"Instavel"),"Instavel")</f>
        <v>Sem Produto</v>
      </c>
      <c r="AM337" s="1" t="str" cm="1">
        <f t="array" ref="AM337">IFERROR(_xlfn.IFS(AU337="","Sem Produto",AND(AU337/(AE337/12)&gt;0,AU337/(AE337/12)&lt;=2),"Acabando",AND(AU337/(AE337/12)&gt;2,AU337/(AE337/12)&lt;=3),"Fazer Pedido",AND(AU337/(AE337/12)&gt;3,AU337/(AE337/12)&lt;=7),"OK",AND(AU337/(AE337/12)&gt;7,AU337/(AE337/12)&lt;=14),"Abaixar Preço",AND(AU337/(AE337/12)&gt;14,AU337/(AE337/12)&lt;=20),"Estabilizando",AU337/(AE337/12)&gt;20,"Instavel"),"Instavel")</f>
        <v>Sem Produto</v>
      </c>
      <c r="AN337" s="1" t="str">
        <f>IF(SUMIF(vendaAno[data],SituaçãoEstoqueFluxo[[#This Row],[data]],vendaAno[estoque])=0,"Algo errado",IF(AND(AX337/AW337&gt;0,AX337/AW337&lt;=1),"Alerta",IF(AND(AX337/AW337&gt;1,AX337/AW337&lt;=1.5),"Fazer pedido",IF(AND(AX337/AW337&gt;1.5,AX337/AW337&lt;=2),"Ok",IF(AND(AX337/AW337&gt;2,AX337/AW337&lt;=2.5),"Estabilizando",IF(AND(AX337/AW337&gt;2.5,AX337/AW337&lt;=3),"Cheio","Abaixar preço"))))))</f>
        <v>Algo errado</v>
      </c>
      <c r="AO33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7" s="116">
        <f t="shared" si="18"/>
        <v>45897</v>
      </c>
      <c r="AQ33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7" s="82" cm="1">
        <f t="array" aca="1" ref="AV33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7" s="82" cm="1">
        <f t="array" aca="1" ref="AW33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7" s="82">
        <f>SUM(FluxoEstoqueDateTime[[#This Row],[OVO BRANCO A]:[OVO BRANCO JUMBO]])</f>
        <v>0</v>
      </c>
    </row>
    <row r="338" spans="1:50" x14ac:dyDescent="0.25">
      <c r="A338" s="4" t="s">
        <v>20</v>
      </c>
      <c r="B338" s="55" t="s">
        <v>11</v>
      </c>
      <c r="C338" s="5">
        <v>10</v>
      </c>
      <c r="D338" s="56">
        <v>20</v>
      </c>
      <c r="E338" s="56">
        <v>189.5</v>
      </c>
      <c r="F338" s="157">
        <v>46160</v>
      </c>
      <c r="G338" s="4" t="s">
        <v>291</v>
      </c>
      <c r="H338" s="4" t="s">
        <v>147</v>
      </c>
      <c r="I338" s="153">
        <v>39.5</v>
      </c>
      <c r="J338" s="12">
        <v>0.20844327176781002</v>
      </c>
      <c r="Z338" s="116">
        <f t="shared" si="16"/>
        <v>45896</v>
      </c>
      <c r="AA33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8" s="116">
        <f t="shared" si="17"/>
        <v>45896</v>
      </c>
      <c r="AI338" s="1" t="str" cm="1">
        <f t="array" ref="AI338">IFERROR(_xlfn.IFS(AQ338="","Sem Produto",AND(AQ338/(AA338/12)&gt;0,AQ338/(AA338/12)&lt;=2),"Acabando",AND(AQ338/(AA338/12)&gt;2,AQ338/(AA338/12)&lt;=3),"Fazer Pedido",AND(AQ338/(AA338/12)&gt;3,AQ338/(AA338/12)&lt;=7),"OK",AND(AQ338/(AA338/12)&gt;7,AQ338/(AA338/12)&lt;=14),"Abaixar Preço",AND(AQ338/(AA338/12)&gt;14,AQ338/(AA338/12)&lt;=20),"Estabilizando",AQ338/(AA338/12)&gt;20,"Instavel"),"Instavel")</f>
        <v>Sem Produto</v>
      </c>
      <c r="AJ338" s="1" t="str" cm="1">
        <f t="array" ref="AJ338">IFERROR(_xlfn.IFS(AR338="","Sem Produto",AND(AR338/(AB338/12)&gt;0,AR338/(AB338/12)&lt;=2),"Acabando",AND(AR338/(AB338/12)&gt;2,AR338/(AB338/12)&lt;=3),"Fazer Pedido",AND(AR338/(AB338/12)&gt;3,AR338/(AB338/12)&lt;=7),"OK",AND(AR338/(AB338/12)&gt;7,AR338/(AB338/12)&lt;=14),"Abaixar Preço",AND(AR338/(AB338/12)&gt;14,AR338/(AB338/12)&lt;=20),"Estabilizando",AR338/(AB338/12)&gt;20,"Instavel"),"Instavel")</f>
        <v>Sem Produto</v>
      </c>
      <c r="AK338" s="1" t="str" cm="1">
        <f t="array" ref="AK338">IFERROR(_xlfn.IFS(AS338="","Sem Produto",AND(AS338/(AC338/12)&gt;0,AS338/(AC338/12)&lt;=2),"Acabando",AND(AS338/(AC338/12)&gt;2,AS338/(AC338/12)&lt;=3),"Fazer Pedido",AND(AS338/(AC338/12)&gt;3,AS338/(AC338/12)&lt;=7),"OK",AND(AS338/(AC338/12)&gt;7,AS338/(AC338/12)&lt;=14),"Abaixar Preço",AND(AS338/(AC338/12)&gt;14,AS338/(AC338/12)&lt;=20),"Estabilizando",AS338/(AC338/12)&gt;20,"Instavel"),"Instavel")</f>
        <v>Sem Produto</v>
      </c>
      <c r="AL338" s="1" t="str" cm="1">
        <f t="array" ref="AL338">IFERROR(_xlfn.IFS(AT338="","Sem Produto",AND(AT338/(AD338/12)&gt;0,AT338/(AD338/12)&lt;=2),"Acabando",AND(AT338/(AD338/12)&gt;2,AT338/(AD338/12)&lt;=3),"Fazer Pedido",AND(AT338/(AD338/12)&gt;3,AT338/(AD338/12)&lt;=7),"OK",AND(AT338/(AD338/12)&gt;7,AT338/(AD338/12)&lt;=14),"Abaixar Preço",AND(AT338/(AD338/12)&gt;14,AT338/(AD338/12)&lt;=20),"Estabilizando",AT338/(AD338/12)&gt;20,"Instavel"),"Instavel")</f>
        <v>Sem Produto</v>
      </c>
      <c r="AM338" s="1" t="str" cm="1">
        <f t="array" ref="AM338">IFERROR(_xlfn.IFS(AU338="","Sem Produto",AND(AU338/(AE338/12)&gt;0,AU338/(AE338/12)&lt;=2),"Acabando",AND(AU338/(AE338/12)&gt;2,AU338/(AE338/12)&lt;=3),"Fazer Pedido",AND(AU338/(AE338/12)&gt;3,AU338/(AE338/12)&lt;=7),"OK",AND(AU338/(AE338/12)&gt;7,AU338/(AE338/12)&lt;=14),"Abaixar Preço",AND(AU338/(AE338/12)&gt;14,AU338/(AE338/12)&lt;=20),"Estabilizando",AU338/(AE338/12)&gt;20,"Instavel"),"Instavel")</f>
        <v>Sem Produto</v>
      </c>
      <c r="AN338" s="1" t="str">
        <f>IF(SUMIF(vendaAno[data],SituaçãoEstoqueFluxo[[#This Row],[data]],vendaAno[estoque])=0,"Algo errado",IF(AND(AX338/AW338&gt;0,AX338/AW338&lt;=1),"Alerta",IF(AND(AX338/AW338&gt;1,AX338/AW338&lt;=1.5),"Fazer pedido",IF(AND(AX338/AW338&gt;1.5,AX338/AW338&lt;=2),"Ok",IF(AND(AX338/AW338&gt;2,AX338/AW338&lt;=2.5),"Estabilizando",IF(AND(AX338/AW338&gt;2.5,AX338/AW338&lt;=3),"Cheio","Abaixar preço"))))))</f>
        <v>Algo errado</v>
      </c>
      <c r="AO33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8" s="116">
        <f t="shared" si="18"/>
        <v>45896</v>
      </c>
      <c r="AQ33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8" s="82" cm="1">
        <f t="array" aca="1" ref="AV33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8" s="82" cm="1">
        <f t="array" aca="1" ref="AW33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8" s="82">
        <f>SUM(FluxoEstoqueDateTime[[#This Row],[OVO BRANCO A]:[OVO BRANCO JUMBO]])</f>
        <v>0</v>
      </c>
    </row>
    <row r="339" spans="1:50" x14ac:dyDescent="0.25">
      <c r="A339" s="4" t="s">
        <v>20</v>
      </c>
      <c r="B339" s="55" t="s">
        <v>10</v>
      </c>
      <c r="C339" s="5">
        <v>4</v>
      </c>
      <c r="D339" s="56">
        <v>21</v>
      </c>
      <c r="E339" s="56">
        <v>84</v>
      </c>
      <c r="F339" s="157">
        <v>46160</v>
      </c>
      <c r="G339" s="4" t="s">
        <v>291</v>
      </c>
      <c r="H339" s="4" t="s">
        <v>147</v>
      </c>
      <c r="I339" s="153">
        <v>19.87</v>
      </c>
      <c r="J339" s="12">
        <v>0.23649862061226623</v>
      </c>
      <c r="Z339" s="116">
        <f t="shared" si="16"/>
        <v>45895</v>
      </c>
      <c r="AA33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3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3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3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3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3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3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39" s="116">
        <f t="shared" si="17"/>
        <v>45895</v>
      </c>
      <c r="AI339" s="1" t="str" cm="1">
        <f t="array" ref="AI339">IFERROR(_xlfn.IFS(AQ339="","Sem Produto",AND(AQ339/(AA339/12)&gt;0,AQ339/(AA339/12)&lt;=2),"Acabando",AND(AQ339/(AA339/12)&gt;2,AQ339/(AA339/12)&lt;=3),"Fazer Pedido",AND(AQ339/(AA339/12)&gt;3,AQ339/(AA339/12)&lt;=7),"OK",AND(AQ339/(AA339/12)&gt;7,AQ339/(AA339/12)&lt;=14),"Abaixar Preço",AND(AQ339/(AA339/12)&gt;14,AQ339/(AA339/12)&lt;=20),"Estabilizando",AQ339/(AA339/12)&gt;20,"Instavel"),"Instavel")</f>
        <v>Sem Produto</v>
      </c>
      <c r="AJ339" s="1" t="str" cm="1">
        <f t="array" ref="AJ339">IFERROR(_xlfn.IFS(AR339="","Sem Produto",AND(AR339/(AB339/12)&gt;0,AR339/(AB339/12)&lt;=2),"Acabando",AND(AR339/(AB339/12)&gt;2,AR339/(AB339/12)&lt;=3),"Fazer Pedido",AND(AR339/(AB339/12)&gt;3,AR339/(AB339/12)&lt;=7),"OK",AND(AR339/(AB339/12)&gt;7,AR339/(AB339/12)&lt;=14),"Abaixar Preço",AND(AR339/(AB339/12)&gt;14,AR339/(AB339/12)&lt;=20),"Estabilizando",AR339/(AB339/12)&gt;20,"Instavel"),"Instavel")</f>
        <v>Sem Produto</v>
      </c>
      <c r="AK339" s="1" t="str" cm="1">
        <f t="array" ref="AK339">IFERROR(_xlfn.IFS(AS339="","Sem Produto",AND(AS339/(AC339/12)&gt;0,AS339/(AC339/12)&lt;=2),"Acabando",AND(AS339/(AC339/12)&gt;2,AS339/(AC339/12)&lt;=3),"Fazer Pedido",AND(AS339/(AC339/12)&gt;3,AS339/(AC339/12)&lt;=7),"OK",AND(AS339/(AC339/12)&gt;7,AS339/(AC339/12)&lt;=14),"Abaixar Preço",AND(AS339/(AC339/12)&gt;14,AS339/(AC339/12)&lt;=20),"Estabilizando",AS339/(AC339/12)&gt;20,"Instavel"),"Instavel")</f>
        <v>Sem Produto</v>
      </c>
      <c r="AL339" s="1" t="str" cm="1">
        <f t="array" ref="AL339">IFERROR(_xlfn.IFS(AT339="","Sem Produto",AND(AT339/(AD339/12)&gt;0,AT339/(AD339/12)&lt;=2),"Acabando",AND(AT339/(AD339/12)&gt;2,AT339/(AD339/12)&lt;=3),"Fazer Pedido",AND(AT339/(AD339/12)&gt;3,AT339/(AD339/12)&lt;=7),"OK",AND(AT339/(AD339/12)&gt;7,AT339/(AD339/12)&lt;=14),"Abaixar Preço",AND(AT339/(AD339/12)&gt;14,AT339/(AD339/12)&lt;=20),"Estabilizando",AT339/(AD339/12)&gt;20,"Instavel"),"Instavel")</f>
        <v>Sem Produto</v>
      </c>
      <c r="AM339" s="1" t="str" cm="1">
        <f t="array" ref="AM339">IFERROR(_xlfn.IFS(AU339="","Sem Produto",AND(AU339/(AE339/12)&gt;0,AU339/(AE339/12)&lt;=2),"Acabando",AND(AU339/(AE339/12)&gt;2,AU339/(AE339/12)&lt;=3),"Fazer Pedido",AND(AU339/(AE339/12)&gt;3,AU339/(AE339/12)&lt;=7),"OK",AND(AU339/(AE339/12)&gt;7,AU339/(AE339/12)&lt;=14),"Abaixar Preço",AND(AU339/(AE339/12)&gt;14,AU339/(AE339/12)&lt;=20),"Estabilizando",AU339/(AE339/12)&gt;20,"Instavel"),"Instavel")</f>
        <v>Sem Produto</v>
      </c>
      <c r="AN339" s="1" t="str">
        <f>IF(SUMIF(vendaAno[data],SituaçãoEstoqueFluxo[[#This Row],[data]],vendaAno[estoque])=0,"Algo errado",IF(AND(AX339/AW339&gt;0,AX339/AW339&lt;=1),"Alerta",IF(AND(AX339/AW339&gt;1,AX339/AW339&lt;=1.5),"Fazer pedido",IF(AND(AX339/AW339&gt;1.5,AX339/AW339&lt;=2),"Ok",IF(AND(AX339/AW339&gt;2,AX339/AW339&lt;=2.5),"Estabilizando",IF(AND(AX339/AW339&gt;2.5,AX339/AW339&lt;=3),"Cheio","Abaixar preço"))))))</f>
        <v>Algo errado</v>
      </c>
      <c r="AO33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39" s="116">
        <f t="shared" si="18"/>
        <v>45895</v>
      </c>
      <c r="AQ33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3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3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3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3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39" s="82" cm="1">
        <f t="array" aca="1" ref="AV33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39" s="82" cm="1">
        <f t="array" aca="1" ref="AW33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39" s="82">
        <f>SUM(FluxoEstoqueDateTime[[#This Row],[OVO BRANCO A]:[OVO BRANCO JUMBO]])</f>
        <v>0</v>
      </c>
    </row>
    <row r="340" spans="1:50" x14ac:dyDescent="0.25">
      <c r="A340" s="4" t="s">
        <v>20</v>
      </c>
      <c r="B340" s="55" t="s">
        <v>14</v>
      </c>
      <c r="C340" s="5">
        <v>8</v>
      </c>
      <c r="D340" s="56">
        <v>23</v>
      </c>
      <c r="E340" s="56">
        <v>184</v>
      </c>
      <c r="F340" s="157">
        <v>46159</v>
      </c>
      <c r="G340" s="4" t="s">
        <v>93</v>
      </c>
      <c r="H340" s="4" t="s">
        <v>147</v>
      </c>
      <c r="I340" s="153">
        <v>45.79</v>
      </c>
      <c r="J340" s="12">
        <v>0.24883540372670804</v>
      </c>
      <c r="Z340" s="116">
        <f t="shared" si="16"/>
        <v>45894</v>
      </c>
      <c r="AA34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0" s="116">
        <f t="shared" si="17"/>
        <v>45894</v>
      </c>
      <c r="AI340" s="1" t="str" cm="1">
        <f t="array" ref="AI340">IFERROR(_xlfn.IFS(AQ340="","Sem Produto",AND(AQ340/(AA340/12)&gt;0,AQ340/(AA340/12)&lt;=2),"Acabando",AND(AQ340/(AA340/12)&gt;2,AQ340/(AA340/12)&lt;=3),"Fazer Pedido",AND(AQ340/(AA340/12)&gt;3,AQ340/(AA340/12)&lt;=7),"OK",AND(AQ340/(AA340/12)&gt;7,AQ340/(AA340/12)&lt;=14),"Abaixar Preço",AND(AQ340/(AA340/12)&gt;14,AQ340/(AA340/12)&lt;=20),"Estabilizando",AQ340/(AA340/12)&gt;20,"Instavel"),"Instavel")</f>
        <v>Sem Produto</v>
      </c>
      <c r="AJ340" s="1" t="str" cm="1">
        <f t="array" ref="AJ340">IFERROR(_xlfn.IFS(AR340="","Sem Produto",AND(AR340/(AB340/12)&gt;0,AR340/(AB340/12)&lt;=2),"Acabando",AND(AR340/(AB340/12)&gt;2,AR340/(AB340/12)&lt;=3),"Fazer Pedido",AND(AR340/(AB340/12)&gt;3,AR340/(AB340/12)&lt;=7),"OK",AND(AR340/(AB340/12)&gt;7,AR340/(AB340/12)&lt;=14),"Abaixar Preço",AND(AR340/(AB340/12)&gt;14,AR340/(AB340/12)&lt;=20),"Estabilizando",AR340/(AB340/12)&gt;20,"Instavel"),"Instavel")</f>
        <v>Sem Produto</v>
      </c>
      <c r="AK340" s="1" t="str" cm="1">
        <f t="array" ref="AK340">IFERROR(_xlfn.IFS(AS340="","Sem Produto",AND(AS340/(AC340/12)&gt;0,AS340/(AC340/12)&lt;=2),"Acabando",AND(AS340/(AC340/12)&gt;2,AS340/(AC340/12)&lt;=3),"Fazer Pedido",AND(AS340/(AC340/12)&gt;3,AS340/(AC340/12)&lt;=7),"OK",AND(AS340/(AC340/12)&gt;7,AS340/(AC340/12)&lt;=14),"Abaixar Preço",AND(AS340/(AC340/12)&gt;14,AS340/(AC340/12)&lt;=20),"Estabilizando",AS340/(AC340/12)&gt;20,"Instavel"),"Instavel")</f>
        <v>Sem Produto</v>
      </c>
      <c r="AL340" s="1" t="str" cm="1">
        <f t="array" ref="AL340">IFERROR(_xlfn.IFS(AT340="","Sem Produto",AND(AT340/(AD340/12)&gt;0,AT340/(AD340/12)&lt;=2),"Acabando",AND(AT340/(AD340/12)&gt;2,AT340/(AD340/12)&lt;=3),"Fazer Pedido",AND(AT340/(AD340/12)&gt;3,AT340/(AD340/12)&lt;=7),"OK",AND(AT340/(AD340/12)&gt;7,AT340/(AD340/12)&lt;=14),"Abaixar Preço",AND(AT340/(AD340/12)&gt;14,AT340/(AD340/12)&lt;=20),"Estabilizando",AT340/(AD340/12)&gt;20,"Instavel"),"Instavel")</f>
        <v>Sem Produto</v>
      </c>
      <c r="AM340" s="1" t="str" cm="1">
        <f t="array" ref="AM340">IFERROR(_xlfn.IFS(AU340="","Sem Produto",AND(AU340/(AE340/12)&gt;0,AU340/(AE340/12)&lt;=2),"Acabando",AND(AU340/(AE340/12)&gt;2,AU340/(AE340/12)&lt;=3),"Fazer Pedido",AND(AU340/(AE340/12)&gt;3,AU340/(AE340/12)&lt;=7),"OK",AND(AU340/(AE340/12)&gt;7,AU340/(AE340/12)&lt;=14),"Abaixar Preço",AND(AU340/(AE340/12)&gt;14,AU340/(AE340/12)&lt;=20),"Estabilizando",AU340/(AE340/12)&gt;20,"Instavel"),"Instavel")</f>
        <v>Sem Produto</v>
      </c>
      <c r="AN340" s="1" t="str">
        <f>IF(SUMIF(vendaAno[data],SituaçãoEstoqueFluxo[[#This Row],[data]],vendaAno[estoque])=0,"Algo errado",IF(AND(AX340/AW340&gt;0,AX340/AW340&lt;=1),"Alerta",IF(AND(AX340/AW340&gt;1,AX340/AW340&lt;=1.5),"Fazer pedido",IF(AND(AX340/AW340&gt;1.5,AX340/AW340&lt;=2),"Ok",IF(AND(AX340/AW340&gt;2,AX340/AW340&lt;=2.5),"Estabilizando",IF(AND(AX340/AW340&gt;2.5,AX340/AW340&lt;=3),"Cheio","Abaixar preço"))))))</f>
        <v>Algo errado</v>
      </c>
      <c r="AO34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0" s="116">
        <f t="shared" si="18"/>
        <v>45894</v>
      </c>
      <c r="AQ34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0" s="82" cm="1">
        <f t="array" aca="1" ref="AV34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0" s="82" cm="1">
        <f t="array" aca="1" ref="AW34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0" s="82">
        <f>SUM(FluxoEstoqueDateTime[[#This Row],[OVO BRANCO A]:[OVO BRANCO JUMBO]])</f>
        <v>0</v>
      </c>
    </row>
    <row r="341" spans="1:50" x14ac:dyDescent="0.25">
      <c r="A341" s="4" t="s">
        <v>20</v>
      </c>
      <c r="B341" s="55" t="s">
        <v>13</v>
      </c>
      <c r="C341" s="5">
        <v>7</v>
      </c>
      <c r="D341" s="56">
        <v>22</v>
      </c>
      <c r="E341" s="56">
        <v>154</v>
      </c>
      <c r="F341" s="157">
        <v>46159</v>
      </c>
      <c r="G341" s="4" t="s">
        <v>93</v>
      </c>
      <c r="H341" s="4" t="s">
        <v>147</v>
      </c>
      <c r="I341" s="153">
        <v>38.74</v>
      </c>
      <c r="J341" s="12">
        <v>0.25154320987654316</v>
      </c>
      <c r="Z341" s="116">
        <f t="shared" si="16"/>
        <v>45893</v>
      </c>
      <c r="AA34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1" s="116">
        <f t="shared" si="17"/>
        <v>45893</v>
      </c>
      <c r="AI341" s="1" t="str" cm="1">
        <f t="array" ref="AI341">IFERROR(_xlfn.IFS(AQ341="","Sem Produto",AND(AQ341/(AA341/12)&gt;0,AQ341/(AA341/12)&lt;=2),"Acabando",AND(AQ341/(AA341/12)&gt;2,AQ341/(AA341/12)&lt;=3),"Fazer Pedido",AND(AQ341/(AA341/12)&gt;3,AQ341/(AA341/12)&lt;=7),"OK",AND(AQ341/(AA341/12)&gt;7,AQ341/(AA341/12)&lt;=14),"Abaixar Preço",AND(AQ341/(AA341/12)&gt;14,AQ341/(AA341/12)&lt;=20),"Estabilizando",AQ341/(AA341/12)&gt;20,"Instavel"),"Instavel")</f>
        <v>Sem Produto</v>
      </c>
      <c r="AJ341" s="1" t="str" cm="1">
        <f t="array" ref="AJ341">IFERROR(_xlfn.IFS(AR341="","Sem Produto",AND(AR341/(AB341/12)&gt;0,AR341/(AB341/12)&lt;=2),"Acabando",AND(AR341/(AB341/12)&gt;2,AR341/(AB341/12)&lt;=3),"Fazer Pedido",AND(AR341/(AB341/12)&gt;3,AR341/(AB341/12)&lt;=7),"OK",AND(AR341/(AB341/12)&gt;7,AR341/(AB341/12)&lt;=14),"Abaixar Preço",AND(AR341/(AB341/12)&gt;14,AR341/(AB341/12)&lt;=20),"Estabilizando",AR341/(AB341/12)&gt;20,"Instavel"),"Instavel")</f>
        <v>Sem Produto</v>
      </c>
      <c r="AK341" s="1" t="str" cm="1">
        <f t="array" ref="AK341">IFERROR(_xlfn.IFS(AS341="","Sem Produto",AND(AS341/(AC341/12)&gt;0,AS341/(AC341/12)&lt;=2),"Acabando",AND(AS341/(AC341/12)&gt;2,AS341/(AC341/12)&lt;=3),"Fazer Pedido",AND(AS341/(AC341/12)&gt;3,AS341/(AC341/12)&lt;=7),"OK",AND(AS341/(AC341/12)&gt;7,AS341/(AC341/12)&lt;=14),"Abaixar Preço",AND(AS341/(AC341/12)&gt;14,AS341/(AC341/12)&lt;=20),"Estabilizando",AS341/(AC341/12)&gt;20,"Instavel"),"Instavel")</f>
        <v>Sem Produto</v>
      </c>
      <c r="AL341" s="1" t="str" cm="1">
        <f t="array" ref="AL341">IFERROR(_xlfn.IFS(AT341="","Sem Produto",AND(AT341/(AD341/12)&gt;0,AT341/(AD341/12)&lt;=2),"Acabando",AND(AT341/(AD341/12)&gt;2,AT341/(AD341/12)&lt;=3),"Fazer Pedido",AND(AT341/(AD341/12)&gt;3,AT341/(AD341/12)&lt;=7),"OK",AND(AT341/(AD341/12)&gt;7,AT341/(AD341/12)&lt;=14),"Abaixar Preço",AND(AT341/(AD341/12)&gt;14,AT341/(AD341/12)&lt;=20),"Estabilizando",AT341/(AD341/12)&gt;20,"Instavel"),"Instavel")</f>
        <v>Sem Produto</v>
      </c>
      <c r="AM341" s="1" t="str" cm="1">
        <f t="array" ref="AM341">IFERROR(_xlfn.IFS(AU341="","Sem Produto",AND(AU341/(AE341/12)&gt;0,AU341/(AE341/12)&lt;=2),"Acabando",AND(AU341/(AE341/12)&gt;2,AU341/(AE341/12)&lt;=3),"Fazer Pedido",AND(AU341/(AE341/12)&gt;3,AU341/(AE341/12)&lt;=7),"OK",AND(AU341/(AE341/12)&gt;7,AU341/(AE341/12)&lt;=14),"Abaixar Preço",AND(AU341/(AE341/12)&gt;14,AU341/(AE341/12)&lt;=20),"Estabilizando",AU341/(AE341/12)&gt;20,"Instavel"),"Instavel")</f>
        <v>Sem Produto</v>
      </c>
      <c r="AN341" s="1" t="str">
        <f>IF(SUMIF(vendaAno[data],SituaçãoEstoqueFluxo[[#This Row],[data]],vendaAno[estoque])=0,"Algo errado",IF(AND(AX341/AW341&gt;0,AX341/AW341&lt;=1),"Alerta",IF(AND(AX341/AW341&gt;1,AX341/AW341&lt;=1.5),"Fazer pedido",IF(AND(AX341/AW341&gt;1.5,AX341/AW341&lt;=2),"Ok",IF(AND(AX341/AW341&gt;2,AX341/AW341&lt;=2.5),"Estabilizando",IF(AND(AX341/AW341&gt;2.5,AX341/AW341&lt;=3),"Cheio","Abaixar preço"))))))</f>
        <v>Algo errado</v>
      </c>
      <c r="AO34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1" s="116">
        <f t="shared" si="18"/>
        <v>45893</v>
      </c>
      <c r="AQ34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1" s="82" cm="1">
        <f t="array" aca="1" ref="AV34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1" s="82" cm="1">
        <f t="array" aca="1" ref="AW34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1" s="82">
        <f>SUM(FluxoEstoqueDateTime[[#This Row],[OVO BRANCO A]:[OVO BRANCO JUMBO]])</f>
        <v>0</v>
      </c>
    </row>
    <row r="342" spans="1:50" x14ac:dyDescent="0.25">
      <c r="A342" s="4" t="s">
        <v>20</v>
      </c>
      <c r="B342" s="55" t="s">
        <v>11</v>
      </c>
      <c r="C342" s="5">
        <v>2</v>
      </c>
      <c r="D342" s="56">
        <v>20</v>
      </c>
      <c r="E342" s="56">
        <v>40</v>
      </c>
      <c r="F342" s="157">
        <v>46159</v>
      </c>
      <c r="G342" s="4" t="s">
        <v>93</v>
      </c>
      <c r="H342" s="4" t="s">
        <v>147</v>
      </c>
      <c r="I342" s="153">
        <v>10</v>
      </c>
      <c r="J342" s="12">
        <v>0.25</v>
      </c>
      <c r="Z342" s="116">
        <f t="shared" si="16"/>
        <v>45892</v>
      </c>
      <c r="AA34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2" s="116">
        <f t="shared" si="17"/>
        <v>45892</v>
      </c>
      <c r="AI342" s="1" t="str" cm="1">
        <f t="array" ref="AI342">IFERROR(_xlfn.IFS(AQ342="","Sem Produto",AND(AQ342/(AA342/12)&gt;0,AQ342/(AA342/12)&lt;=2),"Acabando",AND(AQ342/(AA342/12)&gt;2,AQ342/(AA342/12)&lt;=3),"Fazer Pedido",AND(AQ342/(AA342/12)&gt;3,AQ342/(AA342/12)&lt;=7),"OK",AND(AQ342/(AA342/12)&gt;7,AQ342/(AA342/12)&lt;=14),"Abaixar Preço",AND(AQ342/(AA342/12)&gt;14,AQ342/(AA342/12)&lt;=20),"Estabilizando",AQ342/(AA342/12)&gt;20,"Instavel"),"Instavel")</f>
        <v>Sem Produto</v>
      </c>
      <c r="AJ342" s="1" t="str" cm="1">
        <f t="array" ref="AJ342">IFERROR(_xlfn.IFS(AR342="","Sem Produto",AND(AR342/(AB342/12)&gt;0,AR342/(AB342/12)&lt;=2),"Acabando",AND(AR342/(AB342/12)&gt;2,AR342/(AB342/12)&lt;=3),"Fazer Pedido",AND(AR342/(AB342/12)&gt;3,AR342/(AB342/12)&lt;=7),"OK",AND(AR342/(AB342/12)&gt;7,AR342/(AB342/12)&lt;=14),"Abaixar Preço",AND(AR342/(AB342/12)&gt;14,AR342/(AB342/12)&lt;=20),"Estabilizando",AR342/(AB342/12)&gt;20,"Instavel"),"Instavel")</f>
        <v>Sem Produto</v>
      </c>
      <c r="AK342" s="1" t="str" cm="1">
        <f t="array" ref="AK342">IFERROR(_xlfn.IFS(AS342="","Sem Produto",AND(AS342/(AC342/12)&gt;0,AS342/(AC342/12)&lt;=2),"Acabando",AND(AS342/(AC342/12)&gt;2,AS342/(AC342/12)&lt;=3),"Fazer Pedido",AND(AS342/(AC342/12)&gt;3,AS342/(AC342/12)&lt;=7),"OK",AND(AS342/(AC342/12)&gt;7,AS342/(AC342/12)&lt;=14),"Abaixar Preço",AND(AS342/(AC342/12)&gt;14,AS342/(AC342/12)&lt;=20),"Estabilizando",AS342/(AC342/12)&gt;20,"Instavel"),"Instavel")</f>
        <v>Sem Produto</v>
      </c>
      <c r="AL342" s="1" t="str" cm="1">
        <f t="array" ref="AL342">IFERROR(_xlfn.IFS(AT342="","Sem Produto",AND(AT342/(AD342/12)&gt;0,AT342/(AD342/12)&lt;=2),"Acabando",AND(AT342/(AD342/12)&gt;2,AT342/(AD342/12)&lt;=3),"Fazer Pedido",AND(AT342/(AD342/12)&gt;3,AT342/(AD342/12)&lt;=7),"OK",AND(AT342/(AD342/12)&gt;7,AT342/(AD342/12)&lt;=14),"Abaixar Preço",AND(AT342/(AD342/12)&gt;14,AT342/(AD342/12)&lt;=20),"Estabilizando",AT342/(AD342/12)&gt;20,"Instavel"),"Instavel")</f>
        <v>Sem Produto</v>
      </c>
      <c r="AM342" s="1" t="str" cm="1">
        <f t="array" ref="AM342">IFERROR(_xlfn.IFS(AU342="","Sem Produto",AND(AU342/(AE342/12)&gt;0,AU342/(AE342/12)&lt;=2),"Acabando",AND(AU342/(AE342/12)&gt;2,AU342/(AE342/12)&lt;=3),"Fazer Pedido",AND(AU342/(AE342/12)&gt;3,AU342/(AE342/12)&lt;=7),"OK",AND(AU342/(AE342/12)&gt;7,AU342/(AE342/12)&lt;=14),"Abaixar Preço",AND(AU342/(AE342/12)&gt;14,AU342/(AE342/12)&lt;=20),"Estabilizando",AU342/(AE342/12)&gt;20,"Instavel"),"Instavel")</f>
        <v>Sem Produto</v>
      </c>
      <c r="AN342" s="1" t="str">
        <f>IF(SUMIF(vendaAno[data],SituaçãoEstoqueFluxo[[#This Row],[data]],vendaAno[estoque])=0,"Algo errado",IF(AND(AX342/AW342&gt;0,AX342/AW342&lt;=1),"Alerta",IF(AND(AX342/AW342&gt;1,AX342/AW342&lt;=1.5),"Fazer pedido",IF(AND(AX342/AW342&gt;1.5,AX342/AW342&lt;=2),"Ok",IF(AND(AX342/AW342&gt;2,AX342/AW342&lt;=2.5),"Estabilizando",IF(AND(AX342/AW342&gt;2.5,AX342/AW342&lt;=3),"Cheio","Abaixar preço"))))))</f>
        <v>Algo errado</v>
      </c>
      <c r="AO34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2" s="116">
        <f t="shared" si="18"/>
        <v>45892</v>
      </c>
      <c r="AQ34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2" s="82" cm="1">
        <f t="array" aca="1" ref="AV34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2" s="82" cm="1">
        <f t="array" aca="1" ref="AW34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2" s="82">
        <f>SUM(FluxoEstoqueDateTime[[#This Row],[OVO BRANCO A]:[OVO BRANCO JUMBO]])</f>
        <v>0</v>
      </c>
    </row>
    <row r="343" spans="1:50" x14ac:dyDescent="0.25">
      <c r="A343" s="4" t="s">
        <v>20</v>
      </c>
      <c r="B343" s="55" t="s">
        <v>10</v>
      </c>
      <c r="C343" s="5">
        <v>9</v>
      </c>
      <c r="D343" s="56">
        <v>21</v>
      </c>
      <c r="E343" s="56">
        <v>189</v>
      </c>
      <c r="F343" s="157">
        <v>46159</v>
      </c>
      <c r="G343" s="4" t="s">
        <v>93</v>
      </c>
      <c r="H343" s="4" t="s">
        <v>147</v>
      </c>
      <c r="I343" s="153">
        <v>44.7</v>
      </c>
      <c r="J343" s="12">
        <v>0.23649862061226623</v>
      </c>
      <c r="Z343" s="116">
        <f t="shared" si="16"/>
        <v>45891</v>
      </c>
      <c r="AA34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3" s="116">
        <f t="shared" si="17"/>
        <v>45891</v>
      </c>
      <c r="AI343" s="1" t="str" cm="1">
        <f t="array" ref="AI343">IFERROR(_xlfn.IFS(AQ343="","Sem Produto",AND(AQ343/(AA343/12)&gt;0,AQ343/(AA343/12)&lt;=2),"Acabando",AND(AQ343/(AA343/12)&gt;2,AQ343/(AA343/12)&lt;=3),"Fazer Pedido",AND(AQ343/(AA343/12)&gt;3,AQ343/(AA343/12)&lt;=7),"OK",AND(AQ343/(AA343/12)&gt;7,AQ343/(AA343/12)&lt;=14),"Abaixar Preço",AND(AQ343/(AA343/12)&gt;14,AQ343/(AA343/12)&lt;=20),"Estabilizando",AQ343/(AA343/12)&gt;20,"Instavel"),"Instavel")</f>
        <v>Sem Produto</v>
      </c>
      <c r="AJ343" s="1" t="str" cm="1">
        <f t="array" ref="AJ343">IFERROR(_xlfn.IFS(AR343="","Sem Produto",AND(AR343/(AB343/12)&gt;0,AR343/(AB343/12)&lt;=2),"Acabando",AND(AR343/(AB343/12)&gt;2,AR343/(AB343/12)&lt;=3),"Fazer Pedido",AND(AR343/(AB343/12)&gt;3,AR343/(AB343/12)&lt;=7),"OK",AND(AR343/(AB343/12)&gt;7,AR343/(AB343/12)&lt;=14),"Abaixar Preço",AND(AR343/(AB343/12)&gt;14,AR343/(AB343/12)&lt;=20),"Estabilizando",AR343/(AB343/12)&gt;20,"Instavel"),"Instavel")</f>
        <v>Sem Produto</v>
      </c>
      <c r="AK343" s="1" t="str" cm="1">
        <f t="array" ref="AK343">IFERROR(_xlfn.IFS(AS343="","Sem Produto",AND(AS343/(AC343/12)&gt;0,AS343/(AC343/12)&lt;=2),"Acabando",AND(AS343/(AC343/12)&gt;2,AS343/(AC343/12)&lt;=3),"Fazer Pedido",AND(AS343/(AC343/12)&gt;3,AS343/(AC343/12)&lt;=7),"OK",AND(AS343/(AC343/12)&gt;7,AS343/(AC343/12)&lt;=14),"Abaixar Preço",AND(AS343/(AC343/12)&gt;14,AS343/(AC343/12)&lt;=20),"Estabilizando",AS343/(AC343/12)&gt;20,"Instavel"),"Instavel")</f>
        <v>Sem Produto</v>
      </c>
      <c r="AL343" s="1" t="str" cm="1">
        <f t="array" ref="AL343">IFERROR(_xlfn.IFS(AT343="","Sem Produto",AND(AT343/(AD343/12)&gt;0,AT343/(AD343/12)&lt;=2),"Acabando",AND(AT343/(AD343/12)&gt;2,AT343/(AD343/12)&lt;=3),"Fazer Pedido",AND(AT343/(AD343/12)&gt;3,AT343/(AD343/12)&lt;=7),"OK",AND(AT343/(AD343/12)&gt;7,AT343/(AD343/12)&lt;=14),"Abaixar Preço",AND(AT343/(AD343/12)&gt;14,AT343/(AD343/12)&lt;=20),"Estabilizando",AT343/(AD343/12)&gt;20,"Instavel"),"Instavel")</f>
        <v>Sem Produto</v>
      </c>
      <c r="AM343" s="1" t="str" cm="1">
        <f t="array" ref="AM343">IFERROR(_xlfn.IFS(AU343="","Sem Produto",AND(AU343/(AE343/12)&gt;0,AU343/(AE343/12)&lt;=2),"Acabando",AND(AU343/(AE343/12)&gt;2,AU343/(AE343/12)&lt;=3),"Fazer Pedido",AND(AU343/(AE343/12)&gt;3,AU343/(AE343/12)&lt;=7),"OK",AND(AU343/(AE343/12)&gt;7,AU343/(AE343/12)&lt;=14),"Abaixar Preço",AND(AU343/(AE343/12)&gt;14,AU343/(AE343/12)&lt;=20),"Estabilizando",AU343/(AE343/12)&gt;20,"Instavel"),"Instavel")</f>
        <v>Sem Produto</v>
      </c>
      <c r="AN343" s="1" t="str">
        <f>IF(SUMIF(vendaAno[data],SituaçãoEstoqueFluxo[[#This Row],[data]],vendaAno[estoque])=0,"Algo errado",IF(AND(AX343/AW343&gt;0,AX343/AW343&lt;=1),"Alerta",IF(AND(AX343/AW343&gt;1,AX343/AW343&lt;=1.5),"Fazer pedido",IF(AND(AX343/AW343&gt;1.5,AX343/AW343&lt;=2),"Ok",IF(AND(AX343/AW343&gt;2,AX343/AW343&lt;=2.5),"Estabilizando",IF(AND(AX343/AW343&gt;2.5,AX343/AW343&lt;=3),"Cheio","Abaixar preço"))))))</f>
        <v>Algo errado</v>
      </c>
      <c r="AO34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3" s="116">
        <f t="shared" si="18"/>
        <v>45891</v>
      </c>
      <c r="AQ34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3" s="82" cm="1">
        <f t="array" aca="1" ref="AV34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3" s="82" cm="1">
        <f t="array" aca="1" ref="AW34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3" s="82">
        <f>SUM(FluxoEstoqueDateTime[[#This Row],[OVO BRANCO A]:[OVO BRANCO JUMBO]])</f>
        <v>0</v>
      </c>
    </row>
    <row r="344" spans="1:50" x14ac:dyDescent="0.25">
      <c r="A344" s="4" t="s">
        <v>20</v>
      </c>
      <c r="B344" s="55" t="s">
        <v>14</v>
      </c>
      <c r="C344" s="5">
        <v>2</v>
      </c>
      <c r="D344" s="56">
        <v>23</v>
      </c>
      <c r="E344" s="56">
        <v>46</v>
      </c>
      <c r="F344" s="157">
        <v>46158</v>
      </c>
      <c r="G344" s="4" t="s">
        <v>92</v>
      </c>
      <c r="H344" s="4" t="s">
        <v>147</v>
      </c>
      <c r="I344" s="153">
        <v>11.45</v>
      </c>
      <c r="J344" s="12">
        <v>0.24883540372670804</v>
      </c>
      <c r="Z344" s="116">
        <f t="shared" si="16"/>
        <v>45890</v>
      </c>
      <c r="AA34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4" s="116">
        <f t="shared" si="17"/>
        <v>45890</v>
      </c>
      <c r="AI344" s="1" t="str" cm="1">
        <f t="array" ref="AI344">IFERROR(_xlfn.IFS(AQ344="","Sem Produto",AND(AQ344/(AA344/12)&gt;0,AQ344/(AA344/12)&lt;=2),"Acabando",AND(AQ344/(AA344/12)&gt;2,AQ344/(AA344/12)&lt;=3),"Fazer Pedido",AND(AQ344/(AA344/12)&gt;3,AQ344/(AA344/12)&lt;=7),"OK",AND(AQ344/(AA344/12)&gt;7,AQ344/(AA344/12)&lt;=14),"Abaixar Preço",AND(AQ344/(AA344/12)&gt;14,AQ344/(AA344/12)&lt;=20),"Estabilizando",AQ344/(AA344/12)&gt;20,"Instavel"),"Instavel")</f>
        <v>Sem Produto</v>
      </c>
      <c r="AJ344" s="1" t="str" cm="1">
        <f t="array" ref="AJ344">IFERROR(_xlfn.IFS(AR344="","Sem Produto",AND(AR344/(AB344/12)&gt;0,AR344/(AB344/12)&lt;=2),"Acabando",AND(AR344/(AB344/12)&gt;2,AR344/(AB344/12)&lt;=3),"Fazer Pedido",AND(AR344/(AB344/12)&gt;3,AR344/(AB344/12)&lt;=7),"OK",AND(AR344/(AB344/12)&gt;7,AR344/(AB344/12)&lt;=14),"Abaixar Preço",AND(AR344/(AB344/12)&gt;14,AR344/(AB344/12)&lt;=20),"Estabilizando",AR344/(AB344/12)&gt;20,"Instavel"),"Instavel")</f>
        <v>Sem Produto</v>
      </c>
      <c r="AK344" s="1" t="str" cm="1">
        <f t="array" ref="AK344">IFERROR(_xlfn.IFS(AS344="","Sem Produto",AND(AS344/(AC344/12)&gt;0,AS344/(AC344/12)&lt;=2),"Acabando",AND(AS344/(AC344/12)&gt;2,AS344/(AC344/12)&lt;=3),"Fazer Pedido",AND(AS344/(AC344/12)&gt;3,AS344/(AC344/12)&lt;=7),"OK",AND(AS344/(AC344/12)&gt;7,AS344/(AC344/12)&lt;=14),"Abaixar Preço",AND(AS344/(AC344/12)&gt;14,AS344/(AC344/12)&lt;=20),"Estabilizando",AS344/(AC344/12)&gt;20,"Instavel"),"Instavel")</f>
        <v>Sem Produto</v>
      </c>
      <c r="AL344" s="1" t="str" cm="1">
        <f t="array" ref="AL344">IFERROR(_xlfn.IFS(AT344="","Sem Produto",AND(AT344/(AD344/12)&gt;0,AT344/(AD344/12)&lt;=2),"Acabando",AND(AT344/(AD344/12)&gt;2,AT344/(AD344/12)&lt;=3),"Fazer Pedido",AND(AT344/(AD344/12)&gt;3,AT344/(AD344/12)&lt;=7),"OK",AND(AT344/(AD344/12)&gt;7,AT344/(AD344/12)&lt;=14),"Abaixar Preço",AND(AT344/(AD344/12)&gt;14,AT344/(AD344/12)&lt;=20),"Estabilizando",AT344/(AD344/12)&gt;20,"Instavel"),"Instavel")</f>
        <v>Sem Produto</v>
      </c>
      <c r="AM344" s="1" t="str" cm="1">
        <f t="array" ref="AM344">IFERROR(_xlfn.IFS(AU344="","Sem Produto",AND(AU344/(AE344/12)&gt;0,AU344/(AE344/12)&lt;=2),"Acabando",AND(AU344/(AE344/12)&gt;2,AU344/(AE344/12)&lt;=3),"Fazer Pedido",AND(AU344/(AE344/12)&gt;3,AU344/(AE344/12)&lt;=7),"OK",AND(AU344/(AE344/12)&gt;7,AU344/(AE344/12)&lt;=14),"Abaixar Preço",AND(AU344/(AE344/12)&gt;14,AU344/(AE344/12)&lt;=20),"Estabilizando",AU344/(AE344/12)&gt;20,"Instavel"),"Instavel")</f>
        <v>Sem Produto</v>
      </c>
      <c r="AN344" s="1" t="str">
        <f>IF(SUMIF(vendaAno[data],SituaçãoEstoqueFluxo[[#This Row],[data]],vendaAno[estoque])=0,"Algo errado",IF(AND(AX344/AW344&gt;0,AX344/AW344&lt;=1),"Alerta",IF(AND(AX344/AW344&gt;1,AX344/AW344&lt;=1.5),"Fazer pedido",IF(AND(AX344/AW344&gt;1.5,AX344/AW344&lt;=2),"Ok",IF(AND(AX344/AW344&gt;2,AX344/AW344&lt;=2.5),"Estabilizando",IF(AND(AX344/AW344&gt;2.5,AX344/AW344&lt;=3),"Cheio","Abaixar preço"))))))</f>
        <v>Algo errado</v>
      </c>
      <c r="AO34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4" s="116">
        <f t="shared" si="18"/>
        <v>45890</v>
      </c>
      <c r="AQ34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4" s="82" cm="1">
        <f t="array" aca="1" ref="AV34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4" s="82" cm="1">
        <f t="array" aca="1" ref="AW34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4" s="82">
        <f>SUM(FluxoEstoqueDateTime[[#This Row],[OVO BRANCO A]:[OVO BRANCO JUMBO]])</f>
        <v>0</v>
      </c>
    </row>
    <row r="345" spans="1:50" x14ac:dyDescent="0.25">
      <c r="A345" s="4" t="s">
        <v>20</v>
      </c>
      <c r="B345" s="55" t="s">
        <v>11</v>
      </c>
      <c r="C345" s="5">
        <v>13</v>
      </c>
      <c r="D345" s="56">
        <v>20</v>
      </c>
      <c r="E345" s="56">
        <v>239</v>
      </c>
      <c r="F345" s="157">
        <v>46158</v>
      </c>
      <c r="G345" s="4" t="s">
        <v>92</v>
      </c>
      <c r="H345" s="4" t="s">
        <v>147</v>
      </c>
      <c r="I345" s="153">
        <v>44</v>
      </c>
      <c r="J345" s="12">
        <v>0.18410041841004185</v>
      </c>
      <c r="Z345" s="116">
        <f t="shared" si="16"/>
        <v>45889</v>
      </c>
      <c r="AA34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5" s="116">
        <f t="shared" si="17"/>
        <v>45889</v>
      </c>
      <c r="AI345" s="1" t="str" cm="1">
        <f t="array" ref="AI345">IFERROR(_xlfn.IFS(AQ345="","Sem Produto",AND(AQ345/(AA345/12)&gt;0,AQ345/(AA345/12)&lt;=2),"Acabando",AND(AQ345/(AA345/12)&gt;2,AQ345/(AA345/12)&lt;=3),"Fazer Pedido",AND(AQ345/(AA345/12)&gt;3,AQ345/(AA345/12)&lt;=7),"OK",AND(AQ345/(AA345/12)&gt;7,AQ345/(AA345/12)&lt;=14),"Abaixar Preço",AND(AQ345/(AA345/12)&gt;14,AQ345/(AA345/12)&lt;=20),"Estabilizando",AQ345/(AA345/12)&gt;20,"Instavel"),"Instavel")</f>
        <v>Sem Produto</v>
      </c>
      <c r="AJ345" s="1" t="str" cm="1">
        <f t="array" ref="AJ345">IFERROR(_xlfn.IFS(AR345="","Sem Produto",AND(AR345/(AB345/12)&gt;0,AR345/(AB345/12)&lt;=2),"Acabando",AND(AR345/(AB345/12)&gt;2,AR345/(AB345/12)&lt;=3),"Fazer Pedido",AND(AR345/(AB345/12)&gt;3,AR345/(AB345/12)&lt;=7),"OK",AND(AR345/(AB345/12)&gt;7,AR345/(AB345/12)&lt;=14),"Abaixar Preço",AND(AR345/(AB345/12)&gt;14,AR345/(AB345/12)&lt;=20),"Estabilizando",AR345/(AB345/12)&gt;20,"Instavel"),"Instavel")</f>
        <v>Sem Produto</v>
      </c>
      <c r="AK345" s="1" t="str" cm="1">
        <f t="array" ref="AK345">IFERROR(_xlfn.IFS(AS345="","Sem Produto",AND(AS345/(AC345/12)&gt;0,AS345/(AC345/12)&lt;=2),"Acabando",AND(AS345/(AC345/12)&gt;2,AS345/(AC345/12)&lt;=3),"Fazer Pedido",AND(AS345/(AC345/12)&gt;3,AS345/(AC345/12)&lt;=7),"OK",AND(AS345/(AC345/12)&gt;7,AS345/(AC345/12)&lt;=14),"Abaixar Preço",AND(AS345/(AC345/12)&gt;14,AS345/(AC345/12)&lt;=20),"Estabilizando",AS345/(AC345/12)&gt;20,"Instavel"),"Instavel")</f>
        <v>Sem Produto</v>
      </c>
      <c r="AL345" s="1" t="str" cm="1">
        <f t="array" ref="AL345">IFERROR(_xlfn.IFS(AT345="","Sem Produto",AND(AT345/(AD345/12)&gt;0,AT345/(AD345/12)&lt;=2),"Acabando",AND(AT345/(AD345/12)&gt;2,AT345/(AD345/12)&lt;=3),"Fazer Pedido",AND(AT345/(AD345/12)&gt;3,AT345/(AD345/12)&lt;=7),"OK",AND(AT345/(AD345/12)&gt;7,AT345/(AD345/12)&lt;=14),"Abaixar Preço",AND(AT345/(AD345/12)&gt;14,AT345/(AD345/12)&lt;=20),"Estabilizando",AT345/(AD345/12)&gt;20,"Instavel"),"Instavel")</f>
        <v>Sem Produto</v>
      </c>
      <c r="AM345" s="1" t="str" cm="1">
        <f t="array" ref="AM345">IFERROR(_xlfn.IFS(AU345="","Sem Produto",AND(AU345/(AE345/12)&gt;0,AU345/(AE345/12)&lt;=2),"Acabando",AND(AU345/(AE345/12)&gt;2,AU345/(AE345/12)&lt;=3),"Fazer Pedido",AND(AU345/(AE345/12)&gt;3,AU345/(AE345/12)&lt;=7),"OK",AND(AU345/(AE345/12)&gt;7,AU345/(AE345/12)&lt;=14),"Abaixar Preço",AND(AU345/(AE345/12)&gt;14,AU345/(AE345/12)&lt;=20),"Estabilizando",AU345/(AE345/12)&gt;20,"Instavel"),"Instavel")</f>
        <v>Sem Produto</v>
      </c>
      <c r="AN345" s="1" t="str">
        <f>IF(SUMIF(vendaAno[data],SituaçãoEstoqueFluxo[[#This Row],[data]],vendaAno[estoque])=0,"Algo errado",IF(AND(AX345/AW345&gt;0,AX345/AW345&lt;=1),"Alerta",IF(AND(AX345/AW345&gt;1,AX345/AW345&lt;=1.5),"Fazer pedido",IF(AND(AX345/AW345&gt;1.5,AX345/AW345&lt;=2),"Ok",IF(AND(AX345/AW345&gt;2,AX345/AW345&lt;=2.5),"Estabilizando",IF(AND(AX345/AW345&gt;2.5,AX345/AW345&lt;=3),"Cheio","Abaixar preço"))))))</f>
        <v>Algo errado</v>
      </c>
      <c r="AO34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5" s="116">
        <f t="shared" si="18"/>
        <v>45889</v>
      </c>
      <c r="AQ34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5" s="82" cm="1">
        <f t="array" aca="1" ref="AV34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5" s="82" cm="1">
        <f t="array" aca="1" ref="AW34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5" s="82">
        <f>SUM(FluxoEstoqueDateTime[[#This Row],[OVO BRANCO A]:[OVO BRANCO JUMBO]])</f>
        <v>0</v>
      </c>
    </row>
    <row r="346" spans="1:50" x14ac:dyDescent="0.25">
      <c r="A346" s="4" t="s">
        <v>20</v>
      </c>
      <c r="B346" s="55" t="s">
        <v>10</v>
      </c>
      <c r="C346" s="5">
        <v>1</v>
      </c>
      <c r="D346" s="56">
        <v>21</v>
      </c>
      <c r="E346" s="56">
        <v>21</v>
      </c>
      <c r="F346" s="157">
        <v>46158</v>
      </c>
      <c r="G346" s="4" t="s">
        <v>92</v>
      </c>
      <c r="H346" s="4" t="s">
        <v>147</v>
      </c>
      <c r="I346" s="153">
        <v>4.97</v>
      </c>
      <c r="J346" s="12">
        <v>0.23649862061226623</v>
      </c>
      <c r="Z346" s="116">
        <f t="shared" si="16"/>
        <v>45888</v>
      </c>
      <c r="AA34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6" s="116">
        <f t="shared" si="17"/>
        <v>45888</v>
      </c>
      <c r="AI346" s="1" t="str" cm="1">
        <f t="array" ref="AI346">IFERROR(_xlfn.IFS(AQ346="","Sem Produto",AND(AQ346/(AA346/12)&gt;0,AQ346/(AA346/12)&lt;=2),"Acabando",AND(AQ346/(AA346/12)&gt;2,AQ346/(AA346/12)&lt;=3),"Fazer Pedido",AND(AQ346/(AA346/12)&gt;3,AQ346/(AA346/12)&lt;=7),"OK",AND(AQ346/(AA346/12)&gt;7,AQ346/(AA346/12)&lt;=14),"Abaixar Preço",AND(AQ346/(AA346/12)&gt;14,AQ346/(AA346/12)&lt;=20),"Estabilizando",AQ346/(AA346/12)&gt;20,"Instavel"),"Instavel")</f>
        <v>Sem Produto</v>
      </c>
      <c r="AJ346" s="1" t="str" cm="1">
        <f t="array" ref="AJ346">IFERROR(_xlfn.IFS(AR346="","Sem Produto",AND(AR346/(AB346/12)&gt;0,AR346/(AB346/12)&lt;=2),"Acabando",AND(AR346/(AB346/12)&gt;2,AR346/(AB346/12)&lt;=3),"Fazer Pedido",AND(AR346/(AB346/12)&gt;3,AR346/(AB346/12)&lt;=7),"OK",AND(AR346/(AB346/12)&gt;7,AR346/(AB346/12)&lt;=14),"Abaixar Preço",AND(AR346/(AB346/12)&gt;14,AR346/(AB346/12)&lt;=20),"Estabilizando",AR346/(AB346/12)&gt;20,"Instavel"),"Instavel")</f>
        <v>Sem Produto</v>
      </c>
      <c r="AK346" s="1" t="str" cm="1">
        <f t="array" ref="AK346">IFERROR(_xlfn.IFS(AS346="","Sem Produto",AND(AS346/(AC346/12)&gt;0,AS346/(AC346/12)&lt;=2),"Acabando",AND(AS346/(AC346/12)&gt;2,AS346/(AC346/12)&lt;=3),"Fazer Pedido",AND(AS346/(AC346/12)&gt;3,AS346/(AC346/12)&lt;=7),"OK",AND(AS346/(AC346/12)&gt;7,AS346/(AC346/12)&lt;=14),"Abaixar Preço",AND(AS346/(AC346/12)&gt;14,AS346/(AC346/12)&lt;=20),"Estabilizando",AS346/(AC346/12)&gt;20,"Instavel"),"Instavel")</f>
        <v>Sem Produto</v>
      </c>
      <c r="AL346" s="1" t="str" cm="1">
        <f t="array" ref="AL346">IFERROR(_xlfn.IFS(AT346="","Sem Produto",AND(AT346/(AD346/12)&gt;0,AT346/(AD346/12)&lt;=2),"Acabando",AND(AT346/(AD346/12)&gt;2,AT346/(AD346/12)&lt;=3),"Fazer Pedido",AND(AT346/(AD346/12)&gt;3,AT346/(AD346/12)&lt;=7),"OK",AND(AT346/(AD346/12)&gt;7,AT346/(AD346/12)&lt;=14),"Abaixar Preço",AND(AT346/(AD346/12)&gt;14,AT346/(AD346/12)&lt;=20),"Estabilizando",AT346/(AD346/12)&gt;20,"Instavel"),"Instavel")</f>
        <v>Sem Produto</v>
      </c>
      <c r="AM346" s="1" t="str" cm="1">
        <f t="array" ref="AM346">IFERROR(_xlfn.IFS(AU346="","Sem Produto",AND(AU346/(AE346/12)&gt;0,AU346/(AE346/12)&lt;=2),"Acabando",AND(AU346/(AE346/12)&gt;2,AU346/(AE346/12)&lt;=3),"Fazer Pedido",AND(AU346/(AE346/12)&gt;3,AU346/(AE346/12)&lt;=7),"OK",AND(AU346/(AE346/12)&gt;7,AU346/(AE346/12)&lt;=14),"Abaixar Preço",AND(AU346/(AE346/12)&gt;14,AU346/(AE346/12)&lt;=20),"Estabilizando",AU346/(AE346/12)&gt;20,"Instavel"),"Instavel")</f>
        <v>Sem Produto</v>
      </c>
      <c r="AN346" s="1" t="str">
        <f>IF(SUMIF(vendaAno[data],SituaçãoEstoqueFluxo[[#This Row],[data]],vendaAno[estoque])=0,"Algo errado",IF(AND(AX346/AW346&gt;0,AX346/AW346&lt;=1),"Alerta",IF(AND(AX346/AW346&gt;1,AX346/AW346&lt;=1.5),"Fazer pedido",IF(AND(AX346/AW346&gt;1.5,AX346/AW346&lt;=2),"Ok",IF(AND(AX346/AW346&gt;2,AX346/AW346&lt;=2.5),"Estabilizando",IF(AND(AX346/AW346&gt;2.5,AX346/AW346&lt;=3),"Cheio","Abaixar preço"))))))</f>
        <v>Algo errado</v>
      </c>
      <c r="AO34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6" s="116">
        <f t="shared" si="18"/>
        <v>45888</v>
      </c>
      <c r="AQ34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6" s="82" cm="1">
        <f t="array" aca="1" ref="AV34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6" s="82" cm="1">
        <f t="array" aca="1" ref="AW34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6" s="82">
        <f>SUM(FluxoEstoqueDateTime[[#This Row],[OVO BRANCO A]:[OVO BRANCO JUMBO]])</f>
        <v>0</v>
      </c>
    </row>
    <row r="347" spans="1:50" x14ac:dyDescent="0.25">
      <c r="A347" s="4" t="s">
        <v>20</v>
      </c>
      <c r="B347" s="55" t="s">
        <v>10</v>
      </c>
      <c r="C347" s="5">
        <v>16</v>
      </c>
      <c r="D347" s="56">
        <v>21</v>
      </c>
      <c r="E347" s="56">
        <v>312</v>
      </c>
      <c r="F347" s="157">
        <v>46157</v>
      </c>
      <c r="G347" s="4" t="s">
        <v>83</v>
      </c>
      <c r="H347" s="4" t="s">
        <v>147</v>
      </c>
      <c r="I347" s="153">
        <v>55.46</v>
      </c>
      <c r="J347" s="12">
        <v>0.17776774527474823</v>
      </c>
      <c r="Z347" s="116">
        <f t="shared" si="16"/>
        <v>45887</v>
      </c>
      <c r="AA34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7" s="116">
        <f t="shared" si="17"/>
        <v>45887</v>
      </c>
      <c r="AI347" s="1" t="str" cm="1">
        <f t="array" ref="AI347">IFERROR(_xlfn.IFS(AQ347="","Sem Produto",AND(AQ347/(AA347/12)&gt;0,AQ347/(AA347/12)&lt;=2),"Acabando",AND(AQ347/(AA347/12)&gt;2,AQ347/(AA347/12)&lt;=3),"Fazer Pedido",AND(AQ347/(AA347/12)&gt;3,AQ347/(AA347/12)&lt;=7),"OK",AND(AQ347/(AA347/12)&gt;7,AQ347/(AA347/12)&lt;=14),"Abaixar Preço",AND(AQ347/(AA347/12)&gt;14,AQ347/(AA347/12)&lt;=20),"Estabilizando",AQ347/(AA347/12)&gt;20,"Instavel"),"Instavel")</f>
        <v>Sem Produto</v>
      </c>
      <c r="AJ347" s="1" t="str" cm="1">
        <f t="array" ref="AJ347">IFERROR(_xlfn.IFS(AR347="","Sem Produto",AND(AR347/(AB347/12)&gt;0,AR347/(AB347/12)&lt;=2),"Acabando",AND(AR347/(AB347/12)&gt;2,AR347/(AB347/12)&lt;=3),"Fazer Pedido",AND(AR347/(AB347/12)&gt;3,AR347/(AB347/12)&lt;=7),"OK",AND(AR347/(AB347/12)&gt;7,AR347/(AB347/12)&lt;=14),"Abaixar Preço",AND(AR347/(AB347/12)&gt;14,AR347/(AB347/12)&lt;=20),"Estabilizando",AR347/(AB347/12)&gt;20,"Instavel"),"Instavel")</f>
        <v>Sem Produto</v>
      </c>
      <c r="AK347" s="1" t="str" cm="1">
        <f t="array" ref="AK347">IFERROR(_xlfn.IFS(AS347="","Sem Produto",AND(AS347/(AC347/12)&gt;0,AS347/(AC347/12)&lt;=2),"Acabando",AND(AS347/(AC347/12)&gt;2,AS347/(AC347/12)&lt;=3),"Fazer Pedido",AND(AS347/(AC347/12)&gt;3,AS347/(AC347/12)&lt;=7),"OK",AND(AS347/(AC347/12)&gt;7,AS347/(AC347/12)&lt;=14),"Abaixar Preço",AND(AS347/(AC347/12)&gt;14,AS347/(AC347/12)&lt;=20),"Estabilizando",AS347/(AC347/12)&gt;20,"Instavel"),"Instavel")</f>
        <v>Sem Produto</v>
      </c>
      <c r="AL347" s="1" t="str" cm="1">
        <f t="array" ref="AL347">IFERROR(_xlfn.IFS(AT347="","Sem Produto",AND(AT347/(AD347/12)&gt;0,AT347/(AD347/12)&lt;=2),"Acabando",AND(AT347/(AD347/12)&gt;2,AT347/(AD347/12)&lt;=3),"Fazer Pedido",AND(AT347/(AD347/12)&gt;3,AT347/(AD347/12)&lt;=7),"OK",AND(AT347/(AD347/12)&gt;7,AT347/(AD347/12)&lt;=14),"Abaixar Preço",AND(AT347/(AD347/12)&gt;14,AT347/(AD347/12)&lt;=20),"Estabilizando",AT347/(AD347/12)&gt;20,"Instavel"),"Instavel")</f>
        <v>Sem Produto</v>
      </c>
      <c r="AM347" s="1" t="str" cm="1">
        <f t="array" ref="AM347">IFERROR(_xlfn.IFS(AU347="","Sem Produto",AND(AU347/(AE347/12)&gt;0,AU347/(AE347/12)&lt;=2),"Acabando",AND(AU347/(AE347/12)&gt;2,AU347/(AE347/12)&lt;=3),"Fazer Pedido",AND(AU347/(AE347/12)&gt;3,AU347/(AE347/12)&lt;=7),"OK",AND(AU347/(AE347/12)&gt;7,AU347/(AE347/12)&lt;=14),"Abaixar Preço",AND(AU347/(AE347/12)&gt;14,AU347/(AE347/12)&lt;=20),"Estabilizando",AU347/(AE347/12)&gt;20,"Instavel"),"Instavel")</f>
        <v>Sem Produto</v>
      </c>
      <c r="AN347" s="1" t="str">
        <f>IF(SUMIF(vendaAno[data],SituaçãoEstoqueFluxo[[#This Row],[data]],vendaAno[estoque])=0,"Algo errado",IF(AND(AX347/AW347&gt;0,AX347/AW347&lt;=1),"Alerta",IF(AND(AX347/AW347&gt;1,AX347/AW347&lt;=1.5),"Fazer pedido",IF(AND(AX347/AW347&gt;1.5,AX347/AW347&lt;=2),"Ok",IF(AND(AX347/AW347&gt;2,AX347/AW347&lt;=2.5),"Estabilizando",IF(AND(AX347/AW347&gt;2.5,AX347/AW347&lt;=3),"Cheio","Abaixar preço"))))))</f>
        <v>Algo errado</v>
      </c>
      <c r="AO34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7" s="116">
        <f t="shared" si="18"/>
        <v>45887</v>
      </c>
      <c r="AQ34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7" s="82" cm="1">
        <f t="array" aca="1" ref="AV34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7" s="82" cm="1">
        <f t="array" aca="1" ref="AW34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7" s="82">
        <f>SUM(FluxoEstoqueDateTime[[#This Row],[OVO BRANCO A]:[OVO BRANCO JUMBO]])</f>
        <v>0</v>
      </c>
    </row>
    <row r="348" spans="1:50" x14ac:dyDescent="0.25">
      <c r="A348" s="4" t="s">
        <v>20</v>
      </c>
      <c r="B348" s="55" t="s">
        <v>14</v>
      </c>
      <c r="C348" s="5">
        <v>1</v>
      </c>
      <c r="D348" s="56">
        <v>24</v>
      </c>
      <c r="E348" s="56">
        <v>24</v>
      </c>
      <c r="F348" s="157">
        <v>46157</v>
      </c>
      <c r="G348" s="4" t="s">
        <v>83</v>
      </c>
      <c r="H348" s="4" t="s">
        <v>147</v>
      </c>
      <c r="I348" s="153">
        <v>6.72</v>
      </c>
      <c r="J348" s="12">
        <v>0.28013392857142855</v>
      </c>
      <c r="Z348" s="116">
        <f t="shared" si="16"/>
        <v>45886</v>
      </c>
      <c r="AA34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8" s="116">
        <f t="shared" si="17"/>
        <v>45886</v>
      </c>
      <c r="AI348" s="1" t="str" cm="1">
        <f t="array" ref="AI348">IFERROR(_xlfn.IFS(AQ348="","Sem Produto",AND(AQ348/(AA348/12)&gt;0,AQ348/(AA348/12)&lt;=2),"Acabando",AND(AQ348/(AA348/12)&gt;2,AQ348/(AA348/12)&lt;=3),"Fazer Pedido",AND(AQ348/(AA348/12)&gt;3,AQ348/(AA348/12)&lt;=7),"OK",AND(AQ348/(AA348/12)&gt;7,AQ348/(AA348/12)&lt;=14),"Abaixar Preço",AND(AQ348/(AA348/12)&gt;14,AQ348/(AA348/12)&lt;=20),"Estabilizando",AQ348/(AA348/12)&gt;20,"Instavel"),"Instavel")</f>
        <v>Sem Produto</v>
      </c>
      <c r="AJ348" s="1" t="str" cm="1">
        <f t="array" ref="AJ348">IFERROR(_xlfn.IFS(AR348="","Sem Produto",AND(AR348/(AB348/12)&gt;0,AR348/(AB348/12)&lt;=2),"Acabando",AND(AR348/(AB348/12)&gt;2,AR348/(AB348/12)&lt;=3),"Fazer Pedido",AND(AR348/(AB348/12)&gt;3,AR348/(AB348/12)&lt;=7),"OK",AND(AR348/(AB348/12)&gt;7,AR348/(AB348/12)&lt;=14),"Abaixar Preço",AND(AR348/(AB348/12)&gt;14,AR348/(AB348/12)&lt;=20),"Estabilizando",AR348/(AB348/12)&gt;20,"Instavel"),"Instavel")</f>
        <v>Sem Produto</v>
      </c>
      <c r="AK348" s="1" t="str" cm="1">
        <f t="array" ref="AK348">IFERROR(_xlfn.IFS(AS348="","Sem Produto",AND(AS348/(AC348/12)&gt;0,AS348/(AC348/12)&lt;=2),"Acabando",AND(AS348/(AC348/12)&gt;2,AS348/(AC348/12)&lt;=3),"Fazer Pedido",AND(AS348/(AC348/12)&gt;3,AS348/(AC348/12)&lt;=7),"OK",AND(AS348/(AC348/12)&gt;7,AS348/(AC348/12)&lt;=14),"Abaixar Preço",AND(AS348/(AC348/12)&gt;14,AS348/(AC348/12)&lt;=20),"Estabilizando",AS348/(AC348/12)&gt;20,"Instavel"),"Instavel")</f>
        <v>Sem Produto</v>
      </c>
      <c r="AL348" s="1" t="str" cm="1">
        <f t="array" ref="AL348">IFERROR(_xlfn.IFS(AT348="","Sem Produto",AND(AT348/(AD348/12)&gt;0,AT348/(AD348/12)&lt;=2),"Acabando",AND(AT348/(AD348/12)&gt;2,AT348/(AD348/12)&lt;=3),"Fazer Pedido",AND(AT348/(AD348/12)&gt;3,AT348/(AD348/12)&lt;=7),"OK",AND(AT348/(AD348/12)&gt;7,AT348/(AD348/12)&lt;=14),"Abaixar Preço",AND(AT348/(AD348/12)&gt;14,AT348/(AD348/12)&lt;=20),"Estabilizando",AT348/(AD348/12)&gt;20,"Instavel"),"Instavel")</f>
        <v>Sem Produto</v>
      </c>
      <c r="AM348" s="1" t="str" cm="1">
        <f t="array" ref="AM348">IFERROR(_xlfn.IFS(AU348="","Sem Produto",AND(AU348/(AE348/12)&gt;0,AU348/(AE348/12)&lt;=2),"Acabando",AND(AU348/(AE348/12)&gt;2,AU348/(AE348/12)&lt;=3),"Fazer Pedido",AND(AU348/(AE348/12)&gt;3,AU348/(AE348/12)&lt;=7),"OK",AND(AU348/(AE348/12)&gt;7,AU348/(AE348/12)&lt;=14),"Abaixar Preço",AND(AU348/(AE348/12)&gt;14,AU348/(AE348/12)&lt;=20),"Estabilizando",AU348/(AE348/12)&gt;20,"Instavel"),"Instavel")</f>
        <v>Sem Produto</v>
      </c>
      <c r="AN348" s="1" t="str">
        <f>IF(SUMIF(vendaAno[data],SituaçãoEstoqueFluxo[[#This Row],[data]],vendaAno[estoque])=0,"Algo errado",IF(AND(AX348/AW348&gt;0,AX348/AW348&lt;=1),"Alerta",IF(AND(AX348/AW348&gt;1,AX348/AW348&lt;=1.5),"Fazer pedido",IF(AND(AX348/AW348&gt;1.5,AX348/AW348&lt;=2),"Ok",IF(AND(AX348/AW348&gt;2,AX348/AW348&lt;=2.5),"Estabilizando",IF(AND(AX348/AW348&gt;2.5,AX348/AW348&lt;=3),"Cheio","Abaixar preço"))))))</f>
        <v>Algo errado</v>
      </c>
      <c r="AO34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8" s="116">
        <f t="shared" si="18"/>
        <v>45886</v>
      </c>
      <c r="AQ34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8" s="82" cm="1">
        <f t="array" aca="1" ref="AV34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8" s="82" cm="1">
        <f t="array" aca="1" ref="AW34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8" s="82">
        <f>SUM(FluxoEstoqueDateTime[[#This Row],[OVO BRANCO A]:[OVO BRANCO JUMBO]])</f>
        <v>0</v>
      </c>
    </row>
    <row r="349" spans="1:50" x14ac:dyDescent="0.25">
      <c r="A349" s="4" t="s">
        <v>20</v>
      </c>
      <c r="B349" s="55" t="s">
        <v>13</v>
      </c>
      <c r="C349" s="5">
        <v>15</v>
      </c>
      <c r="D349" s="56">
        <v>22</v>
      </c>
      <c r="E349" s="56">
        <v>318</v>
      </c>
      <c r="F349" s="157">
        <v>46157</v>
      </c>
      <c r="G349" s="4" t="s">
        <v>83</v>
      </c>
      <c r="H349" s="4" t="s">
        <v>147</v>
      </c>
      <c r="I349" s="153">
        <v>71.010000000000005</v>
      </c>
      <c r="J349" s="12">
        <v>0.22329955741905422</v>
      </c>
      <c r="Z349" s="116">
        <f t="shared" si="16"/>
        <v>45885</v>
      </c>
      <c r="AA34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4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4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4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4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4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4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49" s="116">
        <f t="shared" si="17"/>
        <v>45885</v>
      </c>
      <c r="AI349" s="1" t="str" cm="1">
        <f t="array" ref="AI349">IFERROR(_xlfn.IFS(AQ349="","Sem Produto",AND(AQ349/(AA349/12)&gt;0,AQ349/(AA349/12)&lt;=2),"Acabando",AND(AQ349/(AA349/12)&gt;2,AQ349/(AA349/12)&lt;=3),"Fazer Pedido",AND(AQ349/(AA349/12)&gt;3,AQ349/(AA349/12)&lt;=7),"OK",AND(AQ349/(AA349/12)&gt;7,AQ349/(AA349/12)&lt;=14),"Abaixar Preço",AND(AQ349/(AA349/12)&gt;14,AQ349/(AA349/12)&lt;=20),"Estabilizando",AQ349/(AA349/12)&gt;20,"Instavel"),"Instavel")</f>
        <v>Sem Produto</v>
      </c>
      <c r="AJ349" s="1" t="str" cm="1">
        <f t="array" ref="AJ349">IFERROR(_xlfn.IFS(AR349="","Sem Produto",AND(AR349/(AB349/12)&gt;0,AR349/(AB349/12)&lt;=2),"Acabando",AND(AR349/(AB349/12)&gt;2,AR349/(AB349/12)&lt;=3),"Fazer Pedido",AND(AR349/(AB349/12)&gt;3,AR349/(AB349/12)&lt;=7),"OK",AND(AR349/(AB349/12)&gt;7,AR349/(AB349/12)&lt;=14),"Abaixar Preço",AND(AR349/(AB349/12)&gt;14,AR349/(AB349/12)&lt;=20),"Estabilizando",AR349/(AB349/12)&gt;20,"Instavel"),"Instavel")</f>
        <v>Sem Produto</v>
      </c>
      <c r="AK349" s="1" t="str" cm="1">
        <f t="array" ref="AK349">IFERROR(_xlfn.IFS(AS349="","Sem Produto",AND(AS349/(AC349/12)&gt;0,AS349/(AC349/12)&lt;=2),"Acabando",AND(AS349/(AC349/12)&gt;2,AS349/(AC349/12)&lt;=3),"Fazer Pedido",AND(AS349/(AC349/12)&gt;3,AS349/(AC349/12)&lt;=7),"OK",AND(AS349/(AC349/12)&gt;7,AS349/(AC349/12)&lt;=14),"Abaixar Preço",AND(AS349/(AC349/12)&gt;14,AS349/(AC349/12)&lt;=20),"Estabilizando",AS349/(AC349/12)&gt;20,"Instavel"),"Instavel")</f>
        <v>Sem Produto</v>
      </c>
      <c r="AL349" s="1" t="str" cm="1">
        <f t="array" ref="AL349">IFERROR(_xlfn.IFS(AT349="","Sem Produto",AND(AT349/(AD349/12)&gt;0,AT349/(AD349/12)&lt;=2),"Acabando",AND(AT349/(AD349/12)&gt;2,AT349/(AD349/12)&lt;=3),"Fazer Pedido",AND(AT349/(AD349/12)&gt;3,AT349/(AD349/12)&lt;=7),"OK",AND(AT349/(AD349/12)&gt;7,AT349/(AD349/12)&lt;=14),"Abaixar Preço",AND(AT349/(AD349/12)&gt;14,AT349/(AD349/12)&lt;=20),"Estabilizando",AT349/(AD349/12)&gt;20,"Instavel"),"Instavel")</f>
        <v>Sem Produto</v>
      </c>
      <c r="AM349" s="1" t="str" cm="1">
        <f t="array" ref="AM349">IFERROR(_xlfn.IFS(AU349="","Sem Produto",AND(AU349/(AE349/12)&gt;0,AU349/(AE349/12)&lt;=2),"Acabando",AND(AU349/(AE349/12)&gt;2,AU349/(AE349/12)&lt;=3),"Fazer Pedido",AND(AU349/(AE349/12)&gt;3,AU349/(AE349/12)&lt;=7),"OK",AND(AU349/(AE349/12)&gt;7,AU349/(AE349/12)&lt;=14),"Abaixar Preço",AND(AU349/(AE349/12)&gt;14,AU349/(AE349/12)&lt;=20),"Estabilizando",AU349/(AE349/12)&gt;20,"Instavel"),"Instavel")</f>
        <v>Sem Produto</v>
      </c>
      <c r="AN349" s="1" t="str">
        <f>IF(SUMIF(vendaAno[data],SituaçãoEstoqueFluxo[[#This Row],[data]],vendaAno[estoque])=0,"Algo errado",IF(AND(AX349/AW349&gt;0,AX349/AW349&lt;=1),"Alerta",IF(AND(AX349/AW349&gt;1,AX349/AW349&lt;=1.5),"Fazer pedido",IF(AND(AX349/AW349&gt;1.5,AX349/AW349&lt;=2),"Ok",IF(AND(AX349/AW349&gt;2,AX349/AW349&lt;=2.5),"Estabilizando",IF(AND(AX349/AW349&gt;2.5,AX349/AW349&lt;=3),"Cheio","Abaixar preço"))))))</f>
        <v>Algo errado</v>
      </c>
      <c r="AO34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49" s="116">
        <f t="shared" si="18"/>
        <v>45885</v>
      </c>
      <c r="AQ34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4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4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4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4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49" s="82" cm="1">
        <f t="array" aca="1" ref="AV34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49" s="82" cm="1">
        <f t="array" aca="1" ref="AW34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49" s="82">
        <f>SUM(FluxoEstoqueDateTime[[#This Row],[OVO BRANCO A]:[OVO BRANCO JUMBO]])</f>
        <v>0</v>
      </c>
    </row>
    <row r="350" spans="1:50" x14ac:dyDescent="0.25">
      <c r="A350" s="4" t="s">
        <v>20</v>
      </c>
      <c r="B350" s="55" t="s">
        <v>11</v>
      </c>
      <c r="C350" s="5">
        <v>8</v>
      </c>
      <c r="D350" s="56">
        <v>20</v>
      </c>
      <c r="E350" s="56">
        <v>160</v>
      </c>
      <c r="F350" s="157">
        <v>46157</v>
      </c>
      <c r="G350" s="4" t="s">
        <v>83</v>
      </c>
      <c r="H350" s="4" t="s">
        <v>147</v>
      </c>
      <c r="I350" s="153">
        <v>40</v>
      </c>
      <c r="J350" s="12">
        <v>0.25</v>
      </c>
      <c r="Z350" s="116">
        <f t="shared" si="16"/>
        <v>45884</v>
      </c>
      <c r="AA35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0" s="116">
        <f t="shared" si="17"/>
        <v>45884</v>
      </c>
      <c r="AI350" s="1" t="str" cm="1">
        <f t="array" ref="AI350">IFERROR(_xlfn.IFS(AQ350="","Sem Produto",AND(AQ350/(AA350/12)&gt;0,AQ350/(AA350/12)&lt;=2),"Acabando",AND(AQ350/(AA350/12)&gt;2,AQ350/(AA350/12)&lt;=3),"Fazer Pedido",AND(AQ350/(AA350/12)&gt;3,AQ350/(AA350/12)&lt;=7),"OK",AND(AQ350/(AA350/12)&gt;7,AQ350/(AA350/12)&lt;=14),"Abaixar Preço",AND(AQ350/(AA350/12)&gt;14,AQ350/(AA350/12)&lt;=20),"Estabilizando",AQ350/(AA350/12)&gt;20,"Instavel"),"Instavel")</f>
        <v>Sem Produto</v>
      </c>
      <c r="AJ350" s="1" t="str" cm="1">
        <f t="array" ref="AJ350">IFERROR(_xlfn.IFS(AR350="","Sem Produto",AND(AR350/(AB350/12)&gt;0,AR350/(AB350/12)&lt;=2),"Acabando",AND(AR350/(AB350/12)&gt;2,AR350/(AB350/12)&lt;=3),"Fazer Pedido",AND(AR350/(AB350/12)&gt;3,AR350/(AB350/12)&lt;=7),"OK",AND(AR350/(AB350/12)&gt;7,AR350/(AB350/12)&lt;=14),"Abaixar Preço",AND(AR350/(AB350/12)&gt;14,AR350/(AB350/12)&lt;=20),"Estabilizando",AR350/(AB350/12)&gt;20,"Instavel"),"Instavel")</f>
        <v>Sem Produto</v>
      </c>
      <c r="AK350" s="1" t="str" cm="1">
        <f t="array" ref="AK350">IFERROR(_xlfn.IFS(AS350="","Sem Produto",AND(AS350/(AC350/12)&gt;0,AS350/(AC350/12)&lt;=2),"Acabando",AND(AS350/(AC350/12)&gt;2,AS350/(AC350/12)&lt;=3),"Fazer Pedido",AND(AS350/(AC350/12)&gt;3,AS350/(AC350/12)&lt;=7),"OK",AND(AS350/(AC350/12)&gt;7,AS350/(AC350/12)&lt;=14),"Abaixar Preço",AND(AS350/(AC350/12)&gt;14,AS350/(AC350/12)&lt;=20),"Estabilizando",AS350/(AC350/12)&gt;20,"Instavel"),"Instavel")</f>
        <v>Sem Produto</v>
      </c>
      <c r="AL350" s="1" t="str" cm="1">
        <f t="array" ref="AL350">IFERROR(_xlfn.IFS(AT350="","Sem Produto",AND(AT350/(AD350/12)&gt;0,AT350/(AD350/12)&lt;=2),"Acabando",AND(AT350/(AD350/12)&gt;2,AT350/(AD350/12)&lt;=3),"Fazer Pedido",AND(AT350/(AD350/12)&gt;3,AT350/(AD350/12)&lt;=7),"OK",AND(AT350/(AD350/12)&gt;7,AT350/(AD350/12)&lt;=14),"Abaixar Preço",AND(AT350/(AD350/12)&gt;14,AT350/(AD350/12)&lt;=20),"Estabilizando",AT350/(AD350/12)&gt;20,"Instavel"),"Instavel")</f>
        <v>Sem Produto</v>
      </c>
      <c r="AM350" s="1" t="str" cm="1">
        <f t="array" ref="AM350">IFERROR(_xlfn.IFS(AU350="","Sem Produto",AND(AU350/(AE350/12)&gt;0,AU350/(AE350/12)&lt;=2),"Acabando",AND(AU350/(AE350/12)&gt;2,AU350/(AE350/12)&lt;=3),"Fazer Pedido",AND(AU350/(AE350/12)&gt;3,AU350/(AE350/12)&lt;=7),"OK",AND(AU350/(AE350/12)&gt;7,AU350/(AE350/12)&lt;=14),"Abaixar Preço",AND(AU350/(AE350/12)&gt;14,AU350/(AE350/12)&lt;=20),"Estabilizando",AU350/(AE350/12)&gt;20,"Instavel"),"Instavel")</f>
        <v>Sem Produto</v>
      </c>
      <c r="AN350" s="1" t="str">
        <f>IF(SUMIF(vendaAno[data],SituaçãoEstoqueFluxo[[#This Row],[data]],vendaAno[estoque])=0,"Algo errado",IF(AND(AX350/AW350&gt;0,AX350/AW350&lt;=1),"Alerta",IF(AND(AX350/AW350&gt;1,AX350/AW350&lt;=1.5),"Fazer pedido",IF(AND(AX350/AW350&gt;1.5,AX350/AW350&lt;=2),"Ok",IF(AND(AX350/AW350&gt;2,AX350/AW350&lt;=2.5),"Estabilizando",IF(AND(AX350/AW350&gt;2.5,AX350/AW350&lt;=3),"Cheio","Abaixar preço"))))))</f>
        <v>Algo errado</v>
      </c>
      <c r="AO35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0" s="116">
        <f t="shared" si="18"/>
        <v>45884</v>
      </c>
      <c r="AQ35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0" s="82" cm="1">
        <f t="array" aca="1" ref="AV35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0" s="82" cm="1">
        <f t="array" aca="1" ref="AW35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0" s="82">
        <f>SUM(FluxoEstoqueDateTime[[#This Row],[OVO BRANCO A]:[OVO BRANCO JUMBO]])</f>
        <v>0</v>
      </c>
    </row>
    <row r="351" spans="1:50" x14ac:dyDescent="0.25">
      <c r="A351" s="4" t="s">
        <v>20</v>
      </c>
      <c r="B351" s="55" t="s">
        <v>14</v>
      </c>
      <c r="C351" s="5">
        <v>10</v>
      </c>
      <c r="D351" s="56">
        <v>24</v>
      </c>
      <c r="E351" s="56">
        <v>240</v>
      </c>
      <c r="F351" s="157">
        <v>46156</v>
      </c>
      <c r="G351" s="4" t="s">
        <v>294</v>
      </c>
      <c r="H351" s="4" t="s">
        <v>147</v>
      </c>
      <c r="I351" s="153">
        <v>67.23</v>
      </c>
      <c r="J351" s="12">
        <v>0.28013392857142855</v>
      </c>
      <c r="Z351" s="116">
        <f t="shared" si="16"/>
        <v>45883</v>
      </c>
      <c r="AA35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1" s="116">
        <f t="shared" si="17"/>
        <v>45883</v>
      </c>
      <c r="AI351" s="1" t="str" cm="1">
        <f t="array" ref="AI351">IFERROR(_xlfn.IFS(AQ351="","Sem Produto",AND(AQ351/(AA351/12)&gt;0,AQ351/(AA351/12)&lt;=2),"Acabando",AND(AQ351/(AA351/12)&gt;2,AQ351/(AA351/12)&lt;=3),"Fazer Pedido",AND(AQ351/(AA351/12)&gt;3,AQ351/(AA351/12)&lt;=7),"OK",AND(AQ351/(AA351/12)&gt;7,AQ351/(AA351/12)&lt;=14),"Abaixar Preço",AND(AQ351/(AA351/12)&gt;14,AQ351/(AA351/12)&lt;=20),"Estabilizando",AQ351/(AA351/12)&gt;20,"Instavel"),"Instavel")</f>
        <v>Sem Produto</v>
      </c>
      <c r="AJ351" s="1" t="str" cm="1">
        <f t="array" ref="AJ351">IFERROR(_xlfn.IFS(AR351="","Sem Produto",AND(AR351/(AB351/12)&gt;0,AR351/(AB351/12)&lt;=2),"Acabando",AND(AR351/(AB351/12)&gt;2,AR351/(AB351/12)&lt;=3),"Fazer Pedido",AND(AR351/(AB351/12)&gt;3,AR351/(AB351/12)&lt;=7),"OK",AND(AR351/(AB351/12)&gt;7,AR351/(AB351/12)&lt;=14),"Abaixar Preço",AND(AR351/(AB351/12)&gt;14,AR351/(AB351/12)&lt;=20),"Estabilizando",AR351/(AB351/12)&gt;20,"Instavel"),"Instavel")</f>
        <v>Sem Produto</v>
      </c>
      <c r="AK351" s="1" t="str" cm="1">
        <f t="array" ref="AK351">IFERROR(_xlfn.IFS(AS351="","Sem Produto",AND(AS351/(AC351/12)&gt;0,AS351/(AC351/12)&lt;=2),"Acabando",AND(AS351/(AC351/12)&gt;2,AS351/(AC351/12)&lt;=3),"Fazer Pedido",AND(AS351/(AC351/12)&gt;3,AS351/(AC351/12)&lt;=7),"OK",AND(AS351/(AC351/12)&gt;7,AS351/(AC351/12)&lt;=14),"Abaixar Preço",AND(AS351/(AC351/12)&gt;14,AS351/(AC351/12)&lt;=20),"Estabilizando",AS351/(AC351/12)&gt;20,"Instavel"),"Instavel")</f>
        <v>Sem Produto</v>
      </c>
      <c r="AL351" s="1" t="str" cm="1">
        <f t="array" ref="AL351">IFERROR(_xlfn.IFS(AT351="","Sem Produto",AND(AT351/(AD351/12)&gt;0,AT351/(AD351/12)&lt;=2),"Acabando",AND(AT351/(AD351/12)&gt;2,AT351/(AD351/12)&lt;=3),"Fazer Pedido",AND(AT351/(AD351/12)&gt;3,AT351/(AD351/12)&lt;=7),"OK",AND(AT351/(AD351/12)&gt;7,AT351/(AD351/12)&lt;=14),"Abaixar Preço",AND(AT351/(AD351/12)&gt;14,AT351/(AD351/12)&lt;=20),"Estabilizando",AT351/(AD351/12)&gt;20,"Instavel"),"Instavel")</f>
        <v>Sem Produto</v>
      </c>
      <c r="AM351" s="1" t="str" cm="1">
        <f t="array" ref="AM351">IFERROR(_xlfn.IFS(AU351="","Sem Produto",AND(AU351/(AE351/12)&gt;0,AU351/(AE351/12)&lt;=2),"Acabando",AND(AU351/(AE351/12)&gt;2,AU351/(AE351/12)&lt;=3),"Fazer Pedido",AND(AU351/(AE351/12)&gt;3,AU351/(AE351/12)&lt;=7),"OK",AND(AU351/(AE351/12)&gt;7,AU351/(AE351/12)&lt;=14),"Abaixar Preço",AND(AU351/(AE351/12)&gt;14,AU351/(AE351/12)&lt;=20),"Estabilizando",AU351/(AE351/12)&gt;20,"Instavel"),"Instavel")</f>
        <v>Sem Produto</v>
      </c>
      <c r="AN351" s="1" t="str">
        <f>IF(SUMIF(vendaAno[data],SituaçãoEstoqueFluxo[[#This Row],[data]],vendaAno[estoque])=0,"Algo errado",IF(AND(AX351/AW351&gt;0,AX351/AW351&lt;=1),"Alerta",IF(AND(AX351/AW351&gt;1,AX351/AW351&lt;=1.5),"Fazer pedido",IF(AND(AX351/AW351&gt;1.5,AX351/AW351&lt;=2),"Ok",IF(AND(AX351/AW351&gt;2,AX351/AW351&lt;=2.5),"Estabilizando",IF(AND(AX351/AW351&gt;2.5,AX351/AW351&lt;=3),"Cheio","Abaixar preço"))))))</f>
        <v>Algo errado</v>
      </c>
      <c r="AO35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1" s="116">
        <f t="shared" si="18"/>
        <v>45883</v>
      </c>
      <c r="AQ35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1" s="82" cm="1">
        <f t="array" aca="1" ref="AV35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1" s="82" cm="1">
        <f t="array" aca="1" ref="AW35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1" s="82">
        <f>SUM(FluxoEstoqueDateTime[[#This Row],[OVO BRANCO A]:[OVO BRANCO JUMBO]])</f>
        <v>0</v>
      </c>
    </row>
    <row r="352" spans="1:50" x14ac:dyDescent="0.25">
      <c r="A352" s="4" t="s">
        <v>20</v>
      </c>
      <c r="B352" s="55" t="s">
        <v>13</v>
      </c>
      <c r="C352" s="5">
        <v>5</v>
      </c>
      <c r="D352" s="56">
        <v>22</v>
      </c>
      <c r="E352" s="56">
        <v>110</v>
      </c>
      <c r="F352" s="157">
        <v>46156</v>
      </c>
      <c r="G352" s="4" t="s">
        <v>294</v>
      </c>
      <c r="H352" s="4" t="s">
        <v>147</v>
      </c>
      <c r="I352" s="153">
        <v>27.67</v>
      </c>
      <c r="J352" s="12">
        <v>0.25154320987654316</v>
      </c>
      <c r="Z352" s="116">
        <f t="shared" si="16"/>
        <v>45882</v>
      </c>
      <c r="AA35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2" s="116">
        <f t="shared" si="17"/>
        <v>45882</v>
      </c>
      <c r="AI352" s="1" t="str" cm="1">
        <f t="array" ref="AI352">IFERROR(_xlfn.IFS(AQ352="","Sem Produto",AND(AQ352/(AA352/12)&gt;0,AQ352/(AA352/12)&lt;=2),"Acabando",AND(AQ352/(AA352/12)&gt;2,AQ352/(AA352/12)&lt;=3),"Fazer Pedido",AND(AQ352/(AA352/12)&gt;3,AQ352/(AA352/12)&lt;=7),"OK",AND(AQ352/(AA352/12)&gt;7,AQ352/(AA352/12)&lt;=14),"Abaixar Preço",AND(AQ352/(AA352/12)&gt;14,AQ352/(AA352/12)&lt;=20),"Estabilizando",AQ352/(AA352/12)&gt;20,"Instavel"),"Instavel")</f>
        <v>Sem Produto</v>
      </c>
      <c r="AJ352" s="1" t="str" cm="1">
        <f t="array" ref="AJ352">IFERROR(_xlfn.IFS(AR352="","Sem Produto",AND(AR352/(AB352/12)&gt;0,AR352/(AB352/12)&lt;=2),"Acabando",AND(AR352/(AB352/12)&gt;2,AR352/(AB352/12)&lt;=3),"Fazer Pedido",AND(AR352/(AB352/12)&gt;3,AR352/(AB352/12)&lt;=7),"OK",AND(AR352/(AB352/12)&gt;7,AR352/(AB352/12)&lt;=14),"Abaixar Preço",AND(AR352/(AB352/12)&gt;14,AR352/(AB352/12)&lt;=20),"Estabilizando",AR352/(AB352/12)&gt;20,"Instavel"),"Instavel")</f>
        <v>Sem Produto</v>
      </c>
      <c r="AK352" s="1" t="str" cm="1">
        <f t="array" ref="AK352">IFERROR(_xlfn.IFS(AS352="","Sem Produto",AND(AS352/(AC352/12)&gt;0,AS352/(AC352/12)&lt;=2),"Acabando",AND(AS352/(AC352/12)&gt;2,AS352/(AC352/12)&lt;=3),"Fazer Pedido",AND(AS352/(AC352/12)&gt;3,AS352/(AC352/12)&lt;=7),"OK",AND(AS352/(AC352/12)&gt;7,AS352/(AC352/12)&lt;=14),"Abaixar Preço",AND(AS352/(AC352/12)&gt;14,AS352/(AC352/12)&lt;=20),"Estabilizando",AS352/(AC352/12)&gt;20,"Instavel"),"Instavel")</f>
        <v>Sem Produto</v>
      </c>
      <c r="AL352" s="1" t="str" cm="1">
        <f t="array" ref="AL352">IFERROR(_xlfn.IFS(AT352="","Sem Produto",AND(AT352/(AD352/12)&gt;0,AT352/(AD352/12)&lt;=2),"Acabando",AND(AT352/(AD352/12)&gt;2,AT352/(AD352/12)&lt;=3),"Fazer Pedido",AND(AT352/(AD352/12)&gt;3,AT352/(AD352/12)&lt;=7),"OK",AND(AT352/(AD352/12)&gt;7,AT352/(AD352/12)&lt;=14),"Abaixar Preço",AND(AT352/(AD352/12)&gt;14,AT352/(AD352/12)&lt;=20),"Estabilizando",AT352/(AD352/12)&gt;20,"Instavel"),"Instavel")</f>
        <v>Sem Produto</v>
      </c>
      <c r="AM352" s="1" t="str" cm="1">
        <f t="array" ref="AM352">IFERROR(_xlfn.IFS(AU352="","Sem Produto",AND(AU352/(AE352/12)&gt;0,AU352/(AE352/12)&lt;=2),"Acabando",AND(AU352/(AE352/12)&gt;2,AU352/(AE352/12)&lt;=3),"Fazer Pedido",AND(AU352/(AE352/12)&gt;3,AU352/(AE352/12)&lt;=7),"OK",AND(AU352/(AE352/12)&gt;7,AU352/(AE352/12)&lt;=14),"Abaixar Preço",AND(AU352/(AE352/12)&gt;14,AU352/(AE352/12)&lt;=20),"Estabilizando",AU352/(AE352/12)&gt;20,"Instavel"),"Instavel")</f>
        <v>Sem Produto</v>
      </c>
      <c r="AN352" s="1" t="str">
        <f>IF(SUMIF(vendaAno[data],SituaçãoEstoqueFluxo[[#This Row],[data]],vendaAno[estoque])=0,"Algo errado",IF(AND(AX352/AW352&gt;0,AX352/AW352&lt;=1),"Alerta",IF(AND(AX352/AW352&gt;1,AX352/AW352&lt;=1.5),"Fazer pedido",IF(AND(AX352/AW352&gt;1.5,AX352/AW352&lt;=2),"Ok",IF(AND(AX352/AW352&gt;2,AX352/AW352&lt;=2.5),"Estabilizando",IF(AND(AX352/AW352&gt;2.5,AX352/AW352&lt;=3),"Cheio","Abaixar preço"))))))</f>
        <v>Algo errado</v>
      </c>
      <c r="AO35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2" s="116">
        <f t="shared" si="18"/>
        <v>45882</v>
      </c>
      <c r="AQ35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2" s="82" cm="1">
        <f t="array" aca="1" ref="AV35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2" s="82" cm="1">
        <f t="array" aca="1" ref="AW35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2" s="82">
        <f>SUM(FluxoEstoqueDateTime[[#This Row],[OVO BRANCO A]:[OVO BRANCO JUMBO]])</f>
        <v>0</v>
      </c>
    </row>
    <row r="353" spans="1:50" x14ac:dyDescent="0.25">
      <c r="A353" s="4" t="s">
        <v>20</v>
      </c>
      <c r="B353" s="55" t="s">
        <v>10</v>
      </c>
      <c r="C353" s="5">
        <v>6</v>
      </c>
      <c r="D353" s="56">
        <v>21</v>
      </c>
      <c r="E353" s="56">
        <v>126</v>
      </c>
      <c r="F353" s="157">
        <v>46156</v>
      </c>
      <c r="G353" s="4" t="s">
        <v>294</v>
      </c>
      <c r="H353" s="4" t="s">
        <v>147</v>
      </c>
      <c r="I353" s="153">
        <v>29.8</v>
      </c>
      <c r="J353" s="12">
        <v>0.23649862061226623</v>
      </c>
      <c r="Z353" s="116">
        <f t="shared" si="16"/>
        <v>45881</v>
      </c>
      <c r="AA35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3" s="116">
        <f t="shared" si="17"/>
        <v>45881</v>
      </c>
      <c r="AI353" s="1" t="str" cm="1">
        <f t="array" ref="AI353">IFERROR(_xlfn.IFS(AQ353="","Sem Produto",AND(AQ353/(AA353/12)&gt;0,AQ353/(AA353/12)&lt;=2),"Acabando",AND(AQ353/(AA353/12)&gt;2,AQ353/(AA353/12)&lt;=3),"Fazer Pedido",AND(AQ353/(AA353/12)&gt;3,AQ353/(AA353/12)&lt;=7),"OK",AND(AQ353/(AA353/12)&gt;7,AQ353/(AA353/12)&lt;=14),"Abaixar Preço",AND(AQ353/(AA353/12)&gt;14,AQ353/(AA353/12)&lt;=20),"Estabilizando",AQ353/(AA353/12)&gt;20,"Instavel"),"Instavel")</f>
        <v>Sem Produto</v>
      </c>
      <c r="AJ353" s="1" t="str" cm="1">
        <f t="array" ref="AJ353">IFERROR(_xlfn.IFS(AR353="","Sem Produto",AND(AR353/(AB353/12)&gt;0,AR353/(AB353/12)&lt;=2),"Acabando",AND(AR353/(AB353/12)&gt;2,AR353/(AB353/12)&lt;=3),"Fazer Pedido",AND(AR353/(AB353/12)&gt;3,AR353/(AB353/12)&lt;=7),"OK",AND(AR353/(AB353/12)&gt;7,AR353/(AB353/12)&lt;=14),"Abaixar Preço",AND(AR353/(AB353/12)&gt;14,AR353/(AB353/12)&lt;=20),"Estabilizando",AR353/(AB353/12)&gt;20,"Instavel"),"Instavel")</f>
        <v>Sem Produto</v>
      </c>
      <c r="AK353" s="1" t="str" cm="1">
        <f t="array" ref="AK353">IFERROR(_xlfn.IFS(AS353="","Sem Produto",AND(AS353/(AC353/12)&gt;0,AS353/(AC353/12)&lt;=2),"Acabando",AND(AS353/(AC353/12)&gt;2,AS353/(AC353/12)&lt;=3),"Fazer Pedido",AND(AS353/(AC353/12)&gt;3,AS353/(AC353/12)&lt;=7),"OK",AND(AS353/(AC353/12)&gt;7,AS353/(AC353/12)&lt;=14),"Abaixar Preço",AND(AS353/(AC353/12)&gt;14,AS353/(AC353/12)&lt;=20),"Estabilizando",AS353/(AC353/12)&gt;20,"Instavel"),"Instavel")</f>
        <v>Sem Produto</v>
      </c>
      <c r="AL353" s="1" t="str" cm="1">
        <f t="array" ref="AL353">IFERROR(_xlfn.IFS(AT353="","Sem Produto",AND(AT353/(AD353/12)&gt;0,AT353/(AD353/12)&lt;=2),"Acabando",AND(AT353/(AD353/12)&gt;2,AT353/(AD353/12)&lt;=3),"Fazer Pedido",AND(AT353/(AD353/12)&gt;3,AT353/(AD353/12)&lt;=7),"OK",AND(AT353/(AD353/12)&gt;7,AT353/(AD353/12)&lt;=14),"Abaixar Preço",AND(AT353/(AD353/12)&gt;14,AT353/(AD353/12)&lt;=20),"Estabilizando",AT353/(AD353/12)&gt;20,"Instavel"),"Instavel")</f>
        <v>Sem Produto</v>
      </c>
      <c r="AM353" s="1" t="str" cm="1">
        <f t="array" ref="AM353">IFERROR(_xlfn.IFS(AU353="","Sem Produto",AND(AU353/(AE353/12)&gt;0,AU353/(AE353/12)&lt;=2),"Acabando",AND(AU353/(AE353/12)&gt;2,AU353/(AE353/12)&lt;=3),"Fazer Pedido",AND(AU353/(AE353/12)&gt;3,AU353/(AE353/12)&lt;=7),"OK",AND(AU353/(AE353/12)&gt;7,AU353/(AE353/12)&lt;=14),"Abaixar Preço",AND(AU353/(AE353/12)&gt;14,AU353/(AE353/12)&lt;=20),"Estabilizando",AU353/(AE353/12)&gt;20,"Instavel"),"Instavel")</f>
        <v>Sem Produto</v>
      </c>
      <c r="AN353" s="1" t="str">
        <f>IF(SUMIF(vendaAno[data],SituaçãoEstoqueFluxo[[#This Row],[data]],vendaAno[estoque])=0,"Algo errado",IF(AND(AX353/AW353&gt;0,AX353/AW353&lt;=1),"Alerta",IF(AND(AX353/AW353&gt;1,AX353/AW353&lt;=1.5),"Fazer pedido",IF(AND(AX353/AW353&gt;1.5,AX353/AW353&lt;=2),"Ok",IF(AND(AX353/AW353&gt;2,AX353/AW353&lt;=2.5),"Estabilizando",IF(AND(AX353/AW353&gt;2.5,AX353/AW353&lt;=3),"Cheio","Abaixar preço"))))))</f>
        <v>Algo errado</v>
      </c>
      <c r="AO35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3" s="116">
        <f t="shared" si="18"/>
        <v>45881</v>
      </c>
      <c r="AQ35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3" s="82" cm="1">
        <f t="array" aca="1" ref="AV35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3" s="82" cm="1">
        <f t="array" aca="1" ref="AW35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3" s="82">
        <f>SUM(FluxoEstoqueDateTime[[#This Row],[OVO BRANCO A]:[OVO BRANCO JUMBO]])</f>
        <v>0</v>
      </c>
    </row>
    <row r="354" spans="1:50" x14ac:dyDescent="0.25">
      <c r="A354" s="4" t="s">
        <v>31</v>
      </c>
      <c r="B354" s="55" t="s">
        <v>14</v>
      </c>
      <c r="C354" s="5">
        <v>60</v>
      </c>
      <c r="D354" s="56">
        <v>205</v>
      </c>
      <c r="E354" s="56">
        <v>1025</v>
      </c>
      <c r="F354" s="157">
        <v>46156</v>
      </c>
      <c r="G354" s="4" t="s">
        <v>294</v>
      </c>
      <c r="H354" s="4" t="s">
        <v>147</v>
      </c>
      <c r="I354" s="153">
        <v>0</v>
      </c>
      <c r="J354" s="12">
        <v>0</v>
      </c>
      <c r="Z354" s="116">
        <f t="shared" si="16"/>
        <v>45880</v>
      </c>
      <c r="AA35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4" s="116">
        <f t="shared" si="17"/>
        <v>45880</v>
      </c>
      <c r="AI354" s="1" t="str" cm="1">
        <f t="array" ref="AI354">IFERROR(_xlfn.IFS(AQ354="","Sem Produto",AND(AQ354/(AA354/12)&gt;0,AQ354/(AA354/12)&lt;=2),"Acabando",AND(AQ354/(AA354/12)&gt;2,AQ354/(AA354/12)&lt;=3),"Fazer Pedido",AND(AQ354/(AA354/12)&gt;3,AQ354/(AA354/12)&lt;=7),"OK",AND(AQ354/(AA354/12)&gt;7,AQ354/(AA354/12)&lt;=14),"Abaixar Preço",AND(AQ354/(AA354/12)&gt;14,AQ354/(AA354/12)&lt;=20),"Estabilizando",AQ354/(AA354/12)&gt;20,"Instavel"),"Instavel")</f>
        <v>Sem Produto</v>
      </c>
      <c r="AJ354" s="1" t="str" cm="1">
        <f t="array" ref="AJ354">IFERROR(_xlfn.IFS(AR354="","Sem Produto",AND(AR354/(AB354/12)&gt;0,AR354/(AB354/12)&lt;=2),"Acabando",AND(AR354/(AB354/12)&gt;2,AR354/(AB354/12)&lt;=3),"Fazer Pedido",AND(AR354/(AB354/12)&gt;3,AR354/(AB354/12)&lt;=7),"OK",AND(AR354/(AB354/12)&gt;7,AR354/(AB354/12)&lt;=14),"Abaixar Preço",AND(AR354/(AB354/12)&gt;14,AR354/(AB354/12)&lt;=20),"Estabilizando",AR354/(AB354/12)&gt;20,"Instavel"),"Instavel")</f>
        <v>Sem Produto</v>
      </c>
      <c r="AK354" s="1" t="str" cm="1">
        <f t="array" ref="AK354">IFERROR(_xlfn.IFS(AS354="","Sem Produto",AND(AS354/(AC354/12)&gt;0,AS354/(AC354/12)&lt;=2),"Acabando",AND(AS354/(AC354/12)&gt;2,AS354/(AC354/12)&lt;=3),"Fazer Pedido",AND(AS354/(AC354/12)&gt;3,AS354/(AC354/12)&lt;=7),"OK",AND(AS354/(AC354/12)&gt;7,AS354/(AC354/12)&lt;=14),"Abaixar Preço",AND(AS354/(AC354/12)&gt;14,AS354/(AC354/12)&lt;=20),"Estabilizando",AS354/(AC354/12)&gt;20,"Instavel"),"Instavel")</f>
        <v>Sem Produto</v>
      </c>
      <c r="AL354" s="1" t="str" cm="1">
        <f t="array" ref="AL354">IFERROR(_xlfn.IFS(AT354="","Sem Produto",AND(AT354/(AD354/12)&gt;0,AT354/(AD354/12)&lt;=2),"Acabando",AND(AT354/(AD354/12)&gt;2,AT354/(AD354/12)&lt;=3),"Fazer Pedido",AND(AT354/(AD354/12)&gt;3,AT354/(AD354/12)&lt;=7),"OK",AND(AT354/(AD354/12)&gt;7,AT354/(AD354/12)&lt;=14),"Abaixar Preço",AND(AT354/(AD354/12)&gt;14,AT354/(AD354/12)&lt;=20),"Estabilizando",AT354/(AD354/12)&gt;20,"Instavel"),"Instavel")</f>
        <v>Sem Produto</v>
      </c>
      <c r="AM354" s="1" t="str" cm="1">
        <f t="array" ref="AM354">IFERROR(_xlfn.IFS(AU354="","Sem Produto",AND(AU354/(AE354/12)&gt;0,AU354/(AE354/12)&lt;=2),"Acabando",AND(AU354/(AE354/12)&gt;2,AU354/(AE354/12)&lt;=3),"Fazer Pedido",AND(AU354/(AE354/12)&gt;3,AU354/(AE354/12)&lt;=7),"OK",AND(AU354/(AE354/12)&gt;7,AU354/(AE354/12)&lt;=14),"Abaixar Preço",AND(AU354/(AE354/12)&gt;14,AU354/(AE354/12)&lt;=20),"Estabilizando",AU354/(AE354/12)&gt;20,"Instavel"),"Instavel")</f>
        <v>Sem Produto</v>
      </c>
      <c r="AN354" s="1" t="str">
        <f>IF(SUMIF(vendaAno[data],SituaçãoEstoqueFluxo[[#This Row],[data]],vendaAno[estoque])=0,"Algo errado",IF(AND(AX354/AW354&gt;0,AX354/AW354&lt;=1),"Alerta",IF(AND(AX354/AW354&gt;1,AX354/AW354&lt;=1.5),"Fazer pedido",IF(AND(AX354/AW354&gt;1.5,AX354/AW354&lt;=2),"Ok",IF(AND(AX354/AW354&gt;2,AX354/AW354&lt;=2.5),"Estabilizando",IF(AND(AX354/AW354&gt;2.5,AX354/AW354&lt;=3),"Cheio","Abaixar preço"))))))</f>
        <v>Algo errado</v>
      </c>
      <c r="AO35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4" s="116">
        <f t="shared" si="18"/>
        <v>45880</v>
      </c>
      <c r="AQ35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4" s="82" cm="1">
        <f t="array" aca="1" ref="AV35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4" s="82" cm="1">
        <f t="array" aca="1" ref="AW35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4" s="82">
        <f>SUM(FluxoEstoqueDateTime[[#This Row],[OVO BRANCO A]:[OVO BRANCO JUMBO]])</f>
        <v>0</v>
      </c>
    </row>
    <row r="355" spans="1:50" x14ac:dyDescent="0.25">
      <c r="A355" s="4" t="s">
        <v>31</v>
      </c>
      <c r="B355" s="55" t="s">
        <v>13</v>
      </c>
      <c r="C355" s="5">
        <v>120</v>
      </c>
      <c r="D355" s="56">
        <v>195</v>
      </c>
      <c r="E355" s="56">
        <v>1950</v>
      </c>
      <c r="F355" s="157">
        <v>46156</v>
      </c>
      <c r="G355" s="4" t="s">
        <v>294</v>
      </c>
      <c r="H355" s="4" t="s">
        <v>147</v>
      </c>
      <c r="I355" s="153">
        <v>0</v>
      </c>
      <c r="J355" s="12">
        <v>0</v>
      </c>
      <c r="Z355" s="116">
        <f t="shared" si="16"/>
        <v>45879</v>
      </c>
      <c r="AA35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5" s="116">
        <f t="shared" si="17"/>
        <v>45879</v>
      </c>
      <c r="AI355" s="1" t="str" cm="1">
        <f t="array" ref="AI355">IFERROR(_xlfn.IFS(AQ355="","Sem Produto",AND(AQ355/(AA355/12)&gt;0,AQ355/(AA355/12)&lt;=2),"Acabando",AND(AQ355/(AA355/12)&gt;2,AQ355/(AA355/12)&lt;=3),"Fazer Pedido",AND(AQ355/(AA355/12)&gt;3,AQ355/(AA355/12)&lt;=7),"OK",AND(AQ355/(AA355/12)&gt;7,AQ355/(AA355/12)&lt;=14),"Abaixar Preço",AND(AQ355/(AA355/12)&gt;14,AQ355/(AA355/12)&lt;=20),"Estabilizando",AQ355/(AA355/12)&gt;20,"Instavel"),"Instavel")</f>
        <v>Sem Produto</v>
      </c>
      <c r="AJ355" s="1" t="str" cm="1">
        <f t="array" ref="AJ355">IFERROR(_xlfn.IFS(AR355="","Sem Produto",AND(AR355/(AB355/12)&gt;0,AR355/(AB355/12)&lt;=2),"Acabando",AND(AR355/(AB355/12)&gt;2,AR355/(AB355/12)&lt;=3),"Fazer Pedido",AND(AR355/(AB355/12)&gt;3,AR355/(AB355/12)&lt;=7),"OK",AND(AR355/(AB355/12)&gt;7,AR355/(AB355/12)&lt;=14),"Abaixar Preço",AND(AR355/(AB355/12)&gt;14,AR355/(AB355/12)&lt;=20),"Estabilizando",AR355/(AB355/12)&gt;20,"Instavel"),"Instavel")</f>
        <v>Sem Produto</v>
      </c>
      <c r="AK355" s="1" t="str" cm="1">
        <f t="array" ref="AK355">IFERROR(_xlfn.IFS(AS355="","Sem Produto",AND(AS355/(AC355/12)&gt;0,AS355/(AC355/12)&lt;=2),"Acabando",AND(AS355/(AC355/12)&gt;2,AS355/(AC355/12)&lt;=3),"Fazer Pedido",AND(AS355/(AC355/12)&gt;3,AS355/(AC355/12)&lt;=7),"OK",AND(AS355/(AC355/12)&gt;7,AS355/(AC355/12)&lt;=14),"Abaixar Preço",AND(AS355/(AC355/12)&gt;14,AS355/(AC355/12)&lt;=20),"Estabilizando",AS355/(AC355/12)&gt;20,"Instavel"),"Instavel")</f>
        <v>Sem Produto</v>
      </c>
      <c r="AL355" s="1" t="str" cm="1">
        <f t="array" ref="AL355">IFERROR(_xlfn.IFS(AT355="","Sem Produto",AND(AT355/(AD355/12)&gt;0,AT355/(AD355/12)&lt;=2),"Acabando",AND(AT355/(AD355/12)&gt;2,AT355/(AD355/12)&lt;=3),"Fazer Pedido",AND(AT355/(AD355/12)&gt;3,AT355/(AD355/12)&lt;=7),"OK",AND(AT355/(AD355/12)&gt;7,AT355/(AD355/12)&lt;=14),"Abaixar Preço",AND(AT355/(AD355/12)&gt;14,AT355/(AD355/12)&lt;=20),"Estabilizando",AT355/(AD355/12)&gt;20,"Instavel"),"Instavel")</f>
        <v>Sem Produto</v>
      </c>
      <c r="AM355" s="1" t="str" cm="1">
        <f t="array" ref="AM355">IFERROR(_xlfn.IFS(AU355="","Sem Produto",AND(AU355/(AE355/12)&gt;0,AU355/(AE355/12)&lt;=2),"Acabando",AND(AU355/(AE355/12)&gt;2,AU355/(AE355/12)&lt;=3),"Fazer Pedido",AND(AU355/(AE355/12)&gt;3,AU355/(AE355/12)&lt;=7),"OK",AND(AU355/(AE355/12)&gt;7,AU355/(AE355/12)&lt;=14),"Abaixar Preço",AND(AU355/(AE355/12)&gt;14,AU355/(AE355/12)&lt;=20),"Estabilizando",AU355/(AE355/12)&gt;20,"Instavel"),"Instavel")</f>
        <v>Sem Produto</v>
      </c>
      <c r="AN355" s="1" t="str">
        <f>IF(SUMIF(vendaAno[data],SituaçãoEstoqueFluxo[[#This Row],[data]],vendaAno[estoque])=0,"Algo errado",IF(AND(AX355/AW355&gt;0,AX355/AW355&lt;=1),"Alerta",IF(AND(AX355/AW355&gt;1,AX355/AW355&lt;=1.5),"Fazer pedido",IF(AND(AX355/AW355&gt;1.5,AX355/AW355&lt;=2),"Ok",IF(AND(AX355/AW355&gt;2,AX355/AW355&lt;=2.5),"Estabilizando",IF(AND(AX355/AW355&gt;2.5,AX355/AW355&lt;=3),"Cheio","Abaixar preço"))))))</f>
        <v>Algo errado</v>
      </c>
      <c r="AO35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5" s="116">
        <f t="shared" si="18"/>
        <v>45879</v>
      </c>
      <c r="AQ35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5" s="82" cm="1">
        <f t="array" aca="1" ref="AV35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5" s="82" cm="1">
        <f t="array" aca="1" ref="AW35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5" s="82">
        <f>SUM(FluxoEstoqueDateTime[[#This Row],[OVO BRANCO A]:[OVO BRANCO JUMBO]])</f>
        <v>0</v>
      </c>
    </row>
    <row r="356" spans="1:50" x14ac:dyDescent="0.25">
      <c r="A356" s="4" t="s">
        <v>31</v>
      </c>
      <c r="B356" s="55" t="s">
        <v>11</v>
      </c>
      <c r="C356" s="5">
        <v>120</v>
      </c>
      <c r="D356" s="56">
        <v>180</v>
      </c>
      <c r="E356" s="56">
        <v>1800</v>
      </c>
      <c r="F356" s="157">
        <v>46156</v>
      </c>
      <c r="G356" s="4" t="s">
        <v>294</v>
      </c>
      <c r="H356" s="4" t="s">
        <v>147</v>
      </c>
      <c r="I356" s="153">
        <v>0</v>
      </c>
      <c r="J356" s="12">
        <v>0</v>
      </c>
      <c r="Z356" s="116">
        <f t="shared" si="16"/>
        <v>45878</v>
      </c>
      <c r="AA35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6" s="116">
        <f t="shared" si="17"/>
        <v>45878</v>
      </c>
      <c r="AI356" s="1" t="str" cm="1">
        <f t="array" ref="AI356">IFERROR(_xlfn.IFS(AQ356="","Sem Produto",AND(AQ356/(AA356/12)&gt;0,AQ356/(AA356/12)&lt;=2),"Acabando",AND(AQ356/(AA356/12)&gt;2,AQ356/(AA356/12)&lt;=3),"Fazer Pedido",AND(AQ356/(AA356/12)&gt;3,AQ356/(AA356/12)&lt;=7),"OK",AND(AQ356/(AA356/12)&gt;7,AQ356/(AA356/12)&lt;=14),"Abaixar Preço",AND(AQ356/(AA356/12)&gt;14,AQ356/(AA356/12)&lt;=20),"Estabilizando",AQ356/(AA356/12)&gt;20,"Instavel"),"Instavel")</f>
        <v>Sem Produto</v>
      </c>
      <c r="AJ356" s="1" t="str" cm="1">
        <f t="array" ref="AJ356">IFERROR(_xlfn.IFS(AR356="","Sem Produto",AND(AR356/(AB356/12)&gt;0,AR356/(AB356/12)&lt;=2),"Acabando",AND(AR356/(AB356/12)&gt;2,AR356/(AB356/12)&lt;=3),"Fazer Pedido",AND(AR356/(AB356/12)&gt;3,AR356/(AB356/12)&lt;=7),"OK",AND(AR356/(AB356/12)&gt;7,AR356/(AB356/12)&lt;=14),"Abaixar Preço",AND(AR356/(AB356/12)&gt;14,AR356/(AB356/12)&lt;=20),"Estabilizando",AR356/(AB356/12)&gt;20,"Instavel"),"Instavel")</f>
        <v>Sem Produto</v>
      </c>
      <c r="AK356" s="1" t="str" cm="1">
        <f t="array" ref="AK356">IFERROR(_xlfn.IFS(AS356="","Sem Produto",AND(AS356/(AC356/12)&gt;0,AS356/(AC356/12)&lt;=2),"Acabando",AND(AS356/(AC356/12)&gt;2,AS356/(AC356/12)&lt;=3),"Fazer Pedido",AND(AS356/(AC356/12)&gt;3,AS356/(AC356/12)&lt;=7),"OK",AND(AS356/(AC356/12)&gt;7,AS356/(AC356/12)&lt;=14),"Abaixar Preço",AND(AS356/(AC356/12)&gt;14,AS356/(AC356/12)&lt;=20),"Estabilizando",AS356/(AC356/12)&gt;20,"Instavel"),"Instavel")</f>
        <v>Sem Produto</v>
      </c>
      <c r="AL356" s="1" t="str" cm="1">
        <f t="array" ref="AL356">IFERROR(_xlfn.IFS(AT356="","Sem Produto",AND(AT356/(AD356/12)&gt;0,AT356/(AD356/12)&lt;=2),"Acabando",AND(AT356/(AD356/12)&gt;2,AT356/(AD356/12)&lt;=3),"Fazer Pedido",AND(AT356/(AD356/12)&gt;3,AT356/(AD356/12)&lt;=7),"OK",AND(AT356/(AD356/12)&gt;7,AT356/(AD356/12)&lt;=14),"Abaixar Preço",AND(AT356/(AD356/12)&gt;14,AT356/(AD356/12)&lt;=20),"Estabilizando",AT356/(AD356/12)&gt;20,"Instavel"),"Instavel")</f>
        <v>Sem Produto</v>
      </c>
      <c r="AM356" s="1" t="str" cm="1">
        <f t="array" ref="AM356">IFERROR(_xlfn.IFS(AU356="","Sem Produto",AND(AU356/(AE356/12)&gt;0,AU356/(AE356/12)&lt;=2),"Acabando",AND(AU356/(AE356/12)&gt;2,AU356/(AE356/12)&lt;=3),"Fazer Pedido",AND(AU356/(AE356/12)&gt;3,AU356/(AE356/12)&lt;=7),"OK",AND(AU356/(AE356/12)&gt;7,AU356/(AE356/12)&lt;=14),"Abaixar Preço",AND(AU356/(AE356/12)&gt;14,AU356/(AE356/12)&lt;=20),"Estabilizando",AU356/(AE356/12)&gt;20,"Instavel"),"Instavel")</f>
        <v>Sem Produto</v>
      </c>
      <c r="AN356" s="1" t="str">
        <f>IF(SUMIF(vendaAno[data],SituaçãoEstoqueFluxo[[#This Row],[data]],vendaAno[estoque])=0,"Algo errado",IF(AND(AX356/AW356&gt;0,AX356/AW356&lt;=1),"Alerta",IF(AND(AX356/AW356&gt;1,AX356/AW356&lt;=1.5),"Fazer pedido",IF(AND(AX356/AW356&gt;1.5,AX356/AW356&lt;=2),"Ok",IF(AND(AX356/AW356&gt;2,AX356/AW356&lt;=2.5),"Estabilizando",IF(AND(AX356/AW356&gt;2.5,AX356/AW356&lt;=3),"Cheio","Abaixar preço"))))))</f>
        <v>Algo errado</v>
      </c>
      <c r="AO35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6" s="116">
        <f t="shared" si="18"/>
        <v>45878</v>
      </c>
      <c r="AQ35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6" s="82" cm="1">
        <f t="array" aca="1" ref="AV35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6" s="82" cm="1">
        <f t="array" aca="1" ref="AW35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6" s="82">
        <f>SUM(FluxoEstoqueDateTime[[#This Row],[OVO BRANCO A]:[OVO BRANCO JUMBO]])</f>
        <v>0</v>
      </c>
    </row>
    <row r="357" spans="1:50" x14ac:dyDescent="0.25">
      <c r="A357" s="4" t="s">
        <v>31</v>
      </c>
      <c r="B357" s="55" t="s">
        <v>10</v>
      </c>
      <c r="C357" s="5">
        <v>60</v>
      </c>
      <c r="D357" s="56">
        <v>185</v>
      </c>
      <c r="E357" s="56">
        <v>925</v>
      </c>
      <c r="F357" s="157">
        <v>46156</v>
      </c>
      <c r="G357" s="4" t="s">
        <v>294</v>
      </c>
      <c r="H357" s="4" t="s">
        <v>147</v>
      </c>
      <c r="I357" s="153">
        <v>0</v>
      </c>
      <c r="J357" s="12">
        <v>0</v>
      </c>
      <c r="Z357" s="116">
        <f t="shared" si="16"/>
        <v>45877</v>
      </c>
      <c r="AA35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7" s="116">
        <f t="shared" si="17"/>
        <v>45877</v>
      </c>
      <c r="AI357" s="1" t="str" cm="1">
        <f t="array" ref="AI357">IFERROR(_xlfn.IFS(AQ357="","Sem Produto",AND(AQ357/(AA357/12)&gt;0,AQ357/(AA357/12)&lt;=2),"Acabando",AND(AQ357/(AA357/12)&gt;2,AQ357/(AA357/12)&lt;=3),"Fazer Pedido",AND(AQ357/(AA357/12)&gt;3,AQ357/(AA357/12)&lt;=7),"OK",AND(AQ357/(AA357/12)&gt;7,AQ357/(AA357/12)&lt;=14),"Abaixar Preço",AND(AQ357/(AA357/12)&gt;14,AQ357/(AA357/12)&lt;=20),"Estabilizando",AQ357/(AA357/12)&gt;20,"Instavel"),"Instavel")</f>
        <v>Sem Produto</v>
      </c>
      <c r="AJ357" s="1" t="str" cm="1">
        <f t="array" ref="AJ357">IFERROR(_xlfn.IFS(AR357="","Sem Produto",AND(AR357/(AB357/12)&gt;0,AR357/(AB357/12)&lt;=2),"Acabando",AND(AR357/(AB357/12)&gt;2,AR357/(AB357/12)&lt;=3),"Fazer Pedido",AND(AR357/(AB357/12)&gt;3,AR357/(AB357/12)&lt;=7),"OK",AND(AR357/(AB357/12)&gt;7,AR357/(AB357/12)&lt;=14),"Abaixar Preço",AND(AR357/(AB357/12)&gt;14,AR357/(AB357/12)&lt;=20),"Estabilizando",AR357/(AB357/12)&gt;20,"Instavel"),"Instavel")</f>
        <v>Sem Produto</v>
      </c>
      <c r="AK357" s="1" t="str" cm="1">
        <f t="array" ref="AK357">IFERROR(_xlfn.IFS(AS357="","Sem Produto",AND(AS357/(AC357/12)&gt;0,AS357/(AC357/12)&lt;=2),"Acabando",AND(AS357/(AC357/12)&gt;2,AS357/(AC357/12)&lt;=3),"Fazer Pedido",AND(AS357/(AC357/12)&gt;3,AS357/(AC357/12)&lt;=7),"OK",AND(AS357/(AC357/12)&gt;7,AS357/(AC357/12)&lt;=14),"Abaixar Preço",AND(AS357/(AC357/12)&gt;14,AS357/(AC357/12)&lt;=20),"Estabilizando",AS357/(AC357/12)&gt;20,"Instavel"),"Instavel")</f>
        <v>Sem Produto</v>
      </c>
      <c r="AL357" s="1" t="str" cm="1">
        <f t="array" ref="AL357">IFERROR(_xlfn.IFS(AT357="","Sem Produto",AND(AT357/(AD357/12)&gt;0,AT357/(AD357/12)&lt;=2),"Acabando",AND(AT357/(AD357/12)&gt;2,AT357/(AD357/12)&lt;=3),"Fazer Pedido",AND(AT357/(AD357/12)&gt;3,AT357/(AD357/12)&lt;=7),"OK",AND(AT357/(AD357/12)&gt;7,AT357/(AD357/12)&lt;=14),"Abaixar Preço",AND(AT357/(AD357/12)&gt;14,AT357/(AD357/12)&lt;=20),"Estabilizando",AT357/(AD357/12)&gt;20,"Instavel"),"Instavel")</f>
        <v>Sem Produto</v>
      </c>
      <c r="AM357" s="1" t="str" cm="1">
        <f t="array" ref="AM357">IFERROR(_xlfn.IFS(AU357="","Sem Produto",AND(AU357/(AE357/12)&gt;0,AU357/(AE357/12)&lt;=2),"Acabando",AND(AU357/(AE357/12)&gt;2,AU357/(AE357/12)&lt;=3),"Fazer Pedido",AND(AU357/(AE357/12)&gt;3,AU357/(AE357/12)&lt;=7),"OK",AND(AU357/(AE357/12)&gt;7,AU357/(AE357/12)&lt;=14),"Abaixar Preço",AND(AU357/(AE357/12)&gt;14,AU357/(AE357/12)&lt;=20),"Estabilizando",AU357/(AE357/12)&gt;20,"Instavel"),"Instavel")</f>
        <v>Sem Produto</v>
      </c>
      <c r="AN357" s="1" t="str">
        <f>IF(SUMIF(vendaAno[data],SituaçãoEstoqueFluxo[[#This Row],[data]],vendaAno[estoque])=0,"Algo errado",IF(AND(AX357/AW357&gt;0,AX357/AW357&lt;=1),"Alerta",IF(AND(AX357/AW357&gt;1,AX357/AW357&lt;=1.5),"Fazer pedido",IF(AND(AX357/AW357&gt;1.5,AX357/AW357&lt;=2),"Ok",IF(AND(AX357/AW357&gt;2,AX357/AW357&lt;=2.5),"Estabilizando",IF(AND(AX357/AW357&gt;2.5,AX357/AW357&lt;=3),"Cheio","Abaixar preço"))))))</f>
        <v>Algo errado</v>
      </c>
      <c r="AO35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7" s="116">
        <f t="shared" si="18"/>
        <v>45877</v>
      </c>
      <c r="AQ35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7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7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7" s="82" cm="1">
        <f t="array" aca="1" ref="AV35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7" s="82" cm="1">
        <f t="array" aca="1" ref="AW35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7" s="82">
        <f>SUM(FluxoEstoqueDateTime[[#This Row],[OVO BRANCO A]:[OVO BRANCO JUMBO]])</f>
        <v>0</v>
      </c>
    </row>
    <row r="358" spans="1:50" x14ac:dyDescent="0.25">
      <c r="A358" s="201" t="s">
        <v>20</v>
      </c>
      <c r="B358" s="202" t="s">
        <v>10</v>
      </c>
      <c r="C358" s="203">
        <v>1</v>
      </c>
      <c r="D358" s="204">
        <v>21</v>
      </c>
      <c r="E358" s="204">
        <v>0</v>
      </c>
      <c r="F358" s="205">
        <v>46155</v>
      </c>
      <c r="G358" s="201" t="s">
        <v>32</v>
      </c>
      <c r="H358" s="201" t="s">
        <v>147</v>
      </c>
      <c r="I358" s="206">
        <v>-16.66</v>
      </c>
      <c r="J358" s="207">
        <v>0.20662635424540202</v>
      </c>
      <c r="Z358" s="116">
        <f t="shared" si="16"/>
        <v>45876</v>
      </c>
      <c r="AA358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8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8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8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8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8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8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8" s="116">
        <f t="shared" si="17"/>
        <v>45876</v>
      </c>
      <c r="AI358" s="1" t="str" cm="1">
        <f t="array" ref="AI358">IFERROR(_xlfn.IFS(AQ358="","Sem Produto",AND(AQ358/(AA358/12)&gt;0,AQ358/(AA358/12)&lt;=2),"Acabando",AND(AQ358/(AA358/12)&gt;2,AQ358/(AA358/12)&lt;=3),"Fazer Pedido",AND(AQ358/(AA358/12)&gt;3,AQ358/(AA358/12)&lt;=7),"OK",AND(AQ358/(AA358/12)&gt;7,AQ358/(AA358/12)&lt;=14),"Abaixar Preço",AND(AQ358/(AA358/12)&gt;14,AQ358/(AA358/12)&lt;=20),"Estabilizando",AQ358/(AA358/12)&gt;20,"Instavel"),"Instavel")</f>
        <v>Sem Produto</v>
      </c>
      <c r="AJ358" s="1" t="str" cm="1">
        <f t="array" ref="AJ358">IFERROR(_xlfn.IFS(AR358="","Sem Produto",AND(AR358/(AB358/12)&gt;0,AR358/(AB358/12)&lt;=2),"Acabando",AND(AR358/(AB358/12)&gt;2,AR358/(AB358/12)&lt;=3),"Fazer Pedido",AND(AR358/(AB358/12)&gt;3,AR358/(AB358/12)&lt;=7),"OK",AND(AR358/(AB358/12)&gt;7,AR358/(AB358/12)&lt;=14),"Abaixar Preço",AND(AR358/(AB358/12)&gt;14,AR358/(AB358/12)&lt;=20),"Estabilizando",AR358/(AB358/12)&gt;20,"Instavel"),"Instavel")</f>
        <v>Sem Produto</v>
      </c>
      <c r="AK358" s="1" t="str" cm="1">
        <f t="array" ref="AK358">IFERROR(_xlfn.IFS(AS358="","Sem Produto",AND(AS358/(AC358/12)&gt;0,AS358/(AC358/12)&lt;=2),"Acabando",AND(AS358/(AC358/12)&gt;2,AS358/(AC358/12)&lt;=3),"Fazer Pedido",AND(AS358/(AC358/12)&gt;3,AS358/(AC358/12)&lt;=7),"OK",AND(AS358/(AC358/12)&gt;7,AS358/(AC358/12)&lt;=14),"Abaixar Preço",AND(AS358/(AC358/12)&gt;14,AS358/(AC358/12)&lt;=20),"Estabilizando",AS358/(AC358/12)&gt;20,"Instavel"),"Instavel")</f>
        <v>Sem Produto</v>
      </c>
      <c r="AL358" s="1" t="str" cm="1">
        <f t="array" ref="AL358">IFERROR(_xlfn.IFS(AT358="","Sem Produto",AND(AT358/(AD358/12)&gt;0,AT358/(AD358/12)&lt;=2),"Acabando",AND(AT358/(AD358/12)&gt;2,AT358/(AD358/12)&lt;=3),"Fazer Pedido",AND(AT358/(AD358/12)&gt;3,AT358/(AD358/12)&lt;=7),"OK",AND(AT358/(AD358/12)&gt;7,AT358/(AD358/12)&lt;=14),"Abaixar Preço",AND(AT358/(AD358/12)&gt;14,AT358/(AD358/12)&lt;=20),"Estabilizando",AT358/(AD358/12)&gt;20,"Instavel"),"Instavel")</f>
        <v>Sem Produto</v>
      </c>
      <c r="AM358" s="1" t="str" cm="1">
        <f t="array" ref="AM358">IFERROR(_xlfn.IFS(AU358="","Sem Produto",AND(AU358/(AE358/12)&gt;0,AU358/(AE358/12)&lt;=2),"Acabando",AND(AU358/(AE358/12)&gt;2,AU358/(AE358/12)&lt;=3),"Fazer Pedido",AND(AU358/(AE358/12)&gt;3,AU358/(AE358/12)&lt;=7),"OK",AND(AU358/(AE358/12)&gt;7,AU358/(AE358/12)&lt;=14),"Abaixar Preço",AND(AU358/(AE358/12)&gt;14,AU358/(AE358/12)&lt;=20),"Estabilizando",AU358/(AE358/12)&gt;20,"Instavel"),"Instavel")</f>
        <v>Sem Produto</v>
      </c>
      <c r="AN358" s="1" t="str">
        <f>IF(SUMIF(vendaAno[data],SituaçãoEstoqueFluxo[[#This Row],[data]],vendaAno[estoque])=0,"Algo errado",IF(AND(AX358/AW358&gt;0,AX358/AW358&lt;=1),"Alerta",IF(AND(AX358/AW358&gt;1,AX358/AW358&lt;=1.5),"Fazer pedido",IF(AND(AX358/AW358&gt;1.5,AX358/AW358&lt;=2),"Ok",IF(AND(AX358/AW358&gt;2,AX358/AW358&lt;=2.5),"Estabilizando",IF(AND(AX358/AW358&gt;2.5,AX358/AW358&lt;=3),"Cheio","Abaixar preço"))))))</f>
        <v>Algo errado</v>
      </c>
      <c r="AO358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8" s="116">
        <f t="shared" si="18"/>
        <v>45876</v>
      </c>
      <c r="AQ358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8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8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8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8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8" s="82" cm="1">
        <f t="array" aca="1" ref="AV358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8" s="82" cm="1">
        <f t="array" aca="1" ref="AW358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8" s="82">
        <f>SUM(FluxoEstoqueDateTime[[#This Row],[OVO BRANCO A]:[OVO BRANCO JUMBO]])</f>
        <v>0</v>
      </c>
    </row>
    <row r="359" spans="1:50" x14ac:dyDescent="0.25">
      <c r="A359" s="4" t="s">
        <v>20</v>
      </c>
      <c r="B359" s="55" t="s">
        <v>14</v>
      </c>
      <c r="C359" s="5">
        <v>2</v>
      </c>
      <c r="D359" s="56">
        <v>24</v>
      </c>
      <c r="E359" s="56">
        <v>48</v>
      </c>
      <c r="F359" s="157">
        <v>46155</v>
      </c>
      <c r="G359" s="4" t="s">
        <v>32</v>
      </c>
      <c r="H359" s="4" t="s">
        <v>147</v>
      </c>
      <c r="I359" s="153">
        <v>13</v>
      </c>
      <c r="J359" s="12">
        <v>0.27083333333333331</v>
      </c>
      <c r="Z359" s="116">
        <f t="shared" si="16"/>
        <v>45875</v>
      </c>
      <c r="AA359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59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59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59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59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59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59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59" s="116">
        <f t="shared" si="17"/>
        <v>45875</v>
      </c>
      <c r="AI359" s="1" t="str" cm="1">
        <f t="array" ref="AI359">IFERROR(_xlfn.IFS(AQ359="","Sem Produto",AND(AQ359/(AA359/12)&gt;0,AQ359/(AA359/12)&lt;=2),"Acabando",AND(AQ359/(AA359/12)&gt;2,AQ359/(AA359/12)&lt;=3),"Fazer Pedido",AND(AQ359/(AA359/12)&gt;3,AQ359/(AA359/12)&lt;=7),"OK",AND(AQ359/(AA359/12)&gt;7,AQ359/(AA359/12)&lt;=14),"Abaixar Preço",AND(AQ359/(AA359/12)&gt;14,AQ359/(AA359/12)&lt;=20),"Estabilizando",AQ359/(AA359/12)&gt;20,"Instavel"),"Instavel")</f>
        <v>Sem Produto</v>
      </c>
      <c r="AJ359" s="1" t="str" cm="1">
        <f t="array" ref="AJ359">IFERROR(_xlfn.IFS(AR359="","Sem Produto",AND(AR359/(AB359/12)&gt;0,AR359/(AB359/12)&lt;=2),"Acabando",AND(AR359/(AB359/12)&gt;2,AR359/(AB359/12)&lt;=3),"Fazer Pedido",AND(AR359/(AB359/12)&gt;3,AR359/(AB359/12)&lt;=7),"OK",AND(AR359/(AB359/12)&gt;7,AR359/(AB359/12)&lt;=14),"Abaixar Preço",AND(AR359/(AB359/12)&gt;14,AR359/(AB359/12)&lt;=20),"Estabilizando",AR359/(AB359/12)&gt;20,"Instavel"),"Instavel")</f>
        <v>Sem Produto</v>
      </c>
      <c r="AK359" s="1" t="str" cm="1">
        <f t="array" ref="AK359">IFERROR(_xlfn.IFS(AS359="","Sem Produto",AND(AS359/(AC359/12)&gt;0,AS359/(AC359/12)&lt;=2),"Acabando",AND(AS359/(AC359/12)&gt;2,AS359/(AC359/12)&lt;=3),"Fazer Pedido",AND(AS359/(AC359/12)&gt;3,AS359/(AC359/12)&lt;=7),"OK",AND(AS359/(AC359/12)&gt;7,AS359/(AC359/12)&lt;=14),"Abaixar Preço",AND(AS359/(AC359/12)&gt;14,AS359/(AC359/12)&lt;=20),"Estabilizando",AS359/(AC359/12)&gt;20,"Instavel"),"Instavel")</f>
        <v>Sem Produto</v>
      </c>
      <c r="AL359" s="1" t="str" cm="1">
        <f t="array" ref="AL359">IFERROR(_xlfn.IFS(AT359="","Sem Produto",AND(AT359/(AD359/12)&gt;0,AT359/(AD359/12)&lt;=2),"Acabando",AND(AT359/(AD359/12)&gt;2,AT359/(AD359/12)&lt;=3),"Fazer Pedido",AND(AT359/(AD359/12)&gt;3,AT359/(AD359/12)&lt;=7),"OK",AND(AT359/(AD359/12)&gt;7,AT359/(AD359/12)&lt;=14),"Abaixar Preço",AND(AT359/(AD359/12)&gt;14,AT359/(AD359/12)&lt;=20),"Estabilizando",AT359/(AD359/12)&gt;20,"Instavel"),"Instavel")</f>
        <v>Sem Produto</v>
      </c>
      <c r="AM359" s="1" t="str" cm="1">
        <f t="array" ref="AM359">IFERROR(_xlfn.IFS(AU359="","Sem Produto",AND(AU359/(AE359/12)&gt;0,AU359/(AE359/12)&lt;=2),"Acabando",AND(AU359/(AE359/12)&gt;2,AU359/(AE359/12)&lt;=3),"Fazer Pedido",AND(AU359/(AE359/12)&gt;3,AU359/(AE359/12)&lt;=7),"OK",AND(AU359/(AE359/12)&gt;7,AU359/(AE359/12)&lt;=14),"Abaixar Preço",AND(AU359/(AE359/12)&gt;14,AU359/(AE359/12)&lt;=20),"Estabilizando",AU359/(AE359/12)&gt;20,"Instavel"),"Instavel")</f>
        <v>Sem Produto</v>
      </c>
      <c r="AN359" s="1" t="str">
        <f>IF(SUMIF(vendaAno[data],SituaçãoEstoqueFluxo[[#This Row],[data]],vendaAno[estoque])=0,"Algo errado",IF(AND(AX359/AW359&gt;0,AX359/AW359&lt;=1),"Alerta",IF(AND(AX359/AW359&gt;1,AX359/AW359&lt;=1.5),"Fazer pedido",IF(AND(AX359/AW359&gt;1.5,AX359/AW359&lt;=2),"Ok",IF(AND(AX359/AW359&gt;2,AX359/AW359&lt;=2.5),"Estabilizando",IF(AND(AX359/AW359&gt;2.5,AX359/AW359&lt;=3),"Cheio","Abaixar preço"))))))</f>
        <v>Algo errado</v>
      </c>
      <c r="AO359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59" s="116">
        <f t="shared" si="18"/>
        <v>45875</v>
      </c>
      <c r="AQ359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59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59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59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59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59" s="82" cm="1">
        <f t="array" aca="1" ref="AV359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59" s="82" cm="1">
        <f t="array" aca="1" ref="AW359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59" s="82">
        <f>SUM(FluxoEstoqueDateTime[[#This Row],[OVO BRANCO A]:[OVO BRANCO JUMBO]])</f>
        <v>0</v>
      </c>
    </row>
    <row r="360" spans="1:50" x14ac:dyDescent="0.25">
      <c r="A360" s="4" t="s">
        <v>20</v>
      </c>
      <c r="B360" s="55" t="s">
        <v>13</v>
      </c>
      <c r="C360" s="5">
        <v>9</v>
      </c>
      <c r="D360" s="56">
        <v>22</v>
      </c>
      <c r="E360" s="56">
        <v>198</v>
      </c>
      <c r="F360" s="157">
        <v>46155</v>
      </c>
      <c r="G360" s="4" t="s">
        <v>32</v>
      </c>
      <c r="H360" s="4" t="s">
        <v>147</v>
      </c>
      <c r="I360" s="153">
        <v>44.25</v>
      </c>
      <c r="J360" s="12">
        <v>0.22348484848484837</v>
      </c>
      <c r="Z360" s="116">
        <f t="shared" si="16"/>
        <v>45874</v>
      </c>
      <c r="AA360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0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0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0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0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0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0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0" s="116">
        <f t="shared" si="17"/>
        <v>45874</v>
      </c>
      <c r="AI360" s="1" t="str" cm="1">
        <f t="array" ref="AI360">IFERROR(_xlfn.IFS(AQ360="","Sem Produto",AND(AQ360/(AA360/12)&gt;0,AQ360/(AA360/12)&lt;=2),"Acabando",AND(AQ360/(AA360/12)&gt;2,AQ360/(AA360/12)&lt;=3),"Fazer Pedido",AND(AQ360/(AA360/12)&gt;3,AQ360/(AA360/12)&lt;=7),"OK",AND(AQ360/(AA360/12)&gt;7,AQ360/(AA360/12)&lt;=14),"Abaixar Preço",AND(AQ360/(AA360/12)&gt;14,AQ360/(AA360/12)&lt;=20),"Estabilizando",AQ360/(AA360/12)&gt;20,"Instavel"),"Instavel")</f>
        <v>Sem Produto</v>
      </c>
      <c r="AJ360" s="1" t="str" cm="1">
        <f t="array" ref="AJ360">IFERROR(_xlfn.IFS(AR360="","Sem Produto",AND(AR360/(AB360/12)&gt;0,AR360/(AB360/12)&lt;=2),"Acabando",AND(AR360/(AB360/12)&gt;2,AR360/(AB360/12)&lt;=3),"Fazer Pedido",AND(AR360/(AB360/12)&gt;3,AR360/(AB360/12)&lt;=7),"OK",AND(AR360/(AB360/12)&gt;7,AR360/(AB360/12)&lt;=14),"Abaixar Preço",AND(AR360/(AB360/12)&gt;14,AR360/(AB360/12)&lt;=20),"Estabilizando",AR360/(AB360/12)&gt;20,"Instavel"),"Instavel")</f>
        <v>Sem Produto</v>
      </c>
      <c r="AK360" s="1" t="str" cm="1">
        <f t="array" ref="AK360">IFERROR(_xlfn.IFS(AS360="","Sem Produto",AND(AS360/(AC360/12)&gt;0,AS360/(AC360/12)&lt;=2),"Acabando",AND(AS360/(AC360/12)&gt;2,AS360/(AC360/12)&lt;=3),"Fazer Pedido",AND(AS360/(AC360/12)&gt;3,AS360/(AC360/12)&lt;=7),"OK",AND(AS360/(AC360/12)&gt;7,AS360/(AC360/12)&lt;=14),"Abaixar Preço",AND(AS360/(AC360/12)&gt;14,AS360/(AC360/12)&lt;=20),"Estabilizando",AS360/(AC360/12)&gt;20,"Instavel"),"Instavel")</f>
        <v>Sem Produto</v>
      </c>
      <c r="AL360" s="1" t="str" cm="1">
        <f t="array" ref="AL360">IFERROR(_xlfn.IFS(AT360="","Sem Produto",AND(AT360/(AD360/12)&gt;0,AT360/(AD360/12)&lt;=2),"Acabando",AND(AT360/(AD360/12)&gt;2,AT360/(AD360/12)&lt;=3),"Fazer Pedido",AND(AT360/(AD360/12)&gt;3,AT360/(AD360/12)&lt;=7),"OK",AND(AT360/(AD360/12)&gt;7,AT360/(AD360/12)&lt;=14),"Abaixar Preço",AND(AT360/(AD360/12)&gt;14,AT360/(AD360/12)&lt;=20),"Estabilizando",AT360/(AD360/12)&gt;20,"Instavel"),"Instavel")</f>
        <v>Sem Produto</v>
      </c>
      <c r="AM360" s="1" t="str" cm="1">
        <f t="array" ref="AM360">IFERROR(_xlfn.IFS(AU360="","Sem Produto",AND(AU360/(AE360/12)&gt;0,AU360/(AE360/12)&lt;=2),"Acabando",AND(AU360/(AE360/12)&gt;2,AU360/(AE360/12)&lt;=3),"Fazer Pedido",AND(AU360/(AE360/12)&gt;3,AU360/(AE360/12)&lt;=7),"OK",AND(AU360/(AE360/12)&gt;7,AU360/(AE360/12)&lt;=14),"Abaixar Preço",AND(AU360/(AE360/12)&gt;14,AU360/(AE360/12)&lt;=20),"Estabilizando",AU360/(AE360/12)&gt;20,"Instavel"),"Instavel")</f>
        <v>Sem Produto</v>
      </c>
      <c r="AN360" s="1" t="str">
        <f>IF(SUMIF(vendaAno[data],SituaçãoEstoqueFluxo[[#This Row],[data]],vendaAno[estoque])=0,"Algo errado",IF(AND(AX360/AW360&gt;0,AX360/AW360&lt;=1),"Alerta",IF(AND(AX360/AW360&gt;1,AX360/AW360&lt;=1.5),"Fazer pedido",IF(AND(AX360/AW360&gt;1.5,AX360/AW360&lt;=2),"Ok",IF(AND(AX360/AW360&gt;2,AX360/AW360&lt;=2.5),"Estabilizando",IF(AND(AX360/AW360&gt;2.5,AX360/AW360&lt;=3),"Cheio","Abaixar preço"))))))</f>
        <v>Algo errado</v>
      </c>
      <c r="AO360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0" s="116">
        <f t="shared" si="18"/>
        <v>45874</v>
      </c>
      <c r="AQ360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0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0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0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0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0" s="82" cm="1">
        <f t="array" aca="1" ref="AV360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0" s="82" cm="1">
        <f t="array" aca="1" ref="AW360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0" s="82">
        <f>SUM(FluxoEstoqueDateTime[[#This Row],[OVO BRANCO A]:[OVO BRANCO JUMBO]])</f>
        <v>0</v>
      </c>
    </row>
    <row r="361" spans="1:50" x14ac:dyDescent="0.25">
      <c r="A361" s="4" t="s">
        <v>20</v>
      </c>
      <c r="B361" s="55" t="s">
        <v>10</v>
      </c>
      <c r="C361" s="5">
        <v>15</v>
      </c>
      <c r="D361" s="56">
        <v>21</v>
      </c>
      <c r="E361" s="56">
        <v>315</v>
      </c>
      <c r="F361" s="157">
        <v>46155</v>
      </c>
      <c r="G361" s="4" t="s">
        <v>32</v>
      </c>
      <c r="H361" s="4" t="s">
        <v>147</v>
      </c>
      <c r="I361" s="153">
        <v>65.09</v>
      </c>
      <c r="J361" s="12">
        <v>0.20662635424540199</v>
      </c>
      <c r="Z361" s="116">
        <f t="shared" si="16"/>
        <v>45873</v>
      </c>
      <c r="AA361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1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1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1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1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1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1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1" s="116">
        <f t="shared" si="17"/>
        <v>45873</v>
      </c>
      <c r="AI361" s="1" t="str" cm="1">
        <f t="array" ref="AI361">IFERROR(_xlfn.IFS(AQ361="","Sem Produto",AND(AQ361/(AA361/12)&gt;0,AQ361/(AA361/12)&lt;=2),"Acabando",AND(AQ361/(AA361/12)&gt;2,AQ361/(AA361/12)&lt;=3),"Fazer Pedido",AND(AQ361/(AA361/12)&gt;3,AQ361/(AA361/12)&lt;=7),"OK",AND(AQ361/(AA361/12)&gt;7,AQ361/(AA361/12)&lt;=14),"Abaixar Preço",AND(AQ361/(AA361/12)&gt;14,AQ361/(AA361/12)&lt;=20),"Estabilizando",AQ361/(AA361/12)&gt;20,"Instavel"),"Instavel")</f>
        <v>Sem Produto</v>
      </c>
      <c r="AJ361" s="1" t="str" cm="1">
        <f t="array" ref="AJ361">IFERROR(_xlfn.IFS(AR361="","Sem Produto",AND(AR361/(AB361/12)&gt;0,AR361/(AB361/12)&lt;=2),"Acabando",AND(AR361/(AB361/12)&gt;2,AR361/(AB361/12)&lt;=3),"Fazer Pedido",AND(AR361/(AB361/12)&gt;3,AR361/(AB361/12)&lt;=7),"OK",AND(AR361/(AB361/12)&gt;7,AR361/(AB361/12)&lt;=14),"Abaixar Preço",AND(AR361/(AB361/12)&gt;14,AR361/(AB361/12)&lt;=20),"Estabilizando",AR361/(AB361/12)&gt;20,"Instavel"),"Instavel")</f>
        <v>Sem Produto</v>
      </c>
      <c r="AK361" s="1" t="str" cm="1">
        <f t="array" ref="AK361">IFERROR(_xlfn.IFS(AS361="","Sem Produto",AND(AS361/(AC361/12)&gt;0,AS361/(AC361/12)&lt;=2),"Acabando",AND(AS361/(AC361/12)&gt;2,AS361/(AC361/12)&lt;=3),"Fazer Pedido",AND(AS361/(AC361/12)&gt;3,AS361/(AC361/12)&lt;=7),"OK",AND(AS361/(AC361/12)&gt;7,AS361/(AC361/12)&lt;=14),"Abaixar Preço",AND(AS361/(AC361/12)&gt;14,AS361/(AC361/12)&lt;=20),"Estabilizando",AS361/(AC361/12)&gt;20,"Instavel"),"Instavel")</f>
        <v>Sem Produto</v>
      </c>
      <c r="AL361" s="1" t="str" cm="1">
        <f t="array" ref="AL361">IFERROR(_xlfn.IFS(AT361="","Sem Produto",AND(AT361/(AD361/12)&gt;0,AT361/(AD361/12)&lt;=2),"Acabando",AND(AT361/(AD361/12)&gt;2,AT361/(AD361/12)&lt;=3),"Fazer Pedido",AND(AT361/(AD361/12)&gt;3,AT361/(AD361/12)&lt;=7),"OK",AND(AT361/(AD361/12)&gt;7,AT361/(AD361/12)&lt;=14),"Abaixar Preço",AND(AT361/(AD361/12)&gt;14,AT361/(AD361/12)&lt;=20),"Estabilizando",AT361/(AD361/12)&gt;20,"Instavel"),"Instavel")</f>
        <v>Sem Produto</v>
      </c>
      <c r="AM361" s="1" t="str" cm="1">
        <f t="array" ref="AM361">IFERROR(_xlfn.IFS(AU361="","Sem Produto",AND(AU361/(AE361/12)&gt;0,AU361/(AE361/12)&lt;=2),"Acabando",AND(AU361/(AE361/12)&gt;2,AU361/(AE361/12)&lt;=3),"Fazer Pedido",AND(AU361/(AE361/12)&gt;3,AU361/(AE361/12)&lt;=7),"OK",AND(AU361/(AE361/12)&gt;7,AU361/(AE361/12)&lt;=14),"Abaixar Preço",AND(AU361/(AE361/12)&gt;14,AU361/(AE361/12)&lt;=20),"Estabilizando",AU361/(AE361/12)&gt;20,"Instavel"),"Instavel")</f>
        <v>Sem Produto</v>
      </c>
      <c r="AN361" s="1" t="str">
        <f>IF(SUMIF(vendaAno[data],SituaçãoEstoqueFluxo[[#This Row],[data]],vendaAno[estoque])=0,"Algo errado",IF(AND(AX361/AW361&gt;0,AX361/AW361&lt;=1),"Alerta",IF(AND(AX361/AW361&gt;1,AX361/AW361&lt;=1.5),"Fazer pedido",IF(AND(AX361/AW361&gt;1.5,AX361/AW361&lt;=2),"Ok",IF(AND(AX361/AW361&gt;2,AX361/AW361&lt;=2.5),"Estabilizando",IF(AND(AX361/AW361&gt;2.5,AX361/AW361&lt;=3),"Cheio","Abaixar preço"))))))</f>
        <v>Algo errado</v>
      </c>
      <c r="AO361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1" s="116">
        <f t="shared" si="18"/>
        <v>45873</v>
      </c>
      <c r="AQ361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1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1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1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1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1" s="82" cm="1">
        <f t="array" aca="1" ref="AV361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1" s="82" cm="1">
        <f t="array" aca="1" ref="AW361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1" s="82">
        <f>SUM(FluxoEstoqueDateTime[[#This Row],[OVO BRANCO A]:[OVO BRANCO JUMBO]])</f>
        <v>0</v>
      </c>
    </row>
    <row r="362" spans="1:50" x14ac:dyDescent="0.25">
      <c r="A362" s="4" t="s">
        <v>20</v>
      </c>
      <c r="B362" s="55" t="s">
        <v>14</v>
      </c>
      <c r="C362" s="5">
        <v>7</v>
      </c>
      <c r="D362" s="56">
        <v>24</v>
      </c>
      <c r="E362" s="56">
        <v>168</v>
      </c>
      <c r="F362" s="157">
        <v>46154</v>
      </c>
      <c r="G362" s="4" t="s">
        <v>290</v>
      </c>
      <c r="H362" s="4" t="s">
        <v>147</v>
      </c>
      <c r="I362" s="153">
        <v>45.5</v>
      </c>
      <c r="J362" s="12">
        <v>0.27083333333333331</v>
      </c>
      <c r="Z362" s="116">
        <f t="shared" si="16"/>
        <v>45872</v>
      </c>
      <c r="AA362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2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2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2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2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2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2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2" s="116">
        <f t="shared" si="17"/>
        <v>45872</v>
      </c>
      <c r="AI362" s="1" t="str" cm="1">
        <f t="array" ref="AI362">IFERROR(_xlfn.IFS(AQ362="","Sem Produto",AND(AQ362/(AA362/12)&gt;0,AQ362/(AA362/12)&lt;=2),"Acabando",AND(AQ362/(AA362/12)&gt;2,AQ362/(AA362/12)&lt;=3),"Fazer Pedido",AND(AQ362/(AA362/12)&gt;3,AQ362/(AA362/12)&lt;=7),"OK",AND(AQ362/(AA362/12)&gt;7,AQ362/(AA362/12)&lt;=14),"Abaixar Preço",AND(AQ362/(AA362/12)&gt;14,AQ362/(AA362/12)&lt;=20),"Estabilizando",AQ362/(AA362/12)&gt;20,"Instavel"),"Instavel")</f>
        <v>Sem Produto</v>
      </c>
      <c r="AJ362" s="1" t="str" cm="1">
        <f t="array" ref="AJ362">IFERROR(_xlfn.IFS(AR362="","Sem Produto",AND(AR362/(AB362/12)&gt;0,AR362/(AB362/12)&lt;=2),"Acabando",AND(AR362/(AB362/12)&gt;2,AR362/(AB362/12)&lt;=3),"Fazer Pedido",AND(AR362/(AB362/12)&gt;3,AR362/(AB362/12)&lt;=7),"OK",AND(AR362/(AB362/12)&gt;7,AR362/(AB362/12)&lt;=14),"Abaixar Preço",AND(AR362/(AB362/12)&gt;14,AR362/(AB362/12)&lt;=20),"Estabilizando",AR362/(AB362/12)&gt;20,"Instavel"),"Instavel")</f>
        <v>Sem Produto</v>
      </c>
      <c r="AK362" s="1" t="str" cm="1">
        <f t="array" ref="AK362">IFERROR(_xlfn.IFS(AS362="","Sem Produto",AND(AS362/(AC362/12)&gt;0,AS362/(AC362/12)&lt;=2),"Acabando",AND(AS362/(AC362/12)&gt;2,AS362/(AC362/12)&lt;=3),"Fazer Pedido",AND(AS362/(AC362/12)&gt;3,AS362/(AC362/12)&lt;=7),"OK",AND(AS362/(AC362/12)&gt;7,AS362/(AC362/12)&lt;=14),"Abaixar Preço",AND(AS362/(AC362/12)&gt;14,AS362/(AC362/12)&lt;=20),"Estabilizando",AS362/(AC362/12)&gt;20,"Instavel"),"Instavel")</f>
        <v>Sem Produto</v>
      </c>
      <c r="AL362" s="1" t="str" cm="1">
        <f t="array" ref="AL362">IFERROR(_xlfn.IFS(AT362="","Sem Produto",AND(AT362/(AD362/12)&gt;0,AT362/(AD362/12)&lt;=2),"Acabando",AND(AT362/(AD362/12)&gt;2,AT362/(AD362/12)&lt;=3),"Fazer Pedido",AND(AT362/(AD362/12)&gt;3,AT362/(AD362/12)&lt;=7),"OK",AND(AT362/(AD362/12)&gt;7,AT362/(AD362/12)&lt;=14),"Abaixar Preço",AND(AT362/(AD362/12)&gt;14,AT362/(AD362/12)&lt;=20),"Estabilizando",AT362/(AD362/12)&gt;20,"Instavel"),"Instavel")</f>
        <v>Sem Produto</v>
      </c>
      <c r="AM362" s="1" t="str" cm="1">
        <f t="array" ref="AM362">IFERROR(_xlfn.IFS(AU362="","Sem Produto",AND(AU362/(AE362/12)&gt;0,AU362/(AE362/12)&lt;=2),"Acabando",AND(AU362/(AE362/12)&gt;2,AU362/(AE362/12)&lt;=3),"Fazer Pedido",AND(AU362/(AE362/12)&gt;3,AU362/(AE362/12)&lt;=7),"OK",AND(AU362/(AE362/12)&gt;7,AU362/(AE362/12)&lt;=14),"Abaixar Preço",AND(AU362/(AE362/12)&gt;14,AU362/(AE362/12)&lt;=20),"Estabilizando",AU362/(AE362/12)&gt;20,"Instavel"),"Instavel")</f>
        <v>Sem Produto</v>
      </c>
      <c r="AN362" s="1" t="str">
        <f>IF(SUMIF(vendaAno[data],SituaçãoEstoqueFluxo[[#This Row],[data]],vendaAno[estoque])=0,"Algo errado",IF(AND(AX362/AW362&gt;0,AX362/AW362&lt;=1),"Alerta",IF(AND(AX362/AW362&gt;1,AX362/AW362&lt;=1.5),"Fazer pedido",IF(AND(AX362/AW362&gt;1.5,AX362/AW362&lt;=2),"Ok",IF(AND(AX362/AW362&gt;2,AX362/AW362&lt;=2.5),"Estabilizando",IF(AND(AX362/AW362&gt;2.5,AX362/AW362&lt;=3),"Cheio","Abaixar preço"))))))</f>
        <v>Algo errado</v>
      </c>
      <c r="AO362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2" s="116">
        <f t="shared" si="18"/>
        <v>45872</v>
      </c>
      <c r="AQ362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2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2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2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2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2" s="82" cm="1">
        <f t="array" aca="1" ref="AV362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2" s="82" cm="1">
        <f t="array" aca="1" ref="AW362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2" s="82">
        <f>SUM(FluxoEstoqueDateTime[[#This Row],[OVO BRANCO A]:[OVO BRANCO JUMBO]])</f>
        <v>0</v>
      </c>
    </row>
    <row r="363" spans="1:50" x14ac:dyDescent="0.25">
      <c r="A363" s="4" t="s">
        <v>20</v>
      </c>
      <c r="B363" s="55" t="s">
        <v>13</v>
      </c>
      <c r="C363" s="5">
        <v>10</v>
      </c>
      <c r="D363" s="56">
        <v>22</v>
      </c>
      <c r="E363" s="56">
        <v>220</v>
      </c>
      <c r="F363" s="157">
        <v>46154</v>
      </c>
      <c r="G363" s="4" t="s">
        <v>290</v>
      </c>
      <c r="H363" s="4" t="s">
        <v>147</v>
      </c>
      <c r="I363" s="153">
        <v>49.17</v>
      </c>
      <c r="J363" s="12">
        <v>0.22348484848484837</v>
      </c>
      <c r="Z363" s="116">
        <f t="shared" si="16"/>
        <v>45871</v>
      </c>
      <c r="AA363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3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3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3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3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3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3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3" s="116">
        <f t="shared" si="17"/>
        <v>45871</v>
      </c>
      <c r="AI363" s="1" t="str" cm="1">
        <f t="array" ref="AI363">IFERROR(_xlfn.IFS(AQ363="","Sem Produto",AND(AQ363/(AA363/12)&gt;0,AQ363/(AA363/12)&lt;=2),"Acabando",AND(AQ363/(AA363/12)&gt;2,AQ363/(AA363/12)&lt;=3),"Fazer Pedido",AND(AQ363/(AA363/12)&gt;3,AQ363/(AA363/12)&lt;=7),"OK",AND(AQ363/(AA363/12)&gt;7,AQ363/(AA363/12)&lt;=14),"Abaixar Preço",AND(AQ363/(AA363/12)&gt;14,AQ363/(AA363/12)&lt;=20),"Estabilizando",AQ363/(AA363/12)&gt;20,"Instavel"),"Instavel")</f>
        <v>Sem Produto</v>
      </c>
      <c r="AJ363" s="1" t="str" cm="1">
        <f t="array" ref="AJ363">IFERROR(_xlfn.IFS(AR363="","Sem Produto",AND(AR363/(AB363/12)&gt;0,AR363/(AB363/12)&lt;=2),"Acabando",AND(AR363/(AB363/12)&gt;2,AR363/(AB363/12)&lt;=3),"Fazer Pedido",AND(AR363/(AB363/12)&gt;3,AR363/(AB363/12)&lt;=7),"OK",AND(AR363/(AB363/12)&gt;7,AR363/(AB363/12)&lt;=14),"Abaixar Preço",AND(AR363/(AB363/12)&gt;14,AR363/(AB363/12)&lt;=20),"Estabilizando",AR363/(AB363/12)&gt;20,"Instavel"),"Instavel")</f>
        <v>Sem Produto</v>
      </c>
      <c r="AK363" s="1" t="str" cm="1">
        <f t="array" ref="AK363">IFERROR(_xlfn.IFS(AS363="","Sem Produto",AND(AS363/(AC363/12)&gt;0,AS363/(AC363/12)&lt;=2),"Acabando",AND(AS363/(AC363/12)&gt;2,AS363/(AC363/12)&lt;=3),"Fazer Pedido",AND(AS363/(AC363/12)&gt;3,AS363/(AC363/12)&lt;=7),"OK",AND(AS363/(AC363/12)&gt;7,AS363/(AC363/12)&lt;=14),"Abaixar Preço",AND(AS363/(AC363/12)&gt;14,AS363/(AC363/12)&lt;=20),"Estabilizando",AS363/(AC363/12)&gt;20,"Instavel"),"Instavel")</f>
        <v>Sem Produto</v>
      </c>
      <c r="AL363" s="1" t="str" cm="1">
        <f t="array" ref="AL363">IFERROR(_xlfn.IFS(AT363="","Sem Produto",AND(AT363/(AD363/12)&gt;0,AT363/(AD363/12)&lt;=2),"Acabando",AND(AT363/(AD363/12)&gt;2,AT363/(AD363/12)&lt;=3),"Fazer Pedido",AND(AT363/(AD363/12)&gt;3,AT363/(AD363/12)&lt;=7),"OK",AND(AT363/(AD363/12)&gt;7,AT363/(AD363/12)&lt;=14),"Abaixar Preço",AND(AT363/(AD363/12)&gt;14,AT363/(AD363/12)&lt;=20),"Estabilizando",AT363/(AD363/12)&gt;20,"Instavel"),"Instavel")</f>
        <v>Sem Produto</v>
      </c>
      <c r="AM363" s="1" t="str" cm="1">
        <f t="array" ref="AM363">IFERROR(_xlfn.IFS(AU363="","Sem Produto",AND(AU363/(AE363/12)&gt;0,AU363/(AE363/12)&lt;=2),"Acabando",AND(AU363/(AE363/12)&gt;2,AU363/(AE363/12)&lt;=3),"Fazer Pedido",AND(AU363/(AE363/12)&gt;3,AU363/(AE363/12)&lt;=7),"OK",AND(AU363/(AE363/12)&gt;7,AU363/(AE363/12)&lt;=14),"Abaixar Preço",AND(AU363/(AE363/12)&gt;14,AU363/(AE363/12)&lt;=20),"Estabilizando",AU363/(AE363/12)&gt;20,"Instavel"),"Instavel")</f>
        <v>Sem Produto</v>
      </c>
      <c r="AN363" s="1" t="str">
        <f>IF(SUMIF(vendaAno[data],SituaçãoEstoqueFluxo[[#This Row],[data]],vendaAno[estoque])=0,"Algo errado",IF(AND(AX363/AW363&gt;0,AX363/AW363&lt;=1),"Alerta",IF(AND(AX363/AW363&gt;1,AX363/AW363&lt;=1.5),"Fazer pedido",IF(AND(AX363/AW363&gt;1.5,AX363/AW363&lt;=2),"Ok",IF(AND(AX363/AW363&gt;2,AX363/AW363&lt;=2.5),"Estabilizando",IF(AND(AX363/AW363&gt;2.5,AX363/AW363&lt;=3),"Cheio","Abaixar preço"))))))</f>
        <v>Algo errado</v>
      </c>
      <c r="AO363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3" s="116">
        <f t="shared" si="18"/>
        <v>45871</v>
      </c>
      <c r="AQ363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3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3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3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3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3" s="82" cm="1">
        <f t="array" aca="1" ref="AV363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3" s="82" cm="1">
        <f t="array" aca="1" ref="AW363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3" s="82">
        <f>SUM(FluxoEstoqueDateTime[[#This Row],[OVO BRANCO A]:[OVO BRANCO JUMBO]])</f>
        <v>0</v>
      </c>
    </row>
    <row r="364" spans="1:50" x14ac:dyDescent="0.25">
      <c r="A364" s="4" t="s">
        <v>20</v>
      </c>
      <c r="B364" s="55" t="s">
        <v>11</v>
      </c>
      <c r="C364" s="5">
        <v>4</v>
      </c>
      <c r="D364" s="56">
        <v>20</v>
      </c>
      <c r="E364" s="56">
        <v>80</v>
      </c>
      <c r="F364" s="157">
        <v>46154</v>
      </c>
      <c r="G364" s="4" t="s">
        <v>290</v>
      </c>
      <c r="H364" s="4" t="s">
        <v>147</v>
      </c>
      <c r="I364" s="153">
        <v>15.02</v>
      </c>
      <c r="J364" s="12">
        <v>0.18776606829592382</v>
      </c>
      <c r="Z364" s="116">
        <f t="shared" si="16"/>
        <v>45870</v>
      </c>
      <c r="AA364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4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4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4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4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4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4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4" s="116">
        <f t="shared" si="17"/>
        <v>45870</v>
      </c>
      <c r="AI364" s="1" t="str" cm="1">
        <f t="array" ref="AI364">IFERROR(_xlfn.IFS(AQ364="","Sem Produto",AND(AQ364/(AA364/12)&gt;0,AQ364/(AA364/12)&lt;=2),"Acabando",AND(AQ364/(AA364/12)&gt;2,AQ364/(AA364/12)&lt;=3),"Fazer Pedido",AND(AQ364/(AA364/12)&gt;3,AQ364/(AA364/12)&lt;=7),"OK",AND(AQ364/(AA364/12)&gt;7,AQ364/(AA364/12)&lt;=14),"Abaixar Preço",AND(AQ364/(AA364/12)&gt;14,AQ364/(AA364/12)&lt;=20),"Estabilizando",AQ364/(AA364/12)&gt;20,"Instavel"),"Instavel")</f>
        <v>Sem Produto</v>
      </c>
      <c r="AJ364" s="1" t="str" cm="1">
        <f t="array" ref="AJ364">IFERROR(_xlfn.IFS(AR364="","Sem Produto",AND(AR364/(AB364/12)&gt;0,AR364/(AB364/12)&lt;=2),"Acabando",AND(AR364/(AB364/12)&gt;2,AR364/(AB364/12)&lt;=3),"Fazer Pedido",AND(AR364/(AB364/12)&gt;3,AR364/(AB364/12)&lt;=7),"OK",AND(AR364/(AB364/12)&gt;7,AR364/(AB364/12)&lt;=14),"Abaixar Preço",AND(AR364/(AB364/12)&gt;14,AR364/(AB364/12)&lt;=20),"Estabilizando",AR364/(AB364/12)&gt;20,"Instavel"),"Instavel")</f>
        <v>Sem Produto</v>
      </c>
      <c r="AK364" s="1" t="str" cm="1">
        <f t="array" ref="AK364">IFERROR(_xlfn.IFS(AS364="","Sem Produto",AND(AS364/(AC364/12)&gt;0,AS364/(AC364/12)&lt;=2),"Acabando",AND(AS364/(AC364/12)&gt;2,AS364/(AC364/12)&lt;=3),"Fazer Pedido",AND(AS364/(AC364/12)&gt;3,AS364/(AC364/12)&lt;=7),"OK",AND(AS364/(AC364/12)&gt;7,AS364/(AC364/12)&lt;=14),"Abaixar Preço",AND(AS364/(AC364/12)&gt;14,AS364/(AC364/12)&lt;=20),"Estabilizando",AS364/(AC364/12)&gt;20,"Instavel"),"Instavel")</f>
        <v>Sem Produto</v>
      </c>
      <c r="AL364" s="1" t="str" cm="1">
        <f t="array" ref="AL364">IFERROR(_xlfn.IFS(AT364="","Sem Produto",AND(AT364/(AD364/12)&gt;0,AT364/(AD364/12)&lt;=2),"Acabando",AND(AT364/(AD364/12)&gt;2,AT364/(AD364/12)&lt;=3),"Fazer Pedido",AND(AT364/(AD364/12)&gt;3,AT364/(AD364/12)&lt;=7),"OK",AND(AT364/(AD364/12)&gt;7,AT364/(AD364/12)&lt;=14),"Abaixar Preço",AND(AT364/(AD364/12)&gt;14,AT364/(AD364/12)&lt;=20),"Estabilizando",AT364/(AD364/12)&gt;20,"Instavel"),"Instavel")</f>
        <v>Sem Produto</v>
      </c>
      <c r="AM364" s="1" t="str" cm="1">
        <f t="array" ref="AM364">IFERROR(_xlfn.IFS(AU364="","Sem Produto",AND(AU364/(AE364/12)&gt;0,AU364/(AE364/12)&lt;=2),"Acabando",AND(AU364/(AE364/12)&gt;2,AU364/(AE364/12)&lt;=3),"Fazer Pedido",AND(AU364/(AE364/12)&gt;3,AU364/(AE364/12)&lt;=7),"OK",AND(AU364/(AE364/12)&gt;7,AU364/(AE364/12)&lt;=14),"Abaixar Preço",AND(AU364/(AE364/12)&gt;14,AU364/(AE364/12)&lt;=20),"Estabilizando",AU364/(AE364/12)&gt;20,"Instavel"),"Instavel")</f>
        <v>Sem Produto</v>
      </c>
      <c r="AN364" s="1" t="str">
        <f>IF(SUMIF(vendaAno[data],SituaçãoEstoqueFluxo[[#This Row],[data]],vendaAno[estoque])=0,"Algo errado",IF(AND(AX364/AW364&gt;0,AX364/AW364&lt;=1),"Alerta",IF(AND(AX364/AW364&gt;1,AX364/AW364&lt;=1.5),"Fazer pedido",IF(AND(AX364/AW364&gt;1.5,AX364/AW364&lt;=2),"Ok",IF(AND(AX364/AW364&gt;2,AX364/AW364&lt;=2.5),"Estabilizando",IF(AND(AX364/AW364&gt;2.5,AX364/AW364&lt;=3),"Cheio","Abaixar preço"))))))</f>
        <v>Algo errado</v>
      </c>
      <c r="AO364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4" s="116">
        <f t="shared" si="18"/>
        <v>45870</v>
      </c>
      <c r="AQ364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4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4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4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4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4" s="82" cm="1">
        <f t="array" aca="1" ref="AV364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4" s="82" cm="1">
        <f t="array" aca="1" ref="AW364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4" s="82">
        <f>SUM(FluxoEstoqueDateTime[[#This Row],[OVO BRANCO A]:[OVO BRANCO JUMBO]])</f>
        <v>0</v>
      </c>
    </row>
    <row r="365" spans="1:50" x14ac:dyDescent="0.25">
      <c r="A365" s="4" t="s">
        <v>20</v>
      </c>
      <c r="B365" s="55" t="s">
        <v>10</v>
      </c>
      <c r="C365" s="5">
        <v>2</v>
      </c>
      <c r="D365" s="56">
        <v>21</v>
      </c>
      <c r="E365" s="56">
        <v>42</v>
      </c>
      <c r="F365" s="157">
        <v>46154</v>
      </c>
      <c r="G365" s="4" t="s">
        <v>290</v>
      </c>
      <c r="H365" s="4" t="s">
        <v>147</v>
      </c>
      <c r="I365" s="153">
        <v>8.68</v>
      </c>
      <c r="J365" s="12">
        <v>0.20662635424540202</v>
      </c>
      <c r="Z365" s="116">
        <f t="shared" si="16"/>
        <v>45869</v>
      </c>
      <c r="AA365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5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5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5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5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5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5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5" s="116">
        <f t="shared" si="17"/>
        <v>45869</v>
      </c>
      <c r="AI365" s="1" t="str" cm="1">
        <f t="array" ref="AI365">IFERROR(_xlfn.IFS(AQ365="","Sem Produto",AND(AQ365/(AA365/12)&gt;0,AQ365/(AA365/12)&lt;=2),"Acabando",AND(AQ365/(AA365/12)&gt;2,AQ365/(AA365/12)&lt;=3),"Fazer Pedido",AND(AQ365/(AA365/12)&gt;3,AQ365/(AA365/12)&lt;=7),"OK",AND(AQ365/(AA365/12)&gt;7,AQ365/(AA365/12)&lt;=14),"Abaixar Preço",AND(AQ365/(AA365/12)&gt;14,AQ365/(AA365/12)&lt;=20),"Estabilizando",AQ365/(AA365/12)&gt;20,"Instavel"),"Instavel")</f>
        <v>Sem Produto</v>
      </c>
      <c r="AJ365" s="1" t="str" cm="1">
        <f t="array" ref="AJ365">IFERROR(_xlfn.IFS(AR365="","Sem Produto",AND(AR365/(AB365/12)&gt;0,AR365/(AB365/12)&lt;=2),"Acabando",AND(AR365/(AB365/12)&gt;2,AR365/(AB365/12)&lt;=3),"Fazer Pedido",AND(AR365/(AB365/12)&gt;3,AR365/(AB365/12)&lt;=7),"OK",AND(AR365/(AB365/12)&gt;7,AR365/(AB365/12)&lt;=14),"Abaixar Preço",AND(AR365/(AB365/12)&gt;14,AR365/(AB365/12)&lt;=20),"Estabilizando",AR365/(AB365/12)&gt;20,"Instavel"),"Instavel")</f>
        <v>Sem Produto</v>
      </c>
      <c r="AK365" s="1" t="str" cm="1">
        <f t="array" ref="AK365">IFERROR(_xlfn.IFS(AS365="","Sem Produto",AND(AS365/(AC365/12)&gt;0,AS365/(AC365/12)&lt;=2),"Acabando",AND(AS365/(AC365/12)&gt;2,AS365/(AC365/12)&lt;=3),"Fazer Pedido",AND(AS365/(AC365/12)&gt;3,AS365/(AC365/12)&lt;=7),"OK",AND(AS365/(AC365/12)&gt;7,AS365/(AC365/12)&lt;=14),"Abaixar Preço",AND(AS365/(AC365/12)&gt;14,AS365/(AC365/12)&lt;=20),"Estabilizando",AS365/(AC365/12)&gt;20,"Instavel"),"Instavel")</f>
        <v>Sem Produto</v>
      </c>
      <c r="AL365" s="1" t="str" cm="1">
        <f t="array" ref="AL365">IFERROR(_xlfn.IFS(AT365="","Sem Produto",AND(AT365/(AD365/12)&gt;0,AT365/(AD365/12)&lt;=2),"Acabando",AND(AT365/(AD365/12)&gt;2,AT365/(AD365/12)&lt;=3),"Fazer Pedido",AND(AT365/(AD365/12)&gt;3,AT365/(AD365/12)&lt;=7),"OK",AND(AT365/(AD365/12)&gt;7,AT365/(AD365/12)&lt;=14),"Abaixar Preço",AND(AT365/(AD365/12)&gt;14,AT365/(AD365/12)&lt;=20),"Estabilizando",AT365/(AD365/12)&gt;20,"Instavel"),"Instavel")</f>
        <v>Sem Produto</v>
      </c>
      <c r="AM365" s="1" t="str" cm="1">
        <f t="array" ref="AM365">IFERROR(_xlfn.IFS(AU365="","Sem Produto",AND(AU365/(AE365/12)&gt;0,AU365/(AE365/12)&lt;=2),"Acabando",AND(AU365/(AE365/12)&gt;2,AU365/(AE365/12)&lt;=3),"Fazer Pedido",AND(AU365/(AE365/12)&gt;3,AU365/(AE365/12)&lt;=7),"OK",AND(AU365/(AE365/12)&gt;7,AU365/(AE365/12)&lt;=14),"Abaixar Preço",AND(AU365/(AE365/12)&gt;14,AU365/(AE365/12)&lt;=20),"Estabilizando",AU365/(AE365/12)&gt;20,"Instavel"),"Instavel")</f>
        <v>Sem Produto</v>
      </c>
      <c r="AN365" s="1" t="str">
        <f>IF(SUMIF(vendaAno[data],SituaçãoEstoqueFluxo[[#This Row],[data]],vendaAno[estoque])=0,"Algo errado",IF(AND(AX365/AW365&gt;0,AX365/AW365&lt;=1),"Alerta",IF(AND(AX365/AW365&gt;1,AX365/AW365&lt;=1.5),"Fazer pedido",IF(AND(AX365/AW365&gt;1.5,AX365/AW365&lt;=2),"Ok",IF(AND(AX365/AW365&gt;2,AX365/AW365&lt;=2.5),"Estabilizando",IF(AND(AX365/AW365&gt;2.5,AX365/AW365&lt;=3),"Cheio","Abaixar preço"))))))</f>
        <v>Algo errado</v>
      </c>
      <c r="AO365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5" s="116">
        <f t="shared" si="18"/>
        <v>45869</v>
      </c>
      <c r="AQ365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5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5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5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5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5" s="82" cm="1">
        <f t="array" aca="1" ref="AV365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5" s="82" cm="1">
        <f t="array" aca="1" ref="AW365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5" s="82">
        <f>SUM(FluxoEstoqueDateTime[[#This Row],[OVO BRANCO A]:[OVO BRANCO JUMBO]])</f>
        <v>0</v>
      </c>
    </row>
    <row r="366" spans="1:50" x14ac:dyDescent="0.25">
      <c r="A366" s="4" t="s">
        <v>20</v>
      </c>
      <c r="B366" s="55" t="s">
        <v>14</v>
      </c>
      <c r="C366" s="5">
        <v>12</v>
      </c>
      <c r="D366" s="56">
        <v>24</v>
      </c>
      <c r="E366" s="56">
        <v>276</v>
      </c>
      <c r="F366" s="157">
        <v>46153</v>
      </c>
      <c r="G366" s="4" t="s">
        <v>291</v>
      </c>
      <c r="H366" s="4" t="s">
        <v>147</v>
      </c>
      <c r="I366" s="153">
        <v>66</v>
      </c>
      <c r="J366" s="12">
        <v>0.2391304347826087</v>
      </c>
      <c r="Z366" s="116">
        <f t="shared" si="16"/>
        <v>45868</v>
      </c>
      <c r="AA366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6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6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6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6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6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6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6" s="116">
        <f t="shared" si="17"/>
        <v>45868</v>
      </c>
      <c r="AI366" s="1" t="str" cm="1">
        <f t="array" ref="AI366">IFERROR(_xlfn.IFS(AQ366="","Sem Produto",AND(AQ366/(AA366/12)&gt;0,AQ366/(AA366/12)&lt;=2),"Acabando",AND(AQ366/(AA366/12)&gt;2,AQ366/(AA366/12)&lt;=3),"Fazer Pedido",AND(AQ366/(AA366/12)&gt;3,AQ366/(AA366/12)&lt;=7),"OK",AND(AQ366/(AA366/12)&gt;7,AQ366/(AA366/12)&lt;=14),"Abaixar Preço",AND(AQ366/(AA366/12)&gt;14,AQ366/(AA366/12)&lt;=20),"Estabilizando",AQ366/(AA366/12)&gt;20,"Instavel"),"Instavel")</f>
        <v>Sem Produto</v>
      </c>
      <c r="AJ366" s="1" t="str" cm="1">
        <f t="array" ref="AJ366">IFERROR(_xlfn.IFS(AR366="","Sem Produto",AND(AR366/(AB366/12)&gt;0,AR366/(AB366/12)&lt;=2),"Acabando",AND(AR366/(AB366/12)&gt;2,AR366/(AB366/12)&lt;=3),"Fazer Pedido",AND(AR366/(AB366/12)&gt;3,AR366/(AB366/12)&lt;=7),"OK",AND(AR366/(AB366/12)&gt;7,AR366/(AB366/12)&lt;=14),"Abaixar Preço",AND(AR366/(AB366/12)&gt;14,AR366/(AB366/12)&lt;=20),"Estabilizando",AR366/(AB366/12)&gt;20,"Instavel"),"Instavel")</f>
        <v>Sem Produto</v>
      </c>
      <c r="AK366" s="1" t="str" cm="1">
        <f t="array" ref="AK366">IFERROR(_xlfn.IFS(AS366="","Sem Produto",AND(AS366/(AC366/12)&gt;0,AS366/(AC366/12)&lt;=2),"Acabando",AND(AS366/(AC366/12)&gt;2,AS366/(AC366/12)&lt;=3),"Fazer Pedido",AND(AS366/(AC366/12)&gt;3,AS366/(AC366/12)&lt;=7),"OK",AND(AS366/(AC366/12)&gt;7,AS366/(AC366/12)&lt;=14),"Abaixar Preço",AND(AS366/(AC366/12)&gt;14,AS366/(AC366/12)&lt;=20),"Estabilizando",AS366/(AC366/12)&gt;20,"Instavel"),"Instavel")</f>
        <v>Sem Produto</v>
      </c>
      <c r="AL366" s="1" t="str" cm="1">
        <f t="array" ref="AL366">IFERROR(_xlfn.IFS(AT366="","Sem Produto",AND(AT366/(AD366/12)&gt;0,AT366/(AD366/12)&lt;=2),"Acabando",AND(AT366/(AD366/12)&gt;2,AT366/(AD366/12)&lt;=3),"Fazer Pedido",AND(AT366/(AD366/12)&gt;3,AT366/(AD366/12)&lt;=7),"OK",AND(AT366/(AD366/12)&gt;7,AT366/(AD366/12)&lt;=14),"Abaixar Preço",AND(AT366/(AD366/12)&gt;14,AT366/(AD366/12)&lt;=20),"Estabilizando",AT366/(AD366/12)&gt;20,"Instavel"),"Instavel")</f>
        <v>Sem Produto</v>
      </c>
      <c r="AM366" s="1" t="str" cm="1">
        <f t="array" ref="AM366">IFERROR(_xlfn.IFS(AU366="","Sem Produto",AND(AU366/(AE366/12)&gt;0,AU366/(AE366/12)&lt;=2),"Acabando",AND(AU366/(AE366/12)&gt;2,AU366/(AE366/12)&lt;=3),"Fazer Pedido",AND(AU366/(AE366/12)&gt;3,AU366/(AE366/12)&lt;=7),"OK",AND(AU366/(AE366/12)&gt;7,AU366/(AE366/12)&lt;=14),"Abaixar Preço",AND(AU366/(AE366/12)&gt;14,AU366/(AE366/12)&lt;=20),"Estabilizando",AU366/(AE366/12)&gt;20,"Instavel"),"Instavel")</f>
        <v>Sem Produto</v>
      </c>
      <c r="AN366" s="1" t="str">
        <f>IF(SUMIF(vendaAno[data],SituaçãoEstoqueFluxo[[#This Row],[data]],vendaAno[estoque])=0,"Algo errado",IF(AND(AX366/AW366&gt;0,AX366/AW366&lt;=1),"Alerta",IF(AND(AX366/AW366&gt;1,AX366/AW366&lt;=1.5),"Fazer pedido",IF(AND(AX366/AW366&gt;1.5,AX366/AW366&lt;=2),"Ok",IF(AND(AX366/AW366&gt;2,AX366/AW366&lt;=2.5),"Estabilizando",IF(AND(AX366/AW366&gt;2.5,AX366/AW366&lt;=3),"Cheio","Abaixar preço"))))))</f>
        <v>Algo errado</v>
      </c>
      <c r="AO366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6" s="116">
        <f t="shared" si="18"/>
        <v>45868</v>
      </c>
      <c r="AQ366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6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6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6" s="81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6" s="81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6" s="82" cm="1">
        <f t="array" aca="1" ref="AV366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6" s="82" cm="1">
        <f t="array" aca="1" ref="AW366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6" s="82">
        <f>SUM(FluxoEstoqueDateTime[[#This Row],[OVO BRANCO A]:[OVO BRANCO JUMBO]])</f>
        <v>0</v>
      </c>
    </row>
    <row r="367" spans="1:50" x14ac:dyDescent="0.25">
      <c r="A367" s="4" t="s">
        <v>20</v>
      </c>
      <c r="B367" s="55" t="s">
        <v>13</v>
      </c>
      <c r="C367" s="5">
        <v>9</v>
      </c>
      <c r="D367" s="56">
        <v>22</v>
      </c>
      <c r="E367" s="56">
        <v>198</v>
      </c>
      <c r="F367" s="157">
        <v>46153</v>
      </c>
      <c r="G367" s="4" t="s">
        <v>291</v>
      </c>
      <c r="H367" s="4" t="s">
        <v>147</v>
      </c>
      <c r="I367" s="153">
        <v>44.25</v>
      </c>
      <c r="J367" s="12">
        <v>0.22348484848484837</v>
      </c>
      <c r="Z367" s="116">
        <f t="shared" si="16"/>
        <v>45867</v>
      </c>
      <c r="AA367" s="82" t="str">
        <f>IF(SUMIFS(estoque[quantidade],estoque[fornecedor],"saída",estoque[produto],AA$1,estoque[data],"&gt;="&amp;FluxoMédiaEstoque[[#This Row],[data]]-6,estoque[data],"&lt;="&amp;FluxoMédiaEstoque[[#This Row],[data]])/7=0,"",SUMIFS(estoque[quantidade],estoque[fornecedor],"saída",estoque[produto],AA$1,estoque[data],"&gt;="&amp;FluxoMédiaEstoque[[#This Row],[data]]-6,estoque[data],"&lt;="&amp;FluxoMédiaEstoque[[#This Row],[data]])/7)</f>
        <v/>
      </c>
      <c r="AB367" s="82" t="str">
        <f>IF(SUMIFS(estoque[quantidade],estoque[fornecedor],"saída",estoque[produto],AB$1,estoque[data],"&gt;="&amp;FluxoMédiaEstoque[[#This Row],[data]]-6,estoque[data],"&lt;="&amp;FluxoMédiaEstoque[[#This Row],[data]])/7=0,"",SUMIFS(estoque[quantidade],estoque[fornecedor],"saída",estoque[produto],AB$1,estoque[data],"&gt;="&amp;FluxoMédiaEstoque[[#This Row],[data]]-6,estoque[data],"&lt;="&amp;FluxoMédiaEstoque[[#This Row],[data]])/7)</f>
        <v/>
      </c>
      <c r="AC367" s="82" t="str">
        <f>IF(SUMIFS(estoque[quantidade],estoque[fornecedor],"saída",estoque[produto],AC$1,estoque[data],"&gt;="&amp;FluxoMédiaEstoque[[#This Row],[data]]-6,estoque[data],"&lt;="&amp;FluxoMédiaEstoque[[#This Row],[data]])/7=0,"",SUMIFS(estoque[quantidade],estoque[fornecedor],"saída",estoque[produto],AC$1,estoque[data],"&gt;="&amp;FluxoMédiaEstoque[[#This Row],[data]]-6,estoque[data],"&lt;="&amp;FluxoMédiaEstoque[[#This Row],[data]])/7)</f>
        <v/>
      </c>
      <c r="AD367" s="82" t="str">
        <f>IF(SUMIFS(estoque[quantidade],estoque[fornecedor],"saída",estoque[produto],AD$1,estoque[data],"&gt;="&amp;FluxoMédiaEstoque[[#This Row],[data]]-6,estoque[data],"&lt;="&amp;FluxoMédiaEstoque[[#This Row],[data]])/7=0,"",SUMIFS(estoque[quantidade],estoque[fornecedor],"saída",estoque[produto],AD$1,estoque[data],"&gt;="&amp;FluxoMédiaEstoque[[#This Row],[data]]-6,estoque[data],"&lt;="&amp;FluxoMédiaEstoque[[#This Row],[data]])/7)</f>
        <v/>
      </c>
      <c r="AE367" s="82" t="str">
        <f>IF(SUMIFS(estoque[quantidade],estoque[fornecedor],"saída",estoque[produto],AE$1,estoque[data],"&gt;="&amp;FluxoMédiaEstoque[[#This Row],[data]]-6,estoque[data],"&lt;="&amp;FluxoMédiaEstoque[[#This Row],[data]])/7=0,"",SUMIFS(estoque[quantidade],estoque[fornecedor],"saída",estoque[produto],AE$1,estoque[data],"&gt;="&amp;FluxoMédiaEstoque[[#This Row],[data]]-6,estoque[data],"&lt;="&amp;FluxoMédiaEstoque[[#This Row],[data]])/7)</f>
        <v/>
      </c>
      <c r="AF367" s="82" t="str">
        <f>IF((SUMIFS(estoque[quantidade],estoque[fornecedor],"saída",estoque[data],"&gt;="&amp;FluxoMédiaEstoque[[#This Row],[data]]-6,estoque[data],"&lt;="&amp;FluxoMédiaEstoque[[#This Row],[data]])/7)=0,"",(SUMIFS(estoque[quantidade],estoque[fornecedor],"saída",estoque[data],"&gt;="&amp;FluxoMédiaEstoque[[#This Row],[data]]-6,estoque[data],"&lt;="&amp;FluxoMédiaEstoque[[#This Row],[data]])/7))</f>
        <v/>
      </c>
      <c r="AG367" s="82" t="str">
        <f>IFERROR(173.33/((SUMIFS(estoque[lucro],estoque[fornecedor],"saída",estoque[data],"&gt;="&amp;FluxoMédiaEstoque[[#This Row],[data]]-6,estoque[data],"&lt;="&amp;FluxoMédiaEstoque[[#This Row],[data]])/7)/(SUMIFS(estoque[quantidade],estoque[fornecedor],"saída",estoque[data],"&gt;="&amp;FluxoMédiaEstoque[[#This Row],[data]]-6,estoque[data],"&lt;="&amp;FluxoMédiaEstoque[[#This Row],[data]])/7)),"")</f>
        <v/>
      </c>
      <c r="AH367" s="116">
        <f t="shared" si="17"/>
        <v>45867</v>
      </c>
      <c r="AI367" s="1" t="str" cm="1">
        <f t="array" ref="AI367">IFERROR(_xlfn.IFS(AQ367="","Sem Produto",AND(AQ367/(AA367/12)&gt;0,AQ367/(AA367/12)&lt;=2),"Acabando",AND(AQ367/(AA367/12)&gt;2,AQ367/(AA367/12)&lt;=3),"Fazer Pedido",AND(AQ367/(AA367/12)&gt;3,AQ367/(AA367/12)&lt;=7),"OK",AND(AQ367/(AA367/12)&gt;7,AQ367/(AA367/12)&lt;=14),"Abaixar Preço",AND(AQ367/(AA367/12)&gt;14,AQ367/(AA367/12)&lt;=20),"Estabilizando",AQ367/(AA367/12)&gt;20,"Instavel"),"Instavel")</f>
        <v>Sem Produto</v>
      </c>
      <c r="AJ367" s="1" t="str" cm="1">
        <f t="array" ref="AJ367">IFERROR(_xlfn.IFS(AR367="","Sem Produto",AND(AR367/(AB367/12)&gt;0,AR367/(AB367/12)&lt;=2),"Acabando",AND(AR367/(AB367/12)&gt;2,AR367/(AB367/12)&lt;=3),"Fazer Pedido",AND(AR367/(AB367/12)&gt;3,AR367/(AB367/12)&lt;=7),"OK",AND(AR367/(AB367/12)&gt;7,AR367/(AB367/12)&lt;=14),"Abaixar Preço",AND(AR367/(AB367/12)&gt;14,AR367/(AB367/12)&lt;=20),"Estabilizando",AR367/(AB367/12)&gt;20,"Instavel"),"Instavel")</f>
        <v>Sem Produto</v>
      </c>
      <c r="AK367" s="1" t="str" cm="1">
        <f t="array" ref="AK367">IFERROR(_xlfn.IFS(AS367="","Sem Produto",AND(AS367/(AC367/12)&gt;0,AS367/(AC367/12)&lt;=2),"Acabando",AND(AS367/(AC367/12)&gt;2,AS367/(AC367/12)&lt;=3),"Fazer Pedido",AND(AS367/(AC367/12)&gt;3,AS367/(AC367/12)&lt;=7),"OK",AND(AS367/(AC367/12)&gt;7,AS367/(AC367/12)&lt;=14),"Abaixar Preço",AND(AS367/(AC367/12)&gt;14,AS367/(AC367/12)&lt;=20),"Estabilizando",AS367/(AC367/12)&gt;20,"Instavel"),"Instavel")</f>
        <v>Sem Produto</v>
      </c>
      <c r="AL367" s="1" t="str" cm="1">
        <f t="array" ref="AL367">IFERROR(_xlfn.IFS(AT367="","Sem Produto",AND(AT367/(AD367/12)&gt;0,AT367/(AD367/12)&lt;=2),"Acabando",AND(AT367/(AD367/12)&gt;2,AT367/(AD367/12)&lt;=3),"Fazer Pedido",AND(AT367/(AD367/12)&gt;3,AT367/(AD367/12)&lt;=7),"OK",AND(AT367/(AD367/12)&gt;7,AT367/(AD367/12)&lt;=14),"Abaixar Preço",AND(AT367/(AD367/12)&gt;14,AT367/(AD367/12)&lt;=20),"Estabilizando",AT367/(AD367/12)&gt;20,"Instavel"),"Instavel")</f>
        <v>Sem Produto</v>
      </c>
      <c r="AM367" s="1" t="str" cm="1">
        <f t="array" ref="AM367">IFERROR(_xlfn.IFS(AU367="","Sem Produto",AND(AU367/(AE367/12)&gt;0,AU367/(AE367/12)&lt;=2),"Acabando",AND(AU367/(AE367/12)&gt;2,AU367/(AE367/12)&lt;=3),"Fazer Pedido",AND(AU367/(AE367/12)&gt;3,AU367/(AE367/12)&lt;=7),"OK",AND(AU367/(AE367/12)&gt;7,AU367/(AE367/12)&lt;=14),"Abaixar Preço",AND(AU367/(AE367/12)&gt;14,AU367/(AE367/12)&lt;=20),"Estabilizando",AU367/(AE367/12)&gt;20,"Instavel"),"Instavel")</f>
        <v>Sem Produto</v>
      </c>
      <c r="AN367" s="1" t="str">
        <f>IF(SUMIF(vendaAno[data],SituaçãoEstoqueFluxo[[#This Row],[data]],vendaAno[estoque])=0,"Algo errado",IF(AND(AX367/AW367&gt;0,AX367/AW367&lt;=1),"Alerta",IF(AND(AX367/AW367&gt;1,AX367/AW367&lt;=1.5),"Fazer pedido",IF(AND(AX367/AW367&gt;1.5,AX367/AW367&lt;=2),"Ok",IF(AND(AX367/AW367&gt;2,AX367/AW367&lt;=2.5),"Estabilizando",IF(AND(AX367/AW367&gt;2.5,AX367/AW367&lt;=3),"Cheio","Abaixar preço"))))))</f>
        <v>Algo errado</v>
      </c>
      <c r="AO367" s="82">
        <f>SUMIFS(estoque[quantidade],estoque[fornecedor],"&lt;&gt;saída",estoque[data],SituaçãoEstoqueFluxo[[#This Row],[data]])-SUMIFS(estoque[quantidade],estoque[fornecedor],"saída",estoque[data],SituaçãoEstoqueFluxo[[#This Row],[data]])</f>
        <v>0</v>
      </c>
      <c r="AP367" s="116">
        <f t="shared" si="18"/>
        <v>45867</v>
      </c>
      <c r="AQ367" s="82" t="str">
        <f>IF(IFERROR((SUMIFS(estoque[quantidade],estoque[fornecedor],"&lt;&gt;saída",estoque[produto],AQ$1,estoque[data],"&gt;="&amp;SMALL(estoque[data],1),estoque[data],"&lt;="&amp;FluxoEstoqueDateTime[[#This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Row],[data]]))/12,0)=0,"",IFERROR((SUMIFS(estoque[quantidade],estoque[fornecedor],"&lt;&gt;saída",estoque[produto],AQ$1,estoque[data],"&gt;="&amp;SMALL(estoque[data],1),estoque[data],"&lt;="&amp;FluxoEstoqueDateTime[[#This Row],[data]])-SUMIFS(estoque[quantidade],estoque[fornecedor],"saída",estoque[produto],AQ$1,estoque[data],"&gt;="&amp;SMALL(estoque[data],1),estoque[data],"&lt;="&amp;FluxoEstoqueDateTime[[#This Row],[data]]))/12,0))</f>
        <v/>
      </c>
      <c r="AR367" s="82" t="str">
        <f>IF(IFERROR((SUMIFS(estoque[quantidade],estoque[fornecedor],"&lt;&gt;saída",estoque[produto],AR$1,estoque[data],"&gt;="&amp;SMALL(estoque[data],1),estoque[data],"&lt;="&amp;FluxoEstoqueDateTime[[#This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Row],[data]]))/12,0)=0,"",IFERROR((SUMIFS(estoque[quantidade],estoque[fornecedor],"&lt;&gt;saída",estoque[produto],AR$1,estoque[data],"&gt;="&amp;SMALL(estoque[data],1),estoque[data],"&lt;="&amp;FluxoEstoqueDateTime[[#This Row],[data]])-SUMIFS(estoque[quantidade],estoque[fornecedor],"saída",estoque[produto],AR$1,estoque[data],"&gt;="&amp;SMALL(estoque[data],1),estoque[data],"&lt;="&amp;FluxoEstoqueDateTime[[#This Row],[data]]))/12,0))</f>
        <v/>
      </c>
      <c r="AS367" s="82" t="str">
        <f>IF(IFERROR((SUMIFS(estoque[quantidade],estoque[fornecedor],"&lt;&gt;saída",estoque[produto],AS$1,estoque[data],"&gt;="&amp;SMALL(estoque[data],1),estoque[data],"&lt;="&amp;FluxoEstoqueDateTime[[#This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Row],[data]]))/12,0)=0,"",IFERROR((SUMIFS(estoque[quantidade],estoque[fornecedor],"&lt;&gt;saída",estoque[produto],AS$1,estoque[data],"&gt;="&amp;SMALL(estoque[data],1),estoque[data],"&lt;="&amp;FluxoEstoqueDateTime[[#This Row],[data]])-SUMIFS(estoque[quantidade],estoque[fornecedor],"saída",estoque[produto],AS$1,estoque[data],"&gt;="&amp;SMALL(estoque[data],1),estoque[data],"&lt;="&amp;FluxoEstoqueDateTime[[#This Row],[data]]))/12,0))</f>
        <v/>
      </c>
      <c r="AT367" s="82" t="str">
        <f>IF(IFERROR((SUMIFS(estoque[quantidade],estoque[fornecedor],"&lt;&gt;saída",estoque[produto],AT$1,estoque[data],"&gt;="&amp;SMALL(estoque[data],1),estoque[data],"&lt;="&amp;FluxoEstoqueDateTime[[#This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Row],[data]]))/12,0)=0,"",IFERROR((SUMIFS(estoque[quantidade],estoque[fornecedor],"&lt;&gt;saída",estoque[produto],AT$1,estoque[data],"&gt;="&amp;SMALL(estoque[data],1),estoque[data],"&lt;="&amp;FluxoEstoqueDateTime[[#This Row],[data]])-SUMIFS(estoque[quantidade],estoque[fornecedor],"saída",estoque[produto],AT$1,estoque[data],"&gt;="&amp;SMALL(estoque[data],1),estoque[data],"&lt;="&amp;FluxoEstoqueDateTime[[#This Row],[data]]))/12,0))</f>
        <v/>
      </c>
      <c r="AU367" s="82" t="str">
        <f>IF(IFERROR((SUMIFS(estoque[quantidade],estoque[fornecedor],"&lt;&gt;saída",estoque[produto],AU$1,estoque[data],"&gt;="&amp;SMALL(estoque[data],1),estoque[data],"&lt;="&amp;FluxoEstoqueDateTime[[#This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Row],[data]]))/12,0)=0,"",IFERROR((SUMIFS(estoque[quantidade],estoque[fornecedor],"&lt;&gt;saída",estoque[produto],AU$1,estoque[data],"&gt;="&amp;SMALL(estoque[data],1),estoque[data],"&lt;="&amp;FluxoEstoqueDateTime[[#This Row],[data]])-SUMIFS(estoque[quantidade],estoque[fornecedor],"saída",estoque[produto],AU$1,estoque[data],"&gt;="&amp;SMALL(estoque[data],1),estoque[data],"&lt;="&amp;FluxoEstoqueDateTime[[#This Row],[data]]))/12,0))</f>
        <v/>
      </c>
      <c r="AV367" s="82" cm="1">
        <f t="array" aca="1" ref="AV367" ca="1">(IFERROR(IF(SUMIFS(estoque[quantidade],estoque[fornecedor],"saída",estoque[produto],FluxoEstoqueDateTime[[#Headers],[OVO BRANCO A]],estoque[data],"&gt;="&amp;FluxoEstoqueDateTime[[#This Row],[data]]-6,estoque[data],"&lt;="&amp;FluxoEstoqueDateTime[[#This Row],[data]])/7=0,"",SUMIFS(estoque[quantidade],estoque[fornecedor],"saída",estoque[produto],FluxoEstoqueDateTime[[#Headers],[OVO BRANCO 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B]],estoque[data],"&gt;="&amp;FluxoEstoqueDateTime[[#This Row],[data]]-6,estoque[data],"&lt;="&amp;FluxoEstoqueDateTime[[#This Row],[data]])/7=0,"",SUMIFS(estoque[quantidade],estoque[fornecedor],"saída",estoque[produto],FluxoEstoqueDateTime[[#Headers],[OVO BRANCO B]],estoque[data],"&gt;="&amp;FluxoEstoqueDateTime[[#This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C]],estoque[data],"&gt;="&amp;FluxoEstoqueDateTime[[#This Row],[data]]-6,estoque[data],"&lt;="&amp;FluxoEstoqueDateTime[[#This Row],[data]])/7=0,"",SUMIFS(estoque[quantidade],estoque[fornecedor],"saída",estoque[produto],FluxoEstoqueDateTime[[#Headers],[OVO BRANCO C]],estoque[data],"&gt;="&amp;FluxoEstoqueDateTime[[#This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EXTRA]],estoque[data],"&gt;="&amp;FluxoEstoqueDateTime[[#This Row],[data]]-6,estoque[data],"&lt;="&amp;FluxoEstoqueDateTime[[#This Row],[data]])/7=0,"",SUMIFS(estoque[quantidade],estoque[fornecedor],"saída",estoque[produto],FluxoEstoqueDateTime[[#Headers],[OVO BRANCO EXTRA]],estoque[data],"&gt;="&amp;FluxoEstoqueDateTime[[#This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Row],[data]])/7)*9,0)+IFERROR(IF(SUMIFS(estoque[quantidade],estoque[fornecedor],"saída",estoque[produto],FluxoEstoqueDateTime[[#Headers],[OVO BRANCO JUMBO]],estoque[data],"&gt;="&amp;FluxoEstoqueDateTime[[#This Row],[data]]-6,estoque[data],"&lt;="&amp;FluxoEstoqueDateTime[[#This Row],[data]])/7=0,"",SUMIFS(estoque[quantidade],estoque[fornecedor],"saída",estoque[produto],FluxoEstoqueDateTime[[#Headers],[OVO BRANCO JUMBO]],estoque[data],"&gt;="&amp;FluxoEstoqueDateTime[[#This Row],[data]]-(6+IF(AND(registroEstoque[data]=TODAY(),SUMIF(vendaAno[data],FluxoEstoqueDateTime[[#This Row],[data]],vendaAno[valor de venda])=0),1,0)),estoque[data],"&lt;="&amp;FluxoEstoqueDateTime[[#This Row],[data]])/7)*9,0))/12</f>
        <v>0</v>
      </c>
      <c r="AW367" s="82" cm="1">
        <f t="array" aca="1" ref="AW367" ca="1">((SUMIFS(estoque[quantidade],estoque[fornecedor],"saída",estoque[data],"&gt;="&amp;FluxoEstoqueDateTime[[#This Row],[data]]-(6+IF(AND(registroEstoque[data]=TODAY(),SUMIF(vendaAno[data],FluxoEstoqueDateTime[[#This Row],[data]],vendaAno[valor de venda])=0),1,0)),estoque[data],"&lt;="&amp;FluxoEstoqueDateTime[[#This Row],[data]])/7)*3)/12</f>
        <v>0</v>
      </c>
      <c r="AX367" s="82">
        <f>SUM(FluxoEstoqueDateTime[[#This Row],[OVO BRANCO A]:[OVO BRANCO JUMBO]])</f>
        <v>0</v>
      </c>
    </row>
    <row r="368" spans="1:50" x14ac:dyDescent="0.25">
      <c r="A368" s="4" t="s">
        <v>20</v>
      </c>
      <c r="B368" s="55" t="s">
        <v>11</v>
      </c>
      <c r="C368" s="5">
        <v>22</v>
      </c>
      <c r="D368" s="56">
        <v>20</v>
      </c>
      <c r="E368" s="56">
        <v>408.5</v>
      </c>
      <c r="F368" s="157">
        <v>46153</v>
      </c>
      <c r="G368" s="4" t="s">
        <v>291</v>
      </c>
      <c r="H368" s="4" t="s">
        <v>147</v>
      </c>
      <c r="I368" s="153">
        <v>51.12</v>
      </c>
      <c r="J368" s="12">
        <v>0.12513358641421415</v>
      </c>
    </row>
    <row r="369" spans="1:10" x14ac:dyDescent="0.25">
      <c r="A369" s="4" t="s">
        <v>20</v>
      </c>
      <c r="B369" s="55" t="s">
        <v>10</v>
      </c>
      <c r="C369" s="5">
        <v>3</v>
      </c>
      <c r="D369" s="56">
        <v>21</v>
      </c>
      <c r="E369" s="56">
        <v>63</v>
      </c>
      <c r="F369" s="157">
        <v>46153</v>
      </c>
      <c r="G369" s="4" t="s">
        <v>291</v>
      </c>
      <c r="H369" s="4" t="s">
        <v>147</v>
      </c>
      <c r="I369" s="153">
        <v>13.02</v>
      </c>
      <c r="J369" s="12">
        <v>0.20662635424540202</v>
      </c>
    </row>
    <row r="370" spans="1:10" x14ac:dyDescent="0.25">
      <c r="A370" s="4" t="s">
        <v>20</v>
      </c>
      <c r="B370" s="55" t="s">
        <v>14</v>
      </c>
      <c r="C370" s="5">
        <v>4</v>
      </c>
      <c r="D370" s="56">
        <v>24</v>
      </c>
      <c r="E370" s="56">
        <v>96</v>
      </c>
      <c r="F370" s="157">
        <v>46152</v>
      </c>
      <c r="G370" s="4" t="s">
        <v>93</v>
      </c>
      <c r="H370" s="4" t="s">
        <v>147</v>
      </c>
      <c r="I370" s="153">
        <v>26</v>
      </c>
      <c r="J370" s="12">
        <v>0.27083333333333331</v>
      </c>
    </row>
    <row r="371" spans="1:10" x14ac:dyDescent="0.25">
      <c r="A371" s="4" t="s">
        <v>20</v>
      </c>
      <c r="B371" s="55" t="s">
        <v>13</v>
      </c>
      <c r="C371" s="5">
        <v>5</v>
      </c>
      <c r="D371" s="56">
        <v>22</v>
      </c>
      <c r="E371" s="56">
        <v>110</v>
      </c>
      <c r="F371" s="157">
        <v>46152</v>
      </c>
      <c r="G371" s="4" t="s">
        <v>93</v>
      </c>
      <c r="H371" s="4" t="s">
        <v>147</v>
      </c>
      <c r="I371" s="153">
        <v>24.58</v>
      </c>
      <c r="J371" s="12">
        <v>0.22348484848484837</v>
      </c>
    </row>
    <row r="372" spans="1:10" x14ac:dyDescent="0.25">
      <c r="A372" s="4" t="s">
        <v>20</v>
      </c>
      <c r="B372" s="55" t="s">
        <v>11</v>
      </c>
      <c r="C372" s="5">
        <v>3</v>
      </c>
      <c r="D372" s="56">
        <v>20</v>
      </c>
      <c r="E372" s="56">
        <v>60</v>
      </c>
      <c r="F372" s="157">
        <v>46152</v>
      </c>
      <c r="G372" s="4" t="s">
        <v>93</v>
      </c>
      <c r="H372" s="4" t="s">
        <v>147</v>
      </c>
      <c r="I372" s="153">
        <v>11.27</v>
      </c>
      <c r="J372" s="12">
        <v>0.18776606829592382</v>
      </c>
    </row>
    <row r="373" spans="1:10" x14ac:dyDescent="0.25">
      <c r="A373" s="4" t="s">
        <v>20</v>
      </c>
      <c r="B373" s="55" t="s">
        <v>10</v>
      </c>
      <c r="C373" s="5">
        <v>1</v>
      </c>
      <c r="D373" s="56">
        <v>21</v>
      </c>
      <c r="E373" s="56">
        <v>21</v>
      </c>
      <c r="F373" s="157">
        <v>46152</v>
      </c>
      <c r="G373" s="4" t="s">
        <v>93</v>
      </c>
      <c r="H373" s="4" t="s">
        <v>147</v>
      </c>
      <c r="I373" s="153">
        <v>4.34</v>
      </c>
      <c r="J373" s="12">
        <v>0.20662635424540202</v>
      </c>
    </row>
    <row r="374" spans="1:10" x14ac:dyDescent="0.25">
      <c r="A374" s="4" t="s">
        <v>20</v>
      </c>
      <c r="B374" s="55" t="s">
        <v>11</v>
      </c>
      <c r="C374" s="5">
        <v>1</v>
      </c>
      <c r="D374" s="56">
        <v>20</v>
      </c>
      <c r="E374" s="56">
        <v>20</v>
      </c>
      <c r="F374" s="157">
        <v>46151</v>
      </c>
      <c r="G374" s="4" t="s">
        <v>92</v>
      </c>
      <c r="H374" s="4" t="s">
        <v>147</v>
      </c>
      <c r="I374" s="153">
        <v>3.76</v>
      </c>
      <c r="J374" s="12">
        <v>0.18776606829592382</v>
      </c>
    </row>
    <row r="375" spans="1:10" x14ac:dyDescent="0.25">
      <c r="A375" s="4" t="s">
        <v>20</v>
      </c>
      <c r="B375" s="55" t="s">
        <v>10</v>
      </c>
      <c r="C375" s="5">
        <v>2</v>
      </c>
      <c r="D375" s="56">
        <v>21</v>
      </c>
      <c r="E375" s="56">
        <v>42</v>
      </c>
      <c r="F375" s="157">
        <v>46151</v>
      </c>
      <c r="G375" s="4" t="s">
        <v>92</v>
      </c>
      <c r="H375" s="4" t="s">
        <v>147</v>
      </c>
      <c r="I375" s="153">
        <v>8.68</v>
      </c>
      <c r="J375" s="12">
        <v>0.20662635424540202</v>
      </c>
    </row>
    <row r="376" spans="1:10" x14ac:dyDescent="0.25">
      <c r="A376" s="4" t="s">
        <v>20</v>
      </c>
      <c r="B376" s="55" t="s">
        <v>14</v>
      </c>
      <c r="C376" s="5">
        <v>4</v>
      </c>
      <c r="D376" s="56">
        <v>24</v>
      </c>
      <c r="E376" s="56">
        <v>96</v>
      </c>
      <c r="F376" s="157">
        <v>46150</v>
      </c>
      <c r="G376" s="4" t="s">
        <v>83</v>
      </c>
      <c r="H376" s="4" t="s">
        <v>147</v>
      </c>
      <c r="I376" s="153">
        <v>26</v>
      </c>
      <c r="J376" s="12">
        <v>0.27083333333333331</v>
      </c>
    </row>
    <row r="377" spans="1:10" x14ac:dyDescent="0.25">
      <c r="A377" s="4" t="s">
        <v>20</v>
      </c>
      <c r="B377" s="55" t="s">
        <v>13</v>
      </c>
      <c r="C377" s="5">
        <v>5</v>
      </c>
      <c r="D377" s="56">
        <v>22</v>
      </c>
      <c r="E377" s="56">
        <v>110</v>
      </c>
      <c r="F377" s="157">
        <v>46150</v>
      </c>
      <c r="G377" s="4" t="s">
        <v>83</v>
      </c>
      <c r="H377" s="4" t="s">
        <v>147</v>
      </c>
      <c r="I377" s="153">
        <v>24.58</v>
      </c>
      <c r="J377" s="12">
        <v>0.22348484848484837</v>
      </c>
    </row>
    <row r="378" spans="1:10" x14ac:dyDescent="0.25">
      <c r="A378" s="4" t="s">
        <v>20</v>
      </c>
      <c r="B378" s="55" t="s">
        <v>11</v>
      </c>
      <c r="C378" s="5">
        <v>16</v>
      </c>
      <c r="D378" s="56">
        <v>20</v>
      </c>
      <c r="E378" s="56">
        <v>309.5</v>
      </c>
      <c r="F378" s="157">
        <v>46150</v>
      </c>
      <c r="G378" s="4" t="s">
        <v>83</v>
      </c>
      <c r="H378" s="4" t="s">
        <v>147</v>
      </c>
      <c r="I378" s="153">
        <v>49.59</v>
      </c>
      <c r="J378" s="12">
        <v>0.16021047449013126</v>
      </c>
    </row>
    <row r="379" spans="1:10" x14ac:dyDescent="0.25">
      <c r="A379" s="4" t="s">
        <v>20</v>
      </c>
      <c r="B379" s="55" t="s">
        <v>10</v>
      </c>
      <c r="C379" s="5">
        <v>1</v>
      </c>
      <c r="D379" s="56">
        <v>21</v>
      </c>
      <c r="E379" s="56">
        <v>21</v>
      </c>
      <c r="F379" s="157">
        <v>46150</v>
      </c>
      <c r="G379" s="4" t="s">
        <v>83</v>
      </c>
      <c r="H379" s="4" t="s">
        <v>147</v>
      </c>
      <c r="I379" s="153">
        <v>4.34</v>
      </c>
      <c r="J379" s="12">
        <v>0.20662635424540202</v>
      </c>
    </row>
    <row r="380" spans="1:10" x14ac:dyDescent="0.25">
      <c r="A380" s="4" t="s">
        <v>20</v>
      </c>
      <c r="B380" s="55" t="s">
        <v>14</v>
      </c>
      <c r="C380" s="5">
        <v>6</v>
      </c>
      <c r="D380" s="56">
        <v>24</v>
      </c>
      <c r="E380" s="56">
        <v>144</v>
      </c>
      <c r="F380" s="157">
        <v>46149</v>
      </c>
      <c r="G380" s="4" t="s">
        <v>294</v>
      </c>
      <c r="H380" s="4" t="s">
        <v>147</v>
      </c>
      <c r="I380" s="153">
        <v>39</v>
      </c>
      <c r="J380" s="12">
        <v>0.27083333333333331</v>
      </c>
    </row>
    <row r="381" spans="1:10" x14ac:dyDescent="0.25">
      <c r="A381" s="4" t="s">
        <v>20</v>
      </c>
      <c r="B381" s="55" t="s">
        <v>13</v>
      </c>
      <c r="C381" s="5">
        <v>12</v>
      </c>
      <c r="D381" s="56">
        <v>22</v>
      </c>
      <c r="E381" s="56">
        <v>264</v>
      </c>
      <c r="F381" s="157">
        <v>46149</v>
      </c>
      <c r="G381" s="4" t="s">
        <v>294</v>
      </c>
      <c r="H381" s="4" t="s">
        <v>147</v>
      </c>
      <c r="I381" s="153">
        <v>59</v>
      </c>
      <c r="J381" s="12">
        <v>0.22348484848484837</v>
      </c>
    </row>
    <row r="382" spans="1:10" x14ac:dyDescent="0.25">
      <c r="A382" s="4" t="s">
        <v>20</v>
      </c>
      <c r="B382" s="55" t="s">
        <v>11</v>
      </c>
      <c r="C382" s="5">
        <v>11</v>
      </c>
      <c r="D382" s="56">
        <v>20</v>
      </c>
      <c r="E382" s="56">
        <v>220</v>
      </c>
      <c r="F382" s="157">
        <v>46149</v>
      </c>
      <c r="G382" s="4" t="s">
        <v>294</v>
      </c>
      <c r="H382" s="4" t="s">
        <v>147</v>
      </c>
      <c r="I382" s="153">
        <v>41.31</v>
      </c>
      <c r="J382" s="12">
        <v>0.18776606829592382</v>
      </c>
    </row>
    <row r="383" spans="1:10" x14ac:dyDescent="0.25">
      <c r="A383" s="4" t="s">
        <v>20</v>
      </c>
      <c r="B383" s="55" t="s">
        <v>10</v>
      </c>
      <c r="C383" s="5">
        <v>2</v>
      </c>
      <c r="D383" s="56">
        <v>21</v>
      </c>
      <c r="E383" s="56">
        <v>42</v>
      </c>
      <c r="F383" s="157">
        <v>46149</v>
      </c>
      <c r="G383" s="4" t="s">
        <v>294</v>
      </c>
      <c r="H383" s="4" t="s">
        <v>147</v>
      </c>
      <c r="I383" s="153">
        <v>8.68</v>
      </c>
      <c r="J383" s="12">
        <v>0.20662635424540202</v>
      </c>
    </row>
    <row r="384" spans="1:10" x14ac:dyDescent="0.25">
      <c r="A384" s="4" t="s">
        <v>20</v>
      </c>
      <c r="B384" s="55" t="s">
        <v>14</v>
      </c>
      <c r="C384" s="5">
        <v>5</v>
      </c>
      <c r="D384" s="56">
        <v>24</v>
      </c>
      <c r="E384" s="56">
        <v>120</v>
      </c>
      <c r="F384" s="157">
        <v>46148</v>
      </c>
      <c r="G384" s="4" t="s">
        <v>32</v>
      </c>
      <c r="H384" s="4" t="s">
        <v>147</v>
      </c>
      <c r="I384" s="153">
        <v>32.5</v>
      </c>
      <c r="J384" s="12">
        <v>0.27083333333333331</v>
      </c>
    </row>
    <row r="385" spans="1:10" x14ac:dyDescent="0.25">
      <c r="A385" s="4" t="s">
        <v>20</v>
      </c>
      <c r="B385" s="55" t="s">
        <v>13</v>
      </c>
      <c r="C385" s="5">
        <v>17</v>
      </c>
      <c r="D385" s="56">
        <v>22</v>
      </c>
      <c r="E385" s="56">
        <v>374</v>
      </c>
      <c r="F385" s="157">
        <v>46148</v>
      </c>
      <c r="G385" s="4" t="s">
        <v>32</v>
      </c>
      <c r="H385" s="4" t="s">
        <v>147</v>
      </c>
      <c r="I385" s="153">
        <v>83.58</v>
      </c>
      <c r="J385" s="12">
        <v>0.22348484848484837</v>
      </c>
    </row>
    <row r="386" spans="1:10" x14ac:dyDescent="0.25">
      <c r="A386" s="4" t="s">
        <v>20</v>
      </c>
      <c r="B386" s="55" t="s">
        <v>11</v>
      </c>
      <c r="C386" s="5">
        <v>13</v>
      </c>
      <c r="D386" s="56">
        <v>20</v>
      </c>
      <c r="E386" s="56">
        <v>260</v>
      </c>
      <c r="F386" s="157">
        <v>46148</v>
      </c>
      <c r="G386" s="4" t="s">
        <v>32</v>
      </c>
      <c r="H386" s="4" t="s">
        <v>147</v>
      </c>
      <c r="I386" s="153">
        <v>48.82</v>
      </c>
      <c r="J386" s="12">
        <v>0.18776606829592382</v>
      </c>
    </row>
    <row r="387" spans="1:10" x14ac:dyDescent="0.25">
      <c r="A387" s="4" t="s">
        <v>20</v>
      </c>
      <c r="B387" s="55" t="s">
        <v>10</v>
      </c>
      <c r="C387" s="5">
        <v>16</v>
      </c>
      <c r="D387" s="56">
        <v>21</v>
      </c>
      <c r="E387" s="56">
        <v>324</v>
      </c>
      <c r="F387" s="157">
        <v>46148</v>
      </c>
      <c r="G387" s="4" t="s">
        <v>32</v>
      </c>
      <c r="H387" s="4" t="s">
        <v>147</v>
      </c>
      <c r="I387" s="153">
        <v>57.43</v>
      </c>
      <c r="J387" s="12">
        <v>0.17724214514337985</v>
      </c>
    </row>
    <row r="388" spans="1:10" x14ac:dyDescent="0.25">
      <c r="A388" s="4" t="s">
        <v>20</v>
      </c>
      <c r="B388" s="55" t="s">
        <v>11</v>
      </c>
      <c r="C388" s="5">
        <v>9</v>
      </c>
      <c r="D388" s="56">
        <v>20</v>
      </c>
      <c r="E388" s="56">
        <v>169.5</v>
      </c>
      <c r="F388" s="157">
        <v>46147</v>
      </c>
      <c r="G388" s="4" t="s">
        <v>290</v>
      </c>
      <c r="H388" s="4" t="s">
        <v>147</v>
      </c>
      <c r="I388" s="153">
        <v>23.3</v>
      </c>
      <c r="J388" s="12">
        <v>0.13745069199567131</v>
      </c>
    </row>
    <row r="389" spans="1:10" x14ac:dyDescent="0.25">
      <c r="A389" s="4" t="s">
        <v>20</v>
      </c>
      <c r="B389" s="55" t="s">
        <v>14</v>
      </c>
      <c r="C389" s="5">
        <v>1</v>
      </c>
      <c r="D389" s="56">
        <v>0</v>
      </c>
      <c r="E389" s="56">
        <v>0</v>
      </c>
      <c r="F389" s="157">
        <v>46147</v>
      </c>
      <c r="G389" s="4" t="s">
        <v>290</v>
      </c>
      <c r="H389" s="4" t="s">
        <v>147</v>
      </c>
      <c r="I389" s="153">
        <v>-17.5</v>
      </c>
      <c r="J389" s="12">
        <v>0</v>
      </c>
    </row>
    <row r="390" spans="1:10" x14ac:dyDescent="0.25">
      <c r="A390" s="4" t="s">
        <v>20</v>
      </c>
      <c r="B390" s="55" t="s">
        <v>14</v>
      </c>
      <c r="C390" s="5">
        <v>6</v>
      </c>
      <c r="D390" s="56">
        <v>24</v>
      </c>
      <c r="E390" s="56">
        <v>144</v>
      </c>
      <c r="F390" s="157">
        <v>46147</v>
      </c>
      <c r="G390" s="4" t="s">
        <v>290</v>
      </c>
      <c r="H390" s="4" t="s">
        <v>147</v>
      </c>
      <c r="I390" s="153">
        <v>39</v>
      </c>
      <c r="J390" s="12">
        <v>0.27083333333333331</v>
      </c>
    </row>
    <row r="391" spans="1:10" x14ac:dyDescent="0.25">
      <c r="A391" s="4" t="s">
        <v>20</v>
      </c>
      <c r="B391" s="55" t="s">
        <v>13</v>
      </c>
      <c r="C391" s="5">
        <v>10</v>
      </c>
      <c r="D391" s="56">
        <v>22</v>
      </c>
      <c r="E391" s="56">
        <v>220</v>
      </c>
      <c r="F391" s="157">
        <v>46147</v>
      </c>
      <c r="G391" s="4" t="s">
        <v>290</v>
      </c>
      <c r="H391" s="4" t="s">
        <v>147</v>
      </c>
      <c r="I391" s="153">
        <v>49.17</v>
      </c>
      <c r="J391" s="12">
        <v>0.22348484848484837</v>
      </c>
    </row>
    <row r="392" spans="1:10" x14ac:dyDescent="0.25">
      <c r="A392" s="4" t="s">
        <v>20</v>
      </c>
      <c r="B392" s="55" t="s">
        <v>10</v>
      </c>
      <c r="C392" s="5">
        <v>5</v>
      </c>
      <c r="D392" s="56">
        <v>21</v>
      </c>
      <c r="E392" s="56">
        <v>105</v>
      </c>
      <c r="F392" s="157">
        <v>46147</v>
      </c>
      <c r="G392" s="4" t="s">
        <v>290</v>
      </c>
      <c r="H392" s="4" t="s">
        <v>147</v>
      </c>
      <c r="I392" s="153">
        <v>21.7</v>
      </c>
      <c r="J392" s="12">
        <v>0.20662635424540202</v>
      </c>
    </row>
    <row r="393" spans="1:10" x14ac:dyDescent="0.25">
      <c r="A393" s="4" t="s">
        <v>20</v>
      </c>
      <c r="B393" s="55" t="s">
        <v>11</v>
      </c>
      <c r="C393" s="5">
        <v>16</v>
      </c>
      <c r="D393" s="56">
        <v>20</v>
      </c>
      <c r="E393" s="56">
        <v>309.5</v>
      </c>
      <c r="F393" s="157">
        <v>46146</v>
      </c>
      <c r="G393" s="4" t="s">
        <v>291</v>
      </c>
      <c r="H393" s="4" t="s">
        <v>147</v>
      </c>
      <c r="I393" s="153">
        <v>49.59</v>
      </c>
      <c r="J393" s="12">
        <v>0.16021047449013126</v>
      </c>
    </row>
    <row r="394" spans="1:10" x14ac:dyDescent="0.25">
      <c r="A394" s="4" t="s">
        <v>20</v>
      </c>
      <c r="B394" s="55" t="s">
        <v>14</v>
      </c>
      <c r="C394" s="5">
        <v>9</v>
      </c>
      <c r="D394" s="56">
        <v>24</v>
      </c>
      <c r="E394" s="56">
        <v>210</v>
      </c>
      <c r="F394" s="157">
        <v>46146</v>
      </c>
      <c r="G394" s="4" t="s">
        <v>291</v>
      </c>
      <c r="H394" s="4" t="s">
        <v>147</v>
      </c>
      <c r="I394" s="153">
        <v>52.5</v>
      </c>
      <c r="J394" s="12">
        <v>0.25</v>
      </c>
    </row>
    <row r="395" spans="1:10" x14ac:dyDescent="0.25">
      <c r="A395" s="4" t="s">
        <v>20</v>
      </c>
      <c r="B395" s="55" t="s">
        <v>13</v>
      </c>
      <c r="C395" s="5">
        <v>9</v>
      </c>
      <c r="D395" s="56">
        <v>22</v>
      </c>
      <c r="E395" s="56">
        <v>198</v>
      </c>
      <c r="F395" s="157">
        <v>46146</v>
      </c>
      <c r="G395" s="4" t="s">
        <v>291</v>
      </c>
      <c r="H395" s="4" t="s">
        <v>147</v>
      </c>
      <c r="I395" s="153">
        <v>44.25</v>
      </c>
      <c r="J395" s="12">
        <v>0.22348484848484837</v>
      </c>
    </row>
    <row r="396" spans="1:10" x14ac:dyDescent="0.25">
      <c r="A396" s="4" t="s">
        <v>20</v>
      </c>
      <c r="B396" s="55" t="s">
        <v>10</v>
      </c>
      <c r="C396" s="5">
        <v>6</v>
      </c>
      <c r="D396" s="56">
        <v>21</v>
      </c>
      <c r="E396" s="56">
        <v>126</v>
      </c>
      <c r="F396" s="157">
        <v>46146</v>
      </c>
      <c r="G396" s="4" t="s">
        <v>291</v>
      </c>
      <c r="H396" s="4" t="s">
        <v>147</v>
      </c>
      <c r="I396" s="153">
        <v>26.03</v>
      </c>
      <c r="J396" s="12">
        <v>0.20662635424540202</v>
      </c>
    </row>
    <row r="397" spans="1:10" x14ac:dyDescent="0.25">
      <c r="A397" s="4" t="s">
        <v>20</v>
      </c>
      <c r="B397" s="55" t="s">
        <v>14</v>
      </c>
      <c r="C397" s="5">
        <v>3</v>
      </c>
      <c r="D397" s="56">
        <v>24</v>
      </c>
      <c r="E397" s="56">
        <v>72</v>
      </c>
      <c r="F397" s="157">
        <v>46145</v>
      </c>
      <c r="G397" s="4" t="s">
        <v>93</v>
      </c>
      <c r="H397" s="4" t="s">
        <v>147</v>
      </c>
      <c r="I397" s="153">
        <v>19.5</v>
      </c>
      <c r="J397" s="12">
        <v>0.27083333333333331</v>
      </c>
    </row>
    <row r="398" spans="1:10" x14ac:dyDescent="0.25">
      <c r="A398" s="4" t="s">
        <v>20</v>
      </c>
      <c r="B398" s="55" t="s">
        <v>13</v>
      </c>
      <c r="C398" s="5">
        <v>3</v>
      </c>
      <c r="D398" s="56">
        <v>22</v>
      </c>
      <c r="E398" s="56">
        <v>66</v>
      </c>
      <c r="F398" s="157">
        <v>46145</v>
      </c>
      <c r="G398" s="4" t="s">
        <v>93</v>
      </c>
      <c r="H398" s="4" t="s">
        <v>147</v>
      </c>
      <c r="I398" s="153">
        <v>14.75</v>
      </c>
      <c r="J398" s="12">
        <v>0.22348484848484837</v>
      </c>
    </row>
    <row r="399" spans="1:10" x14ac:dyDescent="0.25">
      <c r="A399" s="4" t="s">
        <v>20</v>
      </c>
      <c r="B399" s="55" t="s">
        <v>10</v>
      </c>
      <c r="C399" s="5">
        <v>2</v>
      </c>
      <c r="D399" s="56">
        <v>21</v>
      </c>
      <c r="E399" s="56">
        <v>42</v>
      </c>
      <c r="F399" s="157">
        <v>46145</v>
      </c>
      <c r="G399" s="4" t="s">
        <v>93</v>
      </c>
      <c r="H399" s="4" t="s">
        <v>147</v>
      </c>
      <c r="I399" s="153">
        <v>8.68</v>
      </c>
      <c r="J399" s="12">
        <v>0.20662635424540202</v>
      </c>
    </row>
    <row r="400" spans="1:10" x14ac:dyDescent="0.25">
      <c r="A400" s="4" t="s">
        <v>20</v>
      </c>
      <c r="B400" s="55" t="s">
        <v>13</v>
      </c>
      <c r="C400" s="5">
        <v>8</v>
      </c>
      <c r="D400" s="56">
        <v>22</v>
      </c>
      <c r="E400" s="56">
        <v>176</v>
      </c>
      <c r="F400" s="157">
        <v>46144</v>
      </c>
      <c r="G400" s="4" t="s">
        <v>92</v>
      </c>
      <c r="H400" s="4" t="s">
        <v>147</v>
      </c>
      <c r="I400" s="153">
        <v>39.33</v>
      </c>
      <c r="J400" s="12">
        <v>0.22348484848484837</v>
      </c>
    </row>
    <row r="401" spans="1:10" x14ac:dyDescent="0.25">
      <c r="A401" s="4" t="s">
        <v>20</v>
      </c>
      <c r="B401" s="55" t="s">
        <v>11</v>
      </c>
      <c r="C401" s="5">
        <v>13</v>
      </c>
      <c r="D401" s="56">
        <v>20</v>
      </c>
      <c r="E401" s="56">
        <v>239</v>
      </c>
      <c r="F401" s="157">
        <v>46144</v>
      </c>
      <c r="G401" s="4" t="s">
        <v>92</v>
      </c>
      <c r="H401" s="4" t="s">
        <v>147</v>
      </c>
      <c r="I401" s="153">
        <v>27.82</v>
      </c>
      <c r="J401" s="12">
        <v>0.11639823329263679</v>
      </c>
    </row>
    <row r="402" spans="1:10" x14ac:dyDescent="0.25">
      <c r="A402" s="4" t="s">
        <v>20</v>
      </c>
      <c r="B402" s="55" t="s">
        <v>10</v>
      </c>
      <c r="C402" s="5">
        <v>11</v>
      </c>
      <c r="D402" s="56">
        <v>21</v>
      </c>
      <c r="E402" s="56">
        <v>207</v>
      </c>
      <c r="F402" s="157">
        <v>46144</v>
      </c>
      <c r="G402" s="4" t="s">
        <v>92</v>
      </c>
      <c r="H402" s="4" t="s">
        <v>147</v>
      </c>
      <c r="I402" s="153">
        <v>23.73</v>
      </c>
      <c r="J402" s="12">
        <v>0.11464100401298484</v>
      </c>
    </row>
    <row r="403" spans="1:10" x14ac:dyDescent="0.25">
      <c r="A403" s="4" t="s">
        <v>31</v>
      </c>
      <c r="B403" s="55" t="s">
        <v>10</v>
      </c>
      <c r="C403" s="5">
        <v>60</v>
      </c>
      <c r="D403" s="56">
        <v>200</v>
      </c>
      <c r="E403" s="56">
        <v>1000</v>
      </c>
      <c r="F403" s="157">
        <v>46144</v>
      </c>
      <c r="G403" s="4" t="s">
        <v>92</v>
      </c>
      <c r="H403" s="4" t="s">
        <v>147</v>
      </c>
      <c r="I403" s="153"/>
      <c r="J403" s="12"/>
    </row>
    <row r="404" spans="1:10" x14ac:dyDescent="0.25">
      <c r="A404" s="4" t="s">
        <v>31</v>
      </c>
      <c r="B404" s="55" t="s">
        <v>11</v>
      </c>
      <c r="C404" s="5">
        <v>96</v>
      </c>
      <c r="D404" s="56">
        <v>195</v>
      </c>
      <c r="E404" s="56">
        <v>1560</v>
      </c>
      <c r="F404" s="157">
        <v>46144</v>
      </c>
      <c r="G404" s="4" t="s">
        <v>92</v>
      </c>
      <c r="H404" s="4" t="s">
        <v>147</v>
      </c>
      <c r="I404" s="153"/>
      <c r="J404" s="12"/>
    </row>
    <row r="405" spans="1:10" x14ac:dyDescent="0.25">
      <c r="A405" s="4" t="s">
        <v>31</v>
      </c>
      <c r="B405" s="55" t="s">
        <v>13</v>
      </c>
      <c r="C405" s="5">
        <v>120</v>
      </c>
      <c r="D405" s="56">
        <v>205</v>
      </c>
      <c r="E405" s="56">
        <v>2050</v>
      </c>
      <c r="F405" s="157">
        <v>46144</v>
      </c>
      <c r="G405" s="4" t="s">
        <v>92</v>
      </c>
      <c r="H405" s="4" t="s">
        <v>147</v>
      </c>
      <c r="I405" s="153"/>
      <c r="J405" s="12"/>
    </row>
    <row r="406" spans="1:10" x14ac:dyDescent="0.25">
      <c r="A406" s="4" t="s">
        <v>31</v>
      </c>
      <c r="B406" s="55" t="s">
        <v>14</v>
      </c>
      <c r="C406" s="5">
        <v>48</v>
      </c>
      <c r="D406" s="56">
        <v>210</v>
      </c>
      <c r="E406" s="56">
        <v>840</v>
      </c>
      <c r="F406" s="157">
        <v>46144</v>
      </c>
      <c r="G406" s="4" t="s">
        <v>92</v>
      </c>
      <c r="H406" s="4" t="s">
        <v>147</v>
      </c>
      <c r="I406" s="153"/>
      <c r="J406" s="12"/>
    </row>
    <row r="407" spans="1:10" x14ac:dyDescent="0.25">
      <c r="A407" s="4" t="s">
        <v>20</v>
      </c>
      <c r="B407" s="55" t="s">
        <v>13</v>
      </c>
      <c r="C407" s="5">
        <v>7</v>
      </c>
      <c r="D407" s="56">
        <v>22</v>
      </c>
      <c r="E407" s="56">
        <v>154</v>
      </c>
      <c r="F407" s="157">
        <v>46143</v>
      </c>
      <c r="G407" s="4" t="s">
        <v>83</v>
      </c>
      <c r="H407" s="4" t="s">
        <v>147</v>
      </c>
      <c r="I407" s="153">
        <v>34.42</v>
      </c>
      <c r="J407" s="12">
        <v>0.22348484848484851</v>
      </c>
    </row>
    <row r="408" spans="1:10" x14ac:dyDescent="0.25">
      <c r="A408" s="4" t="s">
        <v>20</v>
      </c>
      <c r="B408" s="55" t="s">
        <v>11</v>
      </c>
      <c r="C408" s="5">
        <v>1</v>
      </c>
      <c r="D408" s="56">
        <v>20</v>
      </c>
      <c r="E408" s="56">
        <v>20</v>
      </c>
      <c r="F408" s="157">
        <v>46143</v>
      </c>
      <c r="G408" s="4" t="s">
        <v>83</v>
      </c>
      <c r="H408" s="4" t="s">
        <v>147</v>
      </c>
      <c r="I408" s="153">
        <v>3.8</v>
      </c>
      <c r="J408" s="12">
        <v>0.18989461466331309</v>
      </c>
    </row>
    <row r="409" spans="1:10" x14ac:dyDescent="0.25">
      <c r="A409" s="4" t="s">
        <v>20</v>
      </c>
      <c r="B409" s="55" t="s">
        <v>10</v>
      </c>
      <c r="C409" s="5">
        <v>7</v>
      </c>
      <c r="D409" s="56">
        <v>21</v>
      </c>
      <c r="E409" s="56">
        <v>147</v>
      </c>
      <c r="F409" s="157">
        <v>46143</v>
      </c>
      <c r="G409" s="4" t="s">
        <v>83</v>
      </c>
      <c r="H409" s="4" t="s">
        <v>147</v>
      </c>
      <c r="I409" s="153">
        <v>30.41</v>
      </c>
      <c r="J409" s="12">
        <v>0.20687830687830691</v>
      </c>
    </row>
    <row r="410" spans="1:10" x14ac:dyDescent="0.25">
      <c r="A410" s="4" t="s">
        <v>20</v>
      </c>
      <c r="B410" s="55" t="s">
        <v>14</v>
      </c>
      <c r="C410" s="5">
        <v>7</v>
      </c>
      <c r="D410" s="56">
        <v>24</v>
      </c>
      <c r="E410" s="56">
        <v>168</v>
      </c>
      <c r="F410" s="157">
        <v>46142</v>
      </c>
      <c r="G410" s="4" t="s">
        <v>294</v>
      </c>
      <c r="H410" s="4" t="s">
        <v>146</v>
      </c>
      <c r="I410" s="153">
        <v>45.5</v>
      </c>
      <c r="J410" s="12">
        <v>0.27083333333333331</v>
      </c>
    </row>
    <row r="411" spans="1:10" x14ac:dyDescent="0.25">
      <c r="A411" s="4" t="s">
        <v>20</v>
      </c>
      <c r="B411" s="55" t="s">
        <v>13</v>
      </c>
      <c r="C411" s="5">
        <v>11</v>
      </c>
      <c r="D411" s="56">
        <v>22</v>
      </c>
      <c r="E411" s="56">
        <v>242</v>
      </c>
      <c r="F411" s="157">
        <v>46142</v>
      </c>
      <c r="G411" s="4" t="s">
        <v>294</v>
      </c>
      <c r="H411" s="4" t="s">
        <v>146</v>
      </c>
      <c r="I411" s="153">
        <v>54.08</v>
      </c>
      <c r="J411" s="12">
        <v>0.22348484848484854</v>
      </c>
    </row>
    <row r="412" spans="1:10" x14ac:dyDescent="0.25">
      <c r="A412" s="4" t="s">
        <v>20</v>
      </c>
      <c r="B412" s="55" t="s">
        <v>11</v>
      </c>
      <c r="C412" s="5">
        <v>4</v>
      </c>
      <c r="D412" s="56">
        <v>20</v>
      </c>
      <c r="E412" s="56">
        <v>80</v>
      </c>
      <c r="F412" s="157">
        <v>46142</v>
      </c>
      <c r="G412" s="4" t="s">
        <v>294</v>
      </c>
      <c r="H412" s="4" t="s">
        <v>146</v>
      </c>
      <c r="I412" s="153">
        <v>15.19</v>
      </c>
      <c r="J412" s="12">
        <v>0.18989461466331309</v>
      </c>
    </row>
    <row r="413" spans="1:10" x14ac:dyDescent="0.25">
      <c r="A413" s="4" t="s">
        <v>20</v>
      </c>
      <c r="B413" s="55" t="s">
        <v>10</v>
      </c>
      <c r="C413" s="5">
        <v>2</v>
      </c>
      <c r="D413" s="56">
        <v>21</v>
      </c>
      <c r="E413" s="56">
        <v>42</v>
      </c>
      <c r="F413" s="157">
        <v>46142</v>
      </c>
      <c r="G413" s="4" t="s">
        <v>294</v>
      </c>
      <c r="H413" s="4" t="s">
        <v>146</v>
      </c>
      <c r="I413" s="153">
        <v>8.69</v>
      </c>
      <c r="J413" s="12">
        <v>0.20687830687830691</v>
      </c>
    </row>
    <row r="414" spans="1:10" x14ac:dyDescent="0.25">
      <c r="A414" s="4" t="s">
        <v>20</v>
      </c>
      <c r="B414" s="55" t="s">
        <v>14</v>
      </c>
      <c r="C414" s="5">
        <v>4</v>
      </c>
      <c r="D414" s="56">
        <v>24</v>
      </c>
      <c r="E414" s="56">
        <v>96</v>
      </c>
      <c r="F414" s="157">
        <v>46141</v>
      </c>
      <c r="G414" s="4" t="s">
        <v>32</v>
      </c>
      <c r="H414" s="4" t="s">
        <v>146</v>
      </c>
      <c r="I414" s="153">
        <v>26</v>
      </c>
      <c r="J414" s="12">
        <v>0.27083333333333331</v>
      </c>
    </row>
    <row r="415" spans="1:10" x14ac:dyDescent="0.25">
      <c r="A415" s="4" t="s">
        <v>20</v>
      </c>
      <c r="B415" s="55" t="s">
        <v>13</v>
      </c>
      <c r="C415" s="5">
        <v>6</v>
      </c>
      <c r="D415" s="56">
        <v>22</v>
      </c>
      <c r="E415" s="56">
        <v>132</v>
      </c>
      <c r="F415" s="157">
        <v>46141</v>
      </c>
      <c r="G415" s="4" t="s">
        <v>32</v>
      </c>
      <c r="H415" s="4" t="s">
        <v>146</v>
      </c>
      <c r="I415" s="153">
        <v>29.5</v>
      </c>
      <c r="J415" s="12">
        <v>0.22348484848484854</v>
      </c>
    </row>
    <row r="416" spans="1:10" x14ac:dyDescent="0.25">
      <c r="A416" s="4" t="s">
        <v>20</v>
      </c>
      <c r="B416" s="55" t="s">
        <v>11</v>
      </c>
      <c r="C416" s="5">
        <v>13</v>
      </c>
      <c r="D416" s="56">
        <v>20</v>
      </c>
      <c r="E416" s="56">
        <v>260</v>
      </c>
      <c r="F416" s="157">
        <v>46141</v>
      </c>
      <c r="G416" s="4" t="s">
        <v>32</v>
      </c>
      <c r="H416" s="4" t="s">
        <v>146</v>
      </c>
      <c r="I416" s="153">
        <v>49.37</v>
      </c>
      <c r="J416" s="12">
        <v>0.18989461466331309</v>
      </c>
    </row>
    <row r="417" spans="1:10" x14ac:dyDescent="0.25">
      <c r="A417" s="4" t="s">
        <v>20</v>
      </c>
      <c r="B417" s="55" t="s">
        <v>10</v>
      </c>
      <c r="C417" s="5">
        <v>4</v>
      </c>
      <c r="D417" s="56">
        <v>21</v>
      </c>
      <c r="E417" s="56">
        <v>84</v>
      </c>
      <c r="F417" s="157">
        <v>46141</v>
      </c>
      <c r="G417" s="4" t="s">
        <v>32</v>
      </c>
      <c r="H417" s="4" t="s">
        <v>146</v>
      </c>
      <c r="I417" s="153">
        <v>17.38</v>
      </c>
      <c r="J417" s="12">
        <v>0.20687830687830691</v>
      </c>
    </row>
    <row r="418" spans="1:10" x14ac:dyDescent="0.25">
      <c r="A418" s="4" t="s">
        <v>20</v>
      </c>
      <c r="B418" s="55" t="s">
        <v>14</v>
      </c>
      <c r="C418" s="5">
        <v>8</v>
      </c>
      <c r="D418" s="56">
        <v>24</v>
      </c>
      <c r="E418" s="56">
        <v>192</v>
      </c>
      <c r="F418" s="157">
        <v>46140</v>
      </c>
      <c r="G418" s="4" t="s">
        <v>290</v>
      </c>
      <c r="H418" s="4" t="s">
        <v>146</v>
      </c>
      <c r="I418" s="153">
        <v>52</v>
      </c>
      <c r="J418" s="12">
        <v>0.27083333333333331</v>
      </c>
    </row>
    <row r="419" spans="1:10" x14ac:dyDescent="0.25">
      <c r="A419" s="4" t="s">
        <v>20</v>
      </c>
      <c r="B419" s="55" t="s">
        <v>13</v>
      </c>
      <c r="C419" s="5">
        <v>11</v>
      </c>
      <c r="D419" s="56">
        <v>22</v>
      </c>
      <c r="E419" s="56">
        <v>242</v>
      </c>
      <c r="F419" s="157">
        <v>46140</v>
      </c>
      <c r="G419" s="4" t="s">
        <v>290</v>
      </c>
      <c r="H419" s="4" t="s">
        <v>146</v>
      </c>
      <c r="I419" s="153">
        <v>54.08</v>
      </c>
      <c r="J419" s="12">
        <v>0.22348484848484854</v>
      </c>
    </row>
    <row r="420" spans="1:10" x14ac:dyDescent="0.25">
      <c r="A420" s="4" t="s">
        <v>20</v>
      </c>
      <c r="B420" s="55" t="s">
        <v>11</v>
      </c>
      <c r="C420" s="5">
        <v>15</v>
      </c>
      <c r="D420" s="56">
        <v>20</v>
      </c>
      <c r="E420" s="56">
        <v>289.5</v>
      </c>
      <c r="F420" s="157">
        <v>46140</v>
      </c>
      <c r="G420" s="4" t="s">
        <v>290</v>
      </c>
      <c r="H420" s="4" t="s">
        <v>146</v>
      </c>
      <c r="I420" s="153">
        <v>46.47</v>
      </c>
      <c r="J420" s="12">
        <v>0.16051255405524673</v>
      </c>
    </row>
    <row r="421" spans="1:10" x14ac:dyDescent="0.25">
      <c r="A421" s="4" t="s">
        <v>20</v>
      </c>
      <c r="B421" s="55" t="s">
        <v>10</v>
      </c>
      <c r="C421" s="5">
        <v>1</v>
      </c>
      <c r="D421" s="56">
        <v>21</v>
      </c>
      <c r="E421" s="56">
        <v>21</v>
      </c>
      <c r="F421" s="157">
        <v>46140</v>
      </c>
      <c r="G421" s="4" t="s">
        <v>290</v>
      </c>
      <c r="H421" s="4" t="s">
        <v>146</v>
      </c>
      <c r="I421" s="153">
        <v>4.34</v>
      </c>
      <c r="J421" s="12">
        <v>0.20687830687830691</v>
      </c>
    </row>
    <row r="422" spans="1:10" x14ac:dyDescent="0.25">
      <c r="A422" s="4" t="s">
        <v>20</v>
      </c>
      <c r="B422" s="55" t="s">
        <v>14</v>
      </c>
      <c r="C422" s="5">
        <v>2</v>
      </c>
      <c r="D422" s="56">
        <v>24</v>
      </c>
      <c r="E422" s="56">
        <v>48</v>
      </c>
      <c r="F422" s="157">
        <v>46139</v>
      </c>
      <c r="G422" s="4" t="s">
        <v>291</v>
      </c>
      <c r="H422" s="4" t="s">
        <v>146</v>
      </c>
      <c r="I422" s="153">
        <v>13</v>
      </c>
      <c r="J422" s="12">
        <v>0.27083333333333331</v>
      </c>
    </row>
    <row r="423" spans="1:10" x14ac:dyDescent="0.25">
      <c r="A423" s="4" t="s">
        <v>20</v>
      </c>
      <c r="B423" s="55" t="s">
        <v>13</v>
      </c>
      <c r="C423" s="5">
        <v>5</v>
      </c>
      <c r="D423" s="56">
        <v>22</v>
      </c>
      <c r="E423" s="56">
        <v>110</v>
      </c>
      <c r="F423" s="157">
        <v>46139</v>
      </c>
      <c r="G423" s="4" t="s">
        <v>291</v>
      </c>
      <c r="H423" s="4" t="s">
        <v>146</v>
      </c>
      <c r="I423" s="153">
        <v>24.58</v>
      </c>
      <c r="J423" s="12">
        <v>0.22348484848484854</v>
      </c>
    </row>
    <row r="424" spans="1:10" x14ac:dyDescent="0.25">
      <c r="A424" s="4" t="s">
        <v>20</v>
      </c>
      <c r="B424" s="55" t="s">
        <v>11</v>
      </c>
      <c r="C424" s="5">
        <v>6</v>
      </c>
      <c r="D424" s="56">
        <v>20</v>
      </c>
      <c r="E424" s="56">
        <v>120</v>
      </c>
      <c r="F424" s="157">
        <v>46139</v>
      </c>
      <c r="G424" s="4" t="s">
        <v>291</v>
      </c>
      <c r="H424" s="4" t="s">
        <v>146</v>
      </c>
      <c r="I424" s="153">
        <v>22.79</v>
      </c>
      <c r="J424" s="12">
        <v>0.18989461466331309</v>
      </c>
    </row>
    <row r="425" spans="1:10" x14ac:dyDescent="0.25">
      <c r="A425" s="4" t="s">
        <v>20</v>
      </c>
      <c r="B425" s="55" t="s">
        <v>10</v>
      </c>
      <c r="C425" s="5">
        <v>3</v>
      </c>
      <c r="D425" s="56">
        <v>21</v>
      </c>
      <c r="E425" s="56">
        <v>63</v>
      </c>
      <c r="F425" s="157">
        <v>46139</v>
      </c>
      <c r="G425" s="4" t="s">
        <v>291</v>
      </c>
      <c r="H425" s="4" t="s">
        <v>146</v>
      </c>
      <c r="I425" s="153">
        <v>13.03</v>
      </c>
      <c r="J425" s="12">
        <v>0.20687830687830691</v>
      </c>
    </row>
    <row r="426" spans="1:10" x14ac:dyDescent="0.25">
      <c r="A426" s="4" t="s">
        <v>20</v>
      </c>
      <c r="B426" s="55" t="s">
        <v>14</v>
      </c>
      <c r="C426" s="5">
        <v>8</v>
      </c>
      <c r="D426" s="56">
        <v>24</v>
      </c>
      <c r="E426" s="56">
        <v>192</v>
      </c>
      <c r="F426" s="157">
        <v>46138</v>
      </c>
      <c r="G426" s="4" t="s">
        <v>93</v>
      </c>
      <c r="H426" s="4" t="s">
        <v>146</v>
      </c>
      <c r="I426" s="153">
        <v>52</v>
      </c>
      <c r="J426" s="12">
        <v>0.27083333333333331</v>
      </c>
    </row>
    <row r="427" spans="1:10" x14ac:dyDescent="0.25">
      <c r="A427" s="4" t="s">
        <v>20</v>
      </c>
      <c r="B427" s="55" t="s">
        <v>13</v>
      </c>
      <c r="C427" s="5">
        <v>6</v>
      </c>
      <c r="D427" s="56">
        <v>22</v>
      </c>
      <c r="E427" s="56">
        <v>132</v>
      </c>
      <c r="F427" s="157">
        <v>46138</v>
      </c>
      <c r="G427" s="4" t="s">
        <v>93</v>
      </c>
      <c r="H427" s="4" t="s">
        <v>146</v>
      </c>
      <c r="I427" s="153">
        <v>29.5</v>
      </c>
      <c r="J427" s="12">
        <v>0.22348484848484854</v>
      </c>
    </row>
    <row r="428" spans="1:10" x14ac:dyDescent="0.25">
      <c r="A428" s="4" t="s">
        <v>20</v>
      </c>
      <c r="B428" s="55" t="s">
        <v>11</v>
      </c>
      <c r="C428" s="5">
        <v>14</v>
      </c>
      <c r="D428" s="56">
        <v>20</v>
      </c>
      <c r="E428" s="56">
        <v>259</v>
      </c>
      <c r="F428" s="157">
        <v>46138</v>
      </c>
      <c r="G428" s="4" t="s">
        <v>93</v>
      </c>
      <c r="H428" s="4" t="s">
        <v>146</v>
      </c>
      <c r="I428" s="153">
        <v>32.17</v>
      </c>
      <c r="J428" s="12">
        <v>0.12421039423060876</v>
      </c>
    </row>
    <row r="429" spans="1:10" x14ac:dyDescent="0.25">
      <c r="A429" s="4" t="s">
        <v>20</v>
      </c>
      <c r="B429" s="55" t="s">
        <v>10</v>
      </c>
      <c r="C429" s="5">
        <v>13</v>
      </c>
      <c r="D429" s="56">
        <v>21</v>
      </c>
      <c r="E429" s="56">
        <v>261</v>
      </c>
      <c r="F429" s="157">
        <v>46138</v>
      </c>
      <c r="G429" s="4" t="s">
        <v>93</v>
      </c>
      <c r="H429" s="4" t="s">
        <v>146</v>
      </c>
      <c r="I429" s="153">
        <v>44.48</v>
      </c>
      <c r="J429" s="12">
        <v>0.17041294167730953</v>
      </c>
    </row>
    <row r="430" spans="1:10" x14ac:dyDescent="0.25">
      <c r="A430" s="4" t="s">
        <v>20</v>
      </c>
      <c r="B430" s="55" t="s">
        <v>14</v>
      </c>
      <c r="C430" s="5">
        <v>1</v>
      </c>
      <c r="D430" s="56">
        <v>24</v>
      </c>
      <c r="E430" s="56">
        <v>24</v>
      </c>
      <c r="F430" s="157">
        <v>46137</v>
      </c>
      <c r="G430" s="4" t="s">
        <v>92</v>
      </c>
      <c r="H430" s="4" t="s">
        <v>146</v>
      </c>
      <c r="I430" s="153">
        <v>6.5</v>
      </c>
      <c r="J430" s="12">
        <v>0.27083333333333331</v>
      </c>
    </row>
    <row r="431" spans="1:10" x14ac:dyDescent="0.25">
      <c r="A431" s="4" t="s">
        <v>20</v>
      </c>
      <c r="B431" s="55" t="s">
        <v>13</v>
      </c>
      <c r="C431" s="5">
        <v>3</v>
      </c>
      <c r="D431" s="56">
        <v>22</v>
      </c>
      <c r="E431" s="56">
        <v>66</v>
      </c>
      <c r="F431" s="157">
        <v>46137</v>
      </c>
      <c r="G431" s="4" t="s">
        <v>92</v>
      </c>
      <c r="H431" s="4" t="s">
        <v>146</v>
      </c>
      <c r="I431" s="153">
        <v>14.75</v>
      </c>
      <c r="J431" s="12">
        <v>0.22348484848484854</v>
      </c>
    </row>
    <row r="432" spans="1:10" x14ac:dyDescent="0.25">
      <c r="A432" s="4" t="s">
        <v>20</v>
      </c>
      <c r="B432" s="55" t="s">
        <v>11</v>
      </c>
      <c r="C432" s="5">
        <v>14</v>
      </c>
      <c r="D432" s="56">
        <v>20</v>
      </c>
      <c r="E432" s="56">
        <v>269.5</v>
      </c>
      <c r="F432" s="157">
        <v>46137</v>
      </c>
      <c r="G432" s="4" t="s">
        <v>92</v>
      </c>
      <c r="H432" s="4" t="s">
        <v>146</v>
      </c>
      <c r="I432" s="153">
        <v>42.67</v>
      </c>
      <c r="J432" s="12">
        <v>0.15833206718266296</v>
      </c>
    </row>
    <row r="433" spans="1:10" x14ac:dyDescent="0.25">
      <c r="A433" s="4" t="s">
        <v>20</v>
      </c>
      <c r="B433" s="55" t="s">
        <v>10</v>
      </c>
      <c r="C433" s="5">
        <v>1</v>
      </c>
      <c r="D433" s="56">
        <v>21</v>
      </c>
      <c r="E433" s="56">
        <v>21</v>
      </c>
      <c r="F433" s="157">
        <v>46137</v>
      </c>
      <c r="G433" s="4" t="s">
        <v>92</v>
      </c>
      <c r="H433" s="4" t="s">
        <v>146</v>
      </c>
      <c r="I433" s="153">
        <v>4.34</v>
      </c>
      <c r="J433" s="12">
        <v>0.20687830687830691</v>
      </c>
    </row>
    <row r="434" spans="1:10" x14ac:dyDescent="0.25">
      <c r="A434" s="4" t="s">
        <v>20</v>
      </c>
      <c r="B434" s="55" t="s">
        <v>14</v>
      </c>
      <c r="C434" s="5">
        <v>5</v>
      </c>
      <c r="D434" s="56">
        <v>24</v>
      </c>
      <c r="E434" s="56">
        <v>120</v>
      </c>
      <c r="F434" s="157">
        <v>46136</v>
      </c>
      <c r="G434" s="4" t="s">
        <v>83</v>
      </c>
      <c r="H434" s="4" t="s">
        <v>146</v>
      </c>
      <c r="I434" s="153">
        <v>32.5</v>
      </c>
      <c r="J434" s="12">
        <v>0.27083333333333331</v>
      </c>
    </row>
    <row r="435" spans="1:10" x14ac:dyDescent="0.25">
      <c r="A435" s="4" t="s">
        <v>20</v>
      </c>
      <c r="B435" s="55" t="s">
        <v>13</v>
      </c>
      <c r="C435" s="5">
        <v>8</v>
      </c>
      <c r="D435" s="56">
        <v>22</v>
      </c>
      <c r="E435" s="56">
        <v>164</v>
      </c>
      <c r="F435" s="157">
        <v>46136</v>
      </c>
      <c r="G435" s="4" t="s">
        <v>83</v>
      </c>
      <c r="H435" s="4" t="s">
        <v>146</v>
      </c>
      <c r="I435" s="153">
        <v>27.33</v>
      </c>
      <c r="J435" s="12">
        <v>0.16666666666666671</v>
      </c>
    </row>
    <row r="436" spans="1:10" x14ac:dyDescent="0.25">
      <c r="A436" s="4" t="s">
        <v>20</v>
      </c>
      <c r="B436" s="55" t="s">
        <v>11</v>
      </c>
      <c r="C436" s="5">
        <v>5</v>
      </c>
      <c r="D436" s="56">
        <v>20</v>
      </c>
      <c r="E436" s="56">
        <v>100</v>
      </c>
      <c r="F436" s="157">
        <v>46136</v>
      </c>
      <c r="G436" s="4" t="s">
        <v>83</v>
      </c>
      <c r="H436" s="4" t="s">
        <v>146</v>
      </c>
      <c r="I436" s="153">
        <v>18.989999999999998</v>
      </c>
      <c r="J436" s="12">
        <v>0.18989461466331309</v>
      </c>
    </row>
    <row r="437" spans="1:10" x14ac:dyDescent="0.25">
      <c r="A437" s="4" t="s">
        <v>20</v>
      </c>
      <c r="B437" s="55" t="s">
        <v>14</v>
      </c>
      <c r="C437" s="5">
        <v>5</v>
      </c>
      <c r="D437" s="56">
        <v>24</v>
      </c>
      <c r="E437" s="56">
        <v>120</v>
      </c>
      <c r="F437" s="157">
        <v>46135</v>
      </c>
      <c r="G437" s="4" t="s">
        <v>294</v>
      </c>
      <c r="H437" s="4" t="s">
        <v>146</v>
      </c>
      <c r="I437" s="153">
        <v>32.5</v>
      </c>
      <c r="J437" s="12">
        <v>0.27083333333333331</v>
      </c>
    </row>
    <row r="438" spans="1:10" x14ac:dyDescent="0.25">
      <c r="A438" s="4" t="s">
        <v>20</v>
      </c>
      <c r="B438" s="55" t="s">
        <v>13</v>
      </c>
      <c r="C438" s="5">
        <v>9</v>
      </c>
      <c r="D438" s="56">
        <v>22</v>
      </c>
      <c r="E438" s="56">
        <v>198</v>
      </c>
      <c r="F438" s="157">
        <v>46135</v>
      </c>
      <c r="G438" s="4" t="s">
        <v>294</v>
      </c>
      <c r="H438" s="4" t="s">
        <v>146</v>
      </c>
      <c r="I438" s="153">
        <v>44.25</v>
      </c>
      <c r="J438" s="12">
        <v>0.22348484848484856</v>
      </c>
    </row>
    <row r="439" spans="1:10" x14ac:dyDescent="0.25">
      <c r="A439" s="4" t="s">
        <v>20</v>
      </c>
      <c r="B439" s="55" t="s">
        <v>11</v>
      </c>
      <c r="C439" s="5">
        <v>2</v>
      </c>
      <c r="D439" s="56">
        <v>20</v>
      </c>
      <c r="E439" s="56">
        <v>40</v>
      </c>
      <c r="F439" s="157">
        <v>46135</v>
      </c>
      <c r="G439" s="4" t="s">
        <v>294</v>
      </c>
      <c r="H439" s="4" t="s">
        <v>146</v>
      </c>
      <c r="I439" s="153">
        <v>7.6</v>
      </c>
      <c r="J439" s="12">
        <v>0.18989461466331309</v>
      </c>
    </row>
    <row r="440" spans="1:10" x14ac:dyDescent="0.25">
      <c r="A440" s="4" t="s">
        <v>20</v>
      </c>
      <c r="B440" s="55" t="s">
        <v>10</v>
      </c>
      <c r="C440" s="5">
        <v>23</v>
      </c>
      <c r="D440" s="56">
        <v>21</v>
      </c>
      <c r="E440" s="56">
        <v>447</v>
      </c>
      <c r="F440" s="157">
        <v>46135</v>
      </c>
      <c r="G440" s="4" t="s">
        <v>294</v>
      </c>
      <c r="H440" s="4" t="s">
        <v>146</v>
      </c>
      <c r="I440" s="153">
        <v>63.92</v>
      </c>
      <c r="J440" s="12">
        <v>0.14300273427790208</v>
      </c>
    </row>
    <row r="441" spans="1:10" x14ac:dyDescent="0.25">
      <c r="A441" s="4" t="s">
        <v>20</v>
      </c>
      <c r="B441" s="55" t="s">
        <v>14</v>
      </c>
      <c r="C441" s="5">
        <v>12</v>
      </c>
      <c r="D441" s="56">
        <v>24</v>
      </c>
      <c r="E441" s="56">
        <v>288</v>
      </c>
      <c r="F441" s="157">
        <v>46134</v>
      </c>
      <c r="G441" s="4" t="s">
        <v>32</v>
      </c>
      <c r="H441" s="4" t="s">
        <v>146</v>
      </c>
      <c r="I441" s="153">
        <v>78</v>
      </c>
      <c r="J441" s="12">
        <v>0.27083333333333331</v>
      </c>
    </row>
    <row r="442" spans="1:10" x14ac:dyDescent="0.25">
      <c r="A442" s="4" t="s">
        <v>20</v>
      </c>
      <c r="B442" s="55" t="s">
        <v>13</v>
      </c>
      <c r="C442" s="5">
        <v>15</v>
      </c>
      <c r="D442" s="56">
        <v>22</v>
      </c>
      <c r="E442" s="56">
        <v>330</v>
      </c>
      <c r="F442" s="157">
        <v>46134</v>
      </c>
      <c r="G442" s="4" t="s">
        <v>32</v>
      </c>
      <c r="H442" s="4" t="s">
        <v>146</v>
      </c>
      <c r="I442" s="153">
        <v>73.75</v>
      </c>
      <c r="J442" s="12">
        <v>0.22348484848484854</v>
      </c>
    </row>
    <row r="443" spans="1:10" x14ac:dyDescent="0.25">
      <c r="A443" s="4" t="s">
        <v>20</v>
      </c>
      <c r="B443" s="55" t="s">
        <v>11</v>
      </c>
      <c r="C443" s="5">
        <v>10</v>
      </c>
      <c r="D443" s="56">
        <v>20</v>
      </c>
      <c r="E443" s="56">
        <v>191.25</v>
      </c>
      <c r="F443" s="157">
        <v>46134</v>
      </c>
      <c r="G443" s="4" t="s">
        <v>32</v>
      </c>
      <c r="H443" s="4" t="s">
        <v>146</v>
      </c>
      <c r="I443" s="153">
        <v>29.23</v>
      </c>
      <c r="J443" s="12">
        <v>0.15283096958254966</v>
      </c>
    </row>
    <row r="444" spans="1:10" x14ac:dyDescent="0.25">
      <c r="A444" s="4" t="s">
        <v>20</v>
      </c>
      <c r="B444" s="55" t="s">
        <v>10</v>
      </c>
      <c r="C444" s="5">
        <v>15</v>
      </c>
      <c r="D444" s="56">
        <v>21</v>
      </c>
      <c r="E444" s="56">
        <v>303</v>
      </c>
      <c r="F444" s="157">
        <v>46134</v>
      </c>
      <c r="G444" s="4" t="s">
        <v>32</v>
      </c>
      <c r="H444" s="4" t="s">
        <v>146</v>
      </c>
      <c r="I444" s="153">
        <v>53.17</v>
      </c>
      <c r="J444" s="12">
        <v>0.17546754675467552</v>
      </c>
    </row>
    <row r="445" spans="1:10" x14ac:dyDescent="0.25">
      <c r="A445" s="4" t="s">
        <v>20</v>
      </c>
      <c r="B445" s="55" t="s">
        <v>14</v>
      </c>
      <c r="C445" s="5">
        <v>5</v>
      </c>
      <c r="D445" s="56">
        <v>24</v>
      </c>
      <c r="E445" s="56">
        <v>120</v>
      </c>
      <c r="F445" s="157">
        <v>46133</v>
      </c>
      <c r="G445" s="4" t="s">
        <v>290</v>
      </c>
      <c r="H445" s="4" t="s">
        <v>146</v>
      </c>
      <c r="I445" s="153">
        <v>32.5</v>
      </c>
      <c r="J445" s="12">
        <v>0.27083333333333331</v>
      </c>
    </row>
    <row r="446" spans="1:10" x14ac:dyDescent="0.25">
      <c r="A446" s="4" t="s">
        <v>20</v>
      </c>
      <c r="B446" s="55" t="s">
        <v>13</v>
      </c>
      <c r="C446" s="5">
        <v>20</v>
      </c>
      <c r="D446" s="56">
        <v>22</v>
      </c>
      <c r="E446" s="56">
        <v>428</v>
      </c>
      <c r="F446" s="157">
        <v>46133</v>
      </c>
      <c r="G446" s="4" t="s">
        <v>290</v>
      </c>
      <c r="H446" s="4" t="s">
        <v>146</v>
      </c>
      <c r="I446" s="153">
        <v>86.33</v>
      </c>
      <c r="J446" s="12">
        <v>0.20171339563862931</v>
      </c>
    </row>
    <row r="447" spans="1:10" x14ac:dyDescent="0.25">
      <c r="A447" s="4" t="s">
        <v>20</v>
      </c>
      <c r="B447" s="55" t="s">
        <v>11</v>
      </c>
      <c r="C447" s="5">
        <v>13</v>
      </c>
      <c r="D447" s="56">
        <v>20</v>
      </c>
      <c r="E447" s="56">
        <v>249.5</v>
      </c>
      <c r="F447" s="157">
        <v>46133</v>
      </c>
      <c r="G447" s="4" t="s">
        <v>290</v>
      </c>
      <c r="H447" s="4" t="s">
        <v>146</v>
      </c>
      <c r="I447" s="153">
        <v>38.869999999999997</v>
      </c>
      <c r="J447" s="12">
        <v>0.15580200325635832</v>
      </c>
    </row>
    <row r="448" spans="1:10" x14ac:dyDescent="0.25">
      <c r="A448" s="4" t="s">
        <v>20</v>
      </c>
      <c r="B448" s="55" t="s">
        <v>10</v>
      </c>
      <c r="C448" s="5">
        <v>9</v>
      </c>
      <c r="D448" s="56">
        <v>21</v>
      </c>
      <c r="E448" s="56">
        <v>189</v>
      </c>
      <c r="F448" s="157">
        <v>46133</v>
      </c>
      <c r="G448" s="4" t="s">
        <v>290</v>
      </c>
      <c r="H448" s="4" t="s">
        <v>146</v>
      </c>
      <c r="I448" s="153">
        <v>39.1</v>
      </c>
      <c r="J448" s="12">
        <v>0.20687830687830691</v>
      </c>
    </row>
    <row r="449" spans="1:10" x14ac:dyDescent="0.25">
      <c r="A449" s="4" t="s">
        <v>31</v>
      </c>
      <c r="B449" s="55" t="s">
        <v>14</v>
      </c>
      <c r="C449" s="5">
        <v>120</v>
      </c>
      <c r="D449" s="56">
        <v>210</v>
      </c>
      <c r="E449" s="56">
        <v>2100</v>
      </c>
      <c r="F449" s="157">
        <v>46133</v>
      </c>
      <c r="G449" s="4" t="s">
        <v>290</v>
      </c>
      <c r="H449" s="4" t="s">
        <v>146</v>
      </c>
      <c r="I449" s="153"/>
      <c r="J449" s="12"/>
    </row>
    <row r="450" spans="1:10" x14ac:dyDescent="0.25">
      <c r="A450" s="4" t="s">
        <v>31</v>
      </c>
      <c r="B450" s="55" t="s">
        <v>13</v>
      </c>
      <c r="C450" s="5">
        <v>120</v>
      </c>
      <c r="D450" s="56">
        <v>205</v>
      </c>
      <c r="E450" s="56">
        <v>2050</v>
      </c>
      <c r="F450" s="157">
        <v>46133</v>
      </c>
      <c r="G450" s="4" t="s">
        <v>290</v>
      </c>
      <c r="H450" s="4" t="s">
        <v>146</v>
      </c>
      <c r="I450" s="153"/>
      <c r="J450" s="12"/>
    </row>
    <row r="451" spans="1:10" x14ac:dyDescent="0.25">
      <c r="A451" s="4" t="s">
        <v>31</v>
      </c>
      <c r="B451" s="55" t="s">
        <v>10</v>
      </c>
      <c r="C451" s="5">
        <v>120</v>
      </c>
      <c r="D451" s="56">
        <v>200</v>
      </c>
      <c r="E451" s="56">
        <v>2000</v>
      </c>
      <c r="F451" s="157">
        <v>46133</v>
      </c>
      <c r="G451" s="4" t="s">
        <v>290</v>
      </c>
      <c r="H451" s="4" t="s">
        <v>146</v>
      </c>
      <c r="I451" s="153"/>
      <c r="J451" s="12"/>
    </row>
    <row r="452" spans="1:10" x14ac:dyDescent="0.25">
      <c r="A452" s="4" t="s">
        <v>31</v>
      </c>
      <c r="B452" s="55" t="s">
        <v>11</v>
      </c>
      <c r="C452" s="5">
        <v>36</v>
      </c>
      <c r="D452" s="56">
        <v>195</v>
      </c>
      <c r="E452" s="56">
        <v>585</v>
      </c>
      <c r="F452" s="157">
        <v>46133</v>
      </c>
      <c r="G452" s="4" t="s">
        <v>290</v>
      </c>
      <c r="H452" s="4" t="s">
        <v>146</v>
      </c>
      <c r="I452" s="153"/>
      <c r="J452" s="12"/>
    </row>
    <row r="453" spans="1:10" x14ac:dyDescent="0.25">
      <c r="A453" s="4" t="s">
        <v>20</v>
      </c>
      <c r="B453" s="55" t="s">
        <v>11</v>
      </c>
      <c r="C453" s="5">
        <v>17</v>
      </c>
      <c r="D453" s="56">
        <v>20</v>
      </c>
      <c r="E453" s="56">
        <v>329.5</v>
      </c>
      <c r="F453" s="157">
        <v>46132</v>
      </c>
      <c r="G453" s="4" t="s">
        <v>291</v>
      </c>
      <c r="H453" s="4" t="s">
        <v>146</v>
      </c>
      <c r="I453" s="153">
        <v>54.47</v>
      </c>
      <c r="J453" s="12">
        <v>0.16529795744579306</v>
      </c>
    </row>
    <row r="454" spans="1:10" x14ac:dyDescent="0.25">
      <c r="A454" s="4" t="s">
        <v>20</v>
      </c>
      <c r="B454" s="55" t="s">
        <v>10</v>
      </c>
      <c r="C454" s="5">
        <v>31</v>
      </c>
      <c r="D454" s="56">
        <v>21</v>
      </c>
      <c r="E454" s="56">
        <v>627</v>
      </c>
      <c r="F454" s="157">
        <v>46132</v>
      </c>
      <c r="G454" s="4" t="s">
        <v>291</v>
      </c>
      <c r="H454" s="4" t="s">
        <v>146</v>
      </c>
      <c r="I454" s="153">
        <v>112.4</v>
      </c>
      <c r="J454" s="12">
        <v>0.17926634768740024</v>
      </c>
    </row>
    <row r="455" spans="1:10" x14ac:dyDescent="0.25">
      <c r="A455" s="4" t="s">
        <v>20</v>
      </c>
      <c r="B455" s="55" t="s">
        <v>13</v>
      </c>
      <c r="C455" s="5">
        <v>3</v>
      </c>
      <c r="D455" s="56">
        <v>22</v>
      </c>
      <c r="E455" s="56">
        <v>66</v>
      </c>
      <c r="F455" s="157">
        <v>46131</v>
      </c>
      <c r="G455" s="4" t="s">
        <v>93</v>
      </c>
      <c r="H455" s="4" t="s">
        <v>146</v>
      </c>
      <c r="I455" s="153">
        <v>18.5</v>
      </c>
      <c r="J455" s="12">
        <v>0.28030303030303028</v>
      </c>
    </row>
    <row r="456" spans="1:10" x14ac:dyDescent="0.25">
      <c r="A456" s="4" t="s">
        <v>20</v>
      </c>
      <c r="B456" s="55" t="s">
        <v>11</v>
      </c>
      <c r="C456" s="5">
        <v>12</v>
      </c>
      <c r="D456" s="56">
        <v>20</v>
      </c>
      <c r="E456" s="56">
        <v>229.5</v>
      </c>
      <c r="F456" s="157">
        <v>46131</v>
      </c>
      <c r="G456" s="4" t="s">
        <v>93</v>
      </c>
      <c r="H456" s="4" t="s">
        <v>146</v>
      </c>
      <c r="I456" s="153">
        <v>35.36</v>
      </c>
      <c r="J456" s="12">
        <v>0.15406590381665147</v>
      </c>
    </row>
    <row r="457" spans="1:10" x14ac:dyDescent="0.25">
      <c r="A457" s="4" t="s">
        <v>20</v>
      </c>
      <c r="B457" s="55" t="s">
        <v>10</v>
      </c>
      <c r="C457" s="5">
        <v>9</v>
      </c>
      <c r="D457" s="56">
        <v>21</v>
      </c>
      <c r="E457" s="56">
        <v>189</v>
      </c>
      <c r="F457" s="157">
        <v>46131</v>
      </c>
      <c r="G457" s="4" t="s">
        <v>93</v>
      </c>
      <c r="H457" s="4" t="s">
        <v>146</v>
      </c>
      <c r="I457" s="153">
        <v>39.6</v>
      </c>
      <c r="J457" s="12">
        <v>0.20952380952380945</v>
      </c>
    </row>
    <row r="458" spans="1:10" x14ac:dyDescent="0.25">
      <c r="A458" s="4" t="s">
        <v>20</v>
      </c>
      <c r="B458" s="55" t="s">
        <v>13</v>
      </c>
      <c r="C458" s="5">
        <v>1</v>
      </c>
      <c r="D458" s="56">
        <v>22</v>
      </c>
      <c r="E458" s="56">
        <v>22</v>
      </c>
      <c r="F458" s="157">
        <v>46130</v>
      </c>
      <c r="G458" s="4" t="s">
        <v>92</v>
      </c>
      <c r="H458" s="4" t="s">
        <v>146</v>
      </c>
      <c r="I458" s="153">
        <v>6.17</v>
      </c>
      <c r="J458" s="12">
        <v>0.28030303030303028</v>
      </c>
    </row>
    <row r="459" spans="1:10" x14ac:dyDescent="0.25">
      <c r="A459" s="4" t="s">
        <v>20</v>
      </c>
      <c r="B459" s="55" t="s">
        <v>11</v>
      </c>
      <c r="C459" s="5">
        <v>2</v>
      </c>
      <c r="D459" s="56">
        <v>20</v>
      </c>
      <c r="E459" s="56">
        <v>40</v>
      </c>
      <c r="F459" s="157">
        <v>46130</v>
      </c>
      <c r="G459" s="4" t="s">
        <v>92</v>
      </c>
      <c r="H459" s="4" t="s">
        <v>146</v>
      </c>
      <c r="I459" s="153">
        <v>7.64</v>
      </c>
      <c r="J459" s="12">
        <v>0.19107552052467297</v>
      </c>
    </row>
    <row r="460" spans="1:10" x14ac:dyDescent="0.25">
      <c r="A460" s="4" t="s">
        <v>20</v>
      </c>
      <c r="B460" s="55" t="s">
        <v>13</v>
      </c>
      <c r="C460" s="5">
        <v>11</v>
      </c>
      <c r="D460" s="56">
        <v>22</v>
      </c>
      <c r="E460" s="56">
        <v>239.5</v>
      </c>
      <c r="F460" s="157">
        <v>46129</v>
      </c>
      <c r="G460" s="4" t="s">
        <v>83</v>
      </c>
      <c r="H460" s="4" t="s">
        <v>146</v>
      </c>
      <c r="I460" s="153">
        <v>65.33</v>
      </c>
      <c r="J460" s="12">
        <v>0.27279053583855251</v>
      </c>
    </row>
    <row r="461" spans="1:10" x14ac:dyDescent="0.25">
      <c r="A461" s="4" t="s">
        <v>20</v>
      </c>
      <c r="B461" s="55" t="s">
        <v>11</v>
      </c>
      <c r="C461" s="5">
        <v>9</v>
      </c>
      <c r="D461" s="56">
        <v>20</v>
      </c>
      <c r="E461" s="56">
        <v>169.5</v>
      </c>
      <c r="F461" s="157">
        <v>46129</v>
      </c>
      <c r="G461" s="4" t="s">
        <v>83</v>
      </c>
      <c r="H461" s="4" t="s">
        <v>146</v>
      </c>
      <c r="I461" s="153">
        <v>23.89</v>
      </c>
      <c r="J461" s="12">
        <v>0.14096515453947572</v>
      </c>
    </row>
    <row r="462" spans="1:10" x14ac:dyDescent="0.25">
      <c r="A462" s="4" t="s">
        <v>20</v>
      </c>
      <c r="B462" s="55" t="s">
        <v>10</v>
      </c>
      <c r="C462" s="5">
        <v>4</v>
      </c>
      <c r="D462" s="56">
        <v>21</v>
      </c>
      <c r="E462" s="56">
        <v>84</v>
      </c>
      <c r="F462" s="157">
        <v>46129</v>
      </c>
      <c r="G462" s="4" t="s">
        <v>83</v>
      </c>
      <c r="H462" s="4" t="s">
        <v>146</v>
      </c>
      <c r="I462" s="153">
        <v>17.600000000000001</v>
      </c>
      <c r="J462" s="12">
        <v>0.20952380952380945</v>
      </c>
    </row>
    <row r="463" spans="1:10" x14ac:dyDescent="0.25">
      <c r="A463" s="4" t="s">
        <v>20</v>
      </c>
      <c r="B463" s="55" t="s">
        <v>14</v>
      </c>
      <c r="C463" s="5">
        <v>2</v>
      </c>
      <c r="D463" s="56">
        <v>23</v>
      </c>
      <c r="E463" s="56">
        <v>46</v>
      </c>
      <c r="F463" s="157">
        <v>46128</v>
      </c>
      <c r="G463" s="4" t="s">
        <v>294</v>
      </c>
      <c r="H463" s="4" t="s">
        <v>146</v>
      </c>
      <c r="I463" s="153">
        <v>12.67</v>
      </c>
      <c r="J463" s="12">
        <v>0.27536231884057966</v>
      </c>
    </row>
    <row r="464" spans="1:10" x14ac:dyDescent="0.25">
      <c r="A464" s="4" t="s">
        <v>20</v>
      </c>
      <c r="B464" s="55" t="s">
        <v>13</v>
      </c>
      <c r="C464" s="5">
        <v>19</v>
      </c>
      <c r="D464" s="56">
        <v>22</v>
      </c>
      <c r="E464" s="56">
        <v>403</v>
      </c>
      <c r="F464" s="157">
        <v>46128</v>
      </c>
      <c r="G464" s="4" t="s">
        <v>294</v>
      </c>
      <c r="H464" s="4" t="s">
        <v>146</v>
      </c>
      <c r="I464" s="153">
        <v>102.17</v>
      </c>
      <c r="J464" s="12">
        <v>0.25351530190239863</v>
      </c>
    </row>
    <row r="465" spans="1:10" x14ac:dyDescent="0.25">
      <c r="A465" s="4" t="s">
        <v>20</v>
      </c>
      <c r="B465" s="55" t="s">
        <v>11</v>
      </c>
      <c r="C465" s="5">
        <v>7</v>
      </c>
      <c r="D465" s="56">
        <v>20</v>
      </c>
      <c r="E465" s="56">
        <v>136.5</v>
      </c>
      <c r="F465" s="157">
        <v>46128</v>
      </c>
      <c r="G465" s="4" t="s">
        <v>294</v>
      </c>
      <c r="H465" s="4" t="s">
        <v>146</v>
      </c>
      <c r="I465" s="153">
        <v>23.25</v>
      </c>
      <c r="J465" s="12">
        <v>0.17033386720479279</v>
      </c>
    </row>
    <row r="466" spans="1:10" x14ac:dyDescent="0.25">
      <c r="A466" s="4" t="s">
        <v>20</v>
      </c>
      <c r="B466" s="55" t="s">
        <v>10</v>
      </c>
      <c r="C466" s="5">
        <v>10</v>
      </c>
      <c r="D466" s="56">
        <v>21</v>
      </c>
      <c r="E466" s="56">
        <v>210</v>
      </c>
      <c r="F466" s="157">
        <v>46128</v>
      </c>
      <c r="G466" s="4" t="s">
        <v>294</v>
      </c>
      <c r="H466" s="4" t="s">
        <v>146</v>
      </c>
      <c r="I466" s="153">
        <v>44</v>
      </c>
      <c r="J466" s="12">
        <v>0.20952380952380945</v>
      </c>
    </row>
    <row r="467" spans="1:10" x14ac:dyDescent="0.25">
      <c r="A467" s="4" t="s">
        <v>20</v>
      </c>
      <c r="B467" s="55" t="s">
        <v>14</v>
      </c>
      <c r="C467" s="5">
        <v>11</v>
      </c>
      <c r="D467" s="56">
        <v>23</v>
      </c>
      <c r="E467" s="56">
        <v>253</v>
      </c>
      <c r="F467" s="157">
        <v>46127</v>
      </c>
      <c r="G467" s="4" t="s">
        <v>32</v>
      </c>
      <c r="H467" s="4" t="s">
        <v>146</v>
      </c>
      <c r="I467" s="153">
        <v>69.67</v>
      </c>
      <c r="J467" s="12">
        <v>0.27536231884057966</v>
      </c>
    </row>
    <row r="468" spans="1:10" x14ac:dyDescent="0.25">
      <c r="A468" s="4" t="s">
        <v>20</v>
      </c>
      <c r="B468" s="55" t="s">
        <v>13</v>
      </c>
      <c r="C468" s="5">
        <v>13</v>
      </c>
      <c r="D468" s="56">
        <v>22</v>
      </c>
      <c r="E468" s="56">
        <v>286</v>
      </c>
      <c r="F468" s="157">
        <v>46127</v>
      </c>
      <c r="G468" s="4" t="s">
        <v>32</v>
      </c>
      <c r="H468" s="4" t="s">
        <v>146</v>
      </c>
      <c r="I468" s="153">
        <v>80.17</v>
      </c>
      <c r="J468" s="12">
        <v>0.28030303030303017</v>
      </c>
    </row>
    <row r="469" spans="1:10" x14ac:dyDescent="0.25">
      <c r="A469" s="4" t="s">
        <v>20</v>
      </c>
      <c r="B469" s="55" t="s">
        <v>11</v>
      </c>
      <c r="C469" s="5">
        <v>16</v>
      </c>
      <c r="D469" s="56">
        <v>20</v>
      </c>
      <c r="E469" s="56">
        <v>320</v>
      </c>
      <c r="F469" s="157">
        <v>46127</v>
      </c>
      <c r="G469" s="4" t="s">
        <v>32</v>
      </c>
      <c r="H469" s="4" t="s">
        <v>146</v>
      </c>
      <c r="I469" s="153">
        <v>61.14</v>
      </c>
      <c r="J469" s="12">
        <v>0.19107552052467297</v>
      </c>
    </row>
    <row r="470" spans="1:10" x14ac:dyDescent="0.25">
      <c r="A470" s="4" t="s">
        <v>20</v>
      </c>
      <c r="B470" s="55" t="s">
        <v>10</v>
      </c>
      <c r="C470" s="5">
        <v>3</v>
      </c>
      <c r="D470" s="56">
        <v>21</v>
      </c>
      <c r="E470" s="56">
        <v>63</v>
      </c>
      <c r="F470" s="157">
        <v>46127</v>
      </c>
      <c r="G470" s="4" t="s">
        <v>32</v>
      </c>
      <c r="H470" s="4" t="s">
        <v>146</v>
      </c>
      <c r="I470" s="153">
        <v>13.2</v>
      </c>
      <c r="J470" s="12">
        <v>0.20952380952380945</v>
      </c>
    </row>
    <row r="471" spans="1:10" x14ac:dyDescent="0.25">
      <c r="A471" s="4" t="s">
        <v>20</v>
      </c>
      <c r="B471" s="55" t="s">
        <v>14</v>
      </c>
      <c r="C471" s="5">
        <v>12</v>
      </c>
      <c r="D471" s="56">
        <v>23</v>
      </c>
      <c r="E471" s="56">
        <v>276</v>
      </c>
      <c r="F471" s="157">
        <v>46126</v>
      </c>
      <c r="G471" s="4" t="s">
        <v>290</v>
      </c>
      <c r="H471" s="4" t="s">
        <v>146</v>
      </c>
      <c r="I471" s="153">
        <v>76</v>
      </c>
      <c r="J471" s="12">
        <v>0.27536231884057966</v>
      </c>
    </row>
    <row r="472" spans="1:10" x14ac:dyDescent="0.25">
      <c r="A472" s="4" t="s">
        <v>20</v>
      </c>
      <c r="B472" s="55" t="s">
        <v>13</v>
      </c>
      <c r="C472" s="5">
        <v>2</v>
      </c>
      <c r="D472" s="56">
        <v>22</v>
      </c>
      <c r="E472" s="56">
        <v>44</v>
      </c>
      <c r="F472" s="157">
        <v>46126</v>
      </c>
      <c r="G472" s="4" t="s">
        <v>290</v>
      </c>
      <c r="H472" s="4" t="s">
        <v>146</v>
      </c>
      <c r="I472" s="153">
        <v>12.33</v>
      </c>
      <c r="J472" s="12">
        <v>0.28030303030303022</v>
      </c>
    </row>
    <row r="473" spans="1:10" x14ac:dyDescent="0.25">
      <c r="A473" s="4" t="s">
        <v>20</v>
      </c>
      <c r="B473" s="55" t="s">
        <v>11</v>
      </c>
      <c r="C473" s="5">
        <v>10</v>
      </c>
      <c r="D473" s="56">
        <v>20</v>
      </c>
      <c r="E473" s="56">
        <v>200</v>
      </c>
      <c r="F473" s="157">
        <v>46126</v>
      </c>
      <c r="G473" s="4" t="s">
        <v>290</v>
      </c>
      <c r="H473" s="4" t="s">
        <v>146</v>
      </c>
      <c r="I473" s="153">
        <v>38.22</v>
      </c>
      <c r="J473" s="12">
        <v>0.19107552052467297</v>
      </c>
    </row>
    <row r="474" spans="1:10" x14ac:dyDescent="0.25">
      <c r="A474" s="4" t="s">
        <v>20</v>
      </c>
      <c r="B474" s="55" t="s">
        <v>10</v>
      </c>
      <c r="C474" s="5">
        <v>4</v>
      </c>
      <c r="D474" s="56">
        <v>21</v>
      </c>
      <c r="E474" s="56">
        <v>84</v>
      </c>
      <c r="F474" s="157">
        <v>46126</v>
      </c>
      <c r="G474" s="4" t="s">
        <v>290</v>
      </c>
      <c r="H474" s="4" t="s">
        <v>146</v>
      </c>
      <c r="I474" s="153">
        <v>17.600000000000001</v>
      </c>
      <c r="J474" s="12">
        <v>0.20952380952380945</v>
      </c>
    </row>
    <row r="475" spans="1:10" x14ac:dyDescent="0.25">
      <c r="A475" s="4" t="s">
        <v>20</v>
      </c>
      <c r="B475" s="55" t="s">
        <v>14</v>
      </c>
      <c r="C475" s="5">
        <v>5</v>
      </c>
      <c r="D475" s="56">
        <v>23</v>
      </c>
      <c r="E475" s="56">
        <v>115</v>
      </c>
      <c r="F475" s="157">
        <v>46125</v>
      </c>
      <c r="G475" s="4" t="s">
        <v>291</v>
      </c>
      <c r="H475" s="4" t="s">
        <v>146</v>
      </c>
      <c r="I475" s="153">
        <v>31.67</v>
      </c>
      <c r="J475" s="12">
        <v>0.27536231884057966</v>
      </c>
    </row>
    <row r="476" spans="1:10" x14ac:dyDescent="0.25">
      <c r="A476" s="4" t="s">
        <v>20</v>
      </c>
      <c r="B476" s="55" t="s">
        <v>13</v>
      </c>
      <c r="C476" s="5">
        <v>6</v>
      </c>
      <c r="D476" s="56">
        <v>22</v>
      </c>
      <c r="E476" s="56">
        <v>132</v>
      </c>
      <c r="F476" s="157">
        <v>46125</v>
      </c>
      <c r="G476" s="4" t="s">
        <v>291</v>
      </c>
      <c r="H476" s="4" t="s">
        <v>146</v>
      </c>
      <c r="I476" s="153">
        <v>37</v>
      </c>
      <c r="J476" s="12">
        <v>0.28030303030303011</v>
      </c>
    </row>
    <row r="477" spans="1:10" x14ac:dyDescent="0.25">
      <c r="A477" s="4" t="s">
        <v>20</v>
      </c>
      <c r="B477" s="55" t="s">
        <v>11</v>
      </c>
      <c r="C477" s="5">
        <v>14</v>
      </c>
      <c r="D477" s="56">
        <v>20</v>
      </c>
      <c r="E477" s="56">
        <v>259</v>
      </c>
      <c r="F477" s="157">
        <v>46125</v>
      </c>
      <c r="G477" s="4" t="s">
        <v>291</v>
      </c>
      <c r="H477" s="4" t="s">
        <v>146</v>
      </c>
      <c r="I477" s="153">
        <v>32.5</v>
      </c>
      <c r="J477" s="12">
        <v>0.12548704921586268</v>
      </c>
    </row>
    <row r="478" spans="1:10" x14ac:dyDescent="0.25">
      <c r="A478" s="4" t="s">
        <v>20</v>
      </c>
      <c r="B478" s="55" t="s">
        <v>10</v>
      </c>
      <c r="C478" s="5">
        <v>25</v>
      </c>
      <c r="D478" s="56">
        <v>21</v>
      </c>
      <c r="E478" s="56">
        <v>513</v>
      </c>
      <c r="F478" s="157">
        <v>46125</v>
      </c>
      <c r="G478" s="4" t="s">
        <v>291</v>
      </c>
      <c r="H478" s="4" t="s">
        <v>146</v>
      </c>
      <c r="I478" s="153">
        <v>98</v>
      </c>
      <c r="J478" s="12">
        <v>0.19103313840155936</v>
      </c>
    </row>
    <row r="479" spans="1:10" x14ac:dyDescent="0.25">
      <c r="A479" s="4" t="s">
        <v>20</v>
      </c>
      <c r="B479" s="55" t="s">
        <v>14</v>
      </c>
      <c r="C479" s="5">
        <v>4</v>
      </c>
      <c r="D479" s="56">
        <v>23</v>
      </c>
      <c r="E479" s="56">
        <v>92</v>
      </c>
      <c r="F479" s="157">
        <v>46124</v>
      </c>
      <c r="G479" s="4" t="s">
        <v>93</v>
      </c>
      <c r="H479" s="4" t="s">
        <v>146</v>
      </c>
      <c r="I479" s="153">
        <v>25.33</v>
      </c>
      <c r="J479" s="12">
        <v>0.27536231884057966</v>
      </c>
    </row>
    <row r="480" spans="1:10" x14ac:dyDescent="0.25">
      <c r="A480" s="4" t="s">
        <v>20</v>
      </c>
      <c r="B480" s="55" t="s">
        <v>13</v>
      </c>
      <c r="C480" s="5">
        <v>8</v>
      </c>
      <c r="D480" s="56">
        <v>22</v>
      </c>
      <c r="E480" s="56">
        <v>176</v>
      </c>
      <c r="F480" s="157">
        <v>46124</v>
      </c>
      <c r="G480" s="4" t="s">
        <v>93</v>
      </c>
      <c r="H480" s="4" t="s">
        <v>146</v>
      </c>
      <c r="I480" s="153">
        <v>49.33</v>
      </c>
      <c r="J480" s="12">
        <v>0.28030303030303011</v>
      </c>
    </row>
    <row r="481" spans="1:10" x14ac:dyDescent="0.25">
      <c r="A481" s="4" t="s">
        <v>20</v>
      </c>
      <c r="B481" s="55" t="s">
        <v>11</v>
      </c>
      <c r="C481" s="5">
        <v>19</v>
      </c>
      <c r="D481" s="56">
        <v>20</v>
      </c>
      <c r="E481" s="56">
        <v>359</v>
      </c>
      <c r="F481" s="157">
        <v>46124</v>
      </c>
      <c r="G481" s="4" t="s">
        <v>93</v>
      </c>
      <c r="H481" s="4" t="s">
        <v>146</v>
      </c>
      <c r="I481" s="153">
        <v>51.61</v>
      </c>
      <c r="J481" s="12">
        <v>0.14375681838266222</v>
      </c>
    </row>
    <row r="482" spans="1:10" x14ac:dyDescent="0.25">
      <c r="A482" s="4" t="s">
        <v>20</v>
      </c>
      <c r="B482" s="55" t="s">
        <v>10</v>
      </c>
      <c r="C482" s="5">
        <v>4</v>
      </c>
      <c r="D482" s="56">
        <v>21</v>
      </c>
      <c r="E482" s="56">
        <v>84</v>
      </c>
      <c r="F482" s="157">
        <v>46124</v>
      </c>
      <c r="G482" s="4" t="s">
        <v>93</v>
      </c>
      <c r="H482" s="4" t="s">
        <v>146</v>
      </c>
      <c r="I482" s="153">
        <v>17.600000000000001</v>
      </c>
      <c r="J482" s="12">
        <v>0.20952380952380945</v>
      </c>
    </row>
    <row r="483" spans="1:10" x14ac:dyDescent="0.25">
      <c r="A483" s="4" t="s">
        <v>20</v>
      </c>
      <c r="B483" s="55" t="s">
        <v>13</v>
      </c>
      <c r="C483" s="5">
        <v>1</v>
      </c>
      <c r="D483" s="56">
        <v>22</v>
      </c>
      <c r="E483" s="56">
        <v>22</v>
      </c>
      <c r="F483" s="157">
        <v>46123</v>
      </c>
      <c r="G483" s="4" t="s">
        <v>92</v>
      </c>
      <c r="H483" s="4" t="s">
        <v>146</v>
      </c>
      <c r="I483" s="153">
        <v>6.17</v>
      </c>
      <c r="J483" s="12">
        <v>0.28030303030303011</v>
      </c>
    </row>
    <row r="484" spans="1:10" x14ac:dyDescent="0.25">
      <c r="A484" s="4" t="s">
        <v>20</v>
      </c>
      <c r="B484" s="55" t="s">
        <v>11</v>
      </c>
      <c r="C484" s="5">
        <v>14</v>
      </c>
      <c r="D484" s="56">
        <v>20</v>
      </c>
      <c r="E484" s="56">
        <v>259</v>
      </c>
      <c r="F484" s="157">
        <v>46123</v>
      </c>
      <c r="G484" s="4" t="s">
        <v>92</v>
      </c>
      <c r="H484" s="4" t="s">
        <v>146</v>
      </c>
      <c r="I484" s="153">
        <v>32.5</v>
      </c>
      <c r="J484" s="12">
        <v>0.12548704921586268</v>
      </c>
    </row>
    <row r="485" spans="1:10" x14ac:dyDescent="0.25">
      <c r="A485" s="4" t="s">
        <v>20</v>
      </c>
      <c r="B485" s="55" t="s">
        <v>10</v>
      </c>
      <c r="C485" s="5">
        <v>2</v>
      </c>
      <c r="D485" s="56">
        <v>21</v>
      </c>
      <c r="E485" s="56">
        <v>42</v>
      </c>
      <c r="F485" s="157">
        <v>46123</v>
      </c>
      <c r="G485" s="4" t="s">
        <v>92</v>
      </c>
      <c r="H485" s="4" t="s">
        <v>146</v>
      </c>
      <c r="I485" s="153">
        <v>8.8000000000000007</v>
      </c>
      <c r="J485" s="12">
        <v>0.20952380952380945</v>
      </c>
    </row>
    <row r="486" spans="1:10" x14ac:dyDescent="0.25">
      <c r="A486" s="4" t="s">
        <v>20</v>
      </c>
      <c r="B486" s="55" t="s">
        <v>14</v>
      </c>
      <c r="C486" s="5">
        <v>4</v>
      </c>
      <c r="D486" s="56">
        <v>23</v>
      </c>
      <c r="E486" s="56">
        <v>92</v>
      </c>
      <c r="F486" s="157">
        <v>46122</v>
      </c>
      <c r="G486" s="4" t="s">
        <v>83</v>
      </c>
      <c r="H486" s="4" t="s">
        <v>146</v>
      </c>
      <c r="I486" s="153">
        <v>25.33</v>
      </c>
      <c r="J486" s="12">
        <v>0.27536231884057966</v>
      </c>
    </row>
    <row r="487" spans="1:10" x14ac:dyDescent="0.25">
      <c r="A487" s="4" t="s">
        <v>20</v>
      </c>
      <c r="B487" s="55" t="s">
        <v>13</v>
      </c>
      <c r="C487" s="5">
        <v>4</v>
      </c>
      <c r="D487" s="56">
        <v>22</v>
      </c>
      <c r="E487" s="56">
        <v>88</v>
      </c>
      <c r="F487" s="157">
        <v>46122</v>
      </c>
      <c r="G487" s="4" t="s">
        <v>83</v>
      </c>
      <c r="H487" s="4" t="s">
        <v>146</v>
      </c>
      <c r="I487" s="153">
        <v>24.67</v>
      </c>
      <c r="J487" s="12">
        <v>0.28030303030303011</v>
      </c>
    </row>
    <row r="488" spans="1:10" x14ac:dyDescent="0.25">
      <c r="A488" s="4" t="s">
        <v>20</v>
      </c>
      <c r="B488" s="55" t="s">
        <v>11</v>
      </c>
      <c r="C488" s="5">
        <v>20</v>
      </c>
      <c r="D488" s="56">
        <v>20</v>
      </c>
      <c r="E488" s="56">
        <v>400</v>
      </c>
      <c r="F488" s="157">
        <v>46122</v>
      </c>
      <c r="G488" s="4" t="s">
        <v>83</v>
      </c>
      <c r="H488" s="4" t="s">
        <v>146</v>
      </c>
      <c r="I488" s="153">
        <v>76.430000000000007</v>
      </c>
      <c r="J488" s="12">
        <v>0.19107552052467297</v>
      </c>
    </row>
    <row r="489" spans="1:10" x14ac:dyDescent="0.25">
      <c r="A489" s="4" t="s">
        <v>20</v>
      </c>
      <c r="B489" s="55" t="s">
        <v>10</v>
      </c>
      <c r="C489" s="5">
        <v>1</v>
      </c>
      <c r="D489" s="56">
        <v>21</v>
      </c>
      <c r="E489" s="56">
        <v>21</v>
      </c>
      <c r="F489" s="157">
        <v>46122</v>
      </c>
      <c r="G489" s="4" t="s">
        <v>83</v>
      </c>
      <c r="H489" s="4" t="s">
        <v>146</v>
      </c>
      <c r="I489" s="153">
        <v>4.4000000000000004</v>
      </c>
      <c r="J489" s="12">
        <v>0.20952380952380945</v>
      </c>
    </row>
    <row r="490" spans="1:10" x14ac:dyDescent="0.25">
      <c r="A490" s="4" t="s">
        <v>20</v>
      </c>
      <c r="B490" s="55" t="s">
        <v>14</v>
      </c>
      <c r="C490" s="5">
        <v>14</v>
      </c>
      <c r="D490" s="56">
        <v>23</v>
      </c>
      <c r="E490" s="56">
        <v>322</v>
      </c>
      <c r="F490" s="157">
        <v>46121</v>
      </c>
      <c r="G490" s="4" t="s">
        <v>294</v>
      </c>
      <c r="H490" s="4" t="s">
        <v>146</v>
      </c>
      <c r="I490" s="153">
        <v>88.67</v>
      </c>
      <c r="J490" s="12">
        <v>0.27536231884057966</v>
      </c>
    </row>
    <row r="491" spans="1:10" x14ac:dyDescent="0.25">
      <c r="A491" s="4" t="s">
        <v>20</v>
      </c>
      <c r="B491" s="55" t="s">
        <v>13</v>
      </c>
      <c r="C491" s="5">
        <v>15</v>
      </c>
      <c r="D491" s="56">
        <v>22</v>
      </c>
      <c r="E491" s="56">
        <v>327.5</v>
      </c>
      <c r="F491" s="157">
        <v>46121</v>
      </c>
      <c r="G491" s="4" t="s">
        <v>294</v>
      </c>
      <c r="H491" s="4" t="s">
        <v>146</v>
      </c>
      <c r="I491" s="153">
        <v>90</v>
      </c>
      <c r="J491" s="12">
        <v>0.2748091603053433</v>
      </c>
    </row>
    <row r="492" spans="1:10" x14ac:dyDescent="0.25">
      <c r="A492" s="4" t="s">
        <v>20</v>
      </c>
      <c r="B492" s="55" t="s">
        <v>10</v>
      </c>
      <c r="C492" s="5">
        <v>3</v>
      </c>
      <c r="D492" s="56">
        <v>21</v>
      </c>
      <c r="E492" s="56">
        <v>63</v>
      </c>
      <c r="F492" s="157">
        <v>46121</v>
      </c>
      <c r="G492" s="4" t="s">
        <v>294</v>
      </c>
      <c r="H492" s="4" t="s">
        <v>146</v>
      </c>
      <c r="I492" s="153">
        <v>13.2</v>
      </c>
      <c r="J492" s="12">
        <v>0.20952380952380945</v>
      </c>
    </row>
    <row r="493" spans="1:10" x14ac:dyDescent="0.25">
      <c r="A493" s="4" t="s">
        <v>20</v>
      </c>
      <c r="B493" s="55" t="s">
        <v>14</v>
      </c>
      <c r="C493" s="5">
        <v>9</v>
      </c>
      <c r="D493" s="56">
        <v>23</v>
      </c>
      <c r="E493" s="56">
        <v>207</v>
      </c>
      <c r="F493" s="157">
        <v>46120</v>
      </c>
      <c r="G493" s="4" t="s">
        <v>32</v>
      </c>
      <c r="H493" s="4" t="s">
        <v>146</v>
      </c>
      <c r="I493" s="153">
        <v>57</v>
      </c>
      <c r="J493" s="12">
        <v>0.27536231884057966</v>
      </c>
    </row>
    <row r="494" spans="1:10" x14ac:dyDescent="0.25">
      <c r="A494" s="4" t="s">
        <v>20</v>
      </c>
      <c r="B494" s="55" t="s">
        <v>11</v>
      </c>
      <c r="C494" s="5">
        <v>23</v>
      </c>
      <c r="D494" s="56">
        <v>20</v>
      </c>
      <c r="E494" s="56">
        <v>454</v>
      </c>
      <c r="F494" s="157">
        <v>46120</v>
      </c>
      <c r="G494" s="4" t="s">
        <v>32</v>
      </c>
      <c r="H494" s="4" t="s">
        <v>146</v>
      </c>
      <c r="I494" s="153">
        <v>81.89</v>
      </c>
      <c r="J494" s="12">
        <v>0.18038488863733385</v>
      </c>
    </row>
    <row r="495" spans="1:10" x14ac:dyDescent="0.25">
      <c r="A495" s="4" t="s">
        <v>20</v>
      </c>
      <c r="B495" s="55" t="s">
        <v>10</v>
      </c>
      <c r="C495" s="5">
        <v>5</v>
      </c>
      <c r="D495" s="56">
        <v>20</v>
      </c>
      <c r="E495" s="56">
        <v>100</v>
      </c>
      <c r="F495" s="157">
        <v>46120</v>
      </c>
      <c r="G495" s="4" t="s">
        <v>32</v>
      </c>
      <c r="H495" s="4" t="s">
        <v>146</v>
      </c>
      <c r="I495" s="153">
        <v>17</v>
      </c>
      <c r="J495" s="12">
        <v>0.16999999999999993</v>
      </c>
    </row>
    <row r="496" spans="1:10" x14ac:dyDescent="0.25">
      <c r="A496" s="4" t="s">
        <v>31</v>
      </c>
      <c r="B496" s="55" t="s">
        <v>11</v>
      </c>
      <c r="C496" s="5">
        <v>228</v>
      </c>
      <c r="D496" s="56">
        <v>195</v>
      </c>
      <c r="E496" s="56">
        <v>3705</v>
      </c>
      <c r="F496" s="157">
        <v>46120</v>
      </c>
      <c r="G496" s="4" t="s">
        <v>32</v>
      </c>
      <c r="H496" s="4" t="s">
        <v>146</v>
      </c>
      <c r="I496" s="153"/>
      <c r="J496" s="12"/>
    </row>
    <row r="497" spans="1:10" x14ac:dyDescent="0.25">
      <c r="A497" s="4" t="s">
        <v>31</v>
      </c>
      <c r="B497" s="55" t="s">
        <v>10</v>
      </c>
      <c r="C497" s="5">
        <v>120</v>
      </c>
      <c r="D497" s="56">
        <v>200</v>
      </c>
      <c r="E497" s="56">
        <v>2000</v>
      </c>
      <c r="F497" s="157">
        <v>46120</v>
      </c>
      <c r="G497" s="4" t="s">
        <v>32</v>
      </c>
      <c r="H497" s="4" t="s">
        <v>146</v>
      </c>
      <c r="I497" s="153"/>
      <c r="J497" s="12"/>
    </row>
    <row r="498" spans="1:10" x14ac:dyDescent="0.25">
      <c r="A498" s="4" t="s">
        <v>20</v>
      </c>
      <c r="B498" s="55" t="s">
        <v>14</v>
      </c>
      <c r="C498" s="5">
        <v>7</v>
      </c>
      <c r="D498" s="56">
        <v>23</v>
      </c>
      <c r="E498" s="56">
        <v>161</v>
      </c>
      <c r="F498" s="157">
        <v>46119</v>
      </c>
      <c r="G498" s="4" t="s">
        <v>290</v>
      </c>
      <c r="H498" s="4" t="s">
        <v>146</v>
      </c>
      <c r="I498" s="153">
        <v>44.33</v>
      </c>
      <c r="J498" s="12">
        <v>0.27536231884057966</v>
      </c>
    </row>
    <row r="499" spans="1:10" x14ac:dyDescent="0.25">
      <c r="A499" s="4" t="s">
        <v>20</v>
      </c>
      <c r="B499" s="55" t="s">
        <v>13</v>
      </c>
      <c r="C499" s="5">
        <v>3</v>
      </c>
      <c r="D499" s="56">
        <v>22</v>
      </c>
      <c r="E499" s="56">
        <v>66</v>
      </c>
      <c r="F499" s="157">
        <v>46119</v>
      </c>
      <c r="G499" s="4" t="s">
        <v>290</v>
      </c>
      <c r="H499" s="4" t="s">
        <v>146</v>
      </c>
      <c r="I499" s="153">
        <v>18.5</v>
      </c>
      <c r="J499" s="12">
        <v>0.28030303030303011</v>
      </c>
    </row>
    <row r="500" spans="1:10" x14ac:dyDescent="0.25">
      <c r="A500" s="4" t="s">
        <v>20</v>
      </c>
      <c r="B500" s="55" t="s">
        <v>11</v>
      </c>
      <c r="C500" s="5">
        <v>7</v>
      </c>
      <c r="D500" s="56">
        <v>20</v>
      </c>
      <c r="E500" s="56">
        <v>122</v>
      </c>
      <c r="F500" s="157">
        <v>46119</v>
      </c>
      <c r="G500" s="4" t="s">
        <v>290</v>
      </c>
      <c r="H500" s="4" t="s">
        <v>146</v>
      </c>
      <c r="I500" s="153">
        <v>23.02</v>
      </c>
      <c r="J500" s="12">
        <v>0.18866311284344078</v>
      </c>
    </row>
    <row r="501" spans="1:10" x14ac:dyDescent="0.25">
      <c r="A501" s="4" t="s">
        <v>20</v>
      </c>
      <c r="B501" s="55" t="s">
        <v>10</v>
      </c>
      <c r="C501" s="5">
        <v>8</v>
      </c>
      <c r="D501" s="56">
        <v>20</v>
      </c>
      <c r="E501" s="56">
        <v>160</v>
      </c>
      <c r="F501" s="157">
        <v>46119</v>
      </c>
      <c r="G501" s="4" t="s">
        <v>290</v>
      </c>
      <c r="H501" s="4" t="s">
        <v>146</v>
      </c>
      <c r="I501" s="153">
        <v>40</v>
      </c>
      <c r="J501" s="12">
        <v>0.25</v>
      </c>
    </row>
    <row r="502" spans="1:10" x14ac:dyDescent="0.25">
      <c r="A502" s="4" t="s">
        <v>20</v>
      </c>
      <c r="B502" s="55" t="s">
        <v>14</v>
      </c>
      <c r="C502" s="5">
        <v>6</v>
      </c>
      <c r="D502" s="56">
        <v>23</v>
      </c>
      <c r="E502" s="56">
        <v>138</v>
      </c>
      <c r="F502" s="157">
        <v>46118</v>
      </c>
      <c r="G502" s="4" t="s">
        <v>291</v>
      </c>
      <c r="H502" s="4" t="s">
        <v>146</v>
      </c>
      <c r="I502" s="153">
        <v>38</v>
      </c>
      <c r="J502" s="12">
        <v>0.27536231884057966</v>
      </c>
    </row>
    <row r="503" spans="1:10" x14ac:dyDescent="0.25">
      <c r="A503" s="4" t="s">
        <v>20</v>
      </c>
      <c r="B503" s="55" t="s">
        <v>13</v>
      </c>
      <c r="C503" s="5">
        <v>9</v>
      </c>
      <c r="D503" s="56">
        <v>22</v>
      </c>
      <c r="E503" s="56">
        <v>198</v>
      </c>
      <c r="F503" s="157">
        <v>46118</v>
      </c>
      <c r="G503" s="4" t="s">
        <v>291</v>
      </c>
      <c r="H503" s="4" t="s">
        <v>146</v>
      </c>
      <c r="I503" s="153">
        <v>55.5</v>
      </c>
      <c r="J503" s="12">
        <v>0.28030303030303022</v>
      </c>
    </row>
    <row r="504" spans="1:10" x14ac:dyDescent="0.25">
      <c r="A504" s="4" t="s">
        <v>20</v>
      </c>
      <c r="B504" s="55" t="s">
        <v>11</v>
      </c>
      <c r="C504" s="5">
        <v>5</v>
      </c>
      <c r="D504" s="56">
        <v>18</v>
      </c>
      <c r="E504" s="56">
        <v>90</v>
      </c>
      <c r="F504" s="157">
        <v>46118</v>
      </c>
      <c r="G504" s="4" t="s">
        <v>291</v>
      </c>
      <c r="H504" s="4" t="s">
        <v>146</v>
      </c>
      <c r="I504" s="153">
        <v>19.3</v>
      </c>
      <c r="J504" s="12">
        <v>0.21441983941983947</v>
      </c>
    </row>
    <row r="505" spans="1:10" x14ac:dyDescent="0.25">
      <c r="A505" s="4" t="s">
        <v>20</v>
      </c>
      <c r="B505" s="55" t="s">
        <v>10</v>
      </c>
      <c r="C505" s="5">
        <v>6</v>
      </c>
      <c r="D505" s="56">
        <v>20</v>
      </c>
      <c r="E505" s="56">
        <v>120</v>
      </c>
      <c r="F505" s="157">
        <v>46118</v>
      </c>
      <c r="G505" s="4" t="s">
        <v>291</v>
      </c>
      <c r="H505" s="4" t="s">
        <v>146</v>
      </c>
      <c r="I505" s="153">
        <v>30</v>
      </c>
      <c r="J505" s="12">
        <v>0.25</v>
      </c>
    </row>
    <row r="506" spans="1:10" x14ac:dyDescent="0.25">
      <c r="A506" s="4" t="s">
        <v>20</v>
      </c>
      <c r="B506" s="55" t="s">
        <v>14</v>
      </c>
      <c r="C506" s="5">
        <v>6</v>
      </c>
      <c r="D506" s="56">
        <v>23</v>
      </c>
      <c r="E506" s="56">
        <v>138</v>
      </c>
      <c r="F506" s="157">
        <v>46117</v>
      </c>
      <c r="G506" s="4" t="s">
        <v>93</v>
      </c>
      <c r="H506" s="4" t="s">
        <v>146</v>
      </c>
      <c r="I506" s="153">
        <v>38</v>
      </c>
      <c r="J506" s="12">
        <v>0.27536231884057966</v>
      </c>
    </row>
    <row r="507" spans="1:10" x14ac:dyDescent="0.25">
      <c r="A507" s="4" t="s">
        <v>20</v>
      </c>
      <c r="B507" s="55" t="s">
        <v>13</v>
      </c>
      <c r="C507" s="5">
        <v>5</v>
      </c>
      <c r="D507" s="56">
        <v>22</v>
      </c>
      <c r="E507" s="56">
        <v>110</v>
      </c>
      <c r="F507" s="157">
        <v>46117</v>
      </c>
      <c r="G507" s="4" t="s">
        <v>93</v>
      </c>
      <c r="H507" s="4" t="s">
        <v>146</v>
      </c>
      <c r="I507" s="153">
        <v>30.83</v>
      </c>
      <c r="J507" s="12">
        <v>0.28030303030303022</v>
      </c>
    </row>
    <row r="508" spans="1:10" x14ac:dyDescent="0.25">
      <c r="A508" s="4" t="s">
        <v>20</v>
      </c>
      <c r="B508" s="55" t="s">
        <v>11</v>
      </c>
      <c r="C508" s="5">
        <v>4</v>
      </c>
      <c r="D508" s="56">
        <v>18</v>
      </c>
      <c r="E508" s="56">
        <v>72</v>
      </c>
      <c r="F508" s="157">
        <v>46117</v>
      </c>
      <c r="G508" s="4" t="s">
        <v>93</v>
      </c>
      <c r="H508" s="4" t="s">
        <v>146</v>
      </c>
      <c r="I508" s="153">
        <v>15.44</v>
      </c>
      <c r="J508" s="12">
        <v>0.21441983941983947</v>
      </c>
    </row>
    <row r="509" spans="1:10" x14ac:dyDescent="0.25">
      <c r="A509" s="4" t="s">
        <v>20</v>
      </c>
      <c r="B509" s="55" t="s">
        <v>10</v>
      </c>
      <c r="C509" s="5">
        <v>10</v>
      </c>
      <c r="D509" s="56">
        <v>20</v>
      </c>
      <c r="E509" s="56">
        <v>191</v>
      </c>
      <c r="F509" s="157">
        <v>46117</v>
      </c>
      <c r="G509" s="4" t="s">
        <v>93</v>
      </c>
      <c r="H509" s="4" t="s">
        <v>146</v>
      </c>
      <c r="I509" s="153">
        <v>41</v>
      </c>
      <c r="J509" s="12">
        <v>0.21465968586387435</v>
      </c>
    </row>
    <row r="510" spans="1:10" x14ac:dyDescent="0.25">
      <c r="A510" s="4" t="s">
        <v>20</v>
      </c>
      <c r="B510" s="55" t="s">
        <v>14</v>
      </c>
      <c r="C510" s="5">
        <v>6</v>
      </c>
      <c r="D510" s="56">
        <v>23</v>
      </c>
      <c r="E510" s="56">
        <v>138</v>
      </c>
      <c r="F510" s="157">
        <v>46116</v>
      </c>
      <c r="G510" s="4" t="s">
        <v>92</v>
      </c>
      <c r="H510" s="4" t="s">
        <v>146</v>
      </c>
      <c r="I510" s="153">
        <v>38</v>
      </c>
      <c r="J510" s="12">
        <v>0.27536231884057966</v>
      </c>
    </row>
    <row r="511" spans="1:10" x14ac:dyDescent="0.25">
      <c r="A511" s="4" t="s">
        <v>20</v>
      </c>
      <c r="B511" s="55" t="s">
        <v>13</v>
      </c>
      <c r="C511" s="5">
        <v>1</v>
      </c>
      <c r="D511" s="56">
        <v>22</v>
      </c>
      <c r="E511" s="56">
        <v>22</v>
      </c>
      <c r="F511" s="157">
        <v>46116</v>
      </c>
      <c r="G511" s="4" t="s">
        <v>92</v>
      </c>
      <c r="H511" s="4" t="s">
        <v>146</v>
      </c>
      <c r="I511" s="153">
        <v>6.17</v>
      </c>
      <c r="J511" s="12">
        <v>0.28030303030303022</v>
      </c>
    </row>
    <row r="512" spans="1:10" x14ac:dyDescent="0.25">
      <c r="A512" s="4" t="s">
        <v>20</v>
      </c>
      <c r="B512" s="55" t="s">
        <v>11</v>
      </c>
      <c r="C512" s="5">
        <v>5</v>
      </c>
      <c r="D512" s="56">
        <v>18</v>
      </c>
      <c r="E512" s="56">
        <v>90</v>
      </c>
      <c r="F512" s="157">
        <v>46116</v>
      </c>
      <c r="G512" s="4" t="s">
        <v>92</v>
      </c>
      <c r="H512" s="4" t="s">
        <v>146</v>
      </c>
      <c r="I512" s="153">
        <v>19.3</v>
      </c>
      <c r="J512" s="12">
        <v>0.21441983941983958</v>
      </c>
    </row>
    <row r="513" spans="1:10" x14ac:dyDescent="0.25">
      <c r="A513" s="4" t="s">
        <v>20</v>
      </c>
      <c r="B513" s="55" t="s">
        <v>10</v>
      </c>
      <c r="C513" s="5">
        <v>8</v>
      </c>
      <c r="D513" s="56">
        <v>20</v>
      </c>
      <c r="E513" s="56">
        <v>160</v>
      </c>
      <c r="F513" s="157">
        <v>46116</v>
      </c>
      <c r="G513" s="4" t="s">
        <v>92</v>
      </c>
      <c r="H513" s="4" t="s">
        <v>146</v>
      </c>
      <c r="I513" s="153">
        <v>40</v>
      </c>
      <c r="J513" s="12">
        <v>0.25</v>
      </c>
    </row>
    <row r="514" spans="1:10" x14ac:dyDescent="0.25">
      <c r="A514" s="4" t="s">
        <v>20</v>
      </c>
      <c r="B514" s="55" t="s">
        <v>14</v>
      </c>
      <c r="C514" s="5">
        <v>10</v>
      </c>
      <c r="D514" s="56">
        <v>23</v>
      </c>
      <c r="E514" s="56">
        <v>230</v>
      </c>
      <c r="F514" s="157">
        <v>46115</v>
      </c>
      <c r="G514" s="4" t="s">
        <v>83</v>
      </c>
      <c r="H514" s="4" t="s">
        <v>146</v>
      </c>
      <c r="I514" s="153">
        <v>63.33</v>
      </c>
      <c r="J514" s="12">
        <v>0.27536231884057966</v>
      </c>
    </row>
    <row r="515" spans="1:10" x14ac:dyDescent="0.25">
      <c r="A515" s="4" t="s">
        <v>20</v>
      </c>
      <c r="B515" s="55" t="s">
        <v>13</v>
      </c>
      <c r="C515" s="5">
        <v>9</v>
      </c>
      <c r="D515" s="56">
        <v>22</v>
      </c>
      <c r="E515" s="56">
        <v>198</v>
      </c>
      <c r="F515" s="157">
        <v>46115</v>
      </c>
      <c r="G515" s="4" t="s">
        <v>83</v>
      </c>
      <c r="H515" s="4" t="s">
        <v>146</v>
      </c>
      <c r="I515" s="153">
        <v>55.5</v>
      </c>
      <c r="J515" s="12">
        <v>0.28030303030303022</v>
      </c>
    </row>
    <row r="516" spans="1:10" x14ac:dyDescent="0.25">
      <c r="A516" s="4" t="s">
        <v>20</v>
      </c>
      <c r="B516" s="55" t="s">
        <v>11</v>
      </c>
      <c r="C516" s="5">
        <v>14</v>
      </c>
      <c r="D516" s="56">
        <v>18</v>
      </c>
      <c r="E516" s="56">
        <v>240</v>
      </c>
      <c r="F516" s="157">
        <v>46115</v>
      </c>
      <c r="G516" s="4" t="s">
        <v>83</v>
      </c>
      <c r="H516" s="4" t="s">
        <v>146</v>
      </c>
      <c r="I516" s="153">
        <v>42.03</v>
      </c>
      <c r="J516" s="12">
        <v>0.17514083139083148</v>
      </c>
    </row>
    <row r="517" spans="1:10" x14ac:dyDescent="0.25">
      <c r="A517" s="4" t="s">
        <v>20</v>
      </c>
      <c r="B517" s="55" t="s">
        <v>10</v>
      </c>
      <c r="C517" s="5">
        <v>25</v>
      </c>
      <c r="D517" s="56">
        <v>20</v>
      </c>
      <c r="E517" s="56">
        <v>500</v>
      </c>
      <c r="F517" s="157">
        <v>46115</v>
      </c>
      <c r="G517" s="4" t="s">
        <v>83</v>
      </c>
      <c r="H517" s="4" t="s">
        <v>146</v>
      </c>
      <c r="I517" s="153">
        <v>125</v>
      </c>
      <c r="J517" s="12">
        <v>0.25</v>
      </c>
    </row>
    <row r="518" spans="1:10" x14ac:dyDescent="0.25">
      <c r="A518" s="4" t="s">
        <v>20</v>
      </c>
      <c r="B518" s="55" t="s">
        <v>14</v>
      </c>
      <c r="C518" s="5">
        <v>5</v>
      </c>
      <c r="D518" s="56">
        <v>23</v>
      </c>
      <c r="E518" s="56">
        <v>115</v>
      </c>
      <c r="F518" s="157">
        <v>46114</v>
      </c>
      <c r="G518" s="4" t="s">
        <v>294</v>
      </c>
      <c r="H518" s="4" t="s">
        <v>146</v>
      </c>
      <c r="I518" s="153">
        <v>31.67</v>
      </c>
      <c r="J518" s="12">
        <v>0.27536231884057966</v>
      </c>
    </row>
    <row r="519" spans="1:10" x14ac:dyDescent="0.25">
      <c r="A519" s="4" t="s">
        <v>20</v>
      </c>
      <c r="B519" s="55" t="s">
        <v>13</v>
      </c>
      <c r="C519" s="5">
        <v>8</v>
      </c>
      <c r="D519" s="56">
        <v>22</v>
      </c>
      <c r="E519" s="56">
        <v>161</v>
      </c>
      <c r="F519" s="157">
        <v>46114</v>
      </c>
      <c r="G519" s="4" t="s">
        <v>294</v>
      </c>
      <c r="H519" s="4" t="s">
        <v>146</v>
      </c>
      <c r="I519" s="153">
        <v>34.33</v>
      </c>
      <c r="J519" s="12">
        <v>0.21325051759834357</v>
      </c>
    </row>
    <row r="520" spans="1:10" x14ac:dyDescent="0.25">
      <c r="A520" s="4" t="s">
        <v>20</v>
      </c>
      <c r="B520" s="55" t="s">
        <v>12</v>
      </c>
      <c r="C520" s="5">
        <v>3</v>
      </c>
      <c r="D520" s="56">
        <v>14</v>
      </c>
      <c r="E520" s="56">
        <v>42</v>
      </c>
      <c r="F520" s="157">
        <v>46114</v>
      </c>
      <c r="G520" s="4" t="s">
        <v>294</v>
      </c>
      <c r="H520" s="4" t="s">
        <v>146</v>
      </c>
      <c r="I520" s="153">
        <v>7.25</v>
      </c>
      <c r="J520" s="12">
        <v>0.17261904761904759</v>
      </c>
    </row>
    <row r="521" spans="1:10" x14ac:dyDescent="0.25">
      <c r="A521" s="4" t="s">
        <v>20</v>
      </c>
      <c r="B521" s="55" t="s">
        <v>11</v>
      </c>
      <c r="C521" s="5">
        <v>9</v>
      </c>
      <c r="D521" s="56">
        <v>18</v>
      </c>
      <c r="E521" s="56">
        <v>162</v>
      </c>
      <c r="F521" s="157">
        <v>46114</v>
      </c>
      <c r="G521" s="4" t="s">
        <v>294</v>
      </c>
      <c r="H521" s="4" t="s">
        <v>146</v>
      </c>
      <c r="I521" s="153">
        <v>34.74</v>
      </c>
      <c r="J521" s="12">
        <v>0.21441983941983947</v>
      </c>
    </row>
    <row r="522" spans="1:10" x14ac:dyDescent="0.25">
      <c r="A522" s="4" t="s">
        <v>20</v>
      </c>
      <c r="B522" s="55" t="s">
        <v>10</v>
      </c>
      <c r="C522" s="5">
        <v>15</v>
      </c>
      <c r="D522" s="56">
        <v>20</v>
      </c>
      <c r="E522" s="56">
        <v>300</v>
      </c>
      <c r="F522" s="157">
        <v>46114</v>
      </c>
      <c r="G522" s="4" t="s">
        <v>294</v>
      </c>
      <c r="H522" s="4" t="s">
        <v>146</v>
      </c>
      <c r="I522" s="153">
        <v>75</v>
      </c>
      <c r="J522" s="12">
        <v>0.25</v>
      </c>
    </row>
    <row r="523" spans="1:10" x14ac:dyDescent="0.25">
      <c r="A523" s="4" t="s">
        <v>20</v>
      </c>
      <c r="B523" s="55" t="s">
        <v>14</v>
      </c>
      <c r="C523" s="5">
        <v>4</v>
      </c>
      <c r="D523" s="56">
        <v>23</v>
      </c>
      <c r="E523" s="56">
        <v>92</v>
      </c>
      <c r="F523" s="157">
        <v>46113</v>
      </c>
      <c r="G523" s="4" t="s">
        <v>32</v>
      </c>
      <c r="H523" s="4" t="s">
        <v>146</v>
      </c>
      <c r="I523" s="153">
        <v>25.33</v>
      </c>
      <c r="J523" s="12">
        <v>0.27536231884057966</v>
      </c>
    </row>
    <row r="524" spans="1:10" x14ac:dyDescent="0.25">
      <c r="A524" s="4" t="s">
        <v>20</v>
      </c>
      <c r="B524" s="55" t="s">
        <v>13</v>
      </c>
      <c r="C524" s="5">
        <v>2</v>
      </c>
      <c r="D524" s="56">
        <v>22</v>
      </c>
      <c r="E524" s="56">
        <v>44</v>
      </c>
      <c r="F524" s="157">
        <v>46113</v>
      </c>
      <c r="G524" s="4" t="s">
        <v>32</v>
      </c>
      <c r="H524" s="4" t="s">
        <v>146</v>
      </c>
      <c r="I524" s="153">
        <v>12.33</v>
      </c>
      <c r="J524" s="12">
        <v>0.28030303030303011</v>
      </c>
    </row>
    <row r="525" spans="1:10" x14ac:dyDescent="0.25">
      <c r="A525" s="4" t="s">
        <v>20</v>
      </c>
      <c r="B525" s="55" t="s">
        <v>12</v>
      </c>
      <c r="C525" s="5">
        <v>2</v>
      </c>
      <c r="D525" s="56">
        <v>14</v>
      </c>
      <c r="E525" s="56">
        <v>28</v>
      </c>
      <c r="F525" s="157">
        <v>46113</v>
      </c>
      <c r="G525" s="4" t="s">
        <v>32</v>
      </c>
      <c r="H525" s="4" t="s">
        <v>146</v>
      </c>
      <c r="I525" s="153">
        <v>4.83</v>
      </c>
      <c r="J525" s="12">
        <v>0.17261904761904759</v>
      </c>
    </row>
    <row r="526" spans="1:10" x14ac:dyDescent="0.25">
      <c r="A526" s="4" t="s">
        <v>20</v>
      </c>
      <c r="B526" s="55" t="s">
        <v>11</v>
      </c>
      <c r="C526" s="5">
        <v>25</v>
      </c>
      <c r="D526" s="56">
        <v>18</v>
      </c>
      <c r="E526" s="56">
        <v>444</v>
      </c>
      <c r="F526" s="157">
        <v>46113</v>
      </c>
      <c r="G526" s="4" t="s">
        <v>32</v>
      </c>
      <c r="H526" s="4" t="s">
        <v>146</v>
      </c>
      <c r="I526" s="153">
        <v>90.49</v>
      </c>
      <c r="J526" s="12">
        <v>0.20380389130389137</v>
      </c>
    </row>
    <row r="527" spans="1:10" x14ac:dyDescent="0.25">
      <c r="A527" s="4" t="s">
        <v>20</v>
      </c>
      <c r="B527" s="55" t="s">
        <v>10</v>
      </c>
      <c r="C527" s="5">
        <v>14</v>
      </c>
      <c r="D527" s="56">
        <v>20</v>
      </c>
      <c r="E527" s="56">
        <v>280</v>
      </c>
      <c r="F527" s="157">
        <v>46113</v>
      </c>
      <c r="G527" s="4" t="s">
        <v>32</v>
      </c>
      <c r="H527" s="4" t="s">
        <v>146</v>
      </c>
      <c r="I527" s="153">
        <v>70</v>
      </c>
      <c r="J527" s="12">
        <v>0.25</v>
      </c>
    </row>
    <row r="528" spans="1:10" x14ac:dyDescent="0.25">
      <c r="A528" s="4" t="s">
        <v>20</v>
      </c>
      <c r="B528" s="55" t="s">
        <v>14</v>
      </c>
      <c r="C528" s="5">
        <v>6</v>
      </c>
      <c r="D528" s="56">
        <v>23</v>
      </c>
      <c r="E528" s="56">
        <v>138</v>
      </c>
      <c r="F528" s="157">
        <v>46112</v>
      </c>
      <c r="G528" s="4" t="s">
        <v>290</v>
      </c>
      <c r="H528" s="4" t="s">
        <v>145</v>
      </c>
      <c r="I528" s="153">
        <v>38</v>
      </c>
      <c r="J528" s="12">
        <v>0.27536231884057966</v>
      </c>
    </row>
    <row r="529" spans="1:10" x14ac:dyDescent="0.25">
      <c r="A529" s="4" t="s">
        <v>20</v>
      </c>
      <c r="B529" s="55" t="s">
        <v>13</v>
      </c>
      <c r="C529" s="5">
        <v>10</v>
      </c>
      <c r="D529" s="56">
        <v>22</v>
      </c>
      <c r="E529" s="56">
        <v>220</v>
      </c>
      <c r="F529" s="157">
        <v>46112</v>
      </c>
      <c r="G529" s="4" t="s">
        <v>290</v>
      </c>
      <c r="H529" s="4" t="s">
        <v>145</v>
      </c>
      <c r="I529" s="153">
        <v>61.67</v>
      </c>
      <c r="J529" s="12">
        <v>0.28030303030303011</v>
      </c>
    </row>
    <row r="530" spans="1:10" x14ac:dyDescent="0.25">
      <c r="A530" s="4" t="s">
        <v>20</v>
      </c>
      <c r="B530" s="55" t="s">
        <v>12</v>
      </c>
      <c r="C530" s="5">
        <v>12</v>
      </c>
      <c r="D530" s="56">
        <v>14</v>
      </c>
      <c r="E530" s="56">
        <v>168</v>
      </c>
      <c r="F530" s="157">
        <v>46112</v>
      </c>
      <c r="G530" s="4" t="s">
        <v>290</v>
      </c>
      <c r="H530" s="4" t="s">
        <v>145</v>
      </c>
      <c r="I530" s="153">
        <v>29</v>
      </c>
      <c r="J530" s="12">
        <v>0.17261904761904759</v>
      </c>
    </row>
    <row r="531" spans="1:10" x14ac:dyDescent="0.25">
      <c r="A531" s="4" t="s">
        <v>20</v>
      </c>
      <c r="B531" s="55" t="s">
        <v>11</v>
      </c>
      <c r="C531" s="5">
        <v>9</v>
      </c>
      <c r="D531" s="56">
        <v>18</v>
      </c>
      <c r="E531" s="56">
        <v>156</v>
      </c>
      <c r="F531" s="157">
        <v>46112</v>
      </c>
      <c r="G531" s="4" t="s">
        <v>290</v>
      </c>
      <c r="H531" s="4" t="s">
        <v>145</v>
      </c>
      <c r="I531" s="153">
        <v>28.74</v>
      </c>
      <c r="J531" s="12">
        <v>0.18420521785906396</v>
      </c>
    </row>
    <row r="532" spans="1:10" x14ac:dyDescent="0.25">
      <c r="A532" s="4" t="s">
        <v>20</v>
      </c>
      <c r="B532" s="55" t="s">
        <v>10</v>
      </c>
      <c r="C532" s="5">
        <v>7</v>
      </c>
      <c r="D532" s="56">
        <v>20</v>
      </c>
      <c r="E532" s="56">
        <v>140</v>
      </c>
      <c r="F532" s="157">
        <v>46112</v>
      </c>
      <c r="G532" s="4" t="s">
        <v>290</v>
      </c>
      <c r="H532" s="4" t="s">
        <v>145</v>
      </c>
      <c r="I532" s="153">
        <v>35</v>
      </c>
      <c r="J532" s="12">
        <v>0.25</v>
      </c>
    </row>
    <row r="533" spans="1:10" x14ac:dyDescent="0.25">
      <c r="A533" s="4" t="s">
        <v>20</v>
      </c>
      <c r="B533" s="55" t="s">
        <v>14</v>
      </c>
      <c r="C533" s="5">
        <v>5</v>
      </c>
      <c r="D533" s="56">
        <v>23</v>
      </c>
      <c r="E533" s="56">
        <v>115</v>
      </c>
      <c r="F533" s="157">
        <v>46111</v>
      </c>
      <c r="G533" s="4" t="s">
        <v>291</v>
      </c>
      <c r="H533" s="4" t="s">
        <v>145</v>
      </c>
      <c r="I533" s="153">
        <v>31.67</v>
      </c>
      <c r="J533" s="12">
        <v>0.27536231884057966</v>
      </c>
    </row>
    <row r="534" spans="1:10" x14ac:dyDescent="0.25">
      <c r="A534" s="4" t="s">
        <v>20</v>
      </c>
      <c r="B534" s="55" t="s">
        <v>13</v>
      </c>
      <c r="C534" s="5">
        <v>5</v>
      </c>
      <c r="D534" s="56">
        <v>22</v>
      </c>
      <c r="E534" s="56">
        <v>110</v>
      </c>
      <c r="F534" s="157">
        <v>46111</v>
      </c>
      <c r="G534" s="4" t="s">
        <v>291</v>
      </c>
      <c r="H534" s="4" t="s">
        <v>145</v>
      </c>
      <c r="I534" s="153">
        <v>30.83</v>
      </c>
      <c r="J534" s="12">
        <v>0.28030303030303011</v>
      </c>
    </row>
    <row r="535" spans="1:10" x14ac:dyDescent="0.25">
      <c r="A535" s="4" t="s">
        <v>20</v>
      </c>
      <c r="B535" s="55" t="s">
        <v>12</v>
      </c>
      <c r="C535" s="5">
        <v>5</v>
      </c>
      <c r="D535" s="56">
        <v>14</v>
      </c>
      <c r="E535" s="56">
        <v>70</v>
      </c>
      <c r="F535" s="157">
        <v>46111</v>
      </c>
      <c r="G535" s="4" t="s">
        <v>291</v>
      </c>
      <c r="H535" s="4" t="s">
        <v>145</v>
      </c>
      <c r="I535" s="153">
        <v>12.08</v>
      </c>
      <c r="J535" s="12">
        <v>0.17261904761904759</v>
      </c>
    </row>
    <row r="536" spans="1:10" x14ac:dyDescent="0.25">
      <c r="A536" s="4" t="s">
        <v>20</v>
      </c>
      <c r="B536" s="55" t="s">
        <v>11</v>
      </c>
      <c r="C536" s="5">
        <v>3</v>
      </c>
      <c r="D536" s="56">
        <v>18</v>
      </c>
      <c r="E536" s="56">
        <v>54</v>
      </c>
      <c r="F536" s="157">
        <v>46111</v>
      </c>
      <c r="G536" s="4" t="s">
        <v>291</v>
      </c>
      <c r="H536" s="4" t="s">
        <v>145</v>
      </c>
      <c r="I536" s="153">
        <v>11.58</v>
      </c>
      <c r="J536" s="12">
        <v>0.21441983941983939</v>
      </c>
    </row>
    <row r="537" spans="1:10" x14ac:dyDescent="0.25">
      <c r="A537" s="4" t="s">
        <v>20</v>
      </c>
      <c r="B537" s="55" t="s">
        <v>10</v>
      </c>
      <c r="C537" s="5">
        <v>8</v>
      </c>
      <c r="D537" s="56">
        <v>20</v>
      </c>
      <c r="E537" s="56">
        <v>160</v>
      </c>
      <c r="F537" s="157">
        <v>46111</v>
      </c>
      <c r="G537" s="4" t="s">
        <v>291</v>
      </c>
      <c r="H537" s="4" t="s">
        <v>145</v>
      </c>
      <c r="I537" s="153">
        <v>40</v>
      </c>
      <c r="J537" s="12">
        <v>0.25</v>
      </c>
    </row>
    <row r="538" spans="1:10" x14ac:dyDescent="0.25">
      <c r="A538" s="4" t="s">
        <v>20</v>
      </c>
      <c r="B538" s="55" t="s">
        <v>14</v>
      </c>
      <c r="C538" s="5">
        <v>4</v>
      </c>
      <c r="D538" s="56">
        <v>23</v>
      </c>
      <c r="E538" s="56">
        <v>92</v>
      </c>
      <c r="F538" s="157">
        <v>46110</v>
      </c>
      <c r="G538" s="4" t="s">
        <v>93</v>
      </c>
      <c r="H538" s="4" t="s">
        <v>145</v>
      </c>
      <c r="I538" s="153">
        <v>25.33</v>
      </c>
      <c r="J538" s="12">
        <v>0.27536231884057966</v>
      </c>
    </row>
    <row r="539" spans="1:10" x14ac:dyDescent="0.25">
      <c r="A539" s="4" t="s">
        <v>20</v>
      </c>
      <c r="B539" s="55" t="s">
        <v>13</v>
      </c>
      <c r="C539" s="5">
        <v>11</v>
      </c>
      <c r="D539" s="56">
        <v>22</v>
      </c>
      <c r="E539" s="56">
        <v>242</v>
      </c>
      <c r="F539" s="157">
        <v>46110</v>
      </c>
      <c r="G539" s="4" t="s">
        <v>93</v>
      </c>
      <c r="H539" s="4" t="s">
        <v>145</v>
      </c>
      <c r="I539" s="153">
        <v>67.83</v>
      </c>
      <c r="J539" s="12">
        <v>0.28030303030303022</v>
      </c>
    </row>
    <row r="540" spans="1:10" x14ac:dyDescent="0.25">
      <c r="A540" s="4" t="s">
        <v>20</v>
      </c>
      <c r="B540" s="55" t="s">
        <v>12</v>
      </c>
      <c r="C540" s="5">
        <v>6</v>
      </c>
      <c r="D540" s="56">
        <v>14</v>
      </c>
      <c r="E540" s="56">
        <v>84</v>
      </c>
      <c r="F540" s="157">
        <v>46110</v>
      </c>
      <c r="G540" s="4" t="s">
        <v>93</v>
      </c>
      <c r="H540" s="4" t="s">
        <v>145</v>
      </c>
      <c r="I540" s="153">
        <v>14.5</v>
      </c>
      <c r="J540" s="12">
        <v>0.17261904761904759</v>
      </c>
    </row>
    <row r="541" spans="1:10" x14ac:dyDescent="0.25">
      <c r="A541" s="4" t="s">
        <v>20</v>
      </c>
      <c r="B541" s="55" t="s">
        <v>11</v>
      </c>
      <c r="C541" s="5">
        <v>22</v>
      </c>
      <c r="D541" s="56">
        <v>18</v>
      </c>
      <c r="E541" s="56">
        <v>384</v>
      </c>
      <c r="F541" s="157">
        <v>46110</v>
      </c>
      <c r="G541" s="4" t="s">
        <v>93</v>
      </c>
      <c r="H541" s="4" t="s">
        <v>145</v>
      </c>
      <c r="I541" s="153">
        <v>72.91</v>
      </c>
      <c r="J541" s="12">
        <v>0.18987045940170935</v>
      </c>
    </row>
    <row r="542" spans="1:10" x14ac:dyDescent="0.25">
      <c r="A542" s="4" t="s">
        <v>20</v>
      </c>
      <c r="B542" s="55" t="s">
        <v>10</v>
      </c>
      <c r="C542" s="5">
        <v>2</v>
      </c>
      <c r="D542" s="56">
        <v>20</v>
      </c>
      <c r="E542" s="56">
        <v>40</v>
      </c>
      <c r="F542" s="157">
        <v>46110</v>
      </c>
      <c r="G542" s="4" t="s">
        <v>93</v>
      </c>
      <c r="H542" s="4" t="s">
        <v>145</v>
      </c>
      <c r="I542" s="153">
        <v>10</v>
      </c>
      <c r="J542" s="12">
        <v>0.25</v>
      </c>
    </row>
    <row r="543" spans="1:10" x14ac:dyDescent="0.25">
      <c r="A543" s="4" t="s">
        <v>20</v>
      </c>
      <c r="B543" s="55" t="s">
        <v>13</v>
      </c>
      <c r="C543" s="5">
        <v>1</v>
      </c>
      <c r="D543" s="56">
        <v>22</v>
      </c>
      <c r="E543" s="56">
        <v>22</v>
      </c>
      <c r="F543" s="157">
        <v>46109</v>
      </c>
      <c r="G543" s="4" t="s">
        <v>92</v>
      </c>
      <c r="H543" s="4" t="s">
        <v>145</v>
      </c>
      <c r="I543" s="153">
        <v>6.17</v>
      </c>
      <c r="J543" s="12">
        <v>0.28030303030303028</v>
      </c>
    </row>
    <row r="544" spans="1:10" x14ac:dyDescent="0.25">
      <c r="A544" s="4" t="s">
        <v>20</v>
      </c>
      <c r="B544" s="55" t="s">
        <v>12</v>
      </c>
      <c r="C544" s="5">
        <v>3</v>
      </c>
      <c r="D544" s="56">
        <v>14</v>
      </c>
      <c r="E544" s="56">
        <v>42</v>
      </c>
      <c r="F544" s="157">
        <v>46109</v>
      </c>
      <c r="G544" s="4" t="s">
        <v>92</v>
      </c>
      <c r="H544" s="4" t="s">
        <v>145</v>
      </c>
      <c r="I544" s="153">
        <v>7.25</v>
      </c>
      <c r="J544" s="12">
        <v>0.17261904761904759</v>
      </c>
    </row>
    <row r="545" spans="1:10" x14ac:dyDescent="0.25">
      <c r="A545" s="4" t="s">
        <v>20</v>
      </c>
      <c r="B545" s="55" t="s">
        <v>11</v>
      </c>
      <c r="C545" s="5">
        <v>19</v>
      </c>
      <c r="D545" s="56">
        <v>18</v>
      </c>
      <c r="E545" s="56">
        <v>336</v>
      </c>
      <c r="F545" s="157">
        <v>46109</v>
      </c>
      <c r="G545" s="4" t="s">
        <v>92</v>
      </c>
      <c r="H545" s="4" t="s">
        <v>145</v>
      </c>
      <c r="I545" s="153">
        <v>67.33</v>
      </c>
      <c r="J545" s="12">
        <v>0.20039162226662224</v>
      </c>
    </row>
    <row r="546" spans="1:10" x14ac:dyDescent="0.25">
      <c r="A546" s="4" t="s">
        <v>20</v>
      </c>
      <c r="B546" s="55" t="s">
        <v>10</v>
      </c>
      <c r="C546" s="5">
        <v>3</v>
      </c>
      <c r="D546" s="56">
        <v>20</v>
      </c>
      <c r="E546" s="56">
        <v>60</v>
      </c>
      <c r="F546" s="157">
        <v>46109</v>
      </c>
      <c r="G546" s="4" t="s">
        <v>92</v>
      </c>
      <c r="H546" s="4" t="s">
        <v>145</v>
      </c>
      <c r="I546" s="153">
        <v>15</v>
      </c>
      <c r="J546" s="12">
        <v>0.25</v>
      </c>
    </row>
    <row r="547" spans="1:10" x14ac:dyDescent="0.25">
      <c r="A547" s="4" t="s">
        <v>20</v>
      </c>
      <c r="B547" s="55" t="s">
        <v>12</v>
      </c>
      <c r="C547" s="5">
        <v>1</v>
      </c>
      <c r="D547" s="56">
        <v>14</v>
      </c>
      <c r="E547" s="56"/>
      <c r="F547" s="157">
        <v>46109</v>
      </c>
      <c r="G547" s="4" t="s">
        <v>92</v>
      </c>
      <c r="H547" s="4" t="s">
        <v>145</v>
      </c>
      <c r="I547" s="153">
        <v>-11.58</v>
      </c>
      <c r="J547" s="12">
        <v>0</v>
      </c>
    </row>
    <row r="548" spans="1:10" x14ac:dyDescent="0.25">
      <c r="A548" s="4" t="s">
        <v>31</v>
      </c>
      <c r="B548" s="55" t="s">
        <v>13</v>
      </c>
      <c r="C548" s="5">
        <v>12</v>
      </c>
      <c r="D548" s="56">
        <v>190</v>
      </c>
      <c r="E548" s="56">
        <v>190</v>
      </c>
      <c r="F548" s="157">
        <v>46109</v>
      </c>
      <c r="G548" s="4" t="s">
        <v>92</v>
      </c>
      <c r="H548" s="4" t="s">
        <v>145</v>
      </c>
      <c r="I548" s="153"/>
      <c r="J548" s="12"/>
    </row>
    <row r="549" spans="1:10" x14ac:dyDescent="0.25">
      <c r="A549" s="4" t="s">
        <v>31</v>
      </c>
      <c r="B549" s="55" t="s">
        <v>14</v>
      </c>
      <c r="C549" s="5">
        <v>120</v>
      </c>
      <c r="D549" s="56">
        <v>200</v>
      </c>
      <c r="E549" s="56">
        <v>2000</v>
      </c>
      <c r="F549" s="157">
        <v>46109</v>
      </c>
      <c r="G549" s="4" t="s">
        <v>92</v>
      </c>
      <c r="H549" s="4" t="s">
        <v>145</v>
      </c>
      <c r="I549" s="153"/>
      <c r="J549" s="12"/>
    </row>
    <row r="550" spans="1:10" x14ac:dyDescent="0.25">
      <c r="A550" s="4" t="s">
        <v>31</v>
      </c>
      <c r="B550" s="55" t="s">
        <v>13</v>
      </c>
      <c r="C550" s="5">
        <v>120</v>
      </c>
      <c r="D550" s="56">
        <v>190</v>
      </c>
      <c r="E550" s="56">
        <v>1900</v>
      </c>
      <c r="F550" s="157">
        <v>46109</v>
      </c>
      <c r="G550" s="4" t="s">
        <v>92</v>
      </c>
      <c r="H550" s="4" t="s">
        <v>145</v>
      </c>
      <c r="I550" s="153"/>
      <c r="J550" s="12"/>
    </row>
    <row r="551" spans="1:10" x14ac:dyDescent="0.25">
      <c r="A551" s="4" t="s">
        <v>31</v>
      </c>
      <c r="B551" s="55" t="s">
        <v>11</v>
      </c>
      <c r="C551" s="5">
        <v>120</v>
      </c>
      <c r="D551" s="56">
        <v>170</v>
      </c>
      <c r="E551" s="56">
        <v>1700</v>
      </c>
      <c r="F551" s="157">
        <v>46109</v>
      </c>
      <c r="G551" s="4" t="s">
        <v>92</v>
      </c>
      <c r="H551" s="4" t="s">
        <v>145</v>
      </c>
      <c r="I551" s="153"/>
      <c r="J551" s="12"/>
    </row>
    <row r="552" spans="1:10" x14ac:dyDescent="0.25">
      <c r="A552" s="4" t="s">
        <v>31</v>
      </c>
      <c r="B552" s="55" t="s">
        <v>10</v>
      </c>
      <c r="C552" s="5">
        <v>60</v>
      </c>
      <c r="D552" s="56">
        <v>180</v>
      </c>
      <c r="E552" s="56">
        <v>900</v>
      </c>
      <c r="F552" s="157">
        <v>46109</v>
      </c>
      <c r="G552" s="4" t="s">
        <v>92</v>
      </c>
      <c r="H552" s="4" t="s">
        <v>145</v>
      </c>
      <c r="I552" s="153"/>
      <c r="J552" s="12"/>
    </row>
    <row r="553" spans="1:10" x14ac:dyDescent="0.25">
      <c r="A553" s="4" t="s">
        <v>20</v>
      </c>
      <c r="B553" s="55" t="s">
        <v>10</v>
      </c>
      <c r="C553" s="5">
        <v>12</v>
      </c>
      <c r="D553" s="56">
        <v>20</v>
      </c>
      <c r="E553" s="56">
        <v>240</v>
      </c>
      <c r="F553" s="157">
        <v>46108</v>
      </c>
      <c r="G553" s="4" t="s">
        <v>83</v>
      </c>
      <c r="H553" s="4" t="s">
        <v>145</v>
      </c>
      <c r="I553" s="153">
        <v>60</v>
      </c>
      <c r="J553" s="12">
        <v>0.25</v>
      </c>
    </row>
    <row r="554" spans="1:10" x14ac:dyDescent="0.25">
      <c r="A554" s="4" t="s">
        <v>20</v>
      </c>
      <c r="B554" s="55" t="s">
        <v>13</v>
      </c>
      <c r="C554" s="5">
        <v>5</v>
      </c>
      <c r="D554" s="56">
        <v>22</v>
      </c>
      <c r="E554" s="56">
        <v>108.5</v>
      </c>
      <c r="F554" s="157">
        <v>46108</v>
      </c>
      <c r="G554" s="4" t="s">
        <v>83</v>
      </c>
      <c r="H554" s="4" t="s">
        <v>145</v>
      </c>
      <c r="I554" s="153">
        <v>29.33</v>
      </c>
      <c r="J554" s="12">
        <v>0.27035330261136709</v>
      </c>
    </row>
    <row r="555" spans="1:10" x14ac:dyDescent="0.25">
      <c r="A555" s="4" t="s">
        <v>20</v>
      </c>
      <c r="B555" s="55" t="s">
        <v>12</v>
      </c>
      <c r="C555" s="5">
        <v>3</v>
      </c>
      <c r="D555" s="56">
        <v>14</v>
      </c>
      <c r="E555" s="56">
        <v>42</v>
      </c>
      <c r="F555" s="157">
        <v>46108</v>
      </c>
      <c r="G555" s="4" t="s">
        <v>83</v>
      </c>
      <c r="H555" s="4" t="s">
        <v>145</v>
      </c>
      <c r="I555" s="153">
        <v>7.25</v>
      </c>
      <c r="J555" s="12">
        <v>0.17261904761904759</v>
      </c>
    </row>
    <row r="556" spans="1:10" x14ac:dyDescent="0.25">
      <c r="A556" s="4" t="s">
        <v>20</v>
      </c>
      <c r="B556" s="55" t="s">
        <v>11</v>
      </c>
      <c r="C556" s="5">
        <v>17</v>
      </c>
      <c r="D556" s="56">
        <v>18</v>
      </c>
      <c r="E556" s="56">
        <v>294</v>
      </c>
      <c r="F556" s="157">
        <v>46108</v>
      </c>
      <c r="G556" s="4" t="s">
        <v>83</v>
      </c>
      <c r="H556" s="4" t="s">
        <v>145</v>
      </c>
      <c r="I556" s="153">
        <v>58.96</v>
      </c>
      <c r="J556" s="12">
        <v>0.20055143269428982</v>
      </c>
    </row>
    <row r="557" spans="1:10" x14ac:dyDescent="0.25">
      <c r="A557" s="4" t="s">
        <v>20</v>
      </c>
      <c r="B557" s="55" t="s">
        <v>10</v>
      </c>
      <c r="C557" s="5">
        <v>8</v>
      </c>
      <c r="D557" s="56">
        <v>20</v>
      </c>
      <c r="E557" s="56">
        <v>160</v>
      </c>
      <c r="F557" s="157">
        <v>46108</v>
      </c>
      <c r="G557" s="4" t="s">
        <v>83</v>
      </c>
      <c r="H557" s="4" t="s">
        <v>145</v>
      </c>
      <c r="I557" s="153">
        <v>40</v>
      </c>
      <c r="J557" s="12">
        <v>0.25</v>
      </c>
    </row>
    <row r="558" spans="1:10" x14ac:dyDescent="0.25">
      <c r="A558" s="4" t="s">
        <v>20</v>
      </c>
      <c r="B558" s="55" t="s">
        <v>13</v>
      </c>
      <c r="C558" s="5">
        <v>16</v>
      </c>
      <c r="D558" s="56">
        <v>22</v>
      </c>
      <c r="E558" s="56">
        <v>346</v>
      </c>
      <c r="F558" s="157">
        <v>46107</v>
      </c>
      <c r="G558" s="4" t="s">
        <v>294</v>
      </c>
      <c r="H558" s="4" t="s">
        <v>145</v>
      </c>
      <c r="I558" s="153">
        <v>92.67</v>
      </c>
      <c r="J558" s="12">
        <v>0.26782273603082851</v>
      </c>
    </row>
    <row r="559" spans="1:10" x14ac:dyDescent="0.25">
      <c r="A559" s="4" t="s">
        <v>20</v>
      </c>
      <c r="B559" s="55" t="s">
        <v>12</v>
      </c>
      <c r="C559" s="5">
        <v>6</v>
      </c>
      <c r="D559" s="56">
        <v>14</v>
      </c>
      <c r="E559" s="56">
        <v>84</v>
      </c>
      <c r="F559" s="157">
        <v>46107</v>
      </c>
      <c r="G559" s="4" t="s">
        <v>294</v>
      </c>
      <c r="H559" s="4" t="s">
        <v>145</v>
      </c>
      <c r="I559" s="153">
        <v>14.5</v>
      </c>
      <c r="J559" s="12">
        <v>0.17261904761904759</v>
      </c>
    </row>
    <row r="560" spans="1:10" x14ac:dyDescent="0.25">
      <c r="A560" s="4" t="s">
        <v>20</v>
      </c>
      <c r="B560" s="55" t="s">
        <v>11</v>
      </c>
      <c r="C560" s="5">
        <v>6</v>
      </c>
      <c r="D560" s="56">
        <v>18</v>
      </c>
      <c r="E560" s="56">
        <v>108</v>
      </c>
      <c r="F560" s="157">
        <v>46107</v>
      </c>
      <c r="G560" s="4" t="s">
        <v>294</v>
      </c>
      <c r="H560" s="4" t="s">
        <v>145</v>
      </c>
      <c r="I560" s="153">
        <v>25.05</v>
      </c>
      <c r="J560" s="12">
        <v>0.23190235690235689</v>
      </c>
    </row>
    <row r="561" spans="1:10" x14ac:dyDescent="0.25">
      <c r="A561" s="201" t="s">
        <v>20</v>
      </c>
      <c r="B561" s="202" t="s">
        <v>12</v>
      </c>
      <c r="C561" s="203">
        <v>1</v>
      </c>
      <c r="D561" s="204">
        <v>14</v>
      </c>
      <c r="E561" s="204">
        <v>0</v>
      </c>
      <c r="F561" s="205">
        <v>46106</v>
      </c>
      <c r="G561" s="201" t="s">
        <v>32</v>
      </c>
      <c r="H561" s="201" t="s">
        <v>145</v>
      </c>
      <c r="I561" s="206">
        <v>-11.58</v>
      </c>
      <c r="J561" s="207">
        <v>0.17261904761904759</v>
      </c>
    </row>
    <row r="562" spans="1:10" x14ac:dyDescent="0.25">
      <c r="A562" s="4" t="s">
        <v>20</v>
      </c>
      <c r="B562" s="55" t="s">
        <v>13</v>
      </c>
      <c r="C562" s="5">
        <v>19</v>
      </c>
      <c r="D562" s="56">
        <v>22</v>
      </c>
      <c r="E562" s="56">
        <v>409</v>
      </c>
      <c r="F562" s="157">
        <v>46106</v>
      </c>
      <c r="G562" s="4" t="s">
        <v>32</v>
      </c>
      <c r="H562" s="4" t="s">
        <v>145</v>
      </c>
      <c r="I562" s="153">
        <v>108.17</v>
      </c>
      <c r="J562" s="12">
        <v>0.26446617766911162</v>
      </c>
    </row>
    <row r="563" spans="1:10" x14ac:dyDescent="0.25">
      <c r="A563" s="4" t="s">
        <v>20</v>
      </c>
      <c r="B563" s="55" t="s">
        <v>12</v>
      </c>
      <c r="C563" s="5">
        <v>2</v>
      </c>
      <c r="D563" s="56">
        <v>14</v>
      </c>
      <c r="E563" s="56">
        <v>28</v>
      </c>
      <c r="F563" s="157">
        <v>46106</v>
      </c>
      <c r="G563" s="4" t="s">
        <v>32</v>
      </c>
      <c r="H563" s="4" t="s">
        <v>145</v>
      </c>
      <c r="I563" s="153">
        <v>4.83</v>
      </c>
      <c r="J563" s="12">
        <v>0.17261904761904759</v>
      </c>
    </row>
    <row r="564" spans="1:10" x14ac:dyDescent="0.25">
      <c r="A564" s="4" t="s">
        <v>20</v>
      </c>
      <c r="B564" s="55" t="s">
        <v>11</v>
      </c>
      <c r="C564" s="5">
        <v>1</v>
      </c>
      <c r="D564" s="56">
        <v>18</v>
      </c>
      <c r="E564" s="56">
        <v>18</v>
      </c>
      <c r="F564" s="157">
        <v>46106</v>
      </c>
      <c r="G564" s="4" t="s">
        <v>32</v>
      </c>
      <c r="H564" s="4" t="s">
        <v>145</v>
      </c>
      <c r="I564" s="153">
        <v>4.17</v>
      </c>
      <c r="J564" s="12">
        <v>0.23190235690235689</v>
      </c>
    </row>
    <row r="565" spans="1:10" x14ac:dyDescent="0.25">
      <c r="A565" s="4" t="s">
        <v>20</v>
      </c>
      <c r="B565" s="55" t="s">
        <v>10</v>
      </c>
      <c r="C565" s="5">
        <v>6</v>
      </c>
      <c r="D565" s="56">
        <v>20</v>
      </c>
      <c r="E565" s="56">
        <v>120</v>
      </c>
      <c r="F565" s="157">
        <v>46106</v>
      </c>
      <c r="G565" s="4" t="s">
        <v>32</v>
      </c>
      <c r="H565" s="4" t="s">
        <v>145</v>
      </c>
      <c r="I565" s="153">
        <v>30</v>
      </c>
      <c r="J565" s="12">
        <v>0.25</v>
      </c>
    </row>
    <row r="566" spans="1:10" x14ac:dyDescent="0.25">
      <c r="A566" s="4" t="s">
        <v>20</v>
      </c>
      <c r="B566" s="55" t="s">
        <v>13</v>
      </c>
      <c r="C566" s="5">
        <v>20</v>
      </c>
      <c r="D566" s="56">
        <v>20</v>
      </c>
      <c r="E566" s="56">
        <v>400</v>
      </c>
      <c r="F566" s="157">
        <v>46105</v>
      </c>
      <c r="G566" s="4" t="s">
        <v>290</v>
      </c>
      <c r="H566" s="4" t="s">
        <v>145</v>
      </c>
      <c r="I566" s="153">
        <v>83.33</v>
      </c>
      <c r="J566" s="12">
        <v>0.20833333333333329</v>
      </c>
    </row>
    <row r="567" spans="1:10" x14ac:dyDescent="0.25">
      <c r="A567" s="4" t="s">
        <v>20</v>
      </c>
      <c r="B567" s="55" t="s">
        <v>12</v>
      </c>
      <c r="C567" s="5">
        <v>9</v>
      </c>
      <c r="D567" s="56">
        <v>14</v>
      </c>
      <c r="E567" s="56">
        <v>126</v>
      </c>
      <c r="F567" s="157">
        <v>46105</v>
      </c>
      <c r="G567" s="4" t="s">
        <v>290</v>
      </c>
      <c r="H567" s="4" t="s">
        <v>145</v>
      </c>
      <c r="I567" s="153">
        <v>21.75</v>
      </c>
      <c r="J567" s="12">
        <v>0.17261904761904756</v>
      </c>
    </row>
    <row r="568" spans="1:10" x14ac:dyDescent="0.25">
      <c r="A568" s="4" t="s">
        <v>20</v>
      </c>
      <c r="B568" s="55" t="s">
        <v>11</v>
      </c>
      <c r="C568" s="5">
        <v>5</v>
      </c>
      <c r="D568" s="56">
        <v>17</v>
      </c>
      <c r="E568" s="56">
        <v>85</v>
      </c>
      <c r="F568" s="157">
        <v>46105</v>
      </c>
      <c r="G568" s="4" t="s">
        <v>290</v>
      </c>
      <c r="H568" s="4" t="s">
        <v>145</v>
      </c>
      <c r="I568" s="153">
        <v>15.87</v>
      </c>
      <c r="J568" s="12">
        <v>0.18672014260249553</v>
      </c>
    </row>
    <row r="569" spans="1:10" x14ac:dyDescent="0.25">
      <c r="A569" s="4" t="s">
        <v>20</v>
      </c>
      <c r="B569" s="55" t="s">
        <v>10</v>
      </c>
      <c r="C569" s="5">
        <v>16</v>
      </c>
      <c r="D569" s="56">
        <v>18</v>
      </c>
      <c r="E569" s="56">
        <v>288</v>
      </c>
      <c r="F569" s="157">
        <v>46105</v>
      </c>
      <c r="G569" s="4" t="s">
        <v>290</v>
      </c>
      <c r="H569" s="4" t="s">
        <v>145</v>
      </c>
      <c r="I569" s="153">
        <v>48</v>
      </c>
      <c r="J569" s="12">
        <v>0.16666666666666666</v>
      </c>
    </row>
    <row r="570" spans="1:10" x14ac:dyDescent="0.25">
      <c r="A570" s="4" t="s">
        <v>20</v>
      </c>
      <c r="B570" s="55" t="s">
        <v>13</v>
      </c>
      <c r="C570" s="5">
        <v>29</v>
      </c>
      <c r="D570" s="56">
        <v>20</v>
      </c>
      <c r="E570" s="56">
        <v>568</v>
      </c>
      <c r="F570" s="157">
        <v>46104</v>
      </c>
      <c r="G570" s="4" t="s">
        <v>291</v>
      </c>
      <c r="H570" s="4" t="s">
        <v>145</v>
      </c>
      <c r="I570" s="153">
        <v>108.83</v>
      </c>
      <c r="J570" s="12">
        <v>0.19160798122065725</v>
      </c>
    </row>
    <row r="571" spans="1:10" x14ac:dyDescent="0.25">
      <c r="A571" s="4" t="s">
        <v>20</v>
      </c>
      <c r="B571" s="55" t="s">
        <v>12</v>
      </c>
      <c r="C571" s="5">
        <v>9</v>
      </c>
      <c r="D571" s="56">
        <v>14</v>
      </c>
      <c r="E571" s="56">
        <v>126</v>
      </c>
      <c r="F571" s="157">
        <v>46104</v>
      </c>
      <c r="G571" s="4" t="s">
        <v>291</v>
      </c>
      <c r="H571" s="4" t="s">
        <v>145</v>
      </c>
      <c r="I571" s="153">
        <v>21.75</v>
      </c>
      <c r="J571" s="12">
        <v>0.17261904761904745</v>
      </c>
    </row>
    <row r="572" spans="1:10" x14ac:dyDescent="0.25">
      <c r="A572" s="4" t="s">
        <v>20</v>
      </c>
      <c r="B572" s="55" t="s">
        <v>11</v>
      </c>
      <c r="C572" s="5">
        <v>29</v>
      </c>
      <c r="D572" s="56">
        <v>17</v>
      </c>
      <c r="E572" s="56">
        <v>493</v>
      </c>
      <c r="F572" s="157">
        <v>46104</v>
      </c>
      <c r="G572" s="4" t="s">
        <v>291</v>
      </c>
      <c r="H572" s="4" t="s">
        <v>145</v>
      </c>
      <c r="I572" s="153">
        <v>92.05</v>
      </c>
      <c r="J572" s="12">
        <v>0.18672014260249553</v>
      </c>
    </row>
    <row r="573" spans="1:10" x14ac:dyDescent="0.25">
      <c r="A573" s="4" t="s">
        <v>20</v>
      </c>
      <c r="B573" s="55" t="s">
        <v>10</v>
      </c>
      <c r="C573" s="5">
        <v>7</v>
      </c>
      <c r="D573" s="56">
        <v>18</v>
      </c>
      <c r="E573" s="56">
        <v>126</v>
      </c>
      <c r="F573" s="157">
        <v>46104</v>
      </c>
      <c r="G573" s="4" t="s">
        <v>291</v>
      </c>
      <c r="H573" s="4" t="s">
        <v>145</v>
      </c>
      <c r="I573" s="153">
        <v>21</v>
      </c>
      <c r="J573" s="12">
        <v>0.16666666666666666</v>
      </c>
    </row>
    <row r="574" spans="1:10" x14ac:dyDescent="0.25">
      <c r="A574" s="4" t="s">
        <v>20</v>
      </c>
      <c r="B574" s="55" t="s">
        <v>13</v>
      </c>
      <c r="C574" s="5">
        <v>16</v>
      </c>
      <c r="D574" s="56">
        <v>20</v>
      </c>
      <c r="E574" s="56">
        <v>320</v>
      </c>
      <c r="F574" s="157">
        <v>46103</v>
      </c>
      <c r="G574" s="4" t="s">
        <v>93</v>
      </c>
      <c r="H574" s="4" t="s">
        <v>145</v>
      </c>
      <c r="I574" s="153">
        <v>66.67</v>
      </c>
      <c r="J574" s="12">
        <v>0.20833333333333331</v>
      </c>
    </row>
    <row r="575" spans="1:10" x14ac:dyDescent="0.25">
      <c r="A575" s="4" t="s">
        <v>20</v>
      </c>
      <c r="B575" s="55" t="s">
        <v>12</v>
      </c>
      <c r="C575" s="5">
        <v>4</v>
      </c>
      <c r="D575" s="56">
        <v>14</v>
      </c>
      <c r="E575" s="56">
        <v>56</v>
      </c>
      <c r="F575" s="157">
        <v>46103</v>
      </c>
      <c r="G575" s="4" t="s">
        <v>93</v>
      </c>
      <c r="H575" s="4" t="s">
        <v>145</v>
      </c>
      <c r="I575" s="153">
        <v>9.67</v>
      </c>
      <c r="J575" s="12">
        <v>0.17261904761904745</v>
      </c>
    </row>
    <row r="576" spans="1:10" x14ac:dyDescent="0.25">
      <c r="A576" s="4" t="s">
        <v>20</v>
      </c>
      <c r="B576" s="55" t="s">
        <v>11</v>
      </c>
      <c r="C576" s="5">
        <v>10</v>
      </c>
      <c r="D576" s="56">
        <v>17</v>
      </c>
      <c r="E576" s="56">
        <v>170</v>
      </c>
      <c r="F576" s="157">
        <v>46103</v>
      </c>
      <c r="G576" s="4" t="s">
        <v>93</v>
      </c>
      <c r="H576" s="4" t="s">
        <v>145</v>
      </c>
      <c r="I576" s="153">
        <v>31.74</v>
      </c>
      <c r="J576" s="12">
        <v>0.18672014260249553</v>
      </c>
    </row>
    <row r="577" spans="1:10" x14ac:dyDescent="0.25">
      <c r="A577" s="4" t="s">
        <v>20</v>
      </c>
      <c r="B577" s="55" t="s">
        <v>10</v>
      </c>
      <c r="C577" s="5">
        <v>4</v>
      </c>
      <c r="D577" s="56">
        <v>18</v>
      </c>
      <c r="E577" s="56">
        <v>72</v>
      </c>
      <c r="F577" s="157">
        <v>46103</v>
      </c>
      <c r="G577" s="4" t="s">
        <v>93</v>
      </c>
      <c r="H577" s="4" t="s">
        <v>145</v>
      </c>
      <c r="I577" s="153">
        <v>12</v>
      </c>
      <c r="J577" s="12">
        <v>0.16666666666666666</v>
      </c>
    </row>
    <row r="578" spans="1:10" x14ac:dyDescent="0.25">
      <c r="A578" s="4" t="s">
        <v>20</v>
      </c>
      <c r="B578" s="55" t="s">
        <v>13</v>
      </c>
      <c r="C578" s="5">
        <v>4</v>
      </c>
      <c r="D578" s="56">
        <v>20</v>
      </c>
      <c r="E578" s="56">
        <v>80</v>
      </c>
      <c r="F578" s="157">
        <v>46102</v>
      </c>
      <c r="G578" s="4" t="s">
        <v>92</v>
      </c>
      <c r="H578" s="4" t="s">
        <v>145</v>
      </c>
      <c r="I578" s="153">
        <v>16.670000000000002</v>
      </c>
      <c r="J578" s="12">
        <v>0.20833333333333331</v>
      </c>
    </row>
    <row r="579" spans="1:10" x14ac:dyDescent="0.25">
      <c r="A579" s="4" t="s">
        <v>20</v>
      </c>
      <c r="B579" s="55" t="s">
        <v>12</v>
      </c>
      <c r="C579" s="5">
        <v>1</v>
      </c>
      <c r="D579" s="56">
        <v>14</v>
      </c>
      <c r="E579" s="56">
        <v>14</v>
      </c>
      <c r="F579" s="157">
        <v>46102</v>
      </c>
      <c r="G579" s="4" t="s">
        <v>92</v>
      </c>
      <c r="H579" s="4" t="s">
        <v>145</v>
      </c>
      <c r="I579" s="153">
        <v>2.42</v>
      </c>
      <c r="J579" s="12">
        <v>0.17261904761904745</v>
      </c>
    </row>
    <row r="580" spans="1:10" x14ac:dyDescent="0.25">
      <c r="A580" s="4" t="s">
        <v>20</v>
      </c>
      <c r="B580" s="55" t="s">
        <v>11</v>
      </c>
      <c r="C580" s="5">
        <v>1</v>
      </c>
      <c r="D580" s="56">
        <v>17</v>
      </c>
      <c r="E580" s="56">
        <v>17</v>
      </c>
      <c r="F580" s="157">
        <v>46102</v>
      </c>
      <c r="G580" s="4" t="s">
        <v>92</v>
      </c>
      <c r="H580" s="4" t="s">
        <v>145</v>
      </c>
      <c r="I580" s="153">
        <v>3.17</v>
      </c>
      <c r="J580" s="12">
        <v>0.18672014260249553</v>
      </c>
    </row>
    <row r="581" spans="1:10" x14ac:dyDescent="0.25">
      <c r="A581" s="4" t="s">
        <v>20</v>
      </c>
      <c r="B581" s="55" t="s">
        <v>10</v>
      </c>
      <c r="C581" s="5">
        <v>3</v>
      </c>
      <c r="D581" s="56">
        <v>18</v>
      </c>
      <c r="E581" s="56">
        <v>54</v>
      </c>
      <c r="F581" s="157">
        <v>46102</v>
      </c>
      <c r="G581" s="4" t="s">
        <v>92</v>
      </c>
      <c r="H581" s="4" t="s">
        <v>145</v>
      </c>
      <c r="I581" s="153">
        <v>9</v>
      </c>
      <c r="J581" s="12">
        <v>0.16666666666666666</v>
      </c>
    </row>
    <row r="582" spans="1:10" x14ac:dyDescent="0.25">
      <c r="A582" s="4" t="s">
        <v>20</v>
      </c>
      <c r="B582" s="55" t="s">
        <v>13</v>
      </c>
      <c r="C582" s="5">
        <v>15</v>
      </c>
      <c r="D582" s="56">
        <v>20</v>
      </c>
      <c r="E582" s="56">
        <v>300</v>
      </c>
      <c r="F582" s="157">
        <v>46101</v>
      </c>
      <c r="G582" s="4" t="s">
        <v>83</v>
      </c>
      <c r="H582" s="4" t="s">
        <v>145</v>
      </c>
      <c r="I582" s="153">
        <v>62.5</v>
      </c>
      <c r="J582" s="12">
        <v>0.20833333333333331</v>
      </c>
    </row>
    <row r="583" spans="1:10" x14ac:dyDescent="0.25">
      <c r="A583" s="4" t="s">
        <v>20</v>
      </c>
      <c r="B583" s="55" t="s">
        <v>12</v>
      </c>
      <c r="C583" s="5">
        <v>7</v>
      </c>
      <c r="D583" s="56">
        <v>14</v>
      </c>
      <c r="E583" s="56">
        <v>98</v>
      </c>
      <c r="F583" s="157">
        <v>46101</v>
      </c>
      <c r="G583" s="4" t="s">
        <v>83</v>
      </c>
      <c r="H583" s="4" t="s">
        <v>145</v>
      </c>
      <c r="I583" s="153">
        <v>16.920000000000002</v>
      </c>
      <c r="J583" s="12">
        <v>0.17261904761904745</v>
      </c>
    </row>
    <row r="584" spans="1:10" x14ac:dyDescent="0.25">
      <c r="A584" s="4" t="s">
        <v>20</v>
      </c>
      <c r="B584" s="55" t="s">
        <v>11</v>
      </c>
      <c r="C584" s="5">
        <v>34</v>
      </c>
      <c r="D584" s="56">
        <v>17</v>
      </c>
      <c r="E584" s="56">
        <v>546</v>
      </c>
      <c r="F584" s="157">
        <v>46101</v>
      </c>
      <c r="G584" s="4" t="s">
        <v>83</v>
      </c>
      <c r="H584" s="4" t="s">
        <v>145</v>
      </c>
      <c r="I584" s="153">
        <v>75.92</v>
      </c>
      <c r="J584" s="12">
        <v>0.13905538905538903</v>
      </c>
    </row>
    <row r="585" spans="1:10" x14ac:dyDescent="0.25">
      <c r="A585" s="4" t="s">
        <v>20</v>
      </c>
      <c r="B585" s="55" t="s">
        <v>10</v>
      </c>
      <c r="C585" s="5">
        <v>5</v>
      </c>
      <c r="D585" s="56">
        <v>18</v>
      </c>
      <c r="E585" s="56">
        <v>90</v>
      </c>
      <c r="F585" s="157">
        <v>46101</v>
      </c>
      <c r="G585" s="4" t="s">
        <v>83</v>
      </c>
      <c r="H585" s="4" t="s">
        <v>145</v>
      </c>
      <c r="I585" s="153">
        <v>15</v>
      </c>
      <c r="J585" s="12">
        <v>0.16666666666666666</v>
      </c>
    </row>
    <row r="586" spans="1:10" x14ac:dyDescent="0.25">
      <c r="A586" s="4" t="s">
        <v>20</v>
      </c>
      <c r="B586" s="55" t="s">
        <v>13</v>
      </c>
      <c r="C586" s="5">
        <v>22</v>
      </c>
      <c r="D586" s="56">
        <v>20</v>
      </c>
      <c r="E586" s="56">
        <v>440</v>
      </c>
      <c r="F586" s="157">
        <v>46100</v>
      </c>
      <c r="G586" s="4" t="s">
        <v>294</v>
      </c>
      <c r="H586" s="4" t="s">
        <v>145</v>
      </c>
      <c r="I586" s="153">
        <v>91.67</v>
      </c>
      <c r="J586" s="12">
        <v>0.2083333333333332</v>
      </c>
    </row>
    <row r="587" spans="1:10" x14ac:dyDescent="0.25">
      <c r="A587" s="4" t="s">
        <v>20</v>
      </c>
      <c r="B587" s="55" t="s">
        <v>12</v>
      </c>
      <c r="C587" s="5">
        <v>5</v>
      </c>
      <c r="D587" s="56">
        <v>14</v>
      </c>
      <c r="E587" s="56">
        <v>70</v>
      </c>
      <c r="F587" s="157">
        <v>46100</v>
      </c>
      <c r="G587" s="4" t="s">
        <v>294</v>
      </c>
      <c r="H587" s="4" t="s">
        <v>145</v>
      </c>
      <c r="I587" s="153">
        <v>12.08</v>
      </c>
      <c r="J587" s="12">
        <v>0.17261904761904745</v>
      </c>
    </row>
    <row r="588" spans="1:10" x14ac:dyDescent="0.25">
      <c r="A588" s="4" t="s">
        <v>20</v>
      </c>
      <c r="B588" s="55" t="s">
        <v>11</v>
      </c>
      <c r="C588" s="5">
        <v>22</v>
      </c>
      <c r="D588" s="56">
        <v>17</v>
      </c>
      <c r="E588" s="56">
        <v>368</v>
      </c>
      <c r="F588" s="157">
        <v>46100</v>
      </c>
      <c r="G588" s="4" t="s">
        <v>294</v>
      </c>
      <c r="H588" s="4" t="s">
        <v>145</v>
      </c>
      <c r="I588" s="153">
        <v>63.83</v>
      </c>
      <c r="J588" s="12">
        <v>0.17346014492753623</v>
      </c>
    </row>
    <row r="589" spans="1:10" x14ac:dyDescent="0.25">
      <c r="A589" s="4" t="s">
        <v>20</v>
      </c>
      <c r="B589" s="55" t="s">
        <v>10</v>
      </c>
      <c r="C589" s="5">
        <v>4</v>
      </c>
      <c r="D589" s="56">
        <v>18</v>
      </c>
      <c r="E589" s="56">
        <v>72</v>
      </c>
      <c r="F589" s="157">
        <v>46100</v>
      </c>
      <c r="G589" s="4" t="s">
        <v>294</v>
      </c>
      <c r="H589" s="4" t="s">
        <v>145</v>
      </c>
      <c r="I589" s="153">
        <v>12</v>
      </c>
      <c r="J589" s="12">
        <v>0.16666666666666666</v>
      </c>
    </row>
    <row r="590" spans="1:10" x14ac:dyDescent="0.25">
      <c r="A590" s="4" t="s">
        <v>20</v>
      </c>
      <c r="B590" s="55" t="s">
        <v>13</v>
      </c>
      <c r="C590" s="5">
        <v>19</v>
      </c>
      <c r="D590" s="56">
        <v>20</v>
      </c>
      <c r="E590" s="56">
        <v>380</v>
      </c>
      <c r="F590" s="157">
        <v>46099</v>
      </c>
      <c r="G590" s="4" t="s">
        <v>32</v>
      </c>
      <c r="H590" s="4" t="s">
        <v>145</v>
      </c>
      <c r="I590" s="153">
        <v>79.17</v>
      </c>
      <c r="J590" s="12">
        <v>0.20833333333333331</v>
      </c>
    </row>
    <row r="591" spans="1:10" x14ac:dyDescent="0.25">
      <c r="A591" s="4" t="s">
        <v>20</v>
      </c>
      <c r="B591" s="55" t="s">
        <v>12</v>
      </c>
      <c r="C591" s="5">
        <v>15</v>
      </c>
      <c r="D591" s="56">
        <v>14</v>
      </c>
      <c r="E591" s="56">
        <v>206</v>
      </c>
      <c r="F591" s="157">
        <v>46099</v>
      </c>
      <c r="G591" s="4" t="s">
        <v>32</v>
      </c>
      <c r="H591" s="4" t="s">
        <v>145</v>
      </c>
      <c r="I591" s="153">
        <v>32.25</v>
      </c>
      <c r="J591" s="12">
        <v>0.15655339805825225</v>
      </c>
    </row>
    <row r="592" spans="1:10" x14ac:dyDescent="0.25">
      <c r="A592" s="4" t="s">
        <v>20</v>
      </c>
      <c r="B592" s="55" t="s">
        <v>11</v>
      </c>
      <c r="C592" s="5">
        <v>6</v>
      </c>
      <c r="D592" s="56">
        <v>17</v>
      </c>
      <c r="E592" s="56">
        <v>102</v>
      </c>
      <c r="F592" s="157">
        <v>46099</v>
      </c>
      <c r="G592" s="4" t="s">
        <v>32</v>
      </c>
      <c r="H592" s="4" t="s">
        <v>145</v>
      </c>
      <c r="I592" s="153">
        <v>19.05</v>
      </c>
      <c r="J592" s="12">
        <v>0.18672014260249553</v>
      </c>
    </row>
    <row r="593" spans="1:10" x14ac:dyDescent="0.25">
      <c r="A593" s="4" t="s">
        <v>20</v>
      </c>
      <c r="B593" s="55" t="s">
        <v>10</v>
      </c>
      <c r="C593" s="5">
        <v>4</v>
      </c>
      <c r="D593" s="56">
        <v>18</v>
      </c>
      <c r="E593" s="56">
        <v>72</v>
      </c>
      <c r="F593" s="157">
        <v>46099</v>
      </c>
      <c r="G593" s="4" t="s">
        <v>32</v>
      </c>
      <c r="H593" s="4" t="s">
        <v>145</v>
      </c>
      <c r="I593" s="153">
        <v>12</v>
      </c>
      <c r="J593" s="12">
        <v>0.16666666666666666</v>
      </c>
    </row>
    <row r="594" spans="1:10" x14ac:dyDescent="0.25">
      <c r="A594" s="4" t="s">
        <v>20</v>
      </c>
      <c r="B594" s="55" t="s">
        <v>12</v>
      </c>
      <c r="C594" s="5">
        <v>2</v>
      </c>
      <c r="D594" s="56">
        <v>14</v>
      </c>
      <c r="E594" s="56">
        <v>28</v>
      </c>
      <c r="F594" s="157">
        <v>46098</v>
      </c>
      <c r="G594" s="4" t="s">
        <v>290</v>
      </c>
      <c r="H594" s="4" t="s">
        <v>145</v>
      </c>
      <c r="I594" s="153">
        <v>4.83</v>
      </c>
      <c r="J594" s="12">
        <v>0.17261904761904759</v>
      </c>
    </row>
    <row r="595" spans="1:10" x14ac:dyDescent="0.25">
      <c r="A595" s="4" t="s">
        <v>20</v>
      </c>
      <c r="B595" s="55" t="s">
        <v>11</v>
      </c>
      <c r="C595" s="5">
        <v>24</v>
      </c>
      <c r="D595" s="56">
        <v>17</v>
      </c>
      <c r="E595" s="56">
        <v>396</v>
      </c>
      <c r="F595" s="157">
        <v>46098</v>
      </c>
      <c r="G595" s="4" t="s">
        <v>290</v>
      </c>
      <c r="H595" s="4" t="s">
        <v>145</v>
      </c>
      <c r="I595" s="153">
        <v>64.180000000000007</v>
      </c>
      <c r="J595" s="12">
        <v>0.16207529843893478</v>
      </c>
    </row>
    <row r="596" spans="1:10" x14ac:dyDescent="0.25">
      <c r="A596" s="4" t="s">
        <v>31</v>
      </c>
      <c r="B596" s="55" t="s">
        <v>13</v>
      </c>
      <c r="C596" s="5">
        <v>180</v>
      </c>
      <c r="D596" s="56">
        <v>190</v>
      </c>
      <c r="E596" s="56">
        <v>2850</v>
      </c>
      <c r="F596" s="157">
        <v>46098</v>
      </c>
      <c r="G596" s="4" t="s">
        <v>290</v>
      </c>
      <c r="H596" s="4" t="s">
        <v>145</v>
      </c>
      <c r="I596" s="153"/>
      <c r="J596" s="12"/>
    </row>
    <row r="597" spans="1:10" x14ac:dyDescent="0.25">
      <c r="A597" s="4" t="s">
        <v>31</v>
      </c>
      <c r="B597" s="55" t="s">
        <v>11</v>
      </c>
      <c r="C597" s="5">
        <v>120</v>
      </c>
      <c r="D597" s="56">
        <v>170</v>
      </c>
      <c r="E597" s="56">
        <v>1700</v>
      </c>
      <c r="F597" s="157">
        <v>46098</v>
      </c>
      <c r="G597" s="4" t="s">
        <v>290</v>
      </c>
      <c r="H597" s="4" t="s">
        <v>145</v>
      </c>
      <c r="I597" s="153"/>
      <c r="J597" s="12"/>
    </row>
    <row r="598" spans="1:10" x14ac:dyDescent="0.25">
      <c r="A598" s="4" t="s">
        <v>31</v>
      </c>
      <c r="B598" s="55" t="s">
        <v>10</v>
      </c>
      <c r="C598" s="5">
        <v>120</v>
      </c>
      <c r="D598" s="56">
        <v>180</v>
      </c>
      <c r="E598" s="56">
        <v>1800</v>
      </c>
      <c r="F598" s="157">
        <v>46098</v>
      </c>
      <c r="G598" s="4" t="s">
        <v>290</v>
      </c>
      <c r="H598" s="4" t="s">
        <v>145</v>
      </c>
      <c r="I598" s="153"/>
      <c r="J598" s="12"/>
    </row>
    <row r="599" spans="1:10" x14ac:dyDescent="0.25">
      <c r="A599" s="4" t="s">
        <v>20</v>
      </c>
      <c r="B599" s="55" t="s">
        <v>13</v>
      </c>
      <c r="C599" s="5">
        <v>19</v>
      </c>
      <c r="D599" s="56">
        <v>18</v>
      </c>
      <c r="E599" s="56">
        <v>342</v>
      </c>
      <c r="F599" s="157">
        <v>46097</v>
      </c>
      <c r="G599" s="4" t="s">
        <v>291</v>
      </c>
      <c r="H599" s="4" t="s">
        <v>145</v>
      </c>
      <c r="I599" s="153">
        <v>64.209999999999994</v>
      </c>
      <c r="J599" s="12">
        <v>0.18776138805600548</v>
      </c>
    </row>
    <row r="600" spans="1:10" x14ac:dyDescent="0.25">
      <c r="A600" s="4" t="s">
        <v>20</v>
      </c>
      <c r="B600" s="55" t="s">
        <v>12</v>
      </c>
      <c r="C600" s="5">
        <v>2</v>
      </c>
      <c r="D600" s="56">
        <v>14</v>
      </c>
      <c r="E600" s="56">
        <v>28</v>
      </c>
      <c r="F600" s="157">
        <v>46097</v>
      </c>
      <c r="G600" s="4" t="s">
        <v>291</v>
      </c>
      <c r="H600" s="4" t="s">
        <v>145</v>
      </c>
      <c r="I600" s="153">
        <v>4.83</v>
      </c>
      <c r="J600" s="12">
        <v>0.17261904761904759</v>
      </c>
    </row>
    <row r="601" spans="1:10" x14ac:dyDescent="0.25">
      <c r="A601" s="4" t="s">
        <v>20</v>
      </c>
      <c r="B601" s="55" t="s">
        <v>11</v>
      </c>
      <c r="C601" s="5">
        <v>21</v>
      </c>
      <c r="D601" s="56">
        <v>16</v>
      </c>
      <c r="E601" s="56">
        <v>300</v>
      </c>
      <c r="F601" s="157">
        <v>46097</v>
      </c>
      <c r="G601" s="4" t="s">
        <v>291</v>
      </c>
      <c r="H601" s="4" t="s">
        <v>145</v>
      </c>
      <c r="I601" s="153">
        <v>28.75</v>
      </c>
      <c r="J601" s="12">
        <v>9.5833333333333492E-2</v>
      </c>
    </row>
    <row r="602" spans="1:10" x14ac:dyDescent="0.25">
      <c r="A602" s="201" t="s">
        <v>20</v>
      </c>
      <c r="B602" s="202" t="s">
        <v>13</v>
      </c>
      <c r="C602" s="203">
        <v>1</v>
      </c>
      <c r="D602" s="204">
        <v>18</v>
      </c>
      <c r="E602" s="204"/>
      <c r="F602" s="205">
        <v>46097</v>
      </c>
      <c r="G602" s="201" t="s">
        <v>291</v>
      </c>
      <c r="H602" s="201" t="s">
        <v>145</v>
      </c>
      <c r="I602" s="206">
        <v>-14.62</v>
      </c>
      <c r="J602" s="207">
        <v>0.18776138805600548</v>
      </c>
    </row>
    <row r="603" spans="1:10" x14ac:dyDescent="0.25">
      <c r="A603" s="4" t="s">
        <v>20</v>
      </c>
      <c r="B603" s="55" t="s">
        <v>14</v>
      </c>
      <c r="C603" s="5">
        <v>22</v>
      </c>
      <c r="D603" s="56">
        <v>20</v>
      </c>
      <c r="E603" s="56">
        <v>416</v>
      </c>
      <c r="F603" s="157">
        <v>46096</v>
      </c>
      <c r="G603" s="4" t="s">
        <v>93</v>
      </c>
      <c r="H603" s="4" t="s">
        <v>145</v>
      </c>
      <c r="I603" s="153">
        <v>76.709999999999994</v>
      </c>
      <c r="J603" s="12">
        <v>0.18440099295896023</v>
      </c>
    </row>
    <row r="604" spans="1:10" x14ac:dyDescent="0.25">
      <c r="A604" s="4" t="s">
        <v>20</v>
      </c>
      <c r="B604" s="55" t="s">
        <v>13</v>
      </c>
      <c r="C604" s="5">
        <v>16</v>
      </c>
      <c r="D604" s="56">
        <v>18</v>
      </c>
      <c r="E604" s="56">
        <v>276</v>
      </c>
      <c r="F604" s="157">
        <v>46096</v>
      </c>
      <c r="G604" s="4" t="s">
        <v>93</v>
      </c>
      <c r="H604" s="4" t="s">
        <v>145</v>
      </c>
      <c r="I604" s="153">
        <v>42.08</v>
      </c>
      <c r="J604" s="12">
        <v>0.15244666579757093</v>
      </c>
    </row>
    <row r="605" spans="1:10" x14ac:dyDescent="0.25">
      <c r="A605" s="4" t="s">
        <v>20</v>
      </c>
      <c r="B605" s="55" t="s">
        <v>12</v>
      </c>
      <c r="C605" s="5">
        <v>1</v>
      </c>
      <c r="D605" s="56">
        <v>14</v>
      </c>
      <c r="E605" s="56">
        <v>14</v>
      </c>
      <c r="F605" s="157">
        <v>46096</v>
      </c>
      <c r="G605" s="4" t="s">
        <v>93</v>
      </c>
      <c r="H605" s="4" t="s">
        <v>145</v>
      </c>
      <c r="I605" s="153">
        <v>2.42</v>
      </c>
      <c r="J605" s="12">
        <v>0.17261904761904759</v>
      </c>
    </row>
    <row r="606" spans="1:10" x14ac:dyDescent="0.25">
      <c r="A606" s="4" t="s">
        <v>20</v>
      </c>
      <c r="B606" s="55" t="s">
        <v>11</v>
      </c>
      <c r="C606" s="5">
        <v>13</v>
      </c>
      <c r="D606" s="56">
        <v>16</v>
      </c>
      <c r="E606" s="56">
        <v>184</v>
      </c>
      <c r="F606" s="157">
        <v>46096</v>
      </c>
      <c r="G606" s="4" t="s">
        <v>93</v>
      </c>
      <c r="H606" s="4" t="s">
        <v>145</v>
      </c>
      <c r="I606" s="153">
        <v>16.079999999999998</v>
      </c>
      <c r="J606" s="12">
        <v>8.7409420289855239E-2</v>
      </c>
    </row>
    <row r="607" spans="1:10" x14ac:dyDescent="0.25">
      <c r="A607" s="201" t="s">
        <v>20</v>
      </c>
      <c r="B607" s="202" t="s">
        <v>14</v>
      </c>
      <c r="C607" s="203">
        <v>2</v>
      </c>
      <c r="D607" s="204">
        <v>20</v>
      </c>
      <c r="E607" s="204"/>
      <c r="F607" s="205">
        <v>46096</v>
      </c>
      <c r="G607" s="201" t="s">
        <v>93</v>
      </c>
      <c r="H607" s="201" t="s">
        <v>145</v>
      </c>
      <c r="I607" s="206">
        <f>-15.42*2</f>
        <v>-30.84</v>
      </c>
      <c r="J607" s="207">
        <v>-0.92777947118791237</v>
      </c>
    </row>
    <row r="608" spans="1:10" x14ac:dyDescent="0.25">
      <c r="A608" s="4" t="s">
        <v>20</v>
      </c>
      <c r="B608" s="55" t="s">
        <v>14</v>
      </c>
      <c r="C608" s="5">
        <v>5</v>
      </c>
      <c r="D608" s="56">
        <v>20</v>
      </c>
      <c r="E608" s="56">
        <v>100</v>
      </c>
      <c r="F608" s="157">
        <v>46095</v>
      </c>
      <c r="G608" s="4" t="s">
        <v>92</v>
      </c>
      <c r="H608" s="4" t="s">
        <v>145</v>
      </c>
      <c r="I608" s="153">
        <v>22.89</v>
      </c>
      <c r="J608" s="12">
        <v>0.22888821152483504</v>
      </c>
    </row>
    <row r="609" spans="1:10" x14ac:dyDescent="0.25">
      <c r="A609" s="4" t="s">
        <v>20</v>
      </c>
      <c r="B609" s="55" t="s">
        <v>13</v>
      </c>
      <c r="C609" s="5">
        <v>1</v>
      </c>
      <c r="D609" s="56">
        <v>18</v>
      </c>
      <c r="E609" s="56">
        <v>18</v>
      </c>
      <c r="F609" s="157">
        <v>46095</v>
      </c>
      <c r="G609" s="4" t="s">
        <v>92</v>
      </c>
      <c r="H609" s="4" t="s">
        <v>145</v>
      </c>
      <c r="I609" s="153">
        <v>3.38</v>
      </c>
      <c r="J609" s="12">
        <v>0.18776138805600548</v>
      </c>
    </row>
    <row r="610" spans="1:10" x14ac:dyDescent="0.25">
      <c r="A610" s="4" t="s">
        <v>20</v>
      </c>
      <c r="B610" s="55" t="s">
        <v>12</v>
      </c>
      <c r="C610" s="5">
        <v>2</v>
      </c>
      <c r="D610" s="56">
        <v>14</v>
      </c>
      <c r="E610" s="56">
        <v>28</v>
      </c>
      <c r="F610" s="157">
        <v>46095</v>
      </c>
      <c r="G610" s="4" t="s">
        <v>92</v>
      </c>
      <c r="H610" s="4" t="s">
        <v>145</v>
      </c>
      <c r="I610" s="153">
        <v>4.83</v>
      </c>
      <c r="J610" s="12">
        <v>0.17261904761904759</v>
      </c>
    </row>
    <row r="611" spans="1:10" x14ac:dyDescent="0.25">
      <c r="A611" s="4" t="s">
        <v>20</v>
      </c>
      <c r="B611" s="55" t="s">
        <v>11</v>
      </c>
      <c r="C611" s="5">
        <v>12</v>
      </c>
      <c r="D611" s="56">
        <v>16</v>
      </c>
      <c r="E611" s="56">
        <v>168</v>
      </c>
      <c r="F611" s="157">
        <v>46095</v>
      </c>
      <c r="G611" s="4" t="s">
        <v>92</v>
      </c>
      <c r="H611" s="4" t="s">
        <v>145</v>
      </c>
      <c r="I611" s="153">
        <v>13</v>
      </c>
      <c r="J611" s="12">
        <v>7.738095238095255E-2</v>
      </c>
    </row>
    <row r="612" spans="1:10" x14ac:dyDescent="0.25">
      <c r="A612" s="201" t="s">
        <v>20</v>
      </c>
      <c r="B612" s="202" t="s">
        <v>14</v>
      </c>
      <c r="C612" s="203">
        <v>1</v>
      </c>
      <c r="D612" s="204"/>
      <c r="E612" s="204"/>
      <c r="F612" s="205">
        <v>46094</v>
      </c>
      <c r="G612" s="201" t="s">
        <v>83</v>
      </c>
      <c r="H612" s="201" t="s">
        <v>145</v>
      </c>
      <c r="I612" s="206">
        <v>-15.42</v>
      </c>
      <c r="J612" s="207">
        <v>0.22888821152483504</v>
      </c>
    </row>
    <row r="613" spans="1:10" x14ac:dyDescent="0.25">
      <c r="A613" s="4" t="s">
        <v>20</v>
      </c>
      <c r="B613" s="55" t="s">
        <v>14</v>
      </c>
      <c r="C613" s="5">
        <v>5</v>
      </c>
      <c r="D613" s="56">
        <v>20</v>
      </c>
      <c r="E613" s="56">
        <v>100</v>
      </c>
      <c r="F613" s="157">
        <v>46094</v>
      </c>
      <c r="G613" s="4" t="s">
        <v>83</v>
      </c>
      <c r="H613" s="4" t="s">
        <v>145</v>
      </c>
      <c r="I613" s="153">
        <v>22.89</v>
      </c>
      <c r="J613" s="12">
        <v>0.22888821152483504</v>
      </c>
    </row>
    <row r="614" spans="1:10" x14ac:dyDescent="0.25">
      <c r="A614" s="4" t="s">
        <v>20</v>
      </c>
      <c r="B614" s="55" t="s">
        <v>13</v>
      </c>
      <c r="C614" s="5">
        <v>15</v>
      </c>
      <c r="D614" s="56">
        <v>18</v>
      </c>
      <c r="E614" s="56">
        <v>268</v>
      </c>
      <c r="F614" s="157">
        <v>46094</v>
      </c>
      <c r="G614" s="4" t="s">
        <v>83</v>
      </c>
      <c r="H614" s="4" t="s">
        <v>145</v>
      </c>
      <c r="I614" s="153">
        <v>48.7</v>
      </c>
      <c r="J614" s="12">
        <v>0.18169990587731885</v>
      </c>
    </row>
    <row r="615" spans="1:10" x14ac:dyDescent="0.25">
      <c r="A615" s="4" t="s">
        <v>20</v>
      </c>
      <c r="B615" s="55" t="s">
        <v>12</v>
      </c>
      <c r="C615" s="5">
        <v>5</v>
      </c>
      <c r="D615" s="56">
        <v>14</v>
      </c>
      <c r="E615" s="56">
        <v>70</v>
      </c>
      <c r="F615" s="157">
        <v>46094</v>
      </c>
      <c r="G615" s="4" t="s">
        <v>83</v>
      </c>
      <c r="H615" s="4" t="s">
        <v>145</v>
      </c>
      <c r="I615" s="153">
        <v>12.08</v>
      </c>
      <c r="J615" s="12">
        <v>0.17261904761904759</v>
      </c>
    </row>
    <row r="616" spans="1:10" x14ac:dyDescent="0.25">
      <c r="A616" s="4" t="s">
        <v>20</v>
      </c>
      <c r="B616" s="55" t="s">
        <v>11</v>
      </c>
      <c r="C616" s="5">
        <v>10</v>
      </c>
      <c r="D616" s="56">
        <v>16</v>
      </c>
      <c r="E616" s="56">
        <v>160</v>
      </c>
      <c r="F616" s="157">
        <v>46094</v>
      </c>
      <c r="G616" s="4" t="s">
        <v>83</v>
      </c>
      <c r="H616" s="4" t="s">
        <v>145</v>
      </c>
      <c r="I616" s="153">
        <v>30.83</v>
      </c>
      <c r="J616" s="12">
        <v>0.19270833333333337</v>
      </c>
    </row>
    <row r="617" spans="1:10" x14ac:dyDescent="0.25">
      <c r="A617" s="4" t="s">
        <v>20</v>
      </c>
      <c r="B617" s="55" t="s">
        <v>14</v>
      </c>
      <c r="C617" s="5">
        <v>11</v>
      </c>
      <c r="D617" s="56">
        <v>20</v>
      </c>
      <c r="E617" s="56">
        <v>220</v>
      </c>
      <c r="F617" s="157">
        <v>46093</v>
      </c>
      <c r="G617" s="4" t="s">
        <v>294</v>
      </c>
      <c r="H617" s="4" t="s">
        <v>145</v>
      </c>
      <c r="I617" s="153">
        <v>50.36</v>
      </c>
      <c r="J617" s="12">
        <v>0.22888821152483507</v>
      </c>
    </row>
    <row r="618" spans="1:10" x14ac:dyDescent="0.25">
      <c r="A618" s="4" t="s">
        <v>20</v>
      </c>
      <c r="B618" s="55" t="s">
        <v>13</v>
      </c>
      <c r="C618" s="5">
        <v>10</v>
      </c>
      <c r="D618" s="56">
        <v>18</v>
      </c>
      <c r="E618" s="56">
        <v>180</v>
      </c>
      <c r="F618" s="157">
        <v>46093</v>
      </c>
      <c r="G618" s="4" t="s">
        <v>294</v>
      </c>
      <c r="H618" s="4" t="s">
        <v>145</v>
      </c>
      <c r="I618" s="153">
        <v>33.799999999999997</v>
      </c>
      <c r="J618" s="12">
        <v>0.18776138805600537</v>
      </c>
    </row>
    <row r="619" spans="1:10" x14ac:dyDescent="0.25">
      <c r="A619" s="4" t="s">
        <v>20</v>
      </c>
      <c r="B619" s="55" t="s">
        <v>12</v>
      </c>
      <c r="C619" s="5">
        <v>4</v>
      </c>
      <c r="D619" s="56">
        <v>14</v>
      </c>
      <c r="E619" s="56">
        <v>56</v>
      </c>
      <c r="F619" s="157">
        <v>46093</v>
      </c>
      <c r="G619" s="4" t="s">
        <v>294</v>
      </c>
      <c r="H619" s="4" t="s">
        <v>145</v>
      </c>
      <c r="I619" s="153">
        <v>9.67</v>
      </c>
      <c r="J619" s="12">
        <v>0.17261904761904759</v>
      </c>
    </row>
    <row r="620" spans="1:10" x14ac:dyDescent="0.25">
      <c r="A620" s="4" t="s">
        <v>20</v>
      </c>
      <c r="B620" s="55" t="s">
        <v>11</v>
      </c>
      <c r="C620" s="5">
        <v>5</v>
      </c>
      <c r="D620" s="56">
        <v>16</v>
      </c>
      <c r="E620" s="56">
        <v>80</v>
      </c>
      <c r="F620" s="157">
        <v>46093</v>
      </c>
      <c r="G620" s="4" t="s">
        <v>294</v>
      </c>
      <c r="H620" s="4" t="s">
        <v>145</v>
      </c>
      <c r="I620" s="153">
        <v>15.42</v>
      </c>
      <c r="J620" s="12">
        <v>0.19270833333333337</v>
      </c>
    </row>
    <row r="621" spans="1:10" x14ac:dyDescent="0.25">
      <c r="A621" s="4" t="s">
        <v>20</v>
      </c>
      <c r="B621" s="55" t="s">
        <v>10</v>
      </c>
      <c r="C621" s="5">
        <v>6</v>
      </c>
      <c r="D621" s="56">
        <v>17</v>
      </c>
      <c r="E621" s="56">
        <v>102</v>
      </c>
      <c r="F621" s="157">
        <v>46093</v>
      </c>
      <c r="G621" s="4" t="s">
        <v>294</v>
      </c>
      <c r="H621" s="4" t="s">
        <v>145</v>
      </c>
      <c r="I621" s="153">
        <v>19.5</v>
      </c>
      <c r="J621" s="12">
        <v>0.19117647058823528</v>
      </c>
    </row>
    <row r="622" spans="1:10" x14ac:dyDescent="0.25">
      <c r="A622" s="4" t="s">
        <v>20</v>
      </c>
      <c r="B622" s="55" t="s">
        <v>14</v>
      </c>
      <c r="C622" s="5">
        <v>23</v>
      </c>
      <c r="D622" s="56">
        <v>20</v>
      </c>
      <c r="E622" s="56">
        <v>460</v>
      </c>
      <c r="F622" s="157">
        <v>46092</v>
      </c>
      <c r="G622" s="4" t="s">
        <v>32</v>
      </c>
      <c r="H622" s="4" t="s">
        <v>145</v>
      </c>
      <c r="I622" s="153">
        <v>105.29</v>
      </c>
      <c r="J622" s="12">
        <v>0.22888821152483516</v>
      </c>
    </row>
    <row r="623" spans="1:10" x14ac:dyDescent="0.25">
      <c r="A623" s="4" t="s">
        <v>20</v>
      </c>
      <c r="B623" s="55" t="s">
        <v>13</v>
      </c>
      <c r="C623" s="5">
        <v>13</v>
      </c>
      <c r="D623" s="56">
        <v>18</v>
      </c>
      <c r="E623" s="56">
        <v>234</v>
      </c>
      <c r="F623" s="157">
        <v>46092</v>
      </c>
      <c r="G623" s="4" t="s">
        <v>32</v>
      </c>
      <c r="H623" s="4" t="s">
        <v>145</v>
      </c>
      <c r="I623" s="153">
        <v>43.94</v>
      </c>
      <c r="J623" s="12">
        <v>0.18776138805600537</v>
      </c>
    </row>
    <row r="624" spans="1:10" x14ac:dyDescent="0.25">
      <c r="A624" s="4" t="s">
        <v>20</v>
      </c>
      <c r="B624" s="55" t="s">
        <v>12</v>
      </c>
      <c r="C624" s="5">
        <v>1</v>
      </c>
      <c r="D624" s="56">
        <v>14</v>
      </c>
      <c r="E624" s="56">
        <v>14</v>
      </c>
      <c r="F624" s="157">
        <v>46092</v>
      </c>
      <c r="G624" s="4" t="s">
        <v>32</v>
      </c>
      <c r="H624" s="4" t="s">
        <v>145</v>
      </c>
      <c r="I624" s="153">
        <v>2.42</v>
      </c>
      <c r="J624" s="12">
        <v>0.17261904761904759</v>
      </c>
    </row>
    <row r="625" spans="1:10" x14ac:dyDescent="0.25">
      <c r="A625" s="4" t="s">
        <v>20</v>
      </c>
      <c r="B625" s="55" t="s">
        <v>11</v>
      </c>
      <c r="C625" s="5">
        <v>11</v>
      </c>
      <c r="D625" s="56">
        <v>16</v>
      </c>
      <c r="E625" s="56">
        <v>164</v>
      </c>
      <c r="F625" s="157">
        <v>46092</v>
      </c>
      <c r="G625" s="4" t="s">
        <v>32</v>
      </c>
      <c r="H625" s="4" t="s">
        <v>145</v>
      </c>
      <c r="I625" s="153">
        <v>21.92</v>
      </c>
      <c r="J625" s="12">
        <v>0.13363821138211385</v>
      </c>
    </row>
    <row r="626" spans="1:10" x14ac:dyDescent="0.25">
      <c r="A626" s="4" t="s">
        <v>20</v>
      </c>
      <c r="B626" s="55" t="s">
        <v>14</v>
      </c>
      <c r="C626" s="5">
        <v>9</v>
      </c>
      <c r="D626" s="56">
        <v>20</v>
      </c>
      <c r="E626" s="56">
        <v>168</v>
      </c>
      <c r="F626" s="157">
        <v>46091</v>
      </c>
      <c r="G626" s="4" t="s">
        <v>290</v>
      </c>
      <c r="H626" s="4" t="s">
        <v>145</v>
      </c>
      <c r="I626" s="153">
        <v>29.2</v>
      </c>
      <c r="J626" s="12">
        <v>0.17380879806232327</v>
      </c>
    </row>
    <row r="627" spans="1:10" x14ac:dyDescent="0.25">
      <c r="A627" s="4" t="s">
        <v>20</v>
      </c>
      <c r="B627" s="55" t="s">
        <v>13</v>
      </c>
      <c r="C627" s="5">
        <v>9</v>
      </c>
      <c r="D627" s="56">
        <v>18</v>
      </c>
      <c r="E627" s="56">
        <v>162</v>
      </c>
      <c r="F627" s="157">
        <v>46091</v>
      </c>
      <c r="G627" s="4" t="s">
        <v>290</v>
      </c>
      <c r="H627" s="4" t="s">
        <v>145</v>
      </c>
      <c r="I627" s="153">
        <v>30.42</v>
      </c>
      <c r="J627" s="12">
        <v>0.18776138805600537</v>
      </c>
    </row>
    <row r="628" spans="1:10" x14ac:dyDescent="0.25">
      <c r="A628" s="4" t="s">
        <v>20</v>
      </c>
      <c r="B628" s="55" t="s">
        <v>12</v>
      </c>
      <c r="C628" s="5">
        <v>2</v>
      </c>
      <c r="D628" s="56">
        <v>14</v>
      </c>
      <c r="E628" s="56">
        <v>28</v>
      </c>
      <c r="F628" s="157">
        <v>46091</v>
      </c>
      <c r="G628" s="4" t="s">
        <v>290</v>
      </c>
      <c r="H628" s="4" t="s">
        <v>145</v>
      </c>
      <c r="I628" s="153">
        <v>4.83</v>
      </c>
      <c r="J628" s="12">
        <v>0.17261904761904759</v>
      </c>
    </row>
    <row r="629" spans="1:10" x14ac:dyDescent="0.25">
      <c r="A629" s="4" t="s">
        <v>20</v>
      </c>
      <c r="B629" s="55" t="s">
        <v>11</v>
      </c>
      <c r="C629" s="5">
        <v>35</v>
      </c>
      <c r="D629" s="56">
        <v>16</v>
      </c>
      <c r="E629" s="56">
        <v>496</v>
      </c>
      <c r="F629" s="157">
        <v>46091</v>
      </c>
      <c r="G629" s="4" t="s">
        <v>290</v>
      </c>
      <c r="H629" s="4" t="s">
        <v>145</v>
      </c>
      <c r="I629" s="153">
        <v>43.92</v>
      </c>
      <c r="J629" s="12">
        <v>8.8541666666666699E-2</v>
      </c>
    </row>
    <row r="630" spans="1:10" x14ac:dyDescent="0.25">
      <c r="A630" s="4" t="s">
        <v>20</v>
      </c>
      <c r="B630" s="55" t="s">
        <v>10</v>
      </c>
      <c r="C630" s="5">
        <v>6</v>
      </c>
      <c r="D630" s="56">
        <v>17</v>
      </c>
      <c r="E630" s="56">
        <v>102</v>
      </c>
      <c r="F630" s="157">
        <v>46091</v>
      </c>
      <c r="G630" s="4" t="s">
        <v>290</v>
      </c>
      <c r="H630" s="4" t="s">
        <v>145</v>
      </c>
      <c r="I630" s="153">
        <v>19.5</v>
      </c>
      <c r="J630" s="12">
        <v>0.19117647058823528</v>
      </c>
    </row>
    <row r="631" spans="1:10" x14ac:dyDescent="0.25">
      <c r="A631" s="4" t="s">
        <v>20</v>
      </c>
      <c r="B631" s="55" t="s">
        <v>14</v>
      </c>
      <c r="C631" s="5">
        <v>12</v>
      </c>
      <c r="D631" s="56">
        <v>20</v>
      </c>
      <c r="E631" s="56">
        <v>240</v>
      </c>
      <c r="F631" s="157">
        <v>46090</v>
      </c>
      <c r="G631" s="4" t="s">
        <v>291</v>
      </c>
      <c r="H631" s="4" t="s">
        <v>145</v>
      </c>
      <c r="I631" s="153">
        <v>54.93</v>
      </c>
      <c r="J631" s="12">
        <v>0.22888821152483513</v>
      </c>
    </row>
    <row r="632" spans="1:10" x14ac:dyDescent="0.25">
      <c r="A632" s="4" t="s">
        <v>20</v>
      </c>
      <c r="B632" s="55" t="s">
        <v>13</v>
      </c>
      <c r="C632" s="5">
        <v>11</v>
      </c>
      <c r="D632" s="56">
        <v>18</v>
      </c>
      <c r="E632" s="56">
        <v>198</v>
      </c>
      <c r="F632" s="157">
        <v>46090</v>
      </c>
      <c r="G632" s="4" t="s">
        <v>291</v>
      </c>
      <c r="H632" s="4" t="s">
        <v>145</v>
      </c>
      <c r="I632" s="153">
        <v>37.18</v>
      </c>
      <c r="J632" s="12">
        <v>0.18776138805600537</v>
      </c>
    </row>
    <row r="633" spans="1:10" x14ac:dyDescent="0.25">
      <c r="A633" s="4" t="s">
        <v>20</v>
      </c>
      <c r="B633" s="55" t="s">
        <v>12</v>
      </c>
      <c r="C633" s="5">
        <v>4</v>
      </c>
      <c r="D633" s="56">
        <v>14</v>
      </c>
      <c r="E633" s="56">
        <v>56</v>
      </c>
      <c r="F633" s="157">
        <v>46090</v>
      </c>
      <c r="G633" s="4" t="s">
        <v>291</v>
      </c>
      <c r="H633" s="4" t="s">
        <v>145</v>
      </c>
      <c r="I633" s="153">
        <v>9.67</v>
      </c>
      <c r="J633" s="12">
        <v>0.17261904761904759</v>
      </c>
    </row>
    <row r="634" spans="1:10" x14ac:dyDescent="0.25">
      <c r="A634" s="4" t="s">
        <v>20</v>
      </c>
      <c r="B634" s="55" t="s">
        <v>11</v>
      </c>
      <c r="C634" s="5">
        <v>3</v>
      </c>
      <c r="D634" s="56">
        <v>16</v>
      </c>
      <c r="E634" s="56">
        <v>48</v>
      </c>
      <c r="F634" s="157">
        <v>46090</v>
      </c>
      <c r="G634" s="4" t="s">
        <v>291</v>
      </c>
      <c r="H634" s="4" t="s">
        <v>145</v>
      </c>
      <c r="I634" s="153">
        <v>9.25</v>
      </c>
      <c r="J634" s="12">
        <v>0.19270833333333337</v>
      </c>
    </row>
    <row r="635" spans="1:10" x14ac:dyDescent="0.25">
      <c r="A635" s="4" t="s">
        <v>20</v>
      </c>
      <c r="B635" s="55" t="s">
        <v>10</v>
      </c>
      <c r="C635" s="5">
        <v>14</v>
      </c>
      <c r="D635" s="56">
        <v>17</v>
      </c>
      <c r="E635" s="56">
        <v>214</v>
      </c>
      <c r="F635" s="157">
        <v>46090</v>
      </c>
      <c r="G635" s="4" t="s">
        <v>291</v>
      </c>
      <c r="H635" s="4" t="s">
        <v>145</v>
      </c>
      <c r="I635" s="153">
        <v>21.5</v>
      </c>
      <c r="J635" s="12">
        <v>0.10046728971962617</v>
      </c>
    </row>
    <row r="636" spans="1:10" x14ac:dyDescent="0.25">
      <c r="A636" s="4" t="s">
        <v>20</v>
      </c>
      <c r="B636" s="55" t="s">
        <v>14</v>
      </c>
      <c r="C636" s="5">
        <v>4</v>
      </c>
      <c r="D636" s="56">
        <v>20</v>
      </c>
      <c r="E636" s="56">
        <v>80</v>
      </c>
      <c r="F636" s="157">
        <v>46089</v>
      </c>
      <c r="G636" s="4" t="s">
        <v>93</v>
      </c>
      <c r="H636" s="4" t="s">
        <v>145</v>
      </c>
      <c r="I636" s="153">
        <v>18.309999999999999</v>
      </c>
      <c r="J636" s="12">
        <v>0.22888821152483513</v>
      </c>
    </row>
    <row r="637" spans="1:10" x14ac:dyDescent="0.25">
      <c r="A637" s="4" t="s">
        <v>20</v>
      </c>
      <c r="B637" s="55" t="s">
        <v>13</v>
      </c>
      <c r="C637" s="5">
        <v>11</v>
      </c>
      <c r="D637" s="56">
        <v>18</v>
      </c>
      <c r="E637" s="56">
        <v>198</v>
      </c>
      <c r="F637" s="157">
        <v>46089</v>
      </c>
      <c r="G637" s="4" t="s">
        <v>93</v>
      </c>
      <c r="H637" s="4" t="s">
        <v>145</v>
      </c>
      <c r="I637" s="153">
        <v>37.18</v>
      </c>
      <c r="J637" s="12">
        <v>0.18776138805600526</v>
      </c>
    </row>
    <row r="638" spans="1:10" x14ac:dyDescent="0.25">
      <c r="A638" s="4" t="s">
        <v>20</v>
      </c>
      <c r="B638" s="55" t="s">
        <v>12</v>
      </c>
      <c r="C638" s="5">
        <v>3</v>
      </c>
      <c r="D638" s="56">
        <v>14</v>
      </c>
      <c r="E638" s="56">
        <v>42</v>
      </c>
      <c r="F638" s="157">
        <v>46089</v>
      </c>
      <c r="G638" s="4" t="s">
        <v>93</v>
      </c>
      <c r="H638" s="4" t="s">
        <v>145</v>
      </c>
      <c r="I638" s="153">
        <v>7.25</v>
      </c>
      <c r="J638" s="12">
        <v>0.17261904761904759</v>
      </c>
    </row>
    <row r="639" spans="1:10" x14ac:dyDescent="0.25">
      <c r="A639" s="4" t="s">
        <v>20</v>
      </c>
      <c r="B639" s="55" t="s">
        <v>11</v>
      </c>
      <c r="C639" s="5">
        <v>1</v>
      </c>
      <c r="D639" s="56">
        <v>16</v>
      </c>
      <c r="E639" s="56">
        <v>16</v>
      </c>
      <c r="F639" s="157">
        <v>46089</v>
      </c>
      <c r="G639" s="4" t="s">
        <v>93</v>
      </c>
      <c r="H639" s="4" t="s">
        <v>145</v>
      </c>
      <c r="I639" s="153">
        <v>3.08</v>
      </c>
      <c r="J639" s="12">
        <v>0.19270833333333337</v>
      </c>
    </row>
    <row r="640" spans="1:10" x14ac:dyDescent="0.25">
      <c r="A640" s="4" t="s">
        <v>20</v>
      </c>
      <c r="B640" s="55" t="s">
        <v>10</v>
      </c>
      <c r="C640" s="5">
        <v>2</v>
      </c>
      <c r="D640" s="56">
        <v>17</v>
      </c>
      <c r="E640" s="56">
        <v>34</v>
      </c>
      <c r="F640" s="157">
        <v>46089</v>
      </c>
      <c r="G640" s="4" t="s">
        <v>93</v>
      </c>
      <c r="H640" s="4" t="s">
        <v>145</v>
      </c>
      <c r="I640" s="153">
        <v>6.5</v>
      </c>
      <c r="J640" s="12">
        <v>0.19117647058823528</v>
      </c>
    </row>
    <row r="641" spans="1:10" x14ac:dyDescent="0.25">
      <c r="A641" s="4" t="s">
        <v>20</v>
      </c>
      <c r="B641" s="55" t="s">
        <v>14</v>
      </c>
      <c r="C641" s="5">
        <v>3</v>
      </c>
      <c r="D641" s="56">
        <v>22</v>
      </c>
      <c r="E641" s="56">
        <v>66</v>
      </c>
      <c r="F641" s="157">
        <v>46088</v>
      </c>
      <c r="G641" s="4" t="s">
        <v>92</v>
      </c>
      <c r="H641" s="4" t="s">
        <v>145</v>
      </c>
      <c r="I641" s="153">
        <v>19.73</v>
      </c>
      <c r="J641" s="12">
        <v>0.29898928320439555</v>
      </c>
    </row>
    <row r="642" spans="1:10" x14ac:dyDescent="0.25">
      <c r="A642" s="4" t="s">
        <v>20</v>
      </c>
      <c r="B642" s="55" t="s">
        <v>13</v>
      </c>
      <c r="C642" s="5">
        <v>4</v>
      </c>
      <c r="D642" s="56">
        <v>20</v>
      </c>
      <c r="E642" s="56">
        <v>80</v>
      </c>
      <c r="F642" s="157">
        <v>46088</v>
      </c>
      <c r="G642" s="4" t="s">
        <v>92</v>
      </c>
      <c r="H642" s="4" t="s">
        <v>145</v>
      </c>
      <c r="I642" s="153">
        <v>21.52</v>
      </c>
      <c r="J642" s="12">
        <v>0.26898524925040473</v>
      </c>
    </row>
    <row r="643" spans="1:10" x14ac:dyDescent="0.25">
      <c r="A643" s="201" t="s">
        <v>20</v>
      </c>
      <c r="B643" s="202" t="s">
        <v>14</v>
      </c>
      <c r="C643" s="203">
        <v>1</v>
      </c>
      <c r="D643" s="204"/>
      <c r="E643" s="204"/>
      <c r="F643" s="205">
        <v>46088</v>
      </c>
      <c r="G643" s="201" t="s">
        <v>92</v>
      </c>
      <c r="H643" s="201" t="s">
        <v>145</v>
      </c>
      <c r="I643" s="206">
        <v>-15.42</v>
      </c>
      <c r="J643" s="207">
        <v>0.18776138805600529</v>
      </c>
    </row>
    <row r="644" spans="1:10" x14ac:dyDescent="0.25">
      <c r="A644" s="4" t="s">
        <v>31</v>
      </c>
      <c r="B644" s="55" t="s">
        <v>11</v>
      </c>
      <c r="C644" s="5">
        <v>156</v>
      </c>
      <c r="D644" s="56">
        <v>155</v>
      </c>
      <c r="E644" s="56">
        <v>2015</v>
      </c>
      <c r="F644" s="157">
        <v>46088</v>
      </c>
      <c r="G644" s="4" t="s">
        <v>92</v>
      </c>
      <c r="H644" s="4" t="s">
        <v>145</v>
      </c>
      <c r="I644" s="153"/>
      <c r="J644" s="12"/>
    </row>
    <row r="645" spans="1:10" x14ac:dyDescent="0.25">
      <c r="A645" s="4" t="s">
        <v>31</v>
      </c>
      <c r="B645" s="55" t="s">
        <v>12</v>
      </c>
      <c r="C645" s="5">
        <v>48</v>
      </c>
      <c r="D645" s="56">
        <v>145</v>
      </c>
      <c r="E645" s="56">
        <v>580</v>
      </c>
      <c r="F645" s="157">
        <v>46088</v>
      </c>
      <c r="G645" s="4" t="s">
        <v>92</v>
      </c>
      <c r="H645" s="4" t="s">
        <v>145</v>
      </c>
      <c r="I645" s="153"/>
      <c r="J645" s="12"/>
    </row>
    <row r="646" spans="1:10" x14ac:dyDescent="0.25">
      <c r="A646" s="4" t="s">
        <v>31</v>
      </c>
      <c r="B646" s="55" t="s">
        <v>12</v>
      </c>
      <c r="C646" s="5">
        <v>72</v>
      </c>
      <c r="D646" s="56">
        <v>135</v>
      </c>
      <c r="E646" s="56">
        <v>810</v>
      </c>
      <c r="F646" s="157">
        <v>46088</v>
      </c>
      <c r="G646" s="4" t="s">
        <v>92</v>
      </c>
      <c r="H646" s="4" t="s">
        <v>145</v>
      </c>
      <c r="I646" s="153"/>
      <c r="J646" s="12"/>
    </row>
    <row r="647" spans="1:10" x14ac:dyDescent="0.25">
      <c r="A647" s="4" t="s">
        <v>31</v>
      </c>
      <c r="B647" s="55" t="s">
        <v>13</v>
      </c>
      <c r="C647" s="5">
        <v>60</v>
      </c>
      <c r="D647" s="56">
        <v>175</v>
      </c>
      <c r="E647" s="56">
        <v>875</v>
      </c>
      <c r="F647" s="157">
        <v>46088</v>
      </c>
      <c r="G647" s="4" t="s">
        <v>92</v>
      </c>
      <c r="H647" s="4" t="s">
        <v>145</v>
      </c>
      <c r="I647" s="153"/>
      <c r="J647" s="12"/>
    </row>
    <row r="648" spans="1:10" x14ac:dyDescent="0.25">
      <c r="A648" s="4" t="s">
        <v>31</v>
      </c>
      <c r="B648" s="55" t="s">
        <v>14</v>
      </c>
      <c r="C648" s="5">
        <v>60</v>
      </c>
      <c r="D648" s="56">
        <v>185</v>
      </c>
      <c r="E648" s="56">
        <v>925</v>
      </c>
      <c r="F648" s="157">
        <v>46088</v>
      </c>
      <c r="G648" s="4" t="s">
        <v>92</v>
      </c>
      <c r="H648" s="4" t="s">
        <v>145</v>
      </c>
      <c r="I648" s="153"/>
      <c r="J648" s="12"/>
    </row>
    <row r="649" spans="1:10" x14ac:dyDescent="0.25">
      <c r="A649" s="4" t="s">
        <v>20</v>
      </c>
      <c r="B649" s="55" t="s">
        <v>14</v>
      </c>
      <c r="C649" s="5">
        <v>7</v>
      </c>
      <c r="D649" s="56">
        <v>22</v>
      </c>
      <c r="E649" s="56">
        <v>154</v>
      </c>
      <c r="F649" s="157">
        <v>46087</v>
      </c>
      <c r="G649" s="4" t="s">
        <v>83</v>
      </c>
      <c r="H649" s="4" t="s">
        <v>145</v>
      </c>
      <c r="I649" s="153">
        <v>45.98</v>
      </c>
      <c r="J649" s="12">
        <v>0.2985895868285609</v>
      </c>
    </row>
    <row r="650" spans="1:10" x14ac:dyDescent="0.25">
      <c r="A650" s="4" t="s">
        <v>20</v>
      </c>
      <c r="B650" s="55" t="s">
        <v>13</v>
      </c>
      <c r="C650" s="5">
        <v>9</v>
      </c>
      <c r="D650" s="56">
        <v>20</v>
      </c>
      <c r="E650" s="56">
        <v>168</v>
      </c>
      <c r="F650" s="157">
        <v>46087</v>
      </c>
      <c r="G650" s="4" t="s">
        <v>83</v>
      </c>
      <c r="H650" s="4" t="s">
        <v>145</v>
      </c>
      <c r="I650" s="153">
        <v>36.020000000000003</v>
      </c>
      <c r="J650" s="12">
        <v>0.21439380180452533</v>
      </c>
    </row>
    <row r="651" spans="1:10" x14ac:dyDescent="0.25">
      <c r="A651" s="4" t="s">
        <v>20</v>
      </c>
      <c r="B651" s="55" t="s">
        <v>10</v>
      </c>
      <c r="C651" s="5">
        <v>14</v>
      </c>
      <c r="D651" s="56">
        <v>18</v>
      </c>
      <c r="E651" s="56">
        <v>252</v>
      </c>
      <c r="F651" s="157">
        <v>46087</v>
      </c>
      <c r="G651" s="4" t="s">
        <v>83</v>
      </c>
      <c r="H651" s="4" t="s">
        <v>145</v>
      </c>
      <c r="I651" s="153">
        <v>59.5</v>
      </c>
      <c r="J651" s="12">
        <v>0.2361111111111111</v>
      </c>
    </row>
    <row r="652" spans="1:10" x14ac:dyDescent="0.25">
      <c r="A652" s="4" t="s">
        <v>20</v>
      </c>
      <c r="B652" s="55" t="s">
        <v>14</v>
      </c>
      <c r="C652" s="5">
        <v>10</v>
      </c>
      <c r="D652" s="56">
        <v>22</v>
      </c>
      <c r="E652" s="56">
        <v>218</v>
      </c>
      <c r="F652" s="157">
        <v>46086</v>
      </c>
      <c r="G652" s="4" t="s">
        <v>294</v>
      </c>
      <c r="H652" s="4" t="s">
        <v>145</v>
      </c>
      <c r="I652" s="153">
        <v>63.69</v>
      </c>
      <c r="J652" s="12">
        <v>0.29215462890955685</v>
      </c>
    </row>
    <row r="653" spans="1:10" x14ac:dyDescent="0.25">
      <c r="A653" s="4" t="s">
        <v>20</v>
      </c>
      <c r="B653" s="55" t="s">
        <v>13</v>
      </c>
      <c r="C653" s="5">
        <v>6</v>
      </c>
      <c r="D653" s="56">
        <v>20</v>
      </c>
      <c r="E653" s="56">
        <v>120</v>
      </c>
      <c r="F653" s="157">
        <v>46086</v>
      </c>
      <c r="G653" s="4" t="s">
        <v>294</v>
      </c>
      <c r="H653" s="4" t="s">
        <v>145</v>
      </c>
      <c r="I653" s="153">
        <v>32.01</v>
      </c>
      <c r="J653" s="12">
        <v>0.26676754835089034</v>
      </c>
    </row>
    <row r="654" spans="1:10" x14ac:dyDescent="0.25">
      <c r="A654" s="4" t="s">
        <v>20</v>
      </c>
      <c r="B654" s="55" t="s">
        <v>11</v>
      </c>
      <c r="C654" s="5">
        <v>1</v>
      </c>
      <c r="D654" s="56">
        <v>16</v>
      </c>
      <c r="E654" s="56">
        <v>16</v>
      </c>
      <c r="F654" s="157">
        <v>46086</v>
      </c>
      <c r="G654" s="4" t="s">
        <v>294</v>
      </c>
      <c r="H654" s="4" t="s">
        <v>145</v>
      </c>
      <c r="I654" s="153">
        <v>3.05</v>
      </c>
      <c r="J654" s="12">
        <v>0.19038504237955156</v>
      </c>
    </row>
    <row r="655" spans="1:10" x14ac:dyDescent="0.25">
      <c r="A655" s="4" t="s">
        <v>20</v>
      </c>
      <c r="B655" s="55" t="s">
        <v>10</v>
      </c>
      <c r="C655" s="5">
        <v>11</v>
      </c>
      <c r="D655" s="56">
        <v>18</v>
      </c>
      <c r="E655" s="56">
        <v>186</v>
      </c>
      <c r="F655" s="157">
        <v>46086</v>
      </c>
      <c r="G655" s="4" t="s">
        <v>294</v>
      </c>
      <c r="H655" s="4" t="s">
        <v>145</v>
      </c>
      <c r="I655" s="153">
        <v>34.75</v>
      </c>
      <c r="J655" s="12">
        <v>0.18682795698924731</v>
      </c>
    </row>
    <row r="656" spans="1:10" x14ac:dyDescent="0.25">
      <c r="A656" s="201" t="s">
        <v>20</v>
      </c>
      <c r="B656" s="202" t="s">
        <v>14</v>
      </c>
      <c r="C656" s="203">
        <v>2</v>
      </c>
      <c r="D656" s="204">
        <v>20</v>
      </c>
      <c r="E656" s="204"/>
      <c r="F656" s="205">
        <v>46086</v>
      </c>
      <c r="G656" s="201" t="s">
        <v>294</v>
      </c>
      <c r="H656" s="201" t="s">
        <v>145</v>
      </c>
      <c r="I656" s="206">
        <f>15.43*2</f>
        <v>30.86</v>
      </c>
      <c r="J656" s="207">
        <v>0.26676754835089034</v>
      </c>
    </row>
    <row r="657" spans="1:10" x14ac:dyDescent="0.25">
      <c r="A657" s="4" t="s">
        <v>20</v>
      </c>
      <c r="B657" s="55" t="s">
        <v>14</v>
      </c>
      <c r="C657" s="5">
        <v>7</v>
      </c>
      <c r="D657" s="56">
        <v>22</v>
      </c>
      <c r="E657" s="56">
        <v>154</v>
      </c>
      <c r="F657" s="157">
        <v>46085</v>
      </c>
      <c r="G657" s="4" t="s">
        <v>32</v>
      </c>
      <c r="H657" s="4" t="s">
        <v>145</v>
      </c>
      <c r="I657" s="153">
        <v>45.98</v>
      </c>
      <c r="J657" s="12">
        <v>0.2985895868285609</v>
      </c>
    </row>
    <row r="658" spans="1:10" x14ac:dyDescent="0.25">
      <c r="A658" s="4" t="s">
        <v>20</v>
      </c>
      <c r="B658" s="55" t="s">
        <v>13</v>
      </c>
      <c r="C658" s="5">
        <v>9</v>
      </c>
      <c r="D658" s="56">
        <v>20</v>
      </c>
      <c r="E658" s="56">
        <v>180</v>
      </c>
      <c r="F658" s="157">
        <v>46085</v>
      </c>
      <c r="G658" s="4" t="s">
        <v>32</v>
      </c>
      <c r="H658" s="4" t="s">
        <v>145</v>
      </c>
      <c r="I658" s="153">
        <v>48.02</v>
      </c>
      <c r="J658" s="12">
        <v>0.26676754835089028</v>
      </c>
    </row>
    <row r="659" spans="1:10" x14ac:dyDescent="0.25">
      <c r="A659" s="4" t="s">
        <v>20</v>
      </c>
      <c r="B659" s="55" t="s">
        <v>11</v>
      </c>
      <c r="C659" s="5">
        <v>6</v>
      </c>
      <c r="D659" s="56">
        <v>16</v>
      </c>
      <c r="E659" s="56">
        <v>96</v>
      </c>
      <c r="F659" s="157">
        <v>46085</v>
      </c>
      <c r="G659" s="4" t="s">
        <v>32</v>
      </c>
      <c r="H659" s="4" t="s">
        <v>145</v>
      </c>
      <c r="I659" s="153">
        <v>18.28</v>
      </c>
      <c r="J659" s="12">
        <v>0.19038504237955156</v>
      </c>
    </row>
    <row r="660" spans="1:10" x14ac:dyDescent="0.25">
      <c r="A660" s="4" t="s">
        <v>20</v>
      </c>
      <c r="B660" s="55" t="s">
        <v>10</v>
      </c>
      <c r="C660" s="5">
        <v>7</v>
      </c>
      <c r="D660" s="56">
        <v>18</v>
      </c>
      <c r="E660" s="56">
        <v>126</v>
      </c>
      <c r="F660" s="157">
        <v>46085</v>
      </c>
      <c r="G660" s="4" t="s">
        <v>32</v>
      </c>
      <c r="H660" s="4" t="s">
        <v>145</v>
      </c>
      <c r="I660" s="153">
        <v>29.75</v>
      </c>
      <c r="J660" s="12">
        <v>0.2361111111111111</v>
      </c>
    </row>
    <row r="661" spans="1:10" x14ac:dyDescent="0.25">
      <c r="A661" s="4" t="s">
        <v>20</v>
      </c>
      <c r="B661" s="55" t="s">
        <v>14</v>
      </c>
      <c r="C661" s="5">
        <v>4</v>
      </c>
      <c r="D661" s="56">
        <v>22</v>
      </c>
      <c r="E661" s="56">
        <v>88</v>
      </c>
      <c r="F661" s="157">
        <v>46084</v>
      </c>
      <c r="G661" s="4" t="s">
        <v>290</v>
      </c>
      <c r="H661" s="4" t="s">
        <v>145</v>
      </c>
      <c r="I661" s="153">
        <v>26.28</v>
      </c>
      <c r="J661" s="12">
        <v>0.29858958682856085</v>
      </c>
    </row>
    <row r="662" spans="1:10" x14ac:dyDescent="0.25">
      <c r="A662" s="4" t="s">
        <v>20</v>
      </c>
      <c r="B662" s="55" t="s">
        <v>13</v>
      </c>
      <c r="C662" s="5">
        <v>20</v>
      </c>
      <c r="D662" s="56">
        <v>20</v>
      </c>
      <c r="E662" s="56">
        <v>388</v>
      </c>
      <c r="F662" s="157">
        <v>46084</v>
      </c>
      <c r="G662" s="4" t="s">
        <v>290</v>
      </c>
      <c r="H662" s="4" t="s">
        <v>145</v>
      </c>
      <c r="I662" s="153">
        <v>94.71</v>
      </c>
      <c r="J662" s="12">
        <v>0.24409025603184561</v>
      </c>
    </row>
    <row r="663" spans="1:10" x14ac:dyDescent="0.25">
      <c r="A663" s="4" t="s">
        <v>20</v>
      </c>
      <c r="B663" s="55" t="s">
        <v>11</v>
      </c>
      <c r="C663" s="5">
        <v>4</v>
      </c>
      <c r="D663" s="56">
        <v>16</v>
      </c>
      <c r="E663" s="56">
        <v>64</v>
      </c>
      <c r="F663" s="157">
        <v>46084</v>
      </c>
      <c r="G663" s="4" t="s">
        <v>290</v>
      </c>
      <c r="H663" s="4" t="s">
        <v>145</v>
      </c>
      <c r="I663" s="153">
        <v>12.18</v>
      </c>
      <c r="J663" s="12">
        <v>0.19038504237955156</v>
      </c>
    </row>
    <row r="664" spans="1:10" x14ac:dyDescent="0.25">
      <c r="A664" s="4" t="s">
        <v>20</v>
      </c>
      <c r="B664" s="55" t="s">
        <v>10</v>
      </c>
      <c r="C664" s="5">
        <v>22</v>
      </c>
      <c r="D664" s="56">
        <v>18</v>
      </c>
      <c r="E664" s="56">
        <v>372</v>
      </c>
      <c r="F664" s="157">
        <v>46084</v>
      </c>
      <c r="G664" s="4" t="s">
        <v>290</v>
      </c>
      <c r="H664" s="4" t="s">
        <v>145</v>
      </c>
      <c r="I664" s="153">
        <v>69.5</v>
      </c>
      <c r="J664" s="12">
        <v>0.18682795698924731</v>
      </c>
    </row>
    <row r="665" spans="1:10" x14ac:dyDescent="0.25">
      <c r="A665" s="4" t="s">
        <v>20</v>
      </c>
      <c r="B665" s="55" t="s">
        <v>14</v>
      </c>
      <c r="C665" s="5">
        <v>2</v>
      </c>
      <c r="D665" s="56">
        <v>22</v>
      </c>
      <c r="E665" s="56">
        <v>44</v>
      </c>
      <c r="F665" s="157">
        <v>46083</v>
      </c>
      <c r="G665" s="4" t="s">
        <v>291</v>
      </c>
      <c r="H665" s="4" t="s">
        <v>145</v>
      </c>
      <c r="I665" s="153">
        <v>13.14</v>
      </c>
      <c r="J665" s="12">
        <v>0.29858958682856079</v>
      </c>
    </row>
    <row r="666" spans="1:10" x14ac:dyDescent="0.25">
      <c r="A666" s="4" t="s">
        <v>20</v>
      </c>
      <c r="B666" s="55" t="s">
        <v>13</v>
      </c>
      <c r="C666" s="5">
        <v>8</v>
      </c>
      <c r="D666" s="56">
        <v>20</v>
      </c>
      <c r="E666" s="56">
        <v>160</v>
      </c>
      <c r="F666" s="157">
        <v>46083</v>
      </c>
      <c r="G666" s="4" t="s">
        <v>291</v>
      </c>
      <c r="H666" s="4" t="s">
        <v>145</v>
      </c>
      <c r="I666" s="153">
        <v>42.68</v>
      </c>
      <c r="J666" s="12">
        <v>0.26676754835089034</v>
      </c>
    </row>
    <row r="667" spans="1:10" x14ac:dyDescent="0.25">
      <c r="A667" s="4" t="s">
        <v>20</v>
      </c>
      <c r="B667" s="55" t="s">
        <v>11</v>
      </c>
      <c r="C667" s="5">
        <v>27</v>
      </c>
      <c r="D667" s="56">
        <v>16</v>
      </c>
      <c r="E667" s="56">
        <v>414</v>
      </c>
      <c r="F667" s="157">
        <v>46083</v>
      </c>
      <c r="G667" s="4" t="s">
        <v>291</v>
      </c>
      <c r="H667" s="4" t="s">
        <v>145</v>
      </c>
      <c r="I667" s="153">
        <v>64.25</v>
      </c>
      <c r="J667" s="12">
        <v>0.15518439204822784</v>
      </c>
    </row>
    <row r="668" spans="1:10" x14ac:dyDescent="0.25">
      <c r="A668" s="4" t="s">
        <v>20</v>
      </c>
      <c r="B668" s="55" t="s">
        <v>10</v>
      </c>
      <c r="C668" s="5">
        <v>1</v>
      </c>
      <c r="D668" s="56">
        <v>18</v>
      </c>
      <c r="E668" s="56">
        <v>18</v>
      </c>
      <c r="F668" s="157">
        <v>46083</v>
      </c>
      <c r="G668" s="4" t="s">
        <v>291</v>
      </c>
      <c r="H668" s="4" t="s">
        <v>145</v>
      </c>
      <c r="I668" s="153">
        <v>4.25</v>
      </c>
      <c r="J668" s="12">
        <v>0.2361111111111111</v>
      </c>
    </row>
    <row r="669" spans="1:10" x14ac:dyDescent="0.25">
      <c r="A669" s="4" t="s">
        <v>20</v>
      </c>
      <c r="B669" s="55" t="s">
        <v>14</v>
      </c>
      <c r="C669" s="5">
        <v>4</v>
      </c>
      <c r="D669" s="56">
        <v>22</v>
      </c>
      <c r="E669" s="56">
        <v>88</v>
      </c>
      <c r="F669" s="157">
        <v>46083</v>
      </c>
      <c r="G669" s="4" t="s">
        <v>291</v>
      </c>
      <c r="H669" s="4" t="s">
        <v>145</v>
      </c>
      <c r="I669" s="153">
        <v>26.28</v>
      </c>
      <c r="J669" s="12">
        <v>0.29858958682856079</v>
      </c>
    </row>
    <row r="670" spans="1:10" x14ac:dyDescent="0.25">
      <c r="A670" s="4" t="s">
        <v>20</v>
      </c>
      <c r="B670" s="55" t="s">
        <v>13</v>
      </c>
      <c r="C670" s="5">
        <v>7</v>
      </c>
      <c r="D670" s="56">
        <v>20</v>
      </c>
      <c r="E670" s="56">
        <v>140</v>
      </c>
      <c r="F670" s="157">
        <v>46083</v>
      </c>
      <c r="G670" s="4" t="s">
        <v>291</v>
      </c>
      <c r="H670" s="4" t="s">
        <v>145</v>
      </c>
      <c r="I670" s="153">
        <v>37.35</v>
      </c>
      <c r="J670" s="12">
        <v>0.26676754835089034</v>
      </c>
    </row>
    <row r="671" spans="1:10" x14ac:dyDescent="0.25">
      <c r="A671" s="4" t="s">
        <v>20</v>
      </c>
      <c r="B671" s="55" t="s">
        <v>10</v>
      </c>
      <c r="C671" s="5">
        <v>2</v>
      </c>
      <c r="D671" s="56">
        <v>18</v>
      </c>
      <c r="E671" s="56">
        <v>36</v>
      </c>
      <c r="F671" s="157">
        <v>46083</v>
      </c>
      <c r="G671" s="4" t="s">
        <v>291</v>
      </c>
      <c r="H671" s="4" t="s">
        <v>145</v>
      </c>
      <c r="I671" s="153">
        <v>8.5</v>
      </c>
      <c r="J671" s="12">
        <v>0.2361111111111111</v>
      </c>
    </row>
    <row r="672" spans="1:10" x14ac:dyDescent="0.25">
      <c r="A672" s="4" t="s">
        <v>20</v>
      </c>
      <c r="B672" s="55" t="s">
        <v>14</v>
      </c>
      <c r="C672" s="5">
        <v>5</v>
      </c>
      <c r="D672" s="56">
        <v>22</v>
      </c>
      <c r="E672" s="56">
        <v>110</v>
      </c>
      <c r="F672" s="157">
        <v>46082</v>
      </c>
      <c r="G672" s="4" t="s">
        <v>93</v>
      </c>
      <c r="H672" s="4" t="s">
        <v>145</v>
      </c>
      <c r="I672" s="153">
        <v>32.840000000000003</v>
      </c>
      <c r="J672" s="12">
        <v>0.29858958682856079</v>
      </c>
    </row>
    <row r="673" spans="1:10" x14ac:dyDescent="0.25">
      <c r="A673" s="4" t="s">
        <v>20</v>
      </c>
      <c r="B673" s="55" t="s">
        <v>13</v>
      </c>
      <c r="C673" s="5">
        <v>6</v>
      </c>
      <c r="D673" s="56">
        <v>20</v>
      </c>
      <c r="E673" s="56">
        <v>120</v>
      </c>
      <c r="F673" s="157">
        <v>46082</v>
      </c>
      <c r="G673" s="4" t="s">
        <v>93</v>
      </c>
      <c r="H673" s="4" t="s">
        <v>145</v>
      </c>
      <c r="I673" s="153">
        <v>32.01</v>
      </c>
      <c r="J673" s="12">
        <v>0.26676754835089034</v>
      </c>
    </row>
    <row r="674" spans="1:10" x14ac:dyDescent="0.25">
      <c r="A674" s="4" t="s">
        <v>20</v>
      </c>
      <c r="B674" s="55" t="s">
        <v>11</v>
      </c>
      <c r="C674" s="5">
        <v>31</v>
      </c>
      <c r="D674" s="56">
        <v>16</v>
      </c>
      <c r="E674" s="56">
        <v>476</v>
      </c>
      <c r="F674" s="157">
        <v>46082</v>
      </c>
      <c r="G674" s="4" t="s">
        <v>93</v>
      </c>
      <c r="H674" s="4" t="s">
        <v>145</v>
      </c>
      <c r="I674" s="153">
        <v>74.430000000000007</v>
      </c>
      <c r="J674" s="12">
        <v>0.1563676071854152</v>
      </c>
    </row>
    <row r="675" spans="1:10" x14ac:dyDescent="0.25">
      <c r="A675" s="4" t="s">
        <v>20</v>
      </c>
      <c r="B675" s="55" t="s">
        <v>10</v>
      </c>
      <c r="C675" s="5">
        <v>5</v>
      </c>
      <c r="D675" s="56">
        <v>18</v>
      </c>
      <c r="E675" s="56">
        <v>90</v>
      </c>
      <c r="F675" s="157">
        <v>46082</v>
      </c>
      <c r="G675" s="4" t="s">
        <v>93</v>
      </c>
      <c r="H675" s="4" t="s">
        <v>145</v>
      </c>
      <c r="I675" s="153">
        <v>21.25</v>
      </c>
      <c r="J675" s="12">
        <v>0.2361111111111111</v>
      </c>
    </row>
    <row r="676" spans="1:10" x14ac:dyDescent="0.25">
      <c r="A676" s="201" t="s">
        <v>20</v>
      </c>
      <c r="B676" s="202" t="s">
        <v>14</v>
      </c>
      <c r="C676" s="203">
        <v>3</v>
      </c>
      <c r="D676" s="204">
        <v>22</v>
      </c>
      <c r="E676" s="204"/>
      <c r="F676" s="205">
        <v>46082</v>
      </c>
      <c r="G676" s="201" t="s">
        <v>93</v>
      </c>
      <c r="H676" s="201" t="s">
        <v>145</v>
      </c>
      <c r="I676" s="206">
        <f>-15.43*3</f>
        <v>-46.29</v>
      </c>
      <c r="J676" s="207">
        <v>0</v>
      </c>
    </row>
    <row r="677" spans="1:10" x14ac:dyDescent="0.25">
      <c r="A677" s="4" t="s">
        <v>20</v>
      </c>
      <c r="B677" s="55" t="s">
        <v>14</v>
      </c>
      <c r="C677" s="5">
        <v>6</v>
      </c>
      <c r="D677" s="56">
        <v>22</v>
      </c>
      <c r="E677" s="56">
        <v>132</v>
      </c>
      <c r="F677" s="157">
        <v>46081</v>
      </c>
      <c r="G677" s="4" t="s">
        <v>92</v>
      </c>
      <c r="H677" s="4" t="s">
        <v>144</v>
      </c>
      <c r="I677" s="153">
        <v>39.409999999999997</v>
      </c>
      <c r="J677" s="12">
        <v>0.29858958682856068</v>
      </c>
    </row>
    <row r="678" spans="1:10" x14ac:dyDescent="0.25">
      <c r="A678" s="4" t="s">
        <v>20</v>
      </c>
      <c r="B678" s="55" t="s">
        <v>11</v>
      </c>
      <c r="C678" s="5">
        <v>1</v>
      </c>
      <c r="D678" s="56">
        <v>16</v>
      </c>
      <c r="E678" s="56">
        <v>16</v>
      </c>
      <c r="F678" s="157">
        <v>46081</v>
      </c>
      <c r="G678" s="4" t="s">
        <v>92</v>
      </c>
      <c r="H678" s="4" t="s">
        <v>144</v>
      </c>
      <c r="I678" s="153">
        <v>3.05</v>
      </c>
      <c r="J678" s="12">
        <v>0.19038504237955167</v>
      </c>
    </row>
    <row r="679" spans="1:10" x14ac:dyDescent="0.25">
      <c r="A679" s="4" t="s">
        <v>20</v>
      </c>
      <c r="B679" s="55" t="s">
        <v>10</v>
      </c>
      <c r="C679" s="5">
        <v>1</v>
      </c>
      <c r="D679" s="56">
        <v>18</v>
      </c>
      <c r="E679" s="56">
        <v>18</v>
      </c>
      <c r="F679" s="157">
        <v>46081</v>
      </c>
      <c r="G679" s="4" t="s">
        <v>92</v>
      </c>
      <c r="H679" s="4" t="s">
        <v>144</v>
      </c>
      <c r="I679" s="153">
        <v>4.25</v>
      </c>
      <c r="J679" s="12">
        <v>0.2361111111111111</v>
      </c>
    </row>
    <row r="680" spans="1:10" x14ac:dyDescent="0.25">
      <c r="A680" s="4" t="s">
        <v>20</v>
      </c>
      <c r="B680" s="55" t="s">
        <v>14</v>
      </c>
      <c r="C680" s="5">
        <v>9</v>
      </c>
      <c r="D680" s="56">
        <v>22</v>
      </c>
      <c r="E680" s="56">
        <v>196</v>
      </c>
      <c r="F680" s="157">
        <v>46080</v>
      </c>
      <c r="G680" s="4" t="s">
        <v>83</v>
      </c>
      <c r="H680" s="4" t="s">
        <v>144</v>
      </c>
      <c r="I680" s="153">
        <v>57.12</v>
      </c>
      <c r="J680" s="12">
        <v>0.29143233771456645</v>
      </c>
    </row>
    <row r="681" spans="1:10" x14ac:dyDescent="0.25">
      <c r="A681" s="4" t="s">
        <v>20</v>
      </c>
      <c r="B681" s="55" t="s">
        <v>13</v>
      </c>
      <c r="C681" s="5">
        <v>12</v>
      </c>
      <c r="D681" s="56">
        <v>20</v>
      </c>
      <c r="E681" s="56">
        <v>240</v>
      </c>
      <c r="F681" s="157">
        <v>46080</v>
      </c>
      <c r="G681" s="4" t="s">
        <v>83</v>
      </c>
      <c r="H681" s="4" t="s">
        <v>144</v>
      </c>
      <c r="I681" s="153">
        <v>64.02</v>
      </c>
      <c r="J681" s="12">
        <v>0.26676754835089034</v>
      </c>
    </row>
    <row r="682" spans="1:10" x14ac:dyDescent="0.25">
      <c r="A682" s="4" t="s">
        <v>20</v>
      </c>
      <c r="B682" s="55" t="s">
        <v>11</v>
      </c>
      <c r="C682" s="5">
        <v>23</v>
      </c>
      <c r="D682" s="56">
        <v>16</v>
      </c>
      <c r="E682" s="56">
        <v>356</v>
      </c>
      <c r="F682" s="157">
        <v>46080</v>
      </c>
      <c r="G682" s="4" t="s">
        <v>83</v>
      </c>
      <c r="H682" s="4" t="s">
        <v>144</v>
      </c>
      <c r="I682" s="153">
        <v>58.06</v>
      </c>
      <c r="J682" s="12">
        <v>0.16309465054964892</v>
      </c>
    </row>
    <row r="683" spans="1:10" x14ac:dyDescent="0.25">
      <c r="A683" s="4" t="s">
        <v>20</v>
      </c>
      <c r="B683" s="55" t="s">
        <v>10</v>
      </c>
      <c r="C683" s="5">
        <v>4</v>
      </c>
      <c r="D683" s="56">
        <v>18</v>
      </c>
      <c r="E683" s="56">
        <v>72</v>
      </c>
      <c r="F683" s="157">
        <v>46080</v>
      </c>
      <c r="G683" s="4" t="s">
        <v>83</v>
      </c>
      <c r="H683" s="4" t="s">
        <v>144</v>
      </c>
      <c r="I683" s="153">
        <v>17</v>
      </c>
      <c r="J683" s="12">
        <v>0.2361111111111111</v>
      </c>
    </row>
    <row r="684" spans="1:10" x14ac:dyDescent="0.25">
      <c r="A684" s="201" t="s">
        <v>20</v>
      </c>
      <c r="B684" s="202" t="s">
        <v>14</v>
      </c>
      <c r="C684" s="203">
        <v>1</v>
      </c>
      <c r="D684" s="204">
        <v>22</v>
      </c>
      <c r="E684" s="204">
        <v>0</v>
      </c>
      <c r="F684" s="205">
        <v>46080</v>
      </c>
      <c r="G684" s="201" t="s">
        <v>83</v>
      </c>
      <c r="H684" s="201" t="s">
        <v>144</v>
      </c>
      <c r="I684" s="206">
        <v>-15.43</v>
      </c>
      <c r="J684" s="207">
        <v>0.22844854551141677</v>
      </c>
    </row>
    <row r="685" spans="1:10" x14ac:dyDescent="0.25">
      <c r="A685" s="4" t="s">
        <v>20</v>
      </c>
      <c r="B685" s="55" t="s">
        <v>11</v>
      </c>
      <c r="C685" s="5">
        <v>22</v>
      </c>
      <c r="D685" s="56">
        <v>16</v>
      </c>
      <c r="E685" s="56">
        <v>340</v>
      </c>
      <c r="F685" s="157">
        <v>46079</v>
      </c>
      <c r="G685" s="4" t="s">
        <v>294</v>
      </c>
      <c r="H685" s="4" t="s">
        <v>144</v>
      </c>
      <c r="I685" s="153">
        <v>55.02</v>
      </c>
      <c r="J685" s="12">
        <v>0.16181039681647691</v>
      </c>
    </row>
    <row r="686" spans="1:10" x14ac:dyDescent="0.25">
      <c r="A686" s="4" t="s">
        <v>20</v>
      </c>
      <c r="B686" s="55" t="s">
        <v>14</v>
      </c>
      <c r="C686" s="5">
        <v>4</v>
      </c>
      <c r="D686" s="56">
        <v>22</v>
      </c>
      <c r="E686" s="56">
        <v>84</v>
      </c>
      <c r="F686" s="157">
        <v>46079</v>
      </c>
      <c r="G686" s="4" t="s">
        <v>294</v>
      </c>
      <c r="H686" s="4" t="s">
        <v>144</v>
      </c>
      <c r="I686" s="153">
        <v>22.28</v>
      </c>
      <c r="J686" s="12">
        <v>0.26518909096325405</v>
      </c>
    </row>
    <row r="687" spans="1:10" x14ac:dyDescent="0.25">
      <c r="A687" s="4" t="s">
        <v>20</v>
      </c>
      <c r="B687" s="55" t="s">
        <v>13</v>
      </c>
      <c r="C687" s="5">
        <v>12</v>
      </c>
      <c r="D687" s="56">
        <v>20</v>
      </c>
      <c r="E687" s="56">
        <v>240</v>
      </c>
      <c r="F687" s="157">
        <v>46079</v>
      </c>
      <c r="G687" s="4" t="s">
        <v>294</v>
      </c>
      <c r="H687" s="4" t="s">
        <v>144</v>
      </c>
      <c r="I687" s="153">
        <v>64.02</v>
      </c>
      <c r="J687" s="12">
        <v>0.26676754835089034</v>
      </c>
    </row>
    <row r="688" spans="1:10" x14ac:dyDescent="0.25">
      <c r="A688" s="4" t="s">
        <v>20</v>
      </c>
      <c r="B688" s="55" t="s">
        <v>10</v>
      </c>
      <c r="C688" s="5">
        <v>4</v>
      </c>
      <c r="D688" s="56">
        <v>18</v>
      </c>
      <c r="E688" s="56">
        <v>70</v>
      </c>
      <c r="F688" s="157">
        <v>46079</v>
      </c>
      <c r="G688" s="4" t="s">
        <v>294</v>
      </c>
      <c r="H688" s="4" t="s">
        <v>144</v>
      </c>
      <c r="I688" s="153">
        <v>15</v>
      </c>
      <c r="J688" s="12">
        <v>0.21428571428571427</v>
      </c>
    </row>
    <row r="689" spans="1:10" x14ac:dyDescent="0.25">
      <c r="A689" s="4" t="s">
        <v>20</v>
      </c>
      <c r="B689" s="55" t="s">
        <v>10</v>
      </c>
      <c r="C689" s="5">
        <v>15</v>
      </c>
      <c r="D689" s="56">
        <v>18</v>
      </c>
      <c r="E689" s="56">
        <v>246</v>
      </c>
      <c r="F689" s="157">
        <v>46078</v>
      </c>
      <c r="G689" s="4" t="s">
        <v>32</v>
      </c>
      <c r="H689" s="4" t="s">
        <v>144</v>
      </c>
      <c r="I689" s="153">
        <v>39.75</v>
      </c>
      <c r="J689" s="12">
        <v>0.16158536585365854</v>
      </c>
    </row>
    <row r="690" spans="1:10" x14ac:dyDescent="0.25">
      <c r="A690" s="4" t="s">
        <v>20</v>
      </c>
      <c r="B690" s="55" t="s">
        <v>14</v>
      </c>
      <c r="C690" s="5">
        <v>17</v>
      </c>
      <c r="D690" s="56">
        <v>22</v>
      </c>
      <c r="E690" s="56">
        <v>374</v>
      </c>
      <c r="F690" s="157">
        <v>46078</v>
      </c>
      <c r="G690" s="4" t="s">
        <v>32</v>
      </c>
      <c r="H690" s="4" t="s">
        <v>144</v>
      </c>
      <c r="I690" s="153">
        <v>111.67</v>
      </c>
      <c r="J690" s="12">
        <v>0.29858958682856079</v>
      </c>
    </row>
    <row r="691" spans="1:10" x14ac:dyDescent="0.25">
      <c r="A691" s="4" t="s">
        <v>20</v>
      </c>
      <c r="B691" s="55" t="s">
        <v>13</v>
      </c>
      <c r="C691" s="5">
        <v>6</v>
      </c>
      <c r="D691" s="56">
        <v>20</v>
      </c>
      <c r="E691" s="56">
        <v>120</v>
      </c>
      <c r="F691" s="157">
        <v>46078</v>
      </c>
      <c r="G691" s="4" t="s">
        <v>32</v>
      </c>
      <c r="H691" s="4" t="s">
        <v>144</v>
      </c>
      <c r="I691" s="153">
        <v>32.01</v>
      </c>
      <c r="J691" s="12">
        <v>0.26676754835089034</v>
      </c>
    </row>
    <row r="692" spans="1:10" x14ac:dyDescent="0.25">
      <c r="A692" s="4" t="s">
        <v>20</v>
      </c>
      <c r="B692" s="55" t="s">
        <v>11</v>
      </c>
      <c r="C692" s="5">
        <v>9</v>
      </c>
      <c r="D692" s="56">
        <v>16</v>
      </c>
      <c r="E692" s="56">
        <v>144</v>
      </c>
      <c r="F692" s="157">
        <v>46078</v>
      </c>
      <c r="G692" s="4" t="s">
        <v>32</v>
      </c>
      <c r="H692" s="4" t="s">
        <v>144</v>
      </c>
      <c r="I692" s="153">
        <v>27.42</v>
      </c>
      <c r="J692" s="12">
        <v>0.19038504237955156</v>
      </c>
    </row>
    <row r="693" spans="1:10" x14ac:dyDescent="0.25">
      <c r="A693" s="4" t="s">
        <v>20</v>
      </c>
      <c r="B693" s="55" t="s">
        <v>14</v>
      </c>
      <c r="C693" s="5">
        <v>12</v>
      </c>
      <c r="D693" s="56">
        <v>22</v>
      </c>
      <c r="E693" s="56">
        <v>260</v>
      </c>
      <c r="F693" s="157">
        <v>46077</v>
      </c>
      <c r="G693" s="4" t="s">
        <v>290</v>
      </c>
      <c r="H693" s="4" t="s">
        <v>144</v>
      </c>
      <c r="I693" s="153">
        <v>74.83</v>
      </c>
      <c r="J693" s="12">
        <v>0.28779865739515403</v>
      </c>
    </row>
    <row r="694" spans="1:10" x14ac:dyDescent="0.25">
      <c r="A694" s="4" t="s">
        <v>20</v>
      </c>
      <c r="B694" s="55" t="s">
        <v>13</v>
      </c>
      <c r="C694" s="5">
        <v>8</v>
      </c>
      <c r="D694" s="56">
        <v>20</v>
      </c>
      <c r="E694" s="56">
        <v>160</v>
      </c>
      <c r="F694" s="157">
        <v>46077</v>
      </c>
      <c r="G694" s="4" t="s">
        <v>290</v>
      </c>
      <c r="H694" s="4" t="s">
        <v>144</v>
      </c>
      <c r="I694" s="153">
        <v>42.68</v>
      </c>
      <c r="J694" s="12">
        <v>0.26676754835089034</v>
      </c>
    </row>
    <row r="695" spans="1:10" x14ac:dyDescent="0.25">
      <c r="A695" s="4" t="s">
        <v>20</v>
      </c>
      <c r="B695" s="55" t="s">
        <v>11</v>
      </c>
      <c r="C695" s="5">
        <v>16</v>
      </c>
      <c r="D695" s="56">
        <v>16</v>
      </c>
      <c r="E695" s="56">
        <v>246</v>
      </c>
      <c r="F695" s="157">
        <v>46077</v>
      </c>
      <c r="G695" s="4" t="s">
        <v>290</v>
      </c>
      <c r="H695" s="4" t="s">
        <v>144</v>
      </c>
      <c r="I695" s="153">
        <v>38.74</v>
      </c>
      <c r="J695" s="12">
        <v>0.15747386524050894</v>
      </c>
    </row>
    <row r="696" spans="1:10" x14ac:dyDescent="0.25">
      <c r="A696" s="4" t="s">
        <v>20</v>
      </c>
      <c r="B696" s="55" t="s">
        <v>10</v>
      </c>
      <c r="C696" s="5">
        <v>5</v>
      </c>
      <c r="D696" s="56">
        <v>18</v>
      </c>
      <c r="E696" s="56">
        <v>90</v>
      </c>
      <c r="F696" s="157">
        <v>46077</v>
      </c>
      <c r="G696" s="4" t="s">
        <v>290</v>
      </c>
      <c r="H696" s="4" t="s">
        <v>144</v>
      </c>
      <c r="I696" s="153">
        <v>21.25</v>
      </c>
      <c r="J696" s="12">
        <v>0.2361111111111111</v>
      </c>
    </row>
    <row r="697" spans="1:10" x14ac:dyDescent="0.25">
      <c r="A697" s="4" t="s">
        <v>20</v>
      </c>
      <c r="B697" s="55" t="s">
        <v>14</v>
      </c>
      <c r="C697" s="5">
        <v>3</v>
      </c>
      <c r="D697" s="56">
        <v>22</v>
      </c>
      <c r="E697" s="56">
        <v>66</v>
      </c>
      <c r="F697" s="157">
        <v>46076</v>
      </c>
      <c r="G697" s="4" t="s">
        <v>291</v>
      </c>
      <c r="H697" s="4" t="s">
        <v>144</v>
      </c>
      <c r="I697" s="153">
        <v>19.71</v>
      </c>
      <c r="J697" s="12">
        <v>0.29858958682856079</v>
      </c>
    </row>
    <row r="698" spans="1:10" x14ac:dyDescent="0.25">
      <c r="A698" s="4" t="s">
        <v>20</v>
      </c>
      <c r="B698" s="55" t="s">
        <v>13</v>
      </c>
      <c r="C698" s="5">
        <v>17</v>
      </c>
      <c r="D698" s="56">
        <v>20</v>
      </c>
      <c r="E698" s="56">
        <v>340</v>
      </c>
      <c r="F698" s="157">
        <v>46076</v>
      </c>
      <c r="G698" s="4" t="s">
        <v>291</v>
      </c>
      <c r="H698" s="4" t="s">
        <v>144</v>
      </c>
      <c r="I698" s="153">
        <v>90.7</v>
      </c>
      <c r="J698" s="12">
        <v>0.26676754835089028</v>
      </c>
    </row>
    <row r="699" spans="1:10" x14ac:dyDescent="0.25">
      <c r="A699" s="4" t="s">
        <v>20</v>
      </c>
      <c r="B699" s="55" t="s">
        <v>11</v>
      </c>
      <c r="C699" s="5">
        <v>32</v>
      </c>
      <c r="D699" s="56">
        <v>15</v>
      </c>
      <c r="E699" s="56">
        <v>471</v>
      </c>
      <c r="F699" s="157">
        <v>46076</v>
      </c>
      <c r="G699" s="4" t="s">
        <v>291</v>
      </c>
      <c r="H699" s="4" t="s">
        <v>144</v>
      </c>
      <c r="I699" s="153">
        <v>56.48</v>
      </c>
      <c r="J699" s="12">
        <v>0.11990900572893928</v>
      </c>
    </row>
    <row r="700" spans="1:10" x14ac:dyDescent="0.25">
      <c r="A700" s="4" t="s">
        <v>20</v>
      </c>
      <c r="B700" s="55" t="s">
        <v>10</v>
      </c>
      <c r="C700" s="5">
        <v>1</v>
      </c>
      <c r="D700" s="56">
        <v>18</v>
      </c>
      <c r="E700" s="56">
        <v>18</v>
      </c>
      <c r="F700" s="157">
        <v>46076</v>
      </c>
      <c r="G700" s="4" t="s">
        <v>291</v>
      </c>
      <c r="H700" s="4" t="s">
        <v>144</v>
      </c>
      <c r="I700" s="153">
        <v>4.25</v>
      </c>
      <c r="J700" s="12">
        <v>0.2361111111111111</v>
      </c>
    </row>
    <row r="701" spans="1:10" x14ac:dyDescent="0.25">
      <c r="A701" s="4" t="s">
        <v>31</v>
      </c>
      <c r="B701" s="55" t="s">
        <v>14</v>
      </c>
      <c r="C701" s="5">
        <v>120</v>
      </c>
      <c r="D701" s="56">
        <v>185</v>
      </c>
      <c r="E701" s="56">
        <v>1850</v>
      </c>
      <c r="F701" s="157">
        <v>46076</v>
      </c>
      <c r="G701" s="4" t="s">
        <v>291</v>
      </c>
      <c r="H701" s="4" t="s">
        <v>144</v>
      </c>
      <c r="I701" s="153"/>
      <c r="J701" s="12"/>
    </row>
    <row r="702" spans="1:10" x14ac:dyDescent="0.25">
      <c r="A702" s="4" t="s">
        <v>31</v>
      </c>
      <c r="B702" s="55" t="s">
        <v>13</v>
      </c>
      <c r="C702" s="5">
        <v>120</v>
      </c>
      <c r="D702" s="56">
        <v>175</v>
      </c>
      <c r="E702" s="56">
        <v>1750</v>
      </c>
      <c r="F702" s="157">
        <v>46076</v>
      </c>
      <c r="G702" s="4" t="s">
        <v>291</v>
      </c>
      <c r="H702" s="4" t="s">
        <v>144</v>
      </c>
      <c r="I702" s="153"/>
      <c r="J702" s="12"/>
    </row>
    <row r="703" spans="1:10" x14ac:dyDescent="0.25">
      <c r="A703" s="4" t="s">
        <v>31</v>
      </c>
      <c r="B703" s="55" t="s">
        <v>11</v>
      </c>
      <c r="C703" s="5">
        <v>120</v>
      </c>
      <c r="D703" s="56">
        <v>155</v>
      </c>
      <c r="E703" s="56">
        <v>1550</v>
      </c>
      <c r="F703" s="157">
        <v>46076</v>
      </c>
      <c r="G703" s="4" t="s">
        <v>291</v>
      </c>
      <c r="H703" s="4" t="s">
        <v>144</v>
      </c>
      <c r="I703" s="153"/>
      <c r="J703" s="12"/>
    </row>
    <row r="704" spans="1:10" x14ac:dyDescent="0.25">
      <c r="A704" s="4" t="s">
        <v>31</v>
      </c>
      <c r="B704" s="55" t="s">
        <v>10</v>
      </c>
      <c r="C704" s="5">
        <v>120</v>
      </c>
      <c r="D704" s="56">
        <v>165</v>
      </c>
      <c r="E704" s="56">
        <v>1650</v>
      </c>
      <c r="F704" s="157">
        <v>46076</v>
      </c>
      <c r="G704" s="4" t="s">
        <v>291</v>
      </c>
      <c r="H704" s="4" t="s">
        <v>144</v>
      </c>
      <c r="I704" s="153"/>
      <c r="J704" s="12"/>
    </row>
    <row r="705" spans="1:10" x14ac:dyDescent="0.25">
      <c r="A705" s="201" t="s">
        <v>20</v>
      </c>
      <c r="B705" s="202" t="s">
        <v>14</v>
      </c>
      <c r="C705" s="203">
        <v>5</v>
      </c>
      <c r="D705" s="204">
        <v>22</v>
      </c>
      <c r="E705" s="204">
        <v>0</v>
      </c>
      <c r="F705" s="205">
        <v>46076</v>
      </c>
      <c r="G705" s="201" t="s">
        <v>291</v>
      </c>
      <c r="H705" s="201" t="s">
        <v>144</v>
      </c>
      <c r="I705" s="206">
        <f>-15.52*5</f>
        <v>-77.599999999999994</v>
      </c>
      <c r="J705" s="207">
        <v>0.2944664031620553</v>
      </c>
    </row>
    <row r="706" spans="1:10" x14ac:dyDescent="0.25">
      <c r="A706" s="4" t="s">
        <v>20</v>
      </c>
      <c r="B706" s="55" t="s">
        <v>14</v>
      </c>
      <c r="C706" s="5">
        <v>3</v>
      </c>
      <c r="D706" s="56">
        <v>22</v>
      </c>
      <c r="E706" s="56">
        <v>66</v>
      </c>
      <c r="F706" s="157">
        <v>46075</v>
      </c>
      <c r="G706" s="4" t="s">
        <v>93</v>
      </c>
      <c r="H706" s="4" t="s">
        <v>144</v>
      </c>
      <c r="I706" s="153">
        <v>19.43</v>
      </c>
      <c r="J706" s="12">
        <v>0.2944664031620553</v>
      </c>
    </row>
    <row r="707" spans="1:10" x14ac:dyDescent="0.25">
      <c r="A707" s="4" t="s">
        <v>20</v>
      </c>
      <c r="B707" s="55" t="s">
        <v>13</v>
      </c>
      <c r="C707" s="5">
        <v>7</v>
      </c>
      <c r="D707" s="56">
        <v>20</v>
      </c>
      <c r="E707" s="56">
        <v>140</v>
      </c>
      <c r="F707" s="157">
        <v>46075</v>
      </c>
      <c r="G707" s="4" t="s">
        <v>93</v>
      </c>
      <c r="H707" s="4" t="s">
        <v>144</v>
      </c>
      <c r="I707" s="153">
        <v>35.979999999999997</v>
      </c>
      <c r="J707" s="12">
        <v>0.2570096643930268</v>
      </c>
    </row>
    <row r="708" spans="1:10" x14ac:dyDescent="0.25">
      <c r="A708" s="4" t="s">
        <v>20</v>
      </c>
      <c r="B708" s="55" t="s">
        <v>11</v>
      </c>
      <c r="C708" s="5">
        <v>20</v>
      </c>
      <c r="D708" s="56">
        <v>15</v>
      </c>
      <c r="E708" s="56">
        <v>294</v>
      </c>
      <c r="F708" s="157">
        <v>46075</v>
      </c>
      <c r="G708" s="4" t="s">
        <v>93</v>
      </c>
      <c r="H708" s="4" t="s">
        <v>144</v>
      </c>
      <c r="I708" s="153">
        <v>33.21</v>
      </c>
      <c r="J708" s="12">
        <v>0.11295085901167717</v>
      </c>
    </row>
    <row r="709" spans="1:10" x14ac:dyDescent="0.25">
      <c r="A709" s="4" t="s">
        <v>20</v>
      </c>
      <c r="B709" s="55" t="s">
        <v>14</v>
      </c>
      <c r="C709" s="5">
        <v>5</v>
      </c>
      <c r="D709" s="56">
        <v>23</v>
      </c>
      <c r="E709" s="56">
        <v>115</v>
      </c>
      <c r="F709" s="157">
        <v>46074</v>
      </c>
      <c r="G709" s="4" t="s">
        <v>92</v>
      </c>
      <c r="H709" s="4" t="s">
        <v>144</v>
      </c>
      <c r="I709" s="153">
        <v>37.39</v>
      </c>
      <c r="J709" s="12">
        <v>0.32514177693761809</v>
      </c>
    </row>
    <row r="710" spans="1:10" x14ac:dyDescent="0.25">
      <c r="A710" s="4" t="s">
        <v>20</v>
      </c>
      <c r="B710" s="55" t="s">
        <v>13</v>
      </c>
      <c r="C710" s="5">
        <v>4</v>
      </c>
      <c r="D710" s="56">
        <v>22</v>
      </c>
      <c r="E710" s="56">
        <v>88</v>
      </c>
      <c r="F710" s="157">
        <v>46074</v>
      </c>
      <c r="G710" s="4" t="s">
        <v>92</v>
      </c>
      <c r="H710" s="4" t="s">
        <v>144</v>
      </c>
      <c r="I710" s="153">
        <v>28.56</v>
      </c>
      <c r="J710" s="12">
        <v>0.32455424035729707</v>
      </c>
    </row>
    <row r="711" spans="1:10" x14ac:dyDescent="0.25">
      <c r="A711" s="4" t="s">
        <v>20</v>
      </c>
      <c r="B711" s="55" t="s">
        <v>11</v>
      </c>
      <c r="C711" s="5">
        <v>5</v>
      </c>
      <c r="D711" s="56">
        <v>16</v>
      </c>
      <c r="E711" s="56">
        <v>80</v>
      </c>
      <c r="F711" s="157">
        <v>46074</v>
      </c>
      <c r="G711" s="4" t="s">
        <v>92</v>
      </c>
      <c r="H711" s="4" t="s">
        <v>144</v>
      </c>
      <c r="I711" s="153">
        <v>14.8</v>
      </c>
      <c r="J711" s="12">
        <v>0.1850236017169784</v>
      </c>
    </row>
    <row r="712" spans="1:10" x14ac:dyDescent="0.25">
      <c r="A712" s="4" t="s">
        <v>20</v>
      </c>
      <c r="B712" s="55" t="s">
        <v>14</v>
      </c>
      <c r="C712" s="5">
        <v>9</v>
      </c>
      <c r="D712" s="56">
        <v>23</v>
      </c>
      <c r="E712" s="56">
        <v>204</v>
      </c>
      <c r="F712" s="157">
        <v>46073</v>
      </c>
      <c r="G712" s="4" t="s">
        <v>83</v>
      </c>
      <c r="H712" s="4" t="s">
        <v>144</v>
      </c>
      <c r="I712" s="153">
        <v>64.3</v>
      </c>
      <c r="J712" s="12">
        <v>0.31521739130434773</v>
      </c>
    </row>
    <row r="713" spans="1:10" x14ac:dyDescent="0.25">
      <c r="A713" s="4" t="s">
        <v>20</v>
      </c>
      <c r="B713" s="55" t="s">
        <v>13</v>
      </c>
      <c r="C713" s="5">
        <v>9</v>
      </c>
      <c r="D713" s="56">
        <v>22</v>
      </c>
      <c r="E713" s="56">
        <v>192</v>
      </c>
      <c r="F713" s="157">
        <v>46073</v>
      </c>
      <c r="G713" s="4" t="s">
        <v>83</v>
      </c>
      <c r="H713" s="4" t="s">
        <v>144</v>
      </c>
      <c r="I713" s="153">
        <v>58.26</v>
      </c>
      <c r="J713" s="12">
        <v>0.30344656036846263</v>
      </c>
    </row>
    <row r="714" spans="1:10" x14ac:dyDescent="0.25">
      <c r="A714" s="4" t="s">
        <v>20</v>
      </c>
      <c r="B714" s="55" t="s">
        <v>11</v>
      </c>
      <c r="C714" s="5">
        <v>12</v>
      </c>
      <c r="D714" s="56">
        <v>16</v>
      </c>
      <c r="E714" s="56">
        <v>189</v>
      </c>
      <c r="F714" s="157">
        <v>46073</v>
      </c>
      <c r="G714" s="4" t="s">
        <v>83</v>
      </c>
      <c r="H714" s="4" t="s">
        <v>144</v>
      </c>
      <c r="I714" s="153">
        <v>32.520000000000003</v>
      </c>
      <c r="J714" s="12">
        <v>0.1720874684108987</v>
      </c>
    </row>
    <row r="715" spans="1:10" x14ac:dyDescent="0.25">
      <c r="A715" s="4" t="s">
        <v>20</v>
      </c>
      <c r="B715" s="55" t="s">
        <v>10</v>
      </c>
      <c r="C715" s="5">
        <v>14</v>
      </c>
      <c r="D715" s="56">
        <v>17</v>
      </c>
      <c r="E715" s="56">
        <v>226</v>
      </c>
      <c r="F715" s="157">
        <v>46073</v>
      </c>
      <c r="G715" s="4" t="s">
        <v>83</v>
      </c>
      <c r="H715" s="4" t="s">
        <v>144</v>
      </c>
      <c r="I715" s="153">
        <v>25</v>
      </c>
      <c r="J715" s="12">
        <v>0.11062995597908878</v>
      </c>
    </row>
    <row r="716" spans="1:10" x14ac:dyDescent="0.25">
      <c r="A716" s="4" t="s">
        <v>20</v>
      </c>
      <c r="B716" s="55" t="s">
        <v>14</v>
      </c>
      <c r="C716" s="5">
        <v>1</v>
      </c>
      <c r="D716" s="56">
        <v>23</v>
      </c>
      <c r="E716" s="56">
        <v>23</v>
      </c>
      <c r="F716" s="157">
        <v>46072</v>
      </c>
      <c r="G716" s="4" t="s">
        <v>294</v>
      </c>
      <c r="H716" s="4" t="s">
        <v>144</v>
      </c>
      <c r="I716" s="153">
        <v>7.48</v>
      </c>
      <c r="J716" s="12">
        <v>0.32514177693761814</v>
      </c>
    </row>
    <row r="717" spans="1:10" x14ac:dyDescent="0.25">
      <c r="A717" s="4" t="s">
        <v>20</v>
      </c>
      <c r="B717" s="55" t="s">
        <v>10</v>
      </c>
      <c r="C717" s="5">
        <v>2</v>
      </c>
      <c r="D717" s="56">
        <v>17</v>
      </c>
      <c r="E717" s="56">
        <v>34</v>
      </c>
      <c r="F717" s="157">
        <v>46072</v>
      </c>
      <c r="G717" s="4" t="s">
        <v>294</v>
      </c>
      <c r="H717" s="4" t="s">
        <v>144</v>
      </c>
      <c r="I717" s="153">
        <v>5.29</v>
      </c>
      <c r="J717" s="12">
        <v>0.15547214307258</v>
      </c>
    </row>
    <row r="718" spans="1:10" x14ac:dyDescent="0.25">
      <c r="A718" s="4" t="s">
        <v>20</v>
      </c>
      <c r="B718" s="55" t="s">
        <v>13</v>
      </c>
      <c r="C718" s="5">
        <v>1</v>
      </c>
      <c r="D718" s="56">
        <v>22</v>
      </c>
      <c r="E718" s="56">
        <v>22</v>
      </c>
      <c r="F718" s="157">
        <v>46072</v>
      </c>
      <c r="G718" s="4" t="s">
        <v>294</v>
      </c>
      <c r="H718" s="4" t="s">
        <v>144</v>
      </c>
      <c r="I718" s="153">
        <v>7.14</v>
      </c>
      <c r="J718" s="12">
        <v>0.32455424035729713</v>
      </c>
    </row>
    <row r="719" spans="1:10" x14ac:dyDescent="0.25">
      <c r="A719" s="4" t="s">
        <v>20</v>
      </c>
      <c r="B719" s="55" t="s">
        <v>14</v>
      </c>
      <c r="C719" s="5">
        <v>7</v>
      </c>
      <c r="D719" s="56">
        <v>23</v>
      </c>
      <c r="E719" s="56">
        <v>161</v>
      </c>
      <c r="F719" s="157">
        <v>46072</v>
      </c>
      <c r="G719" s="4" t="s">
        <v>294</v>
      </c>
      <c r="H719" s="4" t="s">
        <v>144</v>
      </c>
      <c r="I719" s="153">
        <v>52.35</v>
      </c>
      <c r="J719" s="12">
        <v>0.32514177693761809</v>
      </c>
    </row>
    <row r="720" spans="1:10" x14ac:dyDescent="0.25">
      <c r="A720" s="4" t="s">
        <v>20</v>
      </c>
      <c r="B720" s="55" t="s">
        <v>13</v>
      </c>
      <c r="C720" s="5">
        <v>1</v>
      </c>
      <c r="D720" s="56">
        <v>22</v>
      </c>
      <c r="E720" s="56">
        <v>22</v>
      </c>
      <c r="F720" s="157">
        <v>46072</v>
      </c>
      <c r="G720" s="4" t="s">
        <v>294</v>
      </c>
      <c r="H720" s="4" t="s">
        <v>144</v>
      </c>
      <c r="I720" s="153">
        <v>7.14</v>
      </c>
      <c r="J720" s="12">
        <v>0.32455424035729713</v>
      </c>
    </row>
    <row r="721" spans="1:10" x14ac:dyDescent="0.25">
      <c r="A721" s="4" t="s">
        <v>20</v>
      </c>
      <c r="B721" s="55" t="s">
        <v>12</v>
      </c>
      <c r="C721" s="5">
        <v>1</v>
      </c>
      <c r="D721" s="56">
        <v>15</v>
      </c>
      <c r="E721" s="56">
        <v>15</v>
      </c>
      <c r="F721" s="157">
        <v>46072</v>
      </c>
      <c r="G721" s="4" t="s">
        <v>294</v>
      </c>
      <c r="H721" s="4" t="s">
        <v>144</v>
      </c>
      <c r="I721" s="153">
        <v>1.1299999999999999</v>
      </c>
      <c r="J721" s="12">
        <v>7.5021872265966516E-2</v>
      </c>
    </row>
    <row r="722" spans="1:10" x14ac:dyDescent="0.25">
      <c r="A722" s="4" t="s">
        <v>20</v>
      </c>
      <c r="B722" s="55" t="s">
        <v>11</v>
      </c>
      <c r="C722" s="5">
        <v>10</v>
      </c>
      <c r="D722" s="56">
        <v>16</v>
      </c>
      <c r="E722" s="56">
        <v>160</v>
      </c>
      <c r="F722" s="157">
        <v>46072</v>
      </c>
      <c r="G722" s="4" t="s">
        <v>294</v>
      </c>
      <c r="H722" s="4" t="s">
        <v>144</v>
      </c>
      <c r="I722" s="153">
        <v>29.6</v>
      </c>
      <c r="J722" s="12">
        <v>0.1850236017169784</v>
      </c>
    </row>
    <row r="723" spans="1:10" x14ac:dyDescent="0.25">
      <c r="A723" s="4" t="s">
        <v>20</v>
      </c>
      <c r="B723" s="55" t="s">
        <v>10</v>
      </c>
      <c r="C723" s="5">
        <v>6</v>
      </c>
      <c r="D723" s="56">
        <v>17</v>
      </c>
      <c r="E723" s="56">
        <v>102</v>
      </c>
      <c r="F723" s="157">
        <v>46072</v>
      </c>
      <c r="G723" s="4" t="s">
        <v>294</v>
      </c>
      <c r="H723" s="4" t="s">
        <v>144</v>
      </c>
      <c r="I723" s="153">
        <v>15.86</v>
      </c>
      <c r="J723" s="12">
        <v>0.15547214307258</v>
      </c>
    </row>
    <row r="724" spans="1:10" x14ac:dyDescent="0.25">
      <c r="A724" s="4" t="s">
        <v>20</v>
      </c>
      <c r="B724" s="55" t="s">
        <v>14</v>
      </c>
      <c r="C724" s="5">
        <v>6</v>
      </c>
      <c r="D724" s="56">
        <v>23</v>
      </c>
      <c r="E724" s="56">
        <v>138</v>
      </c>
      <c r="F724" s="157">
        <v>46071</v>
      </c>
      <c r="G724" s="4" t="s">
        <v>32</v>
      </c>
      <c r="H724" s="4" t="s">
        <v>144</v>
      </c>
      <c r="I724" s="153">
        <v>44.87</v>
      </c>
      <c r="J724" s="12">
        <v>0.32514177693761809</v>
      </c>
    </row>
    <row r="725" spans="1:10" x14ac:dyDescent="0.25">
      <c r="A725" s="4" t="s">
        <v>20</v>
      </c>
      <c r="B725" s="55" t="s">
        <v>13</v>
      </c>
      <c r="C725" s="5">
        <v>4</v>
      </c>
      <c r="D725" s="56">
        <v>22</v>
      </c>
      <c r="E725" s="56">
        <v>88</v>
      </c>
      <c r="F725" s="157">
        <v>46071</v>
      </c>
      <c r="G725" s="4" t="s">
        <v>32</v>
      </c>
      <c r="H725" s="4" t="s">
        <v>144</v>
      </c>
      <c r="I725" s="153">
        <v>28.56</v>
      </c>
      <c r="J725" s="12">
        <v>0.32455424035729713</v>
      </c>
    </row>
    <row r="726" spans="1:10" x14ac:dyDescent="0.25">
      <c r="A726" s="4" t="s">
        <v>20</v>
      </c>
      <c r="B726" s="55" t="s">
        <v>12</v>
      </c>
      <c r="C726" s="5">
        <v>1</v>
      </c>
      <c r="D726" s="56">
        <v>15</v>
      </c>
      <c r="E726" s="56">
        <v>15</v>
      </c>
      <c r="F726" s="157">
        <v>46071</v>
      </c>
      <c r="G726" s="4" t="s">
        <v>32</v>
      </c>
      <c r="H726" s="4" t="s">
        <v>144</v>
      </c>
      <c r="I726" s="153">
        <v>1.1299999999999999</v>
      </c>
      <c r="J726" s="12">
        <v>7.5021872265966516E-2</v>
      </c>
    </row>
    <row r="727" spans="1:10" x14ac:dyDescent="0.25">
      <c r="A727" s="4" t="s">
        <v>20</v>
      </c>
      <c r="B727" s="55" t="s">
        <v>11</v>
      </c>
      <c r="C727" s="5">
        <v>18</v>
      </c>
      <c r="D727" s="56">
        <v>16</v>
      </c>
      <c r="E727" s="56">
        <v>282</v>
      </c>
      <c r="F727" s="157">
        <v>46071</v>
      </c>
      <c r="G727" s="4" t="s">
        <v>32</v>
      </c>
      <c r="H727" s="4" t="s">
        <v>144</v>
      </c>
      <c r="I727" s="153">
        <v>47.29</v>
      </c>
      <c r="J727" s="12">
        <v>0.16768367834925466</v>
      </c>
    </row>
    <row r="728" spans="1:10" x14ac:dyDescent="0.25">
      <c r="A728" s="4" t="s">
        <v>20</v>
      </c>
      <c r="B728" s="55" t="s">
        <v>10</v>
      </c>
      <c r="C728" s="5">
        <v>6</v>
      </c>
      <c r="D728" s="56">
        <v>17</v>
      </c>
      <c r="E728" s="56">
        <v>102</v>
      </c>
      <c r="F728" s="157">
        <v>46071</v>
      </c>
      <c r="G728" s="4" t="s">
        <v>32</v>
      </c>
      <c r="H728" s="4" t="s">
        <v>144</v>
      </c>
      <c r="I728" s="153">
        <v>15.86</v>
      </c>
      <c r="J728" s="12">
        <v>0.15547214307258</v>
      </c>
    </row>
    <row r="729" spans="1:10" x14ac:dyDescent="0.25">
      <c r="A729" s="4" t="s">
        <v>20</v>
      </c>
      <c r="B729" s="55" t="s">
        <v>14</v>
      </c>
      <c r="C729" s="5">
        <v>2</v>
      </c>
      <c r="D729" s="56">
        <v>23</v>
      </c>
      <c r="E729" s="56">
        <v>46</v>
      </c>
      <c r="F729" s="157">
        <v>46071</v>
      </c>
      <c r="G729" s="4" t="s">
        <v>32</v>
      </c>
      <c r="H729" s="4" t="s">
        <v>144</v>
      </c>
      <c r="I729" s="153">
        <v>14.96</v>
      </c>
      <c r="J729" s="12">
        <v>0.32514177693761814</v>
      </c>
    </row>
    <row r="730" spans="1:10" x14ac:dyDescent="0.25">
      <c r="A730" s="4" t="s">
        <v>20</v>
      </c>
      <c r="B730" s="55" t="s">
        <v>12</v>
      </c>
      <c r="C730" s="5">
        <v>2</v>
      </c>
      <c r="D730" s="56">
        <v>15</v>
      </c>
      <c r="E730" s="56">
        <v>30</v>
      </c>
      <c r="F730" s="157">
        <v>46071</v>
      </c>
      <c r="G730" s="4" t="s">
        <v>32</v>
      </c>
      <c r="H730" s="4" t="s">
        <v>144</v>
      </c>
      <c r="I730" s="153">
        <v>2.25</v>
      </c>
      <c r="J730" s="12">
        <v>7.5021872265966516E-2</v>
      </c>
    </row>
    <row r="731" spans="1:10" x14ac:dyDescent="0.25">
      <c r="A731" s="4" t="s">
        <v>20</v>
      </c>
      <c r="B731" s="55" t="s">
        <v>11</v>
      </c>
      <c r="C731" s="5">
        <v>1</v>
      </c>
      <c r="D731" s="56">
        <v>16</v>
      </c>
      <c r="E731" s="56">
        <v>16</v>
      </c>
      <c r="F731" s="157">
        <v>46071</v>
      </c>
      <c r="G731" s="4" t="s">
        <v>32</v>
      </c>
      <c r="H731" s="4" t="s">
        <v>144</v>
      </c>
      <c r="I731" s="153">
        <v>2.96</v>
      </c>
      <c r="J731" s="12">
        <v>0.18502360171697851</v>
      </c>
    </row>
    <row r="732" spans="1:10" x14ac:dyDescent="0.25">
      <c r="A732" s="4" t="s">
        <v>20</v>
      </c>
      <c r="B732" s="55" t="s">
        <v>10</v>
      </c>
      <c r="C732" s="5">
        <v>9</v>
      </c>
      <c r="D732" s="56">
        <v>17</v>
      </c>
      <c r="E732" s="56">
        <v>153</v>
      </c>
      <c r="F732" s="157">
        <v>46071</v>
      </c>
      <c r="G732" s="4" t="s">
        <v>32</v>
      </c>
      <c r="H732" s="4" t="s">
        <v>144</v>
      </c>
      <c r="I732" s="153">
        <v>23.79</v>
      </c>
      <c r="J732" s="12">
        <v>0.15547214307258</v>
      </c>
    </row>
    <row r="733" spans="1:10" x14ac:dyDescent="0.25">
      <c r="A733" s="4" t="s">
        <v>20</v>
      </c>
      <c r="B733" s="55" t="s">
        <v>14</v>
      </c>
      <c r="C733" s="5">
        <v>5</v>
      </c>
      <c r="D733" s="56">
        <v>23</v>
      </c>
      <c r="E733" s="56">
        <v>115</v>
      </c>
      <c r="F733" s="157">
        <v>46070</v>
      </c>
      <c r="G733" s="4" t="s">
        <v>290</v>
      </c>
      <c r="H733" s="4" t="s">
        <v>144</v>
      </c>
      <c r="I733" s="153">
        <v>37.39</v>
      </c>
      <c r="J733" s="12">
        <v>0.32514177693761814</v>
      </c>
    </row>
    <row r="734" spans="1:10" x14ac:dyDescent="0.25">
      <c r="A734" s="4" t="s">
        <v>20</v>
      </c>
      <c r="B734" s="55" t="s">
        <v>13</v>
      </c>
      <c r="C734" s="5">
        <v>3</v>
      </c>
      <c r="D734" s="56">
        <v>22</v>
      </c>
      <c r="E734" s="56">
        <v>66</v>
      </c>
      <c r="F734" s="157">
        <v>46070</v>
      </c>
      <c r="G734" s="4" t="s">
        <v>290</v>
      </c>
      <c r="H734" s="4" t="s">
        <v>144</v>
      </c>
      <c r="I734" s="153">
        <v>21.42</v>
      </c>
      <c r="J734" s="12">
        <v>0.32455424035729719</v>
      </c>
    </row>
    <row r="735" spans="1:10" x14ac:dyDescent="0.25">
      <c r="A735" s="4" t="s">
        <v>20</v>
      </c>
      <c r="B735" s="55" t="s">
        <v>12</v>
      </c>
      <c r="C735" s="5">
        <v>1</v>
      </c>
      <c r="D735" s="56">
        <v>15</v>
      </c>
      <c r="E735" s="56">
        <v>15</v>
      </c>
      <c r="F735" s="157">
        <v>46070</v>
      </c>
      <c r="G735" s="4" t="s">
        <v>290</v>
      </c>
      <c r="H735" s="4" t="s">
        <v>144</v>
      </c>
      <c r="I735" s="153">
        <v>1.1299999999999999</v>
      </c>
      <c r="J735" s="12">
        <v>7.5021872265966516E-2</v>
      </c>
    </row>
    <row r="736" spans="1:10" x14ac:dyDescent="0.25">
      <c r="A736" s="4" t="s">
        <v>20</v>
      </c>
      <c r="B736" s="55" t="s">
        <v>11</v>
      </c>
      <c r="C736" s="5">
        <v>3</v>
      </c>
      <c r="D736" s="56">
        <v>16</v>
      </c>
      <c r="E736" s="56">
        <v>48</v>
      </c>
      <c r="F736" s="157">
        <v>46070</v>
      </c>
      <c r="G736" s="4" t="s">
        <v>290</v>
      </c>
      <c r="H736" s="4" t="s">
        <v>144</v>
      </c>
      <c r="I736" s="153">
        <v>8.8800000000000008</v>
      </c>
      <c r="J736" s="12">
        <v>0.1850236017169784</v>
      </c>
    </row>
    <row r="737" spans="1:10" x14ac:dyDescent="0.25">
      <c r="A737" s="4" t="s">
        <v>20</v>
      </c>
      <c r="B737" s="55" t="s">
        <v>10</v>
      </c>
      <c r="C737" s="5">
        <v>18</v>
      </c>
      <c r="D737" s="56">
        <v>17</v>
      </c>
      <c r="E737" s="56">
        <v>294</v>
      </c>
      <c r="F737" s="157">
        <v>46070</v>
      </c>
      <c r="G737" s="4" t="s">
        <v>290</v>
      </c>
      <c r="H737" s="4" t="s">
        <v>144</v>
      </c>
      <c r="I737" s="153">
        <v>35.57</v>
      </c>
      <c r="J737" s="12">
        <v>0.12100161830003235</v>
      </c>
    </row>
    <row r="738" spans="1:10" x14ac:dyDescent="0.25">
      <c r="A738" s="4" t="s">
        <v>20</v>
      </c>
      <c r="B738" s="55" t="s">
        <v>14</v>
      </c>
      <c r="C738" s="5">
        <v>7</v>
      </c>
      <c r="D738" s="56">
        <v>23</v>
      </c>
      <c r="E738" s="56">
        <v>161</v>
      </c>
      <c r="F738" s="157">
        <v>46069</v>
      </c>
      <c r="G738" s="4" t="s">
        <v>291</v>
      </c>
      <c r="H738" s="4" t="s">
        <v>144</v>
      </c>
      <c r="I738" s="153">
        <v>52.35</v>
      </c>
      <c r="J738" s="12">
        <v>0.32514177693761809</v>
      </c>
    </row>
    <row r="739" spans="1:10" x14ac:dyDescent="0.25">
      <c r="A739" s="4" t="s">
        <v>20</v>
      </c>
      <c r="B739" s="55" t="s">
        <v>13</v>
      </c>
      <c r="C739" s="5">
        <v>7</v>
      </c>
      <c r="D739" s="56">
        <v>22</v>
      </c>
      <c r="E739" s="56">
        <v>154</v>
      </c>
      <c r="F739" s="157">
        <v>46069</v>
      </c>
      <c r="G739" s="4" t="s">
        <v>291</v>
      </c>
      <c r="H739" s="4" t="s">
        <v>144</v>
      </c>
      <c r="I739" s="153">
        <v>49.98</v>
      </c>
      <c r="J739" s="12">
        <v>0.32455424035729713</v>
      </c>
    </row>
    <row r="740" spans="1:10" x14ac:dyDescent="0.25">
      <c r="A740" s="4" t="s">
        <v>20</v>
      </c>
      <c r="B740" s="55" t="s">
        <v>12</v>
      </c>
      <c r="C740" s="5">
        <v>2</v>
      </c>
      <c r="D740" s="56">
        <v>15</v>
      </c>
      <c r="E740" s="56">
        <v>30</v>
      </c>
      <c r="F740" s="157">
        <v>46069</v>
      </c>
      <c r="G740" s="4" t="s">
        <v>291</v>
      </c>
      <c r="H740" s="4" t="s">
        <v>144</v>
      </c>
      <c r="I740" s="153">
        <v>2.25</v>
      </c>
      <c r="J740" s="12">
        <v>7.5021872265966516E-2</v>
      </c>
    </row>
    <row r="741" spans="1:10" x14ac:dyDescent="0.25">
      <c r="A741" s="4" t="s">
        <v>20</v>
      </c>
      <c r="B741" s="55" t="s">
        <v>11</v>
      </c>
      <c r="C741" s="5">
        <v>9</v>
      </c>
      <c r="D741" s="56">
        <v>16</v>
      </c>
      <c r="E741" s="56">
        <v>141</v>
      </c>
      <c r="F741" s="157">
        <v>46069</v>
      </c>
      <c r="G741" s="4" t="s">
        <v>291</v>
      </c>
      <c r="H741" s="4" t="s">
        <v>144</v>
      </c>
      <c r="I741" s="153">
        <v>23.64</v>
      </c>
      <c r="J741" s="12">
        <v>0.16768367834925454</v>
      </c>
    </row>
    <row r="742" spans="1:10" x14ac:dyDescent="0.25">
      <c r="A742" s="4" t="s">
        <v>20</v>
      </c>
      <c r="B742" s="55" t="s">
        <v>10</v>
      </c>
      <c r="C742" s="5">
        <v>10</v>
      </c>
      <c r="D742" s="56">
        <v>17</v>
      </c>
      <c r="E742" s="56">
        <v>170</v>
      </c>
      <c r="F742" s="157">
        <v>46069</v>
      </c>
      <c r="G742" s="4" t="s">
        <v>291</v>
      </c>
      <c r="H742" s="4" t="s">
        <v>144</v>
      </c>
      <c r="I742" s="153">
        <v>26.43</v>
      </c>
      <c r="J742" s="12">
        <v>0.15547214307258012</v>
      </c>
    </row>
    <row r="743" spans="1:10" x14ac:dyDescent="0.25">
      <c r="A743" s="4" t="s">
        <v>20</v>
      </c>
      <c r="B743" s="55" t="s">
        <v>14</v>
      </c>
      <c r="C743" s="5">
        <v>1</v>
      </c>
      <c r="D743" s="56">
        <v>23</v>
      </c>
      <c r="E743" s="56"/>
      <c r="F743" s="157">
        <v>46069</v>
      </c>
      <c r="G743" s="4" t="s">
        <v>291</v>
      </c>
      <c r="H743" s="4" t="s">
        <v>144</v>
      </c>
      <c r="I743" s="153">
        <v>-15.52</v>
      </c>
      <c r="J743" s="12">
        <v>0.32514177693761814</v>
      </c>
    </row>
    <row r="744" spans="1:10" x14ac:dyDescent="0.25">
      <c r="A744" s="4" t="s">
        <v>20</v>
      </c>
      <c r="B744" s="55" t="s">
        <v>14</v>
      </c>
      <c r="C744" s="5">
        <v>1</v>
      </c>
      <c r="D744" s="56">
        <v>23</v>
      </c>
      <c r="E744" s="56">
        <v>23</v>
      </c>
      <c r="F744" s="157">
        <v>46068</v>
      </c>
      <c r="G744" s="4" t="s">
        <v>93</v>
      </c>
      <c r="H744" s="4" t="s">
        <v>144</v>
      </c>
      <c r="I744" s="153">
        <v>7.48</v>
      </c>
      <c r="J744" s="12">
        <v>0.32514177693761814</v>
      </c>
    </row>
    <row r="745" spans="1:10" x14ac:dyDescent="0.25">
      <c r="A745" s="4" t="s">
        <v>20</v>
      </c>
      <c r="B745" s="55" t="s">
        <v>13</v>
      </c>
      <c r="C745" s="5">
        <v>4</v>
      </c>
      <c r="D745" s="56">
        <v>22</v>
      </c>
      <c r="E745" s="56">
        <v>88</v>
      </c>
      <c r="F745" s="157">
        <v>46068</v>
      </c>
      <c r="G745" s="4" t="s">
        <v>93</v>
      </c>
      <c r="H745" s="4" t="s">
        <v>144</v>
      </c>
      <c r="I745" s="153">
        <v>28.56</v>
      </c>
      <c r="J745" s="12">
        <v>0.32455424035729713</v>
      </c>
    </row>
    <row r="746" spans="1:10" x14ac:dyDescent="0.25">
      <c r="A746" s="4" t="s">
        <v>20</v>
      </c>
      <c r="B746" s="55" t="s">
        <v>11</v>
      </c>
      <c r="C746" s="5">
        <v>2</v>
      </c>
      <c r="D746" s="56">
        <v>16</v>
      </c>
      <c r="E746" s="56">
        <v>32</v>
      </c>
      <c r="F746" s="157">
        <v>46068</v>
      </c>
      <c r="G746" s="4" t="s">
        <v>93</v>
      </c>
      <c r="H746" s="4" t="s">
        <v>144</v>
      </c>
      <c r="I746" s="153">
        <v>5.92</v>
      </c>
      <c r="J746" s="12">
        <v>0.1850236017169784</v>
      </c>
    </row>
    <row r="747" spans="1:10" x14ac:dyDescent="0.25">
      <c r="A747" s="4" t="s">
        <v>20</v>
      </c>
      <c r="B747" s="55" t="s">
        <v>10</v>
      </c>
      <c r="C747" s="5">
        <v>10</v>
      </c>
      <c r="D747" s="56">
        <v>17</v>
      </c>
      <c r="E747" s="56">
        <v>170</v>
      </c>
      <c r="F747" s="157">
        <v>46068</v>
      </c>
      <c r="G747" s="4" t="s">
        <v>93</v>
      </c>
      <c r="H747" s="4" t="s">
        <v>144</v>
      </c>
      <c r="I747" s="153">
        <v>26.43</v>
      </c>
      <c r="J747" s="12">
        <v>0.15547214307258012</v>
      </c>
    </row>
    <row r="748" spans="1:10" x14ac:dyDescent="0.25">
      <c r="A748" s="4" t="s">
        <v>20</v>
      </c>
      <c r="B748" s="55" t="s">
        <v>14</v>
      </c>
      <c r="C748" s="5">
        <v>3</v>
      </c>
      <c r="D748" s="56">
        <v>23</v>
      </c>
      <c r="E748" s="56">
        <v>69</v>
      </c>
      <c r="F748" s="157">
        <v>46067</v>
      </c>
      <c r="G748" s="4" t="s">
        <v>92</v>
      </c>
      <c r="H748" s="4" t="s">
        <v>144</v>
      </c>
      <c r="I748" s="153">
        <v>22.43</v>
      </c>
      <c r="J748" s="12">
        <v>0.32514177693761809</v>
      </c>
    </row>
    <row r="749" spans="1:10" x14ac:dyDescent="0.25">
      <c r="A749" s="4" t="s">
        <v>20</v>
      </c>
      <c r="B749" s="55" t="s">
        <v>13</v>
      </c>
      <c r="C749" s="5">
        <v>3</v>
      </c>
      <c r="D749" s="56">
        <v>22</v>
      </c>
      <c r="E749" s="56">
        <v>66</v>
      </c>
      <c r="F749" s="157">
        <v>46067</v>
      </c>
      <c r="G749" s="4" t="s">
        <v>92</v>
      </c>
      <c r="H749" s="4" t="s">
        <v>144</v>
      </c>
      <c r="I749" s="153">
        <v>21.42</v>
      </c>
      <c r="J749" s="12">
        <v>0.32455424035729713</v>
      </c>
    </row>
    <row r="750" spans="1:10" x14ac:dyDescent="0.25">
      <c r="A750" s="4" t="s">
        <v>20</v>
      </c>
      <c r="B750" s="55" t="s">
        <v>11</v>
      </c>
      <c r="C750" s="5">
        <v>14</v>
      </c>
      <c r="D750" s="56">
        <v>16</v>
      </c>
      <c r="E750" s="56">
        <v>218</v>
      </c>
      <c r="F750" s="157">
        <v>46067</v>
      </c>
      <c r="G750" s="4" t="s">
        <v>92</v>
      </c>
      <c r="H750" s="4" t="s">
        <v>144</v>
      </c>
      <c r="I750" s="153">
        <v>35.450000000000003</v>
      </c>
      <c r="J750" s="12">
        <v>0.16259305864496865</v>
      </c>
    </row>
    <row r="751" spans="1:10" x14ac:dyDescent="0.25">
      <c r="A751" s="4" t="s">
        <v>20</v>
      </c>
      <c r="B751" s="55" t="s">
        <v>10</v>
      </c>
      <c r="C751" s="5">
        <v>2</v>
      </c>
      <c r="D751" s="56">
        <v>17</v>
      </c>
      <c r="E751" s="56">
        <v>34</v>
      </c>
      <c r="F751" s="157">
        <v>46067</v>
      </c>
      <c r="G751" s="4" t="s">
        <v>92</v>
      </c>
      <c r="H751" s="4" t="s">
        <v>144</v>
      </c>
      <c r="I751" s="153">
        <v>5.29</v>
      </c>
      <c r="J751" s="12">
        <v>0.15547214307258012</v>
      </c>
    </row>
    <row r="752" spans="1:10" x14ac:dyDescent="0.25">
      <c r="A752" s="4" t="s">
        <v>20</v>
      </c>
      <c r="B752" s="55" t="s">
        <v>14</v>
      </c>
      <c r="C752" s="5">
        <v>10</v>
      </c>
      <c r="D752" s="56">
        <v>23</v>
      </c>
      <c r="E752" s="56">
        <v>230</v>
      </c>
      <c r="F752" s="157">
        <v>46066</v>
      </c>
      <c r="G752" s="4" t="s">
        <v>83</v>
      </c>
      <c r="H752" s="4" t="s">
        <v>144</v>
      </c>
      <c r="I752" s="153">
        <v>74.78</v>
      </c>
      <c r="J752" s="12">
        <v>0.3251417769376182</v>
      </c>
    </row>
    <row r="753" spans="1:10" x14ac:dyDescent="0.25">
      <c r="A753" s="4" t="s">
        <v>20</v>
      </c>
      <c r="B753" s="55" t="s">
        <v>13</v>
      </c>
      <c r="C753" s="5">
        <v>11</v>
      </c>
      <c r="D753" s="56">
        <v>22</v>
      </c>
      <c r="E753" s="56">
        <v>242</v>
      </c>
      <c r="F753" s="157">
        <v>46066</v>
      </c>
      <c r="G753" s="4" t="s">
        <v>83</v>
      </c>
      <c r="H753" s="4" t="s">
        <v>144</v>
      </c>
      <c r="I753" s="153">
        <v>78.540000000000006</v>
      </c>
      <c r="J753" s="12">
        <v>0.32455424035729713</v>
      </c>
    </row>
    <row r="754" spans="1:10" x14ac:dyDescent="0.25">
      <c r="A754" s="4" t="s">
        <v>20</v>
      </c>
      <c r="B754" s="55" t="s">
        <v>12</v>
      </c>
      <c r="C754" s="5">
        <v>3</v>
      </c>
      <c r="D754" s="56">
        <v>15.5</v>
      </c>
      <c r="E754" s="56">
        <v>46.5</v>
      </c>
      <c r="F754" s="157">
        <v>46066</v>
      </c>
      <c r="G754" s="4" t="s">
        <v>83</v>
      </c>
      <c r="H754" s="4" t="s">
        <v>144</v>
      </c>
      <c r="I754" s="153">
        <v>4.88</v>
      </c>
      <c r="J754" s="12">
        <v>0.10485987638641921</v>
      </c>
    </row>
    <row r="755" spans="1:10" x14ac:dyDescent="0.25">
      <c r="A755" s="4" t="s">
        <v>20</v>
      </c>
      <c r="B755" s="55" t="s">
        <v>11</v>
      </c>
      <c r="C755" s="5">
        <v>7</v>
      </c>
      <c r="D755" s="56">
        <v>16</v>
      </c>
      <c r="E755" s="56">
        <v>112</v>
      </c>
      <c r="F755" s="157">
        <v>46066</v>
      </c>
      <c r="G755" s="4" t="s">
        <v>83</v>
      </c>
      <c r="H755" s="4" t="s">
        <v>144</v>
      </c>
      <c r="I755" s="153">
        <v>20.72</v>
      </c>
      <c r="J755" s="12">
        <v>0.1850236017169784</v>
      </c>
    </row>
    <row r="756" spans="1:10" x14ac:dyDescent="0.25">
      <c r="A756" s="4" t="s">
        <v>20</v>
      </c>
      <c r="B756" s="55" t="s">
        <v>14</v>
      </c>
      <c r="C756" s="5">
        <v>10</v>
      </c>
      <c r="D756" s="56">
        <v>23</v>
      </c>
      <c r="E756" s="56">
        <v>212</v>
      </c>
      <c r="F756" s="157">
        <v>46065</v>
      </c>
      <c r="G756" s="4" t="s">
        <v>294</v>
      </c>
      <c r="H756" s="4" t="s">
        <v>144</v>
      </c>
      <c r="I756" s="153">
        <v>56.78</v>
      </c>
      <c r="J756" s="12">
        <v>0.26784249384741593</v>
      </c>
    </row>
    <row r="757" spans="1:10" x14ac:dyDescent="0.25">
      <c r="A757" s="4" t="s">
        <v>20</v>
      </c>
      <c r="B757" s="55" t="s">
        <v>13</v>
      </c>
      <c r="C757" s="5">
        <v>8</v>
      </c>
      <c r="D757" s="56">
        <v>22</v>
      </c>
      <c r="E757" s="56">
        <v>176</v>
      </c>
      <c r="F757" s="157">
        <v>46065</v>
      </c>
      <c r="G757" s="4" t="s">
        <v>294</v>
      </c>
      <c r="H757" s="4" t="s">
        <v>144</v>
      </c>
      <c r="I757" s="153">
        <v>57.12</v>
      </c>
      <c r="J757" s="12">
        <v>0.32455424035729707</v>
      </c>
    </row>
    <row r="758" spans="1:10" x14ac:dyDescent="0.25">
      <c r="A758" s="4" t="s">
        <v>20</v>
      </c>
      <c r="B758" s="55" t="s">
        <v>12</v>
      </c>
      <c r="C758" s="5">
        <v>1</v>
      </c>
      <c r="D758" s="56">
        <v>15.5</v>
      </c>
      <c r="E758" s="56">
        <v>15.5</v>
      </c>
      <c r="F758" s="157">
        <v>46065</v>
      </c>
      <c r="G758" s="4" t="s">
        <v>294</v>
      </c>
      <c r="H758" s="4" t="s">
        <v>144</v>
      </c>
      <c r="I758" s="153">
        <v>1.63</v>
      </c>
      <c r="J758" s="12">
        <v>0.10485987638641932</v>
      </c>
    </row>
    <row r="759" spans="1:10" x14ac:dyDescent="0.25">
      <c r="A759" s="4" t="s">
        <v>20</v>
      </c>
      <c r="B759" s="55" t="s">
        <v>11</v>
      </c>
      <c r="C759" s="5">
        <v>5</v>
      </c>
      <c r="D759" s="56">
        <v>16</v>
      </c>
      <c r="E759" s="56">
        <v>80</v>
      </c>
      <c r="F759" s="157">
        <v>46065</v>
      </c>
      <c r="G759" s="4" t="s">
        <v>294</v>
      </c>
      <c r="H759" s="4" t="s">
        <v>144</v>
      </c>
      <c r="I759" s="153">
        <v>14.8</v>
      </c>
      <c r="J759" s="12">
        <v>0.1850236017169784</v>
      </c>
    </row>
    <row r="760" spans="1:10" x14ac:dyDescent="0.25">
      <c r="A760" s="4" t="s">
        <v>20</v>
      </c>
      <c r="B760" s="55" t="s">
        <v>10</v>
      </c>
      <c r="C760" s="5">
        <v>4</v>
      </c>
      <c r="D760" s="56">
        <v>17</v>
      </c>
      <c r="E760" s="56">
        <v>68</v>
      </c>
      <c r="F760" s="157">
        <v>46065</v>
      </c>
      <c r="G760" s="4" t="s">
        <v>294</v>
      </c>
      <c r="H760" s="4" t="s">
        <v>144</v>
      </c>
      <c r="I760" s="153">
        <v>10.57</v>
      </c>
      <c r="J760" s="12">
        <v>0.15547214307258012</v>
      </c>
    </row>
    <row r="761" spans="1:10" x14ac:dyDescent="0.25">
      <c r="A761" s="4" t="s">
        <v>20</v>
      </c>
      <c r="B761" s="55" t="s">
        <v>14</v>
      </c>
      <c r="C761" s="5">
        <v>1</v>
      </c>
      <c r="D761" s="56">
        <v>23</v>
      </c>
      <c r="E761" s="56"/>
      <c r="F761" s="157">
        <v>46065</v>
      </c>
      <c r="G761" s="4" t="s">
        <v>294</v>
      </c>
      <c r="H761" s="4" t="s">
        <v>144</v>
      </c>
      <c r="I761" s="153">
        <v>-15.52</v>
      </c>
      <c r="J761" s="12">
        <v>0</v>
      </c>
    </row>
    <row r="762" spans="1:10" x14ac:dyDescent="0.25">
      <c r="A762" s="4" t="s">
        <v>20</v>
      </c>
      <c r="B762" s="55" t="s">
        <v>14</v>
      </c>
      <c r="C762" s="5">
        <v>12</v>
      </c>
      <c r="D762" s="56">
        <v>23</v>
      </c>
      <c r="E762" s="56">
        <v>258</v>
      </c>
      <c r="F762" s="157">
        <v>46064</v>
      </c>
      <c r="G762" s="4" t="s">
        <v>32</v>
      </c>
      <c r="H762" s="4" t="s">
        <v>144</v>
      </c>
      <c r="I762" s="153">
        <v>71.739999999999995</v>
      </c>
      <c r="J762" s="12">
        <v>0.27805864509605654</v>
      </c>
    </row>
    <row r="763" spans="1:10" x14ac:dyDescent="0.25">
      <c r="A763" s="4" t="s">
        <v>20</v>
      </c>
      <c r="B763" s="55" t="s">
        <v>13</v>
      </c>
      <c r="C763" s="5">
        <v>2</v>
      </c>
      <c r="D763" s="56">
        <v>22</v>
      </c>
      <c r="E763" s="56">
        <v>44</v>
      </c>
      <c r="F763" s="157">
        <v>46064</v>
      </c>
      <c r="G763" s="4" t="s">
        <v>32</v>
      </c>
      <c r="H763" s="4" t="s">
        <v>144</v>
      </c>
      <c r="I763" s="153">
        <v>14.28</v>
      </c>
      <c r="J763" s="12">
        <v>0.32455424035729707</v>
      </c>
    </row>
    <row r="764" spans="1:10" x14ac:dyDescent="0.25">
      <c r="A764" s="4" t="s">
        <v>20</v>
      </c>
      <c r="B764" s="55" t="s">
        <v>12</v>
      </c>
      <c r="C764" s="5">
        <v>2</v>
      </c>
      <c r="D764" s="56">
        <v>15.5</v>
      </c>
      <c r="E764" s="56">
        <v>31</v>
      </c>
      <c r="F764" s="157">
        <v>46064</v>
      </c>
      <c r="G764" s="4" t="s">
        <v>32</v>
      </c>
      <c r="H764" s="4" t="s">
        <v>144</v>
      </c>
      <c r="I764" s="153">
        <v>3.25</v>
      </c>
      <c r="J764" s="12">
        <v>0.10485987638641932</v>
      </c>
    </row>
    <row r="765" spans="1:10" x14ac:dyDescent="0.25">
      <c r="A765" s="4" t="s">
        <v>20</v>
      </c>
      <c r="B765" s="55" t="s">
        <v>11</v>
      </c>
      <c r="C765" s="5">
        <v>6</v>
      </c>
      <c r="D765" s="56">
        <v>16</v>
      </c>
      <c r="E765" s="56">
        <v>96</v>
      </c>
      <c r="F765" s="157">
        <v>46064</v>
      </c>
      <c r="G765" s="4" t="s">
        <v>32</v>
      </c>
      <c r="H765" s="4" t="s">
        <v>144</v>
      </c>
      <c r="I765" s="153">
        <v>17.760000000000002</v>
      </c>
      <c r="J765" s="12">
        <v>0.1850236017169784</v>
      </c>
    </row>
    <row r="766" spans="1:10" x14ac:dyDescent="0.25">
      <c r="A766" s="4" t="s">
        <v>20</v>
      </c>
      <c r="B766" s="55" t="s">
        <v>10</v>
      </c>
      <c r="C766" s="5">
        <v>16</v>
      </c>
      <c r="D766" s="56">
        <v>17</v>
      </c>
      <c r="E766" s="56">
        <v>272</v>
      </c>
      <c r="F766" s="157">
        <v>46064</v>
      </c>
      <c r="G766" s="4" t="s">
        <v>32</v>
      </c>
      <c r="H766" s="4" t="s">
        <v>144</v>
      </c>
      <c r="I766" s="153">
        <v>42.29</v>
      </c>
      <c r="J766" s="12">
        <v>0.15547214307258012</v>
      </c>
    </row>
    <row r="767" spans="1:10" x14ac:dyDescent="0.25">
      <c r="A767" s="4" t="s">
        <v>20</v>
      </c>
      <c r="B767" s="55" t="s">
        <v>14</v>
      </c>
      <c r="C767" s="5">
        <v>1</v>
      </c>
      <c r="D767" s="56">
        <v>23</v>
      </c>
      <c r="E767" s="56">
        <v>23</v>
      </c>
      <c r="F767" s="157">
        <v>46064</v>
      </c>
      <c r="G767" s="4" t="s">
        <v>32</v>
      </c>
      <c r="H767" s="4" t="s">
        <v>144</v>
      </c>
      <c r="I767" s="153">
        <v>7.48</v>
      </c>
      <c r="J767" s="12">
        <v>0.32514177693761814</v>
      </c>
    </row>
    <row r="768" spans="1:10" x14ac:dyDescent="0.25">
      <c r="A768" s="4" t="s">
        <v>20</v>
      </c>
      <c r="B768" s="55" t="s">
        <v>11</v>
      </c>
      <c r="C768" s="5">
        <v>3</v>
      </c>
      <c r="D768" s="56">
        <v>16</v>
      </c>
      <c r="E768" s="56">
        <v>48</v>
      </c>
      <c r="F768" s="157">
        <v>46064</v>
      </c>
      <c r="G768" s="4" t="s">
        <v>32</v>
      </c>
      <c r="H768" s="4" t="s">
        <v>144</v>
      </c>
      <c r="I768" s="153">
        <v>8.8800000000000008</v>
      </c>
      <c r="J768" s="12">
        <v>0.1850236017169784</v>
      </c>
    </row>
    <row r="769" spans="1:10" x14ac:dyDescent="0.25">
      <c r="A769" s="4" t="s">
        <v>20</v>
      </c>
      <c r="B769" s="55" t="s">
        <v>10</v>
      </c>
      <c r="C769" s="5">
        <v>4</v>
      </c>
      <c r="D769" s="56">
        <v>17</v>
      </c>
      <c r="E769" s="56">
        <v>68</v>
      </c>
      <c r="F769" s="157">
        <v>46064</v>
      </c>
      <c r="G769" s="4" t="s">
        <v>32</v>
      </c>
      <c r="H769" s="4" t="s">
        <v>144</v>
      </c>
      <c r="I769" s="153">
        <v>10.57</v>
      </c>
      <c r="J769" s="12">
        <v>0.15547214307258012</v>
      </c>
    </row>
    <row r="770" spans="1:10" x14ac:dyDescent="0.25">
      <c r="A770" s="4" t="s">
        <v>20</v>
      </c>
      <c r="B770" s="55" t="s">
        <v>14</v>
      </c>
      <c r="C770" s="5">
        <v>7</v>
      </c>
      <c r="D770" s="56">
        <v>23</v>
      </c>
      <c r="E770" s="56">
        <v>161</v>
      </c>
      <c r="F770" s="157">
        <v>46063</v>
      </c>
      <c r="G770" s="4" t="s">
        <v>290</v>
      </c>
      <c r="H770" s="4" t="s">
        <v>144</v>
      </c>
      <c r="I770" s="153">
        <v>52.35</v>
      </c>
      <c r="J770" s="12">
        <v>0.32514177693761809</v>
      </c>
    </row>
    <row r="771" spans="1:10" x14ac:dyDescent="0.25">
      <c r="A771" s="4" t="s">
        <v>20</v>
      </c>
      <c r="B771" s="55" t="s">
        <v>13</v>
      </c>
      <c r="C771" s="5">
        <v>7</v>
      </c>
      <c r="D771" s="56">
        <v>22</v>
      </c>
      <c r="E771" s="56">
        <v>154</v>
      </c>
      <c r="F771" s="157">
        <v>46063</v>
      </c>
      <c r="G771" s="4" t="s">
        <v>290</v>
      </c>
      <c r="H771" s="4" t="s">
        <v>144</v>
      </c>
      <c r="I771" s="153">
        <v>49.98</v>
      </c>
      <c r="J771" s="12">
        <v>0.32455424035729707</v>
      </c>
    </row>
    <row r="772" spans="1:10" x14ac:dyDescent="0.25">
      <c r="A772" s="4" t="s">
        <v>20</v>
      </c>
      <c r="B772" s="55" t="s">
        <v>12</v>
      </c>
      <c r="C772" s="5">
        <v>2</v>
      </c>
      <c r="D772" s="56">
        <v>15.5</v>
      </c>
      <c r="E772" s="56">
        <v>31</v>
      </c>
      <c r="F772" s="157">
        <v>46063</v>
      </c>
      <c r="G772" s="4" t="s">
        <v>290</v>
      </c>
      <c r="H772" s="4" t="s">
        <v>144</v>
      </c>
      <c r="I772" s="153">
        <v>3.25</v>
      </c>
      <c r="J772" s="12">
        <v>0.10485987638641932</v>
      </c>
    </row>
    <row r="773" spans="1:10" x14ac:dyDescent="0.25">
      <c r="A773" s="4" t="s">
        <v>20</v>
      </c>
      <c r="B773" s="55" t="s">
        <v>10</v>
      </c>
      <c r="C773" s="5">
        <v>21</v>
      </c>
      <c r="D773" s="56">
        <v>17</v>
      </c>
      <c r="E773" s="56">
        <v>345</v>
      </c>
      <c r="F773" s="157">
        <v>46063</v>
      </c>
      <c r="G773" s="4" t="s">
        <v>290</v>
      </c>
      <c r="H773" s="4" t="s">
        <v>144</v>
      </c>
      <c r="I773" s="153">
        <v>43.5</v>
      </c>
      <c r="J773" s="12">
        <v>0.12609726109249594</v>
      </c>
    </row>
    <row r="774" spans="1:10" x14ac:dyDescent="0.25">
      <c r="A774" s="4" t="s">
        <v>31</v>
      </c>
      <c r="B774" s="55" t="s">
        <v>11</v>
      </c>
      <c r="C774" s="5">
        <v>120</v>
      </c>
      <c r="D774" s="56">
        <v>155</v>
      </c>
      <c r="E774" s="56">
        <v>1550</v>
      </c>
      <c r="F774" s="157">
        <v>46063</v>
      </c>
      <c r="G774" s="4" t="s">
        <v>290</v>
      </c>
      <c r="H774" s="4" t="s">
        <v>144</v>
      </c>
      <c r="I774" s="153"/>
      <c r="J774" s="12"/>
    </row>
    <row r="775" spans="1:10" x14ac:dyDescent="0.25">
      <c r="A775" s="4" t="s">
        <v>31</v>
      </c>
      <c r="B775" s="55" t="s">
        <v>14</v>
      </c>
      <c r="C775" s="5">
        <v>72</v>
      </c>
      <c r="D775" s="56">
        <v>190</v>
      </c>
      <c r="E775" s="56">
        <v>1140</v>
      </c>
      <c r="F775" s="157">
        <v>46063</v>
      </c>
      <c r="G775" s="4" t="s">
        <v>290</v>
      </c>
      <c r="H775" s="4" t="s">
        <v>144</v>
      </c>
      <c r="I775" s="153"/>
      <c r="J775" s="12"/>
    </row>
    <row r="776" spans="1:10" x14ac:dyDescent="0.25">
      <c r="A776" s="4" t="s">
        <v>20</v>
      </c>
      <c r="B776" s="55" t="s">
        <v>14</v>
      </c>
      <c r="C776" s="5">
        <v>5</v>
      </c>
      <c r="D776" s="56">
        <v>23</v>
      </c>
      <c r="E776" s="56">
        <v>115</v>
      </c>
      <c r="F776" s="157">
        <v>46063</v>
      </c>
      <c r="G776" s="4" t="s">
        <v>290</v>
      </c>
      <c r="H776" s="4" t="s">
        <v>144</v>
      </c>
      <c r="I776" s="153">
        <v>40</v>
      </c>
      <c r="J776" s="12">
        <v>0.34782608695652173</v>
      </c>
    </row>
    <row r="777" spans="1:10" x14ac:dyDescent="0.25">
      <c r="A777" s="4" t="s">
        <v>20</v>
      </c>
      <c r="B777" s="55" t="s">
        <v>13</v>
      </c>
      <c r="C777" s="5">
        <v>1</v>
      </c>
      <c r="D777" s="56">
        <v>22</v>
      </c>
      <c r="E777" s="56">
        <v>22</v>
      </c>
      <c r="F777" s="157">
        <v>46063</v>
      </c>
      <c r="G777" s="4" t="s">
        <v>290</v>
      </c>
      <c r="H777" s="4" t="s">
        <v>144</v>
      </c>
      <c r="I777" s="153">
        <v>7.14</v>
      </c>
      <c r="J777" s="12">
        <v>0.32455424035729707</v>
      </c>
    </row>
    <row r="778" spans="1:10" x14ac:dyDescent="0.25">
      <c r="A778" s="4" t="s">
        <v>20</v>
      </c>
      <c r="B778" s="55" t="s">
        <v>11</v>
      </c>
      <c r="C778" s="5">
        <v>2</v>
      </c>
      <c r="D778" s="56">
        <v>16</v>
      </c>
      <c r="E778" s="56">
        <v>32</v>
      </c>
      <c r="F778" s="157">
        <v>46063</v>
      </c>
      <c r="G778" s="4" t="s">
        <v>290</v>
      </c>
      <c r="H778" s="4" t="s">
        <v>144</v>
      </c>
      <c r="I778" s="153">
        <v>5.32</v>
      </c>
      <c r="J778" s="12">
        <v>0.16620385081978273</v>
      </c>
    </row>
    <row r="779" spans="1:10" x14ac:dyDescent="0.25">
      <c r="A779" s="4" t="s">
        <v>20</v>
      </c>
      <c r="B779" s="55" t="s">
        <v>10</v>
      </c>
      <c r="C779" s="5">
        <v>3</v>
      </c>
      <c r="D779" s="56">
        <v>17</v>
      </c>
      <c r="E779" s="56">
        <v>51</v>
      </c>
      <c r="F779" s="157">
        <v>46063</v>
      </c>
      <c r="G779" s="4" t="s">
        <v>290</v>
      </c>
      <c r="H779" s="4" t="s">
        <v>144</v>
      </c>
      <c r="I779" s="153">
        <v>7.93</v>
      </c>
      <c r="J779" s="12">
        <v>0.15547214307258012</v>
      </c>
    </row>
    <row r="780" spans="1:10" x14ac:dyDescent="0.25">
      <c r="A780" s="4" t="s">
        <v>20</v>
      </c>
      <c r="B780" s="55" t="s">
        <v>12</v>
      </c>
      <c r="C780" s="5">
        <v>6</v>
      </c>
      <c r="D780" s="56">
        <v>15.5</v>
      </c>
      <c r="E780" s="56">
        <v>93</v>
      </c>
      <c r="F780" s="157">
        <v>46062</v>
      </c>
      <c r="G780" s="4" t="s">
        <v>291</v>
      </c>
      <c r="H780" s="4" t="s">
        <v>144</v>
      </c>
      <c r="I780" s="153">
        <v>9.75</v>
      </c>
      <c r="J780" s="12">
        <v>0.10485987638641932</v>
      </c>
    </row>
    <row r="781" spans="1:10" x14ac:dyDescent="0.25">
      <c r="A781" s="4" t="s">
        <v>20</v>
      </c>
      <c r="B781" s="55" t="s">
        <v>14</v>
      </c>
      <c r="C781" s="5">
        <v>10</v>
      </c>
      <c r="D781" s="56">
        <v>23</v>
      </c>
      <c r="E781" s="56">
        <v>230</v>
      </c>
      <c r="F781" s="157">
        <v>46062</v>
      </c>
      <c r="G781" s="4" t="s">
        <v>291</v>
      </c>
      <c r="H781" s="4" t="s">
        <v>144</v>
      </c>
      <c r="I781" s="153">
        <v>80</v>
      </c>
      <c r="J781" s="12">
        <v>0.34782608695652173</v>
      </c>
    </row>
    <row r="782" spans="1:10" x14ac:dyDescent="0.25">
      <c r="A782" s="4" t="s">
        <v>20</v>
      </c>
      <c r="B782" s="55" t="s">
        <v>13</v>
      </c>
      <c r="C782" s="5">
        <v>17</v>
      </c>
      <c r="D782" s="56">
        <v>22</v>
      </c>
      <c r="E782" s="56">
        <v>356</v>
      </c>
      <c r="F782" s="157">
        <v>46062</v>
      </c>
      <c r="G782" s="4" t="s">
        <v>291</v>
      </c>
      <c r="H782" s="4" t="s">
        <v>144</v>
      </c>
      <c r="I782" s="153">
        <v>103.38</v>
      </c>
      <c r="J782" s="12">
        <v>0.2904024884652503</v>
      </c>
    </row>
    <row r="783" spans="1:10" x14ac:dyDescent="0.25">
      <c r="A783" s="4" t="s">
        <v>20</v>
      </c>
      <c r="B783" s="55" t="s">
        <v>11</v>
      </c>
      <c r="C783" s="5">
        <v>22</v>
      </c>
      <c r="D783" s="56">
        <v>16</v>
      </c>
      <c r="E783" s="56">
        <v>343</v>
      </c>
      <c r="F783" s="157">
        <v>46062</v>
      </c>
      <c r="G783" s="4" t="s">
        <v>291</v>
      </c>
      <c r="H783" s="4" t="s">
        <v>144</v>
      </c>
      <c r="I783" s="153">
        <v>49.5</v>
      </c>
      <c r="J783" s="12">
        <v>0.14432581775091394</v>
      </c>
    </row>
    <row r="784" spans="1:10" x14ac:dyDescent="0.25">
      <c r="A784" s="4" t="s">
        <v>20</v>
      </c>
      <c r="B784" s="55" t="s">
        <v>10</v>
      </c>
      <c r="C784" s="5">
        <v>8</v>
      </c>
      <c r="D784" s="56">
        <v>17</v>
      </c>
      <c r="E784" s="56">
        <v>136</v>
      </c>
      <c r="F784" s="157">
        <v>46062</v>
      </c>
      <c r="G784" s="4" t="s">
        <v>291</v>
      </c>
      <c r="H784" s="4" t="s">
        <v>144</v>
      </c>
      <c r="I784" s="153">
        <v>21.14</v>
      </c>
      <c r="J784" s="12">
        <v>0.15547214307258012</v>
      </c>
    </row>
    <row r="785" spans="1:10" x14ac:dyDescent="0.25">
      <c r="A785" s="4" t="s">
        <v>20</v>
      </c>
      <c r="B785" s="55" t="s">
        <v>14</v>
      </c>
      <c r="C785" s="5">
        <v>4</v>
      </c>
      <c r="D785" s="56">
        <v>23</v>
      </c>
      <c r="E785" s="56">
        <v>92</v>
      </c>
      <c r="F785" s="157">
        <v>46061</v>
      </c>
      <c r="G785" s="4" t="s">
        <v>93</v>
      </c>
      <c r="H785" s="4" t="s">
        <v>144</v>
      </c>
      <c r="I785" s="153">
        <v>32</v>
      </c>
      <c r="J785" s="12">
        <v>0.34782608695652173</v>
      </c>
    </row>
    <row r="786" spans="1:10" x14ac:dyDescent="0.25">
      <c r="A786" s="4" t="s">
        <v>20</v>
      </c>
      <c r="B786" s="55" t="s">
        <v>13</v>
      </c>
      <c r="C786" s="5">
        <v>2</v>
      </c>
      <c r="D786" s="56">
        <v>22</v>
      </c>
      <c r="E786" s="56">
        <v>44</v>
      </c>
      <c r="F786" s="157">
        <v>46061</v>
      </c>
      <c r="G786" s="4" t="s">
        <v>93</v>
      </c>
      <c r="H786" s="4" t="s">
        <v>144</v>
      </c>
      <c r="I786" s="153">
        <v>14.28</v>
      </c>
      <c r="J786" s="12">
        <v>0.32455424035729696</v>
      </c>
    </row>
    <row r="787" spans="1:10" x14ac:dyDescent="0.25">
      <c r="A787" s="4" t="s">
        <v>20</v>
      </c>
      <c r="B787" s="55" t="s">
        <v>12</v>
      </c>
      <c r="C787" s="5">
        <v>3</v>
      </c>
      <c r="D787" s="56">
        <v>15.5</v>
      </c>
      <c r="E787" s="56">
        <v>46.5</v>
      </c>
      <c r="F787" s="157">
        <v>46061</v>
      </c>
      <c r="G787" s="4" t="s">
        <v>93</v>
      </c>
      <c r="H787" s="4" t="s">
        <v>144</v>
      </c>
      <c r="I787" s="153">
        <v>4.88</v>
      </c>
      <c r="J787" s="12">
        <v>0.10485987638641932</v>
      </c>
    </row>
    <row r="788" spans="1:10" x14ac:dyDescent="0.25">
      <c r="A788" s="4" t="s">
        <v>20</v>
      </c>
      <c r="B788" s="55" t="s">
        <v>11</v>
      </c>
      <c r="C788" s="5">
        <v>13</v>
      </c>
      <c r="D788" s="56">
        <v>16</v>
      </c>
      <c r="E788" s="56">
        <v>205</v>
      </c>
      <c r="F788" s="157">
        <v>46061</v>
      </c>
      <c r="G788" s="4" t="s">
        <v>93</v>
      </c>
      <c r="H788" s="4" t="s">
        <v>144</v>
      </c>
      <c r="I788" s="153">
        <v>31.57</v>
      </c>
      <c r="J788" s="12">
        <v>0.15400195595373067</v>
      </c>
    </row>
    <row r="789" spans="1:10" x14ac:dyDescent="0.25">
      <c r="A789" s="4" t="s">
        <v>20</v>
      </c>
      <c r="B789" s="55" t="s">
        <v>10</v>
      </c>
      <c r="C789" s="5">
        <v>6</v>
      </c>
      <c r="D789" s="56">
        <v>17</v>
      </c>
      <c r="E789" s="56">
        <v>102</v>
      </c>
      <c r="F789" s="157">
        <v>46061</v>
      </c>
      <c r="G789" s="4" t="s">
        <v>93</v>
      </c>
      <c r="H789" s="4" t="s">
        <v>144</v>
      </c>
      <c r="I789" s="153">
        <v>15.86</v>
      </c>
      <c r="J789" s="12">
        <v>0.15547214307258012</v>
      </c>
    </row>
    <row r="790" spans="1:10" x14ac:dyDescent="0.25">
      <c r="A790" s="4" t="s">
        <v>20</v>
      </c>
      <c r="B790" s="55" t="s">
        <v>14</v>
      </c>
      <c r="C790" s="5">
        <v>4</v>
      </c>
      <c r="D790" s="56">
        <v>23</v>
      </c>
      <c r="E790" s="56">
        <v>92</v>
      </c>
      <c r="F790" s="157">
        <v>46060</v>
      </c>
      <c r="G790" s="4" t="s">
        <v>92</v>
      </c>
      <c r="H790" s="4" t="s">
        <v>144</v>
      </c>
      <c r="I790" s="153">
        <v>32</v>
      </c>
      <c r="J790" s="12">
        <v>0.34782608695652173</v>
      </c>
    </row>
    <row r="791" spans="1:10" x14ac:dyDescent="0.25">
      <c r="A791" s="4" t="s">
        <v>20</v>
      </c>
      <c r="B791" s="55" t="s">
        <v>13</v>
      </c>
      <c r="C791" s="5">
        <v>15</v>
      </c>
      <c r="D791" s="56">
        <v>22</v>
      </c>
      <c r="E791" s="56">
        <v>294</v>
      </c>
      <c r="F791" s="157">
        <v>46060</v>
      </c>
      <c r="G791" s="4" t="s">
        <v>92</v>
      </c>
      <c r="H791" s="4" t="s">
        <v>144</v>
      </c>
      <c r="I791" s="153">
        <v>71.099999999999994</v>
      </c>
      <c r="J791" s="12">
        <v>0.24184659631941496</v>
      </c>
    </row>
    <row r="792" spans="1:10" x14ac:dyDescent="0.25">
      <c r="A792" s="4" t="s">
        <v>20</v>
      </c>
      <c r="B792" s="55" t="s">
        <v>12</v>
      </c>
      <c r="C792" s="5">
        <v>1</v>
      </c>
      <c r="D792" s="56">
        <v>15.5</v>
      </c>
      <c r="E792" s="56">
        <v>15.5</v>
      </c>
      <c r="F792" s="157">
        <v>46060</v>
      </c>
      <c r="G792" s="4" t="s">
        <v>92</v>
      </c>
      <c r="H792" s="4" t="s">
        <v>144</v>
      </c>
      <c r="I792" s="153">
        <v>1.63</v>
      </c>
      <c r="J792" s="12">
        <v>0.10485987638641932</v>
      </c>
    </row>
    <row r="793" spans="1:10" x14ac:dyDescent="0.25">
      <c r="A793" s="4" t="s">
        <v>20</v>
      </c>
      <c r="B793" s="55" t="s">
        <v>11</v>
      </c>
      <c r="C793" s="5">
        <v>14</v>
      </c>
      <c r="D793" s="56">
        <v>16</v>
      </c>
      <c r="E793" s="56">
        <v>218</v>
      </c>
      <c r="F793" s="157">
        <v>46060</v>
      </c>
      <c r="G793" s="4" t="s">
        <v>92</v>
      </c>
      <c r="H793" s="4" t="s">
        <v>144</v>
      </c>
      <c r="I793" s="153">
        <v>31.23</v>
      </c>
      <c r="J793" s="12">
        <v>0.14325533295243731</v>
      </c>
    </row>
    <row r="794" spans="1:10" x14ac:dyDescent="0.25">
      <c r="A794" s="4" t="s">
        <v>20</v>
      </c>
      <c r="B794" s="55" t="s">
        <v>10</v>
      </c>
      <c r="C794" s="5">
        <v>4</v>
      </c>
      <c r="D794" s="56">
        <v>17</v>
      </c>
      <c r="E794" s="56">
        <v>68</v>
      </c>
      <c r="F794" s="157">
        <v>46060</v>
      </c>
      <c r="G794" s="4" t="s">
        <v>92</v>
      </c>
      <c r="H794" s="4" t="s">
        <v>144</v>
      </c>
      <c r="I794" s="153">
        <v>10.57</v>
      </c>
      <c r="J794" s="12">
        <v>0.15547214307258012</v>
      </c>
    </row>
    <row r="795" spans="1:10" x14ac:dyDescent="0.25">
      <c r="A795" s="4" t="s">
        <v>30</v>
      </c>
      <c r="B795" s="55" t="s">
        <v>13</v>
      </c>
      <c r="C795" s="5">
        <v>120</v>
      </c>
      <c r="D795" s="56">
        <v>180</v>
      </c>
      <c r="E795" s="56">
        <v>1800</v>
      </c>
      <c r="F795" s="157">
        <v>46060</v>
      </c>
      <c r="G795" s="4" t="s">
        <v>92</v>
      </c>
      <c r="H795" s="4" t="s">
        <v>144</v>
      </c>
      <c r="I795" s="153"/>
      <c r="J795" s="12"/>
    </row>
    <row r="796" spans="1:10" x14ac:dyDescent="0.25">
      <c r="A796" s="4" t="s">
        <v>30</v>
      </c>
      <c r="B796" s="55" t="s">
        <v>10</v>
      </c>
      <c r="C796" s="5">
        <v>120</v>
      </c>
      <c r="D796" s="56">
        <v>170</v>
      </c>
      <c r="E796" s="56">
        <v>1700</v>
      </c>
      <c r="F796" s="157">
        <v>46060</v>
      </c>
      <c r="G796" s="4" t="s">
        <v>92</v>
      </c>
      <c r="H796" s="4" t="s">
        <v>144</v>
      </c>
      <c r="I796" s="153"/>
      <c r="J796" s="12"/>
    </row>
    <row r="797" spans="1:10" x14ac:dyDescent="0.25">
      <c r="A797" s="201" t="s">
        <v>20</v>
      </c>
      <c r="B797" s="202" t="s">
        <v>13</v>
      </c>
      <c r="C797" s="203">
        <v>2</v>
      </c>
      <c r="D797" s="204">
        <v>22</v>
      </c>
      <c r="E797" s="204"/>
      <c r="F797" s="205">
        <v>46060</v>
      </c>
      <c r="G797" s="201" t="s">
        <v>92</v>
      </c>
      <c r="H797" s="201" t="s">
        <v>144</v>
      </c>
      <c r="I797" s="206">
        <f>-14.24*2</f>
        <v>-28.48</v>
      </c>
      <c r="J797" s="207">
        <v>0</v>
      </c>
    </row>
    <row r="798" spans="1:10" x14ac:dyDescent="0.25">
      <c r="A798" s="4" t="s">
        <v>20</v>
      </c>
      <c r="B798" s="55" t="s">
        <v>13</v>
      </c>
      <c r="C798" s="5">
        <v>19</v>
      </c>
      <c r="D798" s="56">
        <v>22</v>
      </c>
      <c r="E798" s="56">
        <v>382</v>
      </c>
      <c r="F798" s="157">
        <v>46059</v>
      </c>
      <c r="G798" s="4" t="s">
        <v>83</v>
      </c>
      <c r="H798" s="4" t="s">
        <v>144</v>
      </c>
      <c r="I798" s="153">
        <v>108.08</v>
      </c>
      <c r="J798" s="12">
        <v>0.28291955429576454</v>
      </c>
    </row>
    <row r="799" spans="1:10" x14ac:dyDescent="0.25">
      <c r="A799" s="4" t="s">
        <v>20</v>
      </c>
      <c r="B799" s="55" t="s">
        <v>14</v>
      </c>
      <c r="C799" s="5">
        <v>7</v>
      </c>
      <c r="D799" s="56">
        <v>23</v>
      </c>
      <c r="E799" s="56">
        <v>161</v>
      </c>
      <c r="F799" s="157">
        <v>46059</v>
      </c>
      <c r="G799" s="4" t="s">
        <v>83</v>
      </c>
      <c r="H799" s="4" t="s">
        <v>144</v>
      </c>
      <c r="I799" s="153">
        <v>56</v>
      </c>
      <c r="J799" s="12">
        <v>0.34782608695652173</v>
      </c>
    </row>
    <row r="800" spans="1:10" x14ac:dyDescent="0.25">
      <c r="A800" s="4" t="s">
        <v>20</v>
      </c>
      <c r="B800" s="55" t="s">
        <v>12</v>
      </c>
      <c r="C800" s="5">
        <v>2</v>
      </c>
      <c r="D800" s="56">
        <v>15.5</v>
      </c>
      <c r="E800" s="56">
        <v>31</v>
      </c>
      <c r="F800" s="157">
        <v>46059</v>
      </c>
      <c r="G800" s="4" t="s">
        <v>83</v>
      </c>
      <c r="H800" s="4" t="s">
        <v>144</v>
      </c>
      <c r="I800" s="153">
        <v>3.25</v>
      </c>
      <c r="J800" s="12">
        <v>0.10485987638641932</v>
      </c>
    </row>
    <row r="801" spans="1:10" x14ac:dyDescent="0.25">
      <c r="A801" s="4" t="s">
        <v>20</v>
      </c>
      <c r="B801" s="55" t="s">
        <v>11</v>
      </c>
      <c r="C801" s="5">
        <v>3</v>
      </c>
      <c r="D801" s="56">
        <v>16</v>
      </c>
      <c r="E801" s="56">
        <v>48</v>
      </c>
      <c r="F801" s="157">
        <v>46059</v>
      </c>
      <c r="G801" s="4" t="s">
        <v>83</v>
      </c>
      <c r="H801" s="4" t="s">
        <v>144</v>
      </c>
      <c r="I801" s="153">
        <v>7.98</v>
      </c>
      <c r="J801" s="12">
        <v>0.16620385081978262</v>
      </c>
    </row>
    <row r="802" spans="1:10" x14ac:dyDescent="0.25">
      <c r="A802" s="4" t="s">
        <v>20</v>
      </c>
      <c r="B802" s="55" t="s">
        <v>10</v>
      </c>
      <c r="C802" s="5">
        <v>6</v>
      </c>
      <c r="D802" s="56">
        <v>17</v>
      </c>
      <c r="E802" s="56">
        <v>102</v>
      </c>
      <c r="F802" s="157">
        <v>46059</v>
      </c>
      <c r="G802" s="4" t="s">
        <v>83</v>
      </c>
      <c r="H802" s="4" t="s">
        <v>144</v>
      </c>
      <c r="I802" s="153">
        <v>9.9</v>
      </c>
      <c r="J802" s="12">
        <v>9.7065933016476827E-2</v>
      </c>
    </row>
    <row r="803" spans="1:10" x14ac:dyDescent="0.25">
      <c r="A803" s="4" t="s">
        <v>20</v>
      </c>
      <c r="B803" s="55" t="s">
        <v>10</v>
      </c>
      <c r="C803" s="5">
        <v>1</v>
      </c>
      <c r="D803" s="56">
        <v>17</v>
      </c>
      <c r="E803" s="56"/>
      <c r="F803" s="157">
        <v>46059</v>
      </c>
      <c r="G803" s="4" t="s">
        <v>83</v>
      </c>
      <c r="H803" s="4" t="s">
        <v>144</v>
      </c>
      <c r="I803" s="153">
        <v>-15.35</v>
      </c>
      <c r="J803" s="12">
        <v>9.7065933016476827E-2</v>
      </c>
    </row>
    <row r="804" spans="1:10" x14ac:dyDescent="0.25">
      <c r="A804" s="4" t="s">
        <v>20</v>
      </c>
      <c r="B804" s="55" t="s">
        <v>10</v>
      </c>
      <c r="C804" s="5">
        <v>1</v>
      </c>
      <c r="D804" s="56">
        <v>17</v>
      </c>
      <c r="E804" s="56"/>
      <c r="F804" s="157">
        <v>46058</v>
      </c>
      <c r="G804" s="4" t="s">
        <v>294</v>
      </c>
      <c r="H804" s="4" t="s">
        <v>144</v>
      </c>
      <c r="I804" s="153">
        <v>-15.35</v>
      </c>
      <c r="J804" s="12">
        <v>0</v>
      </c>
    </row>
    <row r="805" spans="1:10" x14ac:dyDescent="0.25">
      <c r="A805" s="4" t="s">
        <v>20</v>
      </c>
      <c r="B805" s="55" t="s">
        <v>14</v>
      </c>
      <c r="C805" s="5">
        <v>5</v>
      </c>
      <c r="D805" s="56">
        <v>23</v>
      </c>
      <c r="E805" s="56">
        <v>115</v>
      </c>
      <c r="F805" s="157">
        <v>46058</v>
      </c>
      <c r="G805" s="4" t="s">
        <v>294</v>
      </c>
      <c r="H805" s="4" t="s">
        <v>144</v>
      </c>
      <c r="I805" s="153">
        <v>40</v>
      </c>
      <c r="J805" s="12">
        <v>0.34782608695652173</v>
      </c>
    </row>
    <row r="806" spans="1:10" x14ac:dyDescent="0.25">
      <c r="A806" s="4" t="s">
        <v>20</v>
      </c>
      <c r="B806" s="55" t="s">
        <v>13</v>
      </c>
      <c r="C806" s="5">
        <v>13</v>
      </c>
      <c r="D806" s="56">
        <v>22</v>
      </c>
      <c r="E806" s="56">
        <v>277</v>
      </c>
      <c r="F806" s="157">
        <v>46058</v>
      </c>
      <c r="G806" s="4" t="s">
        <v>294</v>
      </c>
      <c r="H806" s="4" t="s">
        <v>144</v>
      </c>
      <c r="I806" s="153">
        <v>89.58</v>
      </c>
      <c r="J806" s="12">
        <v>0.32338561782876052</v>
      </c>
    </row>
    <row r="807" spans="1:10" x14ac:dyDescent="0.25">
      <c r="A807" s="4" t="s">
        <v>20</v>
      </c>
      <c r="B807" s="55" t="s">
        <v>12</v>
      </c>
      <c r="C807" s="5">
        <v>2</v>
      </c>
      <c r="D807" s="56">
        <v>15.5</v>
      </c>
      <c r="E807" s="56">
        <v>31</v>
      </c>
      <c r="F807" s="157">
        <v>46058</v>
      </c>
      <c r="G807" s="4" t="s">
        <v>294</v>
      </c>
      <c r="H807" s="4" t="s">
        <v>144</v>
      </c>
      <c r="I807" s="153">
        <v>3.25</v>
      </c>
      <c r="J807" s="12">
        <v>0.10485987638641932</v>
      </c>
    </row>
    <row r="808" spans="1:10" x14ac:dyDescent="0.25">
      <c r="A808" s="4" t="s">
        <v>20</v>
      </c>
      <c r="B808" s="55" t="s">
        <v>11</v>
      </c>
      <c r="C808" s="5">
        <v>4</v>
      </c>
      <c r="D808" s="56">
        <v>16</v>
      </c>
      <c r="E808" s="56">
        <v>64</v>
      </c>
      <c r="F808" s="157">
        <v>46058</v>
      </c>
      <c r="G808" s="4" t="s">
        <v>294</v>
      </c>
      <c r="H808" s="4" t="s">
        <v>144</v>
      </c>
      <c r="I808" s="153">
        <v>10.64</v>
      </c>
      <c r="J808" s="12">
        <v>0.16620385081978251</v>
      </c>
    </row>
    <row r="809" spans="1:10" x14ac:dyDescent="0.25">
      <c r="A809" s="4" t="s">
        <v>20</v>
      </c>
      <c r="B809" s="55" t="s">
        <v>10</v>
      </c>
      <c r="C809" s="5">
        <v>4</v>
      </c>
      <c r="D809" s="56">
        <v>17</v>
      </c>
      <c r="E809" s="56">
        <v>68</v>
      </c>
      <c r="F809" s="157">
        <v>46058</v>
      </c>
      <c r="G809" s="4" t="s">
        <v>294</v>
      </c>
      <c r="H809" s="4" t="s">
        <v>144</v>
      </c>
      <c r="I809" s="153">
        <v>6.6</v>
      </c>
      <c r="J809" s="12">
        <v>9.7065933016476827E-2</v>
      </c>
    </row>
    <row r="810" spans="1:10" x14ac:dyDescent="0.25">
      <c r="A810" s="4" t="s">
        <v>20</v>
      </c>
      <c r="B810" s="55" t="s">
        <v>14</v>
      </c>
      <c r="C810" s="5">
        <v>6</v>
      </c>
      <c r="D810" s="56">
        <v>23</v>
      </c>
      <c r="E810" s="56">
        <v>138</v>
      </c>
      <c r="F810" s="157">
        <v>46057</v>
      </c>
      <c r="G810" s="4" t="s">
        <v>32</v>
      </c>
      <c r="H810" s="4" t="s">
        <v>144</v>
      </c>
      <c r="I810" s="153">
        <v>48</v>
      </c>
      <c r="J810" s="12">
        <v>0.34782608695652173</v>
      </c>
    </row>
    <row r="811" spans="1:10" x14ac:dyDescent="0.25">
      <c r="A811" s="4" t="s">
        <v>20</v>
      </c>
      <c r="B811" s="55" t="s">
        <v>13</v>
      </c>
      <c r="C811" s="5">
        <v>5</v>
      </c>
      <c r="D811" s="56">
        <v>22</v>
      </c>
      <c r="E811" s="56">
        <v>107</v>
      </c>
      <c r="F811" s="157">
        <v>46057</v>
      </c>
      <c r="G811" s="4" t="s">
        <v>32</v>
      </c>
      <c r="H811" s="4" t="s">
        <v>144</v>
      </c>
      <c r="I811" s="153">
        <v>34.909999999999997</v>
      </c>
      <c r="J811" s="12">
        <v>0.32630415578205124</v>
      </c>
    </row>
    <row r="812" spans="1:10" x14ac:dyDescent="0.25">
      <c r="A812" s="4" t="s">
        <v>20</v>
      </c>
      <c r="B812" s="55" t="s">
        <v>11</v>
      </c>
      <c r="C812" s="5">
        <v>1</v>
      </c>
      <c r="D812" s="56">
        <v>16</v>
      </c>
      <c r="E812" s="56">
        <v>16</v>
      </c>
      <c r="F812" s="157">
        <v>46057</v>
      </c>
      <c r="G812" s="4" t="s">
        <v>32</v>
      </c>
      <c r="H812" s="4" t="s">
        <v>144</v>
      </c>
      <c r="I812" s="153">
        <v>2.66</v>
      </c>
      <c r="J812" s="12">
        <v>0.16620385081978251</v>
      </c>
    </row>
    <row r="813" spans="1:10" x14ac:dyDescent="0.25">
      <c r="A813" s="4" t="s">
        <v>20</v>
      </c>
      <c r="B813" s="55" t="s">
        <v>10</v>
      </c>
      <c r="C813" s="5">
        <v>6</v>
      </c>
      <c r="D813" s="56">
        <v>17</v>
      </c>
      <c r="E813" s="56">
        <v>102</v>
      </c>
      <c r="F813" s="157">
        <v>46057</v>
      </c>
      <c r="G813" s="4" t="s">
        <v>32</v>
      </c>
      <c r="H813" s="4" t="s">
        <v>144</v>
      </c>
      <c r="I813" s="153">
        <v>9.9</v>
      </c>
      <c r="J813" s="12">
        <v>9.7065933016476938E-2</v>
      </c>
    </row>
    <row r="814" spans="1:10" x14ac:dyDescent="0.25">
      <c r="A814" s="4" t="s">
        <v>20</v>
      </c>
      <c r="B814" s="55" t="s">
        <v>14</v>
      </c>
      <c r="C814" s="5">
        <v>1</v>
      </c>
      <c r="D814" s="56">
        <v>23</v>
      </c>
      <c r="E814" s="56">
        <v>23</v>
      </c>
      <c r="F814" s="157">
        <v>46057</v>
      </c>
      <c r="G814" s="4" t="s">
        <v>32</v>
      </c>
      <c r="H814" s="4" t="s">
        <v>144</v>
      </c>
      <c r="I814" s="153">
        <v>8</v>
      </c>
      <c r="J814" s="12">
        <v>0.34782608695652173</v>
      </c>
    </row>
    <row r="815" spans="1:10" x14ac:dyDescent="0.25">
      <c r="A815" s="4" t="s">
        <v>20</v>
      </c>
      <c r="B815" s="55" t="s">
        <v>13</v>
      </c>
      <c r="C815" s="5">
        <v>2</v>
      </c>
      <c r="D815" s="56">
        <v>22</v>
      </c>
      <c r="E815" s="56">
        <v>44</v>
      </c>
      <c r="F815" s="157">
        <v>46057</v>
      </c>
      <c r="G815" s="4" t="s">
        <v>32</v>
      </c>
      <c r="H815" s="4" t="s">
        <v>144</v>
      </c>
      <c r="I815" s="153">
        <v>15.17</v>
      </c>
      <c r="J815" s="12">
        <v>0.34467767880617717</v>
      </c>
    </row>
    <row r="816" spans="1:10" x14ac:dyDescent="0.25">
      <c r="A816" s="4" t="s">
        <v>20</v>
      </c>
      <c r="B816" s="55" t="s">
        <v>11</v>
      </c>
      <c r="C816" s="5">
        <v>1</v>
      </c>
      <c r="D816" s="56">
        <v>16</v>
      </c>
      <c r="E816" s="56">
        <v>16</v>
      </c>
      <c r="F816" s="157">
        <v>46057</v>
      </c>
      <c r="G816" s="4" t="s">
        <v>32</v>
      </c>
      <c r="H816" s="4" t="s">
        <v>144</v>
      </c>
      <c r="I816" s="153">
        <v>2.66</v>
      </c>
      <c r="J816" s="12">
        <v>0.16620385081978251</v>
      </c>
    </row>
    <row r="817" spans="1:10" x14ac:dyDescent="0.25">
      <c r="A817" s="4" t="s">
        <v>20</v>
      </c>
      <c r="B817" s="55" t="s">
        <v>10</v>
      </c>
      <c r="C817" s="5">
        <v>1</v>
      </c>
      <c r="D817" s="56">
        <v>17</v>
      </c>
      <c r="E817" s="56">
        <v>17</v>
      </c>
      <c r="F817" s="157">
        <v>46057</v>
      </c>
      <c r="G817" s="4" t="s">
        <v>32</v>
      </c>
      <c r="H817" s="4" t="s">
        <v>144</v>
      </c>
      <c r="I817" s="153">
        <v>1.65</v>
      </c>
      <c r="J817" s="12">
        <v>9.7065933016476938E-2</v>
      </c>
    </row>
    <row r="818" spans="1:10" x14ac:dyDescent="0.25">
      <c r="A818" s="4" t="s">
        <v>20</v>
      </c>
      <c r="B818" s="55" t="s">
        <v>14</v>
      </c>
      <c r="C818" s="5">
        <v>11</v>
      </c>
      <c r="D818" s="56">
        <v>23</v>
      </c>
      <c r="E818" s="56">
        <v>253</v>
      </c>
      <c r="F818" s="157">
        <v>46056</v>
      </c>
      <c r="G818" s="4" t="s">
        <v>290</v>
      </c>
      <c r="H818" s="4" t="s">
        <v>144</v>
      </c>
      <c r="I818" s="153">
        <v>88</v>
      </c>
      <c r="J818" s="12">
        <v>0.34782608695652173</v>
      </c>
    </row>
    <row r="819" spans="1:10" x14ac:dyDescent="0.25">
      <c r="A819" s="4" t="s">
        <v>20</v>
      </c>
      <c r="B819" s="55" t="s">
        <v>13</v>
      </c>
      <c r="C819" s="5">
        <v>5</v>
      </c>
      <c r="D819" s="56">
        <v>22</v>
      </c>
      <c r="E819" s="56">
        <v>110</v>
      </c>
      <c r="F819" s="157">
        <v>46056</v>
      </c>
      <c r="G819" s="4" t="s">
        <v>290</v>
      </c>
      <c r="H819" s="4" t="s">
        <v>144</v>
      </c>
      <c r="I819" s="153">
        <v>37.909999999999997</v>
      </c>
      <c r="J819" s="12">
        <v>0.34467767880617722</v>
      </c>
    </row>
    <row r="820" spans="1:10" x14ac:dyDescent="0.25">
      <c r="A820" s="4" t="s">
        <v>20</v>
      </c>
      <c r="B820" s="55" t="s">
        <v>12</v>
      </c>
      <c r="C820" s="5">
        <v>1</v>
      </c>
      <c r="D820" s="56">
        <v>15.5</v>
      </c>
      <c r="E820" s="56">
        <v>15.5</v>
      </c>
      <c r="F820" s="157">
        <v>46056</v>
      </c>
      <c r="G820" s="4" t="s">
        <v>290</v>
      </c>
      <c r="H820" s="4" t="s">
        <v>144</v>
      </c>
      <c r="I820" s="153">
        <v>1.63</v>
      </c>
      <c r="J820" s="12">
        <v>0.10485987638641932</v>
      </c>
    </row>
    <row r="821" spans="1:10" x14ac:dyDescent="0.25">
      <c r="A821" s="4" t="s">
        <v>20</v>
      </c>
      <c r="B821" s="55" t="s">
        <v>11</v>
      </c>
      <c r="C821" s="5">
        <v>16</v>
      </c>
      <c r="D821" s="56">
        <v>16</v>
      </c>
      <c r="E821" s="56">
        <v>250</v>
      </c>
      <c r="F821" s="157">
        <v>46056</v>
      </c>
      <c r="G821" s="4" t="s">
        <v>290</v>
      </c>
      <c r="H821" s="4" t="s">
        <v>144</v>
      </c>
      <c r="I821" s="153">
        <v>36.549999999999997</v>
      </c>
      <c r="J821" s="12">
        <v>0.14619274323945727</v>
      </c>
    </row>
    <row r="822" spans="1:10" x14ac:dyDescent="0.25">
      <c r="A822" s="4" t="s">
        <v>20</v>
      </c>
      <c r="B822" s="55" t="s">
        <v>10</v>
      </c>
      <c r="C822" s="5">
        <v>8</v>
      </c>
      <c r="D822" s="56">
        <v>17</v>
      </c>
      <c r="E822" s="56">
        <v>136</v>
      </c>
      <c r="F822" s="157">
        <v>46056</v>
      </c>
      <c r="G822" s="4" t="s">
        <v>290</v>
      </c>
      <c r="H822" s="4" t="s">
        <v>144</v>
      </c>
      <c r="I822" s="153">
        <v>13.2</v>
      </c>
      <c r="J822" s="12">
        <v>9.7065933016476938E-2</v>
      </c>
    </row>
    <row r="823" spans="1:10" x14ac:dyDescent="0.25">
      <c r="A823" s="4" t="s">
        <v>20</v>
      </c>
      <c r="B823" s="55" t="s">
        <v>14</v>
      </c>
      <c r="C823" s="5">
        <v>4</v>
      </c>
      <c r="D823" s="56">
        <v>23</v>
      </c>
      <c r="E823" s="56">
        <v>92</v>
      </c>
      <c r="F823" s="157">
        <v>46055</v>
      </c>
      <c r="G823" s="4" t="s">
        <v>291</v>
      </c>
      <c r="H823" s="4" t="s">
        <v>144</v>
      </c>
      <c r="I823" s="153">
        <v>32</v>
      </c>
      <c r="J823" s="12">
        <v>0.34782608695652173</v>
      </c>
    </row>
    <row r="824" spans="1:10" x14ac:dyDescent="0.25">
      <c r="A824" s="4" t="s">
        <v>20</v>
      </c>
      <c r="B824" s="55" t="s">
        <v>13</v>
      </c>
      <c r="C824" s="5">
        <v>14</v>
      </c>
      <c r="D824" s="56">
        <v>22</v>
      </c>
      <c r="E824" s="56">
        <v>308</v>
      </c>
      <c r="F824" s="157">
        <v>46055</v>
      </c>
      <c r="G824" s="4" t="s">
        <v>291</v>
      </c>
      <c r="H824" s="4" t="s">
        <v>144</v>
      </c>
      <c r="I824" s="153">
        <v>106.16</v>
      </c>
      <c r="J824" s="12">
        <v>0.34467767880617722</v>
      </c>
    </row>
    <row r="825" spans="1:10" x14ac:dyDescent="0.25">
      <c r="A825" s="4" t="s">
        <v>20</v>
      </c>
      <c r="B825" s="55" t="s">
        <v>12</v>
      </c>
      <c r="C825" s="5">
        <v>1</v>
      </c>
      <c r="D825" s="56">
        <v>15.5</v>
      </c>
      <c r="E825" s="56">
        <v>15.5</v>
      </c>
      <c r="F825" s="157">
        <v>46055</v>
      </c>
      <c r="G825" s="4" t="s">
        <v>291</v>
      </c>
      <c r="H825" s="4" t="s">
        <v>144</v>
      </c>
      <c r="I825" s="153">
        <v>1.63</v>
      </c>
      <c r="J825" s="12">
        <v>0.10485987638641932</v>
      </c>
    </row>
    <row r="826" spans="1:10" x14ac:dyDescent="0.25">
      <c r="A826" s="4" t="s">
        <v>20</v>
      </c>
      <c r="B826" s="55" t="s">
        <v>11</v>
      </c>
      <c r="C826" s="5">
        <v>12</v>
      </c>
      <c r="D826" s="56">
        <v>16</v>
      </c>
      <c r="E826" s="56">
        <v>189</v>
      </c>
      <c r="F826" s="157">
        <v>46055</v>
      </c>
      <c r="G826" s="4" t="s">
        <v>291</v>
      </c>
      <c r="H826" s="4" t="s">
        <v>144</v>
      </c>
      <c r="I826" s="153">
        <v>28.91</v>
      </c>
      <c r="J826" s="12">
        <v>0.15296899130898528</v>
      </c>
    </row>
    <row r="827" spans="1:10" x14ac:dyDescent="0.25">
      <c r="A827" s="4" t="s">
        <v>20</v>
      </c>
      <c r="B827" s="55" t="s">
        <v>10</v>
      </c>
      <c r="C827" s="5">
        <v>4</v>
      </c>
      <c r="D827" s="56">
        <v>17</v>
      </c>
      <c r="E827" s="56">
        <v>68</v>
      </c>
      <c r="F827" s="157">
        <v>46055</v>
      </c>
      <c r="G827" s="4" t="s">
        <v>291</v>
      </c>
      <c r="H827" s="4" t="s">
        <v>144</v>
      </c>
      <c r="I827" s="153">
        <v>6.6</v>
      </c>
      <c r="J827" s="12">
        <v>9.7065933016477035E-2</v>
      </c>
    </row>
    <row r="828" spans="1:10" x14ac:dyDescent="0.25">
      <c r="A828" s="4" t="s">
        <v>20</v>
      </c>
      <c r="B828" s="55" t="s">
        <v>14</v>
      </c>
      <c r="C828" s="5">
        <v>9</v>
      </c>
      <c r="D828" s="56">
        <v>23</v>
      </c>
      <c r="E828" s="56">
        <v>207</v>
      </c>
      <c r="F828" s="157">
        <v>46054</v>
      </c>
      <c r="G828" s="4" t="s">
        <v>93</v>
      </c>
      <c r="H828" s="4" t="s">
        <v>144</v>
      </c>
      <c r="I828" s="153">
        <v>72</v>
      </c>
      <c r="J828" s="12">
        <v>0.34782608695652173</v>
      </c>
    </row>
    <row r="829" spans="1:10" x14ac:dyDescent="0.25">
      <c r="A829" s="4" t="s">
        <v>20</v>
      </c>
      <c r="B829" s="55" t="s">
        <v>13</v>
      </c>
      <c r="C829" s="5">
        <v>10</v>
      </c>
      <c r="D829" s="56">
        <v>22</v>
      </c>
      <c r="E829" s="56">
        <v>202</v>
      </c>
      <c r="F829" s="157">
        <v>46054</v>
      </c>
      <c r="G829" s="4" t="s">
        <v>93</v>
      </c>
      <c r="H829" s="4" t="s">
        <v>144</v>
      </c>
      <c r="I829" s="153">
        <v>57.83</v>
      </c>
      <c r="J829" s="12">
        <v>0.28628262048197511</v>
      </c>
    </row>
    <row r="830" spans="1:10" x14ac:dyDescent="0.25">
      <c r="A830" s="4" t="s">
        <v>20</v>
      </c>
      <c r="B830" s="55" t="s">
        <v>10</v>
      </c>
      <c r="C830" s="5">
        <v>12</v>
      </c>
      <c r="D830" s="56">
        <v>17</v>
      </c>
      <c r="E830" s="56">
        <v>192</v>
      </c>
      <c r="F830" s="157">
        <v>46054</v>
      </c>
      <c r="G830" s="4" t="s">
        <v>93</v>
      </c>
      <c r="H830" s="4" t="s">
        <v>144</v>
      </c>
      <c r="I830" s="153">
        <v>7.8</v>
      </c>
      <c r="J830" s="12">
        <v>4.0632553830006857E-2</v>
      </c>
    </row>
    <row r="831" spans="1:10" x14ac:dyDescent="0.25">
      <c r="A831" s="4" t="s">
        <v>20</v>
      </c>
      <c r="B831" s="55" t="s">
        <v>14</v>
      </c>
      <c r="C831" s="5">
        <v>4</v>
      </c>
      <c r="D831" s="56">
        <v>23</v>
      </c>
      <c r="E831" s="56">
        <v>92</v>
      </c>
      <c r="F831" s="157">
        <v>46053</v>
      </c>
      <c r="G831" s="4" t="s">
        <v>92</v>
      </c>
      <c r="H831" s="4" t="s">
        <v>141</v>
      </c>
      <c r="I831" s="153">
        <v>32</v>
      </c>
      <c r="J831" s="12">
        <v>0.34782608695652173</v>
      </c>
    </row>
    <row r="832" spans="1:10" x14ac:dyDescent="0.25">
      <c r="A832" s="4" t="s">
        <v>20</v>
      </c>
      <c r="B832" s="55" t="s">
        <v>13</v>
      </c>
      <c r="C832" s="5">
        <v>4</v>
      </c>
      <c r="D832" s="56">
        <v>22</v>
      </c>
      <c r="E832" s="56">
        <v>88</v>
      </c>
      <c r="F832" s="157">
        <v>46053</v>
      </c>
      <c r="G832" s="4" t="s">
        <v>92</v>
      </c>
      <c r="H832" s="4" t="s">
        <v>141</v>
      </c>
      <c r="I832" s="153">
        <v>30.33</v>
      </c>
      <c r="J832" s="12">
        <v>0.34467767880617717</v>
      </c>
    </row>
    <row r="833" spans="1:10" x14ac:dyDescent="0.25">
      <c r="A833" s="4" t="s">
        <v>20</v>
      </c>
      <c r="B833" s="55" t="s">
        <v>12</v>
      </c>
      <c r="C833" s="5">
        <v>2</v>
      </c>
      <c r="D833" s="56">
        <v>15.5</v>
      </c>
      <c r="E833" s="56">
        <v>31</v>
      </c>
      <c r="F833" s="157">
        <v>46053</v>
      </c>
      <c r="G833" s="4" t="s">
        <v>92</v>
      </c>
      <c r="H833" s="4" t="s">
        <v>141</v>
      </c>
      <c r="I833" s="153">
        <v>3.25</v>
      </c>
      <c r="J833" s="12">
        <v>0.10485987638641932</v>
      </c>
    </row>
    <row r="834" spans="1:10" x14ac:dyDescent="0.25">
      <c r="A834" s="4" t="s">
        <v>20</v>
      </c>
      <c r="B834" s="55" t="s">
        <v>11</v>
      </c>
      <c r="C834" s="5">
        <v>13</v>
      </c>
      <c r="D834" s="56">
        <v>16</v>
      </c>
      <c r="E834" s="56">
        <v>202</v>
      </c>
      <c r="F834" s="157">
        <v>46053</v>
      </c>
      <c r="G834" s="4" t="s">
        <v>92</v>
      </c>
      <c r="H834" s="4" t="s">
        <v>141</v>
      </c>
      <c r="I834" s="153">
        <v>28.57</v>
      </c>
      <c r="J834" s="12">
        <v>0.14143762856690464</v>
      </c>
    </row>
    <row r="835" spans="1:10" x14ac:dyDescent="0.25">
      <c r="A835" s="4" t="s">
        <v>20</v>
      </c>
      <c r="B835" s="55" t="s">
        <v>10</v>
      </c>
      <c r="C835" s="5">
        <v>3</v>
      </c>
      <c r="D835" s="56">
        <v>17</v>
      </c>
      <c r="E835" s="56">
        <v>51</v>
      </c>
      <c r="F835" s="157">
        <v>46053</v>
      </c>
      <c r="G835" s="4" t="s">
        <v>92</v>
      </c>
      <c r="H835" s="4" t="s">
        <v>141</v>
      </c>
      <c r="I835" s="153">
        <v>4.95</v>
      </c>
      <c r="J835" s="12">
        <v>9.7065933016477035E-2</v>
      </c>
    </row>
    <row r="836" spans="1:10" x14ac:dyDescent="0.25">
      <c r="A836" s="4" t="s">
        <v>20</v>
      </c>
      <c r="B836" s="55" t="s">
        <v>14</v>
      </c>
      <c r="C836" s="5">
        <v>1</v>
      </c>
      <c r="D836" s="56">
        <v>25</v>
      </c>
      <c r="E836" s="56">
        <v>25</v>
      </c>
      <c r="F836" s="157">
        <v>46052</v>
      </c>
      <c r="G836" s="4" t="s">
        <v>83</v>
      </c>
      <c r="H836" s="4" t="s">
        <v>141</v>
      </c>
      <c r="I836" s="153">
        <v>10</v>
      </c>
      <c r="J836" s="12">
        <v>0.4</v>
      </c>
    </row>
    <row r="837" spans="1:10" x14ac:dyDescent="0.25">
      <c r="A837" s="4" t="s">
        <v>20</v>
      </c>
      <c r="B837" s="55" t="s">
        <v>13</v>
      </c>
      <c r="C837" s="5">
        <v>6</v>
      </c>
      <c r="D837" s="56">
        <v>22</v>
      </c>
      <c r="E837" s="56">
        <v>132</v>
      </c>
      <c r="F837" s="157">
        <v>46052</v>
      </c>
      <c r="G837" s="4" t="s">
        <v>83</v>
      </c>
      <c r="H837" s="4" t="s">
        <v>141</v>
      </c>
      <c r="I837" s="153">
        <v>45.5</v>
      </c>
      <c r="J837" s="12">
        <v>0.34467767880617717</v>
      </c>
    </row>
    <row r="838" spans="1:10" x14ac:dyDescent="0.25">
      <c r="A838" s="4" t="s">
        <v>20</v>
      </c>
      <c r="B838" s="55" t="s">
        <v>12</v>
      </c>
      <c r="C838" s="5">
        <v>1</v>
      </c>
      <c r="D838" s="56">
        <v>16</v>
      </c>
      <c r="E838" s="56">
        <v>16</v>
      </c>
      <c r="F838" s="157">
        <v>46052</v>
      </c>
      <c r="G838" s="4" t="s">
        <v>83</v>
      </c>
      <c r="H838" s="4" t="s">
        <v>141</v>
      </c>
      <c r="I838" s="153">
        <v>2.13</v>
      </c>
      <c r="J838" s="12">
        <v>0.13283300524934372</v>
      </c>
    </row>
    <row r="839" spans="1:10" x14ac:dyDescent="0.25">
      <c r="A839" s="4" t="s">
        <v>20</v>
      </c>
      <c r="B839" s="55" t="s">
        <v>11</v>
      </c>
      <c r="C839" s="5">
        <v>3</v>
      </c>
      <c r="D839" s="56">
        <v>17</v>
      </c>
      <c r="E839" s="56">
        <v>51</v>
      </c>
      <c r="F839" s="157">
        <v>46052</v>
      </c>
      <c r="G839" s="4" t="s">
        <v>83</v>
      </c>
      <c r="H839" s="4" t="s">
        <v>141</v>
      </c>
      <c r="I839" s="153">
        <v>10.98</v>
      </c>
      <c r="J839" s="12">
        <v>0.21525068312450107</v>
      </c>
    </row>
    <row r="840" spans="1:10" x14ac:dyDescent="0.25">
      <c r="A840" s="4" t="s">
        <v>20</v>
      </c>
      <c r="B840" s="55" t="s">
        <v>10</v>
      </c>
      <c r="C840" s="5">
        <v>5</v>
      </c>
      <c r="D840" s="56">
        <v>18</v>
      </c>
      <c r="E840" s="56">
        <v>90</v>
      </c>
      <c r="F840" s="157">
        <v>46052</v>
      </c>
      <c r="G840" s="4" t="s">
        <v>83</v>
      </c>
      <c r="H840" s="4" t="s">
        <v>141</v>
      </c>
      <c r="I840" s="153">
        <v>13.25</v>
      </c>
      <c r="J840" s="12">
        <v>0.14722893673778378</v>
      </c>
    </row>
    <row r="841" spans="1:10" x14ac:dyDescent="0.25">
      <c r="A841" s="4" t="s">
        <v>20</v>
      </c>
      <c r="B841" s="55" t="s">
        <v>14</v>
      </c>
      <c r="C841" s="5">
        <v>2</v>
      </c>
      <c r="D841" s="56">
        <v>25</v>
      </c>
      <c r="E841" s="56">
        <v>50</v>
      </c>
      <c r="F841" s="157">
        <v>46051</v>
      </c>
      <c r="G841" s="4" t="s">
        <v>294</v>
      </c>
      <c r="H841" s="4" t="s">
        <v>141</v>
      </c>
      <c r="I841" s="153">
        <v>20</v>
      </c>
      <c r="J841" s="12">
        <v>0.4</v>
      </c>
    </row>
    <row r="842" spans="1:10" x14ac:dyDescent="0.25">
      <c r="A842" s="4" t="s">
        <v>20</v>
      </c>
      <c r="B842" s="55" t="s">
        <v>13</v>
      </c>
      <c r="C842" s="5">
        <v>8</v>
      </c>
      <c r="D842" s="56">
        <v>22</v>
      </c>
      <c r="E842" s="56">
        <v>176</v>
      </c>
      <c r="F842" s="157">
        <v>46051</v>
      </c>
      <c r="G842" s="4" t="s">
        <v>294</v>
      </c>
      <c r="H842" s="4" t="s">
        <v>141</v>
      </c>
      <c r="I842" s="153">
        <v>60.66</v>
      </c>
      <c r="J842" s="12">
        <v>0.34467767880617717</v>
      </c>
    </row>
    <row r="843" spans="1:10" x14ac:dyDescent="0.25">
      <c r="A843" s="4" t="s">
        <v>20</v>
      </c>
      <c r="B843" s="55" t="s">
        <v>12</v>
      </c>
      <c r="C843" s="5">
        <v>2</v>
      </c>
      <c r="D843" s="56">
        <v>16</v>
      </c>
      <c r="E843" s="56">
        <v>32</v>
      </c>
      <c r="F843" s="157">
        <v>46051</v>
      </c>
      <c r="G843" s="4" t="s">
        <v>294</v>
      </c>
      <c r="H843" s="4" t="s">
        <v>141</v>
      </c>
      <c r="I843" s="153">
        <v>4.25</v>
      </c>
      <c r="J843" s="12">
        <v>0.13283300524934372</v>
      </c>
    </row>
    <row r="844" spans="1:10" x14ac:dyDescent="0.25">
      <c r="A844" s="4" t="s">
        <v>20</v>
      </c>
      <c r="B844" s="55" t="s">
        <v>11</v>
      </c>
      <c r="C844" s="5">
        <v>3</v>
      </c>
      <c r="D844" s="56">
        <v>17</v>
      </c>
      <c r="E844" s="56">
        <v>51</v>
      </c>
      <c r="F844" s="157">
        <v>46051</v>
      </c>
      <c r="G844" s="4" t="s">
        <v>294</v>
      </c>
      <c r="H844" s="4" t="s">
        <v>141</v>
      </c>
      <c r="I844" s="153">
        <v>10.98</v>
      </c>
      <c r="J844" s="12">
        <v>0.21525068312450107</v>
      </c>
    </row>
    <row r="845" spans="1:10" x14ac:dyDescent="0.25">
      <c r="A845" s="4" t="s">
        <v>20</v>
      </c>
      <c r="B845" s="55" t="s">
        <v>10</v>
      </c>
      <c r="C845" s="5">
        <v>3</v>
      </c>
      <c r="D845" s="56">
        <v>18</v>
      </c>
      <c r="E845" s="56">
        <v>54</v>
      </c>
      <c r="F845" s="157">
        <v>46051</v>
      </c>
      <c r="G845" s="4" t="s">
        <v>294</v>
      </c>
      <c r="H845" s="4" t="s">
        <v>141</v>
      </c>
      <c r="I845" s="153">
        <v>7.95</v>
      </c>
      <c r="J845" s="12">
        <v>0.14722893673778378</v>
      </c>
    </row>
    <row r="846" spans="1:10" x14ac:dyDescent="0.25">
      <c r="A846" s="4" t="s">
        <v>20</v>
      </c>
      <c r="B846" s="55" t="s">
        <v>14</v>
      </c>
      <c r="C846" s="5">
        <v>3</v>
      </c>
      <c r="D846" s="56">
        <v>25</v>
      </c>
      <c r="E846" s="56">
        <v>75</v>
      </c>
      <c r="F846" s="157">
        <v>46051</v>
      </c>
      <c r="G846" s="4" t="s">
        <v>294</v>
      </c>
      <c r="H846" s="4" t="s">
        <v>141</v>
      </c>
      <c r="I846" s="153">
        <v>30</v>
      </c>
      <c r="J846" s="12">
        <v>0.4</v>
      </c>
    </row>
    <row r="847" spans="1:10" x14ac:dyDescent="0.25">
      <c r="A847" s="4" t="s">
        <v>20</v>
      </c>
      <c r="B847" s="55" t="s">
        <v>13</v>
      </c>
      <c r="C847" s="5">
        <v>2</v>
      </c>
      <c r="D847" s="56">
        <v>22</v>
      </c>
      <c r="E847" s="56">
        <v>44</v>
      </c>
      <c r="F847" s="157">
        <v>46051</v>
      </c>
      <c r="G847" s="4" t="s">
        <v>294</v>
      </c>
      <c r="H847" s="4" t="s">
        <v>141</v>
      </c>
      <c r="I847" s="153">
        <v>15.17</v>
      </c>
      <c r="J847" s="12">
        <v>0.34467767880617717</v>
      </c>
    </row>
    <row r="848" spans="1:10" x14ac:dyDescent="0.25">
      <c r="A848" s="4" t="s">
        <v>20</v>
      </c>
      <c r="B848" s="55" t="s">
        <v>11</v>
      </c>
      <c r="C848" s="5">
        <v>1</v>
      </c>
      <c r="D848" s="56">
        <v>17</v>
      </c>
      <c r="E848" s="56">
        <v>17</v>
      </c>
      <c r="F848" s="157">
        <v>46051</v>
      </c>
      <c r="G848" s="4" t="s">
        <v>294</v>
      </c>
      <c r="H848" s="4" t="s">
        <v>141</v>
      </c>
      <c r="I848" s="153">
        <v>3.66</v>
      </c>
      <c r="J848" s="12">
        <v>0.21525068312450107</v>
      </c>
    </row>
    <row r="849" spans="1:10" x14ac:dyDescent="0.25">
      <c r="A849" s="4" t="s">
        <v>20</v>
      </c>
      <c r="B849" s="55" t="s">
        <v>13</v>
      </c>
      <c r="C849" s="5">
        <v>14</v>
      </c>
      <c r="D849" s="56">
        <v>22</v>
      </c>
      <c r="E849" s="56">
        <v>308</v>
      </c>
      <c r="F849" s="157">
        <v>46050</v>
      </c>
      <c r="G849" s="4" t="s">
        <v>32</v>
      </c>
      <c r="H849" s="4" t="s">
        <v>141</v>
      </c>
      <c r="I849" s="153">
        <v>106.16</v>
      </c>
      <c r="J849" s="12">
        <v>0.34467767880617717</v>
      </c>
    </row>
    <row r="850" spans="1:10" x14ac:dyDescent="0.25">
      <c r="A850" s="4" t="s">
        <v>20</v>
      </c>
      <c r="B850" s="55" t="s">
        <v>12</v>
      </c>
      <c r="C850" s="5">
        <v>2</v>
      </c>
      <c r="D850" s="56">
        <v>16</v>
      </c>
      <c r="E850" s="56">
        <v>32</v>
      </c>
      <c r="F850" s="157">
        <v>46050</v>
      </c>
      <c r="G850" s="4" t="s">
        <v>32</v>
      </c>
      <c r="H850" s="4" t="s">
        <v>141</v>
      </c>
      <c r="I850" s="153">
        <v>4.25</v>
      </c>
      <c r="J850" s="12">
        <v>0.13283300524934372</v>
      </c>
    </row>
    <row r="851" spans="1:10" x14ac:dyDescent="0.25">
      <c r="A851" s="4" t="s">
        <v>20</v>
      </c>
      <c r="B851" s="55" t="s">
        <v>11</v>
      </c>
      <c r="C851" s="5">
        <v>15</v>
      </c>
      <c r="D851" s="56">
        <v>17</v>
      </c>
      <c r="E851" s="56">
        <v>242</v>
      </c>
      <c r="F851" s="157">
        <v>46050</v>
      </c>
      <c r="G851" s="4" t="s">
        <v>32</v>
      </c>
      <c r="H851" s="4" t="s">
        <v>141</v>
      </c>
      <c r="I851" s="153">
        <v>41.89</v>
      </c>
      <c r="J851" s="12">
        <v>0.17309472808573448</v>
      </c>
    </row>
    <row r="852" spans="1:10" x14ac:dyDescent="0.25">
      <c r="A852" s="4" t="s">
        <v>20</v>
      </c>
      <c r="B852" s="55" t="s">
        <v>10</v>
      </c>
      <c r="C852" s="5">
        <v>18</v>
      </c>
      <c r="D852" s="56">
        <v>18</v>
      </c>
      <c r="E852" s="56">
        <v>318</v>
      </c>
      <c r="F852" s="157">
        <v>46050</v>
      </c>
      <c r="G852" s="4" t="s">
        <v>32</v>
      </c>
      <c r="H852" s="4" t="s">
        <v>141</v>
      </c>
      <c r="I852" s="153">
        <v>41.7</v>
      </c>
      <c r="J852" s="12">
        <v>0.13113891667623262</v>
      </c>
    </row>
    <row r="853" spans="1:10" x14ac:dyDescent="0.25">
      <c r="A853" s="4" t="s">
        <v>20</v>
      </c>
      <c r="B853" s="55" t="s">
        <v>11</v>
      </c>
      <c r="C853" s="5">
        <v>12</v>
      </c>
      <c r="D853" s="56">
        <v>17</v>
      </c>
      <c r="E853" s="56">
        <v>192</v>
      </c>
      <c r="F853" s="157">
        <v>46049</v>
      </c>
      <c r="G853" s="4" t="s">
        <v>290</v>
      </c>
      <c r="H853" s="4" t="s">
        <v>141</v>
      </c>
      <c r="I853" s="153">
        <v>31.91</v>
      </c>
      <c r="J853" s="12">
        <v>0.16620385081978239</v>
      </c>
    </row>
    <row r="854" spans="1:10" x14ac:dyDescent="0.25">
      <c r="A854" s="4" t="s">
        <v>20</v>
      </c>
      <c r="B854" s="55" t="s">
        <v>14</v>
      </c>
      <c r="C854" s="5">
        <v>6</v>
      </c>
      <c r="D854" s="56">
        <v>25</v>
      </c>
      <c r="E854" s="56">
        <v>150</v>
      </c>
      <c r="F854" s="157">
        <v>46049</v>
      </c>
      <c r="G854" s="4" t="s">
        <v>290</v>
      </c>
      <c r="H854" s="4" t="s">
        <v>141</v>
      </c>
      <c r="I854" s="153">
        <v>60</v>
      </c>
      <c r="J854" s="12">
        <v>0.4</v>
      </c>
    </row>
    <row r="855" spans="1:10" x14ac:dyDescent="0.25">
      <c r="A855" s="4" t="s">
        <v>20</v>
      </c>
      <c r="B855" s="55" t="s">
        <v>13</v>
      </c>
      <c r="C855" s="5">
        <v>15</v>
      </c>
      <c r="D855" s="56">
        <v>22</v>
      </c>
      <c r="E855" s="56">
        <v>324</v>
      </c>
      <c r="F855" s="157">
        <v>46049</v>
      </c>
      <c r="G855" s="4" t="s">
        <v>290</v>
      </c>
      <c r="H855" s="4" t="s">
        <v>141</v>
      </c>
      <c r="I855" s="153">
        <v>107.74</v>
      </c>
      <c r="J855" s="12">
        <v>0.33254208026555082</v>
      </c>
    </row>
    <row r="856" spans="1:10" x14ac:dyDescent="0.25">
      <c r="A856" s="4" t="s">
        <v>20</v>
      </c>
      <c r="B856" s="55" t="s">
        <v>12</v>
      </c>
      <c r="C856" s="5">
        <v>4</v>
      </c>
      <c r="D856" s="56">
        <v>16</v>
      </c>
      <c r="E856" s="56">
        <v>64</v>
      </c>
      <c r="F856" s="157">
        <v>46049</v>
      </c>
      <c r="G856" s="4" t="s">
        <v>290</v>
      </c>
      <c r="H856" s="4" t="s">
        <v>141</v>
      </c>
      <c r="I856" s="153">
        <v>8.5</v>
      </c>
      <c r="J856" s="12">
        <v>0.13283300524934372</v>
      </c>
    </row>
    <row r="857" spans="1:10" x14ac:dyDescent="0.25">
      <c r="A857" s="4" t="s">
        <v>20</v>
      </c>
      <c r="B857" s="55" t="s">
        <v>10</v>
      </c>
      <c r="C857" s="5">
        <v>14</v>
      </c>
      <c r="D857" s="56">
        <v>18</v>
      </c>
      <c r="E857" s="56">
        <v>252</v>
      </c>
      <c r="F857" s="157">
        <v>46049</v>
      </c>
      <c r="G857" s="4" t="s">
        <v>290</v>
      </c>
      <c r="H857" s="4" t="s">
        <v>141</v>
      </c>
      <c r="I857" s="153">
        <v>37.1</v>
      </c>
      <c r="J857" s="12">
        <v>0.14722893673778389</v>
      </c>
    </row>
    <row r="858" spans="1:10" x14ac:dyDescent="0.25">
      <c r="A858" s="4" t="s">
        <v>31</v>
      </c>
      <c r="B858" s="55" t="s">
        <v>11</v>
      </c>
      <c r="C858" s="5">
        <v>120</v>
      </c>
      <c r="D858" s="56">
        <v>150</v>
      </c>
      <c r="E858" s="56">
        <v>1500</v>
      </c>
      <c r="F858" s="157">
        <v>46049</v>
      </c>
      <c r="G858" s="4" t="s">
        <v>290</v>
      </c>
      <c r="H858" s="4" t="s">
        <v>141</v>
      </c>
      <c r="I858" s="153"/>
      <c r="J858" s="12"/>
    </row>
    <row r="859" spans="1:10" x14ac:dyDescent="0.25">
      <c r="A859" s="4" t="s">
        <v>31</v>
      </c>
      <c r="B859" s="55" t="s">
        <v>13</v>
      </c>
      <c r="C859" s="5">
        <v>120</v>
      </c>
      <c r="D859" s="56">
        <v>170</v>
      </c>
      <c r="E859" s="56">
        <v>1700</v>
      </c>
      <c r="F859" s="157">
        <v>46049</v>
      </c>
      <c r="G859" s="4" t="s">
        <v>290</v>
      </c>
      <c r="H859" s="4" t="s">
        <v>141</v>
      </c>
      <c r="I859" s="153"/>
      <c r="J859" s="12"/>
    </row>
    <row r="860" spans="1:10" x14ac:dyDescent="0.25">
      <c r="A860" s="4" t="s">
        <v>31</v>
      </c>
      <c r="B860" s="55" t="s">
        <v>14</v>
      </c>
      <c r="C860" s="5">
        <v>120</v>
      </c>
      <c r="D860" s="56">
        <v>180</v>
      </c>
      <c r="E860" s="56">
        <v>1800</v>
      </c>
      <c r="F860" s="157">
        <v>46049</v>
      </c>
      <c r="G860" s="4" t="s">
        <v>290</v>
      </c>
      <c r="H860" s="4" t="s">
        <v>141</v>
      </c>
      <c r="I860" s="153"/>
      <c r="J860" s="12"/>
    </row>
    <row r="861" spans="1:10" x14ac:dyDescent="0.25">
      <c r="A861" s="4" t="s">
        <v>20</v>
      </c>
      <c r="B861" s="55" t="s">
        <v>10</v>
      </c>
      <c r="C861" s="5">
        <v>1</v>
      </c>
      <c r="D861" s="56">
        <v>18</v>
      </c>
      <c r="E861" s="56">
        <v>18</v>
      </c>
      <c r="F861" s="157">
        <v>46048</v>
      </c>
      <c r="G861" s="4" t="s">
        <v>291</v>
      </c>
      <c r="H861" s="4" t="s">
        <v>141</v>
      </c>
      <c r="I861" s="153">
        <v>2.65</v>
      </c>
      <c r="J861" s="12">
        <v>0.14722893673778398</v>
      </c>
    </row>
    <row r="862" spans="1:10" x14ac:dyDescent="0.25">
      <c r="A862" s="4" t="s">
        <v>20</v>
      </c>
      <c r="B862" s="55" t="s">
        <v>13</v>
      </c>
      <c r="C862" s="5">
        <v>16</v>
      </c>
      <c r="D862" s="56">
        <v>22</v>
      </c>
      <c r="E862" s="56">
        <v>334</v>
      </c>
      <c r="F862" s="157">
        <v>46048</v>
      </c>
      <c r="G862" s="4" t="s">
        <v>291</v>
      </c>
      <c r="H862" s="4" t="s">
        <v>141</v>
      </c>
      <c r="I862" s="153">
        <v>89.59</v>
      </c>
      <c r="J862" s="12">
        <v>0.26823046669504041</v>
      </c>
    </row>
    <row r="863" spans="1:10" x14ac:dyDescent="0.25">
      <c r="A863" s="4" t="s">
        <v>20</v>
      </c>
      <c r="B863" s="55" t="s">
        <v>12</v>
      </c>
      <c r="C863" s="5">
        <v>4</v>
      </c>
      <c r="D863" s="56">
        <v>16</v>
      </c>
      <c r="E863" s="56">
        <v>64</v>
      </c>
      <c r="F863" s="157">
        <v>46048</v>
      </c>
      <c r="G863" s="4" t="s">
        <v>291</v>
      </c>
      <c r="H863" s="4" t="s">
        <v>141</v>
      </c>
      <c r="I863" s="153">
        <v>8.5</v>
      </c>
      <c r="J863" s="12">
        <v>0.13283300524934372</v>
      </c>
    </row>
    <row r="864" spans="1:10" x14ac:dyDescent="0.25">
      <c r="A864" s="4" t="s">
        <v>20</v>
      </c>
      <c r="B864" s="55" t="s">
        <v>11</v>
      </c>
      <c r="C864" s="5">
        <v>3</v>
      </c>
      <c r="D864" s="56">
        <v>17</v>
      </c>
      <c r="E864" s="56">
        <v>51</v>
      </c>
      <c r="F864" s="157">
        <v>46048</v>
      </c>
      <c r="G864" s="4" t="s">
        <v>291</v>
      </c>
      <c r="H864" s="4" t="s">
        <v>141</v>
      </c>
      <c r="I864" s="153">
        <v>6.1</v>
      </c>
      <c r="J864" s="12">
        <v>0.11953094268235913</v>
      </c>
    </row>
    <row r="865" spans="1:10" x14ac:dyDescent="0.25">
      <c r="A865" s="4" t="s">
        <v>20</v>
      </c>
      <c r="B865" s="55" t="s">
        <v>10</v>
      </c>
      <c r="C865" s="5">
        <v>11</v>
      </c>
      <c r="D865" s="56">
        <v>18</v>
      </c>
      <c r="E865" s="56">
        <v>198</v>
      </c>
      <c r="F865" s="157">
        <v>46048</v>
      </c>
      <c r="G865" s="4" t="s">
        <v>291</v>
      </c>
      <c r="H865" s="4" t="s">
        <v>141</v>
      </c>
      <c r="I865" s="153">
        <v>29.15</v>
      </c>
      <c r="J865" s="12">
        <v>0.14722893673778398</v>
      </c>
    </row>
    <row r="866" spans="1:10" x14ac:dyDescent="0.25">
      <c r="A866" s="4" t="s">
        <v>20</v>
      </c>
      <c r="B866" s="55" t="s">
        <v>13</v>
      </c>
      <c r="C866" s="5">
        <v>11</v>
      </c>
      <c r="D866" s="56">
        <v>22</v>
      </c>
      <c r="E866" s="56">
        <v>239</v>
      </c>
      <c r="F866" s="157">
        <v>46047</v>
      </c>
      <c r="G866" s="4" t="s">
        <v>93</v>
      </c>
      <c r="H866" s="4" t="s">
        <v>141</v>
      </c>
      <c r="I866" s="153">
        <v>70.97</v>
      </c>
      <c r="J866" s="12">
        <v>0.29693481554329981</v>
      </c>
    </row>
    <row r="867" spans="1:10" x14ac:dyDescent="0.25">
      <c r="A867" s="4" t="s">
        <v>20</v>
      </c>
      <c r="B867" s="55" t="s">
        <v>12</v>
      </c>
      <c r="C867" s="5">
        <v>3</v>
      </c>
      <c r="D867" s="56">
        <v>16</v>
      </c>
      <c r="E867" s="56">
        <v>48</v>
      </c>
      <c r="F867" s="157">
        <v>46047</v>
      </c>
      <c r="G867" s="4" t="s">
        <v>93</v>
      </c>
      <c r="H867" s="4" t="s">
        <v>141</v>
      </c>
      <c r="I867" s="153">
        <v>6.38</v>
      </c>
      <c r="J867" s="12">
        <v>0.13283300524934372</v>
      </c>
    </row>
    <row r="868" spans="1:10" x14ac:dyDescent="0.25">
      <c r="A868" s="4" t="s">
        <v>20</v>
      </c>
      <c r="B868" s="55" t="s">
        <v>11</v>
      </c>
      <c r="C868" s="5">
        <v>1</v>
      </c>
      <c r="D868" s="56">
        <v>17</v>
      </c>
      <c r="E868" s="56">
        <v>17</v>
      </c>
      <c r="F868" s="157">
        <v>46047</v>
      </c>
      <c r="G868" s="4" t="s">
        <v>93</v>
      </c>
      <c r="H868" s="4" t="s">
        <v>141</v>
      </c>
      <c r="I868" s="153">
        <v>2.0299999999999998</v>
      </c>
      <c r="J868" s="12">
        <v>0.11953094268235913</v>
      </c>
    </row>
    <row r="869" spans="1:10" x14ac:dyDescent="0.25">
      <c r="A869" s="4" t="s">
        <v>20</v>
      </c>
      <c r="B869" s="55" t="s">
        <v>10</v>
      </c>
      <c r="C869" s="5">
        <v>8</v>
      </c>
      <c r="D869" s="56">
        <v>18</v>
      </c>
      <c r="E869" s="56">
        <v>144</v>
      </c>
      <c r="F869" s="157">
        <v>46047</v>
      </c>
      <c r="G869" s="4" t="s">
        <v>93</v>
      </c>
      <c r="H869" s="4" t="s">
        <v>141</v>
      </c>
      <c r="I869" s="153">
        <v>21.2</v>
      </c>
      <c r="J869" s="12">
        <v>0.14722893673778398</v>
      </c>
    </row>
    <row r="870" spans="1:10" x14ac:dyDescent="0.25">
      <c r="A870" s="4" t="s">
        <v>20</v>
      </c>
      <c r="B870" s="55" t="s">
        <v>13</v>
      </c>
      <c r="C870" s="5">
        <v>3</v>
      </c>
      <c r="D870" s="56">
        <v>22</v>
      </c>
      <c r="E870" s="56">
        <v>66</v>
      </c>
      <c r="F870" s="157">
        <v>46046</v>
      </c>
      <c r="G870" s="4" t="s">
        <v>92</v>
      </c>
      <c r="H870" s="4" t="s">
        <v>141</v>
      </c>
      <c r="I870" s="153">
        <v>20.170000000000002</v>
      </c>
      <c r="J870" s="12">
        <v>0.30565049964813495</v>
      </c>
    </row>
    <row r="871" spans="1:10" x14ac:dyDescent="0.25">
      <c r="A871" s="4" t="s">
        <v>20</v>
      </c>
      <c r="B871" s="55" t="s">
        <v>12</v>
      </c>
      <c r="C871" s="5">
        <v>1</v>
      </c>
      <c r="D871" s="56">
        <v>16</v>
      </c>
      <c r="E871" s="56">
        <v>16</v>
      </c>
      <c r="F871" s="157">
        <v>46046</v>
      </c>
      <c r="G871" s="4" t="s">
        <v>92</v>
      </c>
      <c r="H871" s="4" t="s">
        <v>141</v>
      </c>
      <c r="I871" s="153">
        <v>2.13</v>
      </c>
      <c r="J871" s="12">
        <v>0.13283300524934372</v>
      </c>
    </row>
    <row r="872" spans="1:10" x14ac:dyDescent="0.25">
      <c r="A872" s="4" t="s">
        <v>20</v>
      </c>
      <c r="B872" s="55" t="s">
        <v>11</v>
      </c>
      <c r="C872" s="5">
        <v>1</v>
      </c>
      <c r="D872" s="56">
        <v>17</v>
      </c>
      <c r="E872" s="56">
        <v>17</v>
      </c>
      <c r="F872" s="157">
        <v>46046</v>
      </c>
      <c r="G872" s="4" t="s">
        <v>92</v>
      </c>
      <c r="H872" s="4" t="s">
        <v>141</v>
      </c>
      <c r="I872" s="153">
        <v>2.0299999999999998</v>
      </c>
      <c r="J872" s="12">
        <v>0.11953094268235913</v>
      </c>
    </row>
    <row r="873" spans="1:10" x14ac:dyDescent="0.25">
      <c r="A873" s="4" t="s">
        <v>20</v>
      </c>
      <c r="B873" s="55" t="s">
        <v>10</v>
      </c>
      <c r="C873" s="5">
        <v>18</v>
      </c>
      <c r="D873" s="56">
        <v>18</v>
      </c>
      <c r="E873" s="56">
        <v>318</v>
      </c>
      <c r="F873" s="157">
        <v>46046</v>
      </c>
      <c r="G873" s="4" t="s">
        <v>92</v>
      </c>
      <c r="H873" s="4" t="s">
        <v>141</v>
      </c>
      <c r="I873" s="153">
        <v>41.7</v>
      </c>
      <c r="J873" s="12">
        <v>0.13113891667623273</v>
      </c>
    </row>
    <row r="874" spans="1:10" x14ac:dyDescent="0.25">
      <c r="A874" s="4" t="s">
        <v>20</v>
      </c>
      <c r="B874" s="55" t="s">
        <v>13</v>
      </c>
      <c r="C874" s="5">
        <v>9</v>
      </c>
      <c r="D874" s="56">
        <v>22</v>
      </c>
      <c r="E874" s="56">
        <v>198</v>
      </c>
      <c r="F874" s="157">
        <v>46045</v>
      </c>
      <c r="G874" s="4" t="s">
        <v>83</v>
      </c>
      <c r="H874" s="4" t="s">
        <v>141</v>
      </c>
      <c r="I874" s="153">
        <v>60.52</v>
      </c>
      <c r="J874" s="12">
        <v>0.30565049964813495</v>
      </c>
    </row>
    <row r="875" spans="1:10" x14ac:dyDescent="0.25">
      <c r="A875" s="4" t="s">
        <v>20</v>
      </c>
      <c r="B875" s="55" t="s">
        <v>12</v>
      </c>
      <c r="C875" s="5">
        <v>3</v>
      </c>
      <c r="D875" s="56">
        <v>16</v>
      </c>
      <c r="E875" s="56">
        <v>48</v>
      </c>
      <c r="F875" s="157">
        <v>46045</v>
      </c>
      <c r="G875" s="4" t="s">
        <v>83</v>
      </c>
      <c r="H875" s="4" t="s">
        <v>141</v>
      </c>
      <c r="I875" s="153">
        <v>6.38</v>
      </c>
      <c r="J875" s="12">
        <v>0.13283300524934372</v>
      </c>
    </row>
    <row r="876" spans="1:10" x14ac:dyDescent="0.25">
      <c r="A876" s="4" t="s">
        <v>20</v>
      </c>
      <c r="B876" s="55" t="s">
        <v>11</v>
      </c>
      <c r="C876" s="5">
        <v>15</v>
      </c>
      <c r="D876" s="56">
        <v>17</v>
      </c>
      <c r="E876" s="56">
        <v>243</v>
      </c>
      <c r="F876" s="157">
        <v>46045</v>
      </c>
      <c r="G876" s="4" t="s">
        <v>83</v>
      </c>
      <c r="H876" s="4" t="s">
        <v>141</v>
      </c>
      <c r="I876" s="153">
        <v>18.48</v>
      </c>
      <c r="J876" s="12">
        <v>7.6050989234574401E-2</v>
      </c>
    </row>
    <row r="877" spans="1:10" x14ac:dyDescent="0.25">
      <c r="A877" s="4" t="s">
        <v>20</v>
      </c>
      <c r="B877" s="55" t="s">
        <v>10</v>
      </c>
      <c r="C877" s="5">
        <v>6</v>
      </c>
      <c r="D877" s="56">
        <v>18</v>
      </c>
      <c r="E877" s="56">
        <v>107.5</v>
      </c>
      <c r="F877" s="157">
        <v>46045</v>
      </c>
      <c r="G877" s="4" t="s">
        <v>83</v>
      </c>
      <c r="H877" s="4" t="s">
        <v>141</v>
      </c>
      <c r="I877" s="153">
        <v>15.4</v>
      </c>
      <c r="J877" s="12">
        <v>0.14326255969935517</v>
      </c>
    </row>
    <row r="878" spans="1:10" x14ac:dyDescent="0.25">
      <c r="A878" s="4" t="s">
        <v>20</v>
      </c>
      <c r="B878" s="55" t="s">
        <v>13</v>
      </c>
      <c r="C878" s="5">
        <v>1</v>
      </c>
      <c r="D878" s="56">
        <v>22</v>
      </c>
      <c r="E878" s="56">
        <v>22</v>
      </c>
      <c r="F878" s="157">
        <v>46044</v>
      </c>
      <c r="G878" s="4" t="s">
        <v>294</v>
      </c>
      <c r="H878" s="4" t="s">
        <v>141</v>
      </c>
      <c r="I878" s="153">
        <v>6.06</v>
      </c>
      <c r="J878" s="12">
        <v>0.27534746934510479</v>
      </c>
    </row>
    <row r="879" spans="1:10" x14ac:dyDescent="0.25">
      <c r="A879" s="4" t="s">
        <v>20</v>
      </c>
      <c r="B879" s="55" t="s">
        <v>13</v>
      </c>
      <c r="C879" s="5">
        <v>11</v>
      </c>
      <c r="D879" s="56">
        <v>22</v>
      </c>
      <c r="E879" s="56">
        <v>242</v>
      </c>
      <c r="F879" s="157">
        <v>46044</v>
      </c>
      <c r="G879" s="4" t="s">
        <v>294</v>
      </c>
      <c r="H879" s="4" t="s">
        <v>141</v>
      </c>
      <c r="I879" s="153">
        <v>66.63</v>
      </c>
      <c r="J879" s="12">
        <v>0.27534746934510479</v>
      </c>
    </row>
    <row r="880" spans="1:10" x14ac:dyDescent="0.25">
      <c r="A880" s="4" t="s">
        <v>20</v>
      </c>
      <c r="B880" s="55" t="s">
        <v>11</v>
      </c>
      <c r="C880" s="5">
        <v>1</v>
      </c>
      <c r="D880" s="56">
        <v>17</v>
      </c>
      <c r="E880" s="56">
        <v>17</v>
      </c>
      <c r="F880" s="157">
        <v>46044</v>
      </c>
      <c r="G880" s="4" t="s">
        <v>294</v>
      </c>
      <c r="H880" s="4" t="s">
        <v>141</v>
      </c>
      <c r="I880" s="153">
        <v>2.0299999999999998</v>
      </c>
      <c r="J880" s="12">
        <v>0.11953094268235913</v>
      </c>
    </row>
    <row r="881" spans="1:10" x14ac:dyDescent="0.25">
      <c r="A881" s="4" t="s">
        <v>20</v>
      </c>
      <c r="B881" s="55" t="s">
        <v>10</v>
      </c>
      <c r="C881" s="5">
        <v>5</v>
      </c>
      <c r="D881" s="56">
        <v>18</v>
      </c>
      <c r="E881" s="56">
        <v>90</v>
      </c>
      <c r="F881" s="157">
        <v>46044</v>
      </c>
      <c r="G881" s="4" t="s">
        <v>294</v>
      </c>
      <c r="H881" s="4" t="s">
        <v>141</v>
      </c>
      <c r="I881" s="153">
        <v>13.25</v>
      </c>
      <c r="J881" s="12">
        <v>0.14722893673778406</v>
      </c>
    </row>
    <row r="882" spans="1:10" x14ac:dyDescent="0.25">
      <c r="A882" s="4" t="s">
        <v>20</v>
      </c>
      <c r="B882" s="55" t="s">
        <v>13</v>
      </c>
      <c r="C882" s="5">
        <v>5</v>
      </c>
      <c r="D882" s="56">
        <v>22</v>
      </c>
      <c r="E882" s="56">
        <v>110</v>
      </c>
      <c r="F882" s="157">
        <v>46044</v>
      </c>
      <c r="G882" s="4" t="s">
        <v>294</v>
      </c>
      <c r="H882" s="4" t="s">
        <v>141</v>
      </c>
      <c r="I882" s="153">
        <v>30.29</v>
      </c>
      <c r="J882" s="12">
        <v>0.27534746934510479</v>
      </c>
    </row>
    <row r="883" spans="1:10" x14ac:dyDescent="0.25">
      <c r="A883" s="4" t="s">
        <v>20</v>
      </c>
      <c r="B883" s="55" t="s">
        <v>12</v>
      </c>
      <c r="C883" s="5">
        <v>1</v>
      </c>
      <c r="D883" s="56">
        <v>16</v>
      </c>
      <c r="E883" s="56">
        <v>16</v>
      </c>
      <c r="F883" s="157">
        <v>46044</v>
      </c>
      <c r="G883" s="4" t="s">
        <v>294</v>
      </c>
      <c r="H883" s="4" t="s">
        <v>141</v>
      </c>
      <c r="I883" s="153">
        <v>2.13</v>
      </c>
      <c r="J883" s="12">
        <v>0.13283300524934372</v>
      </c>
    </row>
    <row r="884" spans="1:10" x14ac:dyDescent="0.25">
      <c r="A884" s="4" t="s">
        <v>20</v>
      </c>
      <c r="B884" s="55" t="s">
        <v>10</v>
      </c>
      <c r="C884" s="5">
        <v>3</v>
      </c>
      <c r="D884" s="56">
        <v>18</v>
      </c>
      <c r="E884" s="56">
        <v>54</v>
      </c>
      <c r="F884" s="157">
        <v>46044</v>
      </c>
      <c r="G884" s="4" t="s">
        <v>294</v>
      </c>
      <c r="H884" s="4" t="s">
        <v>141</v>
      </c>
      <c r="I884" s="153">
        <v>7.95</v>
      </c>
      <c r="J884" s="12">
        <v>0.14722893673778406</v>
      </c>
    </row>
    <row r="885" spans="1:10" x14ac:dyDescent="0.25">
      <c r="A885" s="4" t="s">
        <v>20</v>
      </c>
      <c r="B885" s="55" t="s">
        <v>14</v>
      </c>
      <c r="C885" s="5">
        <v>2</v>
      </c>
      <c r="D885" s="56">
        <v>25</v>
      </c>
      <c r="E885" s="56">
        <v>50</v>
      </c>
      <c r="F885" s="157">
        <v>46043</v>
      </c>
      <c r="G885" s="4" t="s">
        <v>32</v>
      </c>
      <c r="H885" s="4" t="s">
        <v>141</v>
      </c>
      <c r="I885" s="153">
        <v>15</v>
      </c>
      <c r="J885" s="12">
        <v>0.3</v>
      </c>
    </row>
    <row r="886" spans="1:10" x14ac:dyDescent="0.25">
      <c r="A886" s="4" t="s">
        <v>20</v>
      </c>
      <c r="B886" s="55" t="s">
        <v>13</v>
      </c>
      <c r="C886" s="5">
        <v>10</v>
      </c>
      <c r="D886" s="56">
        <v>22</v>
      </c>
      <c r="E886" s="56">
        <v>220</v>
      </c>
      <c r="F886" s="157">
        <v>46043</v>
      </c>
      <c r="G886" s="4" t="s">
        <v>32</v>
      </c>
      <c r="H886" s="4" t="s">
        <v>141</v>
      </c>
      <c r="I886" s="153">
        <v>60.58</v>
      </c>
      <c r="J886" s="12">
        <v>0.27534746934510468</v>
      </c>
    </row>
    <row r="887" spans="1:10" x14ac:dyDescent="0.25">
      <c r="A887" s="4" t="s">
        <v>20</v>
      </c>
      <c r="B887" s="55" t="s">
        <v>12</v>
      </c>
      <c r="C887" s="5">
        <v>1</v>
      </c>
      <c r="D887" s="56">
        <v>16</v>
      </c>
      <c r="E887" s="56">
        <v>16</v>
      </c>
      <c r="F887" s="157">
        <v>46043</v>
      </c>
      <c r="G887" s="4" t="s">
        <v>32</v>
      </c>
      <c r="H887" s="4" t="s">
        <v>141</v>
      </c>
      <c r="I887" s="153">
        <v>2.13</v>
      </c>
      <c r="J887" s="12">
        <v>0.13283300524934372</v>
      </c>
    </row>
    <row r="888" spans="1:10" x14ac:dyDescent="0.25">
      <c r="A888" s="4" t="s">
        <v>20</v>
      </c>
      <c r="B888" s="55" t="s">
        <v>11</v>
      </c>
      <c r="C888" s="5">
        <v>4</v>
      </c>
      <c r="D888" s="56">
        <v>17</v>
      </c>
      <c r="E888" s="56">
        <v>68</v>
      </c>
      <c r="F888" s="157">
        <v>46043</v>
      </c>
      <c r="G888" s="4" t="s">
        <v>32</v>
      </c>
      <c r="H888" s="4" t="s">
        <v>141</v>
      </c>
      <c r="I888" s="153">
        <v>8.1300000000000008</v>
      </c>
      <c r="J888" s="12">
        <v>0.11953094268235924</v>
      </c>
    </row>
    <row r="889" spans="1:10" x14ac:dyDescent="0.25">
      <c r="A889" s="4" t="s">
        <v>20</v>
      </c>
      <c r="B889" s="55" t="s">
        <v>10</v>
      </c>
      <c r="C889" s="5">
        <v>4</v>
      </c>
      <c r="D889" s="56">
        <v>18</v>
      </c>
      <c r="E889" s="56">
        <v>72</v>
      </c>
      <c r="F889" s="157">
        <v>46043</v>
      </c>
      <c r="G889" s="4" t="s">
        <v>32</v>
      </c>
      <c r="H889" s="4" t="s">
        <v>141</v>
      </c>
      <c r="I889" s="153">
        <v>10.6</v>
      </c>
      <c r="J889" s="12">
        <v>0.14722893673778406</v>
      </c>
    </row>
    <row r="890" spans="1:10" x14ac:dyDescent="0.25">
      <c r="A890" s="4" t="s">
        <v>20</v>
      </c>
      <c r="B890" s="55" t="s">
        <v>14</v>
      </c>
      <c r="C890" s="5">
        <v>7</v>
      </c>
      <c r="D890" s="56">
        <v>25</v>
      </c>
      <c r="E890" s="56">
        <v>175</v>
      </c>
      <c r="F890" s="157">
        <v>46042</v>
      </c>
      <c r="G890" s="4" t="s">
        <v>290</v>
      </c>
      <c r="H890" s="4" t="s">
        <v>141</v>
      </c>
      <c r="I890" s="153">
        <v>52.5</v>
      </c>
      <c r="J890" s="12">
        <v>0.3</v>
      </c>
    </row>
    <row r="891" spans="1:10" x14ac:dyDescent="0.25">
      <c r="A891" s="4" t="s">
        <v>20</v>
      </c>
      <c r="B891" s="55" t="s">
        <v>13</v>
      </c>
      <c r="C891" s="5">
        <v>20</v>
      </c>
      <c r="D891" s="56">
        <v>22</v>
      </c>
      <c r="E891" s="56">
        <v>422</v>
      </c>
      <c r="F891" s="157">
        <v>46042</v>
      </c>
      <c r="G891" s="4" t="s">
        <v>290</v>
      </c>
      <c r="H891" s="4" t="s">
        <v>141</v>
      </c>
      <c r="I891" s="153">
        <v>103.15</v>
      </c>
      <c r="J891" s="12">
        <v>0.24443811969631765</v>
      </c>
    </row>
    <row r="892" spans="1:10" x14ac:dyDescent="0.25">
      <c r="A892" s="4" t="s">
        <v>20</v>
      </c>
      <c r="B892" s="55" t="s">
        <v>11</v>
      </c>
      <c r="C892" s="5">
        <v>5</v>
      </c>
      <c r="D892" s="56">
        <v>17</v>
      </c>
      <c r="E892" s="56">
        <v>85</v>
      </c>
      <c r="F892" s="157">
        <v>46042</v>
      </c>
      <c r="G892" s="4" t="s">
        <v>290</v>
      </c>
      <c r="H892" s="4" t="s">
        <v>141</v>
      </c>
      <c r="I892" s="153">
        <v>10.16</v>
      </c>
      <c r="J892" s="12">
        <v>0.11953094268235924</v>
      </c>
    </row>
    <row r="893" spans="1:10" x14ac:dyDescent="0.25">
      <c r="A893" s="4" t="s">
        <v>20</v>
      </c>
      <c r="B893" s="55" t="s">
        <v>10</v>
      </c>
      <c r="C893" s="5">
        <v>15</v>
      </c>
      <c r="D893" s="56">
        <v>18</v>
      </c>
      <c r="E893" s="56">
        <v>270</v>
      </c>
      <c r="F893" s="157">
        <v>46042</v>
      </c>
      <c r="G893" s="4" t="s">
        <v>290</v>
      </c>
      <c r="H893" s="4" t="s">
        <v>141</v>
      </c>
      <c r="I893" s="153">
        <v>39.75</v>
      </c>
      <c r="J893" s="12">
        <v>0.14722893673778406</v>
      </c>
    </row>
    <row r="894" spans="1:10" x14ac:dyDescent="0.25">
      <c r="A894" s="4" t="s">
        <v>20</v>
      </c>
      <c r="B894" s="55" t="s">
        <v>14</v>
      </c>
      <c r="C894" s="5">
        <v>5</v>
      </c>
      <c r="D894" s="56">
        <v>25</v>
      </c>
      <c r="E894" s="56">
        <v>125</v>
      </c>
      <c r="F894" s="157">
        <v>46041</v>
      </c>
      <c r="G894" s="4" t="s">
        <v>291</v>
      </c>
      <c r="H894" s="4" t="s">
        <v>141</v>
      </c>
      <c r="I894" s="153">
        <v>37.5</v>
      </c>
      <c r="J894" s="12">
        <v>0.3</v>
      </c>
    </row>
    <row r="895" spans="1:10" x14ac:dyDescent="0.25">
      <c r="A895" s="4" t="s">
        <v>20</v>
      </c>
      <c r="B895" s="55" t="s">
        <v>13</v>
      </c>
      <c r="C895" s="5">
        <v>16</v>
      </c>
      <c r="D895" s="56">
        <v>22</v>
      </c>
      <c r="E895" s="56">
        <v>352</v>
      </c>
      <c r="F895" s="157">
        <v>46041</v>
      </c>
      <c r="G895" s="4" t="s">
        <v>291</v>
      </c>
      <c r="H895" s="4" t="s">
        <v>141</v>
      </c>
      <c r="I895" s="153">
        <v>96.92</v>
      </c>
      <c r="J895" s="12">
        <v>0.27534746934510468</v>
      </c>
    </row>
    <row r="896" spans="1:10" x14ac:dyDescent="0.25">
      <c r="A896" s="4" t="s">
        <v>20</v>
      </c>
      <c r="B896" s="55" t="s">
        <v>12</v>
      </c>
      <c r="C896" s="5">
        <v>3</v>
      </c>
      <c r="D896" s="56">
        <v>16</v>
      </c>
      <c r="E896" s="56">
        <v>48</v>
      </c>
      <c r="F896" s="157">
        <v>46041</v>
      </c>
      <c r="G896" s="4" t="s">
        <v>291</v>
      </c>
      <c r="H896" s="4" t="s">
        <v>141</v>
      </c>
      <c r="I896" s="153">
        <v>6.38</v>
      </c>
      <c r="J896" s="12">
        <v>0.13283300524934372</v>
      </c>
    </row>
    <row r="897" spans="1:10" x14ac:dyDescent="0.25">
      <c r="A897" s="4" t="s">
        <v>20</v>
      </c>
      <c r="B897" s="55" t="s">
        <v>11</v>
      </c>
      <c r="C897" s="5">
        <v>6</v>
      </c>
      <c r="D897" s="56">
        <v>17</v>
      </c>
      <c r="E897" s="56">
        <v>102</v>
      </c>
      <c r="F897" s="157">
        <v>46041</v>
      </c>
      <c r="G897" s="4" t="s">
        <v>291</v>
      </c>
      <c r="H897" s="4" t="s">
        <v>141</v>
      </c>
      <c r="I897" s="153">
        <v>12.19</v>
      </c>
      <c r="J897" s="12">
        <v>0.11953094268235924</v>
      </c>
    </row>
    <row r="898" spans="1:10" x14ac:dyDescent="0.25">
      <c r="A898" s="4" t="s">
        <v>20</v>
      </c>
      <c r="B898" s="55" t="s">
        <v>10</v>
      </c>
      <c r="C898" s="5">
        <v>7</v>
      </c>
      <c r="D898" s="56">
        <v>20</v>
      </c>
      <c r="E898" s="56">
        <v>140</v>
      </c>
      <c r="F898" s="157">
        <v>46041</v>
      </c>
      <c r="G898" s="4" t="s">
        <v>291</v>
      </c>
      <c r="H898" s="4" t="s">
        <v>141</v>
      </c>
      <c r="I898" s="153">
        <v>32.549999999999997</v>
      </c>
      <c r="J898" s="12">
        <v>0.23250604306400566</v>
      </c>
    </row>
    <row r="899" spans="1:10" x14ac:dyDescent="0.25">
      <c r="A899" s="4" t="s">
        <v>20</v>
      </c>
      <c r="B899" s="55" t="s">
        <v>14</v>
      </c>
      <c r="C899" s="5">
        <v>3</v>
      </c>
      <c r="D899" s="56">
        <v>25</v>
      </c>
      <c r="E899" s="56">
        <v>75</v>
      </c>
      <c r="F899" s="157">
        <v>46040</v>
      </c>
      <c r="G899" s="4" t="s">
        <v>93</v>
      </c>
      <c r="H899" s="4" t="s">
        <v>141</v>
      </c>
      <c r="I899" s="153">
        <v>22.5</v>
      </c>
      <c r="J899" s="12">
        <v>0.3</v>
      </c>
    </row>
    <row r="900" spans="1:10" x14ac:dyDescent="0.25">
      <c r="A900" s="4" t="s">
        <v>20</v>
      </c>
      <c r="B900" s="55" t="s">
        <v>13</v>
      </c>
      <c r="C900" s="5">
        <v>12</v>
      </c>
      <c r="D900" s="56">
        <v>22</v>
      </c>
      <c r="E900" s="56">
        <v>264</v>
      </c>
      <c r="F900" s="157">
        <v>46040</v>
      </c>
      <c r="G900" s="4" t="s">
        <v>93</v>
      </c>
      <c r="H900" s="4" t="s">
        <v>141</v>
      </c>
      <c r="I900" s="153">
        <v>72.69</v>
      </c>
      <c r="J900" s="12">
        <v>0.27534746934510468</v>
      </c>
    </row>
    <row r="901" spans="1:10" x14ac:dyDescent="0.25">
      <c r="A901" s="4" t="s">
        <v>20</v>
      </c>
      <c r="B901" s="55" t="s">
        <v>12</v>
      </c>
      <c r="C901" s="5">
        <v>2</v>
      </c>
      <c r="D901" s="56">
        <v>16</v>
      </c>
      <c r="E901" s="56">
        <v>32</v>
      </c>
      <c r="F901" s="157">
        <v>46040</v>
      </c>
      <c r="G901" s="4" t="s">
        <v>93</v>
      </c>
      <c r="H901" s="4" t="s">
        <v>141</v>
      </c>
      <c r="I901" s="153">
        <v>4.25</v>
      </c>
      <c r="J901" s="12">
        <v>0.13283300524934372</v>
      </c>
    </row>
    <row r="902" spans="1:10" x14ac:dyDescent="0.25">
      <c r="A902" s="4" t="s">
        <v>20</v>
      </c>
      <c r="B902" s="55" t="s">
        <v>11</v>
      </c>
      <c r="C902" s="5">
        <v>14</v>
      </c>
      <c r="D902" s="56">
        <v>17</v>
      </c>
      <c r="E902" s="56">
        <v>230</v>
      </c>
      <c r="F902" s="157">
        <v>46040</v>
      </c>
      <c r="G902" s="4" t="s">
        <v>93</v>
      </c>
      <c r="H902" s="4" t="s">
        <v>141</v>
      </c>
      <c r="I902" s="153">
        <v>20.45</v>
      </c>
      <c r="J902" s="12">
        <v>8.8905931993050108E-2</v>
      </c>
    </row>
    <row r="903" spans="1:10" x14ac:dyDescent="0.25">
      <c r="A903" s="4" t="s">
        <v>20</v>
      </c>
      <c r="B903" s="55" t="s">
        <v>10</v>
      </c>
      <c r="C903" s="5">
        <v>3</v>
      </c>
      <c r="D903" s="56">
        <v>20</v>
      </c>
      <c r="E903" s="56">
        <v>60</v>
      </c>
      <c r="F903" s="157">
        <v>46039</v>
      </c>
      <c r="G903" s="4" t="s">
        <v>92</v>
      </c>
      <c r="H903" s="4" t="s">
        <v>141</v>
      </c>
      <c r="I903" s="153">
        <v>13.95</v>
      </c>
      <c r="J903" s="12">
        <v>0.23250604306400566</v>
      </c>
    </row>
    <row r="904" spans="1:10" x14ac:dyDescent="0.25">
      <c r="A904" s="4" t="s">
        <v>20</v>
      </c>
      <c r="B904" s="55" t="s">
        <v>14</v>
      </c>
      <c r="C904" s="5">
        <v>1</v>
      </c>
      <c r="D904" s="56">
        <v>25</v>
      </c>
      <c r="E904" s="56">
        <v>25</v>
      </c>
      <c r="F904" s="157">
        <v>46039</v>
      </c>
      <c r="G904" s="4" t="s">
        <v>92</v>
      </c>
      <c r="H904" s="4" t="s">
        <v>141</v>
      </c>
      <c r="I904" s="153">
        <v>7.5</v>
      </c>
      <c r="J904" s="12">
        <v>0.3</v>
      </c>
    </row>
    <row r="905" spans="1:10" x14ac:dyDescent="0.25">
      <c r="A905" s="4" t="s">
        <v>20</v>
      </c>
      <c r="B905" s="55" t="s">
        <v>13</v>
      </c>
      <c r="C905" s="5">
        <v>1</v>
      </c>
      <c r="D905" s="56">
        <v>21</v>
      </c>
      <c r="E905" s="56">
        <v>21</v>
      </c>
      <c r="F905" s="157">
        <v>46039</v>
      </c>
      <c r="G905" s="4" t="s">
        <v>92</v>
      </c>
      <c r="H905" s="4" t="s">
        <v>141</v>
      </c>
      <c r="I905" s="153">
        <v>5.0599999999999996</v>
      </c>
      <c r="J905" s="12">
        <v>0.24084020598058586</v>
      </c>
    </row>
    <row r="906" spans="1:10" x14ac:dyDescent="0.25">
      <c r="A906" s="4" t="s">
        <v>20</v>
      </c>
      <c r="B906" s="55" t="s">
        <v>11</v>
      </c>
      <c r="C906" s="5">
        <v>1</v>
      </c>
      <c r="D906" s="56">
        <v>17</v>
      </c>
      <c r="E906" s="56">
        <v>17</v>
      </c>
      <c r="F906" s="157">
        <v>46039</v>
      </c>
      <c r="G906" s="4" t="s">
        <v>92</v>
      </c>
      <c r="H906" s="4" t="s">
        <v>141</v>
      </c>
      <c r="I906" s="153">
        <v>2.0299999999999998</v>
      </c>
      <c r="J906" s="12">
        <v>0.11953094268235945</v>
      </c>
    </row>
    <row r="907" spans="1:10" x14ac:dyDescent="0.25">
      <c r="A907" s="4" t="s">
        <v>20</v>
      </c>
      <c r="B907" s="55" t="s">
        <v>10</v>
      </c>
      <c r="C907" s="5">
        <v>14</v>
      </c>
      <c r="D907" s="56">
        <v>20</v>
      </c>
      <c r="E907" s="56">
        <v>262</v>
      </c>
      <c r="F907" s="157">
        <v>46038</v>
      </c>
      <c r="G907" s="4" t="s">
        <v>83</v>
      </c>
      <c r="H907" s="4" t="s">
        <v>141</v>
      </c>
      <c r="I907" s="153">
        <v>47.1</v>
      </c>
      <c r="J907" s="12">
        <v>0.17977745060275413</v>
      </c>
    </row>
    <row r="908" spans="1:10" x14ac:dyDescent="0.25">
      <c r="A908" s="4" t="s">
        <v>20</v>
      </c>
      <c r="B908" s="55" t="s">
        <v>14</v>
      </c>
      <c r="C908" s="5">
        <v>6</v>
      </c>
      <c r="D908" s="56">
        <v>25</v>
      </c>
      <c r="E908" s="56">
        <v>150</v>
      </c>
      <c r="F908" s="157">
        <v>46038</v>
      </c>
      <c r="G908" s="4" t="s">
        <v>83</v>
      </c>
      <c r="H908" s="4" t="s">
        <v>141</v>
      </c>
      <c r="I908" s="153">
        <v>45</v>
      </c>
      <c r="J908" s="12">
        <v>0.3</v>
      </c>
    </row>
    <row r="909" spans="1:10" x14ac:dyDescent="0.25">
      <c r="A909" s="4" t="s">
        <v>20</v>
      </c>
      <c r="B909" s="55" t="s">
        <v>13</v>
      </c>
      <c r="C909" s="5">
        <v>15</v>
      </c>
      <c r="D909" s="56">
        <v>21</v>
      </c>
      <c r="E909" s="56">
        <v>315</v>
      </c>
      <c r="F909" s="157">
        <v>46038</v>
      </c>
      <c r="G909" s="4" t="s">
        <v>83</v>
      </c>
      <c r="H909" s="4" t="s">
        <v>141</v>
      </c>
      <c r="I909" s="153">
        <v>75.86</v>
      </c>
      <c r="J909" s="12">
        <v>0.24084020598058595</v>
      </c>
    </row>
    <row r="910" spans="1:10" x14ac:dyDescent="0.25">
      <c r="A910" s="4" t="s">
        <v>20</v>
      </c>
      <c r="B910" s="55" t="s">
        <v>12</v>
      </c>
      <c r="C910" s="5">
        <v>3</v>
      </c>
      <c r="D910" s="56">
        <v>16</v>
      </c>
      <c r="E910" s="56">
        <v>48</v>
      </c>
      <c r="F910" s="157">
        <v>46038</v>
      </c>
      <c r="G910" s="4" t="s">
        <v>83</v>
      </c>
      <c r="H910" s="4" t="s">
        <v>141</v>
      </c>
      <c r="I910" s="153">
        <v>6.38</v>
      </c>
      <c r="J910" s="12">
        <v>0.13283300524934372</v>
      </c>
    </row>
    <row r="911" spans="1:10" x14ac:dyDescent="0.25">
      <c r="A911" s="4" t="s">
        <v>20</v>
      </c>
      <c r="B911" s="55" t="s">
        <v>11</v>
      </c>
      <c r="C911" s="5">
        <v>16</v>
      </c>
      <c r="D911" s="56">
        <v>17</v>
      </c>
      <c r="E911" s="56">
        <v>284</v>
      </c>
      <c r="F911" s="157">
        <v>46038</v>
      </c>
      <c r="G911" s="4" t="s">
        <v>83</v>
      </c>
      <c r="H911" s="4" t="s">
        <v>141</v>
      </c>
      <c r="I911" s="153">
        <v>44.51</v>
      </c>
      <c r="J911" s="12">
        <v>0.15673386059718933</v>
      </c>
    </row>
    <row r="912" spans="1:10" x14ac:dyDescent="0.25">
      <c r="A912" s="4" t="s">
        <v>292</v>
      </c>
      <c r="B912" s="55" t="s">
        <v>14</v>
      </c>
      <c r="C912" s="5">
        <v>24</v>
      </c>
      <c r="D912" s="56">
        <v>210</v>
      </c>
      <c r="E912" s="56">
        <v>420</v>
      </c>
      <c r="F912" s="157">
        <v>46038</v>
      </c>
      <c r="G912" s="4" t="s">
        <v>83</v>
      </c>
      <c r="H912" s="4" t="s">
        <v>141</v>
      </c>
      <c r="I912" s="153"/>
      <c r="J912" s="12"/>
    </row>
    <row r="913" spans="1:10" x14ac:dyDescent="0.25">
      <c r="A913" s="4" t="s">
        <v>292</v>
      </c>
      <c r="B913" s="55" t="s">
        <v>13</v>
      </c>
      <c r="C913" s="5">
        <v>132</v>
      </c>
      <c r="D913" s="56">
        <v>180</v>
      </c>
      <c r="E913" s="56">
        <f>180*11</f>
        <v>1980</v>
      </c>
      <c r="F913" s="157">
        <v>46038</v>
      </c>
      <c r="G913" s="4" t="s">
        <v>83</v>
      </c>
      <c r="H913" s="4" t="s">
        <v>141</v>
      </c>
      <c r="I913" s="153"/>
      <c r="J913" s="12"/>
    </row>
    <row r="914" spans="1:10" x14ac:dyDescent="0.25">
      <c r="A914" s="4" t="s">
        <v>292</v>
      </c>
      <c r="B914" s="55" t="s">
        <v>10</v>
      </c>
      <c r="C914" s="5">
        <v>60</v>
      </c>
      <c r="D914" s="56">
        <v>180</v>
      </c>
      <c r="E914" s="56">
        <v>900</v>
      </c>
      <c r="F914" s="157">
        <v>46038</v>
      </c>
      <c r="G914" s="4" t="s">
        <v>83</v>
      </c>
      <c r="H914" s="4" t="s">
        <v>141</v>
      </c>
      <c r="I914" s="153"/>
      <c r="J914" s="12"/>
    </row>
    <row r="915" spans="1:10" x14ac:dyDescent="0.25">
      <c r="A915" s="4" t="s">
        <v>20</v>
      </c>
      <c r="B915" s="55" t="s">
        <v>13</v>
      </c>
      <c r="C915" s="5">
        <v>16</v>
      </c>
      <c r="D915" s="56">
        <v>21</v>
      </c>
      <c r="E915" s="56">
        <v>336</v>
      </c>
      <c r="F915" s="157">
        <v>46037</v>
      </c>
      <c r="G915" s="4" t="s">
        <v>294</v>
      </c>
      <c r="H915" s="4" t="s">
        <v>141</v>
      </c>
      <c r="I915" s="153">
        <v>73.94</v>
      </c>
      <c r="J915" s="12">
        <v>0.2200740457759458</v>
      </c>
    </row>
    <row r="916" spans="1:10" x14ac:dyDescent="0.25">
      <c r="A916" s="4" t="s">
        <v>20</v>
      </c>
      <c r="B916" s="55" t="s">
        <v>12</v>
      </c>
      <c r="C916" s="5">
        <v>2</v>
      </c>
      <c r="D916" s="56">
        <v>16</v>
      </c>
      <c r="E916" s="56">
        <v>32</v>
      </c>
      <c r="F916" s="157">
        <v>46037</v>
      </c>
      <c r="G916" s="4" t="s">
        <v>294</v>
      </c>
      <c r="H916" s="4" t="s">
        <v>141</v>
      </c>
      <c r="I916" s="153">
        <v>4.25</v>
      </c>
      <c r="J916" s="12">
        <v>0.13283300524934372</v>
      </c>
    </row>
    <row r="917" spans="1:10" x14ac:dyDescent="0.25">
      <c r="A917" s="4" t="s">
        <v>20</v>
      </c>
      <c r="B917" s="55" t="s">
        <v>11</v>
      </c>
      <c r="C917" s="5">
        <v>7</v>
      </c>
      <c r="D917" s="56">
        <v>17</v>
      </c>
      <c r="E917" s="56">
        <v>119</v>
      </c>
      <c r="F917" s="157">
        <v>46037</v>
      </c>
      <c r="G917" s="4" t="s">
        <v>294</v>
      </c>
      <c r="H917" s="4" t="s">
        <v>141</v>
      </c>
      <c r="I917" s="153">
        <v>14.22</v>
      </c>
      <c r="J917" s="12">
        <v>0.11953094268235945</v>
      </c>
    </row>
    <row r="918" spans="1:10" x14ac:dyDescent="0.25">
      <c r="A918" s="4" t="s">
        <v>20</v>
      </c>
      <c r="B918" s="55" t="s">
        <v>10</v>
      </c>
      <c r="C918" s="5">
        <v>6</v>
      </c>
      <c r="D918" s="56">
        <v>20</v>
      </c>
      <c r="E918" s="56">
        <v>120</v>
      </c>
      <c r="F918" s="157">
        <v>46037</v>
      </c>
      <c r="G918" s="4" t="s">
        <v>294</v>
      </c>
      <c r="H918" s="4" t="s">
        <v>141</v>
      </c>
      <c r="I918" s="153">
        <v>27.03</v>
      </c>
      <c r="J918" s="12">
        <v>0.22521689434067477</v>
      </c>
    </row>
    <row r="919" spans="1:10" x14ac:dyDescent="0.25">
      <c r="A919" s="4" t="s">
        <v>20</v>
      </c>
      <c r="B919" s="55" t="s">
        <v>12</v>
      </c>
      <c r="C919" s="5">
        <v>1</v>
      </c>
      <c r="D919" s="56"/>
      <c r="E919" s="56"/>
      <c r="F919" s="157">
        <v>46036</v>
      </c>
      <c r="G919" s="4" t="s">
        <v>32</v>
      </c>
      <c r="H919" s="4" t="s">
        <v>141</v>
      </c>
      <c r="I919" s="153">
        <v>-13.87</v>
      </c>
      <c r="J919" s="12">
        <v>-0.38746719160104987</v>
      </c>
    </row>
    <row r="920" spans="1:10" x14ac:dyDescent="0.25">
      <c r="A920" s="4" t="s">
        <v>20</v>
      </c>
      <c r="B920" s="55" t="s">
        <v>12</v>
      </c>
      <c r="C920" s="5">
        <v>16</v>
      </c>
      <c r="D920" s="56">
        <v>16</v>
      </c>
      <c r="E920" s="56">
        <v>250</v>
      </c>
      <c r="F920" s="157">
        <v>46036</v>
      </c>
      <c r="G920" s="4" t="s">
        <v>32</v>
      </c>
      <c r="H920" s="4" t="s">
        <v>141</v>
      </c>
      <c r="I920" s="153">
        <v>28.01</v>
      </c>
      <c r="J920" s="12">
        <v>0.11202099737532796</v>
      </c>
    </row>
    <row r="921" spans="1:10" x14ac:dyDescent="0.25">
      <c r="A921" s="4" t="s">
        <v>20</v>
      </c>
      <c r="B921" s="55" t="s">
        <v>13</v>
      </c>
      <c r="C921" s="5">
        <v>25</v>
      </c>
      <c r="D921" s="56">
        <v>21</v>
      </c>
      <c r="E921" s="56">
        <v>509</v>
      </c>
      <c r="F921" s="157">
        <v>46036</v>
      </c>
      <c r="G921" s="4" t="s">
        <v>32</v>
      </c>
      <c r="H921" s="4" t="s">
        <v>141</v>
      </c>
      <c r="I921" s="153">
        <v>99.54</v>
      </c>
      <c r="J921" s="12">
        <v>0.19555770929739008</v>
      </c>
    </row>
    <row r="922" spans="1:10" x14ac:dyDescent="0.25">
      <c r="A922" s="4" t="s">
        <v>20</v>
      </c>
      <c r="B922" s="55" t="s">
        <v>11</v>
      </c>
      <c r="C922" s="5">
        <v>8</v>
      </c>
      <c r="D922" s="56">
        <v>17</v>
      </c>
      <c r="E922" s="56">
        <v>136</v>
      </c>
      <c r="F922" s="157">
        <v>46036</v>
      </c>
      <c r="G922" s="4" t="s">
        <v>32</v>
      </c>
      <c r="H922" s="4" t="s">
        <v>141</v>
      </c>
      <c r="I922" s="153">
        <v>16.260000000000002</v>
      </c>
      <c r="J922" s="12">
        <v>0.11953094268235945</v>
      </c>
    </row>
    <row r="923" spans="1:10" x14ac:dyDescent="0.25">
      <c r="A923" s="4" t="s">
        <v>20</v>
      </c>
      <c r="B923" s="55" t="s">
        <v>10</v>
      </c>
      <c r="C923" s="5">
        <v>7</v>
      </c>
      <c r="D923" s="56">
        <v>20</v>
      </c>
      <c r="E923" s="56">
        <v>138.5</v>
      </c>
      <c r="F923" s="157">
        <v>46036</v>
      </c>
      <c r="G923" s="4" t="s">
        <v>32</v>
      </c>
      <c r="H923" s="4" t="s">
        <v>141</v>
      </c>
      <c r="I923" s="153">
        <v>30.03</v>
      </c>
      <c r="J923" s="12">
        <v>0.21682574157180121</v>
      </c>
    </row>
    <row r="924" spans="1:10" x14ac:dyDescent="0.25">
      <c r="A924" s="4" t="s">
        <v>20</v>
      </c>
      <c r="B924" s="55" t="s">
        <v>13</v>
      </c>
      <c r="C924" s="5">
        <v>4</v>
      </c>
      <c r="D924" s="56">
        <v>21</v>
      </c>
      <c r="E924" s="56">
        <v>84</v>
      </c>
      <c r="F924" s="157">
        <v>46036</v>
      </c>
      <c r="G924" s="4" t="s">
        <v>32</v>
      </c>
      <c r="H924" s="4" t="s">
        <v>141</v>
      </c>
      <c r="I924" s="153">
        <v>18.489999999999998</v>
      </c>
      <c r="J924" s="12">
        <v>0.2200740457759458</v>
      </c>
    </row>
    <row r="925" spans="1:10" x14ac:dyDescent="0.25">
      <c r="A925" s="4" t="s">
        <v>20</v>
      </c>
      <c r="B925" s="55" t="s">
        <v>13</v>
      </c>
      <c r="C925" s="5">
        <v>26</v>
      </c>
      <c r="D925" s="56">
        <v>21</v>
      </c>
      <c r="E925" s="56">
        <v>534</v>
      </c>
      <c r="F925" s="157">
        <v>46035</v>
      </c>
      <c r="G925" s="4" t="s">
        <v>290</v>
      </c>
      <c r="H925" s="4" t="s">
        <v>141</v>
      </c>
      <c r="I925" s="153">
        <v>108.16</v>
      </c>
      <c r="J925" s="12">
        <v>0.20254761983832661</v>
      </c>
    </row>
    <row r="926" spans="1:10" x14ac:dyDescent="0.25">
      <c r="A926" s="4" t="s">
        <v>20</v>
      </c>
      <c r="B926" s="55" t="s">
        <v>12</v>
      </c>
      <c r="C926" s="5">
        <v>3</v>
      </c>
      <c r="D926" s="56">
        <v>16</v>
      </c>
      <c r="E926" s="56">
        <v>48</v>
      </c>
      <c r="F926" s="157">
        <v>46035</v>
      </c>
      <c r="G926" s="4" t="s">
        <v>290</v>
      </c>
      <c r="H926" s="4" t="s">
        <v>141</v>
      </c>
      <c r="I926" s="153">
        <v>6.38</v>
      </c>
      <c r="J926" s="12">
        <v>0.13283300524934372</v>
      </c>
    </row>
    <row r="927" spans="1:10" x14ac:dyDescent="0.25">
      <c r="A927" s="4" t="s">
        <v>20</v>
      </c>
      <c r="B927" s="55" t="s">
        <v>11</v>
      </c>
      <c r="C927" s="5">
        <v>5</v>
      </c>
      <c r="D927" s="56">
        <v>19</v>
      </c>
      <c r="E927" s="56">
        <v>95</v>
      </c>
      <c r="F927" s="157">
        <v>46035</v>
      </c>
      <c r="G927" s="4" t="s">
        <v>290</v>
      </c>
      <c r="H927" s="4" t="s">
        <v>141</v>
      </c>
      <c r="I927" s="153">
        <v>20.16</v>
      </c>
      <c r="J927" s="12">
        <v>0.21221189608421642</v>
      </c>
    </row>
    <row r="928" spans="1:10" x14ac:dyDescent="0.25">
      <c r="A928" s="4" t="s">
        <v>20</v>
      </c>
      <c r="B928" s="55" t="s">
        <v>10</v>
      </c>
      <c r="C928" s="5">
        <v>5</v>
      </c>
      <c r="D928" s="56">
        <v>20</v>
      </c>
      <c r="E928" s="56">
        <v>100</v>
      </c>
      <c r="F928" s="157">
        <v>46035</v>
      </c>
      <c r="G928" s="4" t="s">
        <v>290</v>
      </c>
      <c r="H928" s="4" t="s">
        <v>141</v>
      </c>
      <c r="I928" s="153">
        <v>22.52</v>
      </c>
      <c r="J928" s="12">
        <v>0.22521689434067477</v>
      </c>
    </row>
    <row r="929" spans="1:10" x14ac:dyDescent="0.25">
      <c r="A929" s="4" t="s">
        <v>20</v>
      </c>
      <c r="B929" s="55" t="s">
        <v>13</v>
      </c>
      <c r="C929" s="5">
        <v>22</v>
      </c>
      <c r="D929" s="56">
        <v>21</v>
      </c>
      <c r="E929" s="56">
        <v>462</v>
      </c>
      <c r="F929" s="157">
        <v>46034</v>
      </c>
      <c r="G929" s="4" t="s">
        <v>291</v>
      </c>
      <c r="H929" s="4" t="s">
        <v>141</v>
      </c>
      <c r="I929" s="153">
        <v>101.67</v>
      </c>
      <c r="J929" s="12">
        <v>0.2200740457759458</v>
      </c>
    </row>
    <row r="930" spans="1:10" x14ac:dyDescent="0.25">
      <c r="A930" s="4" t="s">
        <v>20</v>
      </c>
      <c r="B930" s="55" t="s">
        <v>12</v>
      </c>
      <c r="C930" s="5">
        <v>3</v>
      </c>
      <c r="D930" s="56">
        <v>16</v>
      </c>
      <c r="E930" s="56">
        <v>48</v>
      </c>
      <c r="F930" s="157">
        <v>46034</v>
      </c>
      <c r="G930" s="4" t="s">
        <v>291</v>
      </c>
      <c r="H930" s="4" t="s">
        <v>141</v>
      </c>
      <c r="I930" s="153">
        <v>6.38</v>
      </c>
      <c r="J930" s="12">
        <v>0.13283300524934361</v>
      </c>
    </row>
    <row r="931" spans="1:10" x14ac:dyDescent="0.25">
      <c r="A931" s="4" t="s">
        <v>20</v>
      </c>
      <c r="B931" s="55" t="s">
        <v>11</v>
      </c>
      <c r="C931" s="5">
        <v>3</v>
      </c>
      <c r="D931" s="56">
        <v>19</v>
      </c>
      <c r="E931" s="56">
        <v>57</v>
      </c>
      <c r="F931" s="157">
        <v>46034</v>
      </c>
      <c r="G931" s="4" t="s">
        <v>291</v>
      </c>
      <c r="H931" s="4" t="s">
        <v>141</v>
      </c>
      <c r="I931" s="153">
        <v>12.1</v>
      </c>
      <c r="J931" s="12">
        <v>0.21221189608421645</v>
      </c>
    </row>
    <row r="932" spans="1:10" x14ac:dyDescent="0.25">
      <c r="A932" s="4" t="s">
        <v>20</v>
      </c>
      <c r="B932" s="55" t="s">
        <v>10</v>
      </c>
      <c r="C932" s="5">
        <v>4</v>
      </c>
      <c r="D932" s="56">
        <v>20</v>
      </c>
      <c r="E932" s="56">
        <v>80</v>
      </c>
      <c r="F932" s="157">
        <v>46034</v>
      </c>
      <c r="G932" s="4" t="s">
        <v>291</v>
      </c>
      <c r="H932" s="4" t="s">
        <v>141</v>
      </c>
      <c r="I932" s="153">
        <v>18.02</v>
      </c>
      <c r="J932" s="12">
        <v>0.22521689434067466</v>
      </c>
    </row>
    <row r="933" spans="1:10" x14ac:dyDescent="0.25">
      <c r="A933" s="4" t="s">
        <v>20</v>
      </c>
      <c r="B933" s="55" t="s">
        <v>13</v>
      </c>
      <c r="C933" s="5">
        <v>2</v>
      </c>
      <c r="D933" s="56">
        <v>21</v>
      </c>
      <c r="E933" s="56">
        <v>42</v>
      </c>
      <c r="F933" s="157">
        <v>46034</v>
      </c>
      <c r="G933" s="4" t="s">
        <v>291</v>
      </c>
      <c r="H933" s="4" t="s">
        <v>141</v>
      </c>
      <c r="I933" s="153">
        <v>9.24</v>
      </c>
      <c r="J933" s="12">
        <v>0.2200740457759458</v>
      </c>
    </row>
    <row r="934" spans="1:10" x14ac:dyDescent="0.25">
      <c r="A934" s="4" t="s">
        <v>20</v>
      </c>
      <c r="B934" s="55" t="s">
        <v>12</v>
      </c>
      <c r="C934" s="5">
        <v>2</v>
      </c>
      <c r="D934" s="56">
        <v>16</v>
      </c>
      <c r="E934" s="56">
        <v>32</v>
      </c>
      <c r="F934" s="157">
        <v>46034</v>
      </c>
      <c r="G934" s="4" t="s">
        <v>291</v>
      </c>
      <c r="H934" s="4" t="s">
        <v>141</v>
      </c>
      <c r="I934" s="153">
        <v>4.25</v>
      </c>
      <c r="J934" s="12">
        <v>0.13283300524934361</v>
      </c>
    </row>
    <row r="935" spans="1:10" x14ac:dyDescent="0.25">
      <c r="A935" s="4" t="s">
        <v>20</v>
      </c>
      <c r="B935" s="55" t="s">
        <v>11</v>
      </c>
      <c r="C935" s="5">
        <v>1</v>
      </c>
      <c r="D935" s="56">
        <v>19</v>
      </c>
      <c r="E935" s="56">
        <v>19</v>
      </c>
      <c r="F935" s="157">
        <v>46034</v>
      </c>
      <c r="G935" s="4" t="s">
        <v>291</v>
      </c>
      <c r="H935" s="4" t="s">
        <v>141</v>
      </c>
      <c r="I935" s="153">
        <v>4.03</v>
      </c>
      <c r="J935" s="12">
        <v>0.21221189608421645</v>
      </c>
    </row>
    <row r="936" spans="1:10" x14ac:dyDescent="0.25">
      <c r="A936" s="4" t="s">
        <v>20</v>
      </c>
      <c r="B936" s="55" t="s">
        <v>10</v>
      </c>
      <c r="C936" s="5">
        <v>3</v>
      </c>
      <c r="D936" s="56">
        <v>20</v>
      </c>
      <c r="E936" s="56">
        <v>60</v>
      </c>
      <c r="F936" s="157">
        <v>46034</v>
      </c>
      <c r="G936" s="4" t="s">
        <v>291</v>
      </c>
      <c r="H936" s="4" t="s">
        <v>141</v>
      </c>
      <c r="I936" s="153">
        <v>13.51</v>
      </c>
      <c r="J936" s="12">
        <v>0.22521689434067466</v>
      </c>
    </row>
    <row r="937" spans="1:10" x14ac:dyDescent="0.25">
      <c r="A937" s="4" t="s">
        <v>20</v>
      </c>
      <c r="B937" s="55" t="s">
        <v>13</v>
      </c>
      <c r="C937" s="5">
        <v>5</v>
      </c>
      <c r="D937" s="56">
        <v>21</v>
      </c>
      <c r="E937" s="56">
        <v>105</v>
      </c>
      <c r="F937" s="157">
        <v>46033</v>
      </c>
      <c r="G937" s="4" t="s">
        <v>93</v>
      </c>
      <c r="H937" s="4" t="s">
        <v>141</v>
      </c>
      <c r="I937" s="153">
        <v>23.11</v>
      </c>
      <c r="J937" s="12">
        <v>0.2200740457759458</v>
      </c>
    </row>
    <row r="938" spans="1:10" x14ac:dyDescent="0.25">
      <c r="A938" s="4" t="s">
        <v>20</v>
      </c>
      <c r="B938" s="55" t="s">
        <v>12</v>
      </c>
      <c r="C938" s="5">
        <v>3</v>
      </c>
      <c r="D938" s="56">
        <v>16</v>
      </c>
      <c r="E938" s="56">
        <v>48</v>
      </c>
      <c r="F938" s="157">
        <v>46033</v>
      </c>
      <c r="G938" s="4" t="s">
        <v>93</v>
      </c>
      <c r="H938" s="4" t="s">
        <v>141</v>
      </c>
      <c r="I938" s="153">
        <v>6.38</v>
      </c>
      <c r="J938" s="12">
        <v>0.13283300524934349</v>
      </c>
    </row>
    <row r="939" spans="1:10" x14ac:dyDescent="0.25">
      <c r="A939" s="4" t="s">
        <v>20</v>
      </c>
      <c r="B939" s="55" t="s">
        <v>11</v>
      </c>
      <c r="C939" s="5">
        <v>4</v>
      </c>
      <c r="D939" s="56">
        <v>19</v>
      </c>
      <c r="E939" s="56">
        <v>76</v>
      </c>
      <c r="F939" s="157">
        <v>46033</v>
      </c>
      <c r="G939" s="4" t="s">
        <v>93</v>
      </c>
      <c r="H939" s="4" t="s">
        <v>141</v>
      </c>
      <c r="I939" s="153">
        <v>16.13</v>
      </c>
      <c r="J939" s="12">
        <v>0.21221189608421634</v>
      </c>
    </row>
    <row r="940" spans="1:10" x14ac:dyDescent="0.25">
      <c r="A940" s="4" t="s">
        <v>20</v>
      </c>
      <c r="B940" s="55" t="s">
        <v>10</v>
      </c>
      <c r="C940" s="5">
        <v>1</v>
      </c>
      <c r="D940" s="56">
        <v>20</v>
      </c>
      <c r="E940" s="56">
        <v>20</v>
      </c>
      <c r="F940" s="157">
        <v>46033</v>
      </c>
      <c r="G940" s="4" t="s">
        <v>93</v>
      </c>
      <c r="H940" s="4" t="s">
        <v>141</v>
      </c>
      <c r="I940" s="153">
        <v>4.5</v>
      </c>
      <c r="J940" s="12">
        <v>0.22521689434067466</v>
      </c>
    </row>
    <row r="941" spans="1:10" x14ac:dyDescent="0.25">
      <c r="A941" s="4" t="s">
        <v>20</v>
      </c>
      <c r="B941" s="55" t="s">
        <v>14</v>
      </c>
      <c r="C941" s="5">
        <v>1</v>
      </c>
      <c r="D941" s="56">
        <v>25</v>
      </c>
      <c r="E941" s="56">
        <v>25</v>
      </c>
      <c r="F941" s="157">
        <v>46032</v>
      </c>
      <c r="G941" s="4" t="s">
        <v>92</v>
      </c>
      <c r="H941" s="4" t="s">
        <v>141</v>
      </c>
      <c r="I941" s="153">
        <v>7.67</v>
      </c>
      <c r="J941" s="12">
        <v>0.3066666666666667</v>
      </c>
    </row>
    <row r="942" spans="1:10" x14ac:dyDescent="0.25">
      <c r="A942" s="4" t="s">
        <v>20</v>
      </c>
      <c r="B942" s="55" t="s">
        <v>13</v>
      </c>
      <c r="C942" s="5">
        <v>3</v>
      </c>
      <c r="D942" s="56">
        <v>21</v>
      </c>
      <c r="E942" s="56">
        <v>63</v>
      </c>
      <c r="F942" s="157">
        <v>46032</v>
      </c>
      <c r="G942" s="4" t="s">
        <v>92</v>
      </c>
      <c r="H942" s="4" t="s">
        <v>141</v>
      </c>
      <c r="I942" s="153">
        <v>13.86</v>
      </c>
      <c r="J942" s="12">
        <v>0.2200740457759458</v>
      </c>
    </row>
    <row r="943" spans="1:10" x14ac:dyDescent="0.25">
      <c r="A943" s="4" t="s">
        <v>20</v>
      </c>
      <c r="B943" s="55" t="s">
        <v>12</v>
      </c>
      <c r="C943" s="5">
        <v>2</v>
      </c>
      <c r="D943" s="56">
        <v>16</v>
      </c>
      <c r="E943" s="56">
        <v>32</v>
      </c>
      <c r="F943" s="157">
        <v>46032</v>
      </c>
      <c r="G943" s="4" t="s">
        <v>92</v>
      </c>
      <c r="H943" s="4" t="s">
        <v>141</v>
      </c>
      <c r="I943" s="153">
        <v>4.25</v>
      </c>
      <c r="J943" s="12">
        <v>0.13283300524934361</v>
      </c>
    </row>
    <row r="944" spans="1:10" x14ac:dyDescent="0.25">
      <c r="A944" s="4" t="s">
        <v>20</v>
      </c>
      <c r="B944" s="55" t="s">
        <v>10</v>
      </c>
      <c r="C944" s="5">
        <v>7</v>
      </c>
      <c r="D944" s="56">
        <v>20</v>
      </c>
      <c r="E944" s="56">
        <v>131</v>
      </c>
      <c r="F944" s="157">
        <v>46032</v>
      </c>
      <c r="G944" s="4" t="s">
        <v>92</v>
      </c>
      <c r="H944" s="4" t="s">
        <v>141</v>
      </c>
      <c r="I944" s="153">
        <v>22.53</v>
      </c>
      <c r="J944" s="12">
        <v>0.1719875206694233</v>
      </c>
    </row>
    <row r="945" spans="1:10" x14ac:dyDescent="0.25">
      <c r="A945" s="4" t="s">
        <v>20</v>
      </c>
      <c r="B945" s="55" t="s">
        <v>14</v>
      </c>
      <c r="C945" s="5">
        <v>4</v>
      </c>
      <c r="D945" s="56">
        <v>25</v>
      </c>
      <c r="E945" s="56">
        <v>100</v>
      </c>
      <c r="F945" s="157">
        <v>46031</v>
      </c>
      <c r="G945" s="4" t="s">
        <v>83</v>
      </c>
      <c r="H945" s="4" t="s">
        <v>141</v>
      </c>
      <c r="I945" s="153">
        <v>30.67</v>
      </c>
      <c r="J945" s="12">
        <v>0.3066666666666667</v>
      </c>
    </row>
    <row r="946" spans="1:10" x14ac:dyDescent="0.25">
      <c r="A946" s="4" t="s">
        <v>20</v>
      </c>
      <c r="B946" s="55" t="s">
        <v>13</v>
      </c>
      <c r="C946" s="5">
        <v>19</v>
      </c>
      <c r="D946" s="56">
        <v>21</v>
      </c>
      <c r="E946" s="56">
        <v>397</v>
      </c>
      <c r="F946" s="157">
        <v>46031</v>
      </c>
      <c r="G946" s="4" t="s">
        <v>83</v>
      </c>
      <c r="H946" s="4" t="s">
        <v>141</v>
      </c>
      <c r="I946" s="153">
        <v>85.81</v>
      </c>
      <c r="J946" s="12">
        <v>0.2161449477697793</v>
      </c>
    </row>
    <row r="947" spans="1:10" x14ac:dyDescent="0.25">
      <c r="A947" s="4" t="s">
        <v>20</v>
      </c>
      <c r="B947" s="55" t="s">
        <v>12</v>
      </c>
      <c r="C947" s="5">
        <v>7</v>
      </c>
      <c r="D947" s="56">
        <v>16</v>
      </c>
      <c r="E947" s="56">
        <v>112</v>
      </c>
      <c r="F947" s="157">
        <v>46031</v>
      </c>
      <c r="G947" s="4" t="s">
        <v>83</v>
      </c>
      <c r="H947" s="4" t="s">
        <v>141</v>
      </c>
      <c r="I947" s="153">
        <v>14.88</v>
      </c>
      <c r="J947" s="12">
        <v>0.13283300524934361</v>
      </c>
    </row>
    <row r="948" spans="1:10" x14ac:dyDescent="0.25">
      <c r="A948" s="4" t="s">
        <v>20</v>
      </c>
      <c r="B948" s="55" t="s">
        <v>11</v>
      </c>
      <c r="C948" s="5">
        <v>3</v>
      </c>
      <c r="D948" s="56">
        <v>19</v>
      </c>
      <c r="E948" s="56">
        <v>57</v>
      </c>
      <c r="F948" s="157">
        <v>46031</v>
      </c>
      <c r="G948" s="4" t="s">
        <v>83</v>
      </c>
      <c r="H948" s="4" t="s">
        <v>141</v>
      </c>
      <c r="I948" s="153">
        <v>12.1</v>
      </c>
      <c r="J948" s="12">
        <v>0.21221189608421645</v>
      </c>
    </row>
    <row r="949" spans="1:10" x14ac:dyDescent="0.25">
      <c r="A949" s="4" t="s">
        <v>20</v>
      </c>
      <c r="B949" s="55" t="s">
        <v>10</v>
      </c>
      <c r="C949" s="5">
        <v>9</v>
      </c>
      <c r="D949" s="56">
        <v>20</v>
      </c>
      <c r="E949" s="56">
        <v>180</v>
      </c>
      <c r="F949" s="157">
        <v>46031</v>
      </c>
      <c r="G949" s="4" t="s">
        <v>83</v>
      </c>
      <c r="H949" s="4" t="s">
        <v>141</v>
      </c>
      <c r="I949" s="153">
        <v>40.54</v>
      </c>
      <c r="J949" s="12">
        <v>0.22521689434067468</v>
      </c>
    </row>
    <row r="950" spans="1:10" x14ac:dyDescent="0.25">
      <c r="A950" s="4" t="s">
        <v>20</v>
      </c>
      <c r="B950" s="55" t="s">
        <v>14</v>
      </c>
      <c r="C950" s="5">
        <v>1</v>
      </c>
      <c r="D950" s="56"/>
      <c r="E950" s="56"/>
      <c r="F950" s="157">
        <v>46031</v>
      </c>
      <c r="G950" s="4" t="s">
        <v>83</v>
      </c>
      <c r="H950" s="4" t="s">
        <v>141</v>
      </c>
      <c r="I950" s="153">
        <v>-17.329999999999998</v>
      </c>
      <c r="J950" s="12"/>
    </row>
    <row r="951" spans="1:10" x14ac:dyDescent="0.25">
      <c r="A951" s="4" t="s">
        <v>20</v>
      </c>
      <c r="B951" s="55" t="s">
        <v>14</v>
      </c>
      <c r="C951" s="5">
        <v>8</v>
      </c>
      <c r="D951" s="56">
        <v>25</v>
      </c>
      <c r="E951" s="56">
        <v>200</v>
      </c>
      <c r="F951" s="157">
        <v>46030</v>
      </c>
      <c r="G951" s="4" t="s">
        <v>294</v>
      </c>
      <c r="H951" s="4" t="s">
        <v>141</v>
      </c>
      <c r="I951" s="153">
        <v>61.33</v>
      </c>
      <c r="J951" s="12">
        <v>0.3066666666666667</v>
      </c>
    </row>
    <row r="952" spans="1:10" x14ac:dyDescent="0.25">
      <c r="A952" s="4" t="s">
        <v>20</v>
      </c>
      <c r="B952" s="55" t="s">
        <v>13</v>
      </c>
      <c r="C952" s="5">
        <v>15</v>
      </c>
      <c r="D952" s="56">
        <v>21</v>
      </c>
      <c r="E952" s="56">
        <v>315</v>
      </c>
      <c r="F952" s="157">
        <v>46030</v>
      </c>
      <c r="G952" s="4" t="s">
        <v>294</v>
      </c>
      <c r="H952" s="4" t="s">
        <v>141</v>
      </c>
      <c r="I952" s="153">
        <v>69.319999999999993</v>
      </c>
      <c r="J952" s="12">
        <v>0.2200740457759458</v>
      </c>
    </row>
    <row r="953" spans="1:10" x14ac:dyDescent="0.25">
      <c r="A953" s="4" t="s">
        <v>20</v>
      </c>
      <c r="B953" s="55" t="s">
        <v>12</v>
      </c>
      <c r="C953" s="5">
        <v>5</v>
      </c>
      <c r="D953" s="56">
        <v>16</v>
      </c>
      <c r="E953" s="56">
        <v>80</v>
      </c>
      <c r="F953" s="157">
        <v>46030</v>
      </c>
      <c r="G953" s="4" t="s">
        <v>294</v>
      </c>
      <c r="H953" s="4" t="s">
        <v>141</v>
      </c>
      <c r="I953" s="153">
        <v>10.63</v>
      </c>
      <c r="J953" s="12">
        <v>0.13283300524934372</v>
      </c>
    </row>
    <row r="954" spans="1:10" x14ac:dyDescent="0.25">
      <c r="A954" s="4" t="s">
        <v>20</v>
      </c>
      <c r="B954" s="55" t="s">
        <v>11</v>
      </c>
      <c r="C954" s="5">
        <v>4</v>
      </c>
      <c r="D954" s="56">
        <v>19</v>
      </c>
      <c r="E954" s="56">
        <v>76</v>
      </c>
      <c r="F954" s="157">
        <v>46030</v>
      </c>
      <c r="G954" s="4" t="s">
        <v>294</v>
      </c>
      <c r="H954" s="4" t="s">
        <v>141</v>
      </c>
      <c r="I954" s="153">
        <v>16.13</v>
      </c>
      <c r="J954" s="12">
        <v>0.21221189608421634</v>
      </c>
    </row>
    <row r="955" spans="1:10" x14ac:dyDescent="0.25">
      <c r="A955" s="4" t="s">
        <v>20</v>
      </c>
      <c r="B955" s="55" t="s">
        <v>10</v>
      </c>
      <c r="C955" s="5">
        <v>11</v>
      </c>
      <c r="D955" s="56">
        <v>20</v>
      </c>
      <c r="E955" s="56">
        <v>211</v>
      </c>
      <c r="F955" s="157">
        <v>46030</v>
      </c>
      <c r="G955" s="4" t="s">
        <v>294</v>
      </c>
      <c r="H955" s="4" t="s">
        <v>141</v>
      </c>
      <c r="I955" s="153">
        <v>40.549999999999997</v>
      </c>
      <c r="J955" s="12">
        <v>0.1921692737201347</v>
      </c>
    </row>
    <row r="956" spans="1:10" x14ac:dyDescent="0.25">
      <c r="A956" s="4" t="s">
        <v>20</v>
      </c>
      <c r="B956" s="55" t="s">
        <v>11</v>
      </c>
      <c r="C956" s="5">
        <v>4</v>
      </c>
      <c r="D956" s="56"/>
      <c r="E956" s="56"/>
      <c r="F956" s="157">
        <v>46030</v>
      </c>
      <c r="G956" s="4" t="s">
        <v>294</v>
      </c>
      <c r="H956" s="4" t="s">
        <v>141</v>
      </c>
      <c r="I956" s="153">
        <v>-59.8718958975996</v>
      </c>
      <c r="J956" s="12">
        <v>0.21221189608421634</v>
      </c>
    </row>
    <row r="957" spans="1:10" x14ac:dyDescent="0.25">
      <c r="A957" s="4" t="s">
        <v>20</v>
      </c>
      <c r="B957" s="55" t="s">
        <v>10</v>
      </c>
      <c r="C957" s="5">
        <v>4</v>
      </c>
      <c r="D957" s="56"/>
      <c r="E957" s="56"/>
      <c r="F957" s="157">
        <v>46030</v>
      </c>
      <c r="G957" s="4" t="s">
        <v>294</v>
      </c>
      <c r="H957" s="4" t="s">
        <v>141</v>
      </c>
      <c r="I957" s="153">
        <v>-61.982648452745998</v>
      </c>
      <c r="J957" s="12">
        <v>0.22521689434067466</v>
      </c>
    </row>
    <row r="958" spans="1:10" x14ac:dyDescent="0.25">
      <c r="A958" s="4" t="s">
        <v>20</v>
      </c>
      <c r="B958" s="55" t="s">
        <v>14</v>
      </c>
      <c r="C958" s="5">
        <v>6</v>
      </c>
      <c r="D958" s="56">
        <v>25</v>
      </c>
      <c r="E958" s="56">
        <v>150</v>
      </c>
      <c r="F958" s="157">
        <v>46029</v>
      </c>
      <c r="G958" s="4" t="s">
        <v>32</v>
      </c>
      <c r="H958" s="4" t="s">
        <v>141</v>
      </c>
      <c r="I958" s="153">
        <v>46</v>
      </c>
      <c r="J958" s="12">
        <v>0.3066666666666667</v>
      </c>
    </row>
    <row r="959" spans="1:10" x14ac:dyDescent="0.25">
      <c r="A959" s="4" t="s">
        <v>20</v>
      </c>
      <c r="B959" s="55" t="s">
        <v>13</v>
      </c>
      <c r="C959" s="5">
        <v>30</v>
      </c>
      <c r="D959" s="56">
        <v>21</v>
      </c>
      <c r="E959" s="56">
        <v>618</v>
      </c>
      <c r="F959" s="157">
        <v>46029</v>
      </c>
      <c r="G959" s="4" t="s">
        <v>32</v>
      </c>
      <c r="H959" s="4" t="s">
        <v>141</v>
      </c>
      <c r="I959" s="153">
        <v>126.65</v>
      </c>
      <c r="J959" s="12">
        <v>0.20492985249004184</v>
      </c>
    </row>
    <row r="960" spans="1:10" x14ac:dyDescent="0.25">
      <c r="A960" s="4" t="s">
        <v>20</v>
      </c>
      <c r="B960" s="55" t="s">
        <v>12</v>
      </c>
      <c r="C960" s="5">
        <v>20</v>
      </c>
      <c r="D960" s="56">
        <v>16</v>
      </c>
      <c r="E960" s="56">
        <v>314</v>
      </c>
      <c r="F960" s="157">
        <v>46029</v>
      </c>
      <c r="G960" s="4" t="s">
        <v>32</v>
      </c>
      <c r="H960" s="4" t="s">
        <v>141</v>
      </c>
      <c r="I960" s="153">
        <v>36.51</v>
      </c>
      <c r="J960" s="12">
        <v>0.11626293528595538</v>
      </c>
    </row>
    <row r="961" spans="1:10" x14ac:dyDescent="0.25">
      <c r="A961" s="4" t="s">
        <v>20</v>
      </c>
      <c r="B961" s="55" t="s">
        <v>10</v>
      </c>
      <c r="C961" s="5">
        <v>10</v>
      </c>
      <c r="D961" s="56">
        <v>20</v>
      </c>
      <c r="E961" s="56">
        <v>200</v>
      </c>
      <c r="F961" s="157">
        <v>46029</v>
      </c>
      <c r="G961" s="4" t="s">
        <v>32</v>
      </c>
      <c r="H961" s="4" t="s">
        <v>141</v>
      </c>
      <c r="I961" s="153">
        <v>45.04</v>
      </c>
      <c r="J961" s="12">
        <v>0.22521689434067468</v>
      </c>
    </row>
    <row r="962" spans="1:10" x14ac:dyDescent="0.25">
      <c r="A962" s="4" t="s">
        <v>30</v>
      </c>
      <c r="B962" s="55" t="s">
        <v>10</v>
      </c>
      <c r="C962" s="5">
        <v>120</v>
      </c>
      <c r="D962" s="56">
        <v>175</v>
      </c>
      <c r="E962" s="56">
        <v>1750</v>
      </c>
      <c r="F962" s="157">
        <v>46029</v>
      </c>
      <c r="G962" s="4" t="s">
        <v>32</v>
      </c>
      <c r="H962" s="4" t="s">
        <v>141</v>
      </c>
      <c r="I962" s="153"/>
      <c r="J962" s="12"/>
    </row>
    <row r="963" spans="1:10" x14ac:dyDescent="0.25">
      <c r="A963" s="4" t="s">
        <v>30</v>
      </c>
      <c r="B963" s="55" t="s">
        <v>14</v>
      </c>
      <c r="C963" s="5">
        <v>12</v>
      </c>
      <c r="D963" s="56">
        <v>200</v>
      </c>
      <c r="E963" s="56">
        <v>200</v>
      </c>
      <c r="F963" s="157">
        <v>46029</v>
      </c>
      <c r="G963" s="4" t="s">
        <v>32</v>
      </c>
      <c r="H963" s="4" t="s">
        <v>141</v>
      </c>
      <c r="I963" s="153"/>
      <c r="J963" s="12"/>
    </row>
    <row r="964" spans="1:10" x14ac:dyDescent="0.25">
      <c r="A964" s="4" t="s">
        <v>30</v>
      </c>
      <c r="B964" s="55" t="s">
        <v>12</v>
      </c>
      <c r="C964" s="5">
        <v>72</v>
      </c>
      <c r="D964" s="56">
        <v>160</v>
      </c>
      <c r="E964" s="56">
        <v>960</v>
      </c>
      <c r="F964" s="157">
        <v>46029</v>
      </c>
      <c r="G964" s="4" t="s">
        <v>32</v>
      </c>
      <c r="H964" s="4" t="s">
        <v>141</v>
      </c>
      <c r="I964" s="153" t="s">
        <v>311</v>
      </c>
      <c r="J964" s="12"/>
    </row>
    <row r="965" spans="1:10" x14ac:dyDescent="0.25">
      <c r="A965" s="4" t="s">
        <v>30</v>
      </c>
      <c r="B965" s="55" t="s">
        <v>11</v>
      </c>
      <c r="C965" s="5">
        <v>96</v>
      </c>
      <c r="D965" s="56">
        <v>170</v>
      </c>
      <c r="E965" s="56">
        <v>1360</v>
      </c>
      <c r="F965" s="157">
        <v>46029</v>
      </c>
      <c r="G965" s="4" t="s">
        <v>32</v>
      </c>
      <c r="H965" s="4" t="s">
        <v>141</v>
      </c>
      <c r="I965" s="153"/>
      <c r="J965" s="12"/>
    </row>
    <row r="966" spans="1:10" x14ac:dyDescent="0.25">
      <c r="A966" s="4" t="s">
        <v>30</v>
      </c>
      <c r="B966" s="55" t="s">
        <v>13</v>
      </c>
      <c r="C966" s="5">
        <v>120</v>
      </c>
      <c r="D966" s="56">
        <v>190</v>
      </c>
      <c r="E966" s="56">
        <v>1900</v>
      </c>
      <c r="F966" s="157">
        <v>46029</v>
      </c>
      <c r="G966" s="4" t="s">
        <v>32</v>
      </c>
      <c r="H966" s="4" t="s">
        <v>141</v>
      </c>
      <c r="I966" s="153"/>
      <c r="J966" s="12"/>
    </row>
    <row r="967" spans="1:10" x14ac:dyDescent="0.25">
      <c r="A967" s="4" t="s">
        <v>20</v>
      </c>
      <c r="B967" s="55" t="s">
        <v>14</v>
      </c>
      <c r="C967" s="5">
        <v>4</v>
      </c>
      <c r="D967" s="56">
        <v>25</v>
      </c>
      <c r="E967" s="56">
        <v>100</v>
      </c>
      <c r="F967" s="157">
        <v>46028</v>
      </c>
      <c r="G967" s="4" t="s">
        <v>290</v>
      </c>
      <c r="H967" s="4" t="s">
        <v>141</v>
      </c>
      <c r="I967" s="153">
        <v>26.67</v>
      </c>
      <c r="J967" s="12">
        <v>0.26666666666666672</v>
      </c>
    </row>
    <row r="968" spans="1:10" x14ac:dyDescent="0.25">
      <c r="A968" s="4" t="s">
        <v>20</v>
      </c>
      <c r="B968" s="55" t="s">
        <v>13</v>
      </c>
      <c r="C968" s="5">
        <v>16</v>
      </c>
      <c r="D968" s="56">
        <v>21</v>
      </c>
      <c r="E968" s="56">
        <v>324</v>
      </c>
      <c r="F968" s="157">
        <v>46028</v>
      </c>
      <c r="G968" s="4" t="s">
        <v>290</v>
      </c>
      <c r="H968" s="4" t="s">
        <v>141</v>
      </c>
      <c r="I968" s="153">
        <v>48.86</v>
      </c>
      <c r="J968" s="12">
        <v>0.15080989054871347</v>
      </c>
    </row>
    <row r="969" spans="1:10" x14ac:dyDescent="0.25">
      <c r="A969" s="4" t="s">
        <v>20</v>
      </c>
      <c r="B969" s="55" t="s">
        <v>12</v>
      </c>
      <c r="C969" s="5">
        <v>7</v>
      </c>
      <c r="D969" s="56">
        <v>16</v>
      </c>
      <c r="E969" s="56">
        <v>112</v>
      </c>
      <c r="F969" s="157">
        <v>46028</v>
      </c>
      <c r="G969" s="4" t="s">
        <v>290</v>
      </c>
      <c r="H969" s="4" t="s">
        <v>141</v>
      </c>
      <c r="I969" s="153">
        <v>9.92</v>
      </c>
      <c r="J969" s="12">
        <v>8.8541666666666519E-2</v>
      </c>
    </row>
    <row r="970" spans="1:10" x14ac:dyDescent="0.25">
      <c r="A970" s="4" t="s">
        <v>20</v>
      </c>
      <c r="B970" s="55" t="s">
        <v>11</v>
      </c>
      <c r="C970" s="5">
        <v>1</v>
      </c>
      <c r="D970" s="56">
        <v>19</v>
      </c>
      <c r="E970" s="56">
        <v>19</v>
      </c>
      <c r="F970" s="157">
        <v>46028</v>
      </c>
      <c r="G970" s="4" t="s">
        <v>290</v>
      </c>
      <c r="H970" s="4" t="s">
        <v>141</v>
      </c>
      <c r="I970" s="153">
        <v>2.96</v>
      </c>
      <c r="J970" s="12">
        <v>0.15598144241394737</v>
      </c>
    </row>
    <row r="971" spans="1:10" x14ac:dyDescent="0.25">
      <c r="A971" s="4" t="s">
        <v>20</v>
      </c>
      <c r="B971" s="55" t="s">
        <v>10</v>
      </c>
      <c r="C971" s="5">
        <v>13</v>
      </c>
      <c r="D971" s="56">
        <v>20</v>
      </c>
      <c r="E971" s="56">
        <v>251</v>
      </c>
      <c r="F971" s="157">
        <v>46028</v>
      </c>
      <c r="G971" s="4" t="s">
        <v>290</v>
      </c>
      <c r="H971" s="4" t="s">
        <v>141</v>
      </c>
      <c r="I971" s="153">
        <v>33.92</v>
      </c>
      <c r="J971" s="12">
        <v>0.13512616201859229</v>
      </c>
    </row>
    <row r="972" spans="1:10" x14ac:dyDescent="0.25">
      <c r="A972" s="4" t="s">
        <v>20</v>
      </c>
      <c r="B972" s="55" t="s">
        <v>14</v>
      </c>
      <c r="C972" s="5">
        <v>7</v>
      </c>
      <c r="D972" s="56">
        <v>25</v>
      </c>
      <c r="E972" s="56">
        <v>175</v>
      </c>
      <c r="F972" s="157">
        <v>46027</v>
      </c>
      <c r="G972" s="4" t="s">
        <v>291</v>
      </c>
      <c r="H972" s="4" t="s">
        <v>141</v>
      </c>
      <c r="I972" s="153">
        <v>46.67</v>
      </c>
      <c r="J972" s="12">
        <v>0.26666666666666672</v>
      </c>
    </row>
    <row r="973" spans="1:10" x14ac:dyDescent="0.25">
      <c r="A973" s="4" t="s">
        <v>20</v>
      </c>
      <c r="B973" s="55" t="s">
        <v>13</v>
      </c>
      <c r="C973" s="5">
        <v>29</v>
      </c>
      <c r="D973" s="56">
        <v>21</v>
      </c>
      <c r="E973" s="56">
        <v>585</v>
      </c>
      <c r="F973" s="157">
        <v>46027</v>
      </c>
      <c r="G973" s="4" t="s">
        <v>291</v>
      </c>
      <c r="H973" s="4" t="s">
        <v>141</v>
      </c>
      <c r="I973" s="153">
        <v>86.31</v>
      </c>
      <c r="J973" s="12">
        <v>0.1475437747431316</v>
      </c>
    </row>
    <row r="974" spans="1:10" x14ac:dyDescent="0.25">
      <c r="A974" s="4" t="s">
        <v>20</v>
      </c>
      <c r="B974" s="55" t="s">
        <v>12</v>
      </c>
      <c r="C974" s="5">
        <v>6</v>
      </c>
      <c r="D974" s="56">
        <v>16</v>
      </c>
      <c r="E974" s="56">
        <v>96</v>
      </c>
      <c r="F974" s="157">
        <v>46027</v>
      </c>
      <c r="G974" s="4" t="s">
        <v>291</v>
      </c>
      <c r="H974" s="4" t="s">
        <v>141</v>
      </c>
      <c r="I974" s="153">
        <v>8.5</v>
      </c>
      <c r="J974" s="12">
        <v>8.8541666666666519E-2</v>
      </c>
    </row>
    <row r="975" spans="1:10" x14ac:dyDescent="0.25">
      <c r="A975" s="4" t="s">
        <v>20</v>
      </c>
      <c r="B975" s="55" t="s">
        <v>11</v>
      </c>
      <c r="C975" s="5">
        <v>17</v>
      </c>
      <c r="D975" s="56">
        <v>19</v>
      </c>
      <c r="E975" s="56">
        <v>311</v>
      </c>
      <c r="F975" s="157">
        <v>46027</v>
      </c>
      <c r="G975" s="4" t="s">
        <v>291</v>
      </c>
      <c r="H975" s="4" t="s">
        <v>141</v>
      </c>
      <c r="I975" s="153">
        <v>38.380000000000003</v>
      </c>
      <c r="J975" s="12">
        <v>0.12341480996689713</v>
      </c>
    </row>
    <row r="976" spans="1:10" x14ac:dyDescent="0.25">
      <c r="A976" s="4" t="s">
        <v>20</v>
      </c>
      <c r="B976" s="55" t="s">
        <v>10</v>
      </c>
      <c r="C976" s="5">
        <v>18</v>
      </c>
      <c r="D976" s="56">
        <v>20</v>
      </c>
      <c r="E976" s="56">
        <v>342</v>
      </c>
      <c r="F976" s="157">
        <v>46027</v>
      </c>
      <c r="G976" s="4" t="s">
        <v>291</v>
      </c>
      <c r="H976" s="4" t="s">
        <v>141</v>
      </c>
      <c r="I976" s="153">
        <v>41.42</v>
      </c>
      <c r="J976" s="12">
        <v>0.12112010796221322</v>
      </c>
    </row>
    <row r="977" spans="1:10" x14ac:dyDescent="0.25">
      <c r="A977" s="4" t="s">
        <v>20</v>
      </c>
      <c r="B977" s="55" t="s">
        <v>14</v>
      </c>
      <c r="C977" s="5">
        <v>2</v>
      </c>
      <c r="D977" s="56">
        <v>25</v>
      </c>
      <c r="E977" s="56">
        <v>50</v>
      </c>
      <c r="F977" s="157">
        <v>46026</v>
      </c>
      <c r="G977" s="4" t="s">
        <v>93</v>
      </c>
      <c r="H977" s="4" t="s">
        <v>141</v>
      </c>
      <c r="I977" s="153">
        <v>13.33</v>
      </c>
      <c r="J977" s="12">
        <v>0.26666666666666672</v>
      </c>
    </row>
    <row r="978" spans="1:10" x14ac:dyDescent="0.25">
      <c r="A978" s="4" t="s">
        <v>20</v>
      </c>
      <c r="B978" s="55" t="s">
        <v>13</v>
      </c>
      <c r="C978" s="5">
        <v>20</v>
      </c>
      <c r="D978" s="56">
        <v>21</v>
      </c>
      <c r="E978" s="56">
        <v>420</v>
      </c>
      <c r="F978" s="157">
        <v>46026</v>
      </c>
      <c r="G978" s="4" t="s">
        <v>93</v>
      </c>
      <c r="H978" s="4" t="s">
        <v>141</v>
      </c>
      <c r="I978" s="153">
        <v>76.08</v>
      </c>
      <c r="J978" s="12">
        <v>0.18113810874340228</v>
      </c>
    </row>
    <row r="979" spans="1:10" x14ac:dyDescent="0.25">
      <c r="A979" s="4" t="s">
        <v>20</v>
      </c>
      <c r="B979" s="55" t="s">
        <v>12</v>
      </c>
      <c r="C979" s="5">
        <v>7</v>
      </c>
      <c r="D979" s="56">
        <v>16</v>
      </c>
      <c r="E979" s="56">
        <v>112</v>
      </c>
      <c r="F979" s="157">
        <v>46026</v>
      </c>
      <c r="G979" s="4" t="s">
        <v>93</v>
      </c>
      <c r="H979" s="4" t="s">
        <v>141</v>
      </c>
      <c r="I979" s="153">
        <v>9.92</v>
      </c>
      <c r="J979" s="12">
        <v>8.8541666666666519E-2</v>
      </c>
    </row>
    <row r="980" spans="1:10" x14ac:dyDescent="0.25">
      <c r="A980" s="4" t="s">
        <v>20</v>
      </c>
      <c r="B980" s="55" t="s">
        <v>11</v>
      </c>
      <c r="C980" s="5">
        <v>12</v>
      </c>
      <c r="D980" s="56">
        <v>19</v>
      </c>
      <c r="E980" s="56">
        <v>216</v>
      </c>
      <c r="F980" s="157">
        <v>46026</v>
      </c>
      <c r="G980" s="4" t="s">
        <v>93</v>
      </c>
      <c r="H980" s="4" t="s">
        <v>141</v>
      </c>
      <c r="I980" s="153">
        <v>23.56</v>
      </c>
      <c r="J980" s="12">
        <v>0.10909152254805557</v>
      </c>
    </row>
    <row r="981" spans="1:10" x14ac:dyDescent="0.25">
      <c r="A981" s="4" t="s">
        <v>20</v>
      </c>
      <c r="B981" s="55" t="s">
        <v>10</v>
      </c>
      <c r="C981" s="5">
        <v>7</v>
      </c>
      <c r="D981" s="56">
        <v>20</v>
      </c>
      <c r="E981" s="56">
        <v>140</v>
      </c>
      <c r="F981" s="157">
        <v>46026</v>
      </c>
      <c r="G981" s="4" t="s">
        <v>93</v>
      </c>
      <c r="H981" s="4" t="s">
        <v>141</v>
      </c>
      <c r="I981" s="153">
        <v>23.11</v>
      </c>
      <c r="J981" s="12">
        <v>0.16506410256410256</v>
      </c>
    </row>
    <row r="982" spans="1:10" x14ac:dyDescent="0.25">
      <c r="A982" s="4" t="s">
        <v>20</v>
      </c>
      <c r="B982" s="55" t="s">
        <v>14</v>
      </c>
      <c r="C982" s="5">
        <v>3</v>
      </c>
      <c r="D982" s="56">
        <v>25</v>
      </c>
      <c r="E982" s="56">
        <v>75</v>
      </c>
      <c r="F982" s="157">
        <v>46025</v>
      </c>
      <c r="G982" s="4" t="s">
        <v>92</v>
      </c>
      <c r="H982" s="4" t="s">
        <v>141</v>
      </c>
      <c r="I982" s="153">
        <v>20</v>
      </c>
      <c r="J982" s="12">
        <v>0.26666666666666672</v>
      </c>
    </row>
    <row r="983" spans="1:10" x14ac:dyDescent="0.25">
      <c r="A983" s="4" t="s">
        <v>20</v>
      </c>
      <c r="B983" s="55" t="s">
        <v>10</v>
      </c>
      <c r="C983" s="5">
        <v>1</v>
      </c>
      <c r="D983" s="56">
        <v>20</v>
      </c>
      <c r="E983" s="56">
        <v>20</v>
      </c>
      <c r="F983" s="157">
        <v>46025</v>
      </c>
      <c r="G983" s="4" t="s">
        <v>92</v>
      </c>
      <c r="H983" s="4" t="s">
        <v>141</v>
      </c>
      <c r="I983" s="153">
        <v>3.3</v>
      </c>
      <c r="J983" s="12">
        <v>0.16506410256410256</v>
      </c>
    </row>
    <row r="984" spans="1:10" x14ac:dyDescent="0.25">
      <c r="A984" s="4" t="s">
        <v>292</v>
      </c>
      <c r="B984" s="55" t="s">
        <v>14</v>
      </c>
      <c r="C984" s="5">
        <v>12</v>
      </c>
      <c r="D984" s="56">
        <v>220</v>
      </c>
      <c r="E984" s="56">
        <v>220</v>
      </c>
      <c r="F984" s="157">
        <v>46025</v>
      </c>
      <c r="G984" s="4" t="s">
        <v>92</v>
      </c>
      <c r="H984" s="4" t="s">
        <v>141</v>
      </c>
      <c r="I984" s="153"/>
      <c r="J984" s="12"/>
    </row>
    <row r="985" spans="1:10" x14ac:dyDescent="0.25">
      <c r="A985" s="4" t="s">
        <v>292</v>
      </c>
      <c r="B985" s="55" t="s">
        <v>14</v>
      </c>
      <c r="C985" s="5">
        <v>12</v>
      </c>
      <c r="D985" s="56">
        <v>220</v>
      </c>
      <c r="E985" s="56">
        <v>220</v>
      </c>
      <c r="F985" s="157">
        <v>46025</v>
      </c>
      <c r="G985" s="4" t="s">
        <v>92</v>
      </c>
      <c r="H985" s="4" t="s">
        <v>141</v>
      </c>
      <c r="I985" s="153"/>
      <c r="J985" s="12"/>
    </row>
    <row r="986" spans="1:10" x14ac:dyDescent="0.25">
      <c r="A986" s="4" t="s">
        <v>292</v>
      </c>
      <c r="B986" s="55" t="s">
        <v>13</v>
      </c>
      <c r="C986" s="5">
        <v>108</v>
      </c>
      <c r="D986" s="56">
        <v>205</v>
      </c>
      <c r="E986" s="56">
        <v>1845</v>
      </c>
      <c r="F986" s="157">
        <v>46025</v>
      </c>
      <c r="G986" s="4" t="s">
        <v>92</v>
      </c>
      <c r="H986" s="4" t="s">
        <v>141</v>
      </c>
      <c r="I986" s="153"/>
      <c r="J986" s="12"/>
    </row>
    <row r="987" spans="1:10" x14ac:dyDescent="0.25">
      <c r="A987" s="4" t="s">
        <v>292</v>
      </c>
      <c r="B987" s="55" t="s">
        <v>11</v>
      </c>
      <c r="C987" s="5">
        <v>24</v>
      </c>
      <c r="D987" s="56">
        <v>190</v>
      </c>
      <c r="E987" s="56">
        <v>380</v>
      </c>
      <c r="F987" s="157">
        <v>46025</v>
      </c>
      <c r="G987" s="4" t="s">
        <v>92</v>
      </c>
      <c r="H987" s="4" t="s">
        <v>141</v>
      </c>
      <c r="I987" s="153"/>
      <c r="J987" s="12"/>
    </row>
    <row r="988" spans="1:10" x14ac:dyDescent="0.25">
      <c r="A988" s="4" t="s">
        <v>292</v>
      </c>
      <c r="B988" s="55" t="s">
        <v>10</v>
      </c>
      <c r="C988" s="5">
        <v>120</v>
      </c>
      <c r="D988" s="56">
        <v>200</v>
      </c>
      <c r="E988" s="56">
        <v>2000</v>
      </c>
      <c r="F988" s="157">
        <v>46025</v>
      </c>
      <c r="G988" s="4" t="s">
        <v>92</v>
      </c>
      <c r="H988" s="4" t="s">
        <v>141</v>
      </c>
      <c r="I988" s="153"/>
      <c r="J988" s="12"/>
    </row>
    <row r="989" spans="1:10" x14ac:dyDescent="0.25">
      <c r="A989" s="4" t="s">
        <v>20</v>
      </c>
      <c r="B989" s="55" t="s">
        <v>13</v>
      </c>
      <c r="C989" s="5">
        <v>12</v>
      </c>
      <c r="D989" s="56">
        <v>21</v>
      </c>
      <c r="E989" s="56">
        <v>252</v>
      </c>
      <c r="F989" s="157">
        <v>46024</v>
      </c>
      <c r="G989" s="4" t="s">
        <v>83</v>
      </c>
      <c r="H989" s="4" t="s">
        <v>141</v>
      </c>
      <c r="I989" s="153">
        <v>41.7</v>
      </c>
      <c r="J989" s="12">
        <v>0.16546401689016696</v>
      </c>
    </row>
    <row r="990" spans="1:10" x14ac:dyDescent="0.25">
      <c r="A990" s="4" t="s">
        <v>20</v>
      </c>
      <c r="B990" s="55" t="s">
        <v>12</v>
      </c>
      <c r="C990" s="5">
        <v>6</v>
      </c>
      <c r="D990" s="56">
        <v>16</v>
      </c>
      <c r="E990" s="56">
        <v>96</v>
      </c>
      <c r="F990" s="157">
        <v>46024</v>
      </c>
      <c r="G990" s="4" t="s">
        <v>83</v>
      </c>
      <c r="H990" s="4" t="s">
        <v>141</v>
      </c>
      <c r="I990" s="153">
        <v>8.5</v>
      </c>
      <c r="J990" s="12">
        <v>8.8541666666666519E-2</v>
      </c>
    </row>
    <row r="991" spans="1:10" x14ac:dyDescent="0.25">
      <c r="A991" s="4" t="s">
        <v>20</v>
      </c>
      <c r="B991" s="55" t="s">
        <v>11</v>
      </c>
      <c r="C991" s="5">
        <v>1</v>
      </c>
      <c r="D991" s="56">
        <v>19</v>
      </c>
      <c r="E991" s="56">
        <v>19</v>
      </c>
      <c r="F991" s="157">
        <v>46024</v>
      </c>
      <c r="G991" s="4" t="s">
        <v>83</v>
      </c>
      <c r="H991" s="4" t="s">
        <v>141</v>
      </c>
      <c r="I991" s="153">
        <v>2.9</v>
      </c>
      <c r="J991" s="12">
        <v>0.15269368110541828</v>
      </c>
    </row>
    <row r="992" spans="1:10" x14ac:dyDescent="0.25">
      <c r="A992" s="4" t="s">
        <v>20</v>
      </c>
      <c r="B992" s="55" t="s">
        <v>10</v>
      </c>
      <c r="C992" s="5">
        <v>7</v>
      </c>
      <c r="D992" s="56">
        <v>20</v>
      </c>
      <c r="E992" s="56">
        <v>140</v>
      </c>
      <c r="F992" s="157">
        <v>46024</v>
      </c>
      <c r="G992" s="4" t="s">
        <v>83</v>
      </c>
      <c r="H992" s="4" t="s">
        <v>141</v>
      </c>
      <c r="I992" s="153">
        <v>20.420000000000002</v>
      </c>
      <c r="J992" s="12">
        <v>0.1458333333333334</v>
      </c>
    </row>
    <row r="993" spans="1:10" x14ac:dyDescent="0.25">
      <c r="A993" s="4" t="s">
        <v>30</v>
      </c>
      <c r="B993" s="55" t="s">
        <v>13</v>
      </c>
      <c r="C993" s="5">
        <v>49</v>
      </c>
      <c r="D993" s="56">
        <v>210.3</v>
      </c>
      <c r="E993" s="56">
        <v>858.74</v>
      </c>
      <c r="F993" s="157">
        <v>46023</v>
      </c>
      <c r="G993" s="4" t="s">
        <v>294</v>
      </c>
      <c r="H993" s="4" t="s">
        <v>141</v>
      </c>
      <c r="I993" s="153"/>
      <c r="J993" s="12"/>
    </row>
    <row r="994" spans="1:10" x14ac:dyDescent="0.25">
      <c r="A994" s="4" t="s">
        <v>30</v>
      </c>
      <c r="B994" s="55" t="s">
        <v>12</v>
      </c>
      <c r="C994" s="5">
        <v>81</v>
      </c>
      <c r="D994" s="56">
        <v>175</v>
      </c>
      <c r="E994" s="56">
        <v>1181.25</v>
      </c>
      <c r="F994" s="157">
        <v>46023</v>
      </c>
      <c r="G994" s="4" t="s">
        <v>294</v>
      </c>
      <c r="H994" s="4" t="s">
        <v>141</v>
      </c>
      <c r="I994" s="153"/>
      <c r="J994" s="12"/>
    </row>
    <row r="995" spans="1:10" x14ac:dyDescent="0.25">
      <c r="A995" s="4" t="s">
        <v>30</v>
      </c>
      <c r="B995" s="55" t="s">
        <v>11</v>
      </c>
      <c r="C995" s="5">
        <v>79</v>
      </c>
      <c r="D995" s="56">
        <v>193.19</v>
      </c>
      <c r="E995" s="56">
        <v>1271.81</v>
      </c>
      <c r="F995" s="157">
        <v>46023</v>
      </c>
      <c r="G995" s="4" t="s">
        <v>294</v>
      </c>
      <c r="H995" s="4" t="s">
        <v>141</v>
      </c>
      <c r="I995" s="153"/>
      <c r="J995" s="12"/>
    </row>
    <row r="996" spans="1:10" x14ac:dyDescent="0.25">
      <c r="A996" s="4" t="s">
        <v>30</v>
      </c>
      <c r="B996" s="55" t="s">
        <v>10</v>
      </c>
      <c r="C996" s="5">
        <v>17</v>
      </c>
      <c r="D996" s="56">
        <v>205</v>
      </c>
      <c r="E996" s="56">
        <v>290.42</v>
      </c>
      <c r="F996" s="157">
        <v>46023</v>
      </c>
      <c r="G996" s="4" t="s">
        <v>294</v>
      </c>
      <c r="H996" s="4" t="s">
        <v>141</v>
      </c>
      <c r="I996" s="153"/>
      <c r="J996" s="12"/>
    </row>
    <row r="997" spans="1:10" x14ac:dyDescent="0.25">
      <c r="A997" s="4"/>
      <c r="B997" s="55"/>
      <c r="C997" s="5"/>
      <c r="D997" s="56"/>
      <c r="E997" s="56"/>
      <c r="F997" s="6"/>
      <c r="G997" s="4"/>
      <c r="H997" s="4"/>
      <c r="I997" s="3"/>
      <c r="J997" s="12"/>
    </row>
    <row r="998" spans="1:10" x14ac:dyDescent="0.25">
      <c r="A998" s="4"/>
      <c r="B998" s="55"/>
      <c r="C998" s="5"/>
      <c r="D998" s="56"/>
      <c r="E998" s="56"/>
      <c r="F998" s="6"/>
      <c r="G998" s="4"/>
      <c r="H998" s="4"/>
      <c r="I998" s="3"/>
      <c r="J998" s="12"/>
    </row>
    <row r="999" spans="1:10" x14ac:dyDescent="0.25">
      <c r="A999" s="4"/>
      <c r="B999" s="55"/>
      <c r="C999" s="5"/>
      <c r="D999" s="56"/>
      <c r="E999" s="56"/>
      <c r="F999" s="6"/>
      <c r="G999" s="4"/>
      <c r="H999" s="4"/>
      <c r="I999" s="3"/>
      <c r="J999" s="12"/>
    </row>
    <row r="1000" spans="1:10" x14ac:dyDescent="0.25">
      <c r="A1000" s="4"/>
      <c r="B1000" s="55"/>
      <c r="C1000" s="5"/>
      <c r="D1000" s="56"/>
      <c r="E1000" s="56"/>
      <c r="F1000" s="6"/>
      <c r="G1000" s="4"/>
      <c r="H1000" s="4"/>
      <c r="I1000" s="3"/>
      <c r="J1000" s="12"/>
    </row>
    <row r="1001" spans="1:10" x14ac:dyDescent="0.25">
      <c r="A1001" s="4"/>
      <c r="B1001" s="55"/>
      <c r="C1001" s="5"/>
      <c r="D1001" s="56"/>
      <c r="E1001" s="56"/>
      <c r="F1001" s="6"/>
      <c r="G1001" s="4"/>
      <c r="H1001" s="4"/>
      <c r="I1001" s="3"/>
      <c r="J1001" s="12"/>
    </row>
    <row r="1002" spans="1:10" x14ac:dyDescent="0.25">
      <c r="A1002" s="4"/>
      <c r="B1002" s="55"/>
      <c r="C1002" s="5"/>
      <c r="D1002" s="56"/>
      <c r="E1002" s="56"/>
      <c r="F1002" s="6"/>
      <c r="G1002" s="4"/>
      <c r="H1002" s="4"/>
      <c r="I1002" s="3"/>
      <c r="J1002" s="12"/>
    </row>
    <row r="1003" spans="1:10" x14ac:dyDescent="0.25">
      <c r="A1003" s="4"/>
      <c r="B1003" s="55"/>
      <c r="C1003" s="5"/>
      <c r="D1003" s="56"/>
      <c r="E1003" s="56"/>
      <c r="F1003" s="6"/>
      <c r="G1003" s="4"/>
      <c r="H1003" s="4"/>
      <c r="I1003" s="3"/>
      <c r="J1003" s="12"/>
    </row>
    <row r="1004" spans="1:10" x14ac:dyDescent="0.25">
      <c r="A1004" s="4"/>
      <c r="B1004" s="55"/>
      <c r="C1004" s="5"/>
      <c r="D1004" s="56"/>
      <c r="E1004" s="56"/>
      <c r="F1004" s="6"/>
      <c r="G1004" s="4"/>
      <c r="H1004" s="4"/>
      <c r="I1004" s="3"/>
      <c r="J1004" s="12"/>
    </row>
    <row r="1005" spans="1:10" x14ac:dyDescent="0.25">
      <c r="A1005" s="4"/>
      <c r="B1005" s="55"/>
      <c r="C1005" s="5"/>
      <c r="D1005" s="56"/>
      <c r="E1005" s="56"/>
      <c r="F1005" s="6"/>
      <c r="G1005" s="4"/>
      <c r="H1005" s="4"/>
      <c r="I1005" s="3"/>
      <c r="J1005" s="12"/>
    </row>
    <row r="1006" spans="1:10" x14ac:dyDescent="0.25">
      <c r="A1006" s="4"/>
      <c r="B1006" s="55"/>
      <c r="C1006" s="5"/>
      <c r="D1006" s="56"/>
      <c r="E1006" s="56"/>
      <c r="F1006" s="6"/>
      <c r="G1006" s="4"/>
      <c r="H1006" s="4"/>
      <c r="I1006" s="3"/>
      <c r="J1006" s="12"/>
    </row>
    <row r="1007" spans="1:10" x14ac:dyDescent="0.25">
      <c r="A1007" s="4"/>
      <c r="B1007" s="55"/>
      <c r="C1007" s="5"/>
      <c r="D1007" s="56"/>
      <c r="E1007" s="56"/>
      <c r="F1007" s="6"/>
      <c r="G1007" s="4"/>
      <c r="H1007" s="4"/>
      <c r="I1007" s="3"/>
      <c r="J1007" s="12"/>
    </row>
    <row r="1008" spans="1:10" x14ac:dyDescent="0.25">
      <c r="A1008" s="4"/>
      <c r="B1008" s="55"/>
      <c r="C1008" s="5"/>
      <c r="D1008" s="56"/>
      <c r="E1008" s="56"/>
      <c r="F1008" s="6"/>
      <c r="G1008" s="4"/>
      <c r="H1008" s="4"/>
      <c r="I1008" s="3"/>
      <c r="J1008" s="12"/>
    </row>
    <row r="1009" spans="1:10" x14ac:dyDescent="0.25">
      <c r="A1009" s="4"/>
      <c r="B1009" s="55"/>
      <c r="C1009" s="5"/>
      <c r="D1009" s="56"/>
      <c r="E1009" s="56"/>
      <c r="F1009" s="6"/>
      <c r="G1009" s="4"/>
      <c r="H1009" s="4"/>
      <c r="I1009" s="3"/>
      <c r="J1009" s="12"/>
    </row>
    <row r="1010" spans="1:10" x14ac:dyDescent="0.25">
      <c r="A1010" s="4"/>
      <c r="B1010" s="55"/>
      <c r="C1010" s="5"/>
      <c r="D1010" s="56"/>
      <c r="E1010" s="56"/>
      <c r="F1010" s="6"/>
      <c r="G1010" s="4"/>
      <c r="H1010" s="4"/>
      <c r="I1010" s="3"/>
      <c r="J1010" s="12"/>
    </row>
    <row r="1011" spans="1:10" x14ac:dyDescent="0.25">
      <c r="A1011" s="4"/>
      <c r="B1011" s="55"/>
      <c r="C1011" s="5"/>
      <c r="D1011" s="56"/>
      <c r="E1011" s="56"/>
      <c r="F1011" s="6"/>
      <c r="G1011" s="4"/>
      <c r="H1011" s="4"/>
      <c r="I1011" s="3"/>
      <c r="J1011" s="12"/>
    </row>
    <row r="1012" spans="1:10" x14ac:dyDescent="0.25">
      <c r="A1012" s="4"/>
      <c r="B1012" s="55"/>
      <c r="C1012" s="5"/>
      <c r="D1012" s="56"/>
      <c r="E1012" s="56"/>
      <c r="F1012" s="6"/>
      <c r="G1012" s="4"/>
      <c r="H1012" s="4"/>
      <c r="I1012" s="3"/>
      <c r="J1012" s="12"/>
    </row>
    <row r="1013" spans="1:10" x14ac:dyDescent="0.25">
      <c r="A1013" s="4"/>
      <c r="B1013" s="55"/>
      <c r="C1013" s="5"/>
      <c r="D1013" s="56"/>
      <c r="E1013" s="56"/>
      <c r="F1013" s="6"/>
      <c r="G1013" s="4"/>
      <c r="H1013" s="4"/>
      <c r="I1013" s="3"/>
      <c r="J1013" s="12"/>
    </row>
    <row r="1014" spans="1:10" x14ac:dyDescent="0.25">
      <c r="A1014" s="4"/>
      <c r="B1014" s="55"/>
      <c r="C1014" s="5"/>
      <c r="D1014" s="56"/>
      <c r="E1014" s="56"/>
      <c r="F1014" s="6"/>
      <c r="G1014" s="4"/>
      <c r="H1014" s="4"/>
      <c r="I1014" s="3"/>
      <c r="J1014" s="12"/>
    </row>
    <row r="1015" spans="1:10" x14ac:dyDescent="0.25">
      <c r="A1015" s="4"/>
      <c r="B1015" s="55"/>
      <c r="C1015" s="5"/>
      <c r="D1015" s="56"/>
      <c r="E1015" s="56"/>
      <c r="F1015" s="6"/>
      <c r="G1015" s="4"/>
      <c r="H1015" s="4"/>
      <c r="I1015" s="3"/>
      <c r="J1015" s="12"/>
    </row>
    <row r="1016" spans="1:10" x14ac:dyDescent="0.25">
      <c r="A1016" s="4"/>
      <c r="B1016" s="55"/>
      <c r="C1016" s="5"/>
      <c r="D1016" s="56"/>
      <c r="E1016" s="56"/>
      <c r="F1016" s="6"/>
      <c r="G1016" s="4"/>
      <c r="H1016" s="4"/>
      <c r="I1016" s="3"/>
      <c r="J1016" s="12"/>
    </row>
    <row r="1017" spans="1:10" x14ac:dyDescent="0.25">
      <c r="A1017" s="4"/>
      <c r="B1017" s="55"/>
      <c r="C1017" s="5"/>
      <c r="D1017" s="56"/>
      <c r="E1017" s="56"/>
      <c r="F1017" s="6"/>
      <c r="G1017" s="4"/>
      <c r="H1017" s="4"/>
      <c r="I1017" s="3"/>
      <c r="J1017" s="12"/>
    </row>
    <row r="1018" spans="1:10" x14ac:dyDescent="0.25">
      <c r="A1018" s="4"/>
      <c r="B1018" s="55"/>
      <c r="C1018" s="5"/>
      <c r="D1018" s="56"/>
      <c r="E1018" s="56"/>
      <c r="F1018" s="6"/>
      <c r="G1018" s="4"/>
      <c r="H1018" s="4"/>
      <c r="I1018" s="3"/>
      <c r="J1018" s="12"/>
    </row>
    <row r="1019" spans="1:10" x14ac:dyDescent="0.25">
      <c r="A1019" s="4"/>
      <c r="B1019" s="55"/>
      <c r="C1019" s="5"/>
      <c r="D1019" s="56"/>
      <c r="E1019" s="56"/>
      <c r="F1019" s="6"/>
      <c r="G1019" s="4"/>
      <c r="H1019" s="4"/>
      <c r="I1019" s="3"/>
      <c r="J1019" s="12"/>
    </row>
    <row r="1020" spans="1:10" x14ac:dyDescent="0.25">
      <c r="A1020" s="4"/>
      <c r="B1020" s="55"/>
      <c r="C1020" s="5"/>
      <c r="D1020" s="56"/>
      <c r="E1020" s="56"/>
      <c r="F1020" s="6"/>
      <c r="G1020" s="4"/>
      <c r="H1020" s="4"/>
      <c r="I1020" s="3"/>
      <c r="J1020" s="12"/>
    </row>
    <row r="1021" spans="1:10" x14ac:dyDescent="0.25">
      <c r="A1021" s="4"/>
      <c r="B1021" s="55"/>
      <c r="C1021" s="5"/>
      <c r="D1021" s="56"/>
      <c r="E1021" s="56"/>
      <c r="F1021" s="6"/>
      <c r="G1021" s="4"/>
      <c r="H1021" s="4"/>
      <c r="I1021" s="3"/>
      <c r="J1021" s="12"/>
    </row>
    <row r="1022" spans="1:10" x14ac:dyDescent="0.25">
      <c r="A1022" s="4"/>
      <c r="B1022" s="55"/>
      <c r="C1022" s="5"/>
      <c r="D1022" s="56"/>
      <c r="E1022" s="56"/>
      <c r="F1022" s="6"/>
      <c r="G1022" s="4"/>
      <c r="H1022" s="4"/>
      <c r="I1022" s="3"/>
      <c r="J1022" s="12"/>
    </row>
    <row r="1023" spans="1:10" x14ac:dyDescent="0.25">
      <c r="A1023" s="4"/>
      <c r="B1023" s="55"/>
      <c r="C1023" s="5"/>
      <c r="D1023" s="56"/>
      <c r="E1023" s="56"/>
      <c r="F1023" s="6"/>
      <c r="G1023" s="4"/>
      <c r="H1023" s="4"/>
      <c r="I1023" s="3"/>
      <c r="J1023" s="12"/>
    </row>
    <row r="1024" spans="1:10" x14ac:dyDescent="0.25">
      <c r="A1024" s="4"/>
      <c r="B1024" s="55"/>
      <c r="C1024" s="5"/>
      <c r="D1024" s="56"/>
      <c r="E1024" s="56"/>
      <c r="F1024" s="6"/>
      <c r="G1024" s="4"/>
      <c r="H1024" s="4"/>
      <c r="I1024" s="3"/>
      <c r="J1024" s="12"/>
    </row>
    <row r="1025" spans="1:10" x14ac:dyDescent="0.25">
      <c r="A1025" s="4"/>
      <c r="B1025" s="55"/>
      <c r="C1025" s="5"/>
      <c r="D1025" s="56"/>
      <c r="E1025" s="56"/>
      <c r="F1025" s="6"/>
      <c r="G1025" s="4"/>
      <c r="H1025" s="4"/>
      <c r="I1025" s="3"/>
      <c r="J1025" s="12"/>
    </row>
    <row r="1026" spans="1:10" x14ac:dyDescent="0.25">
      <c r="A1026" s="4"/>
      <c r="B1026" s="55"/>
      <c r="C1026" s="5"/>
      <c r="D1026" s="56"/>
      <c r="E1026" s="56"/>
      <c r="F1026" s="6"/>
      <c r="G1026" s="4"/>
      <c r="H1026" s="4"/>
      <c r="I1026" s="3"/>
      <c r="J1026" s="12"/>
    </row>
    <row r="1027" spans="1:10" x14ac:dyDescent="0.25">
      <c r="A1027" s="4"/>
      <c r="B1027" s="55"/>
      <c r="C1027" s="5"/>
      <c r="D1027" s="56"/>
      <c r="E1027" s="56"/>
      <c r="F1027" s="6"/>
      <c r="G1027" s="4"/>
      <c r="H1027" s="4"/>
      <c r="I1027" s="3"/>
      <c r="J1027" s="12"/>
    </row>
    <row r="1028" spans="1:10" x14ac:dyDescent="0.25">
      <c r="A1028" s="4"/>
      <c r="B1028" s="55"/>
      <c r="C1028" s="5"/>
      <c r="D1028" s="56"/>
      <c r="E1028" s="56"/>
      <c r="F1028" s="6"/>
      <c r="G1028" s="4"/>
      <c r="H1028" s="4"/>
      <c r="I1028" s="3"/>
      <c r="J1028" s="12"/>
    </row>
    <row r="1029" spans="1:10" x14ac:dyDescent="0.25">
      <c r="A1029" s="4"/>
      <c r="B1029" s="55"/>
      <c r="C1029" s="5"/>
      <c r="D1029" s="56"/>
      <c r="E1029" s="56"/>
      <c r="F1029" s="6"/>
      <c r="G1029" s="4"/>
      <c r="H1029" s="4"/>
      <c r="I1029" s="3"/>
      <c r="J1029" s="12"/>
    </row>
    <row r="1030" spans="1:10" x14ac:dyDescent="0.25">
      <c r="A1030" s="4"/>
      <c r="B1030" s="55"/>
      <c r="C1030" s="5"/>
      <c r="D1030" s="56"/>
      <c r="E1030" s="56"/>
      <c r="F1030" s="6"/>
      <c r="G1030" s="4"/>
      <c r="H1030" s="4"/>
      <c r="I1030" s="3"/>
      <c r="J1030" s="12"/>
    </row>
    <row r="1031" spans="1:10" x14ac:dyDescent="0.25">
      <c r="A1031" s="4"/>
      <c r="B1031" s="55"/>
      <c r="C1031" s="5"/>
      <c r="D1031" s="56"/>
      <c r="E1031" s="56"/>
      <c r="F1031" s="6"/>
      <c r="G1031" s="4"/>
      <c r="H1031" s="4"/>
      <c r="I1031" s="3"/>
      <c r="J1031" s="12"/>
    </row>
    <row r="1032" spans="1:10" x14ac:dyDescent="0.25">
      <c r="A1032" s="4"/>
      <c r="B1032" s="55"/>
      <c r="C1032" s="5"/>
      <c r="D1032" s="56"/>
      <c r="E1032" s="56"/>
      <c r="F1032" s="6"/>
      <c r="G1032" s="4"/>
      <c r="H1032" s="4"/>
      <c r="I1032" s="3"/>
      <c r="J1032" s="12"/>
    </row>
    <row r="1033" spans="1:10" x14ac:dyDescent="0.25">
      <c r="A1033" s="4"/>
      <c r="B1033" s="55"/>
      <c r="C1033" s="5"/>
      <c r="D1033" s="56"/>
      <c r="E1033" s="56"/>
      <c r="F1033" s="6"/>
      <c r="G1033" s="4"/>
      <c r="H1033" s="4"/>
      <c r="I1033" s="3"/>
      <c r="J1033" s="12"/>
    </row>
    <row r="1034" spans="1:10" x14ac:dyDescent="0.25">
      <c r="A1034" s="4"/>
      <c r="B1034" s="55"/>
      <c r="C1034" s="5"/>
      <c r="D1034" s="56"/>
      <c r="E1034" s="56"/>
      <c r="F1034" s="6"/>
      <c r="G1034" s="4"/>
      <c r="H1034" s="4"/>
      <c r="I1034" s="3"/>
      <c r="J1034" s="12"/>
    </row>
    <row r="1035" spans="1:10" x14ac:dyDescent="0.25">
      <c r="A1035" s="4"/>
      <c r="B1035" s="55"/>
      <c r="C1035" s="5"/>
      <c r="D1035" s="56"/>
      <c r="E1035" s="56"/>
      <c r="F1035" s="6"/>
      <c r="G1035" s="4"/>
      <c r="H1035" s="4"/>
      <c r="I1035" s="3"/>
      <c r="J1035" s="12"/>
    </row>
    <row r="1036" spans="1:10" x14ac:dyDescent="0.25">
      <c r="A1036" s="4"/>
      <c r="B1036" s="55"/>
      <c r="C1036" s="5"/>
      <c r="D1036" s="56"/>
      <c r="E1036" s="56"/>
      <c r="F1036" s="6"/>
      <c r="G1036" s="4"/>
      <c r="H1036" s="4"/>
      <c r="I1036" s="3"/>
      <c r="J1036" s="12"/>
    </row>
    <row r="1037" spans="1:10" x14ac:dyDescent="0.25">
      <c r="A1037" s="4"/>
      <c r="B1037" s="55"/>
      <c r="C1037" s="5"/>
      <c r="D1037" s="56"/>
      <c r="E1037" s="56"/>
      <c r="F1037" s="6"/>
      <c r="G1037" s="4"/>
      <c r="H1037" s="4"/>
      <c r="I1037" s="3"/>
      <c r="J1037" s="12"/>
    </row>
    <row r="1038" spans="1:10" x14ac:dyDescent="0.25">
      <c r="A1038" s="4"/>
      <c r="B1038" s="55"/>
      <c r="C1038" s="5"/>
      <c r="D1038" s="56"/>
      <c r="E1038" s="56"/>
      <c r="F1038" s="6"/>
      <c r="G1038" s="4"/>
      <c r="H1038" s="4"/>
      <c r="I1038" s="3"/>
      <c r="J1038" s="12"/>
    </row>
    <row r="1039" spans="1:10" x14ac:dyDescent="0.25">
      <c r="A1039" s="4"/>
      <c r="B1039" s="55"/>
      <c r="C1039" s="5"/>
      <c r="D1039" s="56"/>
      <c r="E1039" s="56"/>
      <c r="F1039" s="6"/>
      <c r="G1039" s="4"/>
      <c r="H1039" s="4"/>
      <c r="I1039" s="3"/>
      <c r="J1039" s="12"/>
    </row>
    <row r="1040" spans="1:10" x14ac:dyDescent="0.25">
      <c r="A1040" s="4"/>
      <c r="B1040" s="55"/>
      <c r="C1040" s="5"/>
      <c r="D1040" s="56"/>
      <c r="E1040" s="56"/>
      <c r="F1040" s="6"/>
      <c r="G1040" s="4"/>
      <c r="H1040" s="4"/>
      <c r="I1040" s="3"/>
      <c r="J1040" s="12"/>
    </row>
    <row r="1041" spans="1:10" x14ac:dyDescent="0.25">
      <c r="A1041" s="4"/>
      <c r="B1041" s="55"/>
      <c r="C1041" s="5"/>
      <c r="D1041" s="56"/>
      <c r="E1041" s="56"/>
      <c r="F1041" s="6"/>
      <c r="G1041" s="4"/>
      <c r="H1041" s="4"/>
      <c r="I1041" s="3"/>
      <c r="J1041" s="12"/>
    </row>
    <row r="1042" spans="1:10" x14ac:dyDescent="0.25">
      <c r="A1042" s="4"/>
      <c r="B1042" s="55"/>
      <c r="C1042" s="5"/>
      <c r="D1042" s="56"/>
      <c r="E1042" s="56"/>
      <c r="F1042" s="6"/>
      <c r="G1042" s="4"/>
      <c r="H1042" s="4"/>
      <c r="I1042" s="3"/>
      <c r="J1042" s="12"/>
    </row>
    <row r="1043" spans="1:10" x14ac:dyDescent="0.25">
      <c r="A1043" s="4"/>
      <c r="B1043" s="55"/>
      <c r="C1043" s="5"/>
      <c r="D1043" s="56"/>
      <c r="E1043" s="56"/>
      <c r="F1043" s="6"/>
      <c r="G1043" s="4"/>
      <c r="H1043" s="4"/>
      <c r="I1043" s="3"/>
      <c r="J1043" s="12"/>
    </row>
    <row r="1044" spans="1:10" x14ac:dyDescent="0.25">
      <c r="A1044" s="4"/>
      <c r="B1044" s="55"/>
      <c r="C1044" s="5"/>
      <c r="D1044" s="56"/>
      <c r="E1044" s="56"/>
      <c r="F1044" s="6"/>
      <c r="G1044" s="4"/>
      <c r="H1044" s="4"/>
      <c r="I1044" s="3"/>
      <c r="J1044" s="12"/>
    </row>
    <row r="1045" spans="1:10" x14ac:dyDescent="0.25">
      <c r="A1045" s="4"/>
      <c r="B1045" s="55"/>
      <c r="C1045" s="5"/>
      <c r="D1045" s="56"/>
      <c r="E1045" s="56"/>
      <c r="F1045" s="6"/>
      <c r="G1045" s="4"/>
      <c r="H1045" s="4"/>
      <c r="I1045" s="3"/>
      <c r="J1045" s="12"/>
    </row>
    <row r="1046" spans="1:10" x14ac:dyDescent="0.25">
      <c r="A1046" s="4"/>
      <c r="B1046" s="55"/>
      <c r="C1046" s="5"/>
      <c r="D1046" s="56"/>
      <c r="E1046" s="56"/>
      <c r="F1046" s="6"/>
      <c r="G1046" s="4"/>
      <c r="H1046" s="4"/>
      <c r="I1046" s="3"/>
      <c r="J1046" s="12"/>
    </row>
    <row r="1047" spans="1:10" x14ac:dyDescent="0.25">
      <c r="A1047" s="4"/>
      <c r="B1047" s="55"/>
      <c r="C1047" s="5"/>
      <c r="D1047" s="56"/>
      <c r="E1047" s="56"/>
      <c r="F1047" s="6"/>
      <c r="G1047" s="4"/>
      <c r="H1047" s="4"/>
      <c r="I1047" s="3"/>
      <c r="J1047" s="12"/>
    </row>
    <row r="1048" spans="1:10" x14ac:dyDescent="0.25">
      <c r="A1048" s="4"/>
      <c r="B1048" s="55"/>
      <c r="C1048" s="5"/>
      <c r="D1048" s="56"/>
      <c r="E1048" s="56"/>
      <c r="F1048" s="6"/>
      <c r="G1048" s="4"/>
      <c r="H1048" s="4"/>
      <c r="I1048" s="3"/>
      <c r="J1048" s="12"/>
    </row>
    <row r="1049" spans="1:10" x14ac:dyDescent="0.25">
      <c r="A1049" s="4"/>
      <c r="B1049" s="55"/>
      <c r="C1049" s="5"/>
      <c r="D1049" s="56"/>
      <c r="E1049" s="56"/>
      <c r="F1049" s="6"/>
      <c r="G1049" s="4"/>
      <c r="H1049" s="4"/>
      <c r="I1049" s="3"/>
      <c r="J1049" s="12"/>
    </row>
    <row r="1050" spans="1:10" x14ac:dyDescent="0.25">
      <c r="A1050" s="4"/>
      <c r="B1050" s="55"/>
      <c r="C1050" s="5"/>
      <c r="D1050" s="56"/>
      <c r="E1050" s="56"/>
      <c r="F1050" s="6"/>
      <c r="G1050" s="4"/>
      <c r="H1050" s="4"/>
      <c r="I1050" s="3"/>
      <c r="J1050" s="12"/>
    </row>
    <row r="1051" spans="1:10" x14ac:dyDescent="0.25">
      <c r="A1051" s="4"/>
      <c r="B1051" s="55"/>
      <c r="C1051" s="5"/>
      <c r="D1051" s="56"/>
      <c r="E1051" s="56"/>
      <c r="F1051" s="6"/>
      <c r="G1051" s="4"/>
      <c r="H1051" s="4"/>
      <c r="I1051" s="3"/>
      <c r="J1051" s="12"/>
    </row>
    <row r="1052" spans="1:10" x14ac:dyDescent="0.25">
      <c r="A1052" s="4"/>
      <c r="B1052" s="55"/>
      <c r="C1052" s="5"/>
      <c r="D1052" s="56"/>
      <c r="E1052" s="56"/>
      <c r="F1052" s="6"/>
      <c r="G1052" s="4"/>
      <c r="H1052" s="4"/>
      <c r="I1052" s="3"/>
      <c r="J1052" s="12"/>
    </row>
    <row r="1053" spans="1:10" x14ac:dyDescent="0.25">
      <c r="A1053" s="4"/>
      <c r="B1053" s="55"/>
      <c r="C1053" s="5"/>
      <c r="D1053" s="56"/>
      <c r="E1053" s="56"/>
      <c r="F1053" s="6"/>
      <c r="G1053" s="4"/>
      <c r="H1053" s="4"/>
      <c r="I1053" s="3"/>
      <c r="J1053" s="12"/>
    </row>
    <row r="1054" spans="1:10" x14ac:dyDescent="0.25">
      <c r="A1054" s="4"/>
      <c r="B1054" s="55"/>
      <c r="C1054" s="5"/>
      <c r="D1054" s="56"/>
      <c r="E1054" s="56"/>
      <c r="F1054" s="6"/>
      <c r="G1054" s="4"/>
      <c r="H1054" s="4"/>
      <c r="I1054" s="3"/>
      <c r="J1054" s="12"/>
    </row>
    <row r="1055" spans="1:10" x14ac:dyDescent="0.25">
      <c r="A1055" s="4"/>
      <c r="B1055" s="55"/>
      <c r="C1055" s="5"/>
      <c r="D1055" s="56"/>
      <c r="E1055" s="56"/>
      <c r="F1055" s="6"/>
      <c r="G1055" s="4"/>
      <c r="H1055" s="4"/>
      <c r="I1055" s="3"/>
      <c r="J1055" s="12"/>
    </row>
    <row r="1056" spans="1:10" x14ac:dyDescent="0.25">
      <c r="A1056" s="4"/>
      <c r="B1056" s="55"/>
      <c r="C1056" s="5"/>
      <c r="D1056" s="56"/>
      <c r="E1056" s="56"/>
      <c r="F1056" s="6"/>
      <c r="G1056" s="4"/>
      <c r="H1056" s="4"/>
      <c r="I1056" s="3"/>
      <c r="J1056" s="12"/>
    </row>
    <row r="1057" spans="1:10" x14ac:dyDescent="0.25">
      <c r="A1057" s="4"/>
      <c r="B1057" s="55"/>
      <c r="C1057" s="5"/>
      <c r="D1057" s="56"/>
      <c r="E1057" s="56"/>
      <c r="F1057" s="6"/>
      <c r="G1057" s="4"/>
      <c r="H1057" s="4"/>
      <c r="I1057" s="3"/>
      <c r="J1057" s="12"/>
    </row>
    <row r="1058" spans="1:10" x14ac:dyDescent="0.25">
      <c r="A1058" s="4"/>
      <c r="B1058" s="55"/>
      <c r="C1058" s="5"/>
      <c r="D1058" s="56"/>
      <c r="E1058" s="56"/>
      <c r="F1058" s="6"/>
      <c r="G1058" s="4"/>
      <c r="H1058" s="4"/>
      <c r="I1058" s="3"/>
      <c r="J1058" s="12"/>
    </row>
    <row r="1059" spans="1:10" x14ac:dyDescent="0.25">
      <c r="A1059" s="4"/>
      <c r="B1059" s="55"/>
      <c r="C1059" s="5"/>
      <c r="D1059" s="56"/>
      <c r="E1059" s="56"/>
      <c r="F1059" s="6"/>
      <c r="G1059" s="4"/>
      <c r="H1059" s="4"/>
      <c r="I1059" s="3"/>
      <c r="J1059" s="12"/>
    </row>
    <row r="1060" spans="1:10" x14ac:dyDescent="0.25">
      <c r="A1060" s="4"/>
      <c r="B1060" s="55"/>
      <c r="C1060" s="5"/>
      <c r="D1060" s="56"/>
      <c r="E1060" s="56"/>
      <c r="F1060" s="6"/>
      <c r="G1060" s="4"/>
      <c r="H1060" s="4"/>
      <c r="I1060" s="3"/>
      <c r="J1060" s="12"/>
    </row>
    <row r="1061" spans="1:10" x14ac:dyDescent="0.25">
      <c r="A1061" s="4"/>
      <c r="B1061" s="55"/>
      <c r="C1061" s="5"/>
      <c r="D1061" s="56"/>
      <c r="E1061" s="56"/>
      <c r="F1061" s="6"/>
      <c r="G1061" s="4"/>
      <c r="H1061" s="4"/>
      <c r="I1061" s="3"/>
      <c r="J1061" s="12"/>
    </row>
    <row r="1062" spans="1:10" x14ac:dyDescent="0.25">
      <c r="A1062" s="4"/>
      <c r="B1062" s="55"/>
      <c r="C1062" s="5"/>
      <c r="D1062" s="56"/>
      <c r="E1062" s="56"/>
      <c r="F1062" s="6"/>
      <c r="G1062" s="4"/>
      <c r="H1062" s="4"/>
      <c r="I1062" s="3"/>
      <c r="J1062" s="12"/>
    </row>
    <row r="1063" spans="1:10" x14ac:dyDescent="0.25">
      <c r="A1063" s="4"/>
      <c r="B1063" s="55"/>
      <c r="C1063" s="5"/>
      <c r="D1063" s="56"/>
      <c r="E1063" s="56"/>
      <c r="F1063" s="6"/>
      <c r="G1063" s="4"/>
      <c r="H1063" s="4"/>
      <c r="I1063" s="3"/>
      <c r="J1063" s="12"/>
    </row>
    <row r="1064" spans="1:10" x14ac:dyDescent="0.25">
      <c r="A1064" s="4"/>
      <c r="B1064" s="55"/>
      <c r="C1064" s="5"/>
      <c r="D1064" s="56"/>
      <c r="E1064" s="56"/>
      <c r="F1064" s="6"/>
      <c r="G1064" s="4"/>
      <c r="H1064" s="4"/>
      <c r="I1064" s="3"/>
      <c r="J1064" s="12"/>
    </row>
    <row r="1065" spans="1:10" x14ac:dyDescent="0.25">
      <c r="A1065" s="4"/>
      <c r="B1065" s="55"/>
      <c r="C1065" s="5"/>
      <c r="D1065" s="56"/>
      <c r="E1065" s="56"/>
      <c r="F1065" s="6"/>
      <c r="G1065" s="4"/>
      <c r="H1065" s="4"/>
      <c r="I1065" s="3"/>
      <c r="J1065" s="12"/>
    </row>
    <row r="1066" spans="1:10" x14ac:dyDescent="0.25">
      <c r="A1066" s="4"/>
      <c r="B1066" s="55"/>
      <c r="C1066" s="5"/>
      <c r="D1066" s="56"/>
      <c r="E1066" s="56"/>
      <c r="F1066" s="6"/>
      <c r="G1066" s="4"/>
      <c r="H1066" s="4"/>
      <c r="I1066" s="3"/>
      <c r="J1066" s="12"/>
    </row>
    <row r="1067" spans="1:10" x14ac:dyDescent="0.25">
      <c r="A1067" s="4"/>
      <c r="B1067" s="55"/>
      <c r="C1067" s="5"/>
      <c r="D1067" s="56"/>
      <c r="E1067" s="56"/>
      <c r="F1067" s="6"/>
      <c r="G1067" s="4"/>
      <c r="H1067" s="4"/>
      <c r="I1067" s="3"/>
      <c r="J1067" s="12"/>
    </row>
    <row r="1068" spans="1:10" x14ac:dyDescent="0.25">
      <c r="A1068" s="4"/>
      <c r="B1068" s="55"/>
      <c r="C1068" s="5"/>
      <c r="D1068" s="56"/>
      <c r="E1068" s="56"/>
      <c r="F1068" s="6"/>
      <c r="G1068" s="4"/>
      <c r="H1068" s="4"/>
      <c r="I1068" s="3"/>
      <c r="J1068" s="12"/>
    </row>
    <row r="1069" spans="1:10" x14ac:dyDescent="0.25">
      <c r="A1069" s="4"/>
      <c r="B1069" s="55"/>
      <c r="C1069" s="5"/>
      <c r="D1069" s="56"/>
      <c r="E1069" s="56"/>
      <c r="F1069" s="6"/>
      <c r="G1069" s="4"/>
      <c r="H1069" s="4"/>
      <c r="I1069" s="3"/>
      <c r="J1069" s="12"/>
    </row>
    <row r="1070" spans="1:10" x14ac:dyDescent="0.25">
      <c r="A1070" s="4"/>
      <c r="B1070" s="55"/>
      <c r="C1070" s="5"/>
      <c r="D1070" s="56"/>
      <c r="E1070" s="56"/>
      <c r="F1070" s="6"/>
      <c r="G1070" s="4"/>
      <c r="H1070" s="4"/>
      <c r="I1070" s="3"/>
      <c r="J1070" s="12"/>
    </row>
    <row r="1071" spans="1:10" x14ac:dyDescent="0.25">
      <c r="A1071" s="4"/>
      <c r="B1071" s="55"/>
      <c r="C1071" s="5"/>
      <c r="D1071" s="56"/>
      <c r="E1071" s="56"/>
      <c r="F1071" s="6"/>
      <c r="G1071" s="4"/>
      <c r="H1071" s="4"/>
      <c r="I1071" s="3"/>
      <c r="J1071" s="12"/>
    </row>
    <row r="1072" spans="1:10" x14ac:dyDescent="0.25">
      <c r="A1072" s="4"/>
      <c r="B1072" s="55"/>
      <c r="C1072" s="5"/>
      <c r="D1072" s="56"/>
      <c r="E1072" s="56"/>
      <c r="F1072" s="6"/>
      <c r="G1072" s="4"/>
      <c r="H1072" s="4"/>
      <c r="I1072" s="3"/>
      <c r="J1072" s="12"/>
    </row>
    <row r="1073" spans="1:10" x14ac:dyDescent="0.25">
      <c r="A1073" s="4"/>
      <c r="B1073" s="55"/>
      <c r="C1073" s="5"/>
      <c r="D1073" s="56"/>
      <c r="E1073" s="56"/>
      <c r="F1073" s="6"/>
      <c r="G1073" s="4"/>
      <c r="H1073" s="4"/>
      <c r="I1073" s="3"/>
      <c r="J1073" s="12"/>
    </row>
    <row r="1074" spans="1:10" x14ac:dyDescent="0.25">
      <c r="A1074" s="4"/>
      <c r="B1074" s="55"/>
      <c r="C1074" s="5"/>
      <c r="D1074" s="56"/>
      <c r="E1074" s="56"/>
      <c r="F1074" s="6"/>
      <c r="G1074" s="4"/>
      <c r="H1074" s="4"/>
      <c r="I1074" s="3"/>
      <c r="J1074" s="12"/>
    </row>
    <row r="1075" spans="1:10" x14ac:dyDescent="0.25">
      <c r="A1075" s="4"/>
      <c r="B1075" s="55"/>
      <c r="C1075" s="5"/>
      <c r="D1075" s="56"/>
      <c r="E1075" s="56"/>
      <c r="F1075" s="6"/>
      <c r="G1075" s="4"/>
      <c r="H1075" s="4"/>
      <c r="I1075" s="3"/>
      <c r="J1075" s="12"/>
    </row>
    <row r="1076" spans="1:10" x14ac:dyDescent="0.25">
      <c r="A1076" s="4"/>
      <c r="B1076" s="55"/>
      <c r="C1076" s="5"/>
      <c r="D1076" s="56"/>
      <c r="E1076" s="56"/>
      <c r="F1076" s="6"/>
      <c r="G1076" s="4"/>
      <c r="H1076" s="4"/>
      <c r="I1076" s="3"/>
      <c r="J1076" s="12"/>
    </row>
    <row r="1077" spans="1:10" x14ac:dyDescent="0.25">
      <c r="A1077" s="4"/>
      <c r="B1077" s="55"/>
      <c r="C1077" s="5"/>
      <c r="D1077" s="56"/>
      <c r="E1077" s="56"/>
      <c r="F1077" s="6"/>
      <c r="G1077" s="4"/>
      <c r="H1077" s="4"/>
      <c r="I1077" s="3"/>
      <c r="J1077" s="12"/>
    </row>
    <row r="1078" spans="1:10" x14ac:dyDescent="0.25">
      <c r="A1078" s="4"/>
      <c r="B1078" s="55"/>
      <c r="C1078" s="5"/>
      <c r="D1078" s="56"/>
      <c r="E1078" s="56"/>
      <c r="F1078" s="6"/>
      <c r="G1078" s="4"/>
      <c r="H1078" s="4"/>
      <c r="I1078" s="3"/>
      <c r="J1078" s="12"/>
    </row>
    <row r="1079" spans="1:10" x14ac:dyDescent="0.25">
      <c r="A1079" s="4"/>
      <c r="B1079" s="55"/>
      <c r="C1079" s="5"/>
      <c r="D1079" s="56"/>
      <c r="E1079" s="56"/>
      <c r="F1079" s="6"/>
      <c r="G1079" s="4"/>
      <c r="H1079" s="4"/>
      <c r="I1079" s="3"/>
      <c r="J1079" s="12"/>
    </row>
    <row r="1080" spans="1:10" x14ac:dyDescent="0.25">
      <c r="A1080" s="4"/>
      <c r="B1080" s="55"/>
      <c r="C1080" s="5"/>
      <c r="D1080" s="56"/>
      <c r="E1080" s="56"/>
      <c r="F1080" s="6"/>
      <c r="G1080" s="4"/>
      <c r="H1080" s="4"/>
      <c r="I1080" s="3"/>
      <c r="J1080" s="12"/>
    </row>
    <row r="1081" spans="1:10" x14ac:dyDescent="0.25">
      <c r="A1081" s="4"/>
      <c r="B1081" s="55"/>
      <c r="C1081" s="5"/>
      <c r="D1081" s="56"/>
      <c r="E1081" s="56"/>
      <c r="F1081" s="6"/>
      <c r="G1081" s="4"/>
      <c r="H1081" s="4"/>
      <c r="I1081" s="3"/>
      <c r="J1081" s="12"/>
    </row>
    <row r="1082" spans="1:10" x14ac:dyDescent="0.25">
      <c r="A1082" s="4"/>
      <c r="B1082" s="55"/>
      <c r="C1082" s="5"/>
      <c r="D1082" s="56"/>
      <c r="E1082" s="56"/>
      <c r="F1082" s="6"/>
      <c r="G1082" s="4"/>
      <c r="H1082" s="4"/>
      <c r="I1082" s="3"/>
      <c r="J1082" s="12"/>
    </row>
    <row r="1083" spans="1:10" x14ac:dyDescent="0.25">
      <c r="A1083" s="4"/>
      <c r="B1083" s="55"/>
      <c r="C1083" s="5"/>
      <c r="D1083" s="56"/>
      <c r="E1083" s="56"/>
      <c r="F1083" s="6"/>
      <c r="G1083" s="4"/>
      <c r="H1083" s="4"/>
      <c r="I1083" s="3"/>
      <c r="J1083" s="12"/>
    </row>
    <row r="1084" spans="1:10" x14ac:dyDescent="0.25">
      <c r="A1084" s="4"/>
      <c r="B1084" s="55"/>
      <c r="C1084" s="5"/>
      <c r="D1084" s="56"/>
      <c r="E1084" s="56"/>
      <c r="F1084" s="6"/>
      <c r="G1084" s="4"/>
      <c r="H1084" s="4"/>
      <c r="I1084" s="3"/>
      <c r="J1084" s="12"/>
    </row>
    <row r="1085" spans="1:10" x14ac:dyDescent="0.25">
      <c r="A1085" s="4"/>
      <c r="B1085" s="55"/>
      <c r="C1085" s="5"/>
      <c r="D1085" s="56"/>
      <c r="E1085" s="56"/>
      <c r="F1085" s="6"/>
      <c r="G1085" s="4"/>
      <c r="H1085" s="4"/>
      <c r="I1085" s="3"/>
      <c r="J1085" s="12"/>
    </row>
    <row r="1086" spans="1:10" x14ac:dyDescent="0.25">
      <c r="A1086" s="4"/>
      <c r="B1086" s="55"/>
      <c r="C1086" s="5"/>
      <c r="D1086" s="56"/>
      <c r="E1086" s="56"/>
      <c r="F1086" s="6"/>
      <c r="G1086" s="4"/>
      <c r="H1086" s="4"/>
      <c r="I1086" s="3"/>
      <c r="J1086" s="12"/>
    </row>
    <row r="1087" spans="1:10" x14ac:dyDescent="0.25">
      <c r="A1087" s="4"/>
      <c r="B1087" s="55"/>
      <c r="C1087" s="5"/>
      <c r="D1087" s="56"/>
      <c r="E1087" s="56"/>
      <c r="F1087" s="6"/>
      <c r="G1087" s="4"/>
      <c r="H1087" s="4"/>
      <c r="I1087" s="3"/>
      <c r="J1087" s="12"/>
    </row>
    <row r="1088" spans="1:10" x14ac:dyDescent="0.25">
      <c r="A1088" s="4"/>
      <c r="B1088" s="55"/>
      <c r="C1088" s="5"/>
      <c r="D1088" s="56"/>
      <c r="E1088" s="56"/>
      <c r="F1088" s="6"/>
      <c r="G1088" s="4"/>
      <c r="H1088" s="4"/>
      <c r="I1088" s="3"/>
      <c r="J1088" s="12"/>
    </row>
    <row r="1089" spans="1:10" x14ac:dyDescent="0.25">
      <c r="A1089" s="4"/>
      <c r="B1089" s="55"/>
      <c r="C1089" s="5"/>
      <c r="D1089" s="56"/>
      <c r="E1089" s="56"/>
      <c r="F1089" s="6"/>
      <c r="G1089" s="4"/>
      <c r="H1089" s="4"/>
      <c r="I1089" s="3"/>
      <c r="J1089" s="12"/>
    </row>
    <row r="1090" spans="1:10" x14ac:dyDescent="0.25">
      <c r="A1090" s="4"/>
      <c r="B1090" s="55"/>
      <c r="C1090" s="5"/>
      <c r="D1090" s="56"/>
      <c r="E1090" s="56"/>
      <c r="F1090" s="6"/>
      <c r="G1090" s="4"/>
      <c r="H1090" s="4"/>
      <c r="I1090" s="3"/>
      <c r="J1090" s="12"/>
    </row>
    <row r="1091" spans="1:10" x14ac:dyDescent="0.25">
      <c r="A1091" s="4"/>
      <c r="B1091" s="55"/>
      <c r="C1091" s="5"/>
      <c r="D1091" s="56"/>
      <c r="E1091" s="56"/>
      <c r="F1091" s="6"/>
      <c r="G1091" s="4"/>
      <c r="H1091" s="4"/>
      <c r="I1091" s="3"/>
      <c r="J1091" s="12"/>
    </row>
    <row r="1092" spans="1:10" x14ac:dyDescent="0.25">
      <c r="A1092" s="4"/>
      <c r="B1092" s="55"/>
      <c r="C1092" s="5"/>
      <c r="D1092" s="56"/>
      <c r="E1092" s="56"/>
      <c r="F1092" s="6"/>
      <c r="G1092" s="4"/>
      <c r="H1092" s="4"/>
      <c r="I1092" s="3"/>
      <c r="J1092" s="12"/>
    </row>
    <row r="1093" spans="1:10" x14ac:dyDescent="0.25">
      <c r="A1093" s="4"/>
      <c r="B1093" s="55"/>
      <c r="C1093" s="5"/>
      <c r="D1093" s="56"/>
      <c r="E1093" s="56"/>
      <c r="F1093" s="6"/>
      <c r="G1093" s="4"/>
      <c r="H1093" s="4"/>
      <c r="I1093" s="3"/>
      <c r="J1093" s="12"/>
    </row>
    <row r="1094" spans="1:10" x14ac:dyDescent="0.25">
      <c r="A1094" s="4"/>
      <c r="B1094" s="55"/>
      <c r="C1094" s="5"/>
      <c r="D1094" s="56"/>
      <c r="E1094" s="56"/>
      <c r="F1094" s="6"/>
      <c r="G1094" s="4"/>
      <c r="H1094" s="4"/>
      <c r="I1094" s="3"/>
      <c r="J1094" s="12"/>
    </row>
    <row r="1095" spans="1:10" x14ac:dyDescent="0.25">
      <c r="A1095" s="4"/>
      <c r="B1095" s="55"/>
      <c r="C1095" s="5"/>
      <c r="D1095" s="56"/>
      <c r="E1095" s="56"/>
      <c r="F1095" s="6"/>
      <c r="G1095" s="4"/>
      <c r="H1095" s="4"/>
      <c r="I1095" s="3"/>
      <c r="J1095" s="12"/>
    </row>
    <row r="1096" spans="1:10" x14ac:dyDescent="0.25">
      <c r="A1096" s="4"/>
      <c r="B1096" s="55"/>
      <c r="C1096" s="5"/>
      <c r="D1096" s="56"/>
      <c r="E1096" s="56"/>
      <c r="F1096" s="6"/>
      <c r="G1096" s="4"/>
      <c r="H1096" s="4"/>
      <c r="I1096" s="3"/>
      <c r="J1096" s="12"/>
    </row>
    <row r="1097" spans="1:10" x14ac:dyDescent="0.25">
      <c r="A1097" s="4"/>
      <c r="B1097" s="55"/>
      <c r="C1097" s="5"/>
      <c r="D1097" s="56"/>
      <c r="E1097" s="56"/>
      <c r="F1097" s="6"/>
      <c r="G1097" s="4"/>
      <c r="H1097" s="4"/>
      <c r="I1097" s="3"/>
      <c r="J1097" s="12"/>
    </row>
    <row r="1098" spans="1:10" x14ac:dyDescent="0.25">
      <c r="A1098" s="4"/>
      <c r="B1098" s="55"/>
      <c r="C1098" s="5"/>
      <c r="D1098" s="56"/>
      <c r="E1098" s="56"/>
      <c r="F1098" s="6"/>
      <c r="G1098" s="4"/>
      <c r="H1098" s="4"/>
      <c r="I1098" s="3"/>
      <c r="J1098" s="12"/>
    </row>
    <row r="1099" spans="1:10" x14ac:dyDescent="0.25">
      <c r="A1099" s="4"/>
      <c r="B1099" s="55"/>
      <c r="C1099" s="5"/>
      <c r="D1099" s="56"/>
      <c r="E1099" s="56"/>
      <c r="F1099" s="6"/>
      <c r="G1099" s="4"/>
      <c r="H1099" s="4"/>
      <c r="I1099" s="3"/>
      <c r="J1099" s="12"/>
    </row>
    <row r="1100" spans="1:10" x14ac:dyDescent="0.25">
      <c r="A1100" s="4"/>
      <c r="B1100" s="55"/>
      <c r="C1100" s="5"/>
      <c r="D1100" s="56"/>
      <c r="E1100" s="56"/>
      <c r="F1100" s="6"/>
      <c r="G1100" s="4"/>
      <c r="H1100" s="4"/>
      <c r="I1100" s="3"/>
      <c r="J1100" s="12"/>
    </row>
    <row r="1101" spans="1:10" x14ac:dyDescent="0.25">
      <c r="A1101" s="4"/>
      <c r="B1101" s="55"/>
      <c r="C1101" s="5"/>
      <c r="D1101" s="56"/>
      <c r="E1101" s="56"/>
      <c r="F1101" s="6"/>
      <c r="G1101" s="4"/>
      <c r="H1101" s="4"/>
      <c r="I1101" s="3"/>
      <c r="J1101" s="12"/>
    </row>
    <row r="1102" spans="1:10" x14ac:dyDescent="0.25">
      <c r="A1102" s="4"/>
      <c r="B1102" s="55"/>
      <c r="C1102" s="5"/>
      <c r="D1102" s="56"/>
      <c r="E1102" s="56"/>
      <c r="F1102" s="6"/>
      <c r="G1102" s="4"/>
      <c r="H1102" s="4"/>
      <c r="I1102" s="3"/>
      <c r="J1102" s="12"/>
    </row>
    <row r="1103" spans="1:10" x14ac:dyDescent="0.25">
      <c r="A1103" s="4"/>
      <c r="B1103" s="55"/>
      <c r="C1103" s="5"/>
      <c r="D1103" s="56"/>
      <c r="E1103" s="56"/>
      <c r="F1103" s="6"/>
      <c r="G1103" s="4"/>
      <c r="H1103" s="4"/>
      <c r="I1103" s="3"/>
      <c r="J1103" s="12"/>
    </row>
    <row r="1104" spans="1:10" x14ac:dyDescent="0.25">
      <c r="A1104" s="4"/>
      <c r="B1104" s="55"/>
      <c r="C1104" s="5"/>
      <c r="D1104" s="56"/>
      <c r="E1104" s="56"/>
      <c r="F1104" s="6"/>
      <c r="G1104" s="4"/>
      <c r="H1104" s="4"/>
      <c r="I1104" s="3"/>
      <c r="J1104" s="12"/>
    </row>
    <row r="1105" spans="1:10" x14ac:dyDescent="0.25">
      <c r="A1105" s="4"/>
      <c r="B1105" s="55"/>
      <c r="C1105" s="5"/>
      <c r="D1105" s="56"/>
      <c r="E1105" s="56"/>
      <c r="F1105" s="6"/>
      <c r="G1105" s="4"/>
      <c r="H1105" s="4"/>
      <c r="I1105" s="3"/>
      <c r="J1105" s="12"/>
    </row>
    <row r="1106" spans="1:10" x14ac:dyDescent="0.25">
      <c r="A1106" s="4"/>
      <c r="B1106" s="55"/>
      <c r="C1106" s="5"/>
      <c r="D1106" s="56"/>
      <c r="E1106" s="56"/>
      <c r="F1106" s="6"/>
      <c r="G1106" s="4"/>
      <c r="H1106" s="4"/>
      <c r="I1106" s="3"/>
      <c r="J1106" s="12"/>
    </row>
    <row r="1107" spans="1:10" x14ac:dyDescent="0.25">
      <c r="A1107" s="4"/>
      <c r="B1107" s="55"/>
      <c r="C1107" s="5"/>
      <c r="D1107" s="56"/>
      <c r="E1107" s="56"/>
      <c r="F1107" s="6"/>
      <c r="G1107" s="4"/>
      <c r="H1107" s="4"/>
      <c r="I1107" s="3"/>
      <c r="J1107" s="12"/>
    </row>
    <row r="1108" spans="1:10" x14ac:dyDescent="0.25">
      <c r="A1108" s="4"/>
      <c r="B1108" s="55"/>
      <c r="C1108" s="5"/>
      <c r="D1108" s="56"/>
      <c r="E1108" s="56"/>
      <c r="F1108" s="6"/>
      <c r="G1108" s="4"/>
      <c r="H1108" s="4"/>
      <c r="I1108" s="3"/>
      <c r="J1108" s="12"/>
    </row>
    <row r="1109" spans="1:10" x14ac:dyDescent="0.25">
      <c r="A1109" s="4"/>
      <c r="B1109" s="55"/>
      <c r="C1109" s="5"/>
      <c r="D1109" s="56"/>
      <c r="E1109" s="56"/>
      <c r="F1109" s="6"/>
      <c r="G1109" s="4"/>
      <c r="H1109" s="4"/>
      <c r="I1109" s="3"/>
      <c r="J1109" s="12"/>
    </row>
    <row r="1110" spans="1:10" x14ac:dyDescent="0.25">
      <c r="A1110" s="4"/>
      <c r="B1110" s="55"/>
      <c r="C1110" s="5"/>
      <c r="D1110" s="56"/>
      <c r="E1110" s="56"/>
      <c r="F1110" s="6"/>
      <c r="G1110" s="4"/>
      <c r="H1110" s="4"/>
      <c r="I1110" s="3"/>
      <c r="J1110" s="12"/>
    </row>
    <row r="1111" spans="1:10" x14ac:dyDescent="0.25">
      <c r="A1111" s="4"/>
      <c r="B1111" s="55"/>
      <c r="C1111" s="5"/>
      <c r="D1111" s="56"/>
      <c r="E1111" s="56"/>
      <c r="F1111" s="6"/>
      <c r="G1111" s="4"/>
      <c r="H1111" s="4"/>
      <c r="I1111" s="3"/>
      <c r="J1111" s="12"/>
    </row>
    <row r="1112" spans="1:10" x14ac:dyDescent="0.25">
      <c r="A1112" s="4"/>
      <c r="B1112" s="55"/>
      <c r="C1112" s="5"/>
      <c r="D1112" s="56"/>
      <c r="E1112" s="56"/>
      <c r="F1112" s="6"/>
      <c r="G1112" s="4"/>
      <c r="H1112" s="4"/>
      <c r="I1112" s="3"/>
      <c r="J1112" s="12"/>
    </row>
    <row r="1113" spans="1:10" x14ac:dyDescent="0.25">
      <c r="A1113" s="4"/>
      <c r="B1113" s="55"/>
      <c r="C1113" s="5"/>
      <c r="D1113" s="56"/>
      <c r="E1113" s="56"/>
      <c r="F1113" s="6"/>
      <c r="G1113" s="4"/>
      <c r="H1113" s="4"/>
      <c r="I1113" s="3"/>
      <c r="J1113" s="12"/>
    </row>
    <row r="1114" spans="1:10" x14ac:dyDescent="0.25">
      <c r="A1114" s="4"/>
      <c r="B1114" s="55"/>
      <c r="C1114" s="5"/>
      <c r="D1114" s="56"/>
      <c r="E1114" s="56"/>
      <c r="F1114" s="6"/>
      <c r="G1114" s="4"/>
      <c r="H1114" s="4"/>
      <c r="I1114" s="3"/>
      <c r="J1114" s="12"/>
    </row>
    <row r="1115" spans="1:10" x14ac:dyDescent="0.25">
      <c r="A1115" s="4"/>
      <c r="B1115" s="55"/>
      <c r="C1115" s="5"/>
      <c r="D1115" s="56"/>
      <c r="E1115" s="56"/>
      <c r="F1115" s="6"/>
      <c r="G1115" s="4"/>
      <c r="H1115" s="4"/>
      <c r="I1115" s="3"/>
      <c r="J1115" s="12"/>
    </row>
    <row r="1116" spans="1:10" x14ac:dyDescent="0.25">
      <c r="A1116" s="4"/>
      <c r="B1116" s="55"/>
      <c r="C1116" s="5"/>
      <c r="D1116" s="56"/>
      <c r="E1116" s="56"/>
      <c r="F1116" s="6"/>
      <c r="G1116" s="4"/>
      <c r="H1116" s="4"/>
      <c r="I1116" s="3"/>
      <c r="J1116" s="12"/>
    </row>
    <row r="1117" spans="1:10" x14ac:dyDescent="0.25">
      <c r="A1117" s="4"/>
      <c r="B1117" s="55"/>
      <c r="C1117" s="5"/>
      <c r="D1117" s="56"/>
      <c r="E1117" s="56"/>
      <c r="F1117" s="6"/>
      <c r="G1117" s="4"/>
      <c r="H1117" s="4"/>
      <c r="I1117" s="3"/>
      <c r="J1117" s="12"/>
    </row>
    <row r="1118" spans="1:10" x14ac:dyDescent="0.25">
      <c r="A1118" s="4"/>
      <c r="B1118" s="55"/>
      <c r="C1118" s="5"/>
      <c r="D1118" s="56"/>
      <c r="E1118" s="56"/>
      <c r="F1118" s="6"/>
      <c r="G1118" s="4"/>
      <c r="H1118" s="4"/>
      <c r="I1118" s="3"/>
      <c r="J1118" s="12"/>
    </row>
    <row r="1119" spans="1:10" x14ac:dyDescent="0.25">
      <c r="A1119" s="4"/>
      <c r="B1119" s="55"/>
      <c r="C1119" s="5"/>
      <c r="D1119" s="56"/>
      <c r="E1119" s="56"/>
      <c r="F1119" s="6"/>
      <c r="G1119" s="4"/>
      <c r="H1119" s="4"/>
      <c r="I1119" s="3"/>
      <c r="J1119" s="12"/>
    </row>
    <row r="1120" spans="1:10" x14ac:dyDescent="0.25">
      <c r="A1120" s="4"/>
      <c r="B1120" s="55"/>
      <c r="C1120" s="5"/>
      <c r="D1120" s="56"/>
      <c r="E1120" s="56"/>
      <c r="F1120" s="6"/>
      <c r="G1120" s="4"/>
      <c r="H1120" s="4"/>
      <c r="I1120" s="3"/>
      <c r="J1120" s="12"/>
    </row>
    <row r="1121" spans="1:10" x14ac:dyDescent="0.25">
      <c r="A1121" s="4"/>
      <c r="B1121" s="55"/>
      <c r="C1121" s="5"/>
      <c r="D1121" s="56"/>
      <c r="E1121" s="56"/>
      <c r="F1121" s="6"/>
      <c r="G1121" s="4"/>
      <c r="H1121" s="4"/>
      <c r="I1121" s="3"/>
      <c r="J1121" s="12"/>
    </row>
    <row r="1122" spans="1:10" x14ac:dyDescent="0.25">
      <c r="A1122" s="4"/>
      <c r="B1122" s="55"/>
      <c r="C1122" s="5"/>
      <c r="D1122" s="56"/>
      <c r="E1122" s="56"/>
      <c r="F1122" s="6"/>
      <c r="G1122" s="4"/>
      <c r="H1122" s="4"/>
      <c r="I1122" s="3"/>
      <c r="J1122" s="12"/>
    </row>
    <row r="1123" spans="1:10" x14ac:dyDescent="0.25">
      <c r="A1123" s="4"/>
      <c r="B1123" s="55"/>
      <c r="C1123" s="5"/>
      <c r="D1123" s="56"/>
      <c r="E1123" s="56"/>
      <c r="F1123" s="6"/>
      <c r="G1123" s="4"/>
      <c r="H1123" s="4"/>
      <c r="I1123" s="3"/>
      <c r="J1123" s="12"/>
    </row>
    <row r="1124" spans="1:10" x14ac:dyDescent="0.25">
      <c r="A1124" s="4"/>
      <c r="B1124" s="55"/>
      <c r="C1124" s="5"/>
      <c r="D1124" s="56"/>
      <c r="E1124" s="56"/>
      <c r="F1124" s="6"/>
      <c r="G1124" s="4"/>
      <c r="H1124" s="4"/>
      <c r="I1124" s="3"/>
      <c r="J1124" s="12"/>
    </row>
    <row r="1125" spans="1:10" x14ac:dyDescent="0.25">
      <c r="A1125" s="4"/>
      <c r="B1125" s="55"/>
      <c r="C1125" s="5"/>
      <c r="D1125" s="56"/>
      <c r="E1125" s="56"/>
      <c r="F1125" s="6"/>
      <c r="G1125" s="4"/>
      <c r="H1125" s="4"/>
      <c r="I1125" s="3"/>
      <c r="J1125" s="12"/>
    </row>
    <row r="1126" spans="1:10" x14ac:dyDescent="0.25">
      <c r="A1126" s="4"/>
      <c r="B1126" s="55"/>
      <c r="C1126" s="5"/>
      <c r="D1126" s="56"/>
      <c r="E1126" s="56"/>
      <c r="F1126" s="6"/>
      <c r="G1126" s="4"/>
      <c r="H1126" s="4"/>
      <c r="I1126" s="3"/>
      <c r="J1126" s="12"/>
    </row>
    <row r="1127" spans="1:10" x14ac:dyDescent="0.25">
      <c r="A1127" s="4"/>
      <c r="B1127" s="55"/>
      <c r="C1127" s="5"/>
      <c r="D1127" s="56"/>
      <c r="E1127" s="56"/>
      <c r="F1127" s="6"/>
      <c r="G1127" s="4"/>
      <c r="H1127" s="4"/>
      <c r="I1127" s="3"/>
      <c r="J1127" s="12"/>
    </row>
    <row r="1128" spans="1:10" x14ac:dyDescent="0.25">
      <c r="A1128" s="4"/>
      <c r="B1128" s="55"/>
      <c r="C1128" s="5"/>
      <c r="D1128" s="56"/>
      <c r="E1128" s="56"/>
      <c r="F1128" s="6"/>
      <c r="G1128" s="4"/>
      <c r="H1128" s="4"/>
      <c r="I1128" s="3"/>
      <c r="J1128" s="12"/>
    </row>
    <row r="1129" spans="1:10" x14ac:dyDescent="0.25">
      <c r="A1129" s="4"/>
      <c r="B1129" s="55"/>
      <c r="C1129" s="5"/>
      <c r="D1129" s="56"/>
      <c r="E1129" s="56"/>
      <c r="F1129" s="6"/>
      <c r="G1129" s="4"/>
      <c r="H1129" s="4"/>
      <c r="I1129" s="3"/>
      <c r="J1129" s="12"/>
    </row>
    <row r="1130" spans="1:10" x14ac:dyDescent="0.25">
      <c r="A1130" s="4"/>
      <c r="B1130" s="55"/>
      <c r="C1130" s="5"/>
      <c r="D1130" s="56"/>
      <c r="E1130" s="56"/>
      <c r="F1130" s="6"/>
      <c r="G1130" s="4"/>
      <c r="H1130" s="4"/>
      <c r="I1130" s="3"/>
      <c r="J1130" s="12"/>
    </row>
    <row r="1131" spans="1:10" x14ac:dyDescent="0.25">
      <c r="A1131" s="4"/>
      <c r="B1131" s="55"/>
      <c r="C1131" s="5"/>
      <c r="D1131" s="56"/>
      <c r="E1131" s="56"/>
      <c r="F1131" s="6"/>
      <c r="G1131" s="4"/>
      <c r="H1131" s="4"/>
      <c r="I1131" s="3"/>
      <c r="J1131" s="12"/>
    </row>
    <row r="1132" spans="1:10" x14ac:dyDescent="0.25">
      <c r="A1132" s="4"/>
      <c r="B1132" s="55"/>
      <c r="C1132" s="5"/>
      <c r="D1132" s="56"/>
      <c r="E1132" s="56"/>
      <c r="F1132" s="6"/>
      <c r="G1132" s="4"/>
      <c r="H1132" s="4"/>
      <c r="I1132" s="3"/>
      <c r="J1132" s="12"/>
    </row>
    <row r="1133" spans="1:10" x14ac:dyDescent="0.25">
      <c r="A1133" s="4"/>
      <c r="B1133" s="55"/>
      <c r="C1133" s="5"/>
      <c r="D1133" s="56"/>
      <c r="E1133" s="56"/>
      <c r="F1133" s="6"/>
      <c r="G1133" s="4"/>
      <c r="H1133" s="4"/>
      <c r="I1133" s="3"/>
      <c r="J1133" s="12"/>
    </row>
    <row r="1134" spans="1:10" x14ac:dyDescent="0.25">
      <c r="A1134" s="4"/>
      <c r="B1134" s="55"/>
      <c r="C1134" s="5"/>
      <c r="D1134" s="56"/>
      <c r="E1134" s="56"/>
      <c r="F1134" s="6"/>
      <c r="G1134" s="4"/>
      <c r="H1134" s="4"/>
      <c r="I1134" s="3"/>
      <c r="J1134" s="12"/>
    </row>
    <row r="1135" spans="1:10" x14ac:dyDescent="0.25">
      <c r="A1135" s="4"/>
      <c r="B1135" s="55"/>
      <c r="C1135" s="5"/>
      <c r="D1135" s="56"/>
      <c r="E1135" s="56"/>
      <c r="F1135" s="6"/>
      <c r="G1135" s="4"/>
      <c r="H1135" s="4"/>
      <c r="I1135" s="3"/>
      <c r="J1135" s="12"/>
    </row>
    <row r="1136" spans="1:10" x14ac:dyDescent="0.25">
      <c r="A1136" s="4"/>
      <c r="B1136" s="55"/>
      <c r="C1136" s="5"/>
      <c r="D1136" s="56"/>
      <c r="E1136" s="56"/>
      <c r="F1136" s="6"/>
      <c r="G1136" s="4"/>
      <c r="H1136" s="4"/>
      <c r="I1136" s="3"/>
      <c r="J1136" s="12"/>
    </row>
    <row r="1137" spans="1:10" x14ac:dyDescent="0.25">
      <c r="A1137" s="4"/>
      <c r="B1137" s="55"/>
      <c r="C1137" s="5"/>
      <c r="D1137" s="56"/>
      <c r="E1137" s="56"/>
      <c r="F1137" s="6"/>
      <c r="G1137" s="4"/>
      <c r="H1137" s="4"/>
      <c r="I1137" s="3"/>
      <c r="J1137" s="12"/>
    </row>
    <row r="1138" spans="1:10" x14ac:dyDescent="0.25">
      <c r="A1138" s="4"/>
      <c r="B1138" s="55"/>
      <c r="C1138" s="5"/>
      <c r="D1138" s="56"/>
      <c r="E1138" s="56"/>
      <c r="F1138" s="6"/>
      <c r="G1138" s="4"/>
      <c r="H1138" s="4"/>
      <c r="I1138" s="3"/>
      <c r="J1138" s="12"/>
    </row>
    <row r="1139" spans="1:10" x14ac:dyDescent="0.25">
      <c r="A1139" s="4"/>
      <c r="B1139" s="55"/>
      <c r="C1139" s="5"/>
      <c r="D1139" s="56"/>
      <c r="E1139" s="56"/>
      <c r="F1139" s="6"/>
      <c r="G1139" s="4"/>
      <c r="H1139" s="4"/>
      <c r="I1139" s="3"/>
      <c r="J1139" s="12"/>
    </row>
    <row r="1140" spans="1:10" x14ac:dyDescent="0.25">
      <c r="A1140" s="4"/>
      <c r="B1140" s="55"/>
      <c r="C1140" s="5"/>
      <c r="D1140" s="56"/>
      <c r="E1140" s="56"/>
      <c r="F1140" s="6"/>
      <c r="G1140" s="4"/>
      <c r="H1140" s="4"/>
      <c r="I1140" s="3"/>
      <c r="J1140" s="12"/>
    </row>
    <row r="1141" spans="1:10" x14ac:dyDescent="0.25">
      <c r="A1141" s="4"/>
      <c r="B1141" s="55"/>
      <c r="C1141" s="5"/>
      <c r="D1141" s="56"/>
      <c r="E1141" s="56"/>
      <c r="F1141" s="6"/>
      <c r="G1141" s="4"/>
      <c r="H1141" s="4"/>
      <c r="I1141" s="3"/>
      <c r="J1141" s="12"/>
    </row>
    <row r="1142" spans="1:10" x14ac:dyDescent="0.25">
      <c r="A1142" s="4"/>
      <c r="B1142" s="55"/>
      <c r="C1142" s="5"/>
      <c r="D1142" s="56"/>
      <c r="E1142" s="56"/>
      <c r="F1142" s="6"/>
      <c r="G1142" s="4"/>
      <c r="H1142" s="4"/>
      <c r="I1142" s="3"/>
      <c r="J1142" s="12"/>
    </row>
    <row r="1143" spans="1:10" x14ac:dyDescent="0.25">
      <c r="A1143" s="4"/>
      <c r="B1143" s="55"/>
      <c r="C1143" s="5"/>
      <c r="D1143" s="56"/>
      <c r="E1143" s="56"/>
      <c r="F1143" s="6"/>
      <c r="G1143" s="4"/>
      <c r="H1143" s="4"/>
      <c r="I1143" s="3"/>
      <c r="J1143" s="12"/>
    </row>
    <row r="1144" spans="1:10" x14ac:dyDescent="0.25">
      <c r="A1144" s="4"/>
      <c r="B1144" s="55"/>
      <c r="C1144" s="5"/>
      <c r="D1144" s="56"/>
      <c r="E1144" s="56"/>
      <c r="F1144" s="6"/>
      <c r="G1144" s="4"/>
      <c r="H1144" s="4"/>
      <c r="I1144" s="3"/>
      <c r="J1144" s="12"/>
    </row>
    <row r="1145" spans="1:10" x14ac:dyDescent="0.25">
      <c r="A1145" s="4"/>
      <c r="B1145" s="55"/>
      <c r="C1145" s="5"/>
      <c r="D1145" s="56"/>
      <c r="E1145" s="56"/>
      <c r="F1145" s="6"/>
      <c r="G1145" s="4"/>
      <c r="H1145" s="4"/>
      <c r="I1145" s="3"/>
      <c r="J1145" s="12"/>
    </row>
    <row r="1146" spans="1:10" x14ac:dyDescent="0.25">
      <c r="A1146" s="4"/>
      <c r="B1146" s="55"/>
      <c r="C1146" s="5"/>
      <c r="D1146" s="56"/>
      <c r="E1146" s="56"/>
      <c r="F1146" s="6"/>
      <c r="G1146" s="4"/>
      <c r="H1146" s="4"/>
      <c r="I1146" s="3"/>
      <c r="J1146" s="12"/>
    </row>
    <row r="1147" spans="1:10" x14ac:dyDescent="0.25">
      <c r="A1147" s="136"/>
      <c r="B1147" s="137"/>
      <c r="C1147" s="138"/>
      <c r="D1147" s="139"/>
      <c r="E1147" s="139"/>
      <c r="F1147" s="141"/>
      <c r="G1147" s="136"/>
      <c r="H1147" s="136"/>
      <c r="I1147" s="142"/>
      <c r="J1147" s="144"/>
    </row>
    <row r="1148" spans="1:10" x14ac:dyDescent="0.25">
      <c r="A1148" s="4"/>
      <c r="B1148" s="55"/>
      <c r="C1148" s="5"/>
      <c r="D1148" s="140"/>
      <c r="E1148" s="140"/>
      <c r="F1148" s="6"/>
      <c r="G1148" s="4"/>
      <c r="H1148" s="4"/>
      <c r="I1148" s="143"/>
      <c r="J1148" s="145"/>
    </row>
    <row r="1149" spans="1:10" x14ac:dyDescent="0.25">
      <c r="A1149" s="136"/>
      <c r="B1149" s="137"/>
      <c r="C1149" s="138"/>
      <c r="D1149" s="139"/>
      <c r="E1149" s="139"/>
      <c r="F1149" s="141"/>
      <c r="G1149" s="136"/>
      <c r="H1149" s="136"/>
      <c r="I1149" s="142"/>
      <c r="J1149" s="144"/>
    </row>
    <row r="1150" spans="1:10" x14ac:dyDescent="0.25">
      <c r="A1150" s="4"/>
      <c r="B1150" s="55"/>
      <c r="C1150" s="5"/>
      <c r="D1150" s="140"/>
      <c r="E1150" s="140"/>
      <c r="F1150" s="6"/>
      <c r="G1150" s="4"/>
      <c r="H1150" s="4"/>
      <c r="I1150" s="143"/>
      <c r="J1150" s="145"/>
    </row>
    <row r="1151" spans="1:10" x14ac:dyDescent="0.25">
      <c r="A1151" s="136"/>
      <c r="B1151" s="137"/>
      <c r="C1151" s="138"/>
      <c r="D1151" s="139"/>
      <c r="E1151" s="139"/>
      <c r="F1151" s="141"/>
      <c r="G1151" s="136"/>
      <c r="H1151" s="136"/>
      <c r="I1151" s="142"/>
      <c r="J1151" s="144"/>
    </row>
    <row r="1152" spans="1:10" x14ac:dyDescent="0.25">
      <c r="A1152" s="4"/>
      <c r="B1152" s="55"/>
      <c r="C1152" s="5"/>
      <c r="D1152" s="140"/>
      <c r="E1152" s="140"/>
      <c r="F1152" s="6"/>
      <c r="G1152" s="4"/>
      <c r="H1152" s="4"/>
      <c r="I1152" s="143"/>
      <c r="J1152" s="145"/>
    </row>
    <row r="1153" spans="1:10" x14ac:dyDescent="0.25">
      <c r="A1153" s="136"/>
      <c r="B1153" s="137"/>
      <c r="C1153" s="138"/>
      <c r="D1153" s="139"/>
      <c r="E1153" s="139"/>
      <c r="F1153" s="141"/>
      <c r="G1153" s="136"/>
      <c r="H1153" s="136"/>
      <c r="I1153" s="142"/>
      <c r="J1153" s="144"/>
    </row>
    <row r="1154" spans="1:10" x14ac:dyDescent="0.25">
      <c r="A1154" s="4"/>
      <c r="B1154" s="55"/>
      <c r="C1154" s="5"/>
      <c r="D1154" s="140"/>
      <c r="E1154" s="140"/>
      <c r="F1154" s="6"/>
      <c r="G1154" s="4"/>
      <c r="H1154" s="4"/>
      <c r="I1154" s="143"/>
      <c r="J1154" s="145"/>
    </row>
    <row r="1155" spans="1:10" x14ac:dyDescent="0.25">
      <c r="A1155" s="136"/>
      <c r="B1155" s="137"/>
      <c r="C1155" s="138"/>
      <c r="D1155" s="139"/>
      <c r="E1155" s="139"/>
      <c r="F1155" s="141"/>
      <c r="G1155" s="136"/>
      <c r="H1155" s="136"/>
      <c r="I1155" s="142"/>
      <c r="J1155" s="144"/>
    </row>
    <row r="1156" spans="1:10" x14ac:dyDescent="0.25">
      <c r="A1156" s="4"/>
      <c r="B1156" s="55"/>
      <c r="C1156" s="5"/>
      <c r="D1156" s="140"/>
      <c r="E1156" s="140"/>
      <c r="F1156" s="6"/>
      <c r="G1156" s="4"/>
      <c r="H1156" s="4"/>
      <c r="I1156" s="143"/>
      <c r="J1156" s="145"/>
    </row>
    <row r="1157" spans="1:10" x14ac:dyDescent="0.25">
      <c r="A1157" s="136"/>
      <c r="B1157" s="137"/>
      <c r="C1157" s="138"/>
      <c r="D1157" s="139"/>
      <c r="E1157" s="139"/>
      <c r="F1157" s="141"/>
      <c r="G1157" s="136"/>
      <c r="H1157" s="136"/>
      <c r="I1157" s="142"/>
      <c r="J1157" s="144"/>
    </row>
    <row r="1158" spans="1:10" x14ac:dyDescent="0.25">
      <c r="A1158" s="4"/>
      <c r="B1158" s="55"/>
      <c r="C1158" s="5"/>
      <c r="D1158" s="140"/>
      <c r="E1158" s="140"/>
      <c r="F1158" s="6"/>
      <c r="G1158" s="4"/>
      <c r="H1158" s="4"/>
      <c r="I1158" s="143"/>
      <c r="J1158" s="145"/>
    </row>
    <row r="1159" spans="1:10" x14ac:dyDescent="0.25">
      <c r="A1159" s="4"/>
      <c r="B1159" s="55"/>
      <c r="C1159" s="5"/>
      <c r="D1159" s="56"/>
      <c r="E1159" s="56"/>
      <c r="F1159" s="6"/>
      <c r="G1159" s="4"/>
      <c r="H1159" s="4"/>
      <c r="I1159" s="3"/>
      <c r="J1159" s="12"/>
    </row>
    <row r="1160" spans="1:10" x14ac:dyDescent="0.25">
      <c r="A1160" s="4"/>
      <c r="B1160" s="55"/>
      <c r="C1160" s="5"/>
      <c r="D1160" s="56"/>
      <c r="E1160" s="56"/>
      <c r="F1160" s="6"/>
      <c r="G1160" s="4"/>
      <c r="H1160" s="4"/>
      <c r="I1160" s="3"/>
      <c r="J1160" s="12"/>
    </row>
    <row r="1161" spans="1:10" x14ac:dyDescent="0.25">
      <c r="A1161" s="4"/>
      <c r="B1161" s="55"/>
      <c r="C1161" s="5"/>
      <c r="D1161" s="56"/>
      <c r="E1161" s="56"/>
      <c r="F1161" s="6"/>
      <c r="G1161" s="4"/>
      <c r="H1161" s="4"/>
      <c r="I1161" s="3"/>
      <c r="J1161" s="12"/>
    </row>
    <row r="1162" spans="1:10" x14ac:dyDescent="0.25">
      <c r="A1162" s="4"/>
      <c r="B1162" s="55"/>
      <c r="C1162" s="5"/>
      <c r="D1162" s="56"/>
      <c r="E1162" s="56"/>
      <c r="F1162" s="6"/>
      <c r="G1162" s="4"/>
      <c r="H1162" s="4"/>
      <c r="I1162" s="3"/>
      <c r="J1162" s="12"/>
    </row>
    <row r="1163" spans="1:10" x14ac:dyDescent="0.25">
      <c r="A1163" s="4"/>
      <c r="B1163" s="55"/>
      <c r="C1163" s="5"/>
      <c r="D1163" s="56"/>
      <c r="E1163" s="56"/>
      <c r="F1163" s="6"/>
      <c r="G1163" s="4"/>
      <c r="H1163" s="4"/>
      <c r="I1163" s="3"/>
      <c r="J1163" s="12"/>
    </row>
    <row r="1164" spans="1:10" x14ac:dyDescent="0.25">
      <c r="A1164" s="4"/>
      <c r="B1164" s="55"/>
      <c r="C1164" s="5"/>
      <c r="D1164" s="56"/>
      <c r="E1164" s="56"/>
      <c r="F1164" s="6"/>
      <c r="G1164" s="4"/>
      <c r="H1164" s="4"/>
      <c r="I1164" s="3"/>
      <c r="J1164" s="12"/>
    </row>
    <row r="1165" spans="1:10" x14ac:dyDescent="0.25">
      <c r="A1165" s="4"/>
      <c r="B1165" s="55"/>
      <c r="C1165" s="5"/>
      <c r="D1165" s="56"/>
      <c r="E1165" s="56"/>
      <c r="F1165" s="6"/>
      <c r="G1165" s="4"/>
      <c r="H1165" s="4"/>
      <c r="I1165" s="3"/>
      <c r="J1165" s="12"/>
    </row>
    <row r="1166" spans="1:10" x14ac:dyDescent="0.25">
      <c r="A1166" s="4"/>
      <c r="B1166" s="55"/>
      <c r="C1166" s="5"/>
      <c r="D1166" s="56"/>
      <c r="E1166" s="56"/>
      <c r="F1166" s="6"/>
      <c r="G1166" s="4"/>
      <c r="H1166" s="4"/>
      <c r="I1166" s="3"/>
      <c r="J1166" s="12"/>
    </row>
    <row r="1167" spans="1:10" x14ac:dyDescent="0.25">
      <c r="A1167" s="4"/>
      <c r="B1167" s="55"/>
      <c r="C1167" s="5"/>
      <c r="D1167" s="56"/>
      <c r="E1167" s="56"/>
      <c r="F1167" s="6"/>
      <c r="G1167" s="4"/>
      <c r="H1167" s="4"/>
      <c r="I1167" s="3"/>
      <c r="J1167" s="12"/>
    </row>
    <row r="1168" spans="1:10" x14ac:dyDescent="0.25">
      <c r="A1168" s="4"/>
      <c r="B1168" s="55"/>
      <c r="C1168" s="5"/>
      <c r="D1168" s="56"/>
      <c r="E1168" s="56"/>
      <c r="F1168" s="6"/>
      <c r="G1168" s="4"/>
      <c r="H1168" s="4"/>
      <c r="I1168" s="3"/>
      <c r="J1168" s="12"/>
    </row>
    <row r="1169" spans="1:10" x14ac:dyDescent="0.25">
      <c r="A1169" s="4"/>
      <c r="B1169" s="55"/>
      <c r="C1169" s="5"/>
      <c r="D1169" s="56"/>
      <c r="E1169" s="56"/>
      <c r="F1169" s="6"/>
      <c r="G1169" s="4"/>
      <c r="H1169" s="4"/>
      <c r="I1169" s="3"/>
      <c r="J1169" s="12"/>
    </row>
    <row r="1170" spans="1:10" x14ac:dyDescent="0.25">
      <c r="A1170" s="4"/>
      <c r="B1170" s="55"/>
      <c r="C1170" s="5"/>
      <c r="D1170" s="56"/>
      <c r="E1170" s="56"/>
      <c r="F1170" s="6"/>
      <c r="G1170" s="4"/>
      <c r="H1170" s="4"/>
      <c r="I1170" s="3"/>
      <c r="J1170" s="12"/>
    </row>
    <row r="1171" spans="1:10" x14ac:dyDescent="0.25">
      <c r="A1171" s="4"/>
      <c r="B1171" s="55"/>
      <c r="C1171" s="5"/>
      <c r="D1171" s="56"/>
      <c r="E1171" s="56"/>
      <c r="F1171" s="6"/>
      <c r="G1171" s="4"/>
      <c r="H1171" s="4"/>
      <c r="I1171" s="3"/>
      <c r="J1171" s="12"/>
    </row>
    <row r="1172" spans="1:10" x14ac:dyDescent="0.25">
      <c r="A1172" s="4"/>
      <c r="B1172" s="55"/>
      <c r="C1172" s="5"/>
      <c r="D1172" s="56"/>
      <c r="E1172" s="56"/>
      <c r="F1172" s="6"/>
      <c r="G1172" s="4"/>
      <c r="H1172" s="4"/>
      <c r="I1172" s="3"/>
      <c r="J1172" s="12"/>
    </row>
    <row r="1173" spans="1:10" x14ac:dyDescent="0.25">
      <c r="A1173" s="4"/>
      <c r="B1173" s="55"/>
      <c r="C1173" s="5"/>
      <c r="D1173" s="56"/>
      <c r="E1173" s="56"/>
      <c r="F1173" s="6"/>
      <c r="G1173" s="4"/>
      <c r="H1173" s="4"/>
      <c r="I1173" s="3"/>
      <c r="J1173" s="12"/>
    </row>
    <row r="1174" spans="1:10" x14ac:dyDescent="0.25">
      <c r="A1174" s="4"/>
      <c r="B1174" s="55"/>
      <c r="C1174" s="5"/>
      <c r="D1174" s="56"/>
      <c r="E1174" s="56"/>
      <c r="F1174" s="6"/>
      <c r="G1174" s="4"/>
      <c r="H1174" s="4"/>
      <c r="I1174" s="3"/>
      <c r="J1174" s="12"/>
    </row>
    <row r="1175" spans="1:10" x14ac:dyDescent="0.25">
      <c r="A1175" s="4"/>
      <c r="B1175" s="55"/>
      <c r="C1175" s="5"/>
      <c r="D1175" s="56"/>
      <c r="E1175" s="56"/>
      <c r="F1175" s="6"/>
      <c r="G1175" s="4"/>
      <c r="H1175" s="4"/>
      <c r="I1175" s="3"/>
      <c r="J1175" s="12"/>
    </row>
    <row r="1176" spans="1:10" x14ac:dyDescent="0.25">
      <c r="A1176" s="4"/>
      <c r="B1176" s="55"/>
      <c r="C1176" s="5"/>
      <c r="D1176" s="56"/>
      <c r="E1176" s="56"/>
      <c r="F1176" s="6"/>
      <c r="G1176" s="4"/>
      <c r="H1176" s="4"/>
      <c r="I1176" s="3"/>
      <c r="J1176" s="12"/>
    </row>
    <row r="1177" spans="1:10" x14ac:dyDescent="0.25">
      <c r="A1177" s="4"/>
      <c r="B1177" s="55"/>
      <c r="C1177" s="5"/>
      <c r="D1177" s="56"/>
      <c r="E1177" s="56"/>
      <c r="F1177" s="6"/>
      <c r="G1177" s="4"/>
      <c r="H1177" s="4"/>
      <c r="I1177" s="3"/>
      <c r="J1177" s="12"/>
    </row>
    <row r="1178" spans="1:10" x14ac:dyDescent="0.25">
      <c r="A1178" s="4"/>
      <c r="B1178" s="55"/>
      <c r="C1178" s="5"/>
      <c r="D1178" s="56"/>
      <c r="E1178" s="56"/>
      <c r="F1178" s="6"/>
      <c r="G1178" s="4"/>
      <c r="H1178" s="4"/>
      <c r="I1178" s="3"/>
      <c r="J1178" s="12"/>
    </row>
    <row r="1179" spans="1:10" x14ac:dyDescent="0.25">
      <c r="A1179" s="4"/>
      <c r="B1179" s="55"/>
      <c r="C1179" s="5"/>
      <c r="D1179" s="56"/>
      <c r="E1179" s="56"/>
      <c r="F1179" s="6"/>
      <c r="G1179" s="4"/>
      <c r="H1179" s="4"/>
      <c r="I1179" s="3"/>
      <c r="J1179" s="12"/>
    </row>
    <row r="1180" spans="1:10" x14ac:dyDescent="0.25">
      <c r="A1180" s="4"/>
      <c r="B1180" s="55"/>
      <c r="C1180" s="5"/>
      <c r="D1180" s="56"/>
      <c r="E1180" s="56"/>
      <c r="F1180" s="6"/>
      <c r="G1180" s="4"/>
      <c r="H1180" s="4"/>
      <c r="I1180" s="3"/>
      <c r="J1180" s="12"/>
    </row>
    <row r="1181" spans="1:10" x14ac:dyDescent="0.25">
      <c r="A1181" s="4"/>
      <c r="B1181" s="55"/>
      <c r="C1181" s="5"/>
      <c r="D1181" s="56"/>
      <c r="E1181" s="56"/>
      <c r="F1181" s="6"/>
      <c r="G1181" s="4"/>
      <c r="H1181" s="4"/>
      <c r="I1181" s="3"/>
      <c r="J1181" s="12"/>
    </row>
    <row r="1182" spans="1:10" x14ac:dyDescent="0.25">
      <c r="A1182" s="4"/>
      <c r="B1182" s="55"/>
      <c r="C1182" s="5"/>
      <c r="D1182" s="56"/>
      <c r="E1182" s="56"/>
      <c r="F1182" s="6"/>
      <c r="G1182" s="4"/>
      <c r="H1182" s="4"/>
      <c r="I1182" s="3"/>
      <c r="J1182" s="12"/>
    </row>
    <row r="1183" spans="1:10" x14ac:dyDescent="0.25">
      <c r="A1183" s="4"/>
      <c r="B1183" s="55"/>
      <c r="C1183" s="5"/>
      <c r="D1183" s="56"/>
      <c r="E1183" s="56"/>
      <c r="F1183" s="6"/>
      <c r="G1183" s="4"/>
      <c r="H1183" s="4"/>
      <c r="I1183" s="3"/>
      <c r="J1183" s="12"/>
    </row>
    <row r="1184" spans="1:10" x14ac:dyDescent="0.25">
      <c r="A1184" s="4"/>
      <c r="B1184" s="55"/>
      <c r="C1184" s="5"/>
      <c r="D1184" s="56"/>
      <c r="E1184" s="56"/>
      <c r="F1184" s="6"/>
      <c r="G1184" s="4"/>
      <c r="H1184" s="4"/>
      <c r="I1184" s="3"/>
      <c r="J1184" s="12"/>
    </row>
    <row r="1185" spans="1:10" x14ac:dyDescent="0.25">
      <c r="A1185" s="4"/>
      <c r="B1185" s="55"/>
      <c r="C1185" s="5"/>
      <c r="D1185" s="56"/>
      <c r="E1185" s="56"/>
      <c r="F1185" s="6"/>
      <c r="G1185" s="4"/>
      <c r="H1185" s="4"/>
      <c r="I1185" s="3"/>
      <c r="J1185" s="12"/>
    </row>
    <row r="1186" spans="1:10" x14ac:dyDescent="0.25">
      <c r="A1186" s="4"/>
      <c r="B1186" s="55"/>
      <c r="C1186" s="5"/>
      <c r="D1186" s="56"/>
      <c r="E1186" s="56"/>
      <c r="F1186" s="6"/>
      <c r="G1186" s="4"/>
      <c r="H1186" s="4"/>
      <c r="I1186" s="3"/>
      <c r="J1186" s="12"/>
    </row>
    <row r="1187" spans="1:10" x14ac:dyDescent="0.25">
      <c r="A1187" s="4"/>
      <c r="B1187" s="55"/>
      <c r="C1187" s="5"/>
      <c r="D1187" s="56"/>
      <c r="E1187" s="56"/>
      <c r="F1187" s="6"/>
      <c r="G1187" s="4"/>
      <c r="H1187" s="4"/>
      <c r="I1187" s="3"/>
      <c r="J1187" s="12"/>
    </row>
    <row r="1188" spans="1:10" x14ac:dyDescent="0.25">
      <c r="A1188" s="4"/>
      <c r="B1188" s="55"/>
      <c r="C1188" s="5"/>
      <c r="D1188" s="56"/>
      <c r="E1188" s="56"/>
      <c r="F1188" s="6"/>
      <c r="G1188" s="4"/>
      <c r="H1188" s="4"/>
      <c r="I1188" s="3"/>
      <c r="J1188" s="12"/>
    </row>
    <row r="1189" spans="1:10" x14ac:dyDescent="0.25">
      <c r="A1189" s="4"/>
      <c r="B1189" s="55"/>
      <c r="C1189" s="5"/>
      <c r="D1189" s="56"/>
      <c r="E1189" s="56"/>
      <c r="F1189" s="6"/>
      <c r="G1189" s="4"/>
      <c r="H1189" s="4"/>
      <c r="I1189" s="3"/>
      <c r="J1189" s="12"/>
    </row>
    <row r="1190" spans="1:10" x14ac:dyDescent="0.25">
      <c r="A1190" s="4"/>
      <c r="B1190" s="55"/>
      <c r="C1190" s="5"/>
      <c r="D1190" s="56"/>
      <c r="E1190" s="56"/>
      <c r="F1190" s="6"/>
      <c r="G1190" s="4"/>
      <c r="H1190" s="4"/>
      <c r="I1190" s="3"/>
      <c r="J1190" s="12"/>
    </row>
    <row r="1191" spans="1:10" x14ac:dyDescent="0.25">
      <c r="A1191" s="4"/>
      <c r="B1191" s="55"/>
      <c r="C1191" s="5"/>
      <c r="D1191" s="56"/>
      <c r="E1191" s="56"/>
      <c r="F1191" s="6"/>
      <c r="G1191" s="4"/>
      <c r="H1191" s="4"/>
      <c r="I1191" s="3"/>
      <c r="J1191" s="12"/>
    </row>
    <row r="1192" spans="1:10" x14ac:dyDescent="0.25">
      <c r="A1192" s="4"/>
      <c r="B1192" s="55"/>
      <c r="C1192" s="5"/>
      <c r="D1192" s="56"/>
      <c r="E1192" s="56"/>
      <c r="F1192" s="6"/>
      <c r="G1192" s="4"/>
      <c r="H1192" s="4"/>
      <c r="I1192" s="3"/>
      <c r="J1192" s="12"/>
    </row>
    <row r="1193" spans="1:10" x14ac:dyDescent="0.25">
      <c r="A1193" s="4"/>
      <c r="B1193" s="55"/>
      <c r="C1193" s="5"/>
      <c r="D1193" s="56"/>
      <c r="E1193" s="56"/>
      <c r="F1193" s="6"/>
      <c r="G1193" s="4"/>
      <c r="H1193" s="4"/>
      <c r="I1193" s="3"/>
      <c r="J1193" s="12"/>
    </row>
    <row r="1194" spans="1:10" x14ac:dyDescent="0.25">
      <c r="A1194" s="4"/>
      <c r="B1194" s="55"/>
      <c r="C1194" s="5"/>
      <c r="D1194" s="56"/>
      <c r="E1194" s="56"/>
      <c r="F1194" s="6"/>
      <c r="G1194" s="4"/>
      <c r="H1194" s="4"/>
      <c r="I1194" s="3"/>
      <c r="J1194" s="12"/>
    </row>
    <row r="1195" spans="1:10" x14ac:dyDescent="0.25">
      <c r="A1195" s="4"/>
      <c r="B1195" s="55"/>
      <c r="C1195" s="5"/>
      <c r="D1195" s="56"/>
      <c r="E1195" s="56"/>
      <c r="F1195" s="6"/>
      <c r="G1195" s="4"/>
      <c r="H1195" s="4"/>
      <c r="I1195" s="3"/>
      <c r="J1195" s="12"/>
    </row>
    <row r="1196" spans="1:10" x14ac:dyDescent="0.25">
      <c r="A1196" s="4"/>
      <c r="B1196" s="55"/>
      <c r="C1196" s="5"/>
      <c r="D1196" s="56"/>
      <c r="E1196" s="56"/>
      <c r="F1196" s="6"/>
      <c r="G1196" s="4"/>
      <c r="H1196" s="4"/>
      <c r="I1196" s="3"/>
      <c r="J1196" s="12"/>
    </row>
    <row r="1197" spans="1:10" x14ac:dyDescent="0.25">
      <c r="A1197" s="4"/>
      <c r="B1197" s="55"/>
      <c r="C1197" s="5"/>
      <c r="D1197" s="56"/>
      <c r="E1197" s="56"/>
      <c r="F1197" s="6"/>
      <c r="G1197" s="4"/>
      <c r="H1197" s="4"/>
      <c r="I1197" s="3"/>
      <c r="J1197" s="12"/>
    </row>
    <row r="1198" spans="1:10" x14ac:dyDescent="0.25">
      <c r="A1198" s="4"/>
      <c r="B1198" s="55"/>
      <c r="C1198" s="5"/>
      <c r="D1198" s="56"/>
      <c r="E1198" s="56"/>
      <c r="F1198" s="6"/>
      <c r="G1198" s="4"/>
      <c r="H1198" s="4"/>
      <c r="I1198" s="3"/>
      <c r="J1198" s="12"/>
    </row>
    <row r="1199" spans="1:10" x14ac:dyDescent="0.25">
      <c r="A1199" s="4"/>
      <c r="B1199" s="55"/>
      <c r="C1199" s="5"/>
      <c r="D1199" s="56"/>
      <c r="E1199" s="56"/>
      <c r="F1199" s="6"/>
      <c r="G1199" s="4"/>
      <c r="H1199" s="4"/>
      <c r="I1199" s="3"/>
      <c r="J1199" s="12"/>
    </row>
    <row r="1200" spans="1:10" x14ac:dyDescent="0.25">
      <c r="A1200" s="4"/>
      <c r="B1200" s="55"/>
      <c r="C1200" s="5"/>
      <c r="D1200" s="56"/>
      <c r="E1200" s="56"/>
      <c r="F1200" s="6"/>
      <c r="G1200" s="4"/>
      <c r="H1200" s="4"/>
      <c r="I1200" s="3"/>
      <c r="J1200" s="12"/>
    </row>
    <row r="1201" spans="1:10" x14ac:dyDescent="0.25">
      <c r="A1201" s="4"/>
      <c r="B1201" s="55"/>
      <c r="C1201" s="5"/>
      <c r="D1201" s="56"/>
      <c r="E1201" s="56"/>
      <c r="F1201" s="6"/>
      <c r="G1201" s="4"/>
      <c r="H1201" s="4"/>
      <c r="I1201" s="3"/>
      <c r="J1201" s="12"/>
    </row>
    <row r="1202" spans="1:10" x14ac:dyDescent="0.25">
      <c r="A1202" s="4"/>
      <c r="B1202" s="55"/>
      <c r="C1202" s="5"/>
      <c r="D1202" s="56"/>
      <c r="E1202" s="56"/>
      <c r="F1202" s="6"/>
      <c r="G1202" s="4"/>
      <c r="H1202" s="4"/>
      <c r="I1202" s="3"/>
      <c r="J1202" s="12"/>
    </row>
    <row r="1203" spans="1:10" x14ac:dyDescent="0.25">
      <c r="A1203" s="4"/>
      <c r="B1203" s="55"/>
      <c r="C1203" s="5"/>
      <c r="D1203" s="56"/>
      <c r="E1203" s="56"/>
      <c r="F1203" s="6"/>
      <c r="G1203" s="4"/>
      <c r="H1203" s="4"/>
      <c r="I1203" s="3"/>
      <c r="J1203" s="12"/>
    </row>
    <row r="1204" spans="1:10" x14ac:dyDescent="0.25">
      <c r="A1204" s="4"/>
      <c r="B1204" s="55"/>
      <c r="C1204" s="5"/>
      <c r="D1204" s="56"/>
      <c r="E1204" s="56"/>
      <c r="F1204" s="6"/>
      <c r="G1204" s="4"/>
      <c r="H1204" s="4"/>
      <c r="I1204" s="3"/>
      <c r="J1204" s="12"/>
    </row>
    <row r="1205" spans="1:10" x14ac:dyDescent="0.25">
      <c r="A1205" s="4"/>
      <c r="B1205" s="55"/>
      <c r="C1205" s="5"/>
      <c r="D1205" s="56"/>
      <c r="E1205" s="56"/>
      <c r="F1205" s="6"/>
      <c r="G1205" s="4"/>
      <c r="H1205" s="4"/>
      <c r="I1205" s="3"/>
      <c r="J1205" s="12"/>
    </row>
    <row r="1206" spans="1:10" x14ac:dyDescent="0.25">
      <c r="A1206" s="4"/>
      <c r="B1206" s="55"/>
      <c r="C1206" s="5"/>
      <c r="D1206" s="56"/>
      <c r="E1206" s="56"/>
      <c r="F1206" s="6"/>
      <c r="G1206" s="4"/>
      <c r="H1206" s="4"/>
      <c r="I1206" s="3"/>
      <c r="J1206" s="12"/>
    </row>
    <row r="1207" spans="1:10" x14ac:dyDescent="0.25">
      <c r="A1207" s="4"/>
      <c r="B1207" s="55"/>
      <c r="C1207" s="5"/>
      <c r="D1207" s="56"/>
      <c r="E1207" s="56"/>
      <c r="F1207" s="6"/>
      <c r="G1207" s="4"/>
      <c r="H1207" s="4"/>
      <c r="I1207" s="3"/>
      <c r="J1207" s="12"/>
    </row>
    <row r="1208" spans="1:10" x14ac:dyDescent="0.25">
      <c r="A1208" s="4"/>
      <c r="B1208" s="55"/>
      <c r="C1208" s="5"/>
      <c r="D1208" s="56"/>
      <c r="E1208" s="56"/>
      <c r="F1208" s="6"/>
      <c r="G1208" s="4"/>
      <c r="H1208" s="4"/>
      <c r="I1208" s="3"/>
      <c r="J1208" s="12"/>
    </row>
    <row r="1209" spans="1:10" x14ac:dyDescent="0.25">
      <c r="A1209" s="4"/>
      <c r="B1209" s="55"/>
      <c r="C1209" s="5"/>
      <c r="D1209" s="56"/>
      <c r="E1209" s="56"/>
      <c r="F1209" s="6"/>
      <c r="G1209" s="4"/>
      <c r="H1209" s="4"/>
      <c r="I1209" s="3"/>
      <c r="J1209" s="12"/>
    </row>
    <row r="1210" spans="1:10" x14ac:dyDescent="0.25">
      <c r="A1210" s="4"/>
      <c r="B1210" s="55"/>
      <c r="C1210" s="5"/>
      <c r="D1210" s="56"/>
      <c r="E1210" s="56"/>
      <c r="F1210" s="6"/>
      <c r="G1210" s="4"/>
      <c r="H1210" s="4"/>
      <c r="I1210" s="3"/>
      <c r="J1210" s="12"/>
    </row>
    <row r="1211" spans="1:10" x14ac:dyDescent="0.25">
      <c r="A1211" s="4"/>
      <c r="B1211" s="55"/>
      <c r="C1211" s="5"/>
      <c r="D1211" s="56"/>
      <c r="E1211" s="56"/>
      <c r="F1211" s="6"/>
      <c r="G1211" s="4"/>
      <c r="H1211" s="4"/>
      <c r="I1211" s="3"/>
      <c r="J1211" s="12"/>
    </row>
    <row r="1212" spans="1:10" x14ac:dyDescent="0.25">
      <c r="A1212" s="4"/>
      <c r="B1212" s="55"/>
      <c r="C1212" s="5"/>
      <c r="D1212" s="56"/>
      <c r="E1212" s="56"/>
      <c r="F1212" s="6"/>
      <c r="G1212" s="4"/>
      <c r="H1212" s="4"/>
      <c r="I1212" s="3"/>
      <c r="J1212" s="12"/>
    </row>
    <row r="1213" spans="1:10" x14ac:dyDescent="0.25">
      <c r="A1213" s="4"/>
      <c r="B1213" s="55"/>
      <c r="C1213" s="5"/>
      <c r="D1213" s="56"/>
      <c r="E1213" s="56"/>
      <c r="F1213" s="6"/>
      <c r="G1213" s="4"/>
      <c r="H1213" s="4"/>
      <c r="I1213" s="3"/>
      <c r="J1213" s="12"/>
    </row>
    <row r="1214" spans="1:10" x14ac:dyDescent="0.25">
      <c r="A1214" s="4"/>
      <c r="B1214" s="55"/>
      <c r="C1214" s="5"/>
      <c r="D1214" s="56"/>
      <c r="E1214" s="56"/>
      <c r="F1214" s="6"/>
      <c r="G1214" s="4"/>
      <c r="H1214" s="4"/>
      <c r="I1214" s="3"/>
      <c r="J1214" s="12"/>
    </row>
    <row r="1215" spans="1:10" x14ac:dyDescent="0.25">
      <c r="A1215" s="4"/>
      <c r="B1215" s="55"/>
      <c r="C1215" s="5"/>
      <c r="D1215" s="56"/>
      <c r="E1215" s="56"/>
      <c r="F1215" s="6"/>
      <c r="G1215" s="4"/>
      <c r="H1215" s="4"/>
      <c r="I1215" s="3"/>
      <c r="J1215" s="12"/>
    </row>
    <row r="1216" spans="1:10" x14ac:dyDescent="0.25">
      <c r="A1216" s="4"/>
      <c r="B1216" s="55"/>
      <c r="C1216" s="5"/>
      <c r="D1216" s="56"/>
      <c r="E1216" s="56"/>
      <c r="F1216" s="6"/>
      <c r="G1216" s="4"/>
      <c r="H1216" s="4"/>
      <c r="I1216" s="3"/>
      <c r="J1216" s="12"/>
    </row>
    <row r="1217" spans="1:10" x14ac:dyDescent="0.25">
      <c r="A1217" s="4"/>
      <c r="B1217" s="55"/>
      <c r="C1217" s="5"/>
      <c r="D1217" s="56"/>
      <c r="E1217" s="56"/>
      <c r="F1217" s="6"/>
      <c r="G1217" s="4"/>
      <c r="H1217" s="4"/>
      <c r="I1217" s="3"/>
      <c r="J1217" s="12"/>
    </row>
    <row r="1218" spans="1:10" x14ac:dyDescent="0.25">
      <c r="A1218" s="4"/>
      <c r="B1218" s="55"/>
      <c r="C1218" s="5"/>
      <c r="D1218" s="56"/>
      <c r="E1218" s="56"/>
      <c r="F1218" s="6"/>
      <c r="G1218" s="4"/>
      <c r="H1218" s="4"/>
      <c r="I1218" s="3"/>
      <c r="J1218" s="12"/>
    </row>
    <row r="1219" spans="1:10" x14ac:dyDescent="0.25">
      <c r="A1219" s="4"/>
      <c r="B1219" s="55"/>
      <c r="C1219" s="5"/>
      <c r="D1219" s="56"/>
      <c r="E1219" s="56"/>
      <c r="F1219" s="6"/>
      <c r="G1219" s="4"/>
      <c r="H1219" s="4"/>
      <c r="I1219" s="3"/>
      <c r="J1219" s="12"/>
    </row>
    <row r="1220" spans="1:10" x14ac:dyDescent="0.25">
      <c r="A1220" s="4"/>
      <c r="B1220" s="55"/>
      <c r="C1220" s="5"/>
      <c r="D1220" s="56"/>
      <c r="E1220" s="56"/>
      <c r="F1220" s="6"/>
      <c r="G1220" s="4"/>
      <c r="H1220" s="4"/>
      <c r="I1220" s="3"/>
      <c r="J1220" s="12"/>
    </row>
    <row r="1221" spans="1:10" x14ac:dyDescent="0.25">
      <c r="A1221" s="4"/>
      <c r="B1221" s="55"/>
      <c r="C1221" s="5"/>
      <c r="D1221" s="56"/>
      <c r="E1221" s="56"/>
      <c r="F1221" s="6"/>
      <c r="G1221" s="4"/>
      <c r="H1221" s="4"/>
      <c r="I1221" s="3"/>
      <c r="J1221" s="12"/>
    </row>
    <row r="1222" spans="1:10" x14ac:dyDescent="0.25">
      <c r="A1222" s="4"/>
      <c r="B1222" s="55"/>
      <c r="C1222" s="5"/>
      <c r="D1222" s="56"/>
      <c r="E1222" s="56"/>
      <c r="F1222" s="6"/>
      <c r="G1222" s="4"/>
      <c r="H1222" s="4"/>
      <c r="I1222" s="3"/>
      <c r="J1222" s="12"/>
    </row>
    <row r="1223" spans="1:10" x14ac:dyDescent="0.25">
      <c r="A1223" s="4"/>
      <c r="B1223" s="55"/>
      <c r="C1223" s="5"/>
      <c r="D1223" s="56"/>
      <c r="E1223" s="56"/>
      <c r="F1223" s="6"/>
      <c r="G1223" s="4"/>
      <c r="H1223" s="4"/>
      <c r="I1223" s="3"/>
      <c r="J1223" s="12"/>
    </row>
    <row r="1224" spans="1:10" x14ac:dyDescent="0.25">
      <c r="A1224" s="4"/>
      <c r="B1224" s="55"/>
      <c r="C1224" s="5"/>
      <c r="D1224" s="56"/>
      <c r="E1224" s="56"/>
      <c r="F1224" s="6"/>
      <c r="G1224" s="4"/>
      <c r="H1224" s="4"/>
      <c r="I1224" s="3"/>
      <c r="J1224" s="12"/>
    </row>
    <row r="1225" spans="1:10" x14ac:dyDescent="0.25">
      <c r="A1225" s="4"/>
      <c r="B1225" s="55"/>
      <c r="C1225" s="5"/>
      <c r="D1225" s="56"/>
      <c r="E1225" s="56"/>
      <c r="F1225" s="6"/>
      <c r="G1225" s="4"/>
      <c r="H1225" s="4"/>
      <c r="I1225" s="3"/>
      <c r="J1225" s="12"/>
    </row>
    <row r="1226" spans="1:10" x14ac:dyDescent="0.25">
      <c r="A1226" s="4"/>
      <c r="B1226" s="55"/>
      <c r="C1226" s="5"/>
      <c r="D1226" s="56"/>
      <c r="E1226" s="56"/>
      <c r="F1226" s="6"/>
      <c r="G1226" s="4"/>
      <c r="H1226" s="4"/>
      <c r="I1226" s="3"/>
      <c r="J1226" s="12"/>
    </row>
    <row r="1227" spans="1:10" x14ac:dyDescent="0.25">
      <c r="A1227" s="4"/>
      <c r="B1227" s="55"/>
      <c r="C1227" s="5"/>
      <c r="D1227" s="56"/>
      <c r="E1227" s="56"/>
      <c r="F1227" s="6"/>
      <c r="G1227" s="4"/>
      <c r="H1227" s="4"/>
      <c r="I1227" s="3"/>
      <c r="J1227" s="12"/>
    </row>
    <row r="1228" spans="1:10" x14ac:dyDescent="0.25">
      <c r="A1228" s="4"/>
      <c r="B1228" s="55"/>
      <c r="C1228" s="5"/>
      <c r="D1228" s="56"/>
      <c r="E1228" s="56"/>
      <c r="F1228" s="6"/>
      <c r="G1228" s="4"/>
      <c r="H1228" s="4"/>
      <c r="I1228" s="3"/>
      <c r="J1228" s="12"/>
    </row>
    <row r="1229" spans="1:10" x14ac:dyDescent="0.25">
      <c r="A1229" s="4"/>
      <c r="B1229" s="55"/>
      <c r="C1229" s="5"/>
      <c r="D1229" s="56"/>
      <c r="E1229" s="56"/>
      <c r="F1229" s="6"/>
      <c r="G1229" s="4"/>
      <c r="H1229" s="4"/>
      <c r="I1229" s="3"/>
      <c r="J1229" s="12"/>
    </row>
    <row r="1230" spans="1:10" x14ac:dyDescent="0.25">
      <c r="A1230" s="4"/>
      <c r="B1230" s="55"/>
      <c r="C1230" s="5"/>
      <c r="D1230" s="56"/>
      <c r="E1230" s="56"/>
      <c r="F1230" s="6"/>
      <c r="G1230" s="4"/>
      <c r="H1230" s="4"/>
      <c r="I1230" s="3"/>
      <c r="J1230" s="12"/>
    </row>
    <row r="1231" spans="1:10" x14ac:dyDescent="0.25">
      <c r="A1231" s="4"/>
      <c r="B1231" s="55"/>
      <c r="C1231" s="5"/>
      <c r="D1231" s="56"/>
      <c r="E1231" s="56"/>
      <c r="F1231" s="6"/>
      <c r="G1231" s="4"/>
      <c r="H1231" s="4"/>
      <c r="I1231" s="3"/>
      <c r="J1231" s="12"/>
    </row>
    <row r="1232" spans="1:10" x14ac:dyDescent="0.25">
      <c r="A1232" s="4"/>
      <c r="B1232" s="55"/>
      <c r="C1232" s="5"/>
      <c r="D1232" s="56"/>
      <c r="E1232" s="56"/>
      <c r="F1232" s="6"/>
      <c r="G1232" s="4"/>
      <c r="H1232" s="4"/>
      <c r="I1232" s="3"/>
      <c r="J1232" s="12"/>
    </row>
    <row r="1233" spans="1:10" x14ac:dyDescent="0.25">
      <c r="A1233" s="4"/>
      <c r="B1233" s="55"/>
      <c r="C1233" s="5"/>
      <c r="D1233" s="56"/>
      <c r="E1233" s="56"/>
      <c r="F1233" s="6"/>
      <c r="G1233" s="4"/>
      <c r="H1233" s="4"/>
      <c r="I1233" s="3"/>
      <c r="J1233" s="12"/>
    </row>
    <row r="1234" spans="1:10" x14ac:dyDescent="0.25">
      <c r="A1234" s="4"/>
      <c r="B1234" s="55"/>
      <c r="C1234" s="5"/>
      <c r="D1234" s="56"/>
      <c r="E1234" s="56"/>
      <c r="F1234" s="6"/>
      <c r="G1234" s="4"/>
      <c r="H1234" s="4"/>
      <c r="I1234" s="3"/>
      <c r="J1234" s="12"/>
    </row>
    <row r="1235" spans="1:10" x14ac:dyDescent="0.25">
      <c r="A1235" s="4"/>
      <c r="B1235" s="55"/>
      <c r="C1235" s="5"/>
      <c r="D1235" s="56"/>
      <c r="E1235" s="56"/>
      <c r="F1235" s="6"/>
      <c r="G1235" s="4"/>
      <c r="H1235" s="4"/>
      <c r="I1235" s="3"/>
      <c r="J1235" s="12"/>
    </row>
    <row r="1236" spans="1:10" x14ac:dyDescent="0.25">
      <c r="A1236" s="4"/>
      <c r="B1236" s="55"/>
      <c r="C1236" s="5"/>
      <c r="D1236" s="56"/>
      <c r="E1236" s="56"/>
      <c r="F1236" s="6"/>
      <c r="G1236" s="4"/>
      <c r="H1236" s="4"/>
      <c r="I1236" s="3"/>
      <c r="J1236" s="12"/>
    </row>
    <row r="1237" spans="1:10" x14ac:dyDescent="0.25">
      <c r="A1237" s="4"/>
      <c r="B1237" s="55"/>
      <c r="C1237" s="5"/>
      <c r="D1237" s="56"/>
      <c r="E1237" s="56"/>
      <c r="F1237" s="6"/>
      <c r="G1237" s="4"/>
      <c r="H1237" s="4"/>
      <c r="I1237" s="3"/>
      <c r="J1237" s="12"/>
    </row>
    <row r="1238" spans="1:10" x14ac:dyDescent="0.25">
      <c r="A1238" s="4"/>
      <c r="B1238" s="55"/>
      <c r="C1238" s="5"/>
      <c r="D1238" s="56"/>
      <c r="E1238" s="56"/>
      <c r="F1238" s="6"/>
      <c r="G1238" s="4"/>
      <c r="H1238" s="4"/>
      <c r="I1238" s="3"/>
      <c r="J1238" s="12"/>
    </row>
    <row r="1239" spans="1:10" x14ac:dyDescent="0.25">
      <c r="A1239" s="4"/>
      <c r="B1239" s="55"/>
      <c r="C1239" s="5"/>
      <c r="D1239" s="56"/>
      <c r="E1239" s="56"/>
      <c r="F1239" s="6"/>
      <c r="G1239" s="4"/>
      <c r="H1239" s="4"/>
      <c r="I1239" s="3"/>
      <c r="J1239" s="12"/>
    </row>
    <row r="1240" spans="1:10" x14ac:dyDescent="0.25">
      <c r="A1240" s="4"/>
      <c r="B1240" s="55"/>
      <c r="C1240" s="5"/>
      <c r="D1240" s="56"/>
      <c r="E1240" s="56"/>
      <c r="F1240" s="6"/>
      <c r="G1240" s="4"/>
      <c r="H1240" s="4"/>
      <c r="I1240" s="3"/>
      <c r="J1240" s="12"/>
    </row>
    <row r="1241" spans="1:10" x14ac:dyDescent="0.25">
      <c r="A1241" s="4"/>
      <c r="B1241" s="55"/>
      <c r="C1241" s="5"/>
      <c r="D1241" s="56"/>
      <c r="E1241" s="56"/>
      <c r="F1241" s="6"/>
      <c r="G1241" s="4"/>
      <c r="H1241" s="4"/>
      <c r="I1241" s="3"/>
      <c r="J1241" s="12"/>
    </row>
    <row r="1242" spans="1:10" x14ac:dyDescent="0.25">
      <c r="A1242" s="4"/>
      <c r="B1242" s="55"/>
      <c r="C1242" s="5"/>
      <c r="D1242" s="56"/>
      <c r="E1242" s="56"/>
      <c r="F1242" s="6"/>
      <c r="G1242" s="4"/>
      <c r="H1242" s="4"/>
      <c r="I1242" s="3"/>
      <c r="J1242" s="12"/>
    </row>
    <row r="1243" spans="1:10" x14ac:dyDescent="0.25">
      <c r="A1243" s="4"/>
      <c r="B1243" s="55"/>
      <c r="C1243" s="5"/>
      <c r="D1243" s="56"/>
      <c r="E1243" s="56"/>
      <c r="F1243" s="6"/>
      <c r="G1243" s="4"/>
      <c r="H1243" s="4"/>
      <c r="I1243" s="3"/>
      <c r="J1243" s="12"/>
    </row>
    <row r="1244" spans="1:10" x14ac:dyDescent="0.25">
      <c r="A1244" s="4"/>
      <c r="B1244" s="55"/>
      <c r="C1244" s="5"/>
      <c r="D1244" s="56"/>
      <c r="E1244" s="56"/>
      <c r="F1244" s="6"/>
      <c r="G1244" s="4"/>
      <c r="H1244" s="4"/>
      <c r="I1244" s="3"/>
      <c r="J1244" s="12"/>
    </row>
    <row r="1245" spans="1:10" x14ac:dyDescent="0.25">
      <c r="A1245" s="4"/>
      <c r="B1245" s="55"/>
      <c r="C1245" s="5"/>
      <c r="D1245" s="56"/>
      <c r="E1245" s="56"/>
      <c r="F1245" s="6"/>
      <c r="G1245" s="4"/>
      <c r="H1245" s="4"/>
      <c r="I1245" s="3"/>
      <c r="J1245" s="12"/>
    </row>
    <row r="1246" spans="1:10" x14ac:dyDescent="0.25">
      <c r="A1246" s="4"/>
      <c r="B1246" s="55"/>
      <c r="C1246" s="5"/>
      <c r="D1246" s="56"/>
      <c r="E1246" s="56"/>
      <c r="F1246" s="6"/>
      <c r="G1246" s="4"/>
      <c r="H1246" s="4"/>
      <c r="I1246" s="3"/>
      <c r="J1246" s="12"/>
    </row>
    <row r="1247" spans="1:10" x14ac:dyDescent="0.25">
      <c r="A1247" s="4"/>
      <c r="B1247" s="55"/>
      <c r="C1247" s="5"/>
      <c r="D1247" s="56"/>
      <c r="E1247" s="56"/>
      <c r="F1247" s="6"/>
      <c r="G1247" s="4"/>
      <c r="H1247" s="4"/>
      <c r="I1247" s="3"/>
      <c r="J1247" s="12"/>
    </row>
    <row r="1248" spans="1:10" x14ac:dyDescent="0.25">
      <c r="A1248" s="4"/>
      <c r="B1248" s="55"/>
      <c r="C1248" s="5"/>
      <c r="D1248" s="56"/>
      <c r="E1248" s="56"/>
      <c r="F1248" s="6"/>
      <c r="G1248" s="4"/>
      <c r="H1248" s="4"/>
      <c r="I1248" s="3"/>
      <c r="J1248" s="12"/>
    </row>
    <row r="1249" spans="1:10" x14ac:dyDescent="0.25">
      <c r="A1249" s="4"/>
      <c r="B1249" s="55"/>
      <c r="C1249" s="5"/>
      <c r="D1249" s="56"/>
      <c r="E1249" s="56"/>
      <c r="F1249" s="6"/>
      <c r="G1249" s="4"/>
      <c r="H1249" s="4"/>
      <c r="I1249" s="3"/>
      <c r="J1249" s="12"/>
    </row>
    <row r="1250" spans="1:10" x14ac:dyDescent="0.25">
      <c r="A1250" s="4"/>
      <c r="B1250" s="55"/>
      <c r="C1250" s="5"/>
      <c r="D1250" s="56"/>
      <c r="E1250" s="56"/>
      <c r="F1250" s="6"/>
      <c r="G1250" s="4"/>
      <c r="H1250" s="4"/>
      <c r="I1250" s="3"/>
      <c r="J1250" s="12"/>
    </row>
    <row r="1251" spans="1:10" x14ac:dyDescent="0.25">
      <c r="A1251" s="4"/>
      <c r="B1251" s="55"/>
      <c r="C1251" s="5"/>
      <c r="D1251" s="56"/>
      <c r="E1251" s="56"/>
      <c r="F1251" s="6"/>
      <c r="G1251" s="4"/>
      <c r="H1251" s="4"/>
      <c r="I1251" s="3"/>
      <c r="J1251" s="12"/>
    </row>
    <row r="1252" spans="1:10" x14ac:dyDescent="0.25">
      <c r="A1252" s="4"/>
      <c r="B1252" s="55"/>
      <c r="C1252" s="5"/>
      <c r="D1252" s="56"/>
      <c r="E1252" s="56"/>
      <c r="F1252" s="6"/>
      <c r="G1252" s="4"/>
      <c r="H1252" s="4"/>
      <c r="I1252" s="3"/>
      <c r="J1252" s="12"/>
    </row>
    <row r="1253" spans="1:10" x14ac:dyDescent="0.25">
      <c r="A1253" s="4"/>
      <c r="B1253" s="55"/>
      <c r="C1253" s="5"/>
      <c r="D1253" s="56"/>
      <c r="E1253" s="56"/>
      <c r="F1253" s="6"/>
      <c r="G1253" s="4"/>
      <c r="H1253" s="4"/>
      <c r="I1253" s="3"/>
      <c r="J1253" s="12"/>
    </row>
    <row r="1254" spans="1:10" x14ac:dyDescent="0.25">
      <c r="A1254" s="4"/>
      <c r="B1254" s="55"/>
      <c r="C1254" s="5"/>
      <c r="D1254" s="56"/>
      <c r="E1254" s="56"/>
      <c r="F1254" s="6"/>
      <c r="G1254" s="4"/>
      <c r="H1254" s="4"/>
      <c r="I1254" s="3"/>
      <c r="J1254" s="12"/>
    </row>
    <row r="1255" spans="1:10" x14ac:dyDescent="0.25">
      <c r="A1255" s="4"/>
      <c r="B1255" s="55"/>
      <c r="C1255" s="5"/>
      <c r="D1255" s="56"/>
      <c r="E1255" s="56"/>
      <c r="F1255" s="6"/>
      <c r="G1255" s="4"/>
      <c r="H1255" s="4"/>
      <c r="I1255" s="3"/>
      <c r="J1255" s="12"/>
    </row>
    <row r="1256" spans="1:10" x14ac:dyDescent="0.25">
      <c r="A1256" s="4"/>
      <c r="B1256" s="55"/>
      <c r="C1256" s="5"/>
      <c r="D1256" s="56"/>
      <c r="E1256" s="56"/>
      <c r="F1256" s="6"/>
      <c r="G1256" s="4"/>
      <c r="H1256" s="4"/>
      <c r="I1256" s="3"/>
      <c r="J1256" s="12"/>
    </row>
    <row r="1257" spans="1:10" x14ac:dyDescent="0.25">
      <c r="A1257" s="4"/>
      <c r="B1257" s="55"/>
      <c r="C1257" s="5"/>
      <c r="D1257" s="56"/>
      <c r="E1257" s="56"/>
      <c r="F1257" s="6"/>
      <c r="G1257" s="4"/>
      <c r="H1257" s="4"/>
      <c r="I1257" s="3"/>
      <c r="J1257" s="12"/>
    </row>
    <row r="1258" spans="1:10" x14ac:dyDescent="0.25">
      <c r="A1258" s="4"/>
      <c r="B1258" s="55"/>
      <c r="C1258" s="5"/>
      <c r="D1258" s="56"/>
      <c r="E1258" s="56"/>
      <c r="F1258" s="6"/>
      <c r="G1258" s="4"/>
      <c r="H1258" s="4"/>
      <c r="I1258" s="3"/>
      <c r="J1258" s="12"/>
    </row>
    <row r="1259" spans="1:10" x14ac:dyDescent="0.25">
      <c r="A1259" s="4"/>
      <c r="B1259" s="55"/>
      <c r="C1259" s="5"/>
      <c r="D1259" s="56"/>
      <c r="E1259" s="56"/>
      <c r="F1259" s="6"/>
      <c r="G1259" s="4"/>
      <c r="H1259" s="4"/>
      <c r="I1259" s="3"/>
      <c r="J1259" s="12"/>
    </row>
    <row r="1260" spans="1:10" x14ac:dyDescent="0.25">
      <c r="A1260" s="4"/>
      <c r="B1260" s="55"/>
      <c r="C1260" s="5"/>
      <c r="D1260" s="56"/>
      <c r="E1260" s="56"/>
      <c r="F1260" s="6"/>
      <c r="G1260" s="4"/>
      <c r="H1260" s="4"/>
      <c r="I1260" s="3"/>
      <c r="J1260" s="12"/>
    </row>
    <row r="1261" spans="1:10" x14ac:dyDescent="0.25">
      <c r="A1261" s="4"/>
      <c r="B1261" s="55"/>
      <c r="C1261" s="5"/>
      <c r="D1261" s="56"/>
      <c r="E1261" s="56"/>
      <c r="F1261" s="6"/>
      <c r="G1261" s="4"/>
      <c r="H1261" s="4"/>
      <c r="I1261" s="3"/>
      <c r="J1261" s="12"/>
    </row>
    <row r="1262" spans="1:10" x14ac:dyDescent="0.25">
      <c r="A1262" s="4"/>
      <c r="B1262" s="55"/>
      <c r="C1262" s="5"/>
      <c r="D1262" s="56"/>
      <c r="E1262" s="56"/>
      <c r="F1262" s="6"/>
      <c r="G1262" s="4"/>
      <c r="H1262" s="4"/>
      <c r="I1262" s="3"/>
      <c r="J1262" s="12"/>
    </row>
    <row r="1263" spans="1:10" x14ac:dyDescent="0.25">
      <c r="A1263" s="4"/>
      <c r="B1263" s="55"/>
      <c r="C1263" s="5"/>
      <c r="D1263" s="56"/>
      <c r="E1263" s="56"/>
      <c r="F1263" s="6"/>
      <c r="G1263" s="4"/>
      <c r="H1263" s="4"/>
      <c r="I1263" s="3"/>
      <c r="J1263" s="12"/>
    </row>
    <row r="1264" spans="1:10" x14ac:dyDescent="0.25">
      <c r="A1264" s="4"/>
      <c r="B1264" s="55"/>
      <c r="C1264" s="5"/>
      <c r="D1264" s="56"/>
      <c r="E1264" s="56"/>
      <c r="F1264" s="6"/>
      <c r="G1264" s="4"/>
      <c r="H1264" s="4"/>
      <c r="I1264" s="3"/>
      <c r="J1264" s="12"/>
    </row>
    <row r="1265" spans="1:10" x14ac:dyDescent="0.25">
      <c r="A1265" s="4"/>
      <c r="B1265" s="55"/>
      <c r="C1265" s="5"/>
      <c r="D1265" s="56"/>
      <c r="E1265" s="56"/>
      <c r="F1265" s="6"/>
      <c r="G1265" s="4"/>
      <c r="H1265" s="4"/>
      <c r="I1265" s="3"/>
      <c r="J1265" s="12"/>
    </row>
    <row r="1266" spans="1:10" x14ac:dyDescent="0.25">
      <c r="A1266" s="4"/>
      <c r="B1266" s="55"/>
      <c r="C1266" s="5"/>
      <c r="D1266" s="56"/>
      <c r="E1266" s="56"/>
      <c r="F1266" s="6"/>
      <c r="G1266" s="4"/>
      <c r="H1266" s="4"/>
      <c r="I1266" s="3"/>
      <c r="J1266" s="12"/>
    </row>
    <row r="1267" spans="1:10" x14ac:dyDescent="0.25">
      <c r="A1267" s="4"/>
      <c r="B1267" s="55"/>
      <c r="C1267" s="5"/>
      <c r="D1267" s="56"/>
      <c r="E1267" s="56"/>
      <c r="F1267" s="6"/>
      <c r="G1267" s="4"/>
      <c r="H1267" s="4"/>
      <c r="I1267" s="3"/>
      <c r="J1267" s="12"/>
    </row>
    <row r="1268" spans="1:10" x14ac:dyDescent="0.25">
      <c r="A1268" s="4"/>
      <c r="B1268" s="55"/>
      <c r="C1268" s="5"/>
      <c r="D1268" s="56"/>
      <c r="E1268" s="56"/>
      <c r="F1268" s="6"/>
      <c r="G1268" s="4"/>
      <c r="H1268" s="4"/>
      <c r="I1268" s="3"/>
      <c r="J1268" s="12"/>
    </row>
    <row r="1269" spans="1:10" x14ac:dyDescent="0.25">
      <c r="A1269" s="4"/>
      <c r="B1269" s="55"/>
      <c r="C1269" s="5"/>
      <c r="D1269" s="56"/>
      <c r="E1269" s="56"/>
      <c r="F1269" s="6"/>
      <c r="G1269" s="4"/>
      <c r="H1269" s="4"/>
      <c r="I1269" s="3"/>
      <c r="J1269" s="12"/>
    </row>
    <row r="1270" spans="1:10" x14ac:dyDescent="0.25">
      <c r="A1270" s="4"/>
      <c r="B1270" s="55"/>
      <c r="C1270" s="5"/>
      <c r="D1270" s="56"/>
      <c r="E1270" s="56"/>
      <c r="F1270" s="6"/>
      <c r="G1270" s="4"/>
      <c r="H1270" s="4"/>
      <c r="I1270" s="3"/>
      <c r="J1270" s="12"/>
    </row>
    <row r="1271" spans="1:10" x14ac:dyDescent="0.25">
      <c r="A1271" s="4"/>
      <c r="B1271" s="55"/>
      <c r="C1271" s="5"/>
      <c r="D1271" s="56"/>
      <c r="E1271" s="56"/>
      <c r="F1271" s="6"/>
      <c r="G1271" s="4"/>
      <c r="H1271" s="4"/>
      <c r="I1271" s="3"/>
      <c r="J1271" s="12"/>
    </row>
    <row r="1272" spans="1:10" x14ac:dyDescent="0.25">
      <c r="A1272" s="4"/>
      <c r="B1272" s="55"/>
      <c r="C1272" s="5"/>
      <c r="D1272" s="56"/>
      <c r="E1272" s="56"/>
      <c r="F1272" s="6"/>
      <c r="G1272" s="4"/>
      <c r="H1272" s="4"/>
      <c r="I1272" s="3"/>
      <c r="J1272" s="12"/>
    </row>
    <row r="1273" spans="1:10" x14ac:dyDescent="0.25">
      <c r="A1273" s="4"/>
      <c r="B1273" s="55"/>
      <c r="C1273" s="5"/>
      <c r="D1273" s="56"/>
      <c r="E1273" s="56"/>
      <c r="F1273" s="6"/>
      <c r="G1273" s="4"/>
      <c r="H1273" s="4"/>
      <c r="I1273" s="3"/>
      <c r="J1273" s="12"/>
    </row>
    <row r="1274" spans="1:10" x14ac:dyDescent="0.25">
      <c r="A1274" s="4"/>
      <c r="B1274" s="55"/>
      <c r="C1274" s="5"/>
      <c r="D1274" s="56"/>
      <c r="E1274" s="56"/>
      <c r="F1274" s="6"/>
      <c r="G1274" s="4"/>
      <c r="H1274" s="4"/>
      <c r="I1274" s="3"/>
      <c r="J1274" s="12"/>
    </row>
    <row r="1275" spans="1:10" x14ac:dyDescent="0.25">
      <c r="A1275" s="4"/>
      <c r="B1275" s="55"/>
      <c r="C1275" s="5"/>
      <c r="D1275" s="56"/>
      <c r="E1275" s="56"/>
      <c r="F1275" s="6"/>
      <c r="G1275" s="4"/>
      <c r="H1275" s="4"/>
      <c r="I1275" s="3"/>
      <c r="J1275" s="12"/>
    </row>
    <row r="1276" spans="1:10" x14ac:dyDescent="0.25">
      <c r="A1276" s="4"/>
      <c r="B1276" s="55"/>
      <c r="C1276" s="5"/>
      <c r="D1276" s="56"/>
      <c r="E1276" s="56"/>
      <c r="F1276" s="6"/>
      <c r="G1276" s="4"/>
      <c r="H1276" s="4"/>
      <c r="I1276" s="3"/>
      <c r="J1276" s="12"/>
    </row>
    <row r="1277" spans="1:10" x14ac:dyDescent="0.25">
      <c r="A1277" s="4"/>
      <c r="B1277" s="55"/>
      <c r="C1277" s="5"/>
      <c r="D1277" s="56"/>
      <c r="E1277" s="56"/>
      <c r="F1277" s="6"/>
      <c r="G1277" s="4"/>
      <c r="H1277" s="4"/>
      <c r="I1277" s="3"/>
      <c r="J1277" s="12"/>
    </row>
    <row r="1278" spans="1:10" x14ac:dyDescent="0.25">
      <c r="A1278" s="4"/>
      <c r="B1278" s="55"/>
      <c r="C1278" s="5"/>
      <c r="D1278" s="56"/>
      <c r="E1278" s="56"/>
      <c r="F1278" s="6"/>
      <c r="G1278" s="4"/>
      <c r="H1278" s="4"/>
      <c r="I1278" s="3"/>
      <c r="J1278" s="12"/>
    </row>
    <row r="1279" spans="1:10" x14ac:dyDescent="0.25">
      <c r="A1279" s="4"/>
      <c r="B1279" s="55"/>
      <c r="C1279" s="5"/>
      <c r="D1279" s="56"/>
      <c r="E1279" s="56"/>
      <c r="F1279" s="6"/>
      <c r="G1279" s="4"/>
      <c r="H1279" s="4"/>
      <c r="I1279" s="3"/>
      <c r="J1279" s="12"/>
    </row>
    <row r="1280" spans="1:10" x14ac:dyDescent="0.25">
      <c r="A1280" s="4"/>
      <c r="B1280" s="55"/>
      <c r="C1280" s="5"/>
      <c r="D1280" s="56"/>
      <c r="E1280" s="56"/>
      <c r="F1280" s="6"/>
      <c r="G1280" s="4"/>
      <c r="H1280" s="4"/>
      <c r="I1280" s="3"/>
      <c r="J1280" s="12"/>
    </row>
    <row r="1281" spans="1:10" x14ac:dyDescent="0.25">
      <c r="A1281" s="4"/>
      <c r="B1281" s="55"/>
      <c r="C1281" s="5"/>
      <c r="D1281" s="56"/>
      <c r="E1281" s="56"/>
      <c r="F1281" s="6"/>
      <c r="G1281" s="4"/>
      <c r="H1281" s="4"/>
      <c r="I1281" s="3"/>
      <c r="J1281" s="12"/>
    </row>
    <row r="1282" spans="1:10" x14ac:dyDescent="0.25">
      <c r="A1282" s="4"/>
      <c r="B1282" s="55"/>
      <c r="C1282" s="5"/>
      <c r="D1282" s="56"/>
      <c r="E1282" s="56"/>
      <c r="F1282" s="6"/>
      <c r="G1282" s="4"/>
      <c r="H1282" s="4"/>
      <c r="I1282" s="3"/>
      <c r="J1282" s="12"/>
    </row>
    <row r="1283" spans="1:10" x14ac:dyDescent="0.25">
      <c r="A1283" s="4"/>
      <c r="B1283" s="55"/>
      <c r="C1283" s="5"/>
      <c r="D1283" s="56"/>
      <c r="E1283" s="56"/>
      <c r="F1283" s="6"/>
      <c r="G1283" s="4"/>
      <c r="H1283" s="4"/>
      <c r="I1283" s="3"/>
      <c r="J1283" s="12"/>
    </row>
    <row r="1284" spans="1:10" x14ac:dyDescent="0.25">
      <c r="A1284" s="4"/>
      <c r="B1284" s="55"/>
      <c r="C1284" s="5"/>
      <c r="D1284" s="56"/>
      <c r="E1284" s="56"/>
      <c r="F1284" s="6"/>
      <c r="G1284" s="4"/>
      <c r="H1284" s="4"/>
      <c r="I1284" s="3"/>
      <c r="J1284" s="12"/>
    </row>
    <row r="1285" spans="1:10" x14ac:dyDescent="0.25">
      <c r="A1285" s="4"/>
      <c r="B1285" s="55"/>
      <c r="C1285" s="5"/>
      <c r="D1285" s="56"/>
      <c r="E1285" s="56"/>
      <c r="F1285" s="6"/>
      <c r="G1285" s="4"/>
      <c r="H1285" s="4"/>
      <c r="I1285" s="3"/>
      <c r="J1285" s="12"/>
    </row>
    <row r="1286" spans="1:10" x14ac:dyDescent="0.25">
      <c r="A1286" s="4"/>
      <c r="B1286" s="55"/>
      <c r="C1286" s="5"/>
      <c r="D1286" s="56"/>
      <c r="E1286" s="56"/>
      <c r="F1286" s="6"/>
      <c r="G1286" s="4"/>
      <c r="H1286" s="4"/>
      <c r="I1286" s="3"/>
      <c r="J1286" s="12"/>
    </row>
    <row r="1287" spans="1:10" x14ac:dyDescent="0.25">
      <c r="A1287" s="4"/>
      <c r="B1287" s="55"/>
      <c r="C1287" s="5"/>
      <c r="D1287" s="56"/>
      <c r="E1287" s="56"/>
      <c r="F1287" s="6"/>
      <c r="G1287" s="4"/>
      <c r="H1287" s="4"/>
      <c r="I1287" s="3"/>
      <c r="J1287" s="12"/>
    </row>
    <row r="1288" spans="1:10" x14ac:dyDescent="0.25">
      <c r="A1288" s="4"/>
      <c r="B1288" s="55"/>
      <c r="C1288" s="5"/>
      <c r="D1288" s="56"/>
      <c r="E1288" s="56"/>
      <c r="F1288" s="6"/>
      <c r="G1288" s="4"/>
      <c r="H1288" s="4"/>
      <c r="I1288" s="3"/>
      <c r="J1288" s="12"/>
    </row>
    <row r="1289" spans="1:10" x14ac:dyDescent="0.25">
      <c r="A1289" s="4"/>
      <c r="B1289" s="55"/>
      <c r="C1289" s="5"/>
      <c r="D1289" s="56"/>
      <c r="E1289" s="56"/>
      <c r="F1289" s="6"/>
      <c r="G1289" s="4"/>
      <c r="H1289" s="4"/>
      <c r="I1289" s="3"/>
      <c r="J1289" s="12"/>
    </row>
    <row r="1290" spans="1:10" x14ac:dyDescent="0.25">
      <c r="A1290" s="4"/>
      <c r="B1290" s="55"/>
      <c r="C1290" s="5"/>
      <c r="D1290" s="56"/>
      <c r="E1290" s="56"/>
      <c r="F1290" s="6"/>
      <c r="G1290" s="4"/>
      <c r="H1290" s="4"/>
      <c r="I1290" s="3"/>
      <c r="J1290" s="12"/>
    </row>
    <row r="1291" spans="1:10" x14ac:dyDescent="0.25">
      <c r="A1291" s="4"/>
      <c r="B1291" s="55"/>
      <c r="C1291" s="5"/>
      <c r="D1291" s="56"/>
      <c r="E1291" s="56"/>
      <c r="F1291" s="6"/>
      <c r="G1291" s="4"/>
      <c r="H1291" s="4"/>
      <c r="I1291" s="3"/>
      <c r="J1291" s="12"/>
    </row>
    <row r="1292" spans="1:10" x14ac:dyDescent="0.25">
      <c r="A1292" s="4"/>
      <c r="B1292" s="55"/>
      <c r="C1292" s="5"/>
      <c r="D1292" s="56"/>
      <c r="E1292" s="56"/>
      <c r="F1292" s="6"/>
      <c r="G1292" s="4"/>
      <c r="H1292" s="4"/>
      <c r="I1292" s="3"/>
      <c r="J1292" s="12"/>
    </row>
    <row r="1293" spans="1:10" x14ac:dyDescent="0.25">
      <c r="A1293" s="4"/>
      <c r="B1293" s="55"/>
      <c r="C1293" s="5"/>
      <c r="D1293" s="56"/>
      <c r="E1293" s="56"/>
      <c r="F1293" s="6"/>
      <c r="G1293" s="4"/>
      <c r="H1293" s="4"/>
      <c r="I1293" s="3"/>
      <c r="J1293" s="12"/>
    </row>
    <row r="1294" spans="1:10" x14ac:dyDescent="0.25">
      <c r="A1294" s="4"/>
      <c r="B1294" s="55"/>
      <c r="C1294" s="5"/>
      <c r="D1294" s="56"/>
      <c r="E1294" s="56"/>
      <c r="F1294" s="6"/>
      <c r="G1294" s="4"/>
      <c r="H1294" s="4"/>
      <c r="I1294" s="3"/>
      <c r="J1294" s="12"/>
    </row>
    <row r="1295" spans="1:10" x14ac:dyDescent="0.25">
      <c r="A1295" s="4"/>
      <c r="B1295" s="55"/>
      <c r="C1295" s="5"/>
      <c r="D1295" s="56"/>
      <c r="E1295" s="56"/>
      <c r="F1295" s="6"/>
      <c r="G1295" s="4"/>
      <c r="H1295" s="4"/>
      <c r="I1295" s="3"/>
      <c r="J1295" s="12"/>
    </row>
    <row r="1296" spans="1:10" x14ac:dyDescent="0.25">
      <c r="A1296" s="4"/>
      <c r="B1296" s="55"/>
      <c r="C1296" s="5"/>
      <c r="D1296" s="56"/>
      <c r="E1296" s="56"/>
      <c r="F1296" s="6"/>
      <c r="G1296" s="4"/>
      <c r="H1296" s="4"/>
      <c r="I1296" s="3"/>
      <c r="J1296" s="12"/>
    </row>
    <row r="1297" spans="1:10" x14ac:dyDescent="0.25">
      <c r="A1297" s="4"/>
      <c r="B1297" s="55"/>
      <c r="C1297" s="5"/>
      <c r="D1297" s="56"/>
      <c r="E1297" s="56"/>
      <c r="F1297" s="6"/>
      <c r="G1297" s="4"/>
      <c r="H1297" s="4"/>
      <c r="I1297" s="3"/>
      <c r="J1297" s="12"/>
    </row>
    <row r="1298" spans="1:10" x14ac:dyDescent="0.25">
      <c r="A1298" s="4"/>
      <c r="B1298" s="55"/>
      <c r="C1298" s="5"/>
      <c r="D1298" s="56"/>
      <c r="E1298" s="56"/>
      <c r="F1298" s="6"/>
      <c r="G1298" s="4"/>
      <c r="H1298" s="4"/>
      <c r="I1298" s="3"/>
      <c r="J1298" s="12"/>
    </row>
    <row r="1299" spans="1:10" x14ac:dyDescent="0.25">
      <c r="A1299" s="4"/>
      <c r="B1299" s="55"/>
      <c r="C1299" s="5"/>
      <c r="D1299" s="56"/>
      <c r="E1299" s="56"/>
      <c r="F1299" s="6"/>
      <c r="G1299" s="4"/>
      <c r="H1299" s="4"/>
      <c r="I1299" s="3"/>
      <c r="J1299" s="12"/>
    </row>
    <row r="1300" spans="1:10" x14ac:dyDescent="0.25">
      <c r="A1300" s="4"/>
      <c r="B1300" s="55"/>
      <c r="C1300" s="5"/>
      <c r="D1300" s="56"/>
      <c r="E1300" s="56"/>
      <c r="F1300" s="6"/>
      <c r="G1300" s="4"/>
      <c r="H1300" s="4"/>
      <c r="I1300" s="3"/>
      <c r="J1300" s="12"/>
    </row>
    <row r="1301" spans="1:10" x14ac:dyDescent="0.25">
      <c r="A1301" s="4"/>
      <c r="B1301" s="55"/>
      <c r="C1301" s="5"/>
      <c r="D1301" s="56"/>
      <c r="E1301" s="56"/>
      <c r="F1301" s="6"/>
      <c r="G1301" s="4"/>
      <c r="H1301" s="4"/>
      <c r="I1301" s="3"/>
      <c r="J1301" s="12"/>
    </row>
    <row r="1302" spans="1:10" x14ac:dyDescent="0.25">
      <c r="A1302" s="4"/>
      <c r="B1302" s="55"/>
      <c r="C1302" s="5"/>
      <c r="D1302" s="56"/>
      <c r="E1302" s="56"/>
      <c r="F1302" s="6"/>
      <c r="G1302" s="4"/>
      <c r="H1302" s="4"/>
      <c r="I1302" s="3"/>
      <c r="J1302" s="12"/>
    </row>
    <row r="1303" spans="1:10" x14ac:dyDescent="0.25">
      <c r="A1303" s="4"/>
      <c r="B1303" s="55"/>
      <c r="C1303" s="5"/>
      <c r="D1303" s="56"/>
      <c r="E1303" s="56"/>
      <c r="F1303" s="6"/>
      <c r="G1303" s="4"/>
      <c r="H1303" s="4"/>
      <c r="I1303" s="3"/>
      <c r="J1303" s="12"/>
    </row>
    <row r="1304" spans="1:10" x14ac:dyDescent="0.25">
      <c r="A1304" s="4"/>
      <c r="B1304" s="55"/>
      <c r="C1304" s="5"/>
      <c r="D1304" s="56"/>
      <c r="E1304" s="56"/>
      <c r="F1304" s="6"/>
      <c r="G1304" s="4"/>
      <c r="H1304" s="4"/>
      <c r="I1304" s="3"/>
      <c r="J1304" s="12"/>
    </row>
    <row r="1305" spans="1:10" x14ac:dyDescent="0.25">
      <c r="A1305" s="4"/>
      <c r="B1305" s="55"/>
      <c r="C1305" s="5"/>
      <c r="D1305" s="56"/>
      <c r="E1305" s="56"/>
      <c r="F1305" s="6"/>
      <c r="G1305" s="4"/>
      <c r="H1305" s="4"/>
      <c r="I1305" s="3"/>
      <c r="J1305" s="12"/>
    </row>
    <row r="1306" spans="1:10" x14ac:dyDescent="0.25">
      <c r="A1306" s="4"/>
      <c r="B1306" s="55"/>
      <c r="C1306" s="5"/>
      <c r="D1306" s="56"/>
      <c r="E1306" s="56"/>
      <c r="F1306" s="6"/>
      <c r="G1306" s="4"/>
      <c r="H1306" s="4"/>
      <c r="I1306" s="3"/>
      <c r="J1306" s="12"/>
    </row>
    <row r="1307" spans="1:10" x14ac:dyDescent="0.25">
      <c r="A1307" s="4"/>
      <c r="B1307" s="55"/>
      <c r="C1307" s="5"/>
      <c r="D1307" s="56"/>
      <c r="E1307" s="56"/>
      <c r="F1307" s="6"/>
      <c r="G1307" s="4"/>
      <c r="H1307" s="4"/>
      <c r="I1307" s="3"/>
      <c r="J1307" s="12"/>
    </row>
    <row r="1308" spans="1:10" x14ac:dyDescent="0.25">
      <c r="A1308" s="4"/>
      <c r="B1308" s="55"/>
      <c r="C1308" s="5"/>
      <c r="D1308" s="56"/>
      <c r="E1308" s="56"/>
      <c r="F1308" s="6"/>
      <c r="G1308" s="4"/>
      <c r="H1308" s="4"/>
      <c r="I1308" s="3"/>
      <c r="J1308" s="12"/>
    </row>
    <row r="1309" spans="1:10" x14ac:dyDescent="0.25">
      <c r="A1309" s="4"/>
      <c r="B1309" s="55"/>
      <c r="C1309" s="5"/>
      <c r="D1309" s="56"/>
      <c r="E1309" s="56"/>
      <c r="F1309" s="6"/>
      <c r="G1309" s="4"/>
      <c r="H1309" s="4"/>
      <c r="I1309" s="3"/>
      <c r="J1309" s="12"/>
    </row>
    <row r="1310" spans="1:10" x14ac:dyDescent="0.25">
      <c r="A1310" s="4"/>
      <c r="B1310" s="55"/>
      <c r="C1310" s="5"/>
      <c r="D1310" s="56"/>
      <c r="E1310" s="56"/>
      <c r="F1310" s="6"/>
      <c r="G1310" s="4"/>
      <c r="H1310" s="4"/>
      <c r="I1310" s="3"/>
      <c r="J1310" s="12"/>
    </row>
    <row r="1311" spans="1:10" x14ac:dyDescent="0.25">
      <c r="A1311" s="4"/>
      <c r="B1311" s="55"/>
      <c r="C1311" s="5"/>
      <c r="D1311" s="56"/>
      <c r="E1311" s="56"/>
      <c r="F1311" s="6"/>
      <c r="G1311" s="4"/>
      <c r="H1311" s="4"/>
      <c r="I1311" s="3"/>
      <c r="J1311" s="12"/>
    </row>
    <row r="1312" spans="1:10" x14ac:dyDescent="0.25">
      <c r="A1312" s="4"/>
      <c r="B1312" s="55"/>
      <c r="C1312" s="5"/>
      <c r="D1312" s="56"/>
      <c r="E1312" s="56"/>
      <c r="F1312" s="6"/>
      <c r="G1312" s="4"/>
      <c r="H1312" s="4"/>
      <c r="I1312" s="3"/>
      <c r="J1312" s="12"/>
    </row>
    <row r="1313" spans="1:10" x14ac:dyDescent="0.25">
      <c r="A1313" s="4"/>
      <c r="B1313" s="55"/>
      <c r="C1313" s="5"/>
      <c r="D1313" s="56"/>
      <c r="E1313" s="56"/>
      <c r="F1313" s="6"/>
      <c r="G1313" s="4"/>
      <c r="H1313" s="4"/>
      <c r="I1313" s="3"/>
      <c r="J1313" s="12"/>
    </row>
    <row r="1314" spans="1:10" x14ac:dyDescent="0.25">
      <c r="A1314" s="4"/>
      <c r="B1314" s="55"/>
      <c r="C1314" s="5"/>
      <c r="D1314" s="56"/>
      <c r="E1314" s="56"/>
      <c r="F1314" s="6"/>
      <c r="G1314" s="4"/>
      <c r="H1314" s="4"/>
      <c r="I1314" s="3"/>
      <c r="J1314" s="12"/>
    </row>
    <row r="1315" spans="1:10" x14ac:dyDescent="0.25">
      <c r="A1315" s="4"/>
      <c r="B1315" s="55"/>
      <c r="C1315" s="5"/>
      <c r="D1315" s="56"/>
      <c r="E1315" s="56"/>
      <c r="F1315" s="6"/>
      <c r="G1315" s="4"/>
      <c r="H1315" s="4"/>
      <c r="I1315" s="3"/>
      <c r="J1315" s="12"/>
    </row>
    <row r="1316" spans="1:10" x14ac:dyDescent="0.25">
      <c r="A1316" s="4"/>
      <c r="B1316" s="55"/>
      <c r="C1316" s="5"/>
      <c r="D1316" s="56"/>
      <c r="E1316" s="56"/>
      <c r="F1316" s="6"/>
      <c r="G1316" s="4"/>
      <c r="H1316" s="4"/>
      <c r="I1316" s="3"/>
      <c r="J1316" s="12"/>
    </row>
    <row r="1317" spans="1:10" x14ac:dyDescent="0.25">
      <c r="A1317" s="4"/>
      <c r="B1317" s="55"/>
      <c r="C1317" s="5"/>
      <c r="D1317" s="56"/>
      <c r="E1317" s="56"/>
      <c r="F1317" s="6"/>
      <c r="G1317" s="4"/>
      <c r="H1317" s="4"/>
      <c r="I1317" s="3"/>
      <c r="J1317" s="12"/>
    </row>
    <row r="1318" spans="1:10" x14ac:dyDescent="0.25">
      <c r="A1318" s="4"/>
      <c r="B1318" s="55"/>
      <c r="C1318" s="5"/>
      <c r="D1318" s="56"/>
      <c r="E1318" s="56"/>
      <c r="F1318" s="6"/>
      <c r="G1318" s="4"/>
      <c r="H1318" s="4"/>
      <c r="I1318" s="3"/>
      <c r="J1318" s="12"/>
    </row>
    <row r="1319" spans="1:10" x14ac:dyDescent="0.25">
      <c r="A1319" s="4"/>
      <c r="B1319" s="55"/>
      <c r="C1319" s="5"/>
      <c r="D1319" s="56"/>
      <c r="E1319" s="56"/>
      <c r="F1319" s="6"/>
      <c r="G1319" s="4"/>
      <c r="H1319" s="4"/>
      <c r="I1319" s="3"/>
      <c r="J1319" s="12"/>
    </row>
    <row r="1320" spans="1:10" x14ac:dyDescent="0.25">
      <c r="A1320" s="4"/>
      <c r="B1320" s="55"/>
      <c r="C1320" s="5"/>
      <c r="D1320" s="56"/>
      <c r="E1320" s="56"/>
      <c r="F1320" s="6"/>
      <c r="G1320" s="4"/>
      <c r="H1320" s="4"/>
      <c r="I1320" s="3"/>
      <c r="J1320" s="12"/>
    </row>
    <row r="1321" spans="1:10" x14ac:dyDescent="0.25">
      <c r="A1321" s="4"/>
      <c r="B1321" s="55"/>
      <c r="C1321" s="5"/>
      <c r="D1321" s="56"/>
      <c r="E1321" s="56"/>
      <c r="F1321" s="6"/>
      <c r="G1321" s="4"/>
      <c r="H1321" s="4"/>
      <c r="I1321" s="3"/>
      <c r="J1321" s="12"/>
    </row>
    <row r="1322" spans="1:10" x14ac:dyDescent="0.25">
      <c r="A1322" s="4"/>
      <c r="B1322" s="55"/>
      <c r="C1322" s="5"/>
      <c r="D1322" s="56"/>
      <c r="E1322" s="56"/>
      <c r="F1322" s="6"/>
      <c r="G1322" s="4"/>
      <c r="H1322" s="4"/>
      <c r="I1322" s="3"/>
      <c r="J1322" s="12"/>
    </row>
    <row r="1323" spans="1:10" x14ac:dyDescent="0.25">
      <c r="A1323" s="4"/>
      <c r="B1323" s="55"/>
      <c r="C1323" s="5"/>
      <c r="D1323" s="56"/>
      <c r="E1323" s="56"/>
      <c r="F1323" s="6"/>
      <c r="G1323" s="4"/>
      <c r="H1323" s="4"/>
      <c r="I1323" s="3"/>
      <c r="J1323" s="12"/>
    </row>
    <row r="1324" spans="1:10" x14ac:dyDescent="0.25">
      <c r="A1324" s="4"/>
      <c r="B1324" s="55"/>
      <c r="C1324" s="5"/>
      <c r="D1324" s="56"/>
      <c r="E1324" s="56"/>
      <c r="F1324" s="6"/>
      <c r="G1324" s="4"/>
      <c r="H1324" s="4"/>
      <c r="I1324" s="3"/>
      <c r="J1324" s="12"/>
    </row>
    <row r="1325" spans="1:10" x14ac:dyDescent="0.25">
      <c r="A1325" s="4"/>
      <c r="B1325" s="55"/>
      <c r="C1325" s="5"/>
      <c r="D1325" s="56"/>
      <c r="E1325" s="56"/>
      <c r="F1325" s="6"/>
      <c r="G1325" s="4"/>
      <c r="H1325" s="4"/>
      <c r="I1325" s="3"/>
      <c r="J1325" s="12"/>
    </row>
    <row r="1326" spans="1:10" x14ac:dyDescent="0.25">
      <c r="A1326" s="4"/>
      <c r="B1326" s="55"/>
      <c r="C1326" s="5"/>
      <c r="D1326" s="56"/>
      <c r="E1326" s="56"/>
      <c r="F1326" s="6"/>
      <c r="G1326" s="4"/>
      <c r="H1326" s="4"/>
      <c r="I1326" s="3"/>
      <c r="J1326" s="12"/>
    </row>
    <row r="1327" spans="1:10" x14ac:dyDescent="0.25">
      <c r="A1327" s="4"/>
      <c r="B1327" s="55"/>
      <c r="C1327" s="5"/>
      <c r="D1327" s="56"/>
      <c r="E1327" s="56"/>
      <c r="F1327" s="6"/>
      <c r="G1327" s="4"/>
      <c r="H1327" s="4"/>
      <c r="I1327" s="3"/>
      <c r="J1327" s="12"/>
    </row>
    <row r="1328" spans="1:10" x14ac:dyDescent="0.25">
      <c r="A1328" s="4"/>
      <c r="B1328" s="55"/>
      <c r="C1328" s="5"/>
      <c r="D1328" s="56"/>
      <c r="E1328" s="56"/>
      <c r="F1328" s="6"/>
      <c r="G1328" s="4"/>
      <c r="H1328" s="4"/>
      <c r="I1328" s="3"/>
      <c r="J1328" s="12"/>
    </row>
    <row r="1329" spans="1:10" x14ac:dyDescent="0.25">
      <c r="A1329" s="4"/>
      <c r="B1329" s="55"/>
      <c r="C1329" s="5"/>
      <c r="D1329" s="56"/>
      <c r="E1329" s="56"/>
      <c r="F1329" s="6"/>
      <c r="G1329" s="4"/>
      <c r="H1329" s="4"/>
      <c r="I1329" s="3"/>
      <c r="J1329" s="12"/>
    </row>
    <row r="1330" spans="1:10" x14ac:dyDescent="0.25">
      <c r="A1330" s="4"/>
      <c r="B1330" s="55"/>
      <c r="C1330" s="5"/>
      <c r="D1330" s="56"/>
      <c r="E1330" s="56"/>
      <c r="F1330" s="6"/>
      <c r="G1330" s="4"/>
      <c r="H1330" s="4"/>
      <c r="I1330" s="3"/>
      <c r="J1330" s="12"/>
    </row>
    <row r="1331" spans="1:10" x14ac:dyDescent="0.25">
      <c r="A1331" s="4"/>
      <c r="B1331" s="55"/>
      <c r="C1331" s="5"/>
      <c r="D1331" s="56"/>
      <c r="E1331" s="56"/>
      <c r="F1331" s="6"/>
      <c r="G1331" s="4"/>
      <c r="H1331" s="4"/>
      <c r="I1331" s="3"/>
      <c r="J1331" s="12"/>
    </row>
    <row r="1332" spans="1:10" x14ac:dyDescent="0.25">
      <c r="A1332" s="4"/>
      <c r="B1332" s="55"/>
      <c r="C1332" s="5"/>
      <c r="D1332" s="56"/>
      <c r="E1332" s="56"/>
      <c r="F1332" s="6"/>
      <c r="G1332" s="4"/>
      <c r="H1332" s="4"/>
      <c r="I1332" s="3"/>
      <c r="J1332" s="12"/>
    </row>
    <row r="1333" spans="1:10" x14ac:dyDescent="0.25">
      <c r="A1333" s="4"/>
      <c r="B1333" s="55"/>
      <c r="C1333" s="5"/>
      <c r="D1333" s="56"/>
      <c r="E1333" s="56"/>
      <c r="F1333" s="6"/>
      <c r="G1333" s="4"/>
      <c r="H1333" s="4"/>
      <c r="I1333" s="3"/>
      <c r="J1333" s="12"/>
    </row>
    <row r="1334" spans="1:10" x14ac:dyDescent="0.25">
      <c r="A1334" s="4"/>
      <c r="B1334" s="55"/>
      <c r="C1334" s="5"/>
      <c r="D1334" s="56"/>
      <c r="E1334" s="56"/>
      <c r="F1334" s="6"/>
      <c r="G1334" s="4"/>
      <c r="H1334" s="4"/>
      <c r="I1334" s="3"/>
      <c r="J1334" s="12"/>
    </row>
    <row r="1335" spans="1:10" x14ac:dyDescent="0.25">
      <c r="A1335" s="4"/>
      <c r="B1335" s="55"/>
      <c r="C1335" s="5"/>
      <c r="D1335" s="56"/>
      <c r="E1335" s="56"/>
      <c r="F1335" s="6"/>
      <c r="G1335" s="4"/>
      <c r="H1335" s="4"/>
      <c r="I1335" s="3"/>
      <c r="J1335" s="12"/>
    </row>
    <row r="1336" spans="1:10" x14ac:dyDescent="0.25">
      <c r="A1336" s="4"/>
      <c r="B1336" s="55"/>
      <c r="C1336" s="5"/>
      <c r="D1336" s="56"/>
      <c r="E1336" s="56"/>
      <c r="F1336" s="6"/>
      <c r="G1336" s="4"/>
      <c r="H1336" s="4"/>
      <c r="I1336" s="3"/>
      <c r="J1336" s="12"/>
    </row>
    <row r="1337" spans="1:10" x14ac:dyDescent="0.25">
      <c r="A1337" s="4"/>
      <c r="B1337" s="55"/>
      <c r="C1337" s="5"/>
      <c r="D1337" s="56"/>
      <c r="E1337" s="56"/>
      <c r="F1337" s="6"/>
      <c r="G1337" s="4"/>
      <c r="H1337" s="4"/>
      <c r="I1337" s="3"/>
      <c r="J1337" s="12"/>
    </row>
    <row r="1338" spans="1:10" x14ac:dyDescent="0.25">
      <c r="A1338" s="4"/>
      <c r="B1338" s="55"/>
      <c r="C1338" s="5"/>
      <c r="D1338" s="56"/>
      <c r="E1338" s="56"/>
      <c r="F1338" s="6"/>
      <c r="G1338" s="4"/>
      <c r="H1338" s="4"/>
      <c r="I1338" s="3"/>
      <c r="J1338" s="12"/>
    </row>
    <row r="1339" spans="1:10" x14ac:dyDescent="0.25">
      <c r="A1339" s="4"/>
      <c r="B1339" s="55"/>
      <c r="C1339" s="5"/>
      <c r="D1339" s="56"/>
      <c r="E1339" s="56"/>
      <c r="F1339" s="6"/>
      <c r="G1339" s="4"/>
      <c r="H1339" s="4"/>
      <c r="I1339" s="3"/>
      <c r="J1339" s="12"/>
    </row>
    <row r="1340" spans="1:10" x14ac:dyDescent="0.25">
      <c r="A1340" s="4"/>
      <c r="B1340" s="55"/>
      <c r="C1340" s="5"/>
      <c r="D1340" s="56"/>
      <c r="E1340" s="56"/>
      <c r="F1340" s="6"/>
      <c r="G1340" s="4"/>
      <c r="H1340" s="4"/>
      <c r="I1340" s="3"/>
      <c r="J1340" s="12"/>
    </row>
    <row r="1341" spans="1:10" x14ac:dyDescent="0.25">
      <c r="A1341" s="4"/>
      <c r="B1341" s="55"/>
      <c r="C1341" s="5"/>
      <c r="D1341" s="56"/>
      <c r="E1341" s="56"/>
      <c r="F1341" s="6"/>
      <c r="G1341" s="4"/>
      <c r="H1341" s="4"/>
      <c r="I1341" s="3"/>
      <c r="J1341" s="12"/>
    </row>
    <row r="1342" spans="1:10" x14ac:dyDescent="0.25">
      <c r="A1342" s="4"/>
      <c r="B1342" s="55"/>
      <c r="C1342" s="5"/>
      <c r="D1342" s="56"/>
      <c r="E1342" s="56"/>
      <c r="F1342" s="6"/>
      <c r="G1342" s="4"/>
      <c r="H1342" s="4"/>
      <c r="I1342" s="3"/>
      <c r="J1342" s="12"/>
    </row>
    <row r="1343" spans="1:10" x14ac:dyDescent="0.25">
      <c r="A1343" s="4"/>
      <c r="B1343" s="55"/>
      <c r="C1343" s="5"/>
      <c r="D1343" s="56"/>
      <c r="E1343" s="56"/>
      <c r="F1343" s="6"/>
      <c r="G1343" s="4"/>
      <c r="H1343" s="4"/>
      <c r="I1343" s="3"/>
      <c r="J1343" s="12"/>
    </row>
    <row r="1344" spans="1:10" x14ac:dyDescent="0.25">
      <c r="A1344" s="4"/>
      <c r="B1344" s="55"/>
      <c r="C1344" s="5"/>
      <c r="D1344" s="56"/>
      <c r="E1344" s="56"/>
      <c r="F1344" s="6"/>
      <c r="G1344" s="4"/>
      <c r="H1344" s="4"/>
      <c r="I1344" s="3"/>
      <c r="J1344" s="12"/>
    </row>
    <row r="1345" spans="1:10" x14ac:dyDescent="0.25">
      <c r="A1345" s="4"/>
      <c r="B1345" s="55"/>
      <c r="C1345" s="5"/>
      <c r="D1345" s="56"/>
      <c r="E1345" s="56"/>
      <c r="F1345" s="6"/>
      <c r="G1345" s="4"/>
      <c r="H1345" s="4"/>
      <c r="I1345" s="3"/>
      <c r="J1345" s="12"/>
    </row>
    <row r="1346" spans="1:10" x14ac:dyDescent="0.25">
      <c r="A1346" s="4"/>
      <c r="B1346" s="55"/>
      <c r="C1346" s="5"/>
      <c r="D1346" s="56"/>
      <c r="E1346" s="56"/>
      <c r="F1346" s="6"/>
      <c r="G1346" s="4"/>
      <c r="H1346" s="4"/>
      <c r="I1346" s="3"/>
      <c r="J1346" s="12"/>
    </row>
    <row r="1347" spans="1:10" x14ac:dyDescent="0.25">
      <c r="A1347" s="4"/>
      <c r="B1347" s="55"/>
      <c r="C1347" s="5"/>
      <c r="D1347" s="56"/>
      <c r="E1347" s="56"/>
      <c r="F1347" s="6"/>
      <c r="G1347" s="4"/>
      <c r="H1347" s="4"/>
      <c r="I1347" s="3"/>
      <c r="J1347" s="12"/>
    </row>
    <row r="1348" spans="1:10" x14ac:dyDescent="0.25">
      <c r="A1348" s="4"/>
      <c r="B1348" s="55"/>
      <c r="C1348" s="5"/>
      <c r="D1348" s="56"/>
      <c r="E1348" s="56"/>
      <c r="F1348" s="6"/>
      <c r="G1348" s="4"/>
      <c r="H1348" s="4"/>
      <c r="I1348" s="3"/>
      <c r="J1348" s="12"/>
    </row>
    <row r="1349" spans="1:10" x14ac:dyDescent="0.25">
      <c r="A1349" s="4"/>
      <c r="B1349" s="55"/>
      <c r="C1349" s="5"/>
      <c r="D1349" s="56"/>
      <c r="E1349" s="56"/>
      <c r="F1349" s="6"/>
      <c r="G1349" s="4"/>
      <c r="H1349" s="4"/>
      <c r="I1349" s="3"/>
      <c r="J1349" s="12"/>
    </row>
    <row r="1350" spans="1:10" x14ac:dyDescent="0.25">
      <c r="A1350" s="4"/>
      <c r="B1350" s="55"/>
      <c r="C1350" s="5"/>
      <c r="D1350" s="56"/>
      <c r="E1350" s="56"/>
      <c r="F1350" s="6"/>
      <c r="G1350" s="4"/>
      <c r="H1350" s="4"/>
      <c r="I1350" s="3"/>
      <c r="J1350" s="12"/>
    </row>
    <row r="1351" spans="1:10" x14ac:dyDescent="0.25">
      <c r="A1351" s="4"/>
      <c r="B1351" s="55"/>
      <c r="C1351" s="5"/>
      <c r="D1351" s="56"/>
      <c r="E1351" s="56"/>
      <c r="F1351" s="6"/>
      <c r="G1351" s="4"/>
      <c r="H1351" s="4"/>
      <c r="I1351" s="3"/>
      <c r="J1351" s="12"/>
    </row>
    <row r="1352" spans="1:10" x14ac:dyDescent="0.25">
      <c r="A1352" s="4"/>
      <c r="B1352" s="55"/>
      <c r="C1352" s="5"/>
      <c r="D1352" s="56"/>
      <c r="E1352" s="56"/>
      <c r="F1352" s="6"/>
      <c r="G1352" s="4"/>
      <c r="H1352" s="4"/>
      <c r="I1352" s="3"/>
      <c r="J1352" s="12"/>
    </row>
    <row r="1353" spans="1:10" x14ac:dyDescent="0.25">
      <c r="A1353" s="4"/>
      <c r="B1353" s="55"/>
      <c r="C1353" s="5"/>
      <c r="D1353" s="56"/>
      <c r="E1353" s="56"/>
      <c r="F1353" s="6"/>
      <c r="G1353" s="4"/>
      <c r="H1353" s="4"/>
      <c r="I1353" s="3"/>
      <c r="J1353" s="12"/>
    </row>
    <row r="1354" spans="1:10" x14ac:dyDescent="0.25">
      <c r="A1354" s="4"/>
      <c r="B1354" s="55"/>
      <c r="C1354" s="5"/>
      <c r="D1354" s="56"/>
      <c r="E1354" s="56"/>
      <c r="F1354" s="6"/>
      <c r="G1354" s="4"/>
      <c r="H1354" s="4"/>
      <c r="I1354" s="3"/>
      <c r="J1354" s="12"/>
    </row>
    <row r="1355" spans="1:10" x14ac:dyDescent="0.25">
      <c r="A1355" s="4"/>
      <c r="B1355" s="55"/>
      <c r="C1355" s="5"/>
      <c r="D1355" s="56"/>
      <c r="E1355" s="56"/>
      <c r="F1355" s="6"/>
      <c r="G1355" s="4"/>
      <c r="H1355" s="4"/>
      <c r="I1355" s="3"/>
      <c r="J1355" s="12"/>
    </row>
    <row r="1356" spans="1:10" x14ac:dyDescent="0.25">
      <c r="A1356" s="4"/>
      <c r="B1356" s="55"/>
      <c r="C1356" s="5"/>
      <c r="D1356" s="56"/>
      <c r="E1356" s="56"/>
      <c r="F1356" s="6"/>
      <c r="G1356" s="4"/>
      <c r="H1356" s="4"/>
      <c r="I1356" s="3"/>
      <c r="J1356" s="12"/>
    </row>
    <row r="1357" spans="1:10" x14ac:dyDescent="0.25">
      <c r="A1357" s="4"/>
      <c r="B1357" s="55"/>
      <c r="C1357" s="5"/>
      <c r="D1357" s="56"/>
      <c r="E1357" s="56"/>
      <c r="F1357" s="6"/>
      <c r="G1357" s="4"/>
      <c r="H1357" s="4"/>
      <c r="I1357" s="3"/>
      <c r="J1357" s="12"/>
    </row>
    <row r="1358" spans="1:10" x14ac:dyDescent="0.25">
      <c r="A1358" s="4"/>
      <c r="B1358" s="55"/>
      <c r="C1358" s="5"/>
      <c r="D1358" s="56"/>
      <c r="E1358" s="56"/>
      <c r="F1358" s="6"/>
      <c r="G1358" s="4"/>
      <c r="H1358" s="4"/>
      <c r="I1358" s="3"/>
      <c r="J1358" s="12"/>
    </row>
    <row r="1359" spans="1:10" x14ac:dyDescent="0.25">
      <c r="A1359" s="4"/>
      <c r="B1359" s="55"/>
      <c r="C1359" s="5"/>
      <c r="D1359" s="56"/>
      <c r="E1359" s="56"/>
      <c r="F1359" s="6"/>
      <c r="G1359" s="4"/>
      <c r="H1359" s="4"/>
      <c r="I1359" s="3"/>
      <c r="J1359" s="12"/>
    </row>
    <row r="1360" spans="1:10" x14ac:dyDescent="0.25">
      <c r="A1360" s="4"/>
      <c r="B1360" s="55"/>
      <c r="C1360" s="5"/>
      <c r="D1360" s="56"/>
      <c r="E1360" s="56"/>
      <c r="F1360" s="6"/>
      <c r="G1360" s="4"/>
      <c r="H1360" s="4"/>
      <c r="I1360" s="3"/>
      <c r="J1360" s="12"/>
    </row>
    <row r="1361" spans="1:10" x14ac:dyDescent="0.25">
      <c r="A1361" s="4"/>
      <c r="B1361" s="55"/>
      <c r="C1361" s="5"/>
      <c r="D1361" s="56"/>
      <c r="E1361" s="56"/>
      <c r="F1361" s="6"/>
      <c r="G1361" s="4"/>
      <c r="H1361" s="4"/>
      <c r="I1361" s="3"/>
      <c r="J1361" s="12"/>
    </row>
    <row r="1362" spans="1:10" x14ac:dyDescent="0.25">
      <c r="A1362" s="4"/>
      <c r="B1362" s="55"/>
      <c r="C1362" s="5"/>
      <c r="D1362" s="56"/>
      <c r="E1362" s="56"/>
      <c r="F1362" s="6"/>
      <c r="G1362" s="4"/>
      <c r="H1362" s="4"/>
      <c r="I1362" s="3"/>
      <c r="J1362" s="12"/>
    </row>
    <row r="1363" spans="1:10" x14ac:dyDescent="0.25">
      <c r="A1363" s="4"/>
      <c r="B1363" s="55"/>
      <c r="C1363" s="5"/>
      <c r="D1363" s="56"/>
      <c r="E1363" s="56"/>
      <c r="F1363" s="6"/>
      <c r="G1363" s="4"/>
      <c r="H1363" s="4"/>
      <c r="I1363" s="3"/>
      <c r="J1363" s="12"/>
    </row>
    <row r="1364" spans="1:10" x14ac:dyDescent="0.25">
      <c r="A1364" s="4"/>
      <c r="B1364" s="55"/>
      <c r="C1364" s="5"/>
      <c r="D1364" s="56"/>
      <c r="E1364" s="56"/>
      <c r="F1364" s="6"/>
      <c r="G1364" s="4"/>
      <c r="H1364" s="4"/>
      <c r="I1364" s="3"/>
      <c r="J1364" s="12"/>
    </row>
    <row r="1365" spans="1:10" x14ac:dyDescent="0.25">
      <c r="A1365" s="4"/>
      <c r="B1365" s="55"/>
      <c r="C1365" s="5"/>
      <c r="D1365" s="56"/>
      <c r="E1365" s="56"/>
      <c r="F1365" s="6"/>
      <c r="G1365" s="4"/>
      <c r="H1365" s="4"/>
      <c r="I1365" s="3"/>
      <c r="J1365" s="12"/>
    </row>
    <row r="1366" spans="1:10" x14ac:dyDescent="0.25">
      <c r="A1366" s="4"/>
      <c r="B1366" s="55"/>
      <c r="C1366" s="5"/>
      <c r="D1366" s="56"/>
      <c r="E1366" s="56"/>
      <c r="F1366" s="6"/>
      <c r="G1366" s="4"/>
      <c r="H1366" s="4"/>
      <c r="I1366" s="3"/>
      <c r="J1366" s="12"/>
    </row>
    <row r="1367" spans="1:10" x14ac:dyDescent="0.25">
      <c r="A1367" s="4"/>
      <c r="B1367" s="55"/>
      <c r="C1367" s="5"/>
      <c r="D1367" s="56"/>
      <c r="E1367" s="56"/>
      <c r="F1367" s="6"/>
      <c r="G1367" s="4"/>
      <c r="H1367" s="4"/>
      <c r="I1367" s="3"/>
      <c r="J1367" s="12"/>
    </row>
    <row r="1368" spans="1:10" x14ac:dyDescent="0.25">
      <c r="A1368" s="4"/>
      <c r="B1368" s="55"/>
      <c r="C1368" s="5"/>
      <c r="D1368" s="56"/>
      <c r="E1368" s="56"/>
      <c r="F1368" s="6"/>
      <c r="G1368" s="4"/>
      <c r="H1368" s="4"/>
      <c r="I1368" s="3"/>
      <c r="J1368" s="12"/>
    </row>
    <row r="1369" spans="1:10" x14ac:dyDescent="0.25">
      <c r="A1369" s="4"/>
      <c r="B1369" s="55"/>
      <c r="C1369" s="5"/>
      <c r="D1369" s="56"/>
      <c r="E1369" s="56"/>
      <c r="F1369" s="6"/>
      <c r="G1369" s="4"/>
      <c r="H1369" s="4"/>
      <c r="I1369" s="3"/>
      <c r="J1369" s="12"/>
    </row>
    <row r="1370" spans="1:10" x14ac:dyDescent="0.25">
      <c r="A1370" s="4"/>
      <c r="B1370" s="55"/>
      <c r="C1370" s="5"/>
      <c r="D1370" s="56"/>
      <c r="E1370" s="56"/>
      <c r="F1370" s="6"/>
      <c r="G1370" s="4"/>
      <c r="H1370" s="4"/>
      <c r="I1370" s="3"/>
      <c r="J1370" s="12"/>
    </row>
    <row r="1371" spans="1:10" x14ac:dyDescent="0.25">
      <c r="A1371" s="4"/>
      <c r="B1371" s="55"/>
      <c r="C1371" s="5"/>
      <c r="D1371" s="56"/>
      <c r="E1371" s="56"/>
      <c r="F1371" s="6"/>
      <c r="G1371" s="4"/>
      <c r="H1371" s="4"/>
      <c r="I1371" s="3"/>
      <c r="J1371" s="12"/>
    </row>
    <row r="1372" spans="1:10" x14ac:dyDescent="0.25">
      <c r="A1372" s="4"/>
      <c r="B1372" s="55"/>
      <c r="C1372" s="5"/>
      <c r="D1372" s="56"/>
      <c r="E1372" s="56"/>
      <c r="F1372" s="6"/>
      <c r="G1372" s="4"/>
      <c r="H1372" s="4"/>
      <c r="I1372" s="3"/>
      <c r="J1372" s="12"/>
    </row>
    <row r="1373" spans="1:10" x14ac:dyDescent="0.25">
      <c r="A1373" s="4"/>
      <c r="B1373" s="55"/>
      <c r="C1373" s="5"/>
      <c r="D1373" s="56"/>
      <c r="E1373" s="56"/>
      <c r="F1373" s="6"/>
      <c r="G1373" s="4"/>
      <c r="H1373" s="4"/>
      <c r="I1373" s="3"/>
      <c r="J1373" s="12"/>
    </row>
    <row r="1374" spans="1:10" x14ac:dyDescent="0.25">
      <c r="A1374" s="4"/>
      <c r="B1374" s="55"/>
      <c r="C1374" s="5"/>
      <c r="D1374" s="56"/>
      <c r="E1374" s="56"/>
      <c r="F1374" s="6"/>
      <c r="G1374" s="4"/>
      <c r="H1374" s="4"/>
      <c r="I1374" s="3"/>
      <c r="J1374" s="12"/>
    </row>
    <row r="1375" spans="1:10" x14ac:dyDescent="0.25">
      <c r="A1375" s="4"/>
      <c r="B1375" s="55"/>
      <c r="C1375" s="5"/>
      <c r="D1375" s="56"/>
      <c r="E1375" s="56"/>
      <c r="F1375" s="6"/>
      <c r="G1375" s="4"/>
      <c r="H1375" s="4"/>
      <c r="I1375" s="3"/>
      <c r="J1375" s="12"/>
    </row>
    <row r="1376" spans="1:10" x14ac:dyDescent="0.25">
      <c r="A1376" s="4"/>
      <c r="B1376" s="55"/>
      <c r="C1376" s="5"/>
      <c r="D1376" s="56"/>
      <c r="E1376" s="56"/>
      <c r="F1376" s="6"/>
      <c r="G1376" s="4"/>
      <c r="H1376" s="4"/>
      <c r="I1376" s="3"/>
      <c r="J1376" s="12"/>
    </row>
    <row r="1377" spans="1:10" x14ac:dyDescent="0.25">
      <c r="A1377" s="4"/>
      <c r="B1377" s="55"/>
      <c r="C1377" s="5"/>
      <c r="D1377" s="56"/>
      <c r="E1377" s="56"/>
      <c r="F1377" s="6"/>
      <c r="G1377" s="4"/>
      <c r="H1377" s="4"/>
      <c r="I1377" s="3"/>
      <c r="J1377" s="12"/>
    </row>
    <row r="1378" spans="1:10" x14ac:dyDescent="0.25">
      <c r="A1378" s="4"/>
      <c r="B1378" s="55"/>
      <c r="C1378" s="5"/>
      <c r="D1378" s="56"/>
      <c r="E1378" s="56"/>
      <c r="F1378" s="6"/>
      <c r="G1378" s="4"/>
      <c r="H1378" s="4"/>
      <c r="I1378" s="3"/>
      <c r="J1378" s="12"/>
    </row>
    <row r="1379" spans="1:10" x14ac:dyDescent="0.25">
      <c r="A1379" s="4"/>
      <c r="B1379" s="55"/>
      <c r="C1379" s="5"/>
      <c r="D1379" s="56"/>
      <c r="E1379" s="56"/>
      <c r="F1379" s="6"/>
      <c r="G1379" s="4"/>
      <c r="H1379" s="4"/>
      <c r="I1379" s="3"/>
      <c r="J1379" s="12"/>
    </row>
    <row r="1380" spans="1:10" x14ac:dyDescent="0.25">
      <c r="A1380" s="4"/>
      <c r="B1380" s="55"/>
      <c r="C1380" s="5"/>
      <c r="D1380" s="56"/>
      <c r="E1380" s="56"/>
      <c r="F1380" s="6"/>
      <c r="G1380" s="4"/>
      <c r="H1380" s="4"/>
      <c r="I1380" s="3"/>
      <c r="J1380" s="12"/>
    </row>
    <row r="1381" spans="1:10" x14ac:dyDescent="0.25">
      <c r="A1381" s="4"/>
      <c r="B1381" s="55"/>
      <c r="C1381" s="5"/>
      <c r="D1381" s="56"/>
      <c r="E1381" s="56"/>
      <c r="F1381" s="6"/>
      <c r="G1381" s="4"/>
      <c r="H1381" s="4"/>
      <c r="I1381" s="3"/>
      <c r="J1381" s="12"/>
    </row>
    <row r="1382" spans="1:10" x14ac:dyDescent="0.25">
      <c r="A1382" s="4"/>
      <c r="B1382" s="55"/>
      <c r="C1382" s="5"/>
      <c r="D1382" s="56"/>
      <c r="E1382" s="56"/>
      <c r="F1382" s="6"/>
      <c r="G1382" s="4"/>
      <c r="H1382" s="4"/>
      <c r="I1382" s="3"/>
      <c r="J1382" s="12"/>
    </row>
    <row r="1383" spans="1:10" x14ac:dyDescent="0.25">
      <c r="A1383" s="4"/>
      <c r="B1383" s="55"/>
      <c r="C1383" s="5"/>
      <c r="D1383" s="56"/>
      <c r="E1383" s="56"/>
      <c r="F1383" s="6"/>
      <c r="G1383" s="4"/>
      <c r="H1383" s="4"/>
      <c r="I1383" s="3"/>
      <c r="J1383" s="12"/>
    </row>
    <row r="1384" spans="1:10" x14ac:dyDescent="0.25">
      <c r="A1384" s="4"/>
      <c r="B1384" s="55"/>
      <c r="C1384" s="5"/>
      <c r="D1384" s="56"/>
      <c r="E1384" s="56"/>
      <c r="F1384" s="6"/>
      <c r="G1384" s="4"/>
      <c r="H1384" s="4"/>
      <c r="I1384" s="3"/>
      <c r="J1384" s="12"/>
    </row>
    <row r="1385" spans="1:10" x14ac:dyDescent="0.25">
      <c r="A1385" s="4"/>
      <c r="B1385" s="55"/>
      <c r="C1385" s="5"/>
      <c r="D1385" s="56"/>
      <c r="E1385" s="56"/>
      <c r="F1385" s="6"/>
      <c r="G1385" s="4"/>
      <c r="H1385" s="4"/>
      <c r="I1385" s="3"/>
      <c r="J1385" s="12"/>
    </row>
    <row r="1386" spans="1:10" x14ac:dyDescent="0.25">
      <c r="A1386" s="4"/>
      <c r="B1386" s="55"/>
      <c r="C1386" s="5"/>
      <c r="D1386" s="56"/>
      <c r="E1386" s="56"/>
      <c r="F1386" s="6"/>
      <c r="G1386" s="4"/>
      <c r="H1386" s="4"/>
      <c r="I1386" s="3"/>
      <c r="J1386" s="12"/>
    </row>
    <row r="1387" spans="1:10" x14ac:dyDescent="0.25">
      <c r="A1387" s="4"/>
      <c r="B1387" s="55"/>
      <c r="C1387" s="5"/>
      <c r="D1387" s="56"/>
      <c r="E1387" s="56"/>
      <c r="F1387" s="6"/>
      <c r="G1387" s="4"/>
      <c r="H1387" s="4"/>
      <c r="I1387" s="3"/>
      <c r="J1387" s="12"/>
    </row>
    <row r="1388" spans="1:10" x14ac:dyDescent="0.25">
      <c r="A1388" s="4"/>
      <c r="B1388" s="55"/>
      <c r="C1388" s="5"/>
      <c r="D1388" s="56"/>
      <c r="E1388" s="56"/>
      <c r="F1388" s="6"/>
      <c r="G1388" s="4"/>
      <c r="H1388" s="4"/>
      <c r="I1388" s="3"/>
      <c r="J1388" s="12"/>
    </row>
    <row r="1389" spans="1:10" x14ac:dyDescent="0.25">
      <c r="A1389" s="4"/>
      <c r="B1389" s="55"/>
      <c r="C1389" s="5"/>
      <c r="D1389" s="56"/>
      <c r="E1389" s="56"/>
      <c r="F1389" s="6"/>
      <c r="G1389" s="4"/>
      <c r="H1389" s="4"/>
      <c r="I1389" s="3"/>
      <c r="J1389" s="12"/>
    </row>
    <row r="1390" spans="1:10" x14ac:dyDescent="0.25">
      <c r="A1390" s="4"/>
      <c r="B1390" s="55"/>
      <c r="C1390" s="5"/>
      <c r="D1390" s="56"/>
      <c r="E1390" s="56"/>
      <c r="F1390" s="6"/>
      <c r="G1390" s="4"/>
      <c r="H1390" s="4"/>
      <c r="I1390" s="3"/>
      <c r="J1390" s="12"/>
    </row>
    <row r="1391" spans="1:10" x14ac:dyDescent="0.25">
      <c r="A1391" s="4"/>
      <c r="B1391" s="55"/>
      <c r="C1391" s="5"/>
      <c r="D1391" s="56"/>
      <c r="E1391" s="56"/>
      <c r="F1391" s="6"/>
      <c r="G1391" s="4"/>
      <c r="H1391" s="4"/>
      <c r="I1391" s="3"/>
      <c r="J1391" s="12"/>
    </row>
    <row r="1392" spans="1:10" x14ac:dyDescent="0.25">
      <c r="A1392" s="4"/>
      <c r="B1392" s="55"/>
      <c r="C1392" s="5"/>
      <c r="D1392" s="56"/>
      <c r="E1392" s="56"/>
      <c r="F1392" s="6"/>
      <c r="G1392" s="4"/>
      <c r="H1392" s="4"/>
      <c r="I1392" s="3"/>
      <c r="J1392" s="12"/>
    </row>
    <row r="1393" spans="1:10" x14ac:dyDescent="0.25">
      <c r="A1393" s="4"/>
      <c r="B1393" s="55"/>
      <c r="C1393" s="5"/>
      <c r="D1393" s="56"/>
      <c r="E1393" s="56"/>
      <c r="F1393" s="6"/>
      <c r="G1393" s="4"/>
      <c r="H1393" s="4"/>
      <c r="I1393" s="3"/>
      <c r="J1393" s="12"/>
    </row>
    <row r="1394" spans="1:10" x14ac:dyDescent="0.25">
      <c r="A1394" s="4"/>
      <c r="B1394" s="55"/>
      <c r="C1394" s="5"/>
      <c r="D1394" s="56"/>
      <c r="E1394" s="56"/>
      <c r="F1394" s="6"/>
      <c r="G1394" s="4"/>
      <c r="H1394" s="4"/>
      <c r="I1394" s="3"/>
      <c r="J1394" s="12"/>
    </row>
    <row r="1395" spans="1:10" x14ac:dyDescent="0.25">
      <c r="A1395" s="4"/>
      <c r="B1395" s="55"/>
      <c r="C1395" s="5"/>
      <c r="D1395" s="56"/>
      <c r="E1395" s="56"/>
      <c r="F1395" s="6"/>
      <c r="G1395" s="4"/>
      <c r="H1395" s="4"/>
      <c r="I1395" s="3"/>
      <c r="J1395" s="12"/>
    </row>
    <row r="1396" spans="1:10" x14ac:dyDescent="0.25">
      <c r="A1396" s="4"/>
      <c r="B1396" s="55"/>
      <c r="C1396" s="5"/>
      <c r="D1396" s="56"/>
      <c r="E1396" s="56"/>
      <c r="F1396" s="6"/>
      <c r="G1396" s="4"/>
      <c r="H1396" s="4"/>
      <c r="I1396" s="3"/>
      <c r="J1396" s="12"/>
    </row>
    <row r="1397" spans="1:10" x14ac:dyDescent="0.25">
      <c r="A1397" s="4"/>
      <c r="B1397" s="55"/>
      <c r="C1397" s="5"/>
      <c r="D1397" s="56"/>
      <c r="E1397" s="56"/>
      <c r="F1397" s="6"/>
      <c r="G1397" s="4"/>
      <c r="H1397" s="4"/>
      <c r="I1397" s="3"/>
      <c r="J1397" s="12"/>
    </row>
    <row r="1398" spans="1:10" x14ac:dyDescent="0.25">
      <c r="A1398" s="4"/>
      <c r="B1398" s="55"/>
      <c r="C1398" s="5"/>
      <c r="D1398" s="56"/>
      <c r="E1398" s="56"/>
      <c r="F1398" s="6"/>
      <c r="G1398" s="4"/>
      <c r="H1398" s="4"/>
      <c r="I1398" s="3"/>
      <c r="J1398" s="12"/>
    </row>
    <row r="1399" spans="1:10" x14ac:dyDescent="0.25">
      <c r="A1399" s="4"/>
      <c r="B1399" s="55"/>
      <c r="C1399" s="5"/>
      <c r="D1399" s="56"/>
      <c r="E1399" s="56"/>
      <c r="F1399" s="6"/>
      <c r="G1399" s="4"/>
      <c r="H1399" s="4"/>
      <c r="I1399" s="3"/>
      <c r="J1399" s="12"/>
    </row>
    <row r="1400" spans="1:10" x14ac:dyDescent="0.25">
      <c r="A1400" s="4"/>
      <c r="B1400" s="55"/>
      <c r="C1400" s="5"/>
      <c r="D1400" s="56"/>
      <c r="E1400" s="56"/>
      <c r="F1400" s="6"/>
      <c r="G1400" s="4"/>
      <c r="H1400" s="4"/>
      <c r="I1400" s="3"/>
      <c r="J1400" s="12"/>
    </row>
    <row r="1401" spans="1:10" x14ac:dyDescent="0.25">
      <c r="A1401" s="4"/>
      <c r="B1401" s="55"/>
      <c r="C1401" s="5"/>
      <c r="D1401" s="56"/>
      <c r="E1401" s="56"/>
      <c r="F1401" s="6"/>
      <c r="G1401" s="4"/>
      <c r="H1401" s="4"/>
      <c r="I1401" s="3"/>
      <c r="J1401" s="12"/>
    </row>
    <row r="1402" spans="1:10" x14ac:dyDescent="0.25">
      <c r="A1402" s="4"/>
      <c r="B1402" s="55"/>
      <c r="C1402" s="5"/>
      <c r="D1402" s="56"/>
      <c r="E1402" s="56"/>
      <c r="F1402" s="6"/>
      <c r="G1402" s="4"/>
      <c r="H1402" s="4"/>
      <c r="I1402" s="3"/>
      <c r="J1402" s="12"/>
    </row>
    <row r="1403" spans="1:10" x14ac:dyDescent="0.25">
      <c r="A1403" s="4"/>
      <c r="B1403" s="55"/>
      <c r="C1403" s="5"/>
      <c r="D1403" s="56"/>
      <c r="E1403" s="56"/>
      <c r="F1403" s="6"/>
      <c r="G1403" s="4"/>
      <c r="H1403" s="4"/>
      <c r="I1403" s="3"/>
      <c r="J1403" s="12"/>
    </row>
    <row r="1404" spans="1:10" x14ac:dyDescent="0.25">
      <c r="A1404" s="4"/>
      <c r="B1404" s="55"/>
      <c r="C1404" s="5"/>
      <c r="D1404" s="56"/>
      <c r="E1404" s="56"/>
      <c r="F1404" s="6"/>
      <c r="G1404" s="4"/>
      <c r="H1404" s="4"/>
      <c r="I1404" s="3"/>
      <c r="J1404" s="12"/>
    </row>
    <row r="1405" spans="1:10" x14ac:dyDescent="0.25">
      <c r="A1405" s="4"/>
      <c r="B1405" s="55"/>
      <c r="C1405" s="5"/>
      <c r="D1405" s="56"/>
      <c r="E1405" s="56"/>
      <c r="F1405" s="6"/>
      <c r="G1405" s="4"/>
      <c r="H1405" s="4"/>
      <c r="I1405" s="3"/>
      <c r="J1405" s="12"/>
    </row>
    <row r="1406" spans="1:10" x14ac:dyDescent="0.25">
      <c r="A1406" s="4"/>
      <c r="B1406" s="55"/>
      <c r="C1406" s="5"/>
      <c r="D1406" s="56"/>
      <c r="E1406" s="56"/>
      <c r="F1406" s="6"/>
      <c r="G1406" s="4"/>
      <c r="H1406" s="4"/>
      <c r="I1406" s="3"/>
      <c r="J1406" s="12"/>
    </row>
    <row r="1407" spans="1:10" x14ac:dyDescent="0.25">
      <c r="A1407" s="4"/>
      <c r="B1407" s="55"/>
      <c r="C1407" s="5"/>
      <c r="D1407" s="56"/>
      <c r="E1407" s="56"/>
      <c r="F1407" s="6"/>
      <c r="G1407" s="4"/>
      <c r="H1407" s="4"/>
      <c r="I1407" s="3"/>
      <c r="J1407" s="12"/>
    </row>
    <row r="1408" spans="1:10" x14ac:dyDescent="0.25">
      <c r="A1408" s="4"/>
      <c r="B1408" s="55"/>
      <c r="C1408" s="5"/>
      <c r="D1408" s="56"/>
      <c r="E1408" s="56"/>
      <c r="F1408" s="6"/>
      <c r="G1408" s="4"/>
      <c r="H1408" s="4"/>
      <c r="I1408" s="3"/>
      <c r="J1408" s="12"/>
    </row>
    <row r="1409" spans="1:10" x14ac:dyDescent="0.25">
      <c r="A1409" s="4"/>
      <c r="B1409" s="55"/>
      <c r="C1409" s="5"/>
      <c r="D1409" s="56"/>
      <c r="E1409" s="56"/>
      <c r="F1409" s="6"/>
      <c r="G1409" s="4"/>
      <c r="H1409" s="4"/>
      <c r="I1409" s="3"/>
      <c r="J1409" s="12"/>
    </row>
    <row r="1410" spans="1:10" x14ac:dyDescent="0.25">
      <c r="A1410" s="4"/>
      <c r="B1410" s="55"/>
      <c r="C1410" s="5"/>
      <c r="D1410" s="56"/>
      <c r="E1410" s="56"/>
      <c r="F1410" s="6"/>
      <c r="G1410" s="4"/>
      <c r="H1410" s="4"/>
      <c r="I1410" s="3"/>
      <c r="J1410" s="12"/>
    </row>
    <row r="1411" spans="1:10" x14ac:dyDescent="0.25">
      <c r="A1411" s="4"/>
      <c r="B1411" s="55"/>
      <c r="C1411" s="5"/>
      <c r="D1411" s="56"/>
      <c r="E1411" s="56"/>
      <c r="F1411" s="6"/>
      <c r="G1411" s="4"/>
      <c r="H1411" s="4"/>
      <c r="I1411" s="3"/>
      <c r="J1411" s="12"/>
    </row>
    <row r="1412" spans="1:10" x14ac:dyDescent="0.25">
      <c r="A1412" s="4"/>
      <c r="B1412" s="55"/>
      <c r="C1412" s="5"/>
      <c r="D1412" s="56"/>
      <c r="E1412" s="56"/>
      <c r="F1412" s="6"/>
      <c r="G1412" s="4"/>
      <c r="H1412" s="4"/>
      <c r="I1412" s="3"/>
      <c r="J1412" s="12"/>
    </row>
    <row r="1413" spans="1:10" x14ac:dyDescent="0.25">
      <c r="A1413" s="4"/>
      <c r="B1413" s="55"/>
      <c r="C1413" s="5"/>
      <c r="D1413" s="56"/>
      <c r="E1413" s="56"/>
      <c r="F1413" s="6"/>
      <c r="G1413" s="4"/>
      <c r="H1413" s="4"/>
      <c r="I1413" s="3"/>
      <c r="J1413" s="12"/>
    </row>
    <row r="1414" spans="1:10" x14ac:dyDescent="0.25">
      <c r="A1414" s="4"/>
      <c r="B1414" s="55"/>
      <c r="C1414" s="5"/>
      <c r="D1414" s="56"/>
      <c r="E1414" s="56"/>
      <c r="F1414" s="6"/>
      <c r="G1414" s="4"/>
      <c r="H1414" s="4"/>
      <c r="I1414" s="3"/>
      <c r="J1414" s="12"/>
    </row>
    <row r="1415" spans="1:10" x14ac:dyDescent="0.25">
      <c r="A1415" s="4"/>
      <c r="B1415" s="55"/>
      <c r="C1415" s="5"/>
      <c r="D1415" s="56"/>
      <c r="E1415" s="56"/>
      <c r="F1415" s="6"/>
      <c r="G1415" s="4"/>
      <c r="H1415" s="4"/>
      <c r="I1415" s="3"/>
      <c r="J1415" s="12"/>
    </row>
    <row r="1416" spans="1:10" x14ac:dyDescent="0.25">
      <c r="A1416" s="4"/>
      <c r="B1416" s="55"/>
      <c r="C1416" s="5"/>
      <c r="D1416" s="56"/>
      <c r="E1416" s="56"/>
      <c r="F1416" s="6"/>
      <c r="G1416" s="4"/>
      <c r="H1416" s="4"/>
      <c r="I1416" s="3"/>
      <c r="J1416" s="12"/>
    </row>
    <row r="1417" spans="1:10" x14ac:dyDescent="0.25">
      <c r="A1417" s="4"/>
      <c r="B1417" s="55"/>
      <c r="C1417" s="5"/>
      <c r="D1417" s="56"/>
      <c r="E1417" s="56"/>
      <c r="F1417" s="6"/>
      <c r="G1417" s="4"/>
      <c r="H1417" s="4"/>
      <c r="I1417" s="3"/>
      <c r="J1417" s="12"/>
    </row>
    <row r="1418" spans="1:10" x14ac:dyDescent="0.25">
      <c r="A1418" s="4"/>
      <c r="B1418" s="55"/>
      <c r="C1418" s="5"/>
      <c r="D1418" s="56"/>
      <c r="E1418" s="56"/>
      <c r="F1418" s="6"/>
      <c r="G1418" s="4"/>
      <c r="H1418" s="4"/>
      <c r="I1418" s="3"/>
      <c r="J1418" s="12"/>
    </row>
    <row r="1419" spans="1:10" x14ac:dyDescent="0.25">
      <c r="A1419" s="4"/>
      <c r="B1419" s="55"/>
      <c r="C1419" s="5"/>
      <c r="D1419" s="56"/>
      <c r="E1419" s="56"/>
      <c r="F1419" s="6"/>
      <c r="G1419" s="4"/>
      <c r="H1419" s="4"/>
      <c r="I1419" s="3"/>
      <c r="J1419" s="12"/>
    </row>
    <row r="1420" spans="1:10" x14ac:dyDescent="0.25">
      <c r="A1420" s="4"/>
      <c r="B1420" s="55"/>
      <c r="C1420" s="5"/>
      <c r="D1420" s="56"/>
      <c r="E1420" s="56"/>
      <c r="F1420" s="6"/>
      <c r="G1420" s="4"/>
      <c r="H1420" s="4"/>
      <c r="I1420" s="3"/>
      <c r="J1420" s="12"/>
    </row>
    <row r="1421" spans="1:10" x14ac:dyDescent="0.25">
      <c r="A1421" s="4"/>
      <c r="B1421" s="55"/>
      <c r="C1421" s="5"/>
      <c r="D1421" s="56"/>
      <c r="E1421" s="56"/>
      <c r="F1421" s="6"/>
      <c r="G1421" s="4"/>
      <c r="H1421" s="4"/>
      <c r="I1421" s="3"/>
      <c r="J1421" s="12"/>
    </row>
    <row r="1422" spans="1:10" x14ac:dyDescent="0.25">
      <c r="A1422" s="4"/>
      <c r="B1422" s="55"/>
      <c r="C1422" s="5"/>
      <c r="D1422" s="56"/>
      <c r="E1422" s="56"/>
      <c r="F1422" s="6"/>
      <c r="G1422" s="4"/>
      <c r="H1422" s="4"/>
      <c r="I1422" s="3"/>
      <c r="J1422" s="12"/>
    </row>
    <row r="1423" spans="1:10" x14ac:dyDescent="0.25">
      <c r="A1423" s="4"/>
      <c r="B1423" s="55"/>
      <c r="C1423" s="5"/>
      <c r="D1423" s="56"/>
      <c r="E1423" s="56"/>
      <c r="F1423" s="6"/>
      <c r="G1423" s="4"/>
      <c r="H1423" s="4"/>
      <c r="I1423" s="3"/>
      <c r="J1423" s="12"/>
    </row>
    <row r="1424" spans="1:10" x14ac:dyDescent="0.25">
      <c r="A1424" s="4"/>
      <c r="B1424" s="55"/>
      <c r="C1424" s="5"/>
      <c r="D1424" s="56"/>
      <c r="E1424" s="56"/>
      <c r="F1424" s="6"/>
      <c r="G1424" s="4"/>
      <c r="H1424" s="4"/>
      <c r="I1424" s="3"/>
      <c r="J1424" s="12"/>
    </row>
    <row r="1425" spans="1:10" x14ac:dyDescent="0.25">
      <c r="A1425" s="4"/>
      <c r="B1425" s="55"/>
      <c r="C1425" s="5"/>
      <c r="D1425" s="56"/>
      <c r="E1425" s="56"/>
      <c r="F1425" s="6"/>
      <c r="G1425" s="4"/>
      <c r="H1425" s="4"/>
      <c r="I1425" s="3"/>
      <c r="J1425" s="12"/>
    </row>
    <row r="1426" spans="1:10" x14ac:dyDescent="0.25">
      <c r="A1426" s="4"/>
      <c r="B1426" s="55"/>
      <c r="C1426" s="5"/>
      <c r="D1426" s="56"/>
      <c r="E1426" s="56"/>
      <c r="F1426" s="6"/>
      <c r="G1426" s="4"/>
      <c r="H1426" s="4"/>
      <c r="I1426" s="3"/>
      <c r="J1426" s="12"/>
    </row>
    <row r="1427" spans="1:10" x14ac:dyDescent="0.25">
      <c r="A1427" s="4"/>
      <c r="B1427" s="55"/>
      <c r="C1427" s="5"/>
      <c r="D1427" s="56"/>
      <c r="E1427" s="56"/>
      <c r="F1427" s="6"/>
      <c r="G1427" s="4"/>
      <c r="H1427" s="4"/>
      <c r="I1427" s="3"/>
      <c r="J1427" s="12"/>
    </row>
    <row r="1428" spans="1:10" x14ac:dyDescent="0.25">
      <c r="A1428" s="4"/>
      <c r="B1428" s="55"/>
      <c r="C1428" s="5"/>
      <c r="D1428" s="56"/>
      <c r="E1428" s="56"/>
      <c r="F1428" s="6"/>
      <c r="G1428" s="4"/>
      <c r="H1428" s="4"/>
      <c r="I1428" s="3"/>
      <c r="J1428" s="12"/>
    </row>
    <row r="1429" spans="1:10" x14ac:dyDescent="0.25">
      <c r="A1429" s="4"/>
      <c r="B1429" s="55"/>
      <c r="C1429" s="5"/>
      <c r="D1429" s="56"/>
      <c r="E1429" s="56"/>
      <c r="F1429" s="6"/>
      <c r="G1429" s="4"/>
      <c r="H1429" s="4"/>
      <c r="I1429" s="3"/>
      <c r="J1429" s="12"/>
    </row>
    <row r="1430" spans="1:10" x14ac:dyDescent="0.25">
      <c r="A1430" s="4"/>
      <c r="B1430" s="55"/>
      <c r="C1430" s="5"/>
      <c r="D1430" s="56"/>
      <c r="E1430" s="56"/>
      <c r="F1430" s="6"/>
      <c r="G1430" s="4"/>
      <c r="H1430" s="4"/>
      <c r="I1430" s="3"/>
      <c r="J1430" s="12"/>
    </row>
    <row r="1431" spans="1:10" x14ac:dyDescent="0.25">
      <c r="A1431" s="4"/>
      <c r="B1431" s="55"/>
      <c r="C1431" s="5"/>
      <c r="D1431" s="56"/>
      <c r="E1431" s="56"/>
      <c r="F1431" s="6"/>
      <c r="G1431" s="4"/>
      <c r="H1431" s="4"/>
      <c r="I1431" s="3"/>
      <c r="J1431" s="12"/>
    </row>
    <row r="1432" spans="1:10" x14ac:dyDescent="0.25">
      <c r="A1432" s="4"/>
      <c r="B1432" s="55"/>
      <c r="C1432" s="5"/>
      <c r="D1432" s="56"/>
      <c r="E1432" s="56"/>
      <c r="F1432" s="6"/>
      <c r="G1432" s="4"/>
      <c r="H1432" s="4"/>
      <c r="I1432" s="3"/>
      <c r="J1432" s="12"/>
    </row>
    <row r="1433" spans="1:10" x14ac:dyDescent="0.25">
      <c r="A1433" s="4"/>
      <c r="B1433" s="55"/>
      <c r="C1433" s="5"/>
      <c r="D1433" s="56"/>
      <c r="E1433" s="56"/>
      <c r="F1433" s="6"/>
      <c r="G1433" s="4"/>
      <c r="H1433" s="4"/>
      <c r="I1433" s="3"/>
      <c r="J1433" s="12"/>
    </row>
    <row r="1434" spans="1:10" x14ac:dyDescent="0.25">
      <c r="A1434" s="4"/>
      <c r="B1434" s="55"/>
      <c r="C1434" s="5"/>
      <c r="D1434" s="56"/>
      <c r="E1434" s="56"/>
      <c r="F1434" s="6"/>
      <c r="G1434" s="4"/>
      <c r="H1434" s="4"/>
      <c r="I1434" s="3"/>
      <c r="J1434" s="12"/>
    </row>
    <row r="1435" spans="1:10" x14ac:dyDescent="0.25">
      <c r="A1435" s="4"/>
      <c r="B1435" s="55"/>
      <c r="C1435" s="5"/>
      <c r="D1435" s="56"/>
      <c r="E1435" s="56"/>
      <c r="F1435" s="6"/>
      <c r="G1435" s="4"/>
      <c r="H1435" s="4"/>
      <c r="I1435" s="3"/>
      <c r="J1435" s="12"/>
    </row>
    <row r="1436" spans="1:10" x14ac:dyDescent="0.25">
      <c r="A1436" s="4"/>
      <c r="B1436" s="55"/>
      <c r="C1436" s="5"/>
      <c r="D1436" s="56"/>
      <c r="E1436" s="56"/>
      <c r="F1436" s="6"/>
      <c r="G1436" s="4"/>
      <c r="H1436" s="4"/>
      <c r="I1436" s="3"/>
      <c r="J1436" s="12"/>
    </row>
    <row r="1437" spans="1:10" x14ac:dyDescent="0.25">
      <c r="A1437" s="4"/>
      <c r="B1437" s="55"/>
      <c r="C1437" s="5"/>
      <c r="D1437" s="56"/>
      <c r="E1437" s="56"/>
      <c r="F1437" s="6"/>
      <c r="G1437" s="4"/>
      <c r="H1437" s="4"/>
      <c r="I1437" s="3"/>
      <c r="J1437" s="12"/>
    </row>
    <row r="1438" spans="1:10" x14ac:dyDescent="0.25">
      <c r="A1438" s="4"/>
      <c r="B1438" s="55"/>
      <c r="C1438" s="5"/>
      <c r="D1438" s="56"/>
      <c r="E1438" s="56"/>
      <c r="F1438" s="6"/>
      <c r="G1438" s="4"/>
      <c r="H1438" s="4"/>
      <c r="I1438" s="3"/>
      <c r="J1438" s="12"/>
    </row>
    <row r="1439" spans="1:10" x14ac:dyDescent="0.25">
      <c r="A1439" s="4"/>
      <c r="B1439" s="55"/>
      <c r="C1439" s="5"/>
      <c r="D1439" s="56"/>
      <c r="E1439" s="56"/>
      <c r="F1439" s="6"/>
      <c r="G1439" s="4"/>
      <c r="H1439" s="4"/>
      <c r="I1439" s="3"/>
      <c r="J1439" s="12"/>
    </row>
    <row r="1440" spans="1:10" x14ac:dyDescent="0.25">
      <c r="A1440" s="4"/>
      <c r="B1440" s="55"/>
      <c r="C1440" s="5"/>
      <c r="D1440" s="56"/>
      <c r="E1440" s="56"/>
      <c r="F1440" s="6"/>
      <c r="G1440" s="4"/>
      <c r="H1440" s="4"/>
      <c r="I1440" s="3"/>
      <c r="J1440" s="12"/>
    </row>
    <row r="1441" spans="1:10" x14ac:dyDescent="0.25">
      <c r="A1441" s="4"/>
      <c r="B1441" s="55"/>
      <c r="C1441" s="5"/>
      <c r="D1441" s="56"/>
      <c r="E1441" s="56"/>
      <c r="F1441" s="6"/>
      <c r="G1441" s="4"/>
      <c r="H1441" s="4"/>
      <c r="I1441" s="3"/>
      <c r="J1441" s="12"/>
    </row>
    <row r="1442" spans="1:10" x14ac:dyDescent="0.25">
      <c r="A1442" s="4"/>
      <c r="B1442" s="55"/>
      <c r="C1442" s="5"/>
      <c r="D1442" s="56"/>
      <c r="E1442" s="56"/>
      <c r="F1442" s="6"/>
      <c r="G1442" s="4"/>
      <c r="H1442" s="4"/>
      <c r="I1442" s="3"/>
      <c r="J1442" s="12"/>
    </row>
    <row r="1443" spans="1:10" x14ac:dyDescent="0.25">
      <c r="A1443" s="4"/>
      <c r="B1443" s="55"/>
      <c r="C1443" s="5"/>
      <c r="D1443" s="56"/>
      <c r="E1443" s="56"/>
      <c r="F1443" s="6"/>
      <c r="G1443" s="4"/>
      <c r="H1443" s="4"/>
      <c r="I1443" s="3"/>
      <c r="J1443" s="12"/>
    </row>
    <row r="1444" spans="1:10" x14ac:dyDescent="0.25">
      <c r="A1444" s="4"/>
      <c r="B1444" s="55"/>
      <c r="C1444" s="5"/>
      <c r="D1444" s="56"/>
      <c r="E1444" s="56"/>
      <c r="F1444" s="6"/>
      <c r="G1444" s="4"/>
      <c r="H1444" s="4"/>
      <c r="I1444" s="3"/>
      <c r="J1444" s="12"/>
    </row>
    <row r="1445" spans="1:10" x14ac:dyDescent="0.25">
      <c r="A1445" s="4"/>
      <c r="B1445" s="55"/>
      <c r="C1445" s="5"/>
      <c r="D1445" s="56"/>
      <c r="E1445" s="56"/>
      <c r="F1445" s="6"/>
      <c r="G1445" s="4"/>
      <c r="H1445" s="4"/>
      <c r="I1445" s="3"/>
      <c r="J1445" s="12"/>
    </row>
    <row r="1446" spans="1:10" x14ac:dyDescent="0.25">
      <c r="A1446" s="4"/>
      <c r="B1446" s="55"/>
      <c r="C1446" s="5"/>
      <c r="D1446" s="56"/>
      <c r="E1446" s="56"/>
      <c r="F1446" s="6"/>
      <c r="G1446" s="4"/>
      <c r="H1446" s="4"/>
      <c r="I1446" s="3"/>
      <c r="J1446" s="12"/>
    </row>
    <row r="1447" spans="1:10" x14ac:dyDescent="0.25">
      <c r="A1447" s="4"/>
      <c r="B1447" s="55"/>
      <c r="C1447" s="5"/>
      <c r="D1447" s="56"/>
      <c r="E1447" s="56"/>
      <c r="F1447" s="6"/>
      <c r="G1447" s="4"/>
      <c r="H1447" s="4"/>
      <c r="I1447" s="3"/>
      <c r="J1447" s="12"/>
    </row>
    <row r="1448" spans="1:10" x14ac:dyDescent="0.25">
      <c r="A1448" s="4"/>
      <c r="B1448" s="55"/>
      <c r="C1448" s="5"/>
      <c r="D1448" s="56"/>
      <c r="E1448" s="56"/>
      <c r="F1448" s="6"/>
      <c r="G1448" s="4"/>
      <c r="H1448" s="4"/>
      <c r="I1448" s="3"/>
      <c r="J1448" s="12"/>
    </row>
    <row r="1449" spans="1:10" x14ac:dyDescent="0.25">
      <c r="A1449" s="4"/>
      <c r="B1449" s="55"/>
      <c r="C1449" s="5"/>
      <c r="D1449" s="56"/>
      <c r="E1449" s="56"/>
      <c r="F1449" s="6"/>
      <c r="G1449" s="4"/>
      <c r="H1449" s="4"/>
      <c r="I1449" s="3"/>
      <c r="J1449" s="12"/>
    </row>
    <row r="1450" spans="1:10" x14ac:dyDescent="0.25">
      <c r="A1450" s="4"/>
      <c r="B1450" s="55"/>
      <c r="C1450" s="5"/>
      <c r="D1450" s="56"/>
      <c r="E1450" s="56"/>
      <c r="F1450" s="6"/>
      <c r="G1450" s="4"/>
      <c r="H1450" s="4"/>
      <c r="I1450" s="3"/>
      <c r="J1450" s="12"/>
    </row>
    <row r="1451" spans="1:10" x14ac:dyDescent="0.25">
      <c r="A1451" s="4"/>
      <c r="B1451" s="55"/>
      <c r="C1451" s="5"/>
      <c r="D1451" s="56"/>
      <c r="E1451" s="56"/>
      <c r="F1451" s="6"/>
      <c r="G1451" s="4"/>
      <c r="H1451" s="4"/>
      <c r="I1451" s="3"/>
      <c r="J1451" s="12"/>
    </row>
    <row r="1452" spans="1:10" x14ac:dyDescent="0.25">
      <c r="A1452" s="4"/>
      <c r="B1452" s="55"/>
      <c r="C1452" s="5"/>
      <c r="D1452" s="56"/>
      <c r="E1452" s="56"/>
      <c r="F1452" s="6"/>
      <c r="G1452" s="4"/>
      <c r="H1452" s="4"/>
      <c r="I1452" s="3"/>
      <c r="J1452" s="12"/>
    </row>
    <row r="1453" spans="1:10" x14ac:dyDescent="0.25">
      <c r="A1453" s="4"/>
      <c r="B1453" s="55"/>
      <c r="C1453" s="5"/>
      <c r="D1453" s="56"/>
      <c r="E1453" s="56"/>
      <c r="F1453" s="6"/>
      <c r="G1453" s="4"/>
      <c r="H1453" s="4"/>
      <c r="I1453" s="3"/>
      <c r="J1453" s="12"/>
    </row>
    <row r="1454" spans="1:10" x14ac:dyDescent="0.25">
      <c r="A1454" s="4"/>
      <c r="B1454" s="55"/>
      <c r="C1454" s="5"/>
      <c r="D1454" s="56"/>
      <c r="E1454" s="56"/>
      <c r="F1454" s="6"/>
      <c r="G1454" s="4"/>
      <c r="H1454" s="4"/>
      <c r="I1454" s="3"/>
      <c r="J1454" s="12"/>
    </row>
    <row r="1455" spans="1:10" x14ac:dyDescent="0.25">
      <c r="A1455" s="4"/>
      <c r="B1455" s="55"/>
      <c r="C1455" s="5"/>
      <c r="D1455" s="56"/>
      <c r="E1455" s="56"/>
      <c r="F1455" s="6"/>
      <c r="G1455" s="4"/>
      <c r="H1455" s="4"/>
      <c r="I1455" s="3"/>
      <c r="J1455" s="12"/>
    </row>
    <row r="1456" spans="1:10" x14ac:dyDescent="0.25">
      <c r="A1456" s="4"/>
      <c r="B1456" s="55"/>
      <c r="C1456" s="5"/>
      <c r="D1456" s="56"/>
      <c r="E1456" s="56"/>
      <c r="F1456" s="6"/>
      <c r="G1456" s="4"/>
      <c r="H1456" s="4"/>
      <c r="I1456" s="3"/>
      <c r="J1456" s="12"/>
    </row>
    <row r="1457" spans="1:10" x14ac:dyDescent="0.25">
      <c r="A1457" s="4"/>
      <c r="B1457" s="55"/>
      <c r="C1457" s="5"/>
      <c r="D1457" s="56"/>
      <c r="E1457" s="56"/>
      <c r="F1457" s="6"/>
      <c r="G1457" s="4"/>
      <c r="H1457" s="4"/>
      <c r="I1457" s="3"/>
      <c r="J1457" s="12"/>
    </row>
    <row r="1458" spans="1:10" x14ac:dyDescent="0.25">
      <c r="A1458" s="4"/>
      <c r="B1458" s="55"/>
      <c r="C1458" s="5"/>
      <c r="D1458" s="56"/>
      <c r="E1458" s="56"/>
      <c r="F1458" s="6"/>
      <c r="G1458" s="4"/>
      <c r="H1458" s="4"/>
      <c r="I1458" s="3"/>
      <c r="J1458" s="12"/>
    </row>
    <row r="1459" spans="1:10" x14ac:dyDescent="0.25">
      <c r="A1459" s="4"/>
      <c r="B1459" s="55"/>
      <c r="C1459" s="5"/>
      <c r="D1459" s="56"/>
      <c r="E1459" s="56"/>
      <c r="F1459" s="6"/>
      <c r="G1459" s="4"/>
      <c r="H1459" s="4"/>
      <c r="I1459" s="3"/>
      <c r="J1459" s="12"/>
    </row>
    <row r="1460" spans="1:10" x14ac:dyDescent="0.25">
      <c r="A1460" s="4"/>
      <c r="B1460" s="55"/>
      <c r="C1460" s="5"/>
      <c r="D1460" s="56"/>
      <c r="E1460" s="56"/>
      <c r="F1460" s="6"/>
      <c r="G1460" s="4"/>
      <c r="H1460" s="4"/>
      <c r="I1460" s="3"/>
      <c r="J1460" s="12"/>
    </row>
    <row r="1461" spans="1:10" x14ac:dyDescent="0.25">
      <c r="A1461" s="4"/>
      <c r="B1461" s="55"/>
      <c r="C1461" s="5"/>
      <c r="D1461" s="56"/>
      <c r="E1461" s="56"/>
      <c r="F1461" s="6"/>
      <c r="G1461" s="4"/>
      <c r="H1461" s="4"/>
      <c r="I1461" s="3"/>
      <c r="J1461" s="12"/>
    </row>
    <row r="1462" spans="1:10" x14ac:dyDescent="0.25">
      <c r="A1462" s="4"/>
      <c r="B1462" s="55"/>
      <c r="C1462" s="5"/>
      <c r="D1462" s="56"/>
      <c r="E1462" s="56"/>
      <c r="F1462" s="6"/>
      <c r="G1462" s="4"/>
      <c r="H1462" s="4"/>
      <c r="I1462" s="3"/>
      <c r="J1462" s="12"/>
    </row>
    <row r="1463" spans="1:10" x14ac:dyDescent="0.25">
      <c r="A1463" s="4"/>
      <c r="B1463" s="55"/>
      <c r="C1463" s="5"/>
      <c r="D1463" s="56"/>
      <c r="E1463" s="56"/>
      <c r="F1463" s="6"/>
      <c r="G1463" s="4"/>
      <c r="H1463" s="4"/>
      <c r="I1463" s="3"/>
      <c r="J1463" s="12"/>
    </row>
    <row r="1464" spans="1:10" x14ac:dyDescent="0.25">
      <c r="A1464" s="4"/>
      <c r="B1464" s="55"/>
      <c r="C1464" s="5"/>
      <c r="D1464" s="56"/>
      <c r="E1464" s="56"/>
      <c r="F1464" s="6"/>
      <c r="G1464" s="4"/>
      <c r="H1464" s="4"/>
      <c r="I1464" s="3"/>
      <c r="J1464" s="12"/>
    </row>
    <row r="1465" spans="1:10" x14ac:dyDescent="0.25">
      <c r="A1465" s="4"/>
      <c r="B1465" s="55"/>
      <c r="C1465" s="5"/>
      <c r="D1465" s="56"/>
      <c r="E1465" s="56"/>
      <c r="F1465" s="6"/>
      <c r="G1465" s="4"/>
      <c r="H1465" s="4"/>
      <c r="I1465" s="3"/>
      <c r="J1465" s="12"/>
    </row>
    <row r="1466" spans="1:10" x14ac:dyDescent="0.25">
      <c r="A1466" s="4"/>
      <c r="B1466" s="55"/>
      <c r="C1466" s="5"/>
      <c r="D1466" s="56"/>
      <c r="E1466" s="56"/>
      <c r="F1466" s="6"/>
      <c r="G1466" s="4"/>
      <c r="H1466" s="4"/>
      <c r="I1466" s="3"/>
      <c r="J1466" s="12"/>
    </row>
    <row r="1467" spans="1:10" x14ac:dyDescent="0.25">
      <c r="A1467" s="4"/>
      <c r="B1467" s="55"/>
      <c r="C1467" s="5"/>
      <c r="D1467" s="56"/>
      <c r="E1467" s="56"/>
      <c r="F1467" s="6"/>
      <c r="G1467" s="4"/>
      <c r="H1467" s="4"/>
      <c r="I1467" s="3"/>
      <c r="J1467" s="12"/>
    </row>
    <row r="1468" spans="1:10" x14ac:dyDescent="0.25">
      <c r="A1468" s="4"/>
      <c r="B1468" s="55"/>
      <c r="C1468" s="5"/>
      <c r="D1468" s="56"/>
      <c r="E1468" s="56"/>
      <c r="F1468" s="6"/>
      <c r="G1468" s="4"/>
      <c r="H1468" s="4"/>
      <c r="I1468" s="3"/>
      <c r="J1468" s="12"/>
    </row>
    <row r="1469" spans="1:10" x14ac:dyDescent="0.25">
      <c r="A1469" s="4"/>
      <c r="B1469" s="55"/>
      <c r="C1469" s="5"/>
      <c r="D1469" s="56"/>
      <c r="E1469" s="56"/>
      <c r="F1469" s="6"/>
      <c r="G1469" s="4"/>
      <c r="H1469" s="4"/>
      <c r="I1469" s="3"/>
      <c r="J1469" s="12"/>
    </row>
    <row r="1470" spans="1:10" x14ac:dyDescent="0.25">
      <c r="A1470" s="4"/>
      <c r="B1470" s="55"/>
      <c r="C1470" s="5"/>
      <c r="D1470" s="56"/>
      <c r="E1470" s="56"/>
      <c r="F1470" s="6"/>
      <c r="G1470" s="4"/>
      <c r="H1470" s="4"/>
      <c r="I1470" s="3"/>
      <c r="J1470" s="12"/>
    </row>
    <row r="1471" spans="1:10" x14ac:dyDescent="0.25">
      <c r="A1471" s="4"/>
      <c r="B1471" s="55"/>
      <c r="C1471" s="5"/>
      <c r="D1471" s="56"/>
      <c r="E1471" s="56"/>
      <c r="F1471" s="6"/>
      <c r="G1471" s="4"/>
      <c r="H1471" s="4"/>
      <c r="I1471" s="3"/>
      <c r="J1471" s="12"/>
    </row>
    <row r="1472" spans="1:10" x14ac:dyDescent="0.25">
      <c r="A1472" s="4"/>
      <c r="B1472" s="55"/>
      <c r="C1472" s="5"/>
      <c r="D1472" s="56"/>
      <c r="E1472" s="56"/>
      <c r="F1472" s="6"/>
      <c r="G1472" s="4"/>
      <c r="H1472" s="4"/>
      <c r="I1472" s="3"/>
      <c r="J1472" s="12"/>
    </row>
    <row r="1473" spans="1:10" x14ac:dyDescent="0.25">
      <c r="A1473" s="4"/>
      <c r="B1473" s="55"/>
      <c r="C1473" s="5"/>
      <c r="D1473" s="56"/>
      <c r="E1473" s="56"/>
      <c r="F1473" s="6"/>
      <c r="G1473" s="4"/>
      <c r="H1473" s="4"/>
      <c r="I1473" s="3"/>
      <c r="J1473" s="12"/>
    </row>
    <row r="1474" spans="1:10" x14ac:dyDescent="0.25">
      <c r="A1474" s="4"/>
      <c r="B1474" s="55"/>
      <c r="C1474" s="5"/>
      <c r="D1474" s="56"/>
      <c r="E1474" s="56"/>
      <c r="F1474" s="6"/>
      <c r="G1474" s="4"/>
      <c r="H1474" s="4"/>
      <c r="I1474" s="3"/>
      <c r="J1474" s="12"/>
    </row>
    <row r="1475" spans="1:10" x14ac:dyDescent="0.25">
      <c r="A1475" s="4"/>
      <c r="B1475" s="55"/>
      <c r="C1475" s="5"/>
      <c r="D1475" s="56"/>
      <c r="E1475" s="56"/>
      <c r="F1475" s="6"/>
      <c r="G1475" s="4"/>
      <c r="H1475" s="4"/>
      <c r="I1475" s="3"/>
      <c r="J1475" s="12"/>
    </row>
    <row r="1476" spans="1:10" x14ac:dyDescent="0.25">
      <c r="A1476" s="4"/>
      <c r="B1476" s="55"/>
      <c r="C1476" s="5"/>
      <c r="D1476" s="56"/>
      <c r="E1476" s="56"/>
      <c r="F1476" s="6"/>
      <c r="G1476" s="4"/>
      <c r="H1476" s="4"/>
      <c r="I1476" s="3"/>
      <c r="J1476" s="12"/>
    </row>
    <row r="1477" spans="1:10" x14ac:dyDescent="0.25">
      <c r="A1477" s="4"/>
      <c r="B1477" s="55"/>
      <c r="C1477" s="5"/>
      <c r="D1477" s="56"/>
      <c r="E1477" s="56"/>
      <c r="F1477" s="6"/>
      <c r="G1477" s="4"/>
      <c r="H1477" s="4"/>
      <c r="I1477" s="3"/>
      <c r="J1477" s="12"/>
    </row>
    <row r="1478" spans="1:10" x14ac:dyDescent="0.25">
      <c r="A1478" s="4"/>
      <c r="B1478" s="55"/>
      <c r="C1478" s="5"/>
      <c r="D1478" s="56"/>
      <c r="E1478" s="56"/>
      <c r="F1478" s="6"/>
      <c r="G1478" s="4"/>
      <c r="H1478" s="4"/>
      <c r="I1478" s="3"/>
      <c r="J1478" s="12"/>
    </row>
    <row r="1479" spans="1:10" x14ac:dyDescent="0.25">
      <c r="A1479" s="4"/>
      <c r="B1479" s="55"/>
      <c r="C1479" s="5"/>
      <c r="D1479" s="56"/>
      <c r="E1479" s="56"/>
      <c r="F1479" s="6"/>
      <c r="G1479" s="4"/>
      <c r="H1479" s="4"/>
      <c r="I1479" s="3"/>
      <c r="J1479" s="12"/>
    </row>
    <row r="1480" spans="1:10" x14ac:dyDescent="0.25">
      <c r="A1480" s="4"/>
      <c r="B1480" s="55"/>
      <c r="C1480" s="5"/>
      <c r="D1480" s="56"/>
      <c r="E1480" s="56"/>
      <c r="F1480" s="6"/>
      <c r="G1480" s="4"/>
      <c r="H1480" s="4"/>
      <c r="I1480" s="3"/>
      <c r="J1480" s="12"/>
    </row>
    <row r="1481" spans="1:10" x14ac:dyDescent="0.25">
      <c r="A1481" s="4"/>
      <c r="B1481" s="55"/>
      <c r="C1481" s="5"/>
      <c r="D1481" s="56"/>
      <c r="E1481" s="56"/>
      <c r="F1481" s="6"/>
      <c r="G1481" s="4"/>
      <c r="H1481" s="4"/>
      <c r="I1481" s="3"/>
      <c r="J1481" s="12"/>
    </row>
    <row r="1482" spans="1:10" x14ac:dyDescent="0.25">
      <c r="A1482" s="4"/>
      <c r="B1482" s="55"/>
      <c r="C1482" s="5"/>
      <c r="D1482" s="56"/>
      <c r="E1482" s="56"/>
      <c r="F1482" s="6"/>
      <c r="G1482" s="4"/>
      <c r="H1482" s="4"/>
      <c r="I1482" s="3"/>
      <c r="J1482" s="12"/>
    </row>
    <row r="1483" spans="1:10" x14ac:dyDescent="0.25">
      <c r="A1483" s="4"/>
      <c r="B1483" s="55"/>
      <c r="C1483" s="5"/>
      <c r="D1483" s="56"/>
      <c r="E1483" s="56"/>
      <c r="F1483" s="6"/>
      <c r="G1483" s="4"/>
      <c r="H1483" s="4"/>
      <c r="I1483" s="3"/>
      <c r="J1483" s="12"/>
    </row>
    <row r="1484" spans="1:10" x14ac:dyDescent="0.25">
      <c r="A1484" s="4"/>
      <c r="B1484" s="55"/>
      <c r="C1484" s="5"/>
      <c r="D1484" s="56"/>
      <c r="E1484" s="56"/>
      <c r="F1484" s="6"/>
      <c r="G1484" s="4"/>
      <c r="H1484" s="4"/>
      <c r="I1484" s="3"/>
      <c r="J1484" s="12"/>
    </row>
    <row r="1485" spans="1:10" x14ac:dyDescent="0.25">
      <c r="A1485" s="4"/>
      <c r="B1485" s="55"/>
      <c r="C1485" s="5"/>
      <c r="D1485" s="56"/>
      <c r="E1485" s="56"/>
      <c r="F1485" s="6"/>
      <c r="G1485" s="4"/>
      <c r="H1485" s="4"/>
      <c r="I1485" s="3"/>
      <c r="J1485" s="12"/>
    </row>
    <row r="1486" spans="1:10" x14ac:dyDescent="0.25">
      <c r="A1486" s="4"/>
      <c r="B1486" s="55"/>
      <c r="C1486" s="5"/>
      <c r="D1486" s="56"/>
      <c r="E1486" s="56"/>
      <c r="F1486" s="6"/>
      <c r="G1486" s="4"/>
      <c r="H1486" s="4"/>
      <c r="I1486" s="3"/>
      <c r="J1486" s="12"/>
    </row>
    <row r="1487" spans="1:10" x14ac:dyDescent="0.25">
      <c r="A1487" s="4"/>
      <c r="B1487" s="55"/>
      <c r="C1487" s="5"/>
      <c r="D1487" s="56"/>
      <c r="E1487" s="56"/>
      <c r="F1487" s="6"/>
      <c r="G1487" s="4"/>
      <c r="H1487" s="4"/>
      <c r="I1487" s="3"/>
      <c r="J1487" s="12"/>
    </row>
    <row r="1488" spans="1:10" x14ac:dyDescent="0.25">
      <c r="A1488" s="4"/>
      <c r="B1488" s="55"/>
      <c r="C1488" s="5"/>
      <c r="D1488" s="56"/>
      <c r="E1488" s="56"/>
      <c r="F1488" s="6"/>
      <c r="G1488" s="4"/>
      <c r="H1488" s="4"/>
      <c r="I1488" s="3"/>
      <c r="J1488" s="12"/>
    </row>
    <row r="1489" spans="1:10" x14ac:dyDescent="0.25">
      <c r="A1489" s="4"/>
      <c r="B1489" s="55"/>
      <c r="C1489" s="5"/>
      <c r="D1489" s="56"/>
      <c r="E1489" s="56"/>
      <c r="F1489" s="6"/>
      <c r="G1489" s="4"/>
      <c r="H1489" s="4"/>
      <c r="I1489" s="3"/>
      <c r="J1489" s="12"/>
    </row>
    <row r="1490" spans="1:10" x14ac:dyDescent="0.25">
      <c r="A1490" s="4"/>
      <c r="B1490" s="55"/>
      <c r="C1490" s="5"/>
      <c r="D1490" s="56"/>
      <c r="E1490" s="56"/>
      <c r="F1490" s="6"/>
      <c r="G1490" s="4"/>
      <c r="H1490" s="4"/>
      <c r="I1490" s="3"/>
      <c r="J1490" s="12"/>
    </row>
    <row r="1491" spans="1:10" x14ac:dyDescent="0.25">
      <c r="A1491" s="4"/>
      <c r="B1491" s="55"/>
      <c r="C1491" s="5"/>
      <c r="D1491" s="56"/>
      <c r="E1491" s="56"/>
      <c r="F1491" s="6"/>
      <c r="G1491" s="4"/>
      <c r="H1491" s="4"/>
      <c r="I1491" s="3"/>
      <c r="J1491" s="12"/>
    </row>
    <row r="1492" spans="1:10" x14ac:dyDescent="0.25">
      <c r="A1492" s="4"/>
      <c r="B1492" s="55"/>
      <c r="C1492" s="5"/>
      <c r="D1492" s="56"/>
      <c r="E1492" s="56"/>
      <c r="F1492" s="6"/>
      <c r="G1492" s="4"/>
      <c r="H1492" s="4"/>
      <c r="I1492" s="3"/>
      <c r="J1492" s="12"/>
    </row>
    <row r="1493" spans="1:10" x14ac:dyDescent="0.25">
      <c r="A1493" s="4"/>
      <c r="B1493" s="55"/>
      <c r="C1493" s="5"/>
      <c r="D1493" s="56"/>
      <c r="E1493" s="56"/>
      <c r="F1493" s="6"/>
      <c r="G1493" s="4"/>
      <c r="H1493" s="4"/>
      <c r="I1493" s="3"/>
      <c r="J1493" s="12"/>
    </row>
    <row r="1494" spans="1:10" x14ac:dyDescent="0.25">
      <c r="A1494" s="4"/>
      <c r="B1494" s="55"/>
      <c r="C1494" s="5"/>
      <c r="D1494" s="56"/>
      <c r="E1494" s="56"/>
      <c r="F1494" s="6"/>
      <c r="G1494" s="4"/>
      <c r="H1494" s="4"/>
      <c r="I1494" s="3"/>
      <c r="J1494" s="12"/>
    </row>
    <row r="1495" spans="1:10" x14ac:dyDescent="0.25">
      <c r="A1495" s="4"/>
      <c r="B1495" s="55"/>
      <c r="C1495" s="5"/>
      <c r="D1495" s="56"/>
      <c r="E1495" s="56"/>
      <c r="F1495" s="6"/>
      <c r="G1495" s="4"/>
      <c r="H1495" s="4"/>
      <c r="I1495" s="3"/>
      <c r="J1495" s="12"/>
    </row>
    <row r="1496" spans="1:10" x14ac:dyDescent="0.25">
      <c r="A1496" s="4"/>
      <c r="B1496" s="55"/>
      <c r="C1496" s="5"/>
      <c r="D1496" s="56"/>
      <c r="E1496" s="56"/>
      <c r="F1496" s="6"/>
      <c r="G1496" s="4"/>
      <c r="H1496" s="4"/>
      <c r="I1496" s="3"/>
      <c r="J1496" s="12"/>
    </row>
    <row r="1497" spans="1:10" x14ac:dyDescent="0.25">
      <c r="A1497" s="4"/>
      <c r="B1497" s="55"/>
      <c r="C1497" s="5"/>
      <c r="D1497" s="56"/>
      <c r="E1497" s="56"/>
      <c r="F1497" s="6"/>
      <c r="G1497" s="4"/>
      <c r="H1497" s="4"/>
      <c r="I1497" s="3"/>
      <c r="J1497" s="12"/>
    </row>
    <row r="1498" spans="1:10" x14ac:dyDescent="0.25">
      <c r="A1498" s="4"/>
      <c r="B1498" s="55"/>
      <c r="C1498" s="5"/>
      <c r="D1498" s="56"/>
      <c r="E1498" s="56"/>
      <c r="F1498" s="6"/>
      <c r="G1498" s="4"/>
      <c r="H1498" s="4"/>
      <c r="I1498" s="3"/>
      <c r="J1498" s="12"/>
    </row>
    <row r="1499" spans="1:10" x14ac:dyDescent="0.25">
      <c r="A1499" s="4"/>
      <c r="B1499" s="55"/>
      <c r="C1499" s="5"/>
      <c r="D1499" s="56"/>
      <c r="E1499" s="56"/>
      <c r="F1499" s="6"/>
      <c r="G1499" s="4"/>
      <c r="H1499" s="4"/>
      <c r="I1499" s="3"/>
      <c r="J1499" s="12"/>
    </row>
    <row r="1500" spans="1:10" x14ac:dyDescent="0.25">
      <c r="A1500" s="4"/>
      <c r="B1500" s="55"/>
      <c r="C1500" s="5"/>
      <c r="D1500" s="56"/>
      <c r="E1500" s="56"/>
      <c r="F1500" s="6"/>
      <c r="G1500" s="4"/>
      <c r="H1500" s="4"/>
      <c r="I1500" s="3"/>
      <c r="J1500" s="12"/>
    </row>
    <row r="1501" spans="1:10" x14ac:dyDescent="0.25">
      <c r="A1501" s="4"/>
      <c r="B1501" s="55"/>
      <c r="C1501" s="5"/>
      <c r="D1501" s="56"/>
      <c r="E1501" s="56"/>
      <c r="F1501" s="6"/>
      <c r="G1501" s="4"/>
      <c r="H1501" s="4"/>
      <c r="I1501" s="3"/>
      <c r="J1501" s="12"/>
    </row>
    <row r="1502" spans="1:10" x14ac:dyDescent="0.25">
      <c r="A1502" s="4"/>
      <c r="B1502" s="55"/>
      <c r="C1502" s="5"/>
      <c r="D1502" s="56"/>
      <c r="E1502" s="56"/>
      <c r="F1502" s="6"/>
      <c r="G1502" s="4"/>
      <c r="H1502" s="4"/>
      <c r="I1502" s="3"/>
      <c r="J1502" s="12"/>
    </row>
    <row r="1503" spans="1:10" x14ac:dyDescent="0.25">
      <c r="A1503" s="4"/>
      <c r="B1503" s="55"/>
      <c r="C1503" s="5"/>
      <c r="D1503" s="56"/>
      <c r="E1503" s="56"/>
      <c r="F1503" s="6"/>
      <c r="G1503" s="4"/>
      <c r="H1503" s="4"/>
      <c r="I1503" s="3"/>
      <c r="J1503" s="12"/>
    </row>
    <row r="1504" spans="1:10" x14ac:dyDescent="0.25">
      <c r="A1504" s="4"/>
      <c r="B1504" s="55"/>
      <c r="C1504" s="5"/>
      <c r="D1504" s="56"/>
      <c r="E1504" s="56"/>
      <c r="F1504" s="6"/>
      <c r="G1504" s="4"/>
      <c r="H1504" s="4"/>
      <c r="I1504" s="3"/>
      <c r="J1504" s="12"/>
    </row>
    <row r="1505" spans="1:10" x14ac:dyDescent="0.25">
      <c r="A1505" s="4"/>
      <c r="B1505" s="55"/>
      <c r="C1505" s="5"/>
      <c r="D1505" s="56"/>
      <c r="E1505" s="56"/>
      <c r="F1505" s="6"/>
      <c r="G1505" s="4"/>
      <c r="H1505" s="4"/>
      <c r="I1505" s="3"/>
      <c r="J1505" s="12"/>
    </row>
    <row r="1506" spans="1:10" x14ac:dyDescent="0.25">
      <c r="A1506" s="4"/>
      <c r="B1506" s="55"/>
      <c r="C1506" s="5"/>
      <c r="D1506" s="56"/>
      <c r="E1506" s="56"/>
      <c r="F1506" s="6"/>
      <c r="G1506" s="4"/>
      <c r="H1506" s="4"/>
      <c r="I1506" s="3"/>
      <c r="J1506" s="12"/>
    </row>
    <row r="1507" spans="1:10" x14ac:dyDescent="0.25">
      <c r="A1507" s="4"/>
      <c r="B1507" s="55"/>
      <c r="C1507" s="5"/>
      <c r="D1507" s="56"/>
      <c r="E1507" s="56"/>
      <c r="F1507" s="6"/>
      <c r="G1507" s="4"/>
      <c r="H1507" s="4"/>
      <c r="I1507" s="3"/>
      <c r="J1507" s="12"/>
    </row>
    <row r="1508" spans="1:10" x14ac:dyDescent="0.25">
      <c r="A1508" s="4"/>
      <c r="B1508" s="55"/>
      <c r="C1508" s="5"/>
      <c r="D1508" s="56"/>
      <c r="E1508" s="56"/>
      <c r="F1508" s="6"/>
      <c r="G1508" s="4"/>
      <c r="H1508" s="4"/>
      <c r="I1508" s="3"/>
      <c r="J1508" s="12"/>
    </row>
    <row r="1509" spans="1:10" x14ac:dyDescent="0.25">
      <c r="A1509" s="4"/>
      <c r="B1509" s="55"/>
      <c r="C1509" s="5"/>
      <c r="D1509" s="56"/>
      <c r="E1509" s="56"/>
      <c r="F1509" s="6"/>
      <c r="G1509" s="4"/>
      <c r="H1509" s="4"/>
      <c r="I1509" s="3"/>
      <c r="J1509" s="12"/>
    </row>
    <row r="1510" spans="1:10" x14ac:dyDescent="0.25">
      <c r="A1510" s="4"/>
      <c r="B1510" s="55"/>
      <c r="C1510" s="5"/>
      <c r="D1510" s="56"/>
      <c r="E1510" s="56"/>
      <c r="F1510" s="6"/>
      <c r="G1510" s="4"/>
      <c r="H1510" s="4"/>
      <c r="I1510" s="3"/>
      <c r="J1510" s="12"/>
    </row>
    <row r="1511" spans="1:10" x14ac:dyDescent="0.25">
      <c r="A1511" s="4"/>
      <c r="B1511" s="55"/>
      <c r="C1511" s="5"/>
      <c r="D1511" s="56"/>
      <c r="E1511" s="56"/>
      <c r="F1511" s="6"/>
      <c r="G1511" s="4"/>
      <c r="H1511" s="4"/>
      <c r="I1511" s="3"/>
      <c r="J1511" s="12"/>
    </row>
    <row r="1512" spans="1:10" x14ac:dyDescent="0.25">
      <c r="A1512" s="4"/>
      <c r="B1512" s="55"/>
      <c r="C1512" s="5"/>
      <c r="D1512" s="56"/>
      <c r="E1512" s="56"/>
      <c r="F1512" s="6"/>
      <c r="G1512" s="4"/>
      <c r="H1512" s="4"/>
      <c r="I1512" s="3"/>
      <c r="J1512" s="12"/>
    </row>
    <row r="1513" spans="1:10" x14ac:dyDescent="0.25">
      <c r="A1513" s="4"/>
      <c r="B1513" s="55"/>
      <c r="C1513" s="5"/>
      <c r="D1513" s="56"/>
      <c r="E1513" s="56"/>
      <c r="F1513" s="6"/>
      <c r="G1513" s="4"/>
      <c r="H1513" s="4"/>
      <c r="I1513" s="3"/>
      <c r="J1513" s="12"/>
    </row>
    <row r="1514" spans="1:10" x14ac:dyDescent="0.25">
      <c r="A1514" s="4"/>
      <c r="B1514" s="55"/>
      <c r="C1514" s="5"/>
      <c r="D1514" s="56"/>
      <c r="E1514" s="56"/>
      <c r="F1514" s="6"/>
      <c r="G1514" s="4"/>
      <c r="H1514" s="4"/>
      <c r="I1514" s="3"/>
      <c r="J1514" s="12"/>
    </row>
    <row r="1515" spans="1:10" x14ac:dyDescent="0.25">
      <c r="A1515" s="4"/>
      <c r="B1515" s="55"/>
      <c r="C1515" s="5"/>
      <c r="D1515" s="56"/>
      <c r="E1515" s="56"/>
      <c r="F1515" s="6"/>
      <c r="G1515" s="4"/>
      <c r="H1515" s="4"/>
      <c r="I1515" s="3"/>
      <c r="J1515" s="12"/>
    </row>
    <row r="1516" spans="1:10" x14ac:dyDescent="0.25">
      <c r="A1516" s="4"/>
      <c r="B1516" s="55"/>
      <c r="C1516" s="5"/>
      <c r="D1516" s="56"/>
      <c r="E1516" s="56"/>
      <c r="F1516" s="6"/>
      <c r="G1516" s="4"/>
      <c r="H1516" s="4"/>
      <c r="I1516" s="3"/>
      <c r="J1516" s="12"/>
    </row>
    <row r="1517" spans="1:10" x14ac:dyDescent="0.25">
      <c r="A1517" s="4"/>
      <c r="B1517" s="55"/>
      <c r="C1517" s="5"/>
      <c r="D1517" s="56"/>
      <c r="E1517" s="56"/>
      <c r="F1517" s="6"/>
      <c r="G1517" s="4"/>
      <c r="H1517" s="4"/>
      <c r="I1517" s="3"/>
      <c r="J1517" s="12"/>
    </row>
    <row r="1518" spans="1:10" x14ac:dyDescent="0.25">
      <c r="A1518" s="4"/>
      <c r="B1518" s="55"/>
      <c r="C1518" s="5"/>
      <c r="D1518" s="56"/>
      <c r="E1518" s="56"/>
      <c r="F1518" s="6"/>
      <c r="G1518" s="4"/>
      <c r="H1518" s="4"/>
      <c r="I1518" s="3"/>
      <c r="J1518" s="12"/>
    </row>
    <row r="1519" spans="1:10" x14ac:dyDescent="0.25">
      <c r="A1519" s="4"/>
      <c r="B1519" s="55"/>
      <c r="C1519" s="5"/>
      <c r="D1519" s="56"/>
      <c r="E1519" s="56"/>
      <c r="F1519" s="6"/>
      <c r="G1519" s="4"/>
      <c r="H1519" s="4"/>
      <c r="I1519" s="3"/>
      <c r="J1519" s="12"/>
    </row>
    <row r="1520" spans="1:10" x14ac:dyDescent="0.25">
      <c r="A1520" s="4"/>
      <c r="B1520" s="55"/>
      <c r="C1520" s="5"/>
      <c r="D1520" s="56"/>
      <c r="E1520" s="56"/>
      <c r="F1520" s="6"/>
      <c r="G1520" s="4"/>
      <c r="H1520" s="4"/>
      <c r="I1520" s="3"/>
      <c r="J1520" s="12"/>
    </row>
    <row r="1521" spans="1:10" x14ac:dyDescent="0.25">
      <c r="A1521" s="4"/>
      <c r="B1521" s="55"/>
      <c r="C1521" s="5"/>
      <c r="D1521" s="56"/>
      <c r="E1521" s="56"/>
      <c r="F1521" s="6"/>
      <c r="G1521" s="4"/>
      <c r="H1521" s="4"/>
      <c r="I1521" s="3"/>
      <c r="J1521" s="12"/>
    </row>
    <row r="1522" spans="1:10" x14ac:dyDescent="0.25">
      <c r="A1522" s="4"/>
      <c r="B1522" s="55"/>
      <c r="C1522" s="5"/>
      <c r="D1522" s="56"/>
      <c r="E1522" s="56"/>
      <c r="F1522" s="6"/>
      <c r="G1522" s="4"/>
      <c r="H1522" s="4"/>
      <c r="I1522" s="3"/>
      <c r="J1522" s="12"/>
    </row>
    <row r="1523" spans="1:10" x14ac:dyDescent="0.25">
      <c r="A1523" s="4"/>
      <c r="B1523" s="55"/>
      <c r="C1523" s="5"/>
      <c r="D1523" s="56"/>
      <c r="E1523" s="56"/>
      <c r="F1523" s="6"/>
      <c r="G1523" s="4"/>
      <c r="H1523" s="4"/>
      <c r="I1523" s="3"/>
      <c r="J1523" s="12"/>
    </row>
    <row r="1524" spans="1:10" x14ac:dyDescent="0.25">
      <c r="A1524" s="4"/>
      <c r="B1524" s="55"/>
      <c r="C1524" s="5"/>
      <c r="D1524" s="56"/>
      <c r="E1524" s="56"/>
      <c r="F1524" s="6"/>
      <c r="G1524" s="4"/>
      <c r="H1524" s="4"/>
      <c r="I1524" s="3"/>
      <c r="J1524" s="12"/>
    </row>
    <row r="1525" spans="1:10" x14ac:dyDescent="0.25">
      <c r="A1525" s="4"/>
      <c r="B1525" s="55"/>
      <c r="C1525" s="5"/>
      <c r="D1525" s="56"/>
      <c r="E1525" s="56"/>
      <c r="F1525" s="6"/>
      <c r="G1525" s="4"/>
      <c r="H1525" s="4"/>
      <c r="I1525" s="3"/>
      <c r="J1525" s="12"/>
    </row>
    <row r="1526" spans="1:10" x14ac:dyDescent="0.25">
      <c r="A1526" s="4"/>
      <c r="B1526" s="55"/>
      <c r="C1526" s="5"/>
      <c r="D1526" s="56"/>
      <c r="E1526" s="56"/>
      <c r="F1526" s="6"/>
      <c r="G1526" s="4"/>
      <c r="H1526" s="4"/>
      <c r="I1526" s="3"/>
      <c r="J1526" s="12"/>
    </row>
    <row r="1527" spans="1:10" x14ac:dyDescent="0.25">
      <c r="A1527" s="4"/>
      <c r="B1527" s="55"/>
      <c r="C1527" s="5"/>
      <c r="D1527" s="56"/>
      <c r="E1527" s="56"/>
      <c r="F1527" s="6"/>
      <c r="G1527" s="4"/>
      <c r="H1527" s="4"/>
      <c r="I1527" s="3"/>
      <c r="J1527" s="12"/>
    </row>
    <row r="1528" spans="1:10" x14ac:dyDescent="0.25">
      <c r="A1528" s="4"/>
      <c r="B1528" s="55"/>
      <c r="C1528" s="5"/>
      <c r="D1528" s="56"/>
      <c r="E1528" s="56"/>
      <c r="F1528" s="6"/>
      <c r="G1528" s="4"/>
      <c r="H1528" s="4"/>
      <c r="I1528" s="3"/>
      <c r="J1528" s="12"/>
    </row>
    <row r="1529" spans="1:10" x14ac:dyDescent="0.25">
      <c r="A1529" s="4"/>
      <c r="B1529" s="55"/>
      <c r="C1529" s="5"/>
      <c r="D1529" s="56"/>
      <c r="E1529" s="56"/>
      <c r="F1529" s="6"/>
      <c r="G1529" s="4"/>
      <c r="H1529" s="4"/>
      <c r="I1529" s="3"/>
      <c r="J1529" s="12"/>
    </row>
    <row r="1530" spans="1:10" x14ac:dyDescent="0.25">
      <c r="A1530" s="4"/>
      <c r="B1530" s="55"/>
      <c r="C1530" s="5"/>
      <c r="D1530" s="56"/>
      <c r="E1530" s="56"/>
      <c r="F1530" s="6"/>
      <c r="G1530" s="4"/>
      <c r="H1530" s="4"/>
      <c r="I1530" s="3"/>
      <c r="J1530" s="12"/>
    </row>
    <row r="1531" spans="1:10" x14ac:dyDescent="0.25">
      <c r="A1531" s="4"/>
      <c r="B1531" s="55"/>
      <c r="C1531" s="5"/>
      <c r="D1531" s="56"/>
      <c r="E1531" s="56"/>
      <c r="F1531" s="6"/>
      <c r="G1531" s="4"/>
      <c r="H1531" s="4"/>
      <c r="I1531" s="3"/>
      <c r="J1531" s="12"/>
    </row>
    <row r="1532" spans="1:10" x14ac:dyDescent="0.25">
      <c r="A1532" s="4"/>
      <c r="B1532" s="55"/>
      <c r="C1532" s="5"/>
      <c r="D1532" s="56"/>
      <c r="E1532" s="56"/>
      <c r="F1532" s="6"/>
      <c r="G1532" s="4"/>
      <c r="H1532" s="4"/>
      <c r="I1532" s="3"/>
      <c r="J1532" s="12"/>
    </row>
    <row r="1533" spans="1:10" x14ac:dyDescent="0.25">
      <c r="A1533" s="4"/>
      <c r="B1533" s="55"/>
      <c r="C1533" s="5"/>
      <c r="D1533" s="56"/>
      <c r="E1533" s="56"/>
      <c r="F1533" s="6"/>
      <c r="G1533" s="4"/>
      <c r="H1533" s="4"/>
      <c r="I1533" s="3"/>
      <c r="J1533" s="12"/>
    </row>
    <row r="1534" spans="1:10" x14ac:dyDescent="0.25">
      <c r="A1534" s="4"/>
      <c r="B1534" s="55"/>
      <c r="C1534" s="5"/>
      <c r="D1534" s="56"/>
      <c r="E1534" s="56"/>
      <c r="F1534" s="6"/>
      <c r="G1534" s="4"/>
      <c r="H1534" s="4"/>
      <c r="I1534" s="3"/>
      <c r="J1534" s="12"/>
    </row>
    <row r="1535" spans="1:10" x14ac:dyDescent="0.25">
      <c r="A1535" s="4"/>
      <c r="B1535" s="55"/>
      <c r="C1535" s="5"/>
      <c r="D1535" s="56"/>
      <c r="E1535" s="56"/>
      <c r="F1535" s="6"/>
      <c r="G1535" s="4"/>
      <c r="H1535" s="4"/>
      <c r="I1535" s="3"/>
      <c r="J1535" s="12"/>
    </row>
    <row r="1536" spans="1:10" x14ac:dyDescent="0.25">
      <c r="A1536" s="4"/>
      <c r="B1536" s="55"/>
      <c r="C1536" s="5"/>
      <c r="D1536" s="56"/>
      <c r="E1536" s="56"/>
      <c r="F1536" s="6"/>
      <c r="G1536" s="4"/>
      <c r="H1536" s="4"/>
      <c r="I1536" s="3"/>
      <c r="J1536" s="12"/>
    </row>
    <row r="1537" spans="1:10" x14ac:dyDescent="0.25">
      <c r="A1537" s="4"/>
      <c r="B1537" s="55"/>
      <c r="C1537" s="5"/>
      <c r="D1537" s="56"/>
      <c r="E1537" s="56"/>
      <c r="F1537" s="6"/>
      <c r="G1537" s="4"/>
      <c r="H1537" s="4"/>
      <c r="I1537" s="3"/>
      <c r="J1537" s="12"/>
    </row>
    <row r="1538" spans="1:10" x14ac:dyDescent="0.25">
      <c r="A1538" s="4"/>
      <c r="B1538" s="55"/>
      <c r="C1538" s="5"/>
      <c r="D1538" s="56"/>
      <c r="E1538" s="56"/>
      <c r="F1538" s="6"/>
      <c r="G1538" s="4"/>
      <c r="H1538" s="4"/>
      <c r="I1538" s="3"/>
      <c r="J1538" s="12"/>
    </row>
    <row r="1539" spans="1:10" x14ac:dyDescent="0.25">
      <c r="A1539" s="4"/>
      <c r="B1539" s="55"/>
      <c r="C1539" s="5"/>
      <c r="D1539" s="56"/>
      <c r="E1539" s="56"/>
      <c r="F1539" s="6"/>
      <c r="G1539" s="4"/>
      <c r="H1539" s="4"/>
      <c r="I1539" s="3"/>
      <c r="J1539" s="12"/>
    </row>
    <row r="1540" spans="1:10" x14ac:dyDescent="0.25">
      <c r="A1540" s="4"/>
      <c r="B1540" s="55"/>
      <c r="C1540" s="5"/>
      <c r="D1540" s="56"/>
      <c r="E1540" s="56"/>
      <c r="F1540" s="6"/>
      <c r="G1540" s="4"/>
      <c r="H1540" s="4"/>
      <c r="I1540" s="3"/>
      <c r="J1540" s="12"/>
    </row>
    <row r="1541" spans="1:10" x14ac:dyDescent="0.25">
      <c r="A1541" s="4"/>
      <c r="B1541" s="55"/>
      <c r="C1541" s="5"/>
      <c r="D1541" s="56"/>
      <c r="E1541" s="56"/>
      <c r="F1541" s="6"/>
      <c r="G1541" s="4"/>
      <c r="H1541" s="4"/>
      <c r="I1541" s="3"/>
      <c r="J1541" s="12"/>
    </row>
    <row r="1542" spans="1:10" x14ac:dyDescent="0.25">
      <c r="A1542" s="4"/>
      <c r="B1542" s="55"/>
      <c r="C1542" s="5"/>
      <c r="D1542" s="56"/>
      <c r="E1542" s="56"/>
      <c r="F1542" s="6"/>
      <c r="G1542" s="4"/>
      <c r="H1542" s="4"/>
      <c r="I1542" s="3"/>
      <c r="J1542" s="12"/>
    </row>
    <row r="1543" spans="1:10" x14ac:dyDescent="0.25">
      <c r="A1543" s="4"/>
      <c r="B1543" s="55"/>
      <c r="C1543" s="5"/>
      <c r="D1543" s="56"/>
      <c r="E1543" s="56"/>
      <c r="F1543" s="6"/>
      <c r="G1543" s="4"/>
      <c r="H1543" s="4"/>
      <c r="I1543" s="3"/>
      <c r="J1543" s="12"/>
    </row>
    <row r="1544" spans="1:10" x14ac:dyDescent="0.25">
      <c r="A1544" s="4"/>
      <c r="B1544" s="55"/>
      <c r="C1544" s="5"/>
      <c r="D1544" s="56"/>
      <c r="E1544" s="56"/>
      <c r="F1544" s="6"/>
      <c r="G1544" s="4"/>
      <c r="H1544" s="4"/>
      <c r="I1544" s="3"/>
      <c r="J1544" s="12"/>
    </row>
    <row r="1545" spans="1:10" x14ac:dyDescent="0.25">
      <c r="A1545" s="4"/>
      <c r="B1545" s="55"/>
      <c r="C1545" s="5"/>
      <c r="D1545" s="56"/>
      <c r="E1545" s="56"/>
      <c r="F1545" s="6"/>
      <c r="G1545" s="4"/>
      <c r="H1545" s="4"/>
      <c r="I1545" s="3"/>
      <c r="J1545" s="12"/>
    </row>
    <row r="1546" spans="1:10" x14ac:dyDescent="0.25">
      <c r="A1546" s="4"/>
      <c r="B1546" s="55"/>
      <c r="C1546" s="5"/>
      <c r="D1546" s="56"/>
      <c r="E1546" s="56"/>
      <c r="F1546" s="6"/>
      <c r="G1546" s="4"/>
      <c r="H1546" s="4"/>
      <c r="I1546" s="3"/>
      <c r="J1546" s="12"/>
    </row>
    <row r="1547" spans="1:10" x14ac:dyDescent="0.25">
      <c r="A1547" s="4"/>
      <c r="B1547" s="55"/>
      <c r="C1547" s="5"/>
      <c r="D1547" s="56"/>
      <c r="E1547" s="56"/>
      <c r="F1547" s="6"/>
      <c r="G1547" s="4"/>
      <c r="H1547" s="4"/>
      <c r="I1547" s="3"/>
      <c r="J1547" s="12"/>
    </row>
    <row r="1548" spans="1:10" x14ac:dyDescent="0.25">
      <c r="A1548" s="4"/>
      <c r="B1548" s="55"/>
      <c r="C1548" s="5"/>
      <c r="D1548" s="56"/>
      <c r="E1548" s="56"/>
      <c r="F1548" s="6"/>
      <c r="G1548" s="4"/>
      <c r="H1548" s="4"/>
      <c r="I1548" s="3"/>
      <c r="J1548" s="12"/>
    </row>
    <row r="1549" spans="1:10" x14ac:dyDescent="0.25">
      <c r="A1549" s="4"/>
      <c r="B1549" s="55"/>
      <c r="C1549" s="5"/>
      <c r="D1549" s="56"/>
      <c r="E1549" s="56"/>
      <c r="F1549" s="6"/>
      <c r="G1549" s="4"/>
      <c r="H1549" s="4"/>
      <c r="I1549" s="3"/>
      <c r="J1549" s="12"/>
    </row>
    <row r="1550" spans="1:10" x14ac:dyDescent="0.25">
      <c r="A1550" s="4"/>
      <c r="B1550" s="55"/>
      <c r="C1550" s="5"/>
      <c r="D1550" s="56"/>
      <c r="E1550" s="56"/>
      <c r="F1550" s="6"/>
      <c r="G1550" s="4"/>
      <c r="H1550" s="4"/>
      <c r="I1550" s="3"/>
      <c r="J1550" s="12"/>
    </row>
    <row r="1551" spans="1:10" x14ac:dyDescent="0.25">
      <c r="A1551" s="4"/>
      <c r="B1551" s="55"/>
      <c r="C1551" s="5"/>
      <c r="D1551" s="56"/>
      <c r="E1551" s="56"/>
      <c r="F1551" s="6"/>
      <c r="G1551" s="4"/>
      <c r="H1551" s="4"/>
      <c r="I1551" s="3"/>
      <c r="J1551" s="12"/>
    </row>
    <row r="1552" spans="1:10" x14ac:dyDescent="0.25">
      <c r="A1552" s="4"/>
      <c r="B1552" s="55"/>
      <c r="C1552" s="5"/>
      <c r="D1552" s="56"/>
      <c r="E1552" s="56"/>
      <c r="F1552" s="6"/>
      <c r="G1552" s="4"/>
      <c r="H1552" s="4"/>
      <c r="I1552" s="3"/>
      <c r="J1552" s="12"/>
    </row>
    <row r="1553" spans="1:10" x14ac:dyDescent="0.25">
      <c r="A1553" s="4"/>
      <c r="B1553" s="55"/>
      <c r="C1553" s="5"/>
      <c r="D1553" s="56"/>
      <c r="E1553" s="56"/>
      <c r="F1553" s="6"/>
      <c r="G1553" s="4"/>
      <c r="H1553" s="4"/>
      <c r="I1553" s="3"/>
      <c r="J1553" s="12"/>
    </row>
    <row r="1554" spans="1:10" x14ac:dyDescent="0.25">
      <c r="A1554" s="4"/>
      <c r="B1554" s="55"/>
      <c r="C1554" s="5"/>
      <c r="D1554" s="56"/>
      <c r="E1554" s="56"/>
      <c r="F1554" s="6"/>
      <c r="G1554" s="4"/>
      <c r="H1554" s="4"/>
      <c r="I1554" s="3"/>
      <c r="J1554" s="12"/>
    </row>
    <row r="1555" spans="1:10" x14ac:dyDescent="0.25">
      <c r="A1555" s="4"/>
      <c r="B1555" s="55"/>
      <c r="C1555" s="5"/>
      <c r="D1555" s="56"/>
      <c r="E1555" s="56"/>
      <c r="F1555" s="6"/>
      <c r="G1555" s="4"/>
      <c r="H1555" s="4"/>
      <c r="I1555" s="3"/>
      <c r="J1555" s="12"/>
    </row>
    <row r="1556" spans="1:10" x14ac:dyDescent="0.25">
      <c r="A1556" s="4"/>
      <c r="B1556" s="55"/>
      <c r="C1556" s="5"/>
      <c r="D1556" s="56"/>
      <c r="E1556" s="56"/>
      <c r="F1556" s="6"/>
      <c r="G1556" s="4"/>
      <c r="H1556" s="4"/>
      <c r="I1556" s="3"/>
      <c r="J1556" s="12"/>
    </row>
    <row r="1557" spans="1:10" x14ac:dyDescent="0.25">
      <c r="A1557" s="4"/>
      <c r="B1557" s="55"/>
      <c r="C1557" s="5"/>
      <c r="D1557" s="56"/>
      <c r="E1557" s="56"/>
      <c r="F1557" s="6"/>
      <c r="G1557" s="4"/>
      <c r="H1557" s="4"/>
      <c r="I1557" s="3"/>
      <c r="J1557" s="12"/>
    </row>
    <row r="1558" spans="1:10" x14ac:dyDescent="0.25">
      <c r="A1558" s="4"/>
      <c r="B1558" s="55"/>
      <c r="C1558" s="5"/>
      <c r="D1558" s="56"/>
      <c r="E1558" s="56"/>
      <c r="F1558" s="6"/>
      <c r="G1558" s="4"/>
      <c r="H1558" s="4"/>
      <c r="I1558" s="3"/>
      <c r="J1558" s="12"/>
    </row>
    <row r="1559" spans="1:10" x14ac:dyDescent="0.25">
      <c r="A1559" s="4"/>
      <c r="B1559" s="55"/>
      <c r="C1559" s="5"/>
      <c r="D1559" s="56"/>
      <c r="E1559" s="56"/>
      <c r="F1559" s="6"/>
      <c r="G1559" s="4"/>
      <c r="H1559" s="4"/>
      <c r="I1559" s="3"/>
      <c r="J1559" s="12"/>
    </row>
    <row r="1560" spans="1:10" x14ac:dyDescent="0.25">
      <c r="A1560" s="4"/>
      <c r="B1560" s="55"/>
      <c r="C1560" s="5"/>
      <c r="D1560" s="56"/>
      <c r="E1560" s="56"/>
      <c r="F1560" s="6"/>
      <c r="G1560" s="4"/>
      <c r="H1560" s="4"/>
      <c r="I1560" s="3"/>
      <c r="J1560" s="12"/>
    </row>
    <row r="1561" spans="1:10" x14ac:dyDescent="0.25">
      <c r="A1561" s="4"/>
      <c r="B1561" s="55"/>
      <c r="C1561" s="5"/>
      <c r="D1561" s="56"/>
      <c r="E1561" s="56"/>
      <c r="F1561" s="6"/>
      <c r="G1561" s="4"/>
      <c r="H1561" s="4"/>
      <c r="I1561" s="3"/>
      <c r="J1561" s="12"/>
    </row>
    <row r="1562" spans="1:10" x14ac:dyDescent="0.25">
      <c r="A1562" s="4"/>
      <c r="B1562" s="55"/>
      <c r="C1562" s="5"/>
      <c r="D1562" s="56"/>
      <c r="E1562" s="56"/>
      <c r="F1562" s="6"/>
      <c r="G1562" s="4"/>
      <c r="H1562" s="4"/>
      <c r="I1562" s="3"/>
      <c r="J1562" s="12"/>
    </row>
    <row r="1563" spans="1:10" x14ac:dyDescent="0.25">
      <c r="A1563" s="4"/>
      <c r="B1563" s="55"/>
      <c r="C1563" s="5"/>
      <c r="D1563" s="56"/>
      <c r="E1563" s="56"/>
      <c r="F1563" s="6"/>
      <c r="G1563" s="4"/>
      <c r="H1563" s="4"/>
      <c r="I1563" s="3"/>
      <c r="J1563" s="12"/>
    </row>
    <row r="1564" spans="1:10" x14ac:dyDescent="0.25">
      <c r="A1564" s="4"/>
      <c r="B1564" s="55"/>
      <c r="C1564" s="5"/>
      <c r="D1564" s="56"/>
      <c r="E1564" s="56"/>
      <c r="F1564" s="6"/>
      <c r="G1564" s="4"/>
      <c r="H1564" s="4"/>
      <c r="I1564" s="3"/>
      <c r="J1564" s="12"/>
    </row>
    <row r="1565" spans="1:10" x14ac:dyDescent="0.25">
      <c r="A1565" s="4"/>
      <c r="B1565" s="55"/>
      <c r="C1565" s="5"/>
      <c r="D1565" s="56"/>
      <c r="E1565" s="56"/>
      <c r="F1565" s="6"/>
      <c r="G1565" s="4"/>
      <c r="H1565" s="4"/>
      <c r="I1565" s="3"/>
      <c r="J1565" s="12"/>
    </row>
    <row r="1566" spans="1:10" x14ac:dyDescent="0.25">
      <c r="A1566" s="4"/>
      <c r="B1566" s="55"/>
      <c r="C1566" s="5"/>
      <c r="D1566" s="56"/>
      <c r="E1566" s="56"/>
      <c r="F1566" s="6"/>
      <c r="G1566" s="4"/>
      <c r="H1566" s="4"/>
      <c r="I1566" s="3"/>
      <c r="J1566" s="12"/>
    </row>
    <row r="1567" spans="1:10" x14ac:dyDescent="0.25">
      <c r="A1567" s="4"/>
      <c r="B1567" s="55"/>
      <c r="C1567" s="5"/>
      <c r="D1567" s="56"/>
      <c r="E1567" s="56"/>
      <c r="F1567" s="6"/>
      <c r="G1567" s="4"/>
      <c r="H1567" s="4"/>
      <c r="I1567" s="3"/>
      <c r="J1567" s="12"/>
    </row>
    <row r="1568" spans="1:10" x14ac:dyDescent="0.25">
      <c r="A1568" s="4"/>
      <c r="B1568" s="55"/>
      <c r="C1568" s="5"/>
      <c r="D1568" s="56"/>
      <c r="E1568" s="56"/>
      <c r="F1568" s="6"/>
      <c r="G1568" s="4"/>
      <c r="H1568" s="4"/>
      <c r="I1568" s="3"/>
      <c r="J1568" s="12"/>
    </row>
    <row r="1569" spans="1:10" x14ac:dyDescent="0.25">
      <c r="A1569" s="4"/>
      <c r="B1569" s="55"/>
      <c r="C1569" s="5"/>
      <c r="D1569" s="56"/>
      <c r="E1569" s="56"/>
      <c r="F1569" s="6"/>
      <c r="G1569" s="4"/>
      <c r="H1569" s="4"/>
      <c r="I1569" s="3"/>
      <c r="J1569" s="12"/>
    </row>
    <row r="1570" spans="1:10" x14ac:dyDescent="0.25">
      <c r="A1570" s="4"/>
      <c r="B1570" s="55"/>
      <c r="C1570" s="5"/>
      <c r="D1570" s="56"/>
      <c r="E1570" s="56"/>
      <c r="F1570" s="6"/>
      <c r="G1570" s="4"/>
      <c r="H1570" s="4"/>
      <c r="I1570" s="3"/>
      <c r="J1570" s="12"/>
    </row>
    <row r="1571" spans="1:10" x14ac:dyDescent="0.25">
      <c r="A1571" s="4"/>
      <c r="B1571" s="55"/>
      <c r="C1571" s="5"/>
      <c r="D1571" s="56"/>
      <c r="E1571" s="56"/>
      <c r="F1571" s="6"/>
      <c r="G1571" s="4"/>
      <c r="H1571" s="4"/>
      <c r="I1571" s="3"/>
      <c r="J1571" s="12"/>
    </row>
    <row r="1572" spans="1:10" x14ac:dyDescent="0.25">
      <c r="A1572" s="4"/>
      <c r="B1572" s="55"/>
      <c r="C1572" s="5"/>
      <c r="D1572" s="56"/>
      <c r="E1572" s="56"/>
      <c r="F1572" s="6"/>
      <c r="G1572" s="4"/>
      <c r="H1572" s="4"/>
      <c r="I1572" s="3"/>
      <c r="J1572" s="12"/>
    </row>
    <row r="1573" spans="1:10" x14ac:dyDescent="0.25">
      <c r="A1573" s="4"/>
      <c r="B1573" s="55"/>
      <c r="C1573" s="5"/>
      <c r="D1573" s="56"/>
      <c r="E1573" s="56"/>
      <c r="F1573" s="6"/>
      <c r="G1573" s="4"/>
      <c r="H1573" s="4"/>
      <c r="I1573" s="3"/>
      <c r="J1573" s="12"/>
    </row>
    <row r="1574" spans="1:10" x14ac:dyDescent="0.25">
      <c r="A1574" s="4"/>
      <c r="B1574" s="55"/>
      <c r="C1574" s="5"/>
      <c r="D1574" s="56"/>
      <c r="E1574" s="56"/>
      <c r="F1574" s="6"/>
      <c r="G1574" s="4"/>
      <c r="H1574" s="4"/>
      <c r="I1574" s="3"/>
      <c r="J1574" s="12"/>
    </row>
    <row r="1575" spans="1:10" x14ac:dyDescent="0.25">
      <c r="A1575" s="4"/>
      <c r="B1575" s="55"/>
      <c r="C1575" s="5"/>
      <c r="D1575" s="56"/>
      <c r="E1575" s="56"/>
      <c r="F1575" s="6"/>
      <c r="G1575" s="4"/>
      <c r="H1575" s="4"/>
      <c r="I1575" s="3"/>
      <c r="J1575" s="12"/>
    </row>
    <row r="1576" spans="1:10" x14ac:dyDescent="0.25">
      <c r="A1576" s="4"/>
      <c r="B1576" s="55"/>
      <c r="C1576" s="5"/>
      <c r="D1576" s="56"/>
      <c r="E1576" s="56"/>
      <c r="F1576" s="6"/>
      <c r="G1576" s="4"/>
      <c r="H1576" s="4"/>
      <c r="I1576" s="3"/>
      <c r="J1576" s="12"/>
    </row>
    <row r="1577" spans="1:10" x14ac:dyDescent="0.25">
      <c r="A1577" s="4"/>
      <c r="B1577" s="55"/>
      <c r="C1577" s="5"/>
      <c r="D1577" s="56"/>
      <c r="E1577" s="56"/>
      <c r="F1577" s="6"/>
      <c r="G1577" s="4"/>
      <c r="H1577" s="4"/>
      <c r="I1577" s="3"/>
      <c r="J1577" s="12"/>
    </row>
    <row r="1578" spans="1:10" x14ac:dyDescent="0.25">
      <c r="A1578" s="4"/>
      <c r="B1578" s="55"/>
      <c r="C1578" s="5"/>
      <c r="D1578" s="56"/>
      <c r="E1578" s="56"/>
      <c r="F1578" s="6"/>
      <c r="G1578" s="4"/>
      <c r="H1578" s="4"/>
      <c r="I1578" s="3"/>
      <c r="J1578" s="12"/>
    </row>
    <row r="1579" spans="1:10" x14ac:dyDescent="0.25">
      <c r="A1579" s="4"/>
      <c r="B1579" s="55"/>
      <c r="C1579" s="5"/>
      <c r="D1579" s="56"/>
      <c r="E1579" s="56"/>
      <c r="F1579" s="6"/>
      <c r="G1579" s="4"/>
      <c r="H1579" s="4"/>
      <c r="I1579" s="3"/>
      <c r="J1579" s="12"/>
    </row>
    <row r="1580" spans="1:10" x14ac:dyDescent="0.25">
      <c r="A1580" s="4"/>
      <c r="B1580" s="55"/>
      <c r="C1580" s="5"/>
      <c r="D1580" s="56"/>
      <c r="E1580" s="56"/>
      <c r="F1580" s="6"/>
      <c r="G1580" s="4"/>
      <c r="H1580" s="4"/>
      <c r="I1580" s="3"/>
      <c r="J1580" s="12"/>
    </row>
    <row r="1581" spans="1:10" x14ac:dyDescent="0.25">
      <c r="A1581" s="4"/>
      <c r="B1581" s="55"/>
      <c r="C1581" s="5"/>
      <c r="D1581" s="56"/>
      <c r="E1581" s="56"/>
      <c r="F1581" s="6"/>
      <c r="G1581" s="4"/>
      <c r="H1581" s="4"/>
      <c r="I1581" s="3"/>
      <c r="J1581" s="12"/>
    </row>
    <row r="1582" spans="1:10" x14ac:dyDescent="0.25">
      <c r="A1582" s="4"/>
      <c r="B1582" s="55"/>
      <c r="C1582" s="5"/>
      <c r="D1582" s="56"/>
      <c r="E1582" s="56"/>
      <c r="F1582" s="6"/>
      <c r="G1582" s="4"/>
      <c r="H1582" s="4"/>
      <c r="I1582" s="3"/>
      <c r="J1582" s="12"/>
    </row>
    <row r="1583" spans="1:10" x14ac:dyDescent="0.25">
      <c r="A1583" s="4"/>
      <c r="B1583" s="55"/>
      <c r="C1583" s="5"/>
      <c r="D1583" s="56"/>
      <c r="E1583" s="56"/>
      <c r="F1583" s="6"/>
      <c r="G1583" s="4"/>
      <c r="H1583" s="4"/>
      <c r="I1583" s="3"/>
      <c r="J1583" s="12"/>
    </row>
    <row r="1584" spans="1:10" x14ac:dyDescent="0.25">
      <c r="A1584" s="4"/>
      <c r="B1584" s="55"/>
      <c r="C1584" s="5"/>
      <c r="D1584" s="56"/>
      <c r="E1584" s="56"/>
      <c r="F1584" s="6"/>
      <c r="G1584" s="4"/>
      <c r="H1584" s="4"/>
      <c r="I1584" s="3"/>
      <c r="J1584" s="12"/>
    </row>
    <row r="1585" spans="1:10" x14ac:dyDescent="0.25">
      <c r="A1585" s="4"/>
      <c r="B1585" s="55"/>
      <c r="C1585" s="5"/>
      <c r="D1585" s="56"/>
      <c r="E1585" s="56"/>
      <c r="F1585" s="6"/>
      <c r="G1585" s="4"/>
      <c r="H1585" s="4"/>
      <c r="I1585" s="3"/>
      <c r="J1585" s="12"/>
    </row>
    <row r="1586" spans="1:10" x14ac:dyDescent="0.25">
      <c r="A1586" s="4"/>
      <c r="B1586" s="55"/>
      <c r="C1586" s="5"/>
      <c r="D1586" s="56"/>
      <c r="E1586" s="56"/>
      <c r="F1586" s="6"/>
      <c r="G1586" s="4"/>
      <c r="H1586" s="4"/>
      <c r="I1586" s="3"/>
      <c r="J1586" s="12"/>
    </row>
    <row r="1587" spans="1:10" x14ac:dyDescent="0.25">
      <c r="A1587" s="4"/>
      <c r="B1587" s="55"/>
      <c r="C1587" s="5"/>
      <c r="D1587" s="56"/>
      <c r="E1587" s="56"/>
      <c r="F1587" s="6"/>
      <c r="G1587" s="4"/>
      <c r="H1587" s="4"/>
      <c r="I1587" s="3"/>
      <c r="J1587" s="12"/>
    </row>
    <row r="1588" spans="1:10" x14ac:dyDescent="0.25">
      <c r="A1588" s="4"/>
      <c r="B1588" s="55"/>
      <c r="C1588" s="5"/>
      <c r="D1588" s="56"/>
      <c r="E1588" s="56"/>
      <c r="F1588" s="6"/>
      <c r="G1588" s="4"/>
      <c r="H1588" s="4"/>
      <c r="I1588" s="3"/>
      <c r="J1588" s="12"/>
    </row>
    <row r="1589" spans="1:10" x14ac:dyDescent="0.25">
      <c r="A1589" s="4"/>
      <c r="B1589" s="55"/>
      <c r="C1589" s="5"/>
      <c r="D1589" s="56"/>
      <c r="E1589" s="56"/>
      <c r="F1589" s="6"/>
      <c r="G1589" s="4"/>
      <c r="H1589" s="4"/>
      <c r="I1589" s="3"/>
      <c r="J1589" s="12"/>
    </row>
    <row r="1590" spans="1:10" x14ac:dyDescent="0.25">
      <c r="A1590" s="4"/>
      <c r="B1590" s="55"/>
      <c r="C1590" s="5"/>
      <c r="D1590" s="56"/>
      <c r="E1590" s="56"/>
      <c r="F1590" s="6"/>
      <c r="G1590" s="4"/>
      <c r="H1590" s="4"/>
      <c r="I1590" s="3"/>
      <c r="J1590" s="12"/>
    </row>
    <row r="1591" spans="1:10" x14ac:dyDescent="0.25">
      <c r="A1591" s="4"/>
      <c r="B1591" s="55"/>
      <c r="C1591" s="5"/>
      <c r="D1591" s="56"/>
      <c r="E1591" s="56"/>
      <c r="F1591" s="6"/>
      <c r="G1591" s="4"/>
      <c r="H1591" s="4"/>
      <c r="I1591" s="3"/>
      <c r="J1591" s="12"/>
    </row>
    <row r="1592" spans="1:10" x14ac:dyDescent="0.25">
      <c r="A1592" s="4"/>
      <c r="B1592" s="55"/>
      <c r="C1592" s="5"/>
      <c r="D1592" s="56"/>
      <c r="E1592" s="56"/>
      <c r="F1592" s="6"/>
      <c r="G1592" s="4"/>
      <c r="H1592" s="4"/>
      <c r="I1592" s="3"/>
      <c r="J1592" s="12"/>
    </row>
    <row r="1593" spans="1:10" x14ac:dyDescent="0.25">
      <c r="A1593" s="4"/>
      <c r="B1593" s="55"/>
      <c r="C1593" s="5"/>
      <c r="D1593" s="56"/>
      <c r="E1593" s="56"/>
      <c r="F1593" s="6"/>
      <c r="G1593" s="4"/>
      <c r="H1593" s="4"/>
      <c r="I1593" s="3"/>
      <c r="J1593" s="12"/>
    </row>
    <row r="1594" spans="1:10" x14ac:dyDescent="0.25">
      <c r="A1594" s="4"/>
      <c r="B1594" s="55"/>
      <c r="C1594" s="5"/>
      <c r="D1594" s="56"/>
      <c r="E1594" s="56"/>
      <c r="F1594" s="6"/>
      <c r="G1594" s="4"/>
      <c r="H1594" s="4"/>
      <c r="I1594" s="3"/>
      <c r="J1594" s="12"/>
    </row>
    <row r="1595" spans="1:10" x14ac:dyDescent="0.25">
      <c r="A1595" s="4"/>
      <c r="B1595" s="55"/>
      <c r="C1595" s="5"/>
      <c r="D1595" s="56"/>
      <c r="E1595" s="56"/>
      <c r="F1595" s="6"/>
      <c r="G1595" s="4"/>
      <c r="H1595" s="4"/>
      <c r="I1595" s="3"/>
      <c r="J1595" s="12"/>
    </row>
    <row r="1596" spans="1:10" x14ac:dyDescent="0.25">
      <c r="A1596" s="4"/>
      <c r="B1596" s="55"/>
      <c r="C1596" s="5"/>
      <c r="D1596" s="56"/>
      <c r="E1596" s="56"/>
      <c r="F1596" s="6"/>
      <c r="G1596" s="4"/>
      <c r="H1596" s="4"/>
      <c r="I1596" s="3"/>
      <c r="J1596" s="12"/>
    </row>
    <row r="1597" spans="1:10" x14ac:dyDescent="0.25">
      <c r="A1597" s="4"/>
      <c r="B1597" s="55"/>
      <c r="C1597" s="5"/>
      <c r="D1597" s="56"/>
      <c r="E1597" s="56"/>
      <c r="F1597" s="6"/>
      <c r="G1597" s="4"/>
      <c r="H1597" s="4"/>
      <c r="I1597" s="3"/>
      <c r="J1597" s="12"/>
    </row>
    <row r="1598" spans="1:10" x14ac:dyDescent="0.25">
      <c r="A1598" s="4"/>
      <c r="B1598" s="55"/>
      <c r="C1598" s="5"/>
      <c r="D1598" s="56"/>
      <c r="E1598" s="56"/>
      <c r="F1598" s="6"/>
      <c r="G1598" s="4"/>
      <c r="H1598" s="4"/>
      <c r="I1598" s="3"/>
      <c r="J1598" s="12"/>
    </row>
    <row r="1599" spans="1:10" x14ac:dyDescent="0.25">
      <c r="A1599" s="4"/>
      <c r="B1599" s="55"/>
      <c r="C1599" s="5"/>
      <c r="D1599" s="56"/>
      <c r="E1599" s="56"/>
      <c r="F1599" s="6"/>
      <c r="G1599" s="4"/>
      <c r="H1599" s="4"/>
      <c r="I1599" s="3"/>
      <c r="J1599" s="12"/>
    </row>
    <row r="1600" spans="1:10" x14ac:dyDescent="0.25">
      <c r="A1600" s="4"/>
      <c r="B1600" s="55"/>
      <c r="C1600" s="5"/>
      <c r="D1600" s="56"/>
      <c r="E1600" s="56"/>
      <c r="F1600" s="6"/>
      <c r="G1600" s="4"/>
      <c r="H1600" s="4"/>
      <c r="I1600" s="3"/>
      <c r="J1600" s="12"/>
    </row>
    <row r="1601" spans="1:10" x14ac:dyDescent="0.25">
      <c r="A1601" s="4"/>
      <c r="B1601" s="55"/>
      <c r="C1601" s="5"/>
      <c r="D1601" s="56"/>
      <c r="E1601" s="56"/>
      <c r="F1601" s="6"/>
      <c r="G1601" s="4"/>
      <c r="H1601" s="4"/>
      <c r="I1601" s="3"/>
      <c r="J1601" s="12"/>
    </row>
    <row r="1602" spans="1:10" x14ac:dyDescent="0.25">
      <c r="A1602" s="4"/>
      <c r="B1602" s="55"/>
      <c r="C1602" s="5"/>
      <c r="D1602" s="56"/>
      <c r="E1602" s="56"/>
      <c r="F1602" s="6"/>
      <c r="G1602" s="4"/>
      <c r="H1602" s="4"/>
      <c r="I1602" s="3"/>
      <c r="J1602" s="12"/>
    </row>
    <row r="1603" spans="1:10" x14ac:dyDescent="0.25">
      <c r="A1603" s="4"/>
      <c r="B1603" s="55"/>
      <c r="C1603" s="5"/>
      <c r="D1603" s="56"/>
      <c r="E1603" s="56"/>
      <c r="F1603" s="6"/>
      <c r="G1603" s="4"/>
      <c r="H1603" s="4"/>
      <c r="I1603" s="3"/>
      <c r="J1603" s="12"/>
    </row>
    <row r="1604" spans="1:10" x14ac:dyDescent="0.25">
      <c r="A1604" s="4"/>
      <c r="B1604" s="55"/>
      <c r="C1604" s="5"/>
      <c r="D1604" s="56"/>
      <c r="E1604" s="56"/>
      <c r="F1604" s="6"/>
      <c r="G1604" s="4"/>
      <c r="H1604" s="4"/>
      <c r="I1604" s="3"/>
      <c r="J1604" s="12"/>
    </row>
    <row r="1605" spans="1:10" x14ac:dyDescent="0.25">
      <c r="A1605" s="4"/>
      <c r="B1605" s="55"/>
      <c r="C1605" s="5"/>
      <c r="D1605" s="56"/>
      <c r="E1605" s="56"/>
      <c r="F1605" s="6"/>
      <c r="G1605" s="4"/>
      <c r="H1605" s="4"/>
      <c r="I1605" s="3"/>
      <c r="J1605" s="12"/>
    </row>
    <row r="1606" spans="1:10" x14ac:dyDescent="0.25">
      <c r="A1606" s="4"/>
      <c r="B1606" s="55"/>
      <c r="C1606" s="5"/>
      <c r="D1606" s="56"/>
      <c r="E1606" s="56"/>
      <c r="F1606" s="6"/>
      <c r="G1606" s="4"/>
      <c r="H1606" s="4"/>
      <c r="I1606" s="3"/>
      <c r="J1606" s="12"/>
    </row>
    <row r="1607" spans="1:10" x14ac:dyDescent="0.25">
      <c r="A1607" s="4"/>
      <c r="B1607" s="55"/>
      <c r="C1607" s="5"/>
      <c r="D1607" s="56"/>
      <c r="E1607" s="56"/>
      <c r="F1607" s="6"/>
      <c r="G1607" s="4"/>
      <c r="H1607" s="4"/>
      <c r="I1607" s="3"/>
      <c r="J1607" s="12"/>
    </row>
    <row r="1608" spans="1:10" x14ac:dyDescent="0.25">
      <c r="A1608" s="4"/>
      <c r="B1608" s="55"/>
      <c r="C1608" s="5"/>
      <c r="D1608" s="56"/>
      <c r="E1608" s="56"/>
      <c r="F1608" s="6"/>
      <c r="G1608" s="4"/>
      <c r="H1608" s="4"/>
      <c r="I1608" s="3"/>
      <c r="J1608" s="12"/>
    </row>
    <row r="1609" spans="1:10" x14ac:dyDescent="0.25">
      <c r="A1609" s="4"/>
      <c r="B1609" s="55"/>
      <c r="C1609" s="5"/>
      <c r="D1609" s="56"/>
      <c r="E1609" s="56"/>
      <c r="F1609" s="6"/>
      <c r="G1609" s="4"/>
      <c r="H1609" s="4"/>
      <c r="I1609" s="3"/>
      <c r="J1609" s="12"/>
    </row>
    <row r="1610" spans="1:10" x14ac:dyDescent="0.25">
      <c r="A1610" s="4"/>
      <c r="B1610" s="55"/>
      <c r="C1610" s="5"/>
      <c r="D1610" s="56"/>
      <c r="E1610" s="56"/>
      <c r="F1610" s="6"/>
      <c r="G1610" s="4"/>
      <c r="H1610" s="4"/>
      <c r="I1610" s="3"/>
      <c r="J1610" s="12"/>
    </row>
    <row r="1611" spans="1:10" x14ac:dyDescent="0.25">
      <c r="A1611" s="4"/>
      <c r="B1611" s="55"/>
      <c r="C1611" s="5"/>
      <c r="D1611" s="56"/>
      <c r="E1611" s="56"/>
      <c r="F1611" s="6"/>
      <c r="G1611" s="4"/>
      <c r="H1611" s="4"/>
      <c r="I1611" s="3"/>
      <c r="J1611" s="12"/>
    </row>
    <row r="1612" spans="1:10" x14ac:dyDescent="0.25">
      <c r="A1612" s="4"/>
      <c r="B1612" s="55"/>
      <c r="C1612" s="5"/>
      <c r="D1612" s="56"/>
      <c r="E1612" s="56"/>
      <c r="F1612" s="6"/>
      <c r="G1612" s="4"/>
      <c r="H1612" s="4"/>
      <c r="I1612" s="3"/>
      <c r="J1612" s="12"/>
    </row>
    <row r="1613" spans="1:10" x14ac:dyDescent="0.25">
      <c r="A1613" s="4"/>
      <c r="B1613" s="55"/>
      <c r="C1613" s="5"/>
      <c r="D1613" s="56"/>
      <c r="E1613" s="56"/>
      <c r="F1613" s="6"/>
      <c r="G1613" s="4"/>
      <c r="H1613" s="4"/>
      <c r="I1613" s="3"/>
      <c r="J1613" s="12"/>
    </row>
    <row r="1614" spans="1:10" x14ac:dyDescent="0.25">
      <c r="A1614" s="4"/>
      <c r="B1614" s="55"/>
      <c r="C1614" s="5"/>
      <c r="D1614" s="56"/>
      <c r="E1614" s="56"/>
      <c r="F1614" s="6"/>
      <c r="G1614" s="4"/>
      <c r="H1614" s="4"/>
      <c r="I1614" s="3"/>
      <c r="J1614" s="12"/>
    </row>
    <row r="1615" spans="1:10" x14ac:dyDescent="0.25">
      <c r="A1615" s="4"/>
      <c r="B1615" s="55"/>
      <c r="C1615" s="5"/>
      <c r="D1615" s="56"/>
      <c r="E1615" s="56"/>
      <c r="F1615" s="6"/>
      <c r="G1615" s="4"/>
      <c r="H1615" s="4"/>
      <c r="I1615" s="3"/>
      <c r="J1615" s="12"/>
    </row>
    <row r="1616" spans="1:10" x14ac:dyDescent="0.25">
      <c r="A1616" s="4"/>
      <c r="B1616" s="55"/>
      <c r="C1616" s="5"/>
      <c r="D1616" s="56"/>
      <c r="E1616" s="56"/>
      <c r="F1616" s="6"/>
      <c r="G1616" s="4"/>
      <c r="H1616" s="4"/>
      <c r="I1616" s="3"/>
      <c r="J1616" s="12"/>
    </row>
    <row r="1617" spans="1:10" x14ac:dyDescent="0.25">
      <c r="A1617" s="4"/>
      <c r="B1617" s="55"/>
      <c r="C1617" s="5"/>
      <c r="D1617" s="56"/>
      <c r="E1617" s="56"/>
      <c r="F1617" s="6"/>
      <c r="G1617" s="4"/>
      <c r="H1617" s="4"/>
      <c r="I1617" s="3"/>
      <c r="J1617" s="12"/>
    </row>
    <row r="1618" spans="1:10" x14ac:dyDescent="0.25">
      <c r="A1618" s="4"/>
      <c r="B1618" s="55"/>
      <c r="C1618" s="5"/>
      <c r="D1618" s="56"/>
      <c r="E1618" s="56"/>
      <c r="F1618" s="6"/>
      <c r="G1618" s="4"/>
      <c r="H1618" s="4"/>
      <c r="I1618" s="3"/>
      <c r="J1618" s="12"/>
    </row>
    <row r="1619" spans="1:10" x14ac:dyDescent="0.25">
      <c r="A1619" s="4"/>
      <c r="B1619" s="55"/>
      <c r="C1619" s="5"/>
      <c r="D1619" s="56"/>
      <c r="E1619" s="56"/>
      <c r="F1619" s="6"/>
      <c r="G1619" s="4"/>
      <c r="H1619" s="4"/>
      <c r="I1619" s="3"/>
      <c r="J1619" s="12"/>
    </row>
    <row r="1620" spans="1:10" x14ac:dyDescent="0.25">
      <c r="A1620" s="4"/>
      <c r="B1620" s="55"/>
      <c r="C1620" s="5"/>
      <c r="D1620" s="56"/>
      <c r="E1620" s="56"/>
      <c r="F1620" s="6"/>
      <c r="G1620" s="4"/>
      <c r="H1620" s="4"/>
      <c r="I1620" s="3"/>
      <c r="J1620" s="12"/>
    </row>
    <row r="1621" spans="1:10" x14ac:dyDescent="0.25">
      <c r="A1621" s="4"/>
      <c r="B1621" s="55"/>
      <c r="C1621" s="5"/>
      <c r="D1621" s="56"/>
      <c r="E1621" s="56"/>
      <c r="F1621" s="6"/>
      <c r="G1621" s="4"/>
      <c r="H1621" s="4"/>
      <c r="I1621" s="3"/>
      <c r="J1621" s="12"/>
    </row>
    <row r="1622" spans="1:10" x14ac:dyDescent="0.25">
      <c r="A1622" s="4"/>
      <c r="B1622" s="55"/>
      <c r="C1622" s="5"/>
      <c r="D1622" s="56"/>
      <c r="E1622" s="56"/>
      <c r="F1622" s="6"/>
      <c r="G1622" s="4"/>
      <c r="H1622" s="4"/>
      <c r="I1622" s="3"/>
      <c r="J1622" s="12"/>
    </row>
    <row r="1623" spans="1:10" x14ac:dyDescent="0.25">
      <c r="A1623" s="4"/>
      <c r="B1623" s="55"/>
      <c r="C1623" s="5"/>
      <c r="D1623" s="56"/>
      <c r="E1623" s="56"/>
      <c r="F1623" s="6"/>
      <c r="G1623" s="4"/>
      <c r="H1623" s="4"/>
      <c r="I1623" s="3"/>
      <c r="J1623" s="12"/>
    </row>
    <row r="1624" spans="1:10" x14ac:dyDescent="0.25">
      <c r="A1624" s="4"/>
      <c r="B1624" s="55"/>
      <c r="C1624" s="5"/>
      <c r="D1624" s="56"/>
      <c r="E1624" s="56"/>
      <c r="F1624" s="6"/>
      <c r="G1624" s="4"/>
      <c r="H1624" s="4"/>
      <c r="I1624" s="3"/>
      <c r="J1624" s="12"/>
    </row>
    <row r="1625" spans="1:10" x14ac:dyDescent="0.25">
      <c r="A1625" s="4"/>
      <c r="B1625" s="55"/>
      <c r="C1625" s="5"/>
      <c r="D1625" s="56"/>
      <c r="E1625" s="56"/>
      <c r="F1625" s="6"/>
      <c r="G1625" s="4"/>
      <c r="H1625" s="4"/>
      <c r="I1625" s="3"/>
      <c r="J1625" s="12"/>
    </row>
    <row r="1626" spans="1:10" x14ac:dyDescent="0.25">
      <c r="A1626" s="4"/>
      <c r="B1626" s="55"/>
      <c r="C1626" s="5"/>
      <c r="D1626" s="56"/>
      <c r="E1626" s="56"/>
      <c r="F1626" s="6"/>
      <c r="G1626" s="4"/>
      <c r="H1626" s="4"/>
      <c r="I1626" s="3"/>
      <c r="J1626" s="12"/>
    </row>
    <row r="1627" spans="1:10" x14ac:dyDescent="0.25">
      <c r="A1627" s="4"/>
      <c r="B1627" s="55"/>
      <c r="C1627" s="5"/>
      <c r="D1627" s="56"/>
      <c r="E1627" s="56"/>
      <c r="F1627" s="6"/>
      <c r="G1627" s="4"/>
      <c r="H1627" s="4"/>
      <c r="I1627" s="3"/>
      <c r="J1627" s="12"/>
    </row>
    <row r="1628" spans="1:10" x14ac:dyDescent="0.25">
      <c r="A1628" s="4"/>
      <c r="B1628" s="55"/>
      <c r="C1628" s="5"/>
      <c r="D1628" s="56"/>
      <c r="E1628" s="56"/>
      <c r="F1628" s="6"/>
      <c r="G1628" s="4"/>
      <c r="H1628" s="4"/>
      <c r="I1628" s="3"/>
      <c r="J1628" s="12"/>
    </row>
    <row r="1629" spans="1:10" x14ac:dyDescent="0.25">
      <c r="A1629" s="4"/>
      <c r="B1629" s="55"/>
      <c r="C1629" s="5"/>
      <c r="D1629" s="56"/>
      <c r="E1629" s="56"/>
      <c r="F1629" s="6"/>
      <c r="G1629" s="4"/>
      <c r="H1629" s="4"/>
      <c r="I1629" s="3"/>
      <c r="J1629" s="12"/>
    </row>
    <row r="1630" spans="1:10" x14ac:dyDescent="0.25">
      <c r="A1630" s="4"/>
      <c r="B1630" s="55"/>
      <c r="C1630" s="5"/>
      <c r="D1630" s="56"/>
      <c r="E1630" s="56"/>
      <c r="F1630" s="6"/>
      <c r="G1630" s="4"/>
      <c r="H1630" s="4"/>
      <c r="I1630" s="3"/>
      <c r="J1630" s="12"/>
    </row>
    <row r="1631" spans="1:10" x14ac:dyDescent="0.25">
      <c r="A1631" s="4"/>
      <c r="B1631" s="55"/>
      <c r="C1631" s="5"/>
      <c r="D1631" s="56"/>
      <c r="E1631" s="56"/>
      <c r="F1631" s="6"/>
      <c r="G1631" s="4"/>
      <c r="H1631" s="4"/>
      <c r="I1631" s="3"/>
      <c r="J1631" s="12"/>
    </row>
    <row r="1632" spans="1:10" x14ac:dyDescent="0.25">
      <c r="A1632" s="4"/>
      <c r="B1632" s="55"/>
      <c r="C1632" s="5"/>
      <c r="D1632" s="56"/>
      <c r="E1632" s="56"/>
      <c r="F1632" s="6"/>
      <c r="G1632" s="4"/>
      <c r="H1632" s="4"/>
      <c r="I1632" s="3"/>
      <c r="J1632" s="12"/>
    </row>
    <row r="1633" spans="1:10" x14ac:dyDescent="0.25">
      <c r="A1633" s="4"/>
      <c r="B1633" s="55"/>
      <c r="C1633" s="5"/>
      <c r="D1633" s="56"/>
      <c r="E1633" s="56"/>
      <c r="F1633" s="6"/>
      <c r="G1633" s="4"/>
      <c r="H1633" s="4"/>
      <c r="I1633" s="3"/>
      <c r="J1633" s="12"/>
    </row>
    <row r="1634" spans="1:10" x14ac:dyDescent="0.25">
      <c r="A1634" s="4"/>
      <c r="B1634" s="55"/>
      <c r="C1634" s="5"/>
      <c r="D1634" s="56"/>
      <c r="E1634" s="56"/>
      <c r="F1634" s="6"/>
      <c r="G1634" s="4"/>
      <c r="H1634" s="4"/>
      <c r="I1634" s="3"/>
      <c r="J1634" s="12"/>
    </row>
    <row r="1635" spans="1:10" x14ac:dyDescent="0.25">
      <c r="A1635" s="4"/>
      <c r="B1635" s="55"/>
      <c r="C1635" s="5"/>
      <c r="D1635" s="56"/>
      <c r="E1635" s="56"/>
      <c r="F1635" s="6"/>
      <c r="G1635" s="4"/>
      <c r="H1635" s="4"/>
      <c r="I1635" s="3"/>
      <c r="J1635" s="12"/>
    </row>
    <row r="1636" spans="1:10" x14ac:dyDescent="0.25">
      <c r="A1636" s="4"/>
      <c r="B1636" s="55"/>
      <c r="C1636" s="5"/>
      <c r="D1636" s="56"/>
      <c r="E1636" s="56"/>
      <c r="F1636" s="6"/>
      <c r="G1636" s="4"/>
      <c r="H1636" s="4"/>
      <c r="I1636" s="3"/>
      <c r="J1636" s="12"/>
    </row>
    <row r="1637" spans="1:10" x14ac:dyDescent="0.25">
      <c r="A1637" s="4"/>
      <c r="B1637" s="55"/>
      <c r="C1637" s="5"/>
      <c r="D1637" s="56"/>
      <c r="E1637" s="56"/>
      <c r="F1637" s="6"/>
      <c r="G1637" s="4"/>
      <c r="H1637" s="4"/>
      <c r="I1637" s="3"/>
      <c r="J1637" s="12"/>
    </row>
    <row r="1638" spans="1:10" x14ac:dyDescent="0.25">
      <c r="A1638" s="4"/>
      <c r="B1638" s="55"/>
      <c r="C1638" s="5"/>
      <c r="D1638" s="56"/>
      <c r="E1638" s="56"/>
      <c r="F1638" s="6"/>
      <c r="G1638" s="4"/>
      <c r="H1638" s="4"/>
      <c r="I1638" s="3"/>
      <c r="J1638" s="12"/>
    </row>
    <row r="1639" spans="1:10" x14ac:dyDescent="0.25">
      <c r="A1639" s="4"/>
      <c r="B1639" s="55"/>
      <c r="C1639" s="5"/>
      <c r="D1639" s="56"/>
      <c r="E1639" s="56"/>
      <c r="F1639" s="6"/>
      <c r="G1639" s="4"/>
      <c r="H1639" s="4"/>
      <c r="I1639" s="3"/>
      <c r="J1639" s="12"/>
    </row>
    <row r="1640" spans="1:10" x14ac:dyDescent="0.25">
      <c r="A1640" s="4"/>
      <c r="B1640" s="55"/>
      <c r="C1640" s="5"/>
      <c r="D1640" s="56"/>
      <c r="E1640" s="56"/>
      <c r="F1640" s="6"/>
      <c r="G1640" s="4"/>
      <c r="H1640" s="4"/>
      <c r="I1640" s="3"/>
      <c r="J1640" s="12"/>
    </row>
    <row r="1641" spans="1:10" x14ac:dyDescent="0.25">
      <c r="A1641" s="4"/>
      <c r="B1641" s="55"/>
      <c r="C1641" s="5"/>
      <c r="D1641" s="56"/>
      <c r="E1641" s="56"/>
      <c r="F1641" s="6"/>
      <c r="G1641" s="4"/>
      <c r="H1641" s="4"/>
      <c r="I1641" s="3"/>
      <c r="J1641" s="12"/>
    </row>
    <row r="1642" spans="1:10" x14ac:dyDescent="0.25">
      <c r="A1642" s="4"/>
      <c r="B1642" s="55"/>
      <c r="C1642" s="5"/>
      <c r="D1642" s="56"/>
      <c r="E1642" s="56"/>
      <c r="F1642" s="6"/>
      <c r="G1642" s="4"/>
      <c r="H1642" s="4"/>
      <c r="I1642" s="3"/>
      <c r="J1642" s="12"/>
    </row>
    <row r="1643" spans="1:10" x14ac:dyDescent="0.25">
      <c r="A1643" s="4"/>
      <c r="B1643" s="55"/>
      <c r="C1643" s="5"/>
      <c r="D1643" s="56"/>
      <c r="E1643" s="56"/>
      <c r="F1643" s="6"/>
      <c r="G1643" s="4"/>
      <c r="H1643" s="4"/>
      <c r="I1643" s="3"/>
      <c r="J1643" s="12"/>
    </row>
    <row r="1644" spans="1:10" x14ac:dyDescent="0.25">
      <c r="A1644" s="4"/>
      <c r="B1644" s="55"/>
      <c r="C1644" s="5"/>
      <c r="D1644" s="56"/>
      <c r="E1644" s="56"/>
      <c r="F1644" s="6"/>
      <c r="G1644" s="4"/>
      <c r="H1644" s="4"/>
      <c r="I1644" s="3"/>
      <c r="J1644" s="12"/>
    </row>
    <row r="1645" spans="1:10" x14ac:dyDescent="0.25">
      <c r="A1645" s="4"/>
      <c r="B1645" s="55"/>
      <c r="C1645" s="5"/>
      <c r="D1645" s="56"/>
      <c r="E1645" s="56"/>
      <c r="F1645" s="6"/>
      <c r="G1645" s="4"/>
      <c r="H1645" s="4"/>
      <c r="I1645" s="3"/>
      <c r="J1645" s="12"/>
    </row>
    <row r="1646" spans="1:10" x14ac:dyDescent="0.25">
      <c r="A1646" s="4"/>
      <c r="B1646" s="55"/>
      <c r="C1646" s="5"/>
      <c r="D1646" s="56"/>
      <c r="E1646" s="56"/>
      <c r="F1646" s="6"/>
      <c r="G1646" s="4"/>
      <c r="H1646" s="4"/>
      <c r="I1646" s="3"/>
      <c r="J1646" s="12"/>
    </row>
    <row r="1647" spans="1:10" x14ac:dyDescent="0.25">
      <c r="A1647" s="4"/>
      <c r="B1647" s="55"/>
      <c r="C1647" s="5"/>
      <c r="D1647" s="56"/>
      <c r="E1647" s="56"/>
      <c r="F1647" s="6"/>
      <c r="G1647" s="4"/>
      <c r="H1647" s="4"/>
      <c r="I1647" s="3"/>
      <c r="J1647" s="12"/>
    </row>
    <row r="1648" spans="1:10" x14ac:dyDescent="0.25">
      <c r="A1648" s="4"/>
      <c r="B1648" s="55"/>
      <c r="C1648" s="5"/>
      <c r="D1648" s="56"/>
      <c r="E1648" s="56"/>
      <c r="F1648" s="6"/>
      <c r="G1648" s="4"/>
      <c r="H1648" s="4"/>
      <c r="I1648" s="3"/>
      <c r="J1648" s="12"/>
    </row>
    <row r="1649" spans="1:10" x14ac:dyDescent="0.25">
      <c r="A1649" s="4"/>
      <c r="B1649" s="55"/>
      <c r="C1649" s="5"/>
      <c r="D1649" s="56"/>
      <c r="E1649" s="56"/>
      <c r="F1649" s="6"/>
      <c r="G1649" s="4"/>
      <c r="H1649" s="4"/>
      <c r="I1649" s="3"/>
      <c r="J1649" s="12"/>
    </row>
    <row r="1650" spans="1:10" x14ac:dyDescent="0.25">
      <c r="A1650" s="4"/>
      <c r="B1650" s="55"/>
      <c r="C1650" s="5"/>
      <c r="D1650" s="56"/>
      <c r="E1650" s="56"/>
      <c r="F1650" s="6"/>
      <c r="G1650" s="4"/>
      <c r="H1650" s="4"/>
      <c r="I1650" s="3"/>
      <c r="J1650" s="12"/>
    </row>
    <row r="1651" spans="1:10" x14ac:dyDescent="0.25">
      <c r="A1651" s="4"/>
      <c r="B1651" s="55"/>
      <c r="C1651" s="5"/>
      <c r="D1651" s="56"/>
      <c r="E1651" s="56"/>
      <c r="F1651" s="6"/>
      <c r="G1651" s="4"/>
      <c r="H1651" s="4"/>
      <c r="I1651" s="3"/>
      <c r="J1651" s="12"/>
    </row>
    <row r="1652" spans="1:10" x14ac:dyDescent="0.25">
      <c r="A1652" s="4"/>
      <c r="B1652" s="55"/>
      <c r="C1652" s="5"/>
      <c r="D1652" s="56"/>
      <c r="E1652" s="56"/>
      <c r="F1652" s="6"/>
      <c r="G1652" s="4"/>
      <c r="H1652" s="4"/>
      <c r="I1652" s="3"/>
      <c r="J1652" s="12"/>
    </row>
    <row r="1653" spans="1:10" x14ac:dyDescent="0.25">
      <c r="A1653" s="4"/>
      <c r="B1653" s="55"/>
      <c r="C1653" s="5"/>
      <c r="D1653" s="56"/>
      <c r="E1653" s="56"/>
      <c r="F1653" s="6"/>
      <c r="G1653" s="4"/>
      <c r="H1653" s="4"/>
      <c r="I1653" s="3"/>
      <c r="J1653" s="12"/>
    </row>
    <row r="1654" spans="1:10" x14ac:dyDescent="0.25">
      <c r="A1654" s="4"/>
      <c r="B1654" s="55"/>
      <c r="C1654" s="5"/>
      <c r="D1654" s="56"/>
      <c r="E1654" s="56"/>
      <c r="F1654" s="6"/>
      <c r="G1654" s="4"/>
      <c r="H1654" s="4"/>
      <c r="I1654" s="3"/>
      <c r="J1654" s="12"/>
    </row>
    <row r="1655" spans="1:10" x14ac:dyDescent="0.25">
      <c r="A1655" s="4"/>
      <c r="B1655" s="55"/>
      <c r="C1655" s="5"/>
      <c r="D1655" s="56"/>
      <c r="E1655" s="56"/>
      <c r="F1655" s="6"/>
      <c r="G1655" s="4"/>
      <c r="H1655" s="4"/>
      <c r="I1655" s="3"/>
      <c r="J1655" s="12"/>
    </row>
    <row r="1656" spans="1:10" x14ac:dyDescent="0.25">
      <c r="A1656" s="4"/>
      <c r="B1656" s="55"/>
      <c r="C1656" s="5"/>
      <c r="D1656" s="56"/>
      <c r="E1656" s="56"/>
      <c r="F1656" s="6"/>
      <c r="G1656" s="4"/>
      <c r="H1656" s="4"/>
      <c r="I1656" s="3"/>
      <c r="J1656" s="12"/>
    </row>
    <row r="1657" spans="1:10" x14ac:dyDescent="0.25">
      <c r="A1657" s="4"/>
      <c r="B1657" s="55"/>
      <c r="C1657" s="5"/>
      <c r="D1657" s="56"/>
      <c r="E1657" s="56"/>
      <c r="F1657" s="6"/>
      <c r="G1657" s="4"/>
      <c r="H1657" s="4"/>
      <c r="I1657" s="3"/>
      <c r="J1657" s="12"/>
    </row>
    <row r="1658" spans="1:10" x14ac:dyDescent="0.25">
      <c r="A1658" s="4"/>
      <c r="B1658" s="55"/>
      <c r="C1658" s="5"/>
      <c r="D1658" s="56"/>
      <c r="E1658" s="56"/>
      <c r="F1658" s="6"/>
      <c r="G1658" s="4"/>
      <c r="H1658" s="4"/>
      <c r="I1658" s="3"/>
      <c r="J1658" s="12"/>
    </row>
    <row r="1659" spans="1:10" x14ac:dyDescent="0.25">
      <c r="A1659" s="4"/>
      <c r="B1659" s="55"/>
      <c r="C1659" s="5"/>
      <c r="D1659" s="56"/>
      <c r="E1659" s="56"/>
      <c r="F1659" s="6"/>
      <c r="G1659" s="4"/>
      <c r="H1659" s="4"/>
      <c r="I1659" s="3"/>
      <c r="J1659" s="12"/>
    </row>
    <row r="1660" spans="1:10" x14ac:dyDescent="0.25">
      <c r="A1660" s="4"/>
      <c r="B1660" s="55"/>
      <c r="C1660" s="5"/>
      <c r="D1660" s="56"/>
      <c r="E1660" s="56"/>
      <c r="F1660" s="6"/>
      <c r="G1660" s="4"/>
      <c r="H1660" s="4"/>
      <c r="I1660" s="3"/>
      <c r="J1660" s="12"/>
    </row>
    <row r="1661" spans="1:10" x14ac:dyDescent="0.25">
      <c r="A1661" s="4"/>
      <c r="B1661" s="55"/>
      <c r="C1661" s="5"/>
      <c r="D1661" s="56"/>
      <c r="E1661" s="56"/>
      <c r="F1661" s="6"/>
      <c r="G1661" s="4"/>
      <c r="H1661" s="4"/>
      <c r="I1661" s="3"/>
      <c r="J1661" s="12"/>
    </row>
    <row r="1662" spans="1:10" x14ac:dyDescent="0.25">
      <c r="A1662" s="4"/>
      <c r="B1662" s="55"/>
      <c r="C1662" s="5"/>
      <c r="D1662" s="56"/>
      <c r="E1662" s="56"/>
      <c r="F1662" s="6"/>
      <c r="G1662" s="4"/>
      <c r="H1662" s="4"/>
      <c r="I1662" s="3"/>
      <c r="J1662" s="12"/>
    </row>
    <row r="1663" spans="1:10" x14ac:dyDescent="0.25">
      <c r="A1663" s="4"/>
      <c r="B1663" s="55"/>
      <c r="C1663" s="5"/>
      <c r="D1663" s="56"/>
      <c r="E1663" s="56"/>
      <c r="F1663" s="6"/>
      <c r="G1663" s="4"/>
      <c r="H1663" s="4"/>
      <c r="I1663" s="3"/>
      <c r="J1663" s="12"/>
    </row>
    <row r="1664" spans="1:10" x14ac:dyDescent="0.25">
      <c r="A1664" s="4"/>
      <c r="B1664" s="55"/>
      <c r="C1664" s="5"/>
      <c r="D1664" s="56"/>
      <c r="E1664" s="56"/>
      <c r="F1664" s="6"/>
      <c r="G1664" s="4"/>
      <c r="H1664" s="4"/>
      <c r="I1664" s="3"/>
      <c r="J1664" s="12"/>
    </row>
    <row r="1665" spans="1:10" x14ac:dyDescent="0.25">
      <c r="A1665" s="4"/>
      <c r="B1665" s="55"/>
      <c r="C1665" s="5"/>
      <c r="D1665" s="56"/>
      <c r="E1665" s="56"/>
      <c r="F1665" s="6"/>
      <c r="G1665" s="4"/>
      <c r="H1665" s="4"/>
      <c r="I1665" s="3"/>
      <c r="J1665" s="12"/>
    </row>
    <row r="1666" spans="1:10" x14ac:dyDescent="0.25">
      <c r="A1666" s="4"/>
      <c r="B1666" s="55"/>
      <c r="C1666" s="5"/>
      <c r="D1666" s="56"/>
      <c r="E1666" s="56"/>
      <c r="F1666" s="6"/>
      <c r="G1666" s="4"/>
      <c r="H1666" s="4"/>
      <c r="I1666" s="3"/>
      <c r="J1666" s="12"/>
    </row>
    <row r="1667" spans="1:10" x14ac:dyDescent="0.25">
      <c r="A1667" s="4"/>
      <c r="B1667" s="55"/>
      <c r="C1667" s="5"/>
      <c r="D1667" s="56"/>
      <c r="E1667" s="56"/>
      <c r="F1667" s="6"/>
      <c r="G1667" s="4"/>
      <c r="H1667" s="4"/>
      <c r="I1667" s="3"/>
      <c r="J1667" s="12"/>
    </row>
    <row r="1668" spans="1:10" x14ac:dyDescent="0.25">
      <c r="A1668" s="4"/>
      <c r="B1668" s="55"/>
      <c r="C1668" s="5"/>
      <c r="D1668" s="56"/>
      <c r="E1668" s="56"/>
      <c r="F1668" s="6"/>
      <c r="G1668" s="4"/>
      <c r="H1668" s="4"/>
      <c r="I1668" s="3"/>
      <c r="J1668" s="12"/>
    </row>
    <row r="1669" spans="1:10" x14ac:dyDescent="0.25">
      <c r="A1669" s="4"/>
      <c r="B1669" s="55"/>
      <c r="C1669" s="5"/>
      <c r="D1669" s="56"/>
      <c r="E1669" s="56"/>
      <c r="F1669" s="6"/>
      <c r="G1669" s="4"/>
      <c r="H1669" s="4"/>
      <c r="I1669" s="3"/>
      <c r="J1669" s="12"/>
    </row>
    <row r="1670" spans="1:10" x14ac:dyDescent="0.25">
      <c r="A1670" s="4"/>
      <c r="B1670" s="55"/>
      <c r="C1670" s="5"/>
      <c r="D1670" s="56"/>
      <c r="E1670" s="56"/>
      <c r="F1670" s="6"/>
      <c r="G1670" s="4"/>
      <c r="H1670" s="4"/>
      <c r="I1670" s="3"/>
      <c r="J1670" s="12"/>
    </row>
    <row r="1671" spans="1:10" x14ac:dyDescent="0.25">
      <c r="A1671" s="4"/>
      <c r="B1671" s="55"/>
      <c r="C1671" s="5"/>
      <c r="D1671" s="56"/>
      <c r="E1671" s="56"/>
      <c r="F1671" s="6"/>
      <c r="G1671" s="4"/>
      <c r="H1671" s="4"/>
      <c r="I1671" s="3"/>
      <c r="J1671" s="12"/>
    </row>
    <row r="1672" spans="1:10" x14ac:dyDescent="0.25">
      <c r="A1672" s="4"/>
      <c r="B1672" s="55"/>
      <c r="C1672" s="5"/>
      <c r="D1672" s="56"/>
      <c r="E1672" s="56"/>
      <c r="F1672" s="6"/>
      <c r="G1672" s="4"/>
      <c r="H1672" s="4"/>
      <c r="I1672" s="3"/>
      <c r="J1672" s="12"/>
    </row>
    <row r="1673" spans="1:10" x14ac:dyDescent="0.25">
      <c r="A1673" s="4"/>
      <c r="B1673" s="55"/>
      <c r="C1673" s="5"/>
      <c r="D1673" s="56"/>
      <c r="E1673" s="56"/>
      <c r="F1673" s="6"/>
      <c r="G1673" s="4"/>
      <c r="H1673" s="4"/>
      <c r="I1673" s="3"/>
      <c r="J1673" s="12"/>
    </row>
    <row r="1674" spans="1:10" x14ac:dyDescent="0.25">
      <c r="A1674" s="4"/>
      <c r="B1674" s="55"/>
      <c r="C1674" s="5"/>
      <c r="D1674" s="56"/>
      <c r="E1674" s="56"/>
      <c r="F1674" s="6"/>
      <c r="G1674" s="4"/>
      <c r="H1674" s="4"/>
      <c r="I1674" s="3"/>
      <c r="J1674" s="12"/>
    </row>
    <row r="1675" spans="1:10" x14ac:dyDescent="0.25">
      <c r="A1675" s="4"/>
      <c r="B1675" s="55"/>
      <c r="C1675" s="5"/>
      <c r="D1675" s="56"/>
      <c r="E1675" s="56"/>
      <c r="F1675" s="6"/>
      <c r="G1675" s="4"/>
      <c r="H1675" s="4"/>
      <c r="I1675" s="3"/>
      <c r="J1675" s="12"/>
    </row>
    <row r="1676" spans="1:10" x14ac:dyDescent="0.25">
      <c r="A1676" s="4"/>
      <c r="B1676" s="55"/>
      <c r="C1676" s="5"/>
      <c r="D1676" s="56"/>
      <c r="E1676" s="56"/>
      <c r="F1676" s="6"/>
      <c r="G1676" s="4"/>
      <c r="H1676" s="4"/>
      <c r="I1676" s="3"/>
      <c r="J1676" s="12"/>
    </row>
    <row r="1677" spans="1:10" x14ac:dyDescent="0.25">
      <c r="A1677" s="4"/>
      <c r="B1677" s="55"/>
      <c r="C1677" s="5"/>
      <c r="D1677" s="56"/>
      <c r="E1677" s="56"/>
      <c r="F1677" s="6"/>
      <c r="G1677" s="4"/>
      <c r="H1677" s="4"/>
      <c r="I1677" s="3"/>
      <c r="J1677" s="12"/>
    </row>
    <row r="1678" spans="1:10" x14ac:dyDescent="0.25">
      <c r="A1678" s="4"/>
      <c r="B1678" s="55"/>
      <c r="C1678" s="5"/>
      <c r="D1678" s="56"/>
      <c r="E1678" s="56"/>
      <c r="F1678" s="6"/>
      <c r="G1678" s="4"/>
      <c r="H1678" s="4"/>
      <c r="I1678" s="3"/>
      <c r="J1678" s="12"/>
    </row>
    <row r="1679" spans="1:10" x14ac:dyDescent="0.25">
      <c r="A1679" s="4"/>
      <c r="B1679" s="55"/>
      <c r="C1679" s="5"/>
      <c r="D1679" s="56"/>
      <c r="E1679" s="56"/>
      <c r="F1679" s="6"/>
      <c r="G1679" s="4"/>
      <c r="H1679" s="4"/>
      <c r="I1679" s="3"/>
      <c r="J1679" s="12"/>
    </row>
    <row r="1680" spans="1:10" x14ac:dyDescent="0.25">
      <c r="A1680" s="4"/>
      <c r="B1680" s="55"/>
      <c r="C1680" s="5"/>
      <c r="D1680" s="56"/>
      <c r="E1680" s="56"/>
      <c r="F1680" s="6"/>
      <c r="G1680" s="4"/>
      <c r="H1680" s="4"/>
      <c r="I1680" s="3"/>
      <c r="J1680" s="12"/>
    </row>
    <row r="1681" spans="1:10" x14ac:dyDescent="0.25">
      <c r="A1681" s="4"/>
      <c r="B1681" s="55"/>
      <c r="C1681" s="5"/>
      <c r="D1681" s="56"/>
      <c r="E1681" s="56"/>
      <c r="F1681" s="6"/>
      <c r="G1681" s="4"/>
      <c r="H1681" s="4"/>
      <c r="I1681" s="3"/>
      <c r="J1681" s="12"/>
    </row>
    <row r="1682" spans="1:10" x14ac:dyDescent="0.25">
      <c r="A1682" s="4"/>
      <c r="B1682" s="55"/>
      <c r="C1682" s="5"/>
      <c r="D1682" s="56"/>
      <c r="E1682" s="56"/>
      <c r="F1682" s="6"/>
      <c r="G1682" s="4"/>
      <c r="H1682" s="4"/>
      <c r="I1682" s="3"/>
      <c r="J1682" s="12"/>
    </row>
    <row r="1683" spans="1:10" x14ac:dyDescent="0.25">
      <c r="A1683" s="4"/>
      <c r="B1683" s="55"/>
      <c r="C1683" s="5"/>
      <c r="D1683" s="56"/>
      <c r="E1683" s="56"/>
      <c r="F1683" s="6"/>
      <c r="G1683" s="4"/>
      <c r="H1683" s="4"/>
      <c r="I1683" s="3"/>
      <c r="J1683" s="12"/>
    </row>
    <row r="1684" spans="1:10" x14ac:dyDescent="0.25">
      <c r="A1684" s="4"/>
      <c r="B1684" s="55"/>
      <c r="C1684" s="5"/>
      <c r="D1684" s="56"/>
      <c r="E1684" s="56"/>
      <c r="F1684" s="6"/>
      <c r="G1684" s="4"/>
      <c r="H1684" s="4"/>
      <c r="I1684" s="3"/>
      <c r="J1684" s="12"/>
    </row>
    <row r="1685" spans="1:10" x14ac:dyDescent="0.25">
      <c r="A1685" s="4"/>
      <c r="B1685" s="55"/>
      <c r="C1685" s="5"/>
      <c r="D1685" s="56"/>
      <c r="E1685" s="56"/>
      <c r="F1685" s="6"/>
      <c r="G1685" s="4"/>
      <c r="H1685" s="4"/>
      <c r="I1685" s="3"/>
      <c r="J1685" s="12"/>
    </row>
    <row r="1686" spans="1:10" x14ac:dyDescent="0.25">
      <c r="A1686" s="4"/>
      <c r="B1686" s="55"/>
      <c r="C1686" s="5"/>
      <c r="D1686" s="56"/>
      <c r="E1686" s="56"/>
      <c r="F1686" s="6"/>
      <c r="G1686" s="4"/>
      <c r="H1686" s="4"/>
      <c r="I1686" s="3"/>
      <c r="J1686" s="12"/>
    </row>
    <row r="1687" spans="1:10" x14ac:dyDescent="0.25">
      <c r="A1687" s="4"/>
      <c r="B1687" s="55"/>
      <c r="C1687" s="5"/>
      <c r="D1687" s="56"/>
      <c r="E1687" s="56"/>
      <c r="F1687" s="6"/>
      <c r="G1687" s="4"/>
      <c r="H1687" s="4"/>
      <c r="I1687" s="3"/>
      <c r="J1687" s="12"/>
    </row>
    <row r="1688" spans="1:10" x14ac:dyDescent="0.25">
      <c r="A1688" s="4"/>
      <c r="B1688" s="55"/>
      <c r="C1688" s="5"/>
      <c r="D1688" s="56"/>
      <c r="E1688" s="56"/>
      <c r="F1688" s="6"/>
      <c r="G1688" s="4"/>
      <c r="H1688" s="4"/>
      <c r="I1688" s="3"/>
      <c r="J1688" s="12"/>
    </row>
    <row r="1689" spans="1:10" x14ac:dyDescent="0.25">
      <c r="A1689" s="4"/>
      <c r="B1689" s="55"/>
      <c r="C1689" s="5"/>
      <c r="D1689" s="56"/>
      <c r="E1689" s="56"/>
      <c r="F1689" s="6"/>
      <c r="G1689" s="4"/>
      <c r="H1689" s="4"/>
      <c r="I1689" s="3"/>
      <c r="J1689" s="12"/>
    </row>
    <row r="1690" spans="1:10" x14ac:dyDescent="0.25">
      <c r="A1690" s="4"/>
      <c r="B1690" s="55"/>
      <c r="C1690" s="5"/>
      <c r="D1690" s="56"/>
      <c r="E1690" s="56"/>
      <c r="F1690" s="6"/>
      <c r="G1690" s="4"/>
      <c r="H1690" s="4"/>
      <c r="I1690" s="3"/>
      <c r="J1690" s="12"/>
    </row>
    <row r="1691" spans="1:10" x14ac:dyDescent="0.25">
      <c r="A1691" s="4"/>
      <c r="B1691" s="55"/>
      <c r="C1691" s="5"/>
      <c r="D1691" s="56"/>
      <c r="E1691" s="56"/>
      <c r="F1691" s="6"/>
      <c r="G1691" s="4"/>
      <c r="H1691" s="4"/>
      <c r="I1691" s="3"/>
      <c r="J1691" s="12"/>
    </row>
    <row r="1692" spans="1:10" x14ac:dyDescent="0.25">
      <c r="A1692" s="4"/>
      <c r="B1692" s="55"/>
      <c r="C1692" s="5"/>
      <c r="D1692" s="56"/>
      <c r="E1692" s="56"/>
      <c r="F1692" s="6"/>
      <c r="G1692" s="4"/>
      <c r="H1692" s="4"/>
      <c r="I1692" s="3"/>
      <c r="J1692" s="12"/>
    </row>
    <row r="1693" spans="1:10" x14ac:dyDescent="0.25">
      <c r="A1693" s="4"/>
      <c r="B1693" s="55"/>
      <c r="C1693" s="5"/>
      <c r="D1693" s="56"/>
      <c r="E1693" s="56"/>
      <c r="F1693" s="6"/>
      <c r="G1693" s="4"/>
      <c r="H1693" s="4"/>
      <c r="I1693" s="3"/>
      <c r="J1693" s="12"/>
    </row>
    <row r="1694" spans="1:10" x14ac:dyDescent="0.25">
      <c r="A1694" s="4"/>
      <c r="B1694" s="55"/>
      <c r="C1694" s="5"/>
      <c r="D1694" s="56"/>
      <c r="E1694" s="56"/>
      <c r="F1694" s="6"/>
      <c r="G1694" s="4"/>
      <c r="H1694" s="4"/>
      <c r="I1694" s="3"/>
      <c r="J1694" s="12"/>
    </row>
    <row r="1695" spans="1:10" x14ac:dyDescent="0.25">
      <c r="A1695" s="4"/>
      <c r="B1695" s="55"/>
      <c r="C1695" s="5"/>
      <c r="D1695" s="56"/>
      <c r="E1695" s="56"/>
      <c r="F1695" s="6"/>
      <c r="G1695" s="4"/>
      <c r="H1695" s="4"/>
      <c r="I1695" s="3"/>
      <c r="J1695" s="12"/>
    </row>
    <row r="1696" spans="1:10" x14ac:dyDescent="0.25">
      <c r="A1696" s="4"/>
      <c r="B1696" s="55"/>
      <c r="C1696" s="5"/>
      <c r="D1696" s="56"/>
      <c r="E1696" s="56"/>
      <c r="F1696" s="6"/>
      <c r="G1696" s="4"/>
      <c r="H1696" s="4"/>
      <c r="I1696" s="3"/>
      <c r="J1696" s="12"/>
    </row>
    <row r="1697" spans="1:10" x14ac:dyDescent="0.25">
      <c r="A1697" s="4"/>
      <c r="B1697" s="55"/>
      <c r="C1697" s="5"/>
      <c r="D1697" s="56"/>
      <c r="E1697" s="56"/>
      <c r="F1697" s="6"/>
      <c r="G1697" s="4"/>
      <c r="H1697" s="4"/>
      <c r="I1697" s="3"/>
      <c r="J1697" s="12"/>
    </row>
    <row r="1698" spans="1:10" x14ac:dyDescent="0.25">
      <c r="A1698" s="4"/>
      <c r="B1698" s="55"/>
      <c r="C1698" s="5"/>
      <c r="D1698" s="56"/>
      <c r="E1698" s="56"/>
      <c r="F1698" s="6"/>
      <c r="G1698" s="4"/>
      <c r="H1698" s="4"/>
      <c r="I1698" s="3"/>
      <c r="J1698" s="12"/>
    </row>
    <row r="1699" spans="1:10" x14ac:dyDescent="0.25">
      <c r="A1699" s="4"/>
      <c r="B1699" s="55"/>
      <c r="C1699" s="5"/>
      <c r="D1699" s="56"/>
      <c r="E1699" s="56"/>
      <c r="F1699" s="6"/>
      <c r="G1699" s="4"/>
      <c r="H1699" s="4"/>
      <c r="I1699" s="3"/>
      <c r="J1699" s="12"/>
    </row>
    <row r="1700" spans="1:10" x14ac:dyDescent="0.25">
      <c r="A1700" s="4"/>
      <c r="B1700" s="55"/>
      <c r="C1700" s="5"/>
      <c r="D1700" s="56"/>
      <c r="E1700" s="56"/>
      <c r="F1700" s="6"/>
      <c r="G1700" s="4"/>
      <c r="H1700" s="4"/>
      <c r="I1700" s="3"/>
      <c r="J1700" s="12"/>
    </row>
    <row r="1701" spans="1:10" x14ac:dyDescent="0.25">
      <c r="A1701" s="4"/>
      <c r="B1701" s="55"/>
      <c r="C1701" s="5"/>
      <c r="D1701" s="56"/>
      <c r="E1701" s="56"/>
      <c r="F1701" s="6"/>
      <c r="G1701" s="4"/>
      <c r="H1701" s="4"/>
      <c r="I1701" s="3"/>
      <c r="J1701" s="12"/>
    </row>
    <row r="1702" spans="1:10" x14ac:dyDescent="0.25">
      <c r="A1702" s="4"/>
      <c r="B1702" s="55"/>
      <c r="C1702" s="5"/>
      <c r="D1702" s="56"/>
      <c r="E1702" s="56"/>
      <c r="F1702" s="6"/>
      <c r="G1702" s="4"/>
      <c r="H1702" s="4"/>
      <c r="I1702" s="3"/>
      <c r="J1702" s="12"/>
    </row>
    <row r="1703" spans="1:10" x14ac:dyDescent="0.25">
      <c r="A1703" s="4"/>
      <c r="B1703" s="55"/>
      <c r="C1703" s="5"/>
      <c r="D1703" s="56"/>
      <c r="E1703" s="56"/>
      <c r="F1703" s="6"/>
      <c r="G1703" s="4"/>
      <c r="H1703" s="4"/>
      <c r="I1703" s="3"/>
      <c r="J1703" s="12"/>
    </row>
    <row r="1704" spans="1:10" x14ac:dyDescent="0.25">
      <c r="A1704" s="4"/>
      <c r="B1704" s="55"/>
      <c r="C1704" s="5"/>
      <c r="D1704" s="56"/>
      <c r="E1704" s="56"/>
      <c r="F1704" s="6"/>
      <c r="G1704" s="4"/>
      <c r="H1704" s="4"/>
      <c r="I1704" s="3"/>
      <c r="J1704" s="12"/>
    </row>
    <row r="1705" spans="1:10" x14ac:dyDescent="0.25">
      <c r="A1705" s="4"/>
      <c r="B1705" s="55"/>
      <c r="C1705" s="5"/>
      <c r="D1705" s="56"/>
      <c r="E1705" s="56"/>
      <c r="F1705" s="6"/>
      <c r="G1705" s="4"/>
      <c r="H1705" s="4"/>
      <c r="I1705" s="3"/>
      <c r="J1705" s="12"/>
    </row>
    <row r="1706" spans="1:10" x14ac:dyDescent="0.25">
      <c r="A1706" s="4"/>
      <c r="B1706" s="55"/>
      <c r="C1706" s="5"/>
      <c r="D1706" s="56"/>
      <c r="E1706" s="56"/>
      <c r="F1706" s="6"/>
      <c r="G1706" s="4"/>
      <c r="H1706" s="4"/>
      <c r="I1706" s="3"/>
      <c r="J1706" s="12"/>
    </row>
    <row r="1707" spans="1:10" x14ac:dyDescent="0.25">
      <c r="A1707" s="4"/>
      <c r="B1707" s="55"/>
      <c r="C1707" s="5"/>
      <c r="D1707" s="56"/>
      <c r="E1707" s="56"/>
      <c r="F1707" s="6"/>
      <c r="G1707" s="4"/>
      <c r="H1707" s="4"/>
      <c r="I1707" s="3"/>
      <c r="J1707" s="12"/>
    </row>
    <row r="1708" spans="1:10" x14ac:dyDescent="0.25">
      <c r="A1708" s="4"/>
      <c r="B1708" s="55"/>
      <c r="C1708" s="5"/>
      <c r="D1708" s="56"/>
      <c r="E1708" s="56"/>
      <c r="F1708" s="6"/>
      <c r="G1708" s="4"/>
      <c r="H1708" s="4"/>
      <c r="I1708" s="3"/>
      <c r="J1708" s="12"/>
    </row>
    <row r="1709" spans="1:10" x14ac:dyDescent="0.25">
      <c r="A1709" s="4"/>
      <c r="B1709" s="55"/>
      <c r="C1709" s="5"/>
      <c r="D1709" s="56"/>
      <c r="E1709" s="56"/>
      <c r="F1709" s="6"/>
      <c r="G1709" s="4"/>
      <c r="H1709" s="4"/>
      <c r="I1709" s="3"/>
      <c r="J1709" s="12"/>
    </row>
    <row r="1710" spans="1:10" x14ac:dyDescent="0.25">
      <c r="A1710" s="4"/>
      <c r="B1710" s="55"/>
      <c r="C1710" s="5"/>
      <c r="D1710" s="56"/>
      <c r="E1710" s="56"/>
      <c r="F1710" s="6"/>
      <c r="G1710" s="4"/>
      <c r="H1710" s="4"/>
      <c r="I1710" s="3"/>
      <c r="J1710" s="12"/>
    </row>
    <row r="1711" spans="1:10" x14ac:dyDescent="0.25">
      <c r="A1711" s="4"/>
      <c r="B1711" s="55"/>
      <c r="C1711" s="5"/>
      <c r="D1711" s="56"/>
      <c r="E1711" s="56"/>
      <c r="F1711" s="6"/>
      <c r="G1711" s="4"/>
      <c r="H1711" s="4"/>
      <c r="I1711" s="3"/>
      <c r="J1711" s="12"/>
    </row>
    <row r="1712" spans="1:10" x14ac:dyDescent="0.25">
      <c r="A1712" s="4"/>
      <c r="B1712" s="55"/>
      <c r="C1712" s="5"/>
      <c r="D1712" s="56"/>
      <c r="E1712" s="56"/>
      <c r="F1712" s="6"/>
      <c r="G1712" s="4"/>
      <c r="H1712" s="4"/>
      <c r="I1712" s="3"/>
      <c r="J1712" s="12"/>
    </row>
    <row r="1713" spans="1:10" x14ac:dyDescent="0.25">
      <c r="A1713" s="4"/>
      <c r="B1713" s="55"/>
      <c r="C1713" s="5"/>
      <c r="D1713" s="56"/>
      <c r="E1713" s="56"/>
      <c r="F1713" s="6"/>
      <c r="G1713" s="4"/>
      <c r="H1713" s="4"/>
      <c r="I1713" s="3"/>
      <c r="J1713" s="12"/>
    </row>
    <row r="1714" spans="1:10" x14ac:dyDescent="0.25">
      <c r="A1714" s="4"/>
      <c r="B1714" s="55"/>
      <c r="C1714" s="5"/>
      <c r="D1714" s="56"/>
      <c r="E1714" s="56"/>
      <c r="F1714" s="6"/>
      <c r="G1714" s="4"/>
      <c r="H1714" s="4"/>
      <c r="I1714" s="3"/>
      <c r="J1714" s="12"/>
    </row>
    <row r="1715" spans="1:10" x14ac:dyDescent="0.25">
      <c r="A1715" s="4"/>
      <c r="B1715" s="55"/>
      <c r="C1715" s="5"/>
      <c r="D1715" s="56"/>
      <c r="E1715" s="56"/>
      <c r="F1715" s="6"/>
      <c r="G1715" s="4"/>
      <c r="H1715" s="4"/>
      <c r="I1715" s="3"/>
      <c r="J1715" s="12"/>
    </row>
    <row r="1716" spans="1:10" x14ac:dyDescent="0.25">
      <c r="A1716" s="4"/>
      <c r="B1716" s="55"/>
      <c r="C1716" s="5"/>
      <c r="D1716" s="56"/>
      <c r="E1716" s="56"/>
      <c r="F1716" s="6"/>
      <c r="G1716" s="4"/>
      <c r="H1716" s="4"/>
      <c r="I1716" s="3"/>
      <c r="J1716" s="12"/>
    </row>
    <row r="1717" spans="1:10" x14ac:dyDescent="0.25">
      <c r="A1717" s="4"/>
      <c r="B1717" s="55"/>
      <c r="C1717" s="5"/>
      <c r="D1717" s="56"/>
      <c r="E1717" s="56"/>
      <c r="F1717" s="6"/>
      <c r="G1717" s="4"/>
      <c r="H1717" s="4"/>
      <c r="I1717" s="3"/>
      <c r="J1717" s="12"/>
    </row>
    <row r="1718" spans="1:10" x14ac:dyDescent="0.25">
      <c r="A1718" s="4"/>
      <c r="B1718" s="55"/>
      <c r="C1718" s="5"/>
      <c r="D1718" s="56"/>
      <c r="E1718" s="56"/>
      <c r="F1718" s="6"/>
      <c r="G1718" s="4"/>
      <c r="H1718" s="4"/>
      <c r="I1718" s="3"/>
      <c r="J1718" s="12"/>
    </row>
    <row r="1719" spans="1:10" x14ac:dyDescent="0.25">
      <c r="A1719" s="4"/>
      <c r="B1719" s="55"/>
      <c r="C1719" s="5"/>
      <c r="D1719" s="56"/>
      <c r="E1719" s="56"/>
      <c r="F1719" s="6"/>
      <c r="G1719" s="4"/>
      <c r="H1719" s="4"/>
      <c r="I1719" s="3"/>
      <c r="J1719" s="12"/>
    </row>
    <row r="1720" spans="1:10" x14ac:dyDescent="0.25">
      <c r="A1720" s="4"/>
      <c r="B1720" s="55"/>
      <c r="C1720" s="5"/>
      <c r="D1720" s="56"/>
      <c r="E1720" s="56"/>
      <c r="F1720" s="6"/>
      <c r="G1720" s="4"/>
      <c r="H1720" s="4"/>
      <c r="I1720" s="3"/>
      <c r="J1720" s="12"/>
    </row>
    <row r="1721" spans="1:10" x14ac:dyDescent="0.25">
      <c r="A1721" s="4"/>
      <c r="B1721" s="55"/>
      <c r="C1721" s="5"/>
      <c r="D1721" s="56"/>
      <c r="E1721" s="56"/>
      <c r="F1721" s="6"/>
      <c r="G1721" s="4"/>
      <c r="H1721" s="4"/>
      <c r="I1721" s="3"/>
      <c r="J1721" s="12"/>
    </row>
    <row r="1722" spans="1:10" x14ac:dyDescent="0.25">
      <c r="A1722" s="4"/>
      <c r="B1722" s="55"/>
      <c r="C1722" s="5"/>
      <c r="D1722" s="56"/>
      <c r="E1722" s="56"/>
      <c r="F1722" s="6"/>
      <c r="G1722" s="4"/>
      <c r="H1722" s="4"/>
      <c r="I1722" s="3"/>
      <c r="J1722" s="12"/>
    </row>
    <row r="1723" spans="1:10" x14ac:dyDescent="0.25">
      <c r="A1723" s="4"/>
      <c r="B1723" s="55"/>
      <c r="C1723" s="5"/>
      <c r="D1723" s="56"/>
      <c r="E1723" s="56"/>
      <c r="F1723" s="6"/>
      <c r="G1723" s="4"/>
      <c r="H1723" s="4"/>
      <c r="I1723" s="3"/>
      <c r="J1723" s="12"/>
    </row>
    <row r="1724" spans="1:10" x14ac:dyDescent="0.25">
      <c r="A1724" s="4"/>
      <c r="B1724" s="55"/>
      <c r="C1724" s="5"/>
      <c r="D1724" s="56"/>
      <c r="E1724" s="56"/>
      <c r="F1724" s="6"/>
      <c r="G1724" s="4"/>
      <c r="H1724" s="4"/>
      <c r="I1724" s="3"/>
      <c r="J1724" s="12"/>
    </row>
    <row r="1725" spans="1:10" x14ac:dyDescent="0.25">
      <c r="A1725" s="4"/>
      <c r="B1725" s="55"/>
      <c r="C1725" s="5"/>
      <c r="D1725" s="56"/>
      <c r="E1725" s="56"/>
      <c r="F1725" s="6"/>
      <c r="G1725" s="4"/>
      <c r="H1725" s="4"/>
      <c r="I1725" s="3"/>
      <c r="J1725" s="12"/>
    </row>
    <row r="1726" spans="1:10" x14ac:dyDescent="0.25">
      <c r="A1726" s="4"/>
      <c r="B1726" s="55"/>
      <c r="C1726" s="5"/>
      <c r="D1726" s="56"/>
      <c r="E1726" s="56"/>
      <c r="F1726" s="6"/>
      <c r="G1726" s="4"/>
      <c r="H1726" s="4"/>
      <c r="I1726" s="3"/>
      <c r="J1726" s="12"/>
    </row>
    <row r="1727" spans="1:10" x14ac:dyDescent="0.25">
      <c r="A1727" s="4"/>
      <c r="B1727" s="55"/>
      <c r="C1727" s="5"/>
      <c r="D1727" s="56"/>
      <c r="E1727" s="56"/>
      <c r="F1727" s="6"/>
      <c r="G1727" s="4"/>
      <c r="H1727" s="4"/>
      <c r="I1727" s="3"/>
      <c r="J1727" s="12"/>
    </row>
    <row r="1728" spans="1:10" x14ac:dyDescent="0.25">
      <c r="A1728" s="4"/>
      <c r="B1728" s="55"/>
      <c r="C1728" s="5"/>
      <c r="D1728" s="56"/>
      <c r="E1728" s="56"/>
      <c r="F1728" s="6"/>
      <c r="G1728" s="4"/>
      <c r="H1728" s="4"/>
      <c r="I1728" s="3"/>
      <c r="J1728" s="12"/>
    </row>
    <row r="1729" spans="1:10" x14ac:dyDescent="0.25">
      <c r="A1729" s="4"/>
      <c r="B1729" s="55"/>
      <c r="C1729" s="5"/>
      <c r="D1729" s="56"/>
      <c r="E1729" s="56"/>
      <c r="F1729" s="6"/>
      <c r="G1729" s="4"/>
      <c r="H1729" s="4"/>
      <c r="I1729" s="3"/>
      <c r="J1729" s="12"/>
    </row>
    <row r="1730" spans="1:10" x14ac:dyDescent="0.25">
      <c r="A1730" s="4"/>
      <c r="B1730" s="55"/>
      <c r="C1730" s="5"/>
      <c r="D1730" s="56"/>
      <c r="E1730" s="56"/>
      <c r="F1730" s="6"/>
      <c r="G1730" s="4"/>
      <c r="H1730" s="4"/>
      <c r="I1730" s="3"/>
      <c r="J1730" s="12"/>
    </row>
    <row r="1731" spans="1:10" x14ac:dyDescent="0.25">
      <c r="A1731" s="4"/>
      <c r="B1731" s="55"/>
      <c r="C1731" s="5"/>
      <c r="D1731" s="56"/>
      <c r="E1731" s="56"/>
      <c r="F1731" s="6"/>
      <c r="G1731" s="4"/>
      <c r="H1731" s="4"/>
      <c r="I1731" s="3"/>
      <c r="J1731" s="12"/>
    </row>
    <row r="1732" spans="1:10" x14ac:dyDescent="0.25">
      <c r="A1732" s="4"/>
      <c r="B1732" s="55"/>
      <c r="C1732" s="5"/>
      <c r="D1732" s="56"/>
      <c r="E1732" s="56"/>
      <c r="F1732" s="6"/>
      <c r="G1732" s="4"/>
      <c r="H1732" s="4"/>
      <c r="I1732" s="3"/>
      <c r="J1732" s="12"/>
    </row>
    <row r="1733" spans="1:10" x14ac:dyDescent="0.25">
      <c r="A1733" s="4"/>
      <c r="B1733" s="55"/>
      <c r="C1733" s="5"/>
      <c r="D1733" s="56"/>
      <c r="E1733" s="56"/>
      <c r="F1733" s="6"/>
      <c r="G1733" s="4"/>
      <c r="H1733" s="4"/>
      <c r="I1733" s="3"/>
      <c r="J1733" s="12"/>
    </row>
    <row r="1734" spans="1:10" x14ac:dyDescent="0.25">
      <c r="A1734" s="4"/>
      <c r="B1734" s="55"/>
      <c r="C1734" s="5"/>
      <c r="D1734" s="56"/>
      <c r="E1734" s="56"/>
      <c r="F1734" s="6"/>
      <c r="G1734" s="4"/>
      <c r="H1734" s="4"/>
      <c r="I1734" s="3"/>
      <c r="J1734" s="12"/>
    </row>
    <row r="1735" spans="1:10" x14ac:dyDescent="0.25">
      <c r="A1735" s="4"/>
      <c r="B1735" s="55"/>
      <c r="C1735" s="5"/>
      <c r="D1735" s="56"/>
      <c r="E1735" s="56"/>
      <c r="F1735" s="6"/>
      <c r="G1735" s="4"/>
      <c r="H1735" s="4"/>
      <c r="I1735" s="3"/>
      <c r="J1735" s="12"/>
    </row>
    <row r="1736" spans="1:10" x14ac:dyDescent="0.25">
      <c r="A1736" s="4"/>
      <c r="B1736" s="55"/>
      <c r="C1736" s="5"/>
      <c r="D1736" s="56"/>
      <c r="E1736" s="56"/>
      <c r="F1736" s="6"/>
      <c r="G1736" s="4"/>
      <c r="H1736" s="4"/>
      <c r="I1736" s="3"/>
      <c r="J1736" s="12"/>
    </row>
    <row r="1737" spans="1:10" x14ac:dyDescent="0.25">
      <c r="A1737" s="4"/>
      <c r="B1737" s="55"/>
      <c r="C1737" s="5"/>
      <c r="D1737" s="56"/>
      <c r="E1737" s="56"/>
      <c r="F1737" s="6"/>
      <c r="G1737" s="4"/>
      <c r="H1737" s="4"/>
      <c r="I1737" s="3"/>
      <c r="J1737" s="12"/>
    </row>
    <row r="1738" spans="1:10" x14ac:dyDescent="0.25">
      <c r="A1738" s="4"/>
      <c r="B1738" s="55"/>
      <c r="C1738" s="5"/>
      <c r="D1738" s="56"/>
      <c r="E1738" s="56"/>
      <c r="F1738" s="6"/>
      <c r="G1738" s="4"/>
      <c r="H1738" s="4"/>
      <c r="I1738" s="3"/>
      <c r="J1738" s="12"/>
    </row>
    <row r="1739" spans="1:10" x14ac:dyDescent="0.25">
      <c r="A1739" s="4"/>
      <c r="B1739" s="55"/>
      <c r="C1739" s="5"/>
      <c r="D1739" s="56"/>
      <c r="E1739" s="56"/>
      <c r="F1739" s="6"/>
      <c r="G1739" s="4"/>
      <c r="H1739" s="4"/>
      <c r="I1739" s="3"/>
      <c r="J1739" s="12"/>
    </row>
    <row r="1740" spans="1:10" x14ac:dyDescent="0.25">
      <c r="A1740" s="4"/>
      <c r="B1740" s="55"/>
      <c r="C1740" s="5"/>
      <c r="D1740" s="56"/>
      <c r="E1740" s="56"/>
      <c r="F1740" s="6"/>
      <c r="G1740" s="4"/>
      <c r="H1740" s="4"/>
      <c r="I1740" s="3"/>
      <c r="J1740" s="12"/>
    </row>
    <row r="1741" spans="1:10" x14ac:dyDescent="0.25">
      <c r="A1741" s="4"/>
      <c r="B1741" s="55"/>
      <c r="C1741" s="5"/>
      <c r="D1741" s="56"/>
      <c r="E1741" s="56"/>
      <c r="F1741" s="6"/>
      <c r="G1741" s="4"/>
      <c r="H1741" s="4"/>
      <c r="I1741" s="3"/>
      <c r="J1741" s="12"/>
    </row>
    <row r="1742" spans="1:10" x14ac:dyDescent="0.25">
      <c r="A1742" s="4"/>
      <c r="B1742" s="55"/>
      <c r="C1742" s="5"/>
      <c r="D1742" s="56"/>
      <c r="E1742" s="56"/>
      <c r="F1742" s="6"/>
      <c r="G1742" s="4"/>
      <c r="H1742" s="4"/>
      <c r="I1742" s="3"/>
      <c r="J1742" s="12"/>
    </row>
    <row r="1743" spans="1:10" x14ac:dyDescent="0.25">
      <c r="A1743" s="4"/>
      <c r="B1743" s="55"/>
      <c r="C1743" s="5"/>
      <c r="D1743" s="56"/>
      <c r="E1743" s="56"/>
      <c r="F1743" s="6"/>
      <c r="G1743" s="4"/>
      <c r="H1743" s="4"/>
      <c r="I1743" s="3"/>
      <c r="J1743" s="12"/>
    </row>
    <row r="1744" spans="1:10" x14ac:dyDescent="0.25">
      <c r="A1744" s="4"/>
      <c r="B1744" s="55"/>
      <c r="C1744" s="5"/>
      <c r="D1744" s="56"/>
      <c r="E1744" s="56"/>
      <c r="F1744" s="6"/>
      <c r="G1744" s="4"/>
      <c r="H1744" s="4"/>
      <c r="I1744" s="3"/>
      <c r="J1744" s="12"/>
    </row>
    <row r="1745" spans="1:10" x14ac:dyDescent="0.25">
      <c r="A1745" s="4"/>
      <c r="B1745" s="55"/>
      <c r="C1745" s="5"/>
      <c r="D1745" s="56"/>
      <c r="E1745" s="56"/>
      <c r="F1745" s="6"/>
      <c r="G1745" s="4"/>
      <c r="H1745" s="4"/>
      <c r="I1745" s="3"/>
      <c r="J1745" s="12"/>
    </row>
    <row r="1746" spans="1:10" x14ac:dyDescent="0.25">
      <c r="A1746" s="4"/>
      <c r="B1746" s="55"/>
      <c r="C1746" s="5"/>
      <c r="D1746" s="56"/>
      <c r="E1746" s="56"/>
      <c r="F1746" s="6"/>
      <c r="G1746" s="4"/>
      <c r="H1746" s="4"/>
      <c r="I1746" s="3"/>
      <c r="J1746" s="12"/>
    </row>
    <row r="1747" spans="1:10" x14ac:dyDescent="0.25">
      <c r="A1747" s="4"/>
      <c r="B1747" s="55"/>
      <c r="C1747" s="5"/>
      <c r="D1747" s="56"/>
      <c r="E1747" s="56"/>
      <c r="F1747" s="6"/>
      <c r="G1747" s="4"/>
      <c r="H1747" s="4"/>
      <c r="I1747" s="3"/>
      <c r="J1747" s="12"/>
    </row>
    <row r="1748" spans="1:10" x14ac:dyDescent="0.25">
      <c r="A1748" s="4"/>
      <c r="B1748" s="55"/>
      <c r="C1748" s="5"/>
      <c r="D1748" s="56"/>
      <c r="E1748" s="56"/>
      <c r="F1748" s="6"/>
      <c r="G1748" s="4"/>
      <c r="H1748" s="4"/>
      <c r="I1748" s="3"/>
      <c r="J1748" s="12"/>
    </row>
    <row r="1749" spans="1:10" x14ac:dyDescent="0.25">
      <c r="A1749" s="4"/>
      <c r="B1749" s="55"/>
      <c r="C1749" s="5"/>
      <c r="D1749" s="56"/>
      <c r="E1749" s="56"/>
      <c r="F1749" s="6"/>
      <c r="G1749" s="4"/>
      <c r="H1749" s="4"/>
      <c r="I1749" s="3"/>
      <c r="J1749" s="12"/>
    </row>
    <row r="1750" spans="1:10" x14ac:dyDescent="0.25">
      <c r="A1750" s="4"/>
      <c r="B1750" s="55"/>
      <c r="C1750" s="5"/>
      <c r="D1750" s="56"/>
      <c r="E1750" s="56"/>
      <c r="F1750" s="6"/>
      <c r="G1750" s="4"/>
      <c r="H1750" s="4"/>
      <c r="I1750" s="3"/>
      <c r="J1750" s="12"/>
    </row>
    <row r="1751" spans="1:10" x14ac:dyDescent="0.25">
      <c r="A1751" s="4"/>
      <c r="B1751" s="55"/>
      <c r="C1751" s="5"/>
      <c r="D1751" s="56"/>
      <c r="E1751" s="56"/>
      <c r="F1751" s="6"/>
      <c r="G1751" s="4"/>
      <c r="H1751" s="4"/>
      <c r="I1751" s="3"/>
      <c r="J1751" s="12"/>
    </row>
    <row r="1752" spans="1:10" x14ac:dyDescent="0.25">
      <c r="A1752" s="4"/>
      <c r="B1752" s="55"/>
      <c r="C1752" s="5"/>
      <c r="D1752" s="56"/>
      <c r="E1752" s="56"/>
      <c r="F1752" s="6"/>
      <c r="G1752" s="4"/>
      <c r="H1752" s="4"/>
      <c r="I1752" s="3"/>
      <c r="J1752" s="12"/>
    </row>
    <row r="1753" spans="1:10" x14ac:dyDescent="0.25">
      <c r="A1753" s="4"/>
      <c r="B1753" s="55"/>
      <c r="C1753" s="5"/>
      <c r="D1753" s="56"/>
      <c r="E1753" s="56"/>
      <c r="F1753" s="6"/>
      <c r="G1753" s="4"/>
      <c r="H1753" s="4"/>
      <c r="I1753" s="3"/>
      <c r="J1753" s="12"/>
    </row>
    <row r="1754" spans="1:10" x14ac:dyDescent="0.25">
      <c r="A1754" s="4"/>
      <c r="B1754" s="55"/>
      <c r="C1754" s="5"/>
      <c r="D1754" s="56"/>
      <c r="E1754" s="56"/>
      <c r="F1754" s="6"/>
      <c r="G1754" s="4"/>
      <c r="H1754" s="4"/>
      <c r="I1754" s="3"/>
      <c r="J1754" s="12"/>
    </row>
    <row r="1755" spans="1:10" x14ac:dyDescent="0.25">
      <c r="A1755" s="4"/>
      <c r="B1755" s="55"/>
      <c r="C1755" s="5"/>
      <c r="D1755" s="56"/>
      <c r="E1755" s="56"/>
      <c r="F1755" s="6"/>
      <c r="G1755" s="4"/>
      <c r="H1755" s="4"/>
      <c r="I1755" s="3"/>
      <c r="J1755" s="12"/>
    </row>
    <row r="1756" spans="1:10" x14ac:dyDescent="0.25">
      <c r="A1756" s="4"/>
      <c r="B1756" s="55"/>
      <c r="C1756" s="5"/>
      <c r="D1756" s="56"/>
      <c r="E1756" s="56"/>
      <c r="F1756" s="6"/>
      <c r="G1756" s="4"/>
      <c r="H1756" s="4"/>
      <c r="I1756" s="3"/>
      <c r="J1756" s="12"/>
    </row>
    <row r="1757" spans="1:10" x14ac:dyDescent="0.25">
      <c r="A1757" s="4"/>
      <c r="B1757" s="55"/>
      <c r="C1757" s="5"/>
      <c r="D1757" s="56"/>
      <c r="E1757" s="56"/>
      <c r="F1757" s="6"/>
      <c r="G1757" s="4"/>
      <c r="H1757" s="4"/>
      <c r="I1757" s="3"/>
      <c r="J1757" s="12"/>
    </row>
    <row r="1758" spans="1:10" x14ac:dyDescent="0.25">
      <c r="A1758" s="4"/>
      <c r="B1758" s="55"/>
      <c r="C1758" s="5"/>
      <c r="D1758" s="56"/>
      <c r="E1758" s="56"/>
      <c r="F1758" s="6"/>
      <c r="G1758" s="4"/>
      <c r="H1758" s="4"/>
      <c r="I1758" s="3"/>
      <c r="J1758" s="12"/>
    </row>
    <row r="1759" spans="1:10" x14ac:dyDescent="0.25">
      <c r="A1759" s="4"/>
      <c r="B1759" s="55"/>
      <c r="C1759" s="5"/>
      <c r="D1759" s="56"/>
      <c r="E1759" s="56"/>
      <c r="F1759" s="6"/>
      <c r="G1759" s="4"/>
      <c r="H1759" s="4"/>
      <c r="I1759" s="3"/>
      <c r="J1759" s="12"/>
    </row>
    <row r="1760" spans="1:10" x14ac:dyDescent="0.25">
      <c r="A1760" s="4"/>
      <c r="B1760" s="55"/>
      <c r="C1760" s="5"/>
      <c r="D1760" s="56"/>
      <c r="E1760" s="56"/>
      <c r="F1760" s="6"/>
      <c r="G1760" s="4"/>
      <c r="H1760" s="4"/>
      <c r="I1760" s="3"/>
      <c r="J1760" s="12"/>
    </row>
    <row r="1761" spans="1:10" x14ac:dyDescent="0.25">
      <c r="A1761" s="4"/>
      <c r="B1761" s="55"/>
      <c r="C1761" s="5"/>
      <c r="D1761" s="56"/>
      <c r="E1761" s="56"/>
      <c r="F1761" s="6"/>
      <c r="G1761" s="4"/>
      <c r="H1761" s="4"/>
      <c r="I1761" s="3"/>
      <c r="J1761" s="12"/>
    </row>
    <row r="1762" spans="1:10" x14ac:dyDescent="0.25">
      <c r="A1762" s="4"/>
      <c r="B1762" s="55"/>
      <c r="C1762" s="5"/>
      <c r="D1762" s="56"/>
      <c r="E1762" s="56"/>
      <c r="F1762" s="6"/>
      <c r="G1762" s="4"/>
      <c r="H1762" s="4"/>
      <c r="I1762" s="3"/>
      <c r="J1762" s="12"/>
    </row>
    <row r="1763" spans="1:10" x14ac:dyDescent="0.25">
      <c r="A1763" s="4"/>
      <c r="B1763" s="55"/>
      <c r="C1763" s="5"/>
      <c r="D1763" s="56"/>
      <c r="E1763" s="56"/>
      <c r="F1763" s="6"/>
      <c r="G1763" s="4"/>
      <c r="H1763" s="4"/>
      <c r="I1763" s="3"/>
      <c r="J1763" s="12"/>
    </row>
    <row r="1764" spans="1:10" x14ac:dyDescent="0.25">
      <c r="A1764" s="4"/>
      <c r="B1764" s="55"/>
      <c r="C1764" s="5"/>
      <c r="D1764" s="56"/>
      <c r="E1764" s="56"/>
      <c r="F1764" s="6"/>
      <c r="G1764" s="4"/>
      <c r="H1764" s="4"/>
      <c r="I1764" s="3"/>
      <c r="J1764" s="12"/>
    </row>
    <row r="1765" spans="1:10" x14ac:dyDescent="0.25">
      <c r="A1765" s="4"/>
      <c r="B1765" s="55"/>
      <c r="C1765" s="5"/>
      <c r="D1765" s="56"/>
      <c r="E1765" s="56"/>
      <c r="F1765" s="6"/>
      <c r="G1765" s="4"/>
      <c r="H1765" s="4"/>
      <c r="I1765" s="3"/>
      <c r="J1765" s="12"/>
    </row>
    <row r="1766" spans="1:10" x14ac:dyDescent="0.25">
      <c r="A1766" s="4"/>
      <c r="B1766" s="55"/>
      <c r="C1766" s="5"/>
      <c r="D1766" s="56"/>
      <c r="E1766" s="56"/>
      <c r="F1766" s="6"/>
      <c r="G1766" s="4"/>
      <c r="H1766" s="4"/>
      <c r="I1766" s="3"/>
      <c r="J1766" s="12"/>
    </row>
    <row r="1767" spans="1:10" x14ac:dyDescent="0.25">
      <c r="A1767" s="4"/>
      <c r="B1767" s="55"/>
      <c r="C1767" s="5"/>
      <c r="D1767" s="56"/>
      <c r="E1767" s="56"/>
      <c r="F1767" s="6"/>
      <c r="G1767" s="4"/>
      <c r="H1767" s="4"/>
      <c r="I1767" s="3"/>
      <c r="J1767" s="12"/>
    </row>
    <row r="1768" spans="1:10" x14ac:dyDescent="0.25">
      <c r="A1768" s="4"/>
      <c r="B1768" s="55"/>
      <c r="C1768" s="5"/>
      <c r="D1768" s="56"/>
      <c r="E1768" s="56"/>
      <c r="F1768" s="6"/>
      <c r="G1768" s="4"/>
      <c r="H1768" s="4"/>
      <c r="I1768" s="3"/>
      <c r="J1768" s="12"/>
    </row>
    <row r="1769" spans="1:10" x14ac:dyDescent="0.25">
      <c r="A1769" s="4"/>
      <c r="B1769" s="55"/>
      <c r="C1769" s="5"/>
      <c r="D1769" s="56"/>
      <c r="E1769" s="56"/>
      <c r="F1769" s="6"/>
      <c r="G1769" s="4"/>
      <c r="H1769" s="4"/>
      <c r="I1769" s="3"/>
      <c r="J1769" s="12"/>
    </row>
    <row r="1770" spans="1:10" x14ac:dyDescent="0.25">
      <c r="A1770" s="4"/>
      <c r="B1770" s="55"/>
      <c r="C1770" s="5"/>
      <c r="D1770" s="56"/>
      <c r="E1770" s="56"/>
      <c r="F1770" s="6"/>
      <c r="G1770" s="4"/>
      <c r="H1770" s="4"/>
      <c r="I1770" s="3"/>
      <c r="J1770" s="12"/>
    </row>
    <row r="1771" spans="1:10" x14ac:dyDescent="0.25">
      <c r="A1771" s="4"/>
      <c r="B1771" s="55"/>
      <c r="C1771" s="5"/>
      <c r="D1771" s="56"/>
      <c r="E1771" s="56"/>
      <c r="F1771" s="6"/>
      <c r="G1771" s="4"/>
      <c r="H1771" s="4"/>
      <c r="I1771" s="3"/>
      <c r="J1771" s="12"/>
    </row>
    <row r="1772" spans="1:10" x14ac:dyDescent="0.25">
      <c r="A1772" s="4"/>
      <c r="B1772" s="55"/>
      <c r="C1772" s="5"/>
      <c r="D1772" s="56"/>
      <c r="E1772" s="56"/>
      <c r="F1772" s="6"/>
      <c r="G1772" s="4"/>
      <c r="H1772" s="4"/>
      <c r="I1772" s="3"/>
      <c r="J1772" s="12"/>
    </row>
    <row r="1773" spans="1:10" x14ac:dyDescent="0.25">
      <c r="A1773" s="4"/>
      <c r="B1773" s="55"/>
      <c r="C1773" s="5"/>
      <c r="D1773" s="56"/>
      <c r="E1773" s="56"/>
      <c r="F1773" s="6"/>
      <c r="G1773" s="4"/>
      <c r="H1773" s="4"/>
      <c r="I1773" s="3"/>
      <c r="J1773" s="12"/>
    </row>
    <row r="1774" spans="1:10" x14ac:dyDescent="0.25">
      <c r="A1774" s="4"/>
      <c r="B1774" s="55"/>
      <c r="C1774" s="5"/>
      <c r="D1774" s="56"/>
      <c r="E1774" s="56"/>
      <c r="F1774" s="6"/>
      <c r="G1774" s="4"/>
      <c r="H1774" s="4"/>
      <c r="I1774" s="3"/>
      <c r="J1774" s="12"/>
    </row>
    <row r="1775" spans="1:10" x14ac:dyDescent="0.25">
      <c r="A1775" s="4"/>
      <c r="B1775" s="55"/>
      <c r="C1775" s="5"/>
      <c r="D1775" s="56"/>
      <c r="E1775" s="56"/>
      <c r="F1775" s="6"/>
      <c r="G1775" s="4"/>
      <c r="H1775" s="4"/>
      <c r="I1775" s="3"/>
      <c r="J1775" s="12"/>
    </row>
    <row r="1776" spans="1:10" x14ac:dyDescent="0.25">
      <c r="A1776" s="4"/>
      <c r="B1776" s="55"/>
      <c r="C1776" s="5"/>
      <c r="D1776" s="56"/>
      <c r="E1776" s="56"/>
      <c r="F1776" s="6"/>
      <c r="G1776" s="4"/>
      <c r="H1776" s="4"/>
      <c r="I1776" s="3"/>
      <c r="J1776" s="12"/>
    </row>
    <row r="1777" spans="1:10" x14ac:dyDescent="0.25">
      <c r="A1777" s="4"/>
      <c r="B1777" s="55"/>
      <c r="C1777" s="5"/>
      <c r="D1777" s="56"/>
      <c r="E1777" s="56"/>
      <c r="F1777" s="6"/>
      <c r="G1777" s="4"/>
      <c r="H1777" s="4"/>
      <c r="I1777" s="3"/>
      <c r="J1777" s="12"/>
    </row>
    <row r="1778" spans="1:10" x14ac:dyDescent="0.25">
      <c r="A1778" s="4"/>
      <c r="B1778" s="55"/>
      <c r="C1778" s="5"/>
      <c r="D1778" s="56"/>
      <c r="E1778" s="56"/>
      <c r="F1778" s="6"/>
      <c r="G1778" s="4"/>
      <c r="H1778" s="4"/>
      <c r="I1778" s="3"/>
      <c r="J1778" s="12"/>
    </row>
    <row r="1779" spans="1:10" x14ac:dyDescent="0.25">
      <c r="A1779" s="4"/>
      <c r="B1779" s="55"/>
      <c r="C1779" s="5"/>
      <c r="D1779" s="56"/>
      <c r="E1779" s="56"/>
      <c r="F1779" s="6"/>
      <c r="G1779" s="4"/>
      <c r="H1779" s="4"/>
      <c r="I1779" s="3"/>
      <c r="J1779" s="12"/>
    </row>
    <row r="1780" spans="1:10" x14ac:dyDescent="0.25">
      <c r="A1780" s="4"/>
      <c r="B1780" s="55"/>
      <c r="C1780" s="5"/>
      <c r="D1780" s="56"/>
      <c r="E1780" s="56"/>
      <c r="F1780" s="6"/>
      <c r="G1780" s="4"/>
      <c r="H1780" s="4"/>
      <c r="I1780" s="3"/>
      <c r="J1780" s="12"/>
    </row>
    <row r="1781" spans="1:10" x14ac:dyDescent="0.25">
      <c r="A1781" s="4"/>
      <c r="B1781" s="55"/>
      <c r="C1781" s="5"/>
      <c r="D1781" s="56"/>
      <c r="E1781" s="56"/>
      <c r="F1781" s="6"/>
      <c r="G1781" s="4"/>
      <c r="H1781" s="4"/>
      <c r="I1781" s="3"/>
      <c r="J1781" s="12"/>
    </row>
    <row r="1782" spans="1:10" x14ac:dyDescent="0.25">
      <c r="A1782" s="4"/>
      <c r="B1782" s="55"/>
      <c r="C1782" s="5"/>
      <c r="D1782" s="56"/>
      <c r="E1782" s="56"/>
      <c r="F1782" s="6"/>
      <c r="G1782" s="4"/>
      <c r="H1782" s="4"/>
      <c r="I1782" s="3"/>
      <c r="J1782" s="12"/>
    </row>
    <row r="1783" spans="1:10" x14ac:dyDescent="0.25">
      <c r="A1783" s="4"/>
      <c r="B1783" s="55"/>
      <c r="C1783" s="5"/>
      <c r="D1783" s="56"/>
      <c r="E1783" s="56"/>
      <c r="F1783" s="6"/>
      <c r="G1783" s="4"/>
      <c r="H1783" s="4"/>
      <c r="I1783" s="3"/>
      <c r="J1783" s="12"/>
    </row>
    <row r="1784" spans="1:10" x14ac:dyDescent="0.25">
      <c r="A1784" s="4"/>
      <c r="B1784" s="55"/>
      <c r="C1784" s="5"/>
      <c r="D1784" s="56"/>
      <c r="E1784" s="56"/>
      <c r="F1784" s="6"/>
      <c r="G1784" s="4"/>
      <c r="H1784" s="4"/>
      <c r="I1784" s="3"/>
      <c r="J1784" s="12"/>
    </row>
    <row r="1785" spans="1:10" x14ac:dyDescent="0.25">
      <c r="A1785" s="4"/>
      <c r="B1785" s="55"/>
      <c r="C1785" s="5"/>
      <c r="D1785" s="56"/>
      <c r="E1785" s="56"/>
      <c r="F1785" s="6"/>
      <c r="G1785" s="4"/>
      <c r="H1785" s="4"/>
      <c r="I1785" s="3"/>
      <c r="J1785" s="12"/>
    </row>
    <row r="1786" spans="1:10" x14ac:dyDescent="0.25">
      <c r="A1786" s="4"/>
      <c r="B1786" s="55"/>
      <c r="C1786" s="5"/>
      <c r="D1786" s="56"/>
      <c r="E1786" s="56"/>
      <c r="F1786" s="6"/>
      <c r="G1786" s="4"/>
      <c r="H1786" s="4"/>
      <c r="I1786" s="3"/>
      <c r="J1786" s="12"/>
    </row>
    <row r="1787" spans="1:10" x14ac:dyDescent="0.25">
      <c r="A1787" s="4"/>
      <c r="B1787" s="55"/>
      <c r="C1787" s="5"/>
      <c r="D1787" s="56"/>
      <c r="E1787" s="56"/>
      <c r="F1787" s="6"/>
      <c r="G1787" s="4"/>
      <c r="H1787" s="4"/>
      <c r="I1787" s="3"/>
      <c r="J1787" s="12"/>
    </row>
    <row r="1788" spans="1:10" x14ac:dyDescent="0.25">
      <c r="A1788" s="4"/>
      <c r="B1788" s="55"/>
      <c r="C1788" s="5"/>
      <c r="D1788" s="56"/>
      <c r="E1788" s="56"/>
      <c r="F1788" s="6"/>
      <c r="G1788" s="4"/>
      <c r="H1788" s="4"/>
      <c r="I1788" s="3"/>
      <c r="J1788" s="12"/>
    </row>
    <row r="1789" spans="1:10" x14ac:dyDescent="0.25">
      <c r="A1789" s="4"/>
      <c r="B1789" s="55"/>
      <c r="C1789" s="5"/>
      <c r="D1789" s="56"/>
      <c r="E1789" s="56"/>
      <c r="F1789" s="6"/>
      <c r="G1789" s="4"/>
      <c r="H1789" s="4"/>
      <c r="I1789" s="3"/>
      <c r="J1789" s="12"/>
    </row>
    <row r="1790" spans="1:10" x14ac:dyDescent="0.25">
      <c r="A1790" s="4"/>
      <c r="B1790" s="55"/>
      <c r="C1790" s="5"/>
      <c r="D1790" s="56"/>
      <c r="E1790" s="56"/>
      <c r="F1790" s="6"/>
      <c r="G1790" s="4"/>
      <c r="H1790" s="4"/>
      <c r="I1790" s="3"/>
      <c r="J1790" s="12"/>
    </row>
    <row r="1791" spans="1:10" x14ac:dyDescent="0.25">
      <c r="A1791" s="4"/>
      <c r="B1791" s="55"/>
      <c r="C1791" s="5"/>
      <c r="D1791" s="56"/>
      <c r="E1791" s="56"/>
      <c r="F1791" s="6"/>
      <c r="G1791" s="4"/>
      <c r="H1791" s="4"/>
      <c r="I1791" s="3"/>
      <c r="J1791" s="12"/>
    </row>
    <row r="1792" spans="1:10" x14ac:dyDescent="0.25">
      <c r="A1792" s="4"/>
      <c r="B1792" s="55"/>
      <c r="C1792" s="5"/>
      <c r="D1792" s="56"/>
      <c r="E1792" s="56"/>
      <c r="F1792" s="6"/>
      <c r="G1792" s="4"/>
      <c r="H1792" s="4"/>
      <c r="I1792" s="3"/>
      <c r="J1792" s="12"/>
    </row>
    <row r="1793" spans="1:10" x14ac:dyDescent="0.25">
      <c r="A1793" s="4"/>
      <c r="B1793" s="55"/>
      <c r="C1793" s="5"/>
      <c r="D1793" s="56"/>
      <c r="E1793" s="56"/>
      <c r="F1793" s="6"/>
      <c r="G1793" s="4"/>
      <c r="H1793" s="4"/>
      <c r="I1793" s="3"/>
      <c r="J1793" s="12"/>
    </row>
    <row r="1794" spans="1:10" x14ac:dyDescent="0.25">
      <c r="A1794" s="4"/>
      <c r="B1794" s="55"/>
      <c r="C1794" s="5"/>
      <c r="D1794" s="56"/>
      <c r="E1794" s="56"/>
      <c r="F1794" s="6"/>
      <c r="G1794" s="4"/>
      <c r="H1794" s="4"/>
      <c r="I1794" s="3"/>
      <c r="J1794" s="12"/>
    </row>
    <row r="1795" spans="1:10" x14ac:dyDescent="0.25">
      <c r="A1795" s="4"/>
      <c r="B1795" s="55"/>
      <c r="C1795" s="5"/>
      <c r="D1795" s="56"/>
      <c r="E1795" s="56"/>
      <c r="F1795" s="6"/>
      <c r="G1795" s="4"/>
      <c r="H1795" s="4"/>
      <c r="I1795" s="3"/>
      <c r="J1795" s="12"/>
    </row>
    <row r="1796" spans="1:10" x14ac:dyDescent="0.25">
      <c r="A1796" s="4"/>
      <c r="B1796" s="55"/>
      <c r="C1796" s="5"/>
      <c r="D1796" s="56"/>
      <c r="E1796" s="56"/>
      <c r="F1796" s="6"/>
      <c r="G1796" s="4"/>
      <c r="H1796" s="4"/>
      <c r="I1796" s="3"/>
      <c r="J1796" s="12"/>
    </row>
    <row r="1797" spans="1:10" x14ac:dyDescent="0.25">
      <c r="A1797" s="4"/>
      <c r="B1797" s="55"/>
      <c r="C1797" s="5"/>
      <c r="D1797" s="56"/>
      <c r="E1797" s="56"/>
      <c r="F1797" s="6"/>
      <c r="G1797" s="4"/>
      <c r="H1797" s="4"/>
      <c r="I1797" s="3"/>
      <c r="J1797" s="12"/>
    </row>
    <row r="1798" spans="1:10" x14ac:dyDescent="0.25">
      <c r="A1798" s="4"/>
      <c r="B1798" s="55"/>
      <c r="C1798" s="5"/>
      <c r="D1798" s="56"/>
      <c r="E1798" s="56"/>
      <c r="F1798" s="6"/>
      <c r="G1798" s="4"/>
      <c r="H1798" s="4"/>
      <c r="I1798" s="3"/>
      <c r="J1798" s="12"/>
    </row>
    <row r="1799" spans="1:10" x14ac:dyDescent="0.25">
      <c r="A1799" s="4"/>
      <c r="B1799" s="55"/>
      <c r="C1799" s="5"/>
      <c r="D1799" s="56"/>
      <c r="E1799" s="56"/>
      <c r="F1799" s="6"/>
      <c r="G1799" s="4"/>
      <c r="H1799" s="4"/>
      <c r="I1799" s="3"/>
      <c r="J1799" s="12"/>
    </row>
    <row r="1800" spans="1:10" x14ac:dyDescent="0.25">
      <c r="A1800" s="4"/>
      <c r="B1800" s="55"/>
      <c r="C1800" s="5"/>
      <c r="D1800" s="56"/>
      <c r="E1800" s="56"/>
      <c r="F1800" s="6"/>
      <c r="G1800" s="4"/>
      <c r="H1800" s="4"/>
      <c r="I1800" s="3"/>
      <c r="J1800" s="12"/>
    </row>
    <row r="1801" spans="1:10" x14ac:dyDescent="0.25">
      <c r="A1801" s="4"/>
      <c r="B1801" s="55"/>
      <c r="C1801" s="5"/>
      <c r="D1801" s="56"/>
      <c r="E1801" s="56"/>
      <c r="F1801" s="6"/>
      <c r="G1801" s="4"/>
      <c r="H1801" s="4"/>
      <c r="I1801" s="3"/>
      <c r="J1801" s="12"/>
    </row>
    <row r="1802" spans="1:10" x14ac:dyDescent="0.25">
      <c r="A1802" s="4"/>
      <c r="B1802" s="55"/>
      <c r="C1802" s="5"/>
      <c r="D1802" s="56"/>
      <c r="E1802" s="56"/>
      <c r="F1802" s="6"/>
      <c r="G1802" s="4"/>
      <c r="H1802" s="4"/>
      <c r="I1802" s="3"/>
      <c r="J1802" s="12"/>
    </row>
    <row r="1803" spans="1:10" x14ac:dyDescent="0.25">
      <c r="A1803" s="4"/>
      <c r="B1803" s="55"/>
      <c r="C1803" s="5"/>
      <c r="D1803" s="56"/>
      <c r="E1803" s="56"/>
      <c r="F1803" s="6"/>
      <c r="G1803" s="4"/>
      <c r="H1803" s="4"/>
      <c r="I1803" s="3"/>
      <c r="J1803" s="12"/>
    </row>
    <row r="1804" spans="1:10" x14ac:dyDescent="0.25">
      <c r="A1804" s="4"/>
      <c r="B1804" s="55"/>
      <c r="C1804" s="5"/>
      <c r="D1804" s="56"/>
      <c r="E1804" s="56"/>
      <c r="F1804" s="6"/>
      <c r="G1804" s="4"/>
      <c r="H1804" s="4"/>
      <c r="I1804" s="3"/>
      <c r="J1804" s="12"/>
    </row>
    <row r="1805" spans="1:10" x14ac:dyDescent="0.25">
      <c r="A1805" s="4"/>
      <c r="B1805" s="55"/>
      <c r="C1805" s="5"/>
      <c r="D1805" s="56"/>
      <c r="E1805" s="56"/>
      <c r="F1805" s="6"/>
      <c r="G1805" s="4"/>
      <c r="H1805" s="4"/>
      <c r="I1805" s="3"/>
      <c r="J1805" s="12"/>
    </row>
    <row r="1806" spans="1:10" x14ac:dyDescent="0.25">
      <c r="A1806" s="4"/>
      <c r="B1806" s="55"/>
      <c r="C1806" s="5"/>
      <c r="D1806" s="56"/>
      <c r="E1806" s="56"/>
      <c r="F1806" s="6"/>
      <c r="G1806" s="4"/>
      <c r="H1806" s="4"/>
      <c r="I1806" s="3"/>
      <c r="J1806" s="12"/>
    </row>
    <row r="1807" spans="1:10" x14ac:dyDescent="0.25">
      <c r="A1807" s="4"/>
      <c r="B1807" s="55"/>
      <c r="C1807" s="5"/>
      <c r="D1807" s="56"/>
      <c r="E1807" s="56"/>
      <c r="F1807" s="6"/>
      <c r="G1807" s="4"/>
      <c r="H1807" s="4"/>
      <c r="I1807" s="3"/>
      <c r="J1807" s="12"/>
    </row>
    <row r="1808" spans="1:10" x14ac:dyDescent="0.25">
      <c r="A1808" s="4"/>
      <c r="B1808" s="55"/>
      <c r="C1808" s="5"/>
      <c r="D1808" s="56"/>
      <c r="E1808" s="56"/>
      <c r="F1808" s="6"/>
      <c r="G1808" s="4"/>
      <c r="H1808" s="4"/>
      <c r="I1808" s="3"/>
      <c r="J1808" s="12"/>
    </row>
    <row r="1809" spans="1:10" x14ac:dyDescent="0.25">
      <c r="A1809" s="4"/>
      <c r="B1809" s="55"/>
      <c r="C1809" s="5"/>
      <c r="D1809" s="56"/>
      <c r="E1809" s="56"/>
      <c r="F1809" s="6"/>
      <c r="G1809" s="4"/>
      <c r="H1809" s="4"/>
      <c r="I1809" s="3"/>
      <c r="J1809" s="12"/>
    </row>
    <row r="1810" spans="1:10" x14ac:dyDescent="0.25">
      <c r="A1810" s="4"/>
      <c r="B1810" s="55"/>
      <c r="C1810" s="5"/>
      <c r="D1810" s="56"/>
      <c r="E1810" s="56"/>
      <c r="F1810" s="6"/>
      <c r="G1810" s="4"/>
      <c r="H1810" s="4"/>
      <c r="I1810" s="3"/>
      <c r="J1810" s="12"/>
    </row>
    <row r="1811" spans="1:10" x14ac:dyDescent="0.25">
      <c r="A1811" s="4"/>
      <c r="B1811" s="55"/>
      <c r="C1811" s="5"/>
      <c r="D1811" s="56"/>
      <c r="E1811" s="56"/>
      <c r="F1811" s="6"/>
      <c r="G1811" s="4"/>
      <c r="H1811" s="4"/>
      <c r="I1811" s="3"/>
      <c r="J1811" s="12"/>
    </row>
    <row r="1812" spans="1:10" x14ac:dyDescent="0.25">
      <c r="A1812" s="4"/>
      <c r="B1812" s="55"/>
      <c r="C1812" s="5"/>
      <c r="D1812" s="56"/>
      <c r="E1812" s="56"/>
      <c r="F1812" s="6"/>
      <c r="G1812" s="4"/>
      <c r="H1812" s="4"/>
      <c r="I1812" s="3"/>
      <c r="J1812" s="12"/>
    </row>
    <row r="1813" spans="1:10" x14ac:dyDescent="0.25">
      <c r="A1813" s="4"/>
      <c r="B1813" s="55"/>
      <c r="C1813" s="5"/>
      <c r="D1813" s="56"/>
      <c r="E1813" s="56"/>
      <c r="F1813" s="6"/>
      <c r="G1813" s="4"/>
      <c r="H1813" s="4"/>
      <c r="I1813" s="3"/>
      <c r="J1813" s="12"/>
    </row>
    <row r="1814" spans="1:10" x14ac:dyDescent="0.25">
      <c r="A1814" s="4"/>
      <c r="B1814" s="55"/>
      <c r="C1814" s="5"/>
      <c r="D1814" s="56"/>
      <c r="E1814" s="56"/>
      <c r="F1814" s="6"/>
      <c r="G1814" s="4"/>
      <c r="H1814" s="4"/>
      <c r="I1814" s="3"/>
      <c r="J1814" s="12"/>
    </row>
    <row r="1815" spans="1:10" x14ac:dyDescent="0.25">
      <c r="A1815" s="4"/>
      <c r="B1815" s="55"/>
      <c r="C1815" s="5"/>
      <c r="D1815" s="56"/>
      <c r="E1815" s="56"/>
      <c r="F1815" s="6"/>
      <c r="G1815" s="4"/>
      <c r="H1815" s="4"/>
      <c r="I1815" s="3"/>
      <c r="J1815" s="12"/>
    </row>
    <row r="1816" spans="1:10" x14ac:dyDescent="0.25">
      <c r="A1816" s="4"/>
      <c r="B1816" s="55"/>
      <c r="C1816" s="5"/>
      <c r="D1816" s="56"/>
      <c r="E1816" s="56"/>
      <c r="F1816" s="6"/>
      <c r="G1816" s="4"/>
      <c r="H1816" s="4"/>
      <c r="I1816" s="3"/>
      <c r="J1816" s="12"/>
    </row>
    <row r="1817" spans="1:10" x14ac:dyDescent="0.25">
      <c r="A1817" s="4"/>
      <c r="B1817" s="55"/>
      <c r="C1817" s="5"/>
      <c r="D1817" s="56"/>
      <c r="E1817" s="56"/>
      <c r="F1817" s="6"/>
      <c r="G1817" s="4"/>
      <c r="H1817" s="4"/>
      <c r="I1817" s="3"/>
      <c r="J1817" s="12"/>
    </row>
    <row r="1818" spans="1:10" x14ac:dyDescent="0.25">
      <c r="A1818" s="4"/>
      <c r="B1818" s="55"/>
      <c r="C1818" s="5"/>
      <c r="D1818" s="56"/>
      <c r="E1818" s="56"/>
      <c r="F1818" s="6"/>
      <c r="G1818" s="4"/>
      <c r="H1818" s="4"/>
      <c r="I1818" s="3"/>
      <c r="J1818" s="12"/>
    </row>
    <row r="1819" spans="1:10" x14ac:dyDescent="0.25">
      <c r="A1819" s="4"/>
      <c r="B1819" s="55"/>
      <c r="C1819" s="5"/>
      <c r="D1819" s="56"/>
      <c r="E1819" s="56"/>
      <c r="F1819" s="6"/>
      <c r="G1819" s="4"/>
      <c r="H1819" s="4"/>
      <c r="I1819" s="3"/>
      <c r="J1819" s="12"/>
    </row>
    <row r="1820" spans="1:10" x14ac:dyDescent="0.25">
      <c r="A1820" s="4"/>
      <c r="B1820" s="55"/>
      <c r="C1820" s="5"/>
      <c r="D1820" s="56"/>
      <c r="E1820" s="56"/>
      <c r="F1820" s="6"/>
      <c r="G1820" s="4"/>
      <c r="H1820" s="4"/>
      <c r="I1820" s="3"/>
      <c r="J1820" s="12"/>
    </row>
    <row r="1821" spans="1:10" x14ac:dyDescent="0.25">
      <c r="A1821" s="4"/>
      <c r="B1821" s="55"/>
      <c r="C1821" s="5"/>
      <c r="D1821" s="56"/>
      <c r="E1821" s="56"/>
      <c r="F1821" s="6"/>
      <c r="G1821" s="4"/>
      <c r="H1821" s="4"/>
      <c r="I1821" s="3"/>
      <c r="J1821" s="12"/>
    </row>
    <row r="1822" spans="1:10" x14ac:dyDescent="0.25">
      <c r="A1822" s="4"/>
      <c r="B1822" s="55"/>
      <c r="C1822" s="5"/>
      <c r="D1822" s="56"/>
      <c r="E1822" s="56"/>
      <c r="F1822" s="6"/>
      <c r="G1822" s="4"/>
      <c r="H1822" s="4"/>
      <c r="I1822" s="3"/>
      <c r="J1822" s="12"/>
    </row>
    <row r="1823" spans="1:10" x14ac:dyDescent="0.25">
      <c r="A1823" s="4"/>
      <c r="B1823" s="55"/>
      <c r="C1823" s="5"/>
      <c r="D1823" s="56"/>
      <c r="E1823" s="56"/>
      <c r="F1823" s="6"/>
      <c r="G1823" s="4"/>
      <c r="H1823" s="4"/>
      <c r="I1823" s="3"/>
      <c r="J1823" s="12"/>
    </row>
    <row r="1824" spans="1:10" x14ac:dyDescent="0.25">
      <c r="A1824" s="4"/>
      <c r="B1824" s="55"/>
      <c r="C1824" s="5"/>
      <c r="D1824" s="56"/>
      <c r="E1824" s="56"/>
      <c r="F1824" s="6"/>
      <c r="G1824" s="4"/>
      <c r="H1824" s="4"/>
      <c r="I1824" s="3"/>
      <c r="J1824" s="12"/>
    </row>
    <row r="1825" spans="1:10" x14ac:dyDescent="0.25">
      <c r="A1825" s="4"/>
      <c r="B1825" s="55"/>
      <c r="C1825" s="5"/>
      <c r="D1825" s="56"/>
      <c r="E1825" s="56"/>
      <c r="F1825" s="6"/>
      <c r="G1825" s="4"/>
      <c r="H1825" s="4"/>
      <c r="I1825" s="3"/>
      <c r="J1825" s="12"/>
    </row>
    <row r="1826" spans="1:10" x14ac:dyDescent="0.25">
      <c r="A1826" s="4"/>
      <c r="B1826" s="55"/>
      <c r="C1826" s="5"/>
      <c r="D1826" s="56"/>
      <c r="E1826" s="56"/>
      <c r="F1826" s="6"/>
      <c r="G1826" s="4"/>
      <c r="H1826" s="4"/>
      <c r="I1826" s="3"/>
      <c r="J1826" s="12"/>
    </row>
    <row r="1827" spans="1:10" x14ac:dyDescent="0.25">
      <c r="A1827" s="4"/>
      <c r="B1827" s="55"/>
      <c r="C1827" s="5"/>
      <c r="D1827" s="56"/>
      <c r="E1827" s="56"/>
      <c r="F1827" s="6"/>
      <c r="G1827" s="4"/>
      <c r="H1827" s="4"/>
      <c r="I1827" s="3"/>
      <c r="J1827" s="12"/>
    </row>
    <row r="1828" spans="1:10" x14ac:dyDescent="0.25">
      <c r="A1828" s="4"/>
      <c r="B1828" s="55"/>
      <c r="C1828" s="5"/>
      <c r="D1828" s="56"/>
      <c r="E1828" s="56"/>
      <c r="F1828" s="6"/>
      <c r="G1828" s="4"/>
      <c r="H1828" s="4"/>
      <c r="I1828" s="3"/>
      <c r="J1828" s="12"/>
    </row>
    <row r="1829" spans="1:10" x14ac:dyDescent="0.25">
      <c r="A1829" s="4"/>
      <c r="B1829" s="55"/>
      <c r="C1829" s="5"/>
      <c r="D1829" s="56"/>
      <c r="E1829" s="56"/>
      <c r="F1829" s="6"/>
      <c r="G1829" s="4"/>
      <c r="H1829" s="4"/>
      <c r="I1829" s="3"/>
      <c r="J1829" s="12"/>
    </row>
    <row r="1830" spans="1:10" x14ac:dyDescent="0.25">
      <c r="A1830" s="4"/>
      <c r="B1830" s="55"/>
      <c r="C1830" s="5"/>
      <c r="D1830" s="56"/>
      <c r="E1830" s="56"/>
      <c r="F1830" s="6"/>
      <c r="G1830" s="4"/>
      <c r="H1830" s="4"/>
      <c r="I1830" s="3"/>
      <c r="J1830" s="12"/>
    </row>
    <row r="1831" spans="1:10" x14ac:dyDescent="0.25">
      <c r="A1831" s="4"/>
      <c r="B1831" s="55"/>
      <c r="C1831" s="5"/>
      <c r="D1831" s="56"/>
      <c r="E1831" s="56"/>
      <c r="F1831" s="6"/>
      <c r="G1831" s="4"/>
      <c r="H1831" s="4"/>
      <c r="I1831" s="3"/>
      <c r="J1831" s="12"/>
    </row>
    <row r="1832" spans="1:10" x14ac:dyDescent="0.25">
      <c r="A1832" s="4"/>
      <c r="B1832" s="55"/>
      <c r="C1832" s="5"/>
      <c r="D1832" s="56"/>
      <c r="E1832" s="56"/>
      <c r="F1832" s="6"/>
      <c r="G1832" s="4"/>
      <c r="H1832" s="4"/>
      <c r="I1832" s="3"/>
      <c r="J1832" s="12"/>
    </row>
    <row r="1833" spans="1:10" x14ac:dyDescent="0.25">
      <c r="A1833" s="4"/>
      <c r="B1833" s="55"/>
      <c r="C1833" s="5"/>
      <c r="D1833" s="56"/>
      <c r="E1833" s="56"/>
      <c r="F1833" s="6"/>
      <c r="G1833" s="4"/>
      <c r="H1833" s="4"/>
      <c r="I1833" s="3"/>
      <c r="J1833" s="12"/>
    </row>
    <row r="1834" spans="1:10" x14ac:dyDescent="0.25">
      <c r="A1834" s="4"/>
      <c r="B1834" s="55"/>
      <c r="C1834" s="5"/>
      <c r="D1834" s="56"/>
      <c r="E1834" s="56"/>
      <c r="F1834" s="6"/>
      <c r="G1834" s="4"/>
      <c r="H1834" s="4"/>
      <c r="I1834" s="3"/>
      <c r="J1834" s="12"/>
    </row>
    <row r="1835" spans="1:10" x14ac:dyDescent="0.25">
      <c r="A1835" s="4"/>
      <c r="B1835" s="55"/>
      <c r="C1835" s="5"/>
      <c r="D1835" s="56"/>
      <c r="E1835" s="56"/>
      <c r="F1835" s="6"/>
      <c r="G1835" s="4"/>
      <c r="H1835" s="4"/>
      <c r="I1835" s="3"/>
      <c r="J1835" s="12"/>
    </row>
    <row r="1836" spans="1:10" x14ac:dyDescent="0.25">
      <c r="A1836" s="4"/>
      <c r="B1836" s="55"/>
      <c r="C1836" s="5"/>
      <c r="D1836" s="56"/>
      <c r="E1836" s="56"/>
      <c r="F1836" s="6"/>
      <c r="G1836" s="4"/>
      <c r="H1836" s="4"/>
      <c r="I1836" s="3"/>
      <c r="J1836" s="12"/>
    </row>
    <row r="1837" spans="1:10" x14ac:dyDescent="0.25">
      <c r="A1837" s="4"/>
      <c r="B1837" s="55"/>
      <c r="C1837" s="5"/>
      <c r="D1837" s="56"/>
      <c r="E1837" s="56"/>
      <c r="F1837" s="6"/>
      <c r="G1837" s="4"/>
      <c r="H1837" s="4"/>
      <c r="I1837" s="3"/>
      <c r="J1837" s="12"/>
    </row>
    <row r="1838" spans="1:10" x14ac:dyDescent="0.25">
      <c r="A1838" s="4"/>
      <c r="B1838" s="55"/>
      <c r="C1838" s="5"/>
      <c r="D1838" s="56"/>
      <c r="E1838" s="56"/>
      <c r="F1838" s="6"/>
      <c r="G1838" s="4"/>
      <c r="H1838" s="4"/>
      <c r="I1838" s="3"/>
      <c r="J1838" s="12"/>
    </row>
    <row r="1839" spans="1:10" x14ac:dyDescent="0.25">
      <c r="A1839" s="4"/>
      <c r="B1839" s="55"/>
      <c r="C1839" s="5"/>
      <c r="D1839" s="56"/>
      <c r="E1839" s="56"/>
      <c r="F1839" s="6"/>
      <c r="G1839" s="4"/>
      <c r="H1839" s="4"/>
      <c r="I1839" s="3"/>
      <c r="J1839" s="12"/>
    </row>
    <row r="1840" spans="1:10" x14ac:dyDescent="0.25">
      <c r="A1840" s="4"/>
      <c r="B1840" s="55"/>
      <c r="C1840" s="5"/>
      <c r="D1840" s="56"/>
      <c r="E1840" s="56"/>
      <c r="F1840" s="6"/>
      <c r="G1840" s="4"/>
      <c r="H1840" s="4"/>
      <c r="I1840" s="3"/>
      <c r="J1840" s="12"/>
    </row>
    <row r="1841" spans="1:10" x14ac:dyDescent="0.25">
      <c r="A1841" s="4"/>
      <c r="B1841" s="55"/>
      <c r="C1841" s="5"/>
      <c r="D1841" s="56"/>
      <c r="E1841" s="56"/>
      <c r="F1841" s="6"/>
      <c r="G1841" s="4"/>
      <c r="H1841" s="4"/>
      <c r="I1841" s="3"/>
      <c r="J1841" s="12"/>
    </row>
    <row r="1842" spans="1:10" x14ac:dyDescent="0.25">
      <c r="A1842" s="4"/>
      <c r="B1842" s="55"/>
      <c r="C1842" s="5"/>
      <c r="D1842" s="56"/>
      <c r="E1842" s="56"/>
      <c r="F1842" s="6"/>
      <c r="G1842" s="4"/>
      <c r="H1842" s="4"/>
      <c r="I1842" s="3"/>
      <c r="J1842" s="12"/>
    </row>
    <row r="1843" spans="1:10" x14ac:dyDescent="0.25">
      <c r="A1843" s="4"/>
      <c r="B1843" s="55"/>
      <c r="C1843" s="5"/>
      <c r="D1843" s="56"/>
      <c r="E1843" s="56"/>
      <c r="F1843" s="6"/>
      <c r="G1843" s="4"/>
      <c r="H1843" s="4"/>
      <c r="I1843" s="3"/>
      <c r="J1843" s="12"/>
    </row>
    <row r="1844" spans="1:10" x14ac:dyDescent="0.25">
      <c r="A1844" s="4"/>
      <c r="B1844" s="55"/>
      <c r="C1844" s="5"/>
      <c r="D1844" s="56"/>
      <c r="E1844" s="56"/>
      <c r="F1844" s="6"/>
      <c r="G1844" s="4"/>
      <c r="H1844" s="4"/>
      <c r="I1844" s="3"/>
      <c r="J1844" s="12"/>
    </row>
    <row r="1845" spans="1:10" x14ac:dyDescent="0.25">
      <c r="A1845" s="4"/>
      <c r="B1845" s="55"/>
      <c r="C1845" s="5"/>
      <c r="D1845" s="56"/>
      <c r="E1845" s="56"/>
      <c r="F1845" s="6"/>
      <c r="G1845" s="4"/>
      <c r="H1845" s="4"/>
      <c r="I1845" s="3"/>
      <c r="J1845" s="12"/>
    </row>
    <row r="1846" spans="1:10" x14ac:dyDescent="0.25">
      <c r="A1846" s="4"/>
      <c r="B1846" s="55"/>
      <c r="C1846" s="5"/>
      <c r="D1846" s="56"/>
      <c r="E1846" s="56"/>
      <c r="F1846" s="6"/>
      <c r="G1846" s="4"/>
      <c r="H1846" s="4"/>
      <c r="I1846" s="3"/>
      <c r="J1846" s="12"/>
    </row>
    <row r="1847" spans="1:10" x14ac:dyDescent="0.25">
      <c r="A1847" s="4"/>
      <c r="B1847" s="55"/>
      <c r="C1847" s="5"/>
      <c r="D1847" s="56"/>
      <c r="E1847" s="56"/>
      <c r="F1847" s="6"/>
      <c r="G1847" s="4"/>
      <c r="H1847" s="4"/>
      <c r="I1847" s="3"/>
      <c r="J1847" s="12"/>
    </row>
    <row r="1848" spans="1:10" x14ac:dyDescent="0.25">
      <c r="A1848" s="4"/>
      <c r="B1848" s="55"/>
      <c r="C1848" s="5"/>
      <c r="D1848" s="56"/>
      <c r="E1848" s="56"/>
      <c r="F1848" s="6"/>
      <c r="G1848" s="4"/>
      <c r="H1848" s="4"/>
      <c r="I1848" s="3"/>
      <c r="J1848" s="12"/>
    </row>
    <row r="1849" spans="1:10" x14ac:dyDescent="0.25">
      <c r="A1849" s="4"/>
      <c r="B1849" s="55"/>
      <c r="C1849" s="5"/>
      <c r="D1849" s="56"/>
      <c r="E1849" s="56"/>
      <c r="F1849" s="6"/>
      <c r="G1849" s="4"/>
      <c r="H1849" s="4"/>
      <c r="I1849" s="3"/>
      <c r="J1849" s="12"/>
    </row>
    <row r="1850" spans="1:10" x14ac:dyDescent="0.25">
      <c r="A1850" s="4"/>
      <c r="B1850" s="55"/>
      <c r="C1850" s="5"/>
      <c r="D1850" s="56"/>
      <c r="E1850" s="56"/>
      <c r="F1850" s="6"/>
      <c r="G1850" s="4"/>
      <c r="H1850" s="4"/>
      <c r="I1850" s="3"/>
      <c r="J1850" s="12"/>
    </row>
    <row r="1851" spans="1:10" x14ac:dyDescent="0.25">
      <c r="A1851" s="4"/>
      <c r="B1851" s="55"/>
      <c r="C1851" s="5"/>
      <c r="D1851" s="56"/>
      <c r="E1851" s="56"/>
      <c r="F1851" s="6"/>
      <c r="G1851" s="4"/>
      <c r="H1851" s="4"/>
      <c r="I1851" s="3"/>
      <c r="J1851" s="12"/>
    </row>
    <row r="1852" spans="1:10" x14ac:dyDescent="0.25">
      <c r="A1852" s="4"/>
      <c r="B1852" s="55"/>
      <c r="C1852" s="5"/>
      <c r="D1852" s="56"/>
      <c r="E1852" s="56"/>
      <c r="F1852" s="6"/>
      <c r="G1852" s="4"/>
      <c r="H1852" s="4"/>
      <c r="I1852" s="3"/>
      <c r="J1852" s="12"/>
    </row>
    <row r="1853" spans="1:10" x14ac:dyDescent="0.25">
      <c r="A1853" s="4"/>
      <c r="B1853" s="55"/>
      <c r="C1853" s="5"/>
      <c r="D1853" s="56"/>
      <c r="E1853" s="56"/>
      <c r="F1853" s="6"/>
      <c r="G1853" s="4"/>
      <c r="H1853" s="4"/>
      <c r="I1853" s="3"/>
      <c r="J1853" s="12"/>
    </row>
    <row r="1854" spans="1:10" x14ac:dyDescent="0.25">
      <c r="A1854" s="4"/>
      <c r="B1854" s="55"/>
      <c r="C1854" s="5"/>
      <c r="D1854" s="56"/>
      <c r="E1854" s="56"/>
      <c r="F1854" s="6"/>
      <c r="G1854" s="4"/>
      <c r="H1854" s="4"/>
      <c r="I1854" s="3"/>
      <c r="J1854" s="12"/>
    </row>
    <row r="1855" spans="1:10" x14ac:dyDescent="0.25">
      <c r="A1855" s="4"/>
      <c r="B1855" s="55"/>
      <c r="C1855" s="5"/>
      <c r="D1855" s="56"/>
      <c r="E1855" s="56"/>
      <c r="F1855" s="6"/>
      <c r="G1855" s="4"/>
      <c r="H1855" s="4"/>
      <c r="I1855" s="3"/>
      <c r="J1855" s="12"/>
    </row>
    <row r="1856" spans="1:10" x14ac:dyDescent="0.25">
      <c r="A1856" s="4"/>
      <c r="B1856" s="55"/>
      <c r="C1856" s="5"/>
      <c r="D1856" s="56"/>
      <c r="E1856" s="56"/>
      <c r="F1856" s="6"/>
      <c r="G1856" s="4"/>
      <c r="H1856" s="4"/>
      <c r="I1856" s="3"/>
      <c r="J1856" s="12"/>
    </row>
    <row r="1857" spans="1:10" x14ac:dyDescent="0.25">
      <c r="A1857" s="4"/>
      <c r="B1857" s="55"/>
      <c r="C1857" s="5"/>
      <c r="D1857" s="56"/>
      <c r="E1857" s="56"/>
      <c r="F1857" s="6"/>
      <c r="G1857" s="4"/>
      <c r="H1857" s="4"/>
      <c r="I1857" s="3"/>
      <c r="J1857" s="12"/>
    </row>
    <row r="1858" spans="1:10" x14ac:dyDescent="0.25">
      <c r="A1858" s="4"/>
      <c r="B1858" s="55"/>
      <c r="C1858" s="5"/>
      <c r="D1858" s="56"/>
      <c r="E1858" s="56"/>
      <c r="F1858" s="6"/>
      <c r="G1858" s="4"/>
      <c r="H1858" s="4"/>
      <c r="I1858" s="3"/>
      <c r="J1858" s="12"/>
    </row>
    <row r="1859" spans="1:10" x14ac:dyDescent="0.25">
      <c r="A1859" s="4"/>
      <c r="B1859" s="55"/>
      <c r="C1859" s="5"/>
      <c r="D1859" s="56"/>
      <c r="E1859" s="56"/>
      <c r="F1859" s="6"/>
      <c r="G1859" s="4"/>
      <c r="H1859" s="4"/>
      <c r="I1859" s="3"/>
      <c r="J1859" s="12"/>
    </row>
    <row r="1860" spans="1:10" x14ac:dyDescent="0.25">
      <c r="A1860" s="4"/>
      <c r="B1860" s="55"/>
      <c r="C1860" s="5"/>
      <c r="D1860" s="56"/>
      <c r="E1860" s="56"/>
      <c r="F1860" s="6"/>
      <c r="G1860" s="4"/>
      <c r="H1860" s="4"/>
      <c r="I1860" s="3"/>
      <c r="J1860" s="12"/>
    </row>
    <row r="1861" spans="1:10" x14ac:dyDescent="0.25">
      <c r="A1861" s="4"/>
      <c r="B1861" s="55"/>
      <c r="C1861" s="5"/>
      <c r="D1861" s="56"/>
      <c r="E1861" s="56"/>
      <c r="F1861" s="6"/>
      <c r="G1861" s="4"/>
      <c r="H1861" s="4"/>
      <c r="I1861" s="3"/>
      <c r="J1861" s="12"/>
    </row>
    <row r="1862" spans="1:10" x14ac:dyDescent="0.25">
      <c r="A1862" s="4"/>
      <c r="B1862" s="55"/>
      <c r="C1862" s="5"/>
      <c r="D1862" s="56"/>
      <c r="E1862" s="56"/>
      <c r="F1862" s="6"/>
      <c r="G1862" s="4"/>
      <c r="H1862" s="4"/>
      <c r="I1862" s="3"/>
      <c r="J1862" s="12"/>
    </row>
    <row r="1863" spans="1:10" x14ac:dyDescent="0.25">
      <c r="A1863" s="4"/>
      <c r="B1863" s="55"/>
      <c r="C1863" s="5"/>
      <c r="D1863" s="56"/>
      <c r="E1863" s="56"/>
      <c r="F1863" s="6"/>
      <c r="G1863" s="4"/>
      <c r="H1863" s="4"/>
      <c r="I1863" s="3"/>
      <c r="J1863" s="12"/>
    </row>
    <row r="1864" spans="1:10" x14ac:dyDescent="0.25">
      <c r="A1864" s="4"/>
      <c r="B1864" s="55"/>
      <c r="C1864" s="5"/>
      <c r="D1864" s="56"/>
      <c r="E1864" s="56"/>
      <c r="F1864" s="6"/>
      <c r="G1864" s="4"/>
      <c r="H1864" s="4"/>
      <c r="I1864" s="3"/>
      <c r="J1864" s="12"/>
    </row>
    <row r="1865" spans="1:10" x14ac:dyDescent="0.25">
      <c r="A1865" s="4"/>
      <c r="B1865" s="55"/>
      <c r="C1865" s="5"/>
      <c r="D1865" s="56"/>
      <c r="E1865" s="56"/>
      <c r="F1865" s="6"/>
      <c r="G1865" s="4"/>
      <c r="H1865" s="4"/>
      <c r="I1865" s="3"/>
      <c r="J1865" s="12"/>
    </row>
    <row r="1866" spans="1:10" x14ac:dyDescent="0.25">
      <c r="A1866" s="4"/>
      <c r="B1866" s="55"/>
      <c r="C1866" s="5"/>
      <c r="D1866" s="56"/>
      <c r="E1866" s="56"/>
      <c r="F1866" s="6"/>
      <c r="G1866" s="4"/>
      <c r="H1866" s="4"/>
      <c r="I1866" s="3"/>
      <c r="J1866" s="12"/>
    </row>
    <row r="1867" spans="1:10" x14ac:dyDescent="0.25">
      <c r="A1867" s="4"/>
      <c r="B1867" s="55"/>
      <c r="C1867" s="5"/>
      <c r="D1867" s="56"/>
      <c r="E1867" s="56"/>
      <c r="F1867" s="6"/>
      <c r="G1867" s="4"/>
      <c r="H1867" s="4"/>
      <c r="I1867" s="3"/>
      <c r="J1867" s="12"/>
    </row>
    <row r="1868" spans="1:10" x14ac:dyDescent="0.25">
      <c r="A1868" s="4"/>
      <c r="B1868" s="55"/>
      <c r="C1868" s="5"/>
      <c r="D1868" s="56"/>
      <c r="E1868" s="56"/>
      <c r="F1868" s="6"/>
      <c r="G1868" s="4"/>
      <c r="H1868" s="4"/>
      <c r="I1868" s="3"/>
      <c r="J1868" s="12"/>
    </row>
    <row r="1869" spans="1:10" x14ac:dyDescent="0.25">
      <c r="A1869" s="4"/>
      <c r="B1869" s="55"/>
      <c r="C1869" s="5"/>
      <c r="D1869" s="56"/>
      <c r="E1869" s="56"/>
      <c r="F1869" s="6"/>
      <c r="G1869" s="4"/>
      <c r="H1869" s="4"/>
      <c r="I1869" s="3"/>
      <c r="J1869" s="12"/>
    </row>
    <row r="1870" spans="1:10" x14ac:dyDescent="0.25">
      <c r="A1870" s="4"/>
      <c r="B1870" s="55"/>
      <c r="C1870" s="5"/>
      <c r="D1870" s="56"/>
      <c r="E1870" s="56"/>
      <c r="F1870" s="6"/>
      <c r="G1870" s="4"/>
      <c r="H1870" s="4"/>
      <c r="I1870" s="3"/>
      <c r="J1870" s="12"/>
    </row>
    <row r="1871" spans="1:10" x14ac:dyDescent="0.25">
      <c r="A1871" s="4"/>
      <c r="B1871" s="55"/>
      <c r="C1871" s="5"/>
      <c r="D1871" s="56"/>
      <c r="E1871" s="56"/>
      <c r="F1871" s="6"/>
      <c r="G1871" s="4"/>
      <c r="H1871" s="4"/>
      <c r="I1871" s="3"/>
      <c r="J1871" s="12"/>
    </row>
    <row r="1872" spans="1:10" x14ac:dyDescent="0.25">
      <c r="A1872" s="4"/>
      <c r="B1872" s="55"/>
      <c r="C1872" s="5"/>
      <c r="D1872" s="56"/>
      <c r="E1872" s="56"/>
      <c r="F1872" s="6"/>
      <c r="G1872" s="4"/>
      <c r="H1872" s="4"/>
      <c r="I1872" s="3"/>
      <c r="J1872" s="12"/>
    </row>
    <row r="1873" spans="1:10" x14ac:dyDescent="0.25">
      <c r="A1873" s="4"/>
      <c r="B1873" s="55"/>
      <c r="C1873" s="5"/>
      <c r="D1873" s="56"/>
      <c r="E1873" s="56"/>
      <c r="F1873" s="6"/>
      <c r="G1873" s="4"/>
      <c r="H1873" s="4"/>
      <c r="I1873" s="3"/>
      <c r="J1873" s="12"/>
    </row>
    <row r="1874" spans="1:10" x14ac:dyDescent="0.25">
      <c r="A1874" s="4"/>
      <c r="B1874" s="55"/>
      <c r="C1874" s="5"/>
      <c r="D1874" s="56"/>
      <c r="E1874" s="56"/>
      <c r="F1874" s="6"/>
      <c r="G1874" s="4"/>
      <c r="H1874" s="4"/>
      <c r="I1874" s="3"/>
      <c r="J1874" s="12"/>
    </row>
    <row r="1875" spans="1:10" x14ac:dyDescent="0.25">
      <c r="A1875" s="4"/>
      <c r="B1875" s="55"/>
      <c r="C1875" s="5"/>
      <c r="D1875" s="56"/>
      <c r="E1875" s="56"/>
      <c r="F1875" s="6"/>
      <c r="G1875" s="4"/>
      <c r="H1875" s="4"/>
      <c r="I1875" s="3"/>
      <c r="J1875" s="12"/>
    </row>
    <row r="1876" spans="1:10" x14ac:dyDescent="0.25">
      <c r="A1876" s="4"/>
      <c r="B1876" s="55"/>
      <c r="C1876" s="5"/>
      <c r="D1876" s="56"/>
      <c r="E1876" s="56"/>
      <c r="F1876" s="6"/>
      <c r="G1876" s="4"/>
      <c r="H1876" s="4"/>
      <c r="I1876" s="3"/>
      <c r="J1876" s="12"/>
    </row>
    <row r="1877" spans="1:10" x14ac:dyDescent="0.25">
      <c r="A1877" s="4"/>
      <c r="B1877" s="55"/>
      <c r="C1877" s="5"/>
      <c r="D1877" s="56"/>
      <c r="E1877" s="56"/>
      <c r="F1877" s="6"/>
      <c r="G1877" s="4"/>
      <c r="H1877" s="4"/>
      <c r="I1877" s="3"/>
      <c r="J1877" s="12"/>
    </row>
    <row r="1878" spans="1:10" x14ac:dyDescent="0.25">
      <c r="A1878" s="4"/>
      <c r="B1878" s="55"/>
      <c r="C1878" s="5"/>
      <c r="D1878" s="56"/>
      <c r="E1878" s="56"/>
      <c r="F1878" s="6"/>
      <c r="G1878" s="4"/>
      <c r="H1878" s="4"/>
      <c r="I1878" s="3"/>
      <c r="J1878" s="12"/>
    </row>
    <row r="1879" spans="1:10" x14ac:dyDescent="0.25">
      <c r="A1879" s="4"/>
      <c r="B1879" s="55"/>
      <c r="C1879" s="5"/>
      <c r="D1879" s="56"/>
      <c r="E1879" s="56"/>
      <c r="F1879" s="6"/>
      <c r="G1879" s="4"/>
      <c r="H1879" s="4"/>
      <c r="I1879" s="3"/>
      <c r="J1879" s="12"/>
    </row>
    <row r="1880" spans="1:10" x14ac:dyDescent="0.25">
      <c r="A1880" s="4"/>
      <c r="B1880" s="55"/>
      <c r="C1880" s="5"/>
      <c r="D1880" s="56"/>
      <c r="E1880" s="56"/>
      <c r="F1880" s="6"/>
      <c r="G1880" s="4"/>
      <c r="H1880" s="4"/>
      <c r="I1880" s="3"/>
      <c r="J1880" s="12"/>
    </row>
    <row r="1881" spans="1:10" x14ac:dyDescent="0.25">
      <c r="A1881" s="4"/>
      <c r="B1881" s="55"/>
      <c r="C1881" s="5"/>
      <c r="D1881" s="56"/>
      <c r="E1881" s="56"/>
      <c r="F1881" s="6"/>
      <c r="G1881" s="4"/>
      <c r="H1881" s="4"/>
      <c r="I1881" s="3"/>
      <c r="J1881" s="12"/>
    </row>
    <row r="1882" spans="1:10" x14ac:dyDescent="0.25">
      <c r="A1882" s="4"/>
      <c r="B1882" s="55"/>
      <c r="C1882" s="5"/>
      <c r="D1882" s="56"/>
      <c r="E1882" s="56"/>
      <c r="F1882" s="6"/>
      <c r="G1882" s="4"/>
      <c r="H1882" s="4"/>
      <c r="I1882" s="3"/>
      <c r="J1882" s="12"/>
    </row>
    <row r="1883" spans="1:10" x14ac:dyDescent="0.25">
      <c r="A1883" s="4"/>
      <c r="B1883" s="55"/>
      <c r="C1883" s="5"/>
      <c r="D1883" s="56"/>
      <c r="E1883" s="56"/>
      <c r="F1883" s="6"/>
      <c r="G1883" s="4"/>
      <c r="H1883" s="4"/>
      <c r="I1883" s="3"/>
      <c r="J1883" s="12"/>
    </row>
    <row r="1884" spans="1:10" x14ac:dyDescent="0.25">
      <c r="A1884" s="4"/>
      <c r="B1884" s="55"/>
      <c r="C1884" s="5"/>
      <c r="D1884" s="56"/>
      <c r="E1884" s="56"/>
      <c r="F1884" s="6"/>
      <c r="G1884" s="4"/>
      <c r="H1884" s="4"/>
      <c r="I1884" s="3"/>
      <c r="J1884" s="12"/>
    </row>
    <row r="1885" spans="1:10" x14ac:dyDescent="0.25">
      <c r="A1885" s="4"/>
      <c r="B1885" s="55"/>
      <c r="C1885" s="5"/>
      <c r="D1885" s="56"/>
      <c r="E1885" s="56"/>
      <c r="F1885" s="6"/>
      <c r="G1885" s="4"/>
      <c r="H1885" s="4"/>
      <c r="I1885" s="3"/>
      <c r="J1885" s="12"/>
    </row>
    <row r="1886" spans="1:10" x14ac:dyDescent="0.25">
      <c r="A1886" s="4"/>
      <c r="B1886" s="55"/>
      <c r="C1886" s="5"/>
      <c r="D1886" s="56"/>
      <c r="E1886" s="56"/>
      <c r="F1886" s="6"/>
      <c r="G1886" s="4"/>
      <c r="H1886" s="4"/>
      <c r="I1886" s="3"/>
      <c r="J1886" s="12"/>
    </row>
    <row r="1887" spans="1:10" x14ac:dyDescent="0.25">
      <c r="A1887" s="4"/>
      <c r="B1887" s="55"/>
      <c r="C1887" s="5"/>
      <c r="D1887" s="56"/>
      <c r="E1887" s="56"/>
      <c r="F1887" s="6"/>
      <c r="G1887" s="4"/>
      <c r="H1887" s="4"/>
      <c r="I1887" s="3"/>
      <c r="J1887" s="12"/>
    </row>
    <row r="1888" spans="1:10" x14ac:dyDescent="0.25">
      <c r="A1888" s="4"/>
      <c r="B1888" s="55"/>
      <c r="C1888" s="5"/>
      <c r="D1888" s="56"/>
      <c r="E1888" s="56"/>
      <c r="F1888" s="6"/>
      <c r="G1888" s="4"/>
      <c r="H1888" s="4"/>
      <c r="I1888" s="3"/>
      <c r="J1888" s="12"/>
    </row>
    <row r="1889" spans="1:10" x14ac:dyDescent="0.25">
      <c r="A1889" s="4"/>
      <c r="B1889" s="55"/>
      <c r="C1889" s="5"/>
      <c r="D1889" s="56"/>
      <c r="E1889" s="56"/>
      <c r="F1889" s="6"/>
      <c r="G1889" s="4"/>
      <c r="H1889" s="4"/>
      <c r="I1889" s="3"/>
      <c r="J1889" s="12"/>
    </row>
    <row r="1890" spans="1:10" x14ac:dyDescent="0.25">
      <c r="A1890" s="4"/>
      <c r="B1890" s="55"/>
      <c r="C1890" s="5"/>
      <c r="D1890" s="56"/>
      <c r="E1890" s="56"/>
      <c r="F1890" s="6"/>
      <c r="G1890" s="4"/>
      <c r="H1890" s="4"/>
      <c r="I1890" s="3"/>
      <c r="J1890" s="12"/>
    </row>
    <row r="1891" spans="1:10" x14ac:dyDescent="0.25">
      <c r="A1891" s="4"/>
      <c r="B1891" s="55"/>
      <c r="C1891" s="5"/>
      <c r="D1891" s="56"/>
      <c r="E1891" s="56"/>
      <c r="F1891" s="6"/>
      <c r="G1891" s="4"/>
      <c r="H1891" s="4"/>
      <c r="I1891" s="3"/>
      <c r="J1891" s="12"/>
    </row>
    <row r="1892" spans="1:10" x14ac:dyDescent="0.25">
      <c r="A1892" s="4"/>
      <c r="B1892" s="55"/>
      <c r="C1892" s="5"/>
      <c r="D1892" s="56"/>
      <c r="E1892" s="56"/>
      <c r="F1892" s="6"/>
      <c r="G1892" s="4"/>
      <c r="H1892" s="4"/>
      <c r="I1892" s="3"/>
      <c r="J1892" s="12"/>
    </row>
    <row r="1893" spans="1:10" x14ac:dyDescent="0.25">
      <c r="A1893" s="4"/>
      <c r="B1893" s="55"/>
      <c r="C1893" s="5"/>
      <c r="D1893" s="56"/>
      <c r="E1893" s="56"/>
      <c r="F1893" s="6"/>
      <c r="G1893" s="4"/>
      <c r="H1893" s="4"/>
      <c r="I1893" s="3"/>
      <c r="J1893" s="12"/>
    </row>
    <row r="1894" spans="1:10" x14ac:dyDescent="0.25">
      <c r="A1894" s="4"/>
      <c r="B1894" s="55"/>
      <c r="C1894" s="5"/>
      <c r="D1894" s="56"/>
      <c r="E1894" s="56"/>
      <c r="F1894" s="6"/>
      <c r="G1894" s="4"/>
      <c r="H1894" s="4"/>
      <c r="I1894" s="3"/>
      <c r="J1894" s="12"/>
    </row>
    <row r="1895" spans="1:10" x14ac:dyDescent="0.25">
      <c r="A1895" s="4"/>
      <c r="B1895" s="55"/>
      <c r="C1895" s="5"/>
      <c r="D1895" s="56"/>
      <c r="E1895" s="56"/>
      <c r="F1895" s="6"/>
      <c r="G1895" s="4"/>
      <c r="H1895" s="4"/>
      <c r="I1895" s="3"/>
      <c r="J1895" s="12"/>
    </row>
    <row r="1896" spans="1:10" x14ac:dyDescent="0.25">
      <c r="A1896" s="4"/>
      <c r="B1896" s="55"/>
      <c r="C1896" s="5"/>
      <c r="D1896" s="56"/>
      <c r="E1896" s="56"/>
      <c r="F1896" s="6"/>
      <c r="G1896" s="4"/>
      <c r="H1896" s="4"/>
      <c r="I1896" s="3"/>
      <c r="J1896" s="12"/>
    </row>
    <row r="1897" spans="1:10" x14ac:dyDescent="0.25">
      <c r="A1897" s="4"/>
      <c r="B1897" s="55"/>
      <c r="C1897" s="5"/>
      <c r="D1897" s="56"/>
      <c r="E1897" s="56"/>
      <c r="F1897" s="6"/>
      <c r="G1897" s="4"/>
      <c r="H1897" s="4"/>
      <c r="I1897" s="3"/>
      <c r="J1897" s="12"/>
    </row>
    <row r="1898" spans="1:10" x14ac:dyDescent="0.25">
      <c r="A1898" s="4"/>
      <c r="B1898" s="55"/>
      <c r="C1898" s="5"/>
      <c r="D1898" s="56"/>
      <c r="E1898" s="56"/>
      <c r="F1898" s="6"/>
      <c r="G1898" s="4"/>
      <c r="H1898" s="4"/>
      <c r="I1898" s="3"/>
      <c r="J1898" s="12"/>
    </row>
    <row r="1899" spans="1:10" x14ac:dyDescent="0.25">
      <c r="A1899" s="4"/>
      <c r="B1899" s="55"/>
      <c r="C1899" s="5"/>
      <c r="D1899" s="56"/>
      <c r="E1899" s="56"/>
      <c r="F1899" s="6"/>
      <c r="G1899" s="4"/>
      <c r="H1899" s="4"/>
      <c r="I1899" s="3"/>
      <c r="J1899" s="12"/>
    </row>
    <row r="1900" spans="1:10" x14ac:dyDescent="0.25">
      <c r="A1900" s="4"/>
      <c r="B1900" s="55"/>
      <c r="C1900" s="5"/>
      <c r="D1900" s="56"/>
      <c r="E1900" s="56"/>
      <c r="F1900" s="6"/>
      <c r="G1900" s="4"/>
      <c r="H1900" s="4"/>
      <c r="I1900" s="3"/>
      <c r="J1900" s="12"/>
    </row>
    <row r="1901" spans="1:10" x14ac:dyDescent="0.25">
      <c r="A1901" s="4"/>
      <c r="B1901" s="55"/>
      <c r="C1901" s="5"/>
      <c r="D1901" s="56"/>
      <c r="E1901" s="56"/>
      <c r="F1901" s="6"/>
      <c r="G1901" s="4"/>
      <c r="H1901" s="4"/>
      <c r="I1901" s="3"/>
      <c r="J1901" s="12"/>
    </row>
    <row r="1902" spans="1:10" x14ac:dyDescent="0.25">
      <c r="A1902" s="4"/>
      <c r="B1902" s="55"/>
      <c r="C1902" s="5"/>
      <c r="D1902" s="56"/>
      <c r="E1902" s="56"/>
      <c r="F1902" s="6"/>
      <c r="G1902" s="4"/>
      <c r="H1902" s="4"/>
      <c r="I1902" s="3"/>
      <c r="J1902" s="12"/>
    </row>
    <row r="1903" spans="1:10" x14ac:dyDescent="0.25">
      <c r="A1903" s="4"/>
      <c r="B1903" s="55"/>
      <c r="C1903" s="5"/>
      <c r="D1903" s="56"/>
      <c r="E1903" s="56"/>
      <c r="F1903" s="6"/>
      <c r="G1903" s="4"/>
      <c r="H1903" s="4"/>
      <c r="I1903" s="3"/>
      <c r="J1903" s="12"/>
    </row>
    <row r="1904" spans="1:10" x14ac:dyDescent="0.25">
      <c r="A1904" s="4"/>
      <c r="B1904" s="55"/>
      <c r="C1904" s="5"/>
      <c r="D1904" s="56"/>
      <c r="E1904" s="56"/>
      <c r="F1904" s="6"/>
      <c r="G1904" s="4"/>
      <c r="H1904" s="4"/>
      <c r="I1904" s="3"/>
      <c r="J1904" s="12"/>
    </row>
    <row r="1905" spans="1:10" x14ac:dyDescent="0.25">
      <c r="A1905" s="4"/>
      <c r="B1905" s="55"/>
      <c r="C1905" s="5"/>
      <c r="D1905" s="56"/>
      <c r="E1905" s="56"/>
      <c r="F1905" s="6"/>
      <c r="G1905" s="4"/>
      <c r="H1905" s="4"/>
      <c r="I1905" s="3"/>
      <c r="J1905" s="12"/>
    </row>
    <row r="1906" spans="1:10" x14ac:dyDescent="0.25">
      <c r="A1906" s="4"/>
      <c r="B1906" s="55"/>
      <c r="C1906" s="5"/>
      <c r="D1906" s="56"/>
      <c r="E1906" s="56"/>
      <c r="F1906" s="6"/>
      <c r="G1906" s="4"/>
      <c r="H1906" s="4"/>
      <c r="I1906" s="3"/>
      <c r="J1906" s="12"/>
    </row>
    <row r="1907" spans="1:10" x14ac:dyDescent="0.25">
      <c r="A1907" s="4"/>
      <c r="B1907" s="55"/>
      <c r="C1907" s="5"/>
      <c r="D1907" s="56"/>
      <c r="E1907" s="56"/>
      <c r="F1907" s="6"/>
      <c r="G1907" s="4"/>
      <c r="H1907" s="4"/>
      <c r="I1907" s="3"/>
      <c r="J1907" s="12"/>
    </row>
    <row r="1908" spans="1:10" x14ac:dyDescent="0.25">
      <c r="A1908" s="4"/>
      <c r="B1908" s="55"/>
      <c r="C1908" s="5"/>
      <c r="D1908" s="56"/>
      <c r="E1908" s="56"/>
      <c r="F1908" s="6"/>
      <c r="G1908" s="4"/>
      <c r="H1908" s="4"/>
      <c r="I1908" s="3"/>
      <c r="J1908" s="12"/>
    </row>
    <row r="1909" spans="1:10" x14ac:dyDescent="0.25">
      <c r="A1909" s="4"/>
      <c r="B1909" s="55"/>
      <c r="C1909" s="5"/>
      <c r="D1909" s="56"/>
      <c r="E1909" s="56"/>
      <c r="F1909" s="6"/>
      <c r="G1909" s="4"/>
      <c r="H1909" s="4"/>
      <c r="I1909" s="3"/>
      <c r="J1909" s="12"/>
    </row>
    <row r="1910" spans="1:10" x14ac:dyDescent="0.25">
      <c r="A1910" s="4"/>
      <c r="B1910" s="55"/>
      <c r="C1910" s="5"/>
      <c r="D1910" s="56"/>
      <c r="E1910" s="56"/>
      <c r="F1910" s="6"/>
      <c r="G1910" s="4"/>
      <c r="H1910" s="4"/>
      <c r="I1910" s="3"/>
      <c r="J1910" s="12"/>
    </row>
    <row r="1911" spans="1:10" x14ac:dyDescent="0.25">
      <c r="A1911" s="4"/>
      <c r="B1911" s="55"/>
      <c r="C1911" s="5"/>
      <c r="D1911" s="56"/>
      <c r="E1911" s="56"/>
      <c r="F1911" s="6"/>
      <c r="G1911" s="4"/>
      <c r="H1911" s="4"/>
      <c r="I1911" s="3"/>
      <c r="J1911" s="12"/>
    </row>
    <row r="1912" spans="1:10" x14ac:dyDescent="0.25">
      <c r="A1912" s="4"/>
      <c r="B1912" s="55"/>
      <c r="C1912" s="5"/>
      <c r="D1912" s="56"/>
      <c r="E1912" s="56"/>
      <c r="F1912" s="6"/>
      <c r="G1912" s="4"/>
      <c r="H1912" s="4"/>
      <c r="I1912" s="3"/>
      <c r="J1912" s="12"/>
    </row>
    <row r="1913" spans="1:10" x14ac:dyDescent="0.25">
      <c r="A1913" s="4"/>
      <c r="B1913" s="55"/>
      <c r="C1913" s="5"/>
      <c r="D1913" s="56"/>
      <c r="E1913" s="56"/>
      <c r="F1913" s="6"/>
      <c r="G1913" s="4"/>
      <c r="H1913" s="4"/>
      <c r="I1913" s="3"/>
      <c r="J1913" s="12"/>
    </row>
    <row r="1914" spans="1:10" x14ac:dyDescent="0.25">
      <c r="A1914" s="4"/>
      <c r="B1914" s="55"/>
      <c r="C1914" s="5"/>
      <c r="D1914" s="56"/>
      <c r="E1914" s="56"/>
      <c r="F1914" s="6"/>
      <c r="G1914" s="4"/>
      <c r="H1914" s="4"/>
      <c r="I1914" s="3"/>
      <c r="J1914" s="12"/>
    </row>
    <row r="1915" spans="1:10" x14ac:dyDescent="0.25">
      <c r="A1915" s="4"/>
      <c r="B1915" s="55"/>
      <c r="C1915" s="5"/>
      <c r="D1915" s="56"/>
      <c r="E1915" s="56"/>
      <c r="F1915" s="6"/>
      <c r="G1915" s="4"/>
      <c r="H1915" s="4"/>
      <c r="I1915" s="3"/>
      <c r="J1915" s="12"/>
    </row>
    <row r="1916" spans="1:10" x14ac:dyDescent="0.25">
      <c r="A1916" s="4"/>
      <c r="B1916" s="55"/>
      <c r="C1916" s="5"/>
      <c r="D1916" s="56"/>
      <c r="E1916" s="56"/>
      <c r="F1916" s="6"/>
      <c r="G1916" s="4"/>
      <c r="H1916" s="4"/>
      <c r="I1916" s="3"/>
      <c r="J1916" s="12"/>
    </row>
    <row r="1917" spans="1:10" x14ac:dyDescent="0.25">
      <c r="A1917" s="4"/>
      <c r="B1917" s="55"/>
      <c r="C1917" s="5"/>
      <c r="D1917" s="56"/>
      <c r="E1917" s="56"/>
      <c r="F1917" s="6"/>
      <c r="G1917" s="4"/>
      <c r="H1917" s="4"/>
      <c r="I1917" s="3"/>
      <c r="J1917" s="12"/>
    </row>
    <row r="1918" spans="1:10" x14ac:dyDescent="0.25">
      <c r="A1918" s="4"/>
      <c r="B1918" s="55"/>
      <c r="C1918" s="5"/>
      <c r="D1918" s="56"/>
      <c r="E1918" s="56"/>
      <c r="F1918" s="6"/>
      <c r="G1918" s="4"/>
      <c r="H1918" s="4"/>
      <c r="I1918" s="3"/>
      <c r="J1918" s="12"/>
    </row>
    <row r="1919" spans="1:10" x14ac:dyDescent="0.25">
      <c r="A1919" s="4"/>
      <c r="B1919" s="55"/>
      <c r="C1919" s="5"/>
      <c r="D1919" s="56"/>
      <c r="E1919" s="56"/>
      <c r="F1919" s="6"/>
      <c r="G1919" s="4"/>
      <c r="H1919" s="4"/>
      <c r="I1919" s="3"/>
      <c r="J1919" s="12"/>
    </row>
    <row r="1920" spans="1:10" x14ac:dyDescent="0.25">
      <c r="A1920" s="4"/>
      <c r="B1920" s="55"/>
      <c r="C1920" s="5"/>
      <c r="D1920" s="56"/>
      <c r="E1920" s="56"/>
      <c r="F1920" s="6"/>
      <c r="G1920" s="4"/>
      <c r="H1920" s="4"/>
      <c r="I1920" s="3"/>
      <c r="J1920" s="12"/>
    </row>
    <row r="1921" spans="1:10" x14ac:dyDescent="0.25">
      <c r="A1921" s="4"/>
      <c r="B1921" s="55"/>
      <c r="C1921" s="5"/>
      <c r="D1921" s="56"/>
      <c r="E1921" s="56"/>
      <c r="F1921" s="6"/>
      <c r="G1921" s="4"/>
      <c r="H1921" s="4"/>
      <c r="I1921" s="3"/>
      <c r="J1921" s="12"/>
    </row>
    <row r="1922" spans="1:10" x14ac:dyDescent="0.25">
      <c r="A1922" s="4"/>
      <c r="B1922" s="55"/>
      <c r="C1922" s="5"/>
      <c r="D1922" s="56"/>
      <c r="E1922" s="56"/>
      <c r="F1922" s="6"/>
      <c r="G1922" s="4"/>
      <c r="H1922" s="4"/>
      <c r="I1922" s="3"/>
      <c r="J1922" s="12"/>
    </row>
    <row r="1923" spans="1:10" x14ac:dyDescent="0.25">
      <c r="A1923" s="4"/>
      <c r="B1923" s="55"/>
      <c r="C1923" s="5"/>
      <c r="D1923" s="56"/>
      <c r="E1923" s="56"/>
      <c r="F1923" s="6"/>
      <c r="G1923" s="4"/>
      <c r="H1923" s="4"/>
      <c r="I1923" s="3"/>
      <c r="J1923" s="12"/>
    </row>
    <row r="1924" spans="1:10" x14ac:dyDescent="0.25">
      <c r="A1924" s="4"/>
      <c r="B1924" s="55"/>
      <c r="C1924" s="5"/>
      <c r="D1924" s="56"/>
      <c r="E1924" s="56"/>
      <c r="F1924" s="6"/>
      <c r="G1924" s="4"/>
      <c r="H1924" s="4"/>
      <c r="I1924" s="3"/>
      <c r="J1924" s="12"/>
    </row>
    <row r="1925" spans="1:10" x14ac:dyDescent="0.25">
      <c r="A1925" s="4"/>
      <c r="B1925" s="55"/>
      <c r="C1925" s="5"/>
      <c r="D1925" s="56"/>
      <c r="E1925" s="56"/>
      <c r="F1925" s="6"/>
      <c r="G1925" s="4"/>
      <c r="H1925" s="4"/>
      <c r="I1925" s="3"/>
      <c r="J1925" s="12"/>
    </row>
    <row r="1926" spans="1:10" x14ac:dyDescent="0.25">
      <c r="A1926" s="4"/>
      <c r="B1926" s="55"/>
      <c r="C1926" s="5"/>
      <c r="D1926" s="56"/>
      <c r="E1926" s="56"/>
      <c r="F1926" s="6"/>
      <c r="G1926" s="4"/>
      <c r="H1926" s="4"/>
      <c r="I1926" s="3"/>
      <c r="J1926" s="12"/>
    </row>
    <row r="1927" spans="1:10" x14ac:dyDescent="0.25">
      <c r="A1927" s="4"/>
      <c r="B1927" s="55"/>
      <c r="C1927" s="5"/>
      <c r="D1927" s="56"/>
      <c r="E1927" s="56"/>
      <c r="F1927" s="6"/>
      <c r="G1927" s="4"/>
      <c r="H1927" s="4"/>
      <c r="I1927" s="3"/>
      <c r="J1927" s="12"/>
    </row>
    <row r="1928" spans="1:10" x14ac:dyDescent="0.25">
      <c r="A1928" s="4"/>
      <c r="B1928" s="55"/>
      <c r="C1928" s="5"/>
      <c r="D1928" s="56"/>
      <c r="E1928" s="56"/>
      <c r="F1928" s="6"/>
      <c r="G1928" s="4"/>
      <c r="H1928" s="4"/>
      <c r="I1928" s="3"/>
      <c r="J1928" s="12"/>
    </row>
    <row r="1929" spans="1:10" x14ac:dyDescent="0.25">
      <c r="A1929" s="4"/>
      <c r="B1929" s="55"/>
      <c r="C1929" s="5"/>
      <c r="D1929" s="56"/>
      <c r="E1929" s="56"/>
      <c r="F1929" s="6"/>
      <c r="G1929" s="4"/>
      <c r="H1929" s="4"/>
      <c r="I1929" s="3"/>
      <c r="J1929" s="12"/>
    </row>
    <row r="1930" spans="1:10" x14ac:dyDescent="0.25">
      <c r="A1930" s="4"/>
      <c r="B1930" s="55"/>
      <c r="C1930" s="5"/>
      <c r="D1930" s="56"/>
      <c r="E1930" s="56"/>
      <c r="F1930" s="6"/>
      <c r="G1930" s="4"/>
      <c r="H1930" s="4"/>
      <c r="I1930" s="3"/>
      <c r="J1930" s="12"/>
    </row>
    <row r="1931" spans="1:10" x14ac:dyDescent="0.25">
      <c r="A1931" s="4"/>
      <c r="B1931" s="55"/>
      <c r="C1931" s="5"/>
      <c r="D1931" s="56"/>
      <c r="E1931" s="56"/>
      <c r="F1931" s="6"/>
      <c r="G1931" s="4"/>
      <c r="H1931" s="4"/>
      <c r="I1931" s="3"/>
      <c r="J1931" s="12"/>
    </row>
    <row r="1932" spans="1:10" x14ac:dyDescent="0.25">
      <c r="A1932" s="4"/>
      <c r="B1932" s="55"/>
      <c r="C1932" s="5"/>
      <c r="D1932" s="56"/>
      <c r="E1932" s="56"/>
      <c r="F1932" s="6"/>
      <c r="G1932" s="4"/>
      <c r="H1932" s="4"/>
      <c r="I1932" s="3"/>
      <c r="J1932" s="12"/>
    </row>
    <row r="1933" spans="1:10" x14ac:dyDescent="0.25">
      <c r="A1933" s="4"/>
      <c r="B1933" s="55"/>
      <c r="C1933" s="5"/>
      <c r="D1933" s="56"/>
      <c r="E1933" s="56"/>
      <c r="F1933" s="6"/>
      <c r="G1933" s="4"/>
      <c r="H1933" s="4"/>
      <c r="I1933" s="3"/>
      <c r="J1933" s="12"/>
    </row>
    <row r="1934" spans="1:10" x14ac:dyDescent="0.25">
      <c r="A1934" s="4"/>
      <c r="B1934" s="55"/>
      <c r="C1934" s="5"/>
      <c r="D1934" s="56"/>
      <c r="E1934" s="56"/>
      <c r="F1934" s="6"/>
      <c r="G1934" s="4"/>
      <c r="H1934" s="4"/>
      <c r="I1934" s="3"/>
      <c r="J1934" s="12"/>
    </row>
    <row r="1935" spans="1:10" x14ac:dyDescent="0.25">
      <c r="A1935" s="4"/>
      <c r="B1935" s="55"/>
      <c r="C1935" s="5"/>
      <c r="D1935" s="56"/>
      <c r="E1935" s="56"/>
      <c r="F1935" s="6"/>
      <c r="G1935" s="4"/>
      <c r="H1935" s="4"/>
      <c r="I1935" s="3"/>
      <c r="J1935" s="12"/>
    </row>
    <row r="1936" spans="1:10" x14ac:dyDescent="0.25">
      <c r="A1936" s="4"/>
      <c r="B1936" s="55"/>
      <c r="C1936" s="5"/>
      <c r="D1936" s="56"/>
      <c r="E1936" s="56"/>
      <c r="F1936" s="6"/>
      <c r="G1936" s="4"/>
      <c r="H1936" s="4"/>
      <c r="I1936" s="3"/>
      <c r="J1936" s="12"/>
    </row>
    <row r="1937" spans="1:10" x14ac:dyDescent="0.25">
      <c r="A1937" s="4"/>
      <c r="B1937" s="55"/>
      <c r="C1937" s="5"/>
      <c r="D1937" s="56"/>
      <c r="E1937" s="56"/>
      <c r="F1937" s="6"/>
      <c r="G1937" s="4"/>
      <c r="H1937" s="4"/>
      <c r="I1937" s="3"/>
      <c r="J1937" s="12"/>
    </row>
    <row r="1938" spans="1:10" x14ac:dyDescent="0.25">
      <c r="A1938" s="4"/>
      <c r="B1938" s="55"/>
      <c r="C1938" s="5"/>
      <c r="D1938" s="56"/>
      <c r="E1938" s="56"/>
      <c r="F1938" s="6"/>
      <c r="G1938" s="4"/>
      <c r="H1938" s="4"/>
      <c r="I1938" s="3"/>
      <c r="J1938" s="12"/>
    </row>
    <row r="1939" spans="1:10" x14ac:dyDescent="0.25">
      <c r="A1939" s="4"/>
      <c r="B1939" s="55"/>
      <c r="C1939" s="5"/>
      <c r="D1939" s="56"/>
      <c r="E1939" s="56"/>
      <c r="F1939" s="6"/>
      <c r="G1939" s="4"/>
      <c r="H1939" s="4"/>
      <c r="I1939" s="3"/>
      <c r="J1939" s="12"/>
    </row>
    <row r="1940" spans="1:10" x14ac:dyDescent="0.25">
      <c r="A1940" s="4"/>
      <c r="B1940" s="55"/>
      <c r="C1940" s="5"/>
      <c r="D1940" s="56"/>
      <c r="E1940" s="56"/>
      <c r="F1940" s="6"/>
      <c r="G1940" s="4"/>
      <c r="H1940" s="4"/>
      <c r="I1940" s="3"/>
      <c r="J1940" s="12"/>
    </row>
    <row r="1941" spans="1:10" x14ac:dyDescent="0.25">
      <c r="A1941" s="4"/>
      <c r="B1941" s="55"/>
      <c r="C1941" s="5"/>
      <c r="D1941" s="56"/>
      <c r="E1941" s="56"/>
      <c r="F1941" s="6"/>
      <c r="G1941" s="4"/>
      <c r="H1941" s="4"/>
      <c r="I1941" s="3"/>
      <c r="J1941" s="12"/>
    </row>
    <row r="1942" spans="1:10" x14ac:dyDescent="0.25">
      <c r="A1942" s="4"/>
      <c r="B1942" s="55"/>
      <c r="C1942" s="5"/>
      <c r="D1942" s="56"/>
      <c r="E1942" s="56"/>
      <c r="F1942" s="6"/>
      <c r="G1942" s="4"/>
      <c r="H1942" s="4"/>
      <c r="I1942" s="3"/>
      <c r="J1942" s="12"/>
    </row>
    <row r="1943" spans="1:10" x14ac:dyDescent="0.25">
      <c r="A1943" s="4"/>
      <c r="B1943" s="55"/>
      <c r="C1943" s="5"/>
      <c r="D1943" s="56"/>
      <c r="E1943" s="56"/>
      <c r="F1943" s="6"/>
      <c r="G1943" s="4"/>
      <c r="H1943" s="4"/>
      <c r="I1943" s="3"/>
      <c r="J1943" s="12"/>
    </row>
    <row r="1944" spans="1:10" x14ac:dyDescent="0.25">
      <c r="A1944" s="4"/>
      <c r="B1944" s="55"/>
      <c r="C1944" s="5"/>
      <c r="D1944" s="56"/>
      <c r="E1944" s="56"/>
      <c r="F1944" s="6"/>
      <c r="G1944" s="4"/>
      <c r="H1944" s="4"/>
      <c r="I1944" s="3"/>
      <c r="J1944" s="12"/>
    </row>
    <row r="1945" spans="1:10" x14ac:dyDescent="0.25">
      <c r="A1945" s="4"/>
      <c r="B1945" s="55"/>
      <c r="C1945" s="5"/>
      <c r="D1945" s="56"/>
      <c r="E1945" s="56"/>
      <c r="F1945" s="6"/>
      <c r="G1945" s="4"/>
      <c r="H1945" s="4"/>
      <c r="I1945" s="3"/>
      <c r="J1945" s="12"/>
    </row>
    <row r="1946" spans="1:10" x14ac:dyDescent="0.25">
      <c r="A1946" s="4"/>
      <c r="B1946" s="55"/>
      <c r="C1946" s="5"/>
      <c r="D1946" s="56"/>
      <c r="E1946" s="56"/>
      <c r="F1946" s="6"/>
      <c r="G1946" s="4"/>
      <c r="H1946" s="4"/>
      <c r="I1946" s="3"/>
      <c r="J1946" s="12"/>
    </row>
    <row r="1947" spans="1:10" x14ac:dyDescent="0.25">
      <c r="A1947" s="4"/>
      <c r="B1947" s="55"/>
      <c r="C1947" s="5"/>
      <c r="D1947" s="56"/>
      <c r="E1947" s="56"/>
      <c r="F1947" s="6"/>
      <c r="G1947" s="4"/>
      <c r="H1947" s="4"/>
      <c r="I1947" s="3"/>
      <c r="J1947" s="12"/>
    </row>
    <row r="1948" spans="1:10" x14ac:dyDescent="0.25">
      <c r="A1948" s="4"/>
      <c r="B1948" s="55"/>
      <c r="C1948" s="5"/>
      <c r="D1948" s="56"/>
      <c r="E1948" s="56"/>
      <c r="F1948" s="6"/>
      <c r="G1948" s="4"/>
      <c r="H1948" s="4"/>
      <c r="I1948" s="3"/>
      <c r="J1948" s="12"/>
    </row>
    <row r="1949" spans="1:10" x14ac:dyDescent="0.25">
      <c r="A1949" s="4"/>
      <c r="B1949" s="55"/>
      <c r="C1949" s="5"/>
      <c r="D1949" s="56"/>
      <c r="E1949" s="56"/>
      <c r="F1949" s="6"/>
      <c r="G1949" s="4"/>
      <c r="H1949" s="4"/>
      <c r="I1949" s="3"/>
      <c r="J1949" s="12"/>
    </row>
    <row r="1950" spans="1:10" x14ac:dyDescent="0.25">
      <c r="A1950" s="4"/>
      <c r="B1950" s="55"/>
      <c r="C1950" s="5"/>
      <c r="D1950" s="56"/>
      <c r="E1950" s="56"/>
      <c r="F1950" s="6"/>
      <c r="G1950" s="4"/>
      <c r="H1950" s="4"/>
      <c r="I1950" s="3"/>
      <c r="J1950" s="12"/>
    </row>
    <row r="1951" spans="1:10" x14ac:dyDescent="0.25">
      <c r="A1951" s="4"/>
      <c r="B1951" s="55"/>
      <c r="C1951" s="5"/>
      <c r="D1951" s="56"/>
      <c r="E1951" s="56"/>
      <c r="F1951" s="6"/>
      <c r="G1951" s="4"/>
      <c r="H1951" s="4"/>
      <c r="I1951" s="3"/>
      <c r="J1951" s="12"/>
    </row>
    <row r="1952" spans="1:10" x14ac:dyDescent="0.25">
      <c r="A1952" s="4"/>
      <c r="B1952" s="55"/>
      <c r="C1952" s="5"/>
      <c r="D1952" s="56"/>
      <c r="E1952" s="56"/>
      <c r="F1952" s="6"/>
      <c r="G1952" s="4"/>
      <c r="H1952" s="4"/>
      <c r="I1952" s="3"/>
      <c r="J1952" s="12"/>
    </row>
    <row r="1953" spans="1:10" x14ac:dyDescent="0.25">
      <c r="A1953" s="4"/>
      <c r="B1953" s="55"/>
      <c r="C1953" s="5"/>
      <c r="D1953" s="56"/>
      <c r="E1953" s="56"/>
      <c r="F1953" s="6"/>
      <c r="G1953" s="4"/>
      <c r="H1953" s="4"/>
      <c r="I1953" s="3"/>
      <c r="J1953" s="12"/>
    </row>
    <row r="1954" spans="1:10" x14ac:dyDescent="0.25">
      <c r="A1954" s="4"/>
      <c r="B1954" s="55"/>
      <c r="C1954" s="5"/>
      <c r="D1954" s="56"/>
      <c r="E1954" s="56"/>
      <c r="F1954" s="6"/>
      <c r="G1954" s="4"/>
      <c r="H1954" s="4"/>
      <c r="I1954" s="3"/>
      <c r="J1954" s="12"/>
    </row>
    <row r="1955" spans="1:10" x14ac:dyDescent="0.25">
      <c r="A1955" s="4"/>
      <c r="B1955" s="55"/>
      <c r="C1955" s="5"/>
      <c r="D1955" s="56"/>
      <c r="E1955" s="56"/>
      <c r="F1955" s="6"/>
      <c r="G1955" s="4"/>
      <c r="H1955" s="4"/>
      <c r="I1955" s="3"/>
      <c r="J1955" s="12"/>
    </row>
    <row r="1956" spans="1:10" x14ac:dyDescent="0.25">
      <c r="A1956" s="4"/>
      <c r="B1956" s="55"/>
      <c r="C1956" s="5"/>
      <c r="D1956" s="56"/>
      <c r="E1956" s="56"/>
      <c r="F1956" s="6"/>
      <c r="G1956" s="4"/>
      <c r="H1956" s="4"/>
      <c r="I1956" s="3"/>
      <c r="J1956" s="12"/>
    </row>
    <row r="1957" spans="1:10" x14ac:dyDescent="0.25">
      <c r="A1957" s="4"/>
      <c r="B1957" s="55"/>
      <c r="C1957" s="5"/>
      <c r="D1957" s="56"/>
      <c r="E1957" s="56"/>
      <c r="F1957" s="6"/>
      <c r="G1957" s="4"/>
      <c r="H1957" s="4"/>
      <c r="I1957" s="3"/>
      <c r="J1957" s="12"/>
    </row>
    <row r="1958" spans="1:10" x14ac:dyDescent="0.25">
      <c r="A1958" s="4"/>
      <c r="B1958" s="55"/>
      <c r="C1958" s="5"/>
      <c r="D1958" s="56"/>
      <c r="E1958" s="56"/>
      <c r="F1958" s="6"/>
      <c r="G1958" s="4"/>
      <c r="H1958" s="4"/>
      <c r="I1958" s="3"/>
      <c r="J1958" s="12"/>
    </row>
    <row r="1959" spans="1:10" x14ac:dyDescent="0.25">
      <c r="A1959" s="4"/>
      <c r="B1959" s="55"/>
      <c r="C1959" s="5"/>
      <c r="D1959" s="56"/>
      <c r="E1959" s="56"/>
      <c r="F1959" s="6"/>
      <c r="G1959" s="4"/>
      <c r="H1959" s="4"/>
      <c r="I1959" s="3"/>
      <c r="J1959" s="12"/>
    </row>
    <row r="1960" spans="1:10" x14ac:dyDescent="0.25">
      <c r="A1960" s="4"/>
      <c r="B1960" s="55"/>
      <c r="C1960" s="5"/>
      <c r="D1960" s="56"/>
      <c r="E1960" s="56"/>
      <c r="F1960" s="6"/>
      <c r="G1960" s="4"/>
      <c r="H1960" s="4"/>
      <c r="I1960" s="3"/>
      <c r="J1960" s="12"/>
    </row>
    <row r="1961" spans="1:10" x14ac:dyDescent="0.25">
      <c r="A1961" s="4"/>
      <c r="B1961" s="55"/>
      <c r="C1961" s="5"/>
      <c r="D1961" s="56"/>
      <c r="E1961" s="56"/>
      <c r="F1961" s="6"/>
      <c r="G1961" s="4"/>
      <c r="H1961" s="4"/>
      <c r="I1961" s="3"/>
      <c r="J1961" s="12"/>
    </row>
    <row r="1962" spans="1:10" x14ac:dyDescent="0.25">
      <c r="A1962" s="4"/>
      <c r="B1962" s="55"/>
      <c r="C1962" s="5"/>
      <c r="D1962" s="56"/>
      <c r="E1962" s="56"/>
      <c r="F1962" s="6"/>
      <c r="G1962" s="4"/>
      <c r="H1962" s="4"/>
      <c r="I1962" s="3"/>
      <c r="J1962" s="12"/>
    </row>
    <row r="1963" spans="1:10" x14ac:dyDescent="0.25">
      <c r="A1963" s="4"/>
      <c r="B1963" s="55"/>
      <c r="C1963" s="5"/>
      <c r="D1963" s="56"/>
      <c r="E1963" s="56"/>
      <c r="F1963" s="6"/>
      <c r="G1963" s="4"/>
      <c r="H1963" s="4"/>
      <c r="I1963" s="3"/>
      <c r="J1963" s="12"/>
    </row>
    <row r="1964" spans="1:10" x14ac:dyDescent="0.25">
      <c r="A1964" s="4"/>
      <c r="B1964" s="55"/>
      <c r="C1964" s="5"/>
      <c r="D1964" s="56"/>
      <c r="E1964" s="56"/>
      <c r="F1964" s="6"/>
      <c r="G1964" s="4"/>
      <c r="H1964" s="4"/>
      <c r="I1964" s="3"/>
      <c r="J1964" s="12"/>
    </row>
    <row r="1965" spans="1:10" x14ac:dyDescent="0.25">
      <c r="A1965" s="4"/>
      <c r="B1965" s="55"/>
      <c r="C1965" s="5"/>
      <c r="D1965" s="56"/>
      <c r="E1965" s="56"/>
      <c r="F1965" s="6"/>
      <c r="G1965" s="4"/>
      <c r="H1965" s="4"/>
      <c r="I1965" s="3"/>
      <c r="J1965" s="12"/>
    </row>
    <row r="1966" spans="1:10" x14ac:dyDescent="0.25">
      <c r="A1966" s="4"/>
      <c r="B1966" s="55"/>
      <c r="C1966" s="5"/>
      <c r="D1966" s="56"/>
      <c r="E1966" s="56"/>
      <c r="F1966" s="6"/>
      <c r="G1966" s="4"/>
      <c r="H1966" s="4"/>
      <c r="I1966" s="3"/>
      <c r="J1966" s="12"/>
    </row>
    <row r="1967" spans="1:10" x14ac:dyDescent="0.25">
      <c r="A1967" s="4"/>
      <c r="B1967" s="55"/>
      <c r="C1967" s="5"/>
      <c r="D1967" s="56"/>
      <c r="E1967" s="56"/>
      <c r="F1967" s="6"/>
      <c r="G1967" s="4"/>
      <c r="H1967" s="4"/>
      <c r="I1967" s="3"/>
      <c r="J1967" s="12"/>
    </row>
    <row r="1968" spans="1:10" x14ac:dyDescent="0.25">
      <c r="A1968" s="4"/>
      <c r="B1968" s="55"/>
      <c r="C1968" s="5"/>
      <c r="D1968" s="56"/>
      <c r="E1968" s="56"/>
      <c r="F1968" s="6"/>
      <c r="G1968" s="4"/>
      <c r="H1968" s="4"/>
      <c r="I1968" s="3"/>
      <c r="J1968" s="12"/>
    </row>
    <row r="1969" spans="1:10" x14ac:dyDescent="0.25">
      <c r="A1969" s="4"/>
      <c r="B1969" s="55"/>
      <c r="C1969" s="5"/>
      <c r="D1969" s="56"/>
      <c r="E1969" s="56"/>
      <c r="F1969" s="6"/>
      <c r="G1969" s="4"/>
      <c r="H1969" s="4"/>
      <c r="I1969" s="3"/>
      <c r="J1969" s="12"/>
    </row>
    <row r="1970" spans="1:10" x14ac:dyDescent="0.25">
      <c r="A1970" s="4"/>
      <c r="B1970" s="55"/>
      <c r="C1970" s="5"/>
      <c r="D1970" s="56"/>
      <c r="E1970" s="56"/>
      <c r="F1970" s="6"/>
      <c r="G1970" s="4"/>
      <c r="H1970" s="4"/>
      <c r="I1970" s="3"/>
      <c r="J1970" s="12"/>
    </row>
    <row r="1971" spans="1:10" x14ac:dyDescent="0.25">
      <c r="A1971" s="4"/>
      <c r="B1971" s="55"/>
      <c r="C1971" s="5"/>
      <c r="D1971" s="56"/>
      <c r="E1971" s="56"/>
      <c r="F1971" s="6"/>
      <c r="G1971" s="4"/>
      <c r="H1971" s="4"/>
      <c r="I1971" s="3"/>
      <c r="J1971" s="12"/>
    </row>
    <row r="1972" spans="1:10" x14ac:dyDescent="0.25">
      <c r="A1972" s="4"/>
      <c r="B1972" s="55"/>
      <c r="C1972" s="5"/>
      <c r="D1972" s="56"/>
      <c r="E1972" s="56"/>
      <c r="F1972" s="6"/>
      <c r="G1972" s="4"/>
      <c r="H1972" s="4"/>
      <c r="I1972" s="3"/>
      <c r="J1972" s="12"/>
    </row>
    <row r="1973" spans="1:10" x14ac:dyDescent="0.25">
      <c r="A1973" s="4"/>
      <c r="B1973" s="55"/>
      <c r="C1973" s="5"/>
      <c r="D1973" s="56"/>
      <c r="E1973" s="56"/>
      <c r="F1973" s="6"/>
      <c r="G1973" s="4"/>
      <c r="H1973" s="4"/>
      <c r="I1973" s="3"/>
      <c r="J1973" s="12"/>
    </row>
    <row r="1974" spans="1:10" x14ac:dyDescent="0.25">
      <c r="A1974" s="4"/>
      <c r="B1974" s="55"/>
      <c r="C1974" s="5"/>
      <c r="D1974" s="56"/>
      <c r="E1974" s="56"/>
      <c r="F1974" s="6"/>
      <c r="G1974" s="4"/>
      <c r="H1974" s="4"/>
      <c r="I1974" s="3"/>
      <c r="J1974" s="12"/>
    </row>
    <row r="1975" spans="1:10" x14ac:dyDescent="0.25">
      <c r="A1975" s="4"/>
      <c r="B1975" s="55"/>
      <c r="C1975" s="5"/>
      <c r="D1975" s="56"/>
      <c r="E1975" s="56"/>
      <c r="F1975" s="6"/>
      <c r="G1975" s="4"/>
      <c r="H1975" s="4"/>
      <c r="I1975" s="3"/>
      <c r="J1975" s="12"/>
    </row>
    <row r="1976" spans="1:10" x14ac:dyDescent="0.25">
      <c r="A1976" s="4"/>
      <c r="B1976" s="55"/>
      <c r="C1976" s="5"/>
      <c r="D1976" s="56"/>
      <c r="E1976" s="56"/>
      <c r="F1976" s="6"/>
      <c r="G1976" s="4"/>
      <c r="H1976" s="4"/>
      <c r="I1976" s="3"/>
      <c r="J1976" s="12"/>
    </row>
    <row r="1977" spans="1:10" x14ac:dyDescent="0.25">
      <c r="A1977" s="4"/>
      <c r="B1977" s="55"/>
      <c r="C1977" s="5"/>
      <c r="D1977" s="56"/>
      <c r="E1977" s="56"/>
      <c r="F1977" s="6"/>
      <c r="G1977" s="4"/>
      <c r="H1977" s="4"/>
      <c r="I1977" s="3"/>
      <c r="J1977" s="12"/>
    </row>
    <row r="1978" spans="1:10" x14ac:dyDescent="0.25">
      <c r="A1978" s="4"/>
      <c r="B1978" s="55"/>
      <c r="C1978" s="5"/>
      <c r="D1978" s="56"/>
      <c r="E1978" s="56"/>
      <c r="F1978" s="6"/>
      <c r="G1978" s="4"/>
      <c r="H1978" s="4"/>
      <c r="I1978" s="3"/>
      <c r="J1978" s="12"/>
    </row>
    <row r="1979" spans="1:10" x14ac:dyDescent="0.25">
      <c r="A1979" s="4"/>
      <c r="B1979" s="55"/>
      <c r="C1979" s="5"/>
      <c r="D1979" s="56"/>
      <c r="E1979" s="56"/>
      <c r="F1979" s="6"/>
      <c r="G1979" s="4"/>
      <c r="H1979" s="4"/>
      <c r="I1979" s="3"/>
      <c r="J1979" s="12"/>
    </row>
    <row r="1980" spans="1:10" x14ac:dyDescent="0.25">
      <c r="A1980" s="4"/>
      <c r="B1980" s="55"/>
      <c r="C1980" s="5"/>
      <c r="D1980" s="56"/>
      <c r="E1980" s="56"/>
      <c r="F1980" s="6"/>
      <c r="G1980" s="4"/>
      <c r="H1980" s="4"/>
      <c r="I1980" s="3"/>
      <c r="J1980" s="12"/>
    </row>
    <row r="1981" spans="1:10" x14ac:dyDescent="0.25">
      <c r="A1981" s="4"/>
      <c r="B1981" s="55"/>
      <c r="C1981" s="5"/>
      <c r="D1981" s="56"/>
      <c r="E1981" s="56"/>
      <c r="F1981" s="6"/>
      <c r="G1981" s="4"/>
      <c r="H1981" s="4"/>
      <c r="I1981" s="3"/>
      <c r="J1981" s="12"/>
    </row>
    <row r="1982" spans="1:10" x14ac:dyDescent="0.25">
      <c r="A1982" s="4"/>
      <c r="B1982" s="55"/>
      <c r="C1982" s="5"/>
      <c r="D1982" s="56"/>
      <c r="E1982" s="56"/>
      <c r="F1982" s="6"/>
      <c r="G1982" s="4"/>
      <c r="H1982" s="4"/>
      <c r="I1982" s="3"/>
      <c r="J1982" s="12"/>
    </row>
    <row r="1983" spans="1:10" x14ac:dyDescent="0.25">
      <c r="A1983" s="4"/>
      <c r="B1983" s="55"/>
      <c r="C1983" s="5"/>
      <c r="D1983" s="56"/>
      <c r="E1983" s="56"/>
      <c r="F1983" s="6"/>
      <c r="G1983" s="4"/>
      <c r="H1983" s="4"/>
      <c r="I1983" s="3"/>
      <c r="J1983" s="12"/>
    </row>
    <row r="1984" spans="1:10" x14ac:dyDescent="0.25">
      <c r="A1984" s="4"/>
      <c r="B1984" s="55"/>
      <c r="C1984" s="5"/>
      <c r="D1984" s="56"/>
      <c r="E1984" s="56"/>
      <c r="F1984" s="6"/>
      <c r="G1984" s="4"/>
      <c r="H1984" s="4"/>
      <c r="I1984" s="3"/>
      <c r="J1984" s="12"/>
    </row>
    <row r="1985" spans="1:10" x14ac:dyDescent="0.25">
      <c r="A1985" s="4"/>
      <c r="B1985" s="55"/>
      <c r="C1985" s="5"/>
      <c r="D1985" s="56"/>
      <c r="E1985" s="56"/>
      <c r="F1985" s="6"/>
      <c r="G1985" s="4"/>
      <c r="H1985" s="4"/>
      <c r="I1985" s="3"/>
      <c r="J1985" s="12"/>
    </row>
    <row r="1986" spans="1:10" x14ac:dyDescent="0.25">
      <c r="A1986" s="4"/>
      <c r="B1986" s="55"/>
      <c r="C1986" s="5"/>
      <c r="D1986" s="56"/>
      <c r="E1986" s="56"/>
      <c r="F1986" s="6"/>
      <c r="G1986" s="4"/>
      <c r="H1986" s="4"/>
      <c r="I1986" s="3"/>
      <c r="J1986" s="12"/>
    </row>
    <row r="1987" spans="1:10" x14ac:dyDescent="0.25">
      <c r="A1987" s="4"/>
      <c r="B1987" s="55"/>
      <c r="C1987" s="5"/>
      <c r="D1987" s="56"/>
      <c r="E1987" s="56"/>
      <c r="F1987" s="6"/>
      <c r="G1987" s="4"/>
      <c r="H1987" s="4"/>
      <c r="I1987" s="3"/>
      <c r="J1987" s="12"/>
    </row>
    <row r="1988" spans="1:10" x14ac:dyDescent="0.25">
      <c r="A1988" s="4"/>
      <c r="B1988" s="55"/>
      <c r="C1988" s="5"/>
      <c r="D1988" s="56"/>
      <c r="E1988" s="56"/>
      <c r="F1988" s="6"/>
      <c r="G1988" s="4"/>
      <c r="H1988" s="4"/>
      <c r="I1988" s="3"/>
      <c r="J1988" s="12"/>
    </row>
    <row r="1989" spans="1:10" x14ac:dyDescent="0.25">
      <c r="A1989" s="4"/>
      <c r="B1989" s="55"/>
      <c r="C1989" s="5"/>
      <c r="D1989" s="56"/>
      <c r="E1989" s="56"/>
      <c r="F1989" s="6"/>
      <c r="G1989" s="4"/>
      <c r="H1989" s="4"/>
      <c r="I1989" s="3"/>
      <c r="J1989" s="12"/>
    </row>
    <row r="1990" spans="1:10" x14ac:dyDescent="0.25">
      <c r="A1990" s="4"/>
      <c r="B1990" s="55"/>
      <c r="C1990" s="5"/>
      <c r="D1990" s="56"/>
      <c r="E1990" s="56"/>
      <c r="F1990" s="6"/>
      <c r="G1990" s="4"/>
      <c r="H1990" s="4"/>
      <c r="I1990" s="3"/>
      <c r="J1990" s="12"/>
    </row>
    <row r="1991" spans="1:10" x14ac:dyDescent="0.25">
      <c r="A1991" s="4"/>
      <c r="B1991" s="55"/>
      <c r="C1991" s="5"/>
      <c r="D1991" s="56"/>
      <c r="E1991" s="56"/>
      <c r="F1991" s="6"/>
      <c r="G1991" s="4"/>
      <c r="H1991" s="4"/>
      <c r="I1991" s="3"/>
      <c r="J1991" s="12"/>
    </row>
    <row r="1992" spans="1:10" x14ac:dyDescent="0.25">
      <c r="A1992" s="4"/>
      <c r="B1992" s="55"/>
      <c r="C1992" s="5"/>
      <c r="D1992" s="56"/>
      <c r="E1992" s="56"/>
      <c r="F1992" s="6"/>
      <c r="G1992" s="4"/>
      <c r="H1992" s="4"/>
      <c r="I1992" s="3"/>
      <c r="J1992" s="12"/>
    </row>
    <row r="1993" spans="1:10" x14ac:dyDescent="0.25">
      <c r="A1993" s="4"/>
      <c r="B1993" s="55"/>
      <c r="C1993" s="5"/>
      <c r="D1993" s="56"/>
      <c r="E1993" s="56"/>
      <c r="F1993" s="6"/>
      <c r="G1993" s="4"/>
      <c r="H1993" s="4"/>
      <c r="I1993" s="3"/>
      <c r="J1993" s="12"/>
    </row>
    <row r="1994" spans="1:10" x14ac:dyDescent="0.25">
      <c r="A1994" s="4"/>
      <c r="B1994" s="55"/>
      <c r="C1994" s="5"/>
      <c r="D1994" s="56"/>
      <c r="E1994" s="56"/>
      <c r="F1994" s="6"/>
      <c r="G1994" s="4"/>
      <c r="H1994" s="4"/>
      <c r="I1994" s="3"/>
      <c r="J1994" s="12"/>
    </row>
    <row r="1995" spans="1:10" x14ac:dyDescent="0.25">
      <c r="A1995" s="4"/>
      <c r="B1995" s="55"/>
      <c r="C1995" s="5"/>
      <c r="D1995" s="56"/>
      <c r="E1995" s="56"/>
      <c r="F1995" s="6"/>
      <c r="G1995" s="4"/>
      <c r="H1995" s="4"/>
      <c r="I1995" s="3"/>
      <c r="J1995" s="12"/>
    </row>
    <row r="1996" spans="1:10" x14ac:dyDescent="0.25">
      <c r="A1996" s="4"/>
      <c r="B1996" s="55"/>
      <c r="C1996" s="5"/>
      <c r="D1996" s="56"/>
      <c r="E1996" s="56"/>
      <c r="F1996" s="6"/>
      <c r="G1996" s="4"/>
      <c r="H1996" s="4"/>
      <c r="I1996" s="3"/>
      <c r="J1996" s="12"/>
    </row>
    <row r="1997" spans="1:10" x14ac:dyDescent="0.25">
      <c r="A1997" s="4"/>
      <c r="B1997" s="55"/>
      <c r="C1997" s="5"/>
      <c r="D1997" s="56"/>
      <c r="E1997" s="56"/>
      <c r="F1997" s="6"/>
      <c r="G1997" s="4"/>
      <c r="H1997" s="4"/>
      <c r="I1997" s="3"/>
      <c r="J1997" s="12"/>
    </row>
    <row r="1998" spans="1:10" x14ac:dyDescent="0.25">
      <c r="A1998" s="4"/>
      <c r="B1998" s="55"/>
      <c r="C1998" s="5"/>
      <c r="D1998" s="56"/>
      <c r="E1998" s="56"/>
      <c r="F1998" s="6"/>
      <c r="G1998" s="4"/>
      <c r="H1998" s="4"/>
      <c r="I1998" s="3"/>
      <c r="J1998" s="12"/>
    </row>
    <row r="1999" spans="1:10" x14ac:dyDescent="0.25">
      <c r="A1999" s="4"/>
      <c r="B1999" s="55"/>
      <c r="C1999" s="5"/>
      <c r="D1999" s="56"/>
      <c r="E1999" s="56"/>
      <c r="F1999" s="6"/>
      <c r="G1999" s="4"/>
      <c r="H1999" s="4"/>
      <c r="I1999" s="3"/>
      <c r="J1999" s="12"/>
    </row>
    <row r="2000" spans="1:10" x14ac:dyDescent="0.25">
      <c r="A2000" s="4"/>
      <c r="B2000" s="55"/>
      <c r="C2000" s="5"/>
      <c r="D2000" s="56"/>
      <c r="E2000" s="56"/>
      <c r="F2000" s="6"/>
      <c r="G2000" s="4"/>
      <c r="H2000" s="4"/>
      <c r="I2000" s="3"/>
      <c r="J2000" s="12"/>
    </row>
    <row r="2001" spans="1:10" x14ac:dyDescent="0.25">
      <c r="A2001" s="4"/>
      <c r="B2001" s="55"/>
      <c r="C2001" s="5"/>
      <c r="D2001" s="56"/>
      <c r="E2001" s="56"/>
      <c r="F2001" s="6"/>
      <c r="G2001" s="4"/>
      <c r="H2001" s="4"/>
      <c r="I2001" s="3"/>
      <c r="J2001" s="12"/>
    </row>
    <row r="2002" spans="1:10" x14ac:dyDescent="0.25">
      <c r="A2002" s="4"/>
      <c r="B2002" s="55"/>
      <c r="C2002" s="5"/>
      <c r="D2002" s="56"/>
      <c r="E2002" s="56"/>
      <c r="F2002" s="6"/>
      <c r="G2002" s="4"/>
      <c r="H2002" s="4"/>
      <c r="I2002" s="3"/>
      <c r="J2002" s="12"/>
    </row>
    <row r="2003" spans="1:10" x14ac:dyDescent="0.25">
      <c r="A2003" s="4"/>
      <c r="B2003" s="55"/>
      <c r="C2003" s="5"/>
      <c r="D2003" s="56"/>
      <c r="E2003" s="56"/>
      <c r="F2003" s="6"/>
      <c r="G2003" s="4"/>
      <c r="H2003" s="4"/>
      <c r="I2003" s="3"/>
      <c r="J2003" s="12"/>
    </row>
    <row r="2004" spans="1:10" x14ac:dyDescent="0.25">
      <c r="A2004" s="4"/>
      <c r="B2004" s="55"/>
      <c r="C2004" s="5"/>
      <c r="D2004" s="56"/>
      <c r="E2004" s="56"/>
      <c r="F2004" s="6"/>
      <c r="G2004" s="4"/>
      <c r="H2004" s="4"/>
      <c r="I2004" s="3"/>
      <c r="J2004" s="12"/>
    </row>
    <row r="2005" spans="1:10" x14ac:dyDescent="0.25">
      <c r="A2005" s="4"/>
      <c r="B2005" s="55"/>
      <c r="C2005" s="5"/>
      <c r="D2005" s="56"/>
      <c r="E2005" s="56"/>
      <c r="F2005" s="6"/>
      <c r="G2005" s="4"/>
      <c r="H2005" s="4"/>
      <c r="I2005" s="3"/>
      <c r="J2005" s="12"/>
    </row>
    <row r="2006" spans="1:10" x14ac:dyDescent="0.25">
      <c r="A2006" s="4"/>
      <c r="B2006" s="55"/>
      <c r="C2006" s="5"/>
      <c r="D2006" s="56"/>
      <c r="E2006" s="56"/>
      <c r="F2006" s="6"/>
      <c r="G2006" s="4"/>
      <c r="H2006" s="4"/>
      <c r="I2006" s="3"/>
      <c r="J2006" s="12"/>
    </row>
    <row r="2007" spans="1:10" x14ac:dyDescent="0.25">
      <c r="A2007" s="4"/>
      <c r="B2007" s="55"/>
      <c r="C2007" s="5"/>
      <c r="D2007" s="56"/>
      <c r="E2007" s="56"/>
      <c r="F2007" s="6"/>
      <c r="G2007" s="4"/>
      <c r="H2007" s="4"/>
      <c r="I2007" s="3"/>
      <c r="J2007" s="12"/>
    </row>
    <row r="2008" spans="1:10" x14ac:dyDescent="0.25">
      <c r="A2008" s="4"/>
      <c r="B2008" s="55"/>
      <c r="C2008" s="5"/>
      <c r="D2008" s="56"/>
      <c r="E2008" s="56"/>
      <c r="F2008" s="6"/>
      <c r="G2008" s="4"/>
      <c r="H2008" s="4"/>
      <c r="I2008" s="3"/>
      <c r="J2008" s="12"/>
    </row>
    <row r="2009" spans="1:10" x14ac:dyDescent="0.25">
      <c r="A2009" s="4"/>
      <c r="B2009" s="55"/>
      <c r="C2009" s="5"/>
      <c r="D2009" s="56"/>
      <c r="E2009" s="56"/>
      <c r="F2009" s="6"/>
      <c r="G2009" s="4"/>
      <c r="H2009" s="4"/>
      <c r="I2009" s="3"/>
      <c r="J2009" s="12"/>
    </row>
    <row r="2010" spans="1:10" x14ac:dyDescent="0.25">
      <c r="A2010" s="4"/>
      <c r="B2010" s="55"/>
      <c r="C2010" s="5"/>
      <c r="D2010" s="56"/>
      <c r="E2010" s="56"/>
      <c r="F2010" s="6"/>
      <c r="G2010" s="4"/>
      <c r="H2010" s="4"/>
      <c r="I2010" s="3"/>
      <c r="J2010" s="12"/>
    </row>
    <row r="2011" spans="1:10" x14ac:dyDescent="0.25">
      <c r="A2011" s="4"/>
      <c r="B2011" s="55"/>
      <c r="C2011" s="5"/>
      <c r="D2011" s="56"/>
      <c r="E2011" s="56"/>
      <c r="F2011" s="6"/>
      <c r="G2011" s="4"/>
      <c r="H2011" s="4"/>
      <c r="I2011" s="3"/>
      <c r="J2011" s="12"/>
    </row>
    <row r="2012" spans="1:10" x14ac:dyDescent="0.25">
      <c r="A2012" s="4"/>
      <c r="B2012" s="55"/>
      <c r="C2012" s="5"/>
      <c r="D2012" s="56"/>
      <c r="E2012" s="56"/>
      <c r="F2012" s="6"/>
      <c r="G2012" s="4"/>
      <c r="H2012" s="4"/>
      <c r="I2012" s="3"/>
      <c r="J2012" s="12"/>
    </row>
    <row r="2013" spans="1:10" x14ac:dyDescent="0.25">
      <c r="A2013" s="4"/>
      <c r="B2013" s="55"/>
      <c r="C2013" s="5"/>
      <c r="D2013" s="56"/>
      <c r="E2013" s="56"/>
      <c r="F2013" s="6"/>
      <c r="G2013" s="4"/>
      <c r="H2013" s="4"/>
      <c r="I2013" s="3"/>
      <c r="J2013" s="12"/>
    </row>
    <row r="2014" spans="1:10" x14ac:dyDescent="0.25">
      <c r="A2014" s="4"/>
      <c r="B2014" s="55"/>
      <c r="C2014" s="5"/>
      <c r="D2014" s="56"/>
      <c r="E2014" s="56"/>
      <c r="F2014" s="6"/>
      <c r="G2014" s="4"/>
      <c r="H2014" s="4"/>
      <c r="I2014" s="3"/>
      <c r="J2014" s="12"/>
    </row>
    <row r="2015" spans="1:10" x14ac:dyDescent="0.25">
      <c r="A2015" s="4"/>
      <c r="B2015" s="55"/>
      <c r="C2015" s="5"/>
      <c r="D2015" s="56"/>
      <c r="E2015" s="56"/>
      <c r="F2015" s="6"/>
      <c r="G2015" s="4"/>
      <c r="H2015" s="4"/>
      <c r="I2015" s="3"/>
      <c r="J2015" s="12"/>
    </row>
    <row r="2016" spans="1:10" x14ac:dyDescent="0.25">
      <c r="A2016" s="4"/>
      <c r="B2016" s="55"/>
      <c r="C2016" s="5"/>
      <c r="D2016" s="56"/>
      <c r="E2016" s="56"/>
      <c r="F2016" s="6"/>
      <c r="G2016" s="4"/>
      <c r="H2016" s="4"/>
      <c r="I2016" s="3"/>
      <c r="J2016" s="12"/>
    </row>
    <row r="2017" spans="1:10" x14ac:dyDescent="0.25">
      <c r="A2017" s="4"/>
      <c r="B2017" s="55"/>
      <c r="C2017" s="5"/>
      <c r="D2017" s="56"/>
      <c r="E2017" s="56"/>
      <c r="F2017" s="6"/>
      <c r="G2017" s="4"/>
      <c r="H2017" s="4"/>
      <c r="I2017" s="3"/>
      <c r="J2017" s="12"/>
    </row>
    <row r="2018" spans="1:10" x14ac:dyDescent="0.25">
      <c r="A2018" s="4"/>
      <c r="B2018" s="55"/>
      <c r="C2018" s="5"/>
      <c r="D2018" s="56"/>
      <c r="E2018" s="56"/>
      <c r="F2018" s="6"/>
      <c r="G2018" s="4"/>
      <c r="H2018" s="4"/>
      <c r="I2018" s="3"/>
      <c r="J2018" s="12"/>
    </row>
    <row r="2019" spans="1:10" x14ac:dyDescent="0.25">
      <c r="A2019" s="4"/>
      <c r="B2019" s="55"/>
      <c r="C2019" s="5"/>
      <c r="D2019" s="56"/>
      <c r="E2019" s="56"/>
      <c r="F2019" s="6"/>
      <c r="G2019" s="4"/>
      <c r="H2019" s="4"/>
      <c r="I2019" s="3"/>
      <c r="J2019" s="12"/>
    </row>
    <row r="2020" spans="1:10" x14ac:dyDescent="0.25">
      <c r="A2020" s="4"/>
      <c r="B2020" s="55"/>
      <c r="C2020" s="5"/>
      <c r="D2020" s="56"/>
      <c r="E2020" s="56"/>
      <c r="F2020" s="6"/>
      <c r="G2020" s="4"/>
      <c r="H2020" s="4"/>
      <c r="I2020" s="3"/>
      <c r="J2020" s="12"/>
    </row>
    <row r="2021" spans="1:10" x14ac:dyDescent="0.25">
      <c r="A2021" s="4"/>
      <c r="B2021" s="55"/>
      <c r="C2021" s="5"/>
      <c r="D2021" s="56"/>
      <c r="E2021" s="56"/>
      <c r="F2021" s="6"/>
      <c r="G2021" s="4"/>
      <c r="H2021" s="4"/>
      <c r="I2021" s="3"/>
      <c r="J2021" s="12"/>
    </row>
    <row r="2022" spans="1:10" x14ac:dyDescent="0.25">
      <c r="A2022" s="4"/>
      <c r="B2022" s="55"/>
      <c r="C2022" s="5"/>
      <c r="D2022" s="56"/>
      <c r="E2022" s="56"/>
      <c r="F2022" s="6"/>
      <c r="G2022" s="4"/>
      <c r="H2022" s="4"/>
      <c r="I2022" s="3"/>
      <c r="J2022" s="12"/>
    </row>
    <row r="2023" spans="1:10" x14ac:dyDescent="0.25">
      <c r="A2023" s="4"/>
      <c r="B2023" s="55"/>
      <c r="C2023" s="5"/>
      <c r="D2023" s="56"/>
      <c r="E2023" s="56"/>
      <c r="F2023" s="6"/>
      <c r="G2023" s="4"/>
      <c r="H2023" s="4"/>
      <c r="I2023" s="3"/>
      <c r="J2023" s="12"/>
    </row>
    <row r="2024" spans="1:10" x14ac:dyDescent="0.25">
      <c r="A2024" s="4"/>
      <c r="B2024" s="55"/>
      <c r="C2024" s="5"/>
      <c r="D2024" s="56"/>
      <c r="E2024" s="56"/>
      <c r="F2024" s="6"/>
      <c r="G2024" s="4"/>
      <c r="H2024" s="4"/>
      <c r="I2024" s="3"/>
      <c r="J2024" s="12"/>
    </row>
    <row r="2025" spans="1:10" x14ac:dyDescent="0.25">
      <c r="A2025" s="4"/>
      <c r="B2025" s="55"/>
      <c r="C2025" s="5"/>
      <c r="D2025" s="56"/>
      <c r="E2025" s="56"/>
      <c r="F2025" s="6"/>
      <c r="G2025" s="4"/>
      <c r="H2025" s="4"/>
      <c r="I2025" s="3"/>
      <c r="J2025" s="12"/>
    </row>
    <row r="2026" spans="1:10" x14ac:dyDescent="0.25">
      <c r="A2026" s="4"/>
      <c r="B2026" s="55"/>
      <c r="C2026" s="5"/>
      <c r="D2026" s="56"/>
      <c r="E2026" s="56"/>
      <c r="F2026" s="6"/>
      <c r="G2026" s="4"/>
      <c r="H2026" s="4"/>
      <c r="I2026" s="3"/>
      <c r="J2026" s="12"/>
    </row>
    <row r="2027" spans="1:10" x14ac:dyDescent="0.25">
      <c r="A2027" s="4"/>
      <c r="B2027" s="55"/>
      <c r="C2027" s="5"/>
      <c r="D2027" s="56"/>
      <c r="E2027" s="56"/>
      <c r="F2027" s="6"/>
      <c r="G2027" s="4"/>
      <c r="H2027" s="4"/>
      <c r="I2027" s="3"/>
      <c r="J2027" s="12"/>
    </row>
    <row r="2028" spans="1:10" x14ac:dyDescent="0.25">
      <c r="A2028" s="4"/>
      <c r="B2028" s="55"/>
      <c r="C2028" s="5"/>
      <c r="D2028" s="56"/>
      <c r="E2028" s="56"/>
      <c r="F2028" s="6"/>
      <c r="G2028" s="4"/>
      <c r="H2028" s="4"/>
      <c r="I2028" s="3"/>
      <c r="J2028" s="12"/>
    </row>
    <row r="2029" spans="1:10" x14ac:dyDescent="0.25">
      <c r="A2029" s="4"/>
      <c r="B2029" s="55"/>
      <c r="C2029" s="5"/>
      <c r="D2029" s="56"/>
      <c r="E2029" s="56"/>
      <c r="F2029" s="6"/>
      <c r="G2029" s="4"/>
      <c r="H2029" s="4"/>
      <c r="I2029" s="3"/>
      <c r="J2029" s="12"/>
    </row>
    <row r="2030" spans="1:10" x14ac:dyDescent="0.25">
      <c r="A2030" s="4"/>
      <c r="B2030" s="55"/>
      <c r="C2030" s="5"/>
      <c r="D2030" s="56"/>
      <c r="E2030" s="56"/>
      <c r="F2030" s="6"/>
      <c r="G2030" s="4"/>
      <c r="H2030" s="4"/>
      <c r="I2030" s="3"/>
      <c r="J2030" s="12"/>
    </row>
    <row r="2031" spans="1:10" x14ac:dyDescent="0.25">
      <c r="A2031" s="4"/>
      <c r="B2031" s="55"/>
      <c r="C2031" s="5"/>
      <c r="D2031" s="56"/>
      <c r="E2031" s="56"/>
      <c r="F2031" s="6"/>
      <c r="G2031" s="4"/>
      <c r="H2031" s="4"/>
      <c r="I2031" s="3"/>
      <c r="J2031" s="12"/>
    </row>
    <row r="2032" spans="1:10" x14ac:dyDescent="0.25">
      <c r="A2032" s="4"/>
      <c r="B2032" s="55"/>
      <c r="C2032" s="5"/>
      <c r="D2032" s="56"/>
      <c r="E2032" s="56"/>
      <c r="F2032" s="6"/>
      <c r="G2032" s="4"/>
      <c r="H2032" s="4"/>
      <c r="I2032" s="3"/>
      <c r="J2032" s="12"/>
    </row>
    <row r="2033" spans="1:10" x14ac:dyDescent="0.25">
      <c r="A2033" s="4"/>
      <c r="B2033" s="55"/>
      <c r="C2033" s="5"/>
      <c r="D2033" s="56"/>
      <c r="E2033" s="56"/>
      <c r="F2033" s="6"/>
      <c r="G2033" s="4"/>
      <c r="H2033" s="4"/>
      <c r="I2033" s="3"/>
      <c r="J2033" s="12"/>
    </row>
    <row r="2034" spans="1:10" x14ac:dyDescent="0.25">
      <c r="A2034" s="4"/>
      <c r="B2034" s="55"/>
      <c r="C2034" s="5"/>
      <c r="D2034" s="56"/>
      <c r="E2034" s="56"/>
      <c r="F2034" s="6"/>
      <c r="G2034" s="4"/>
      <c r="H2034" s="4"/>
      <c r="I2034" s="3"/>
      <c r="J2034" s="12"/>
    </row>
    <row r="2035" spans="1:10" x14ac:dyDescent="0.25">
      <c r="A2035" s="4"/>
      <c r="B2035" s="55"/>
      <c r="C2035" s="5"/>
      <c r="D2035" s="56"/>
      <c r="E2035" s="56"/>
      <c r="F2035" s="6"/>
      <c r="G2035" s="4"/>
      <c r="H2035" s="4"/>
      <c r="I2035" s="3"/>
      <c r="J2035" s="12"/>
    </row>
    <row r="2036" spans="1:10" x14ac:dyDescent="0.25">
      <c r="A2036" s="4"/>
      <c r="B2036" s="55"/>
      <c r="C2036" s="5"/>
      <c r="D2036" s="56"/>
      <c r="E2036" s="56"/>
      <c r="F2036" s="6"/>
      <c r="G2036" s="4"/>
      <c r="H2036" s="4"/>
      <c r="I2036" s="3"/>
      <c r="J2036" s="12"/>
    </row>
    <row r="2037" spans="1:10" x14ac:dyDescent="0.25">
      <c r="A2037" s="4"/>
      <c r="B2037" s="55"/>
      <c r="C2037" s="5"/>
      <c r="D2037" s="56"/>
      <c r="E2037" s="56"/>
      <c r="F2037" s="6"/>
      <c r="G2037" s="4"/>
      <c r="H2037" s="4"/>
      <c r="I2037" s="3"/>
      <c r="J2037" s="12"/>
    </row>
    <row r="2038" spans="1:10" x14ac:dyDescent="0.25">
      <c r="A2038" s="4"/>
      <c r="B2038" s="55"/>
      <c r="C2038" s="5"/>
      <c r="D2038" s="56"/>
      <c r="E2038" s="56"/>
      <c r="F2038" s="6"/>
      <c r="G2038" s="4"/>
      <c r="H2038" s="4"/>
      <c r="I2038" s="3"/>
      <c r="J2038" s="12"/>
    </row>
    <row r="2039" spans="1:10" x14ac:dyDescent="0.25">
      <c r="A2039" s="4"/>
      <c r="B2039" s="55"/>
      <c r="C2039" s="5"/>
      <c r="D2039" s="56"/>
      <c r="E2039" s="56"/>
      <c r="F2039" s="6"/>
      <c r="G2039" s="4"/>
      <c r="H2039" s="4"/>
      <c r="I2039" s="3"/>
      <c r="J2039" s="12"/>
    </row>
    <row r="2040" spans="1:10" x14ac:dyDescent="0.25">
      <c r="A2040" s="4"/>
      <c r="B2040" s="55"/>
      <c r="C2040" s="5"/>
      <c r="D2040" s="56"/>
      <c r="E2040" s="56"/>
      <c r="F2040" s="6"/>
      <c r="G2040" s="4"/>
      <c r="H2040" s="4"/>
      <c r="I2040" s="3"/>
      <c r="J2040" s="12"/>
    </row>
    <row r="2041" spans="1:10" x14ac:dyDescent="0.25">
      <c r="A2041" s="4"/>
      <c r="B2041" s="55"/>
      <c r="C2041" s="5"/>
      <c r="D2041" s="56"/>
      <c r="E2041" s="56"/>
      <c r="F2041" s="6"/>
      <c r="G2041" s="4"/>
      <c r="H2041" s="4"/>
      <c r="I2041" s="3"/>
      <c r="J2041" s="12"/>
    </row>
    <row r="2042" spans="1:10" x14ac:dyDescent="0.25">
      <c r="A2042" s="4"/>
      <c r="B2042" s="55"/>
      <c r="C2042" s="5"/>
      <c r="D2042" s="56"/>
      <c r="E2042" s="56"/>
      <c r="F2042" s="6"/>
      <c r="G2042" s="4"/>
      <c r="H2042" s="4"/>
      <c r="I2042" s="3"/>
      <c r="J2042" s="12"/>
    </row>
    <row r="2043" spans="1:10" x14ac:dyDescent="0.25">
      <c r="A2043" s="4"/>
      <c r="B2043" s="55"/>
      <c r="C2043" s="5"/>
      <c r="D2043" s="56"/>
      <c r="E2043" s="56"/>
      <c r="F2043" s="6"/>
      <c r="G2043" s="4"/>
      <c r="H2043" s="4"/>
      <c r="I2043" s="3"/>
      <c r="J2043" s="12"/>
    </row>
    <row r="2044" spans="1:10" x14ac:dyDescent="0.25">
      <c r="A2044" s="4"/>
      <c r="B2044" s="55"/>
      <c r="C2044" s="5"/>
      <c r="D2044" s="56"/>
      <c r="E2044" s="56"/>
      <c r="F2044" s="6"/>
      <c r="G2044" s="4"/>
      <c r="H2044" s="4"/>
      <c r="I2044" s="3"/>
      <c r="J2044" s="12"/>
    </row>
    <row r="2045" spans="1:10" x14ac:dyDescent="0.25">
      <c r="A2045" s="4"/>
      <c r="B2045" s="55"/>
      <c r="C2045" s="5"/>
      <c r="D2045" s="56"/>
      <c r="E2045" s="56"/>
      <c r="F2045" s="6"/>
      <c r="G2045" s="4"/>
      <c r="H2045" s="4"/>
      <c r="I2045" s="3"/>
      <c r="J2045" s="12"/>
    </row>
    <row r="2046" spans="1:10" x14ac:dyDescent="0.25">
      <c r="A2046" s="4"/>
      <c r="B2046" s="55"/>
      <c r="C2046" s="5"/>
      <c r="D2046" s="56"/>
      <c r="E2046" s="56"/>
      <c r="F2046" s="6"/>
      <c r="G2046" s="4"/>
      <c r="H2046" s="4"/>
      <c r="I2046" s="3"/>
      <c r="J2046" s="12"/>
    </row>
    <row r="2047" spans="1:10" x14ac:dyDescent="0.25">
      <c r="A2047" s="4"/>
      <c r="B2047" s="55"/>
      <c r="C2047" s="5"/>
      <c r="D2047" s="56"/>
      <c r="E2047" s="56"/>
      <c r="F2047" s="6"/>
      <c r="G2047" s="4"/>
      <c r="H2047" s="4"/>
      <c r="I2047" s="3"/>
      <c r="J2047" s="12"/>
    </row>
    <row r="2048" spans="1:10" x14ac:dyDescent="0.25">
      <c r="A2048" s="4"/>
      <c r="B2048" s="55"/>
      <c r="C2048" s="5"/>
      <c r="D2048" s="56"/>
      <c r="E2048" s="56"/>
      <c r="F2048" s="6"/>
      <c r="G2048" s="4"/>
      <c r="H2048" s="4"/>
      <c r="I2048" s="3"/>
      <c r="J2048" s="12"/>
    </row>
    <row r="2049" spans="1:10" x14ac:dyDescent="0.25">
      <c r="A2049" s="4"/>
      <c r="B2049" s="55"/>
      <c r="C2049" s="5"/>
      <c r="D2049" s="56"/>
      <c r="E2049" s="56"/>
      <c r="F2049" s="6"/>
      <c r="G2049" s="4"/>
      <c r="H2049" s="4"/>
      <c r="I2049" s="3"/>
      <c r="J2049" s="12"/>
    </row>
    <row r="2050" spans="1:10" x14ac:dyDescent="0.25">
      <c r="A2050" s="4"/>
      <c r="B2050" s="55"/>
      <c r="C2050" s="5"/>
      <c r="D2050" s="56"/>
      <c r="E2050" s="56"/>
      <c r="F2050" s="6"/>
      <c r="G2050" s="4"/>
      <c r="H2050" s="4"/>
      <c r="I2050" s="3"/>
      <c r="J2050" s="12"/>
    </row>
    <row r="2051" spans="1:10" x14ac:dyDescent="0.25">
      <c r="A2051" s="4"/>
      <c r="B2051" s="55"/>
      <c r="C2051" s="5"/>
      <c r="D2051" s="56"/>
      <c r="E2051" s="56"/>
      <c r="F2051" s="6"/>
      <c r="G2051" s="4"/>
      <c r="H2051" s="4"/>
      <c r="I2051" s="3"/>
      <c r="J2051" s="12"/>
    </row>
    <row r="2052" spans="1:10" x14ac:dyDescent="0.25">
      <c r="A2052" s="4"/>
      <c r="B2052" s="55"/>
      <c r="C2052" s="5"/>
      <c r="D2052" s="56"/>
      <c r="E2052" s="56"/>
      <c r="F2052" s="6"/>
      <c r="G2052" s="4"/>
      <c r="H2052" s="4"/>
      <c r="I2052" s="3"/>
      <c r="J2052" s="12"/>
    </row>
    <row r="2053" spans="1:10" x14ac:dyDescent="0.25">
      <c r="A2053" s="4"/>
      <c r="B2053" s="55"/>
      <c r="C2053" s="5"/>
      <c r="D2053" s="56"/>
      <c r="E2053" s="56"/>
      <c r="F2053" s="6"/>
      <c r="G2053" s="4"/>
      <c r="H2053" s="4"/>
      <c r="I2053" s="3"/>
      <c r="J2053" s="12"/>
    </row>
    <row r="2054" spans="1:10" x14ac:dyDescent="0.25">
      <c r="A2054" s="4"/>
      <c r="B2054" s="55"/>
      <c r="C2054" s="5"/>
      <c r="D2054" s="56"/>
      <c r="E2054" s="56"/>
      <c r="F2054" s="6"/>
      <c r="G2054" s="4"/>
      <c r="H2054" s="4"/>
      <c r="I2054" s="3"/>
      <c r="J2054" s="12"/>
    </row>
    <row r="2055" spans="1:10" x14ac:dyDescent="0.25">
      <c r="A2055" s="4"/>
      <c r="B2055" s="55"/>
      <c r="C2055" s="5"/>
      <c r="D2055" s="56"/>
      <c r="E2055" s="56"/>
      <c r="F2055" s="6"/>
      <c r="G2055" s="4"/>
      <c r="H2055" s="4"/>
      <c r="I2055" s="3"/>
      <c r="J2055" s="12"/>
    </row>
    <row r="2056" spans="1:10" x14ac:dyDescent="0.25">
      <c r="A2056" s="4"/>
      <c r="B2056" s="55"/>
      <c r="C2056" s="5"/>
      <c r="D2056" s="56"/>
      <c r="E2056" s="56"/>
      <c r="F2056" s="6"/>
      <c r="G2056" s="4"/>
      <c r="H2056" s="4"/>
      <c r="I2056" s="3"/>
      <c r="J2056" s="12"/>
    </row>
    <row r="2057" spans="1:10" x14ac:dyDescent="0.25">
      <c r="A2057" s="4"/>
      <c r="B2057" s="55"/>
      <c r="C2057" s="5"/>
      <c r="D2057" s="56"/>
      <c r="E2057" s="56"/>
      <c r="F2057" s="6"/>
      <c r="G2057" s="4"/>
      <c r="H2057" s="4"/>
      <c r="I2057" s="3"/>
      <c r="J2057" s="12"/>
    </row>
    <row r="2058" spans="1:10" x14ac:dyDescent="0.25">
      <c r="A2058" s="4"/>
      <c r="B2058" s="55"/>
      <c r="C2058" s="5"/>
      <c r="D2058" s="56"/>
      <c r="E2058" s="56"/>
      <c r="F2058" s="6"/>
      <c r="G2058" s="4"/>
      <c r="H2058" s="4"/>
      <c r="I2058" s="3"/>
      <c r="J2058" s="12"/>
    </row>
    <row r="2059" spans="1:10" x14ac:dyDescent="0.25">
      <c r="A2059" s="4"/>
      <c r="B2059" s="55"/>
      <c r="C2059" s="5"/>
      <c r="D2059" s="56"/>
      <c r="E2059" s="56"/>
      <c r="F2059" s="6"/>
      <c r="G2059" s="4"/>
      <c r="H2059" s="4"/>
      <c r="I2059" s="3"/>
      <c r="J2059" s="12"/>
    </row>
    <row r="2060" spans="1:10" x14ac:dyDescent="0.25">
      <c r="A2060" s="4"/>
      <c r="B2060" s="55"/>
      <c r="C2060" s="5"/>
      <c r="D2060" s="56"/>
      <c r="E2060" s="56"/>
      <c r="F2060" s="6"/>
      <c r="G2060" s="4"/>
      <c r="H2060" s="4"/>
      <c r="I2060" s="3"/>
      <c r="J2060" s="12"/>
    </row>
    <row r="2061" spans="1:10" x14ac:dyDescent="0.25">
      <c r="A2061" s="4"/>
      <c r="B2061" s="55"/>
      <c r="C2061" s="5"/>
      <c r="D2061" s="56"/>
      <c r="E2061" s="56"/>
      <c r="F2061" s="6"/>
      <c r="G2061" s="4"/>
      <c r="H2061" s="4"/>
      <c r="I2061" s="3"/>
      <c r="J2061" s="12"/>
    </row>
    <row r="2062" spans="1:10" x14ac:dyDescent="0.25">
      <c r="A2062" s="4"/>
      <c r="B2062" s="55"/>
      <c r="C2062" s="5"/>
      <c r="D2062" s="56"/>
      <c r="E2062" s="56"/>
      <c r="F2062" s="6"/>
      <c r="G2062" s="4"/>
      <c r="H2062" s="4"/>
      <c r="I2062" s="3"/>
      <c r="J2062" s="12"/>
    </row>
    <row r="2063" spans="1:10" x14ac:dyDescent="0.25">
      <c r="A2063" s="4"/>
      <c r="B2063" s="55"/>
      <c r="C2063" s="5"/>
      <c r="D2063" s="56"/>
      <c r="E2063" s="56"/>
      <c r="F2063" s="6"/>
      <c r="G2063" s="4"/>
      <c r="H2063" s="4"/>
      <c r="I2063" s="3"/>
      <c r="J2063" s="12"/>
    </row>
    <row r="2064" spans="1:10" x14ac:dyDescent="0.25">
      <c r="A2064" s="4"/>
      <c r="B2064" s="55"/>
      <c r="C2064" s="5"/>
      <c r="D2064" s="56"/>
      <c r="E2064" s="56"/>
      <c r="F2064" s="6"/>
      <c r="G2064" s="4"/>
      <c r="H2064" s="4"/>
      <c r="I2064" s="3"/>
      <c r="J2064" s="12"/>
    </row>
    <row r="2065" spans="1:10" x14ac:dyDescent="0.25">
      <c r="A2065" s="4"/>
      <c r="B2065" s="55"/>
      <c r="C2065" s="5"/>
      <c r="D2065" s="56"/>
      <c r="E2065" s="56"/>
      <c r="F2065" s="6"/>
      <c r="G2065" s="4"/>
      <c r="H2065" s="4"/>
      <c r="I2065" s="3"/>
      <c r="J2065" s="12"/>
    </row>
    <row r="2066" spans="1:10" x14ac:dyDescent="0.25">
      <c r="A2066" s="4"/>
      <c r="B2066" s="55"/>
      <c r="C2066" s="5"/>
      <c r="D2066" s="56"/>
      <c r="E2066" s="56"/>
      <c r="F2066" s="6"/>
      <c r="G2066" s="4"/>
      <c r="H2066" s="4"/>
      <c r="I2066" s="3"/>
      <c r="J2066" s="12"/>
    </row>
    <row r="2067" spans="1:10" x14ac:dyDescent="0.25">
      <c r="A2067" s="4"/>
      <c r="B2067" s="55"/>
      <c r="C2067" s="5"/>
      <c r="D2067" s="56"/>
      <c r="E2067" s="56"/>
      <c r="F2067" s="6"/>
      <c r="G2067" s="4"/>
      <c r="H2067" s="4"/>
      <c r="I2067" s="3"/>
      <c r="J2067" s="12"/>
    </row>
    <row r="2068" spans="1:10" x14ac:dyDescent="0.25">
      <c r="A2068" s="4"/>
      <c r="B2068" s="55"/>
      <c r="C2068" s="5"/>
      <c r="D2068" s="56"/>
      <c r="E2068" s="56"/>
      <c r="F2068" s="6"/>
      <c r="G2068" s="4"/>
      <c r="H2068" s="4"/>
      <c r="I2068" s="3"/>
      <c r="J2068" s="12"/>
    </row>
    <row r="2069" spans="1:10" x14ac:dyDescent="0.25">
      <c r="A2069" s="4"/>
      <c r="B2069" s="55"/>
      <c r="C2069" s="5"/>
      <c r="D2069" s="56"/>
      <c r="E2069" s="56"/>
      <c r="F2069" s="6"/>
      <c r="G2069" s="4"/>
      <c r="H2069" s="4"/>
      <c r="I2069" s="3"/>
      <c r="J2069" s="12"/>
    </row>
    <row r="2070" spans="1:10" x14ac:dyDescent="0.25">
      <c r="A2070" s="4"/>
      <c r="B2070" s="55"/>
      <c r="C2070" s="5"/>
      <c r="D2070" s="56"/>
      <c r="E2070" s="56"/>
      <c r="F2070" s="6"/>
      <c r="G2070" s="4"/>
      <c r="H2070" s="4"/>
      <c r="I2070" s="3"/>
      <c r="J2070" s="12"/>
    </row>
    <row r="2071" spans="1:10" x14ac:dyDescent="0.25">
      <c r="A2071" s="4"/>
      <c r="B2071" s="55"/>
      <c r="C2071" s="5"/>
      <c r="D2071" s="56"/>
      <c r="E2071" s="56"/>
      <c r="F2071" s="6"/>
      <c r="G2071" s="4"/>
      <c r="H2071" s="4"/>
      <c r="I2071" s="3"/>
      <c r="J2071" s="12"/>
    </row>
    <row r="2072" spans="1:10" x14ac:dyDescent="0.25">
      <c r="A2072" s="4"/>
      <c r="B2072" s="55"/>
      <c r="C2072" s="5"/>
      <c r="D2072" s="56"/>
      <c r="E2072" s="56"/>
      <c r="F2072" s="6"/>
      <c r="G2072" s="4"/>
      <c r="H2072" s="4"/>
      <c r="I2072" s="3"/>
      <c r="J2072" s="12"/>
    </row>
    <row r="2073" spans="1:10" x14ac:dyDescent="0.25">
      <c r="A2073" s="4"/>
      <c r="B2073" s="55"/>
      <c r="C2073" s="5"/>
      <c r="D2073" s="56"/>
      <c r="E2073" s="56"/>
      <c r="F2073" s="6"/>
      <c r="G2073" s="4"/>
      <c r="H2073" s="4"/>
      <c r="I2073" s="3"/>
      <c r="J2073" s="12"/>
    </row>
    <row r="2074" spans="1:10" x14ac:dyDescent="0.25">
      <c r="A2074" s="4"/>
      <c r="B2074" s="55"/>
      <c r="C2074" s="5"/>
      <c r="D2074" s="56"/>
      <c r="E2074" s="56"/>
      <c r="F2074" s="6"/>
      <c r="G2074" s="4"/>
      <c r="H2074" s="4"/>
      <c r="I2074" s="3"/>
      <c r="J2074" s="12"/>
    </row>
    <row r="2075" spans="1:10" x14ac:dyDescent="0.25">
      <c r="A2075" s="4"/>
      <c r="B2075" s="55"/>
      <c r="C2075" s="5"/>
      <c r="D2075" s="56"/>
      <c r="E2075" s="56"/>
      <c r="F2075" s="6"/>
      <c r="G2075" s="4"/>
      <c r="H2075" s="4"/>
      <c r="I2075" s="3"/>
      <c r="J2075" s="12"/>
    </row>
    <row r="2076" spans="1:10" x14ac:dyDescent="0.25">
      <c r="A2076" s="4"/>
      <c r="B2076" s="55"/>
      <c r="C2076" s="5"/>
      <c r="D2076" s="56"/>
      <c r="E2076" s="56"/>
      <c r="F2076" s="6"/>
      <c r="G2076" s="4"/>
      <c r="H2076" s="4"/>
      <c r="I2076" s="3"/>
      <c r="J2076" s="12"/>
    </row>
    <row r="2077" spans="1:10" x14ac:dyDescent="0.25">
      <c r="A2077" s="4"/>
      <c r="B2077" s="55"/>
      <c r="C2077" s="5"/>
      <c r="D2077" s="56"/>
      <c r="E2077" s="56"/>
      <c r="F2077" s="6"/>
      <c r="G2077" s="4"/>
      <c r="H2077" s="4"/>
      <c r="I2077" s="3"/>
      <c r="J2077" s="12"/>
    </row>
    <row r="2078" spans="1:10" x14ac:dyDescent="0.25">
      <c r="A2078" s="4"/>
      <c r="B2078" s="55"/>
      <c r="C2078" s="5"/>
      <c r="D2078" s="56"/>
      <c r="E2078" s="56"/>
      <c r="F2078" s="6"/>
      <c r="G2078" s="4"/>
      <c r="H2078" s="4"/>
      <c r="I2078" s="3"/>
      <c r="J2078" s="12"/>
    </row>
    <row r="2079" spans="1:10" x14ac:dyDescent="0.25">
      <c r="A2079" s="4"/>
      <c r="B2079" s="55"/>
      <c r="C2079" s="5"/>
      <c r="D2079" s="56"/>
      <c r="E2079" s="56"/>
      <c r="F2079" s="6"/>
      <c r="G2079" s="4"/>
      <c r="H2079" s="4"/>
      <c r="I2079" s="3"/>
      <c r="J2079" s="12"/>
    </row>
    <row r="2080" spans="1:10" x14ac:dyDescent="0.25">
      <c r="A2080" s="4"/>
      <c r="B2080" s="55"/>
      <c r="C2080" s="5"/>
      <c r="D2080" s="56"/>
      <c r="E2080" s="56"/>
      <c r="F2080" s="6"/>
      <c r="G2080" s="4"/>
      <c r="H2080" s="4"/>
      <c r="I2080" s="3"/>
      <c r="J2080" s="12"/>
    </row>
    <row r="2081" spans="1:10" x14ac:dyDescent="0.25">
      <c r="A2081" s="4"/>
      <c r="B2081" s="55"/>
      <c r="C2081" s="5"/>
      <c r="D2081" s="56"/>
      <c r="E2081" s="56"/>
      <c r="F2081" s="6"/>
      <c r="G2081" s="4"/>
      <c r="H2081" s="4"/>
      <c r="I2081" s="3"/>
      <c r="J2081" s="12"/>
    </row>
    <row r="2082" spans="1:10" x14ac:dyDescent="0.25">
      <c r="A2082" s="4"/>
      <c r="B2082" s="55"/>
      <c r="C2082" s="5"/>
      <c r="D2082" s="56"/>
      <c r="E2082" s="56"/>
      <c r="F2082" s="6"/>
      <c r="G2082" s="4"/>
      <c r="H2082" s="4"/>
      <c r="I2082" s="3"/>
      <c r="J2082" s="12"/>
    </row>
    <row r="2083" spans="1:10" x14ac:dyDescent="0.25">
      <c r="A2083" s="4"/>
      <c r="B2083" s="55"/>
      <c r="C2083" s="5"/>
      <c r="D2083" s="56"/>
      <c r="E2083" s="56"/>
      <c r="F2083" s="6"/>
      <c r="G2083" s="4"/>
      <c r="H2083" s="4"/>
      <c r="I2083" s="3"/>
      <c r="J2083" s="12"/>
    </row>
    <row r="2084" spans="1:10" x14ac:dyDescent="0.25">
      <c r="A2084" s="4"/>
      <c r="B2084" s="55"/>
      <c r="C2084" s="5"/>
      <c r="D2084" s="56"/>
      <c r="E2084" s="56"/>
      <c r="F2084" s="6"/>
      <c r="G2084" s="4"/>
      <c r="H2084" s="4"/>
      <c r="I2084" s="3"/>
      <c r="J2084" s="12"/>
    </row>
    <row r="2085" spans="1:10" x14ac:dyDescent="0.25">
      <c r="A2085" s="4"/>
      <c r="B2085" s="55"/>
      <c r="C2085" s="5"/>
      <c r="D2085" s="56"/>
      <c r="E2085" s="56"/>
      <c r="F2085" s="6"/>
      <c r="G2085" s="4"/>
      <c r="H2085" s="4"/>
      <c r="I2085" s="3"/>
      <c r="J2085" s="12"/>
    </row>
    <row r="2086" spans="1:10" x14ac:dyDescent="0.25">
      <c r="A2086" s="4"/>
      <c r="B2086" s="55"/>
      <c r="C2086" s="5"/>
      <c r="D2086" s="56"/>
      <c r="E2086" s="56"/>
      <c r="F2086" s="6"/>
      <c r="G2086" s="4"/>
      <c r="H2086" s="4"/>
      <c r="I2086" s="3"/>
      <c r="J2086" s="12"/>
    </row>
    <row r="2087" spans="1:10" x14ac:dyDescent="0.25">
      <c r="A2087" s="4"/>
      <c r="B2087" s="55"/>
      <c r="C2087" s="5"/>
      <c r="D2087" s="56"/>
      <c r="E2087" s="56"/>
      <c r="F2087" s="6"/>
      <c r="G2087" s="4"/>
      <c r="H2087" s="4"/>
      <c r="I2087" s="3"/>
      <c r="J2087" s="12"/>
    </row>
    <row r="2088" spans="1:10" x14ac:dyDescent="0.25">
      <c r="A2088" s="4"/>
      <c r="B2088" s="55"/>
      <c r="C2088" s="5"/>
      <c r="D2088" s="56"/>
      <c r="E2088" s="56"/>
      <c r="F2088" s="6"/>
      <c r="G2088" s="4"/>
      <c r="H2088" s="4"/>
      <c r="I2088" s="3"/>
      <c r="J2088" s="12"/>
    </row>
    <row r="2089" spans="1:10" x14ac:dyDescent="0.25">
      <c r="A2089" s="4"/>
      <c r="B2089" s="55"/>
      <c r="C2089" s="5"/>
      <c r="D2089" s="56"/>
      <c r="E2089" s="56"/>
      <c r="F2089" s="6"/>
      <c r="G2089" s="4"/>
      <c r="H2089" s="4"/>
      <c r="I2089" s="3"/>
      <c r="J2089" s="12"/>
    </row>
    <row r="2090" spans="1:10" x14ac:dyDescent="0.25">
      <c r="A2090" s="4"/>
      <c r="B2090" s="55"/>
      <c r="C2090" s="5"/>
      <c r="D2090" s="56"/>
      <c r="E2090" s="56"/>
      <c r="F2090" s="6"/>
      <c r="G2090" s="4"/>
      <c r="H2090" s="4"/>
      <c r="I2090" s="3"/>
      <c r="J2090" s="12"/>
    </row>
    <row r="2091" spans="1:10" x14ac:dyDescent="0.25">
      <c r="A2091" s="4"/>
      <c r="B2091" s="55"/>
      <c r="C2091" s="5"/>
      <c r="D2091" s="56"/>
      <c r="E2091" s="56"/>
      <c r="F2091" s="6"/>
      <c r="G2091" s="4"/>
      <c r="H2091" s="4"/>
      <c r="I2091" s="3"/>
      <c r="J2091" s="12"/>
    </row>
    <row r="2092" spans="1:10" x14ac:dyDescent="0.25">
      <c r="A2092" s="4"/>
      <c r="B2092" s="55"/>
      <c r="C2092" s="5"/>
      <c r="D2092" s="56"/>
      <c r="E2092" s="56"/>
      <c r="F2092" s="6"/>
      <c r="G2092" s="4"/>
      <c r="H2092" s="4"/>
      <c r="I2092" s="3"/>
      <c r="J2092" s="12"/>
    </row>
    <row r="2093" spans="1:10" x14ac:dyDescent="0.25">
      <c r="A2093" s="4"/>
      <c r="B2093" s="55"/>
      <c r="C2093" s="5"/>
      <c r="D2093" s="56"/>
      <c r="E2093" s="56"/>
      <c r="F2093" s="6"/>
      <c r="G2093" s="4"/>
      <c r="H2093" s="4"/>
      <c r="I2093" s="3"/>
      <c r="J2093" s="12"/>
    </row>
    <row r="2094" spans="1:10" x14ac:dyDescent="0.25">
      <c r="A2094" s="4"/>
      <c r="B2094" s="55"/>
      <c r="C2094" s="5"/>
      <c r="D2094" s="56"/>
      <c r="E2094" s="56"/>
      <c r="F2094" s="6"/>
      <c r="G2094" s="4"/>
      <c r="H2094" s="4"/>
      <c r="I2094" s="3"/>
      <c r="J2094" s="12"/>
    </row>
    <row r="2095" spans="1:10" x14ac:dyDescent="0.25">
      <c r="A2095" s="4"/>
      <c r="B2095" s="55"/>
      <c r="C2095" s="5"/>
      <c r="D2095" s="56"/>
      <c r="E2095" s="56"/>
      <c r="F2095" s="6"/>
      <c r="G2095" s="4"/>
      <c r="H2095" s="4"/>
      <c r="I2095" s="3"/>
      <c r="J2095" s="12"/>
    </row>
    <row r="2096" spans="1:10" x14ac:dyDescent="0.25">
      <c r="A2096" s="4"/>
      <c r="B2096" s="55"/>
      <c r="C2096" s="5"/>
      <c r="D2096" s="56"/>
      <c r="E2096" s="56"/>
      <c r="F2096" s="6"/>
      <c r="G2096" s="4"/>
      <c r="H2096" s="4"/>
      <c r="I2096" s="3"/>
      <c r="J2096" s="12"/>
    </row>
    <row r="2097" spans="1:10" x14ac:dyDescent="0.25">
      <c r="A2097" s="4"/>
      <c r="B2097" s="55"/>
      <c r="C2097" s="5"/>
      <c r="D2097" s="56"/>
      <c r="E2097" s="56"/>
      <c r="F2097" s="6"/>
      <c r="G2097" s="4"/>
      <c r="H2097" s="4"/>
      <c r="I2097" s="3"/>
      <c r="J2097" s="12"/>
    </row>
    <row r="2098" spans="1:10" x14ac:dyDescent="0.25">
      <c r="A2098" s="4"/>
      <c r="B2098" s="55"/>
      <c r="C2098" s="5"/>
      <c r="D2098" s="56"/>
      <c r="E2098" s="56"/>
      <c r="F2098" s="6"/>
      <c r="G2098" s="4"/>
      <c r="H2098" s="4"/>
      <c r="I2098" s="3"/>
      <c r="J2098" s="12"/>
    </row>
    <row r="2099" spans="1:10" x14ac:dyDescent="0.25">
      <c r="A2099" s="4"/>
      <c r="B2099" s="55"/>
      <c r="C2099" s="5"/>
      <c r="D2099" s="56"/>
      <c r="E2099" s="56"/>
      <c r="F2099" s="6"/>
      <c r="G2099" s="4"/>
      <c r="H2099" s="4"/>
      <c r="I2099" s="3"/>
      <c r="J2099" s="12"/>
    </row>
    <row r="2100" spans="1:10" x14ac:dyDescent="0.25">
      <c r="A2100" s="4"/>
      <c r="B2100" s="55"/>
      <c r="C2100" s="5"/>
      <c r="D2100" s="56"/>
      <c r="E2100" s="56"/>
      <c r="F2100" s="6"/>
      <c r="G2100" s="4"/>
      <c r="H2100" s="4"/>
      <c r="I2100" s="3"/>
      <c r="J2100" s="12"/>
    </row>
    <row r="2101" spans="1:10" x14ac:dyDescent="0.25">
      <c r="A2101" s="4"/>
      <c r="B2101" s="55"/>
      <c r="C2101" s="5"/>
      <c r="D2101" s="56"/>
      <c r="E2101" s="56"/>
      <c r="F2101" s="6"/>
      <c r="G2101" s="4"/>
      <c r="H2101" s="4"/>
      <c r="I2101" s="3"/>
      <c r="J2101" s="12"/>
    </row>
    <row r="2102" spans="1:10" x14ac:dyDescent="0.25">
      <c r="A2102" s="4"/>
      <c r="B2102" s="55"/>
      <c r="C2102" s="5"/>
      <c r="D2102" s="56"/>
      <c r="E2102" s="56"/>
      <c r="F2102" s="6"/>
      <c r="G2102" s="4"/>
      <c r="H2102" s="4"/>
      <c r="I2102" s="3"/>
      <c r="J2102" s="12"/>
    </row>
    <row r="2103" spans="1:10" x14ac:dyDescent="0.25">
      <c r="A2103" s="4"/>
      <c r="B2103" s="55"/>
      <c r="C2103" s="5"/>
      <c r="D2103" s="56"/>
      <c r="E2103" s="56"/>
      <c r="F2103" s="6"/>
      <c r="G2103" s="4"/>
      <c r="H2103" s="4"/>
      <c r="I2103" s="3"/>
      <c r="J2103" s="12"/>
    </row>
    <row r="2104" spans="1:10" x14ac:dyDescent="0.25">
      <c r="A2104" s="4"/>
      <c r="B2104" s="55"/>
      <c r="C2104" s="5"/>
      <c r="D2104" s="56"/>
      <c r="E2104" s="56"/>
      <c r="F2104" s="6"/>
      <c r="G2104" s="4"/>
      <c r="H2104" s="4"/>
      <c r="I2104" s="3"/>
      <c r="J2104" s="12"/>
    </row>
    <row r="2105" spans="1:10" x14ac:dyDescent="0.25">
      <c r="A2105" s="4"/>
      <c r="B2105" s="55"/>
      <c r="C2105" s="5"/>
      <c r="D2105" s="56"/>
      <c r="E2105" s="56"/>
      <c r="F2105" s="6"/>
      <c r="G2105" s="4"/>
      <c r="H2105" s="4"/>
      <c r="I2105" s="3"/>
      <c r="J2105" s="12"/>
    </row>
    <row r="2106" spans="1:10" x14ac:dyDescent="0.25">
      <c r="A2106" s="4"/>
      <c r="B2106" s="55"/>
      <c r="C2106" s="5"/>
      <c r="D2106" s="56"/>
      <c r="E2106" s="56"/>
      <c r="F2106" s="6"/>
      <c r="G2106" s="4"/>
      <c r="H2106" s="4"/>
      <c r="I2106" s="3"/>
      <c r="J2106" s="12"/>
    </row>
    <row r="2107" spans="1:10" x14ac:dyDescent="0.25">
      <c r="A2107" s="4"/>
      <c r="B2107" s="55"/>
      <c r="C2107" s="5"/>
      <c r="D2107" s="56"/>
      <c r="E2107" s="56"/>
      <c r="F2107" s="6"/>
      <c r="G2107" s="4"/>
      <c r="H2107" s="4"/>
      <c r="I2107" s="3"/>
      <c r="J2107" s="12"/>
    </row>
    <row r="2108" spans="1:10" x14ac:dyDescent="0.25">
      <c r="A2108" s="4"/>
      <c r="B2108" s="55"/>
      <c r="C2108" s="5"/>
      <c r="D2108" s="56"/>
      <c r="E2108" s="56"/>
      <c r="F2108" s="6"/>
      <c r="G2108" s="4"/>
      <c r="H2108" s="4"/>
      <c r="I2108" s="3"/>
      <c r="J2108" s="12"/>
    </row>
    <row r="2109" spans="1:10" x14ac:dyDescent="0.25">
      <c r="A2109" s="4"/>
      <c r="B2109" s="55"/>
      <c r="C2109" s="5"/>
      <c r="D2109" s="56"/>
      <c r="E2109" s="56"/>
      <c r="F2109" s="6"/>
      <c r="G2109" s="4"/>
      <c r="H2109" s="4"/>
      <c r="I2109" s="3"/>
      <c r="J2109" s="12"/>
    </row>
    <row r="2110" spans="1:10" x14ac:dyDescent="0.25">
      <c r="A2110" s="4"/>
      <c r="B2110" s="55"/>
      <c r="C2110" s="5"/>
      <c r="D2110" s="56"/>
      <c r="E2110" s="56"/>
      <c r="F2110" s="6"/>
      <c r="G2110" s="4"/>
      <c r="H2110" s="4"/>
      <c r="I2110" s="3"/>
      <c r="J2110" s="12"/>
    </row>
    <row r="2111" spans="1:10" x14ac:dyDescent="0.25">
      <c r="A2111" s="4"/>
      <c r="B2111" s="55"/>
      <c r="C2111" s="5"/>
      <c r="D2111" s="56"/>
      <c r="E2111" s="56"/>
      <c r="F2111" s="6"/>
      <c r="G2111" s="4"/>
      <c r="H2111" s="4"/>
      <c r="I2111" s="3"/>
      <c r="J2111" s="12"/>
    </row>
    <row r="2112" spans="1:10" x14ac:dyDescent="0.25">
      <c r="A2112" s="4"/>
      <c r="B2112" s="55"/>
      <c r="C2112" s="5"/>
      <c r="D2112" s="56"/>
      <c r="E2112" s="56"/>
      <c r="F2112" s="6"/>
      <c r="G2112" s="4"/>
      <c r="H2112" s="4"/>
      <c r="I2112" s="3"/>
      <c r="J2112" s="12"/>
    </row>
    <row r="2113" spans="1:10" x14ac:dyDescent="0.25">
      <c r="A2113" s="4"/>
      <c r="B2113" s="55"/>
      <c r="C2113" s="5"/>
      <c r="D2113" s="56"/>
      <c r="E2113" s="56"/>
      <c r="F2113" s="6"/>
      <c r="G2113" s="4"/>
      <c r="H2113" s="4"/>
      <c r="I2113" s="3"/>
      <c r="J2113" s="12"/>
    </row>
    <row r="2114" spans="1:10" x14ac:dyDescent="0.25">
      <c r="A2114" s="4"/>
      <c r="B2114" s="55"/>
      <c r="C2114" s="5"/>
      <c r="D2114" s="56"/>
      <c r="E2114" s="56"/>
      <c r="F2114" s="6"/>
      <c r="G2114" s="4"/>
      <c r="H2114" s="4"/>
      <c r="I2114" s="3"/>
      <c r="J2114" s="12"/>
    </row>
    <row r="2115" spans="1:10" x14ac:dyDescent="0.25">
      <c r="A2115" s="4"/>
      <c r="B2115" s="55"/>
      <c r="C2115" s="5"/>
      <c r="D2115" s="56"/>
      <c r="E2115" s="56"/>
      <c r="F2115" s="6"/>
      <c r="G2115" s="4"/>
      <c r="H2115" s="4"/>
      <c r="I2115" s="3"/>
      <c r="J2115" s="12"/>
    </row>
    <row r="2116" spans="1:10" x14ac:dyDescent="0.25">
      <c r="A2116" s="4"/>
      <c r="B2116" s="55"/>
      <c r="C2116" s="5"/>
      <c r="D2116" s="56"/>
      <c r="E2116" s="56"/>
      <c r="F2116" s="6"/>
      <c r="G2116" s="4"/>
      <c r="H2116" s="4"/>
      <c r="I2116" s="3"/>
      <c r="J2116" s="12"/>
    </row>
    <row r="2117" spans="1:10" x14ac:dyDescent="0.25">
      <c r="A2117" s="4"/>
      <c r="B2117" s="55"/>
      <c r="C2117" s="5"/>
      <c r="D2117" s="56"/>
      <c r="E2117" s="56"/>
      <c r="F2117" s="6"/>
      <c r="G2117" s="4"/>
      <c r="H2117" s="4"/>
      <c r="I2117" s="3"/>
      <c r="J2117" s="12"/>
    </row>
    <row r="2118" spans="1:10" x14ac:dyDescent="0.25">
      <c r="A2118" s="4"/>
      <c r="B2118" s="55"/>
      <c r="C2118" s="5"/>
      <c r="D2118" s="56"/>
      <c r="E2118" s="56"/>
      <c r="F2118" s="6"/>
      <c r="G2118" s="4"/>
      <c r="H2118" s="4"/>
      <c r="I2118" s="3"/>
      <c r="J2118" s="12"/>
    </row>
    <row r="2119" spans="1:10" x14ac:dyDescent="0.25">
      <c r="A2119" s="4"/>
      <c r="B2119" s="55"/>
      <c r="C2119" s="5"/>
      <c r="D2119" s="56"/>
      <c r="E2119" s="56"/>
      <c r="F2119" s="6"/>
      <c r="G2119" s="4"/>
      <c r="H2119" s="4"/>
      <c r="I2119" s="3"/>
      <c r="J2119" s="12"/>
    </row>
    <row r="2120" spans="1:10" x14ac:dyDescent="0.25">
      <c r="A2120" s="4"/>
      <c r="B2120" s="55"/>
      <c r="C2120" s="5"/>
      <c r="D2120" s="56"/>
      <c r="E2120" s="56"/>
      <c r="F2120" s="6"/>
      <c r="G2120" s="4"/>
      <c r="H2120" s="4"/>
      <c r="I2120" s="3"/>
      <c r="J2120" s="12"/>
    </row>
    <row r="2121" spans="1:10" x14ac:dyDescent="0.25">
      <c r="A2121" s="4"/>
      <c r="B2121" s="55"/>
      <c r="C2121" s="5"/>
      <c r="D2121" s="56"/>
      <c r="E2121" s="56"/>
      <c r="F2121" s="6"/>
      <c r="G2121" s="4"/>
      <c r="H2121" s="4"/>
      <c r="I2121" s="3"/>
      <c r="J2121" s="12"/>
    </row>
    <row r="2122" spans="1:10" x14ac:dyDescent="0.25">
      <c r="A2122" s="4"/>
      <c r="B2122" s="55"/>
      <c r="C2122" s="5"/>
      <c r="D2122" s="56"/>
      <c r="E2122" s="56"/>
      <c r="F2122" s="6"/>
      <c r="G2122" s="4"/>
      <c r="H2122" s="4"/>
      <c r="I2122" s="3"/>
      <c r="J2122" s="12"/>
    </row>
    <row r="2123" spans="1:10" x14ac:dyDescent="0.25">
      <c r="A2123" s="4"/>
      <c r="B2123" s="55"/>
      <c r="C2123" s="5"/>
      <c r="D2123" s="56"/>
      <c r="E2123" s="56"/>
      <c r="F2123" s="6"/>
      <c r="G2123" s="4"/>
      <c r="H2123" s="4"/>
      <c r="I2123" s="3"/>
      <c r="J2123" s="12"/>
    </row>
    <row r="2124" spans="1:10" x14ac:dyDescent="0.25">
      <c r="A2124" s="4"/>
      <c r="B2124" s="55"/>
      <c r="C2124" s="5"/>
      <c r="D2124" s="56"/>
      <c r="E2124" s="56"/>
      <c r="F2124" s="6"/>
      <c r="G2124" s="4"/>
      <c r="H2124" s="4"/>
      <c r="I2124" s="3"/>
      <c r="J2124" s="12"/>
    </row>
    <row r="2125" spans="1:10" x14ac:dyDescent="0.25">
      <c r="A2125" s="4"/>
      <c r="B2125" s="55"/>
      <c r="C2125" s="5"/>
      <c r="D2125" s="56"/>
      <c r="E2125" s="56"/>
      <c r="F2125" s="6"/>
      <c r="G2125" s="4"/>
      <c r="H2125" s="4"/>
      <c r="I2125" s="3"/>
      <c r="J2125" s="12"/>
    </row>
    <row r="2126" spans="1:10" x14ac:dyDescent="0.25">
      <c r="A2126" s="4"/>
      <c r="B2126" s="55"/>
      <c r="C2126" s="5"/>
      <c r="D2126" s="56"/>
      <c r="E2126" s="56"/>
      <c r="F2126" s="6"/>
      <c r="G2126" s="4"/>
      <c r="H2126" s="4"/>
      <c r="I2126" s="3"/>
      <c r="J2126" s="12"/>
    </row>
    <row r="2127" spans="1:10" x14ac:dyDescent="0.25">
      <c r="A2127" s="4"/>
      <c r="B2127" s="55"/>
      <c r="C2127" s="5"/>
      <c r="D2127" s="56"/>
      <c r="E2127" s="56"/>
      <c r="F2127" s="6"/>
      <c r="G2127" s="4"/>
      <c r="H2127" s="4"/>
      <c r="I2127" s="3"/>
      <c r="J2127" s="12"/>
    </row>
    <row r="2128" spans="1:10" x14ac:dyDescent="0.25">
      <c r="A2128" s="4"/>
      <c r="B2128" s="55"/>
      <c r="C2128" s="5"/>
      <c r="D2128" s="56"/>
      <c r="E2128" s="56"/>
      <c r="F2128" s="6"/>
      <c r="G2128" s="4"/>
      <c r="H2128" s="4"/>
      <c r="I2128" s="3"/>
      <c r="J2128" s="12"/>
    </row>
    <row r="2129" spans="1:10" x14ac:dyDescent="0.25">
      <c r="A2129" s="4"/>
      <c r="B2129" s="55"/>
      <c r="C2129" s="5"/>
      <c r="D2129" s="56"/>
      <c r="E2129" s="56"/>
      <c r="F2129" s="6"/>
      <c r="G2129" s="4"/>
      <c r="H2129" s="4"/>
      <c r="I2129" s="3"/>
      <c r="J2129" s="12"/>
    </row>
    <row r="2130" spans="1:10" x14ac:dyDescent="0.25">
      <c r="A2130" s="4"/>
      <c r="B2130" s="55"/>
      <c r="C2130" s="5"/>
      <c r="D2130" s="56"/>
      <c r="E2130" s="56"/>
      <c r="F2130" s="6"/>
      <c r="G2130" s="4"/>
      <c r="H2130" s="4"/>
      <c r="I2130" s="3"/>
      <c r="J2130" s="12"/>
    </row>
    <row r="2131" spans="1:10" x14ac:dyDescent="0.25">
      <c r="A2131" s="4"/>
      <c r="B2131" s="55"/>
      <c r="C2131" s="5"/>
      <c r="D2131" s="56"/>
      <c r="E2131" s="56"/>
      <c r="F2131" s="6"/>
      <c r="G2131" s="4"/>
      <c r="H2131" s="4"/>
      <c r="I2131" s="3"/>
      <c r="J2131" s="12"/>
    </row>
    <row r="2132" spans="1:10" x14ac:dyDescent="0.25">
      <c r="A2132" s="4"/>
      <c r="B2132" s="55"/>
      <c r="C2132" s="5"/>
      <c r="D2132" s="56"/>
      <c r="E2132" s="56"/>
      <c r="F2132" s="6"/>
      <c r="G2132" s="4"/>
      <c r="H2132" s="4"/>
      <c r="I2132" s="3"/>
      <c r="J2132" s="12"/>
    </row>
    <row r="2133" spans="1:10" x14ac:dyDescent="0.25">
      <c r="A2133" s="2"/>
      <c r="B2133" s="25"/>
      <c r="C2133" s="5"/>
      <c r="D2133" s="3"/>
      <c r="E2133" s="3"/>
      <c r="F2133" s="6"/>
      <c r="G2133" s="4"/>
      <c r="H2133" s="2"/>
      <c r="I2133" s="3"/>
      <c r="J2133" s="12"/>
    </row>
    <row r="2134" spans="1:10" x14ac:dyDescent="0.25">
      <c r="A2134" s="2"/>
      <c r="B2134" s="25"/>
      <c r="C2134" s="5"/>
      <c r="D2134" s="3"/>
      <c r="E2134" s="3"/>
      <c r="F2134" s="6"/>
      <c r="G2134" s="4"/>
      <c r="H2134" s="2"/>
      <c r="I2134" s="3"/>
      <c r="J2134" s="12"/>
    </row>
    <row r="2135" spans="1:10" x14ac:dyDescent="0.25">
      <c r="A2135" s="2"/>
      <c r="B2135" s="25"/>
      <c r="C2135" s="5"/>
      <c r="D2135" s="3"/>
      <c r="E2135" s="3"/>
      <c r="F2135" s="6"/>
      <c r="G2135" s="4"/>
      <c r="H2135" s="2"/>
      <c r="I2135" s="3"/>
      <c r="J2135" s="12"/>
    </row>
    <row r="2136" spans="1:10" x14ac:dyDescent="0.25">
      <c r="A2136" s="2"/>
      <c r="B2136" s="25"/>
      <c r="C2136" s="5"/>
      <c r="D2136" s="3"/>
      <c r="E2136" s="3"/>
      <c r="F2136" s="6"/>
      <c r="G2136" s="4"/>
      <c r="H2136" s="2"/>
      <c r="I2136" s="3"/>
      <c r="J2136" s="12"/>
    </row>
    <row r="2137" spans="1:10" x14ac:dyDescent="0.25">
      <c r="A2137" s="2"/>
      <c r="B2137" s="25"/>
      <c r="C2137" s="5"/>
      <c r="D2137" s="3"/>
      <c r="E2137" s="3"/>
      <c r="F2137" s="6"/>
      <c r="G2137" s="4"/>
      <c r="H2137" s="2"/>
      <c r="I2137" s="3"/>
      <c r="J2137" s="12"/>
    </row>
    <row r="2138" spans="1:10" x14ac:dyDescent="0.25">
      <c r="A2138" s="2"/>
      <c r="B2138" s="25"/>
      <c r="C2138" s="5"/>
      <c r="D2138" s="3"/>
      <c r="E2138" s="3"/>
      <c r="F2138" s="6"/>
      <c r="G2138" s="4"/>
      <c r="H2138" s="2"/>
      <c r="I2138" s="3"/>
      <c r="J2138" s="12"/>
    </row>
    <row r="2139" spans="1:10" x14ac:dyDescent="0.25">
      <c r="A2139" s="2"/>
      <c r="B2139" s="25"/>
      <c r="C2139" s="5"/>
      <c r="D2139" s="3"/>
      <c r="E2139" s="3"/>
      <c r="F2139" s="6"/>
      <c r="G2139" s="4"/>
      <c r="H2139" s="2"/>
      <c r="I2139" s="3"/>
      <c r="J2139" s="12"/>
    </row>
    <row r="2140" spans="1:10" x14ac:dyDescent="0.25">
      <c r="A2140" s="2"/>
      <c r="B2140" s="25"/>
      <c r="C2140" s="5"/>
      <c r="D2140" s="3"/>
      <c r="E2140" s="3"/>
      <c r="F2140" s="6"/>
      <c r="G2140" s="4"/>
      <c r="H2140" s="2"/>
      <c r="I2140" s="3"/>
      <c r="J2140" s="12"/>
    </row>
    <row r="2141" spans="1:10" x14ac:dyDescent="0.25">
      <c r="A2141" s="2"/>
      <c r="B2141" s="25"/>
      <c r="C2141" s="5"/>
      <c r="D2141" s="3"/>
      <c r="E2141" s="3"/>
      <c r="F2141" s="6"/>
      <c r="G2141" s="4"/>
      <c r="H2141" s="2"/>
      <c r="I2141" s="3"/>
      <c r="J2141" s="12"/>
    </row>
    <row r="2142" spans="1:10" x14ac:dyDescent="0.25">
      <c r="A2142" s="2"/>
      <c r="B2142" s="25"/>
      <c r="C2142" s="5"/>
      <c r="D2142" s="3"/>
      <c r="E2142" s="3"/>
      <c r="F2142" s="6"/>
      <c r="G2142" s="4"/>
      <c r="H2142" s="2"/>
      <c r="I2142" s="3"/>
      <c r="J2142" s="12"/>
    </row>
    <row r="2143" spans="1:10" x14ac:dyDescent="0.25">
      <c r="A2143" s="2"/>
      <c r="B2143" s="25"/>
      <c r="C2143" s="5"/>
      <c r="D2143" s="3"/>
      <c r="E2143" s="3"/>
      <c r="F2143" s="6"/>
      <c r="G2143" s="4"/>
      <c r="H2143" s="2"/>
      <c r="I2143" s="3"/>
      <c r="J2143" s="12"/>
    </row>
    <row r="2144" spans="1:10" x14ac:dyDescent="0.25">
      <c r="A2144" s="2"/>
      <c r="B2144" s="25"/>
      <c r="C2144" s="5"/>
      <c r="D2144" s="3"/>
      <c r="E2144" s="3"/>
      <c r="F2144" s="6"/>
      <c r="G2144" s="4"/>
      <c r="H2144" s="2"/>
      <c r="I2144" s="3"/>
      <c r="J2144" s="12"/>
    </row>
    <row r="2145" spans="1:10" x14ac:dyDescent="0.25">
      <c r="A2145" s="2"/>
      <c r="B2145" s="25"/>
      <c r="C2145" s="5"/>
      <c r="D2145" s="3"/>
      <c r="E2145" s="3"/>
      <c r="F2145" s="6"/>
      <c r="G2145" s="4"/>
      <c r="H2145" s="2"/>
      <c r="I2145" s="3"/>
      <c r="J2145" s="12"/>
    </row>
    <row r="2146" spans="1:10" x14ac:dyDescent="0.25">
      <c r="A2146" s="2"/>
      <c r="B2146" s="25"/>
      <c r="C2146" s="5"/>
      <c r="D2146" s="3"/>
      <c r="E2146" s="3"/>
      <c r="F2146" s="6"/>
      <c r="G2146" s="4"/>
      <c r="H2146" s="2"/>
      <c r="I2146" s="3"/>
      <c r="J2146" s="12"/>
    </row>
    <row r="2147" spans="1:10" x14ac:dyDescent="0.25">
      <c r="A2147" s="2"/>
      <c r="B2147" s="25"/>
      <c r="C2147" s="5"/>
      <c r="D2147" s="3"/>
      <c r="E2147" s="3"/>
      <c r="F2147" s="6"/>
      <c r="G2147" s="4"/>
      <c r="H2147" s="2"/>
      <c r="I2147" s="3"/>
      <c r="J2147" s="12"/>
    </row>
    <row r="2148" spans="1:10" x14ac:dyDescent="0.25">
      <c r="A2148" s="2"/>
      <c r="B2148" s="25"/>
      <c r="C2148" s="5"/>
      <c r="D2148" s="3"/>
      <c r="E2148" s="3"/>
      <c r="F2148" s="6"/>
      <c r="G2148" s="4"/>
      <c r="H2148" s="2"/>
      <c r="I2148" s="3"/>
      <c r="J2148" s="12"/>
    </row>
    <row r="2149" spans="1:10" x14ac:dyDescent="0.25">
      <c r="A2149" s="2"/>
      <c r="B2149" s="25"/>
      <c r="C2149" s="5"/>
      <c r="D2149" s="3"/>
      <c r="E2149" s="3"/>
      <c r="F2149" s="6"/>
      <c r="G2149" s="4"/>
      <c r="H2149" s="2"/>
      <c r="I2149" s="3"/>
      <c r="J2149" s="12"/>
    </row>
    <row r="2150" spans="1:10" x14ac:dyDescent="0.25">
      <c r="A2150" s="2"/>
      <c r="B2150" s="25"/>
      <c r="C2150" s="5"/>
      <c r="D2150" s="3"/>
      <c r="E2150" s="3"/>
      <c r="F2150" s="6"/>
      <c r="G2150" s="4"/>
      <c r="H2150" s="2"/>
      <c r="I2150" s="3"/>
      <c r="J2150" s="12"/>
    </row>
    <row r="2151" spans="1:10" x14ac:dyDescent="0.25">
      <c r="A2151" s="2"/>
      <c r="B2151" s="25"/>
      <c r="C2151" s="5"/>
      <c r="D2151" s="3"/>
      <c r="E2151" s="3"/>
      <c r="F2151" s="6"/>
      <c r="G2151" s="4"/>
      <c r="H2151" s="2"/>
      <c r="I2151" s="3"/>
      <c r="J2151" s="12"/>
    </row>
    <row r="2152" spans="1:10" x14ac:dyDescent="0.25">
      <c r="A2152" s="2"/>
      <c r="B2152" s="25"/>
      <c r="C2152" s="5"/>
      <c r="D2152" s="3"/>
      <c r="E2152" s="3"/>
      <c r="F2152" s="6"/>
      <c r="G2152" s="4"/>
      <c r="H2152" s="2"/>
      <c r="I2152" s="3"/>
      <c r="J2152" s="12"/>
    </row>
    <row r="2153" spans="1:10" x14ac:dyDescent="0.25">
      <c r="A2153" s="2"/>
      <c r="B2153" s="25"/>
      <c r="C2153" s="5"/>
      <c r="D2153" s="3"/>
      <c r="E2153" s="3"/>
      <c r="F2153" s="6"/>
      <c r="G2153" s="4"/>
      <c r="H2153" s="2"/>
      <c r="I2153" s="3"/>
      <c r="J2153" s="12"/>
    </row>
    <row r="2154" spans="1:10" x14ac:dyDescent="0.25">
      <c r="A2154" s="2"/>
      <c r="B2154" s="25"/>
      <c r="C2154" s="5"/>
      <c r="D2154" s="3"/>
      <c r="E2154" s="3"/>
      <c r="F2154" s="6"/>
      <c r="G2154" s="4"/>
      <c r="H2154" s="2"/>
      <c r="I2154" s="3"/>
      <c r="J2154" s="12"/>
    </row>
    <row r="2155" spans="1:10" x14ac:dyDescent="0.25">
      <c r="A2155" s="2"/>
      <c r="B2155" s="25"/>
      <c r="C2155" s="5"/>
      <c r="D2155" s="3"/>
      <c r="E2155" s="3"/>
      <c r="F2155" s="6"/>
      <c r="G2155" s="4"/>
      <c r="H2155" s="2"/>
      <c r="I2155" s="3"/>
      <c r="J2155" s="12"/>
    </row>
    <row r="2156" spans="1:10" x14ac:dyDescent="0.25">
      <c r="A2156" s="2"/>
      <c r="B2156" s="25"/>
      <c r="C2156" s="5"/>
      <c r="D2156" s="3"/>
      <c r="E2156" s="3"/>
      <c r="F2156" s="6"/>
      <c r="G2156" s="4"/>
      <c r="H2156" s="2"/>
      <c r="I2156" s="3"/>
      <c r="J2156" s="12"/>
    </row>
    <row r="2157" spans="1:10" x14ac:dyDescent="0.25">
      <c r="A2157" s="2"/>
      <c r="B2157" s="25"/>
      <c r="C2157" s="5"/>
      <c r="D2157" s="3"/>
      <c r="E2157" s="3"/>
      <c r="F2157" s="6"/>
      <c r="G2157" s="4"/>
      <c r="H2157" s="2"/>
      <c r="I2157" s="3"/>
      <c r="J2157" s="12"/>
    </row>
    <row r="2158" spans="1:10" x14ac:dyDescent="0.25">
      <c r="A2158" s="2"/>
      <c r="B2158" s="25"/>
      <c r="C2158" s="5"/>
      <c r="D2158" s="3"/>
      <c r="E2158" s="3"/>
      <c r="F2158" s="6"/>
      <c r="G2158" s="4"/>
      <c r="H2158" s="2"/>
      <c r="I2158" s="3"/>
      <c r="J2158" s="12"/>
    </row>
    <row r="2159" spans="1:10" x14ac:dyDescent="0.25">
      <c r="A2159" s="2"/>
      <c r="B2159" s="25"/>
      <c r="C2159" s="5"/>
      <c r="D2159" s="3"/>
      <c r="E2159" s="3"/>
      <c r="F2159" s="6"/>
      <c r="G2159" s="4"/>
      <c r="H2159" s="2"/>
      <c r="I2159" s="3"/>
      <c r="J2159" s="12"/>
    </row>
    <row r="2160" spans="1:10" x14ac:dyDescent="0.25">
      <c r="A2160" s="2"/>
      <c r="B2160" s="25"/>
      <c r="C2160" s="5"/>
      <c r="D2160" s="3"/>
      <c r="E2160" s="3"/>
      <c r="F2160" s="6"/>
      <c r="G2160" s="4"/>
      <c r="H2160" s="2"/>
      <c r="I2160" s="3"/>
      <c r="J2160" s="12"/>
    </row>
    <row r="2161" spans="1:10" x14ac:dyDescent="0.25">
      <c r="A2161" s="2"/>
      <c r="B2161" s="25"/>
      <c r="C2161" s="5"/>
      <c r="D2161" s="3"/>
      <c r="E2161" s="3"/>
      <c r="F2161" s="6"/>
      <c r="G2161" s="4"/>
      <c r="H2161" s="2"/>
      <c r="I2161" s="3"/>
      <c r="J2161" s="12"/>
    </row>
    <row r="2162" spans="1:10" x14ac:dyDescent="0.25">
      <c r="A2162" s="2"/>
      <c r="B2162" s="25"/>
      <c r="C2162" s="5"/>
      <c r="D2162" s="3"/>
      <c r="E2162" s="3"/>
      <c r="F2162" s="6"/>
      <c r="G2162" s="4"/>
      <c r="H2162" s="2"/>
      <c r="I2162" s="3"/>
      <c r="J2162" s="12"/>
    </row>
    <row r="2163" spans="1:10" x14ac:dyDescent="0.25">
      <c r="A2163" s="2"/>
      <c r="B2163" s="25"/>
      <c r="C2163" s="5"/>
      <c r="D2163" s="3"/>
      <c r="E2163" s="3"/>
      <c r="F2163" s="6"/>
      <c r="G2163" s="4"/>
      <c r="H2163" s="2"/>
      <c r="I2163" s="3"/>
      <c r="J2163" s="12"/>
    </row>
    <row r="2164" spans="1:10" x14ac:dyDescent="0.25">
      <c r="A2164" s="2"/>
      <c r="B2164" s="25"/>
      <c r="C2164" s="5"/>
      <c r="D2164" s="3"/>
      <c r="E2164" s="3"/>
      <c r="F2164" s="6"/>
      <c r="G2164" s="4"/>
      <c r="H2164" s="2"/>
      <c r="I2164" s="3"/>
      <c r="J2164" s="12"/>
    </row>
    <row r="2165" spans="1:10" x14ac:dyDescent="0.25">
      <c r="A2165" s="2"/>
      <c r="B2165" s="25"/>
      <c r="C2165" s="5"/>
      <c r="D2165" s="3"/>
      <c r="E2165" s="3"/>
      <c r="F2165" s="6"/>
      <c r="G2165" s="4"/>
      <c r="H2165" s="2"/>
      <c r="I2165" s="3"/>
      <c r="J2165" s="12"/>
    </row>
    <row r="2166" spans="1:10" x14ac:dyDescent="0.25">
      <c r="A2166" s="2"/>
      <c r="B2166" s="25"/>
      <c r="C2166" s="5"/>
      <c r="D2166" s="3"/>
      <c r="E2166" s="3"/>
      <c r="F2166" s="6"/>
      <c r="G2166" s="4"/>
      <c r="H2166" s="2"/>
      <c r="I2166" s="3"/>
      <c r="J2166" s="12"/>
    </row>
    <row r="2167" spans="1:10" x14ac:dyDescent="0.25">
      <c r="A2167" s="2"/>
      <c r="B2167" s="25"/>
      <c r="C2167" s="5"/>
      <c r="D2167" s="3"/>
      <c r="E2167" s="3"/>
      <c r="F2167" s="6"/>
      <c r="G2167" s="4"/>
      <c r="H2167" s="2"/>
      <c r="I2167" s="3"/>
      <c r="J2167" s="12"/>
    </row>
    <row r="2168" spans="1:10" x14ac:dyDescent="0.25">
      <c r="A2168" s="2"/>
      <c r="B2168" s="25"/>
      <c r="C2168" s="5"/>
      <c r="D2168" s="3"/>
      <c r="E2168" s="3"/>
      <c r="F2168" s="6"/>
      <c r="G2168" s="4"/>
      <c r="H2168" s="2"/>
      <c r="I2168" s="3"/>
      <c r="J2168" s="12"/>
    </row>
    <row r="2169" spans="1:10" x14ac:dyDescent="0.25">
      <c r="A2169" s="2"/>
      <c r="B2169" s="25"/>
      <c r="C2169" s="5"/>
      <c r="D2169" s="3"/>
      <c r="E2169" s="3"/>
      <c r="F2169" s="6"/>
      <c r="G2169" s="4"/>
      <c r="H2169" s="2"/>
      <c r="I2169" s="3"/>
      <c r="J2169" s="12"/>
    </row>
    <row r="2170" spans="1:10" x14ac:dyDescent="0.25">
      <c r="A2170" s="2"/>
      <c r="B2170" s="25"/>
      <c r="C2170" s="5"/>
      <c r="D2170" s="3"/>
      <c r="E2170" s="3"/>
      <c r="F2170" s="6"/>
      <c r="G2170" s="4"/>
      <c r="H2170" s="2"/>
      <c r="I2170" s="3"/>
      <c r="J2170" s="12"/>
    </row>
    <row r="2171" spans="1:10" x14ac:dyDescent="0.25">
      <c r="A2171" s="2"/>
      <c r="B2171" s="25"/>
      <c r="C2171" s="5"/>
      <c r="D2171" s="3"/>
      <c r="E2171" s="3"/>
      <c r="F2171" s="6"/>
      <c r="G2171" s="4"/>
      <c r="H2171" s="2"/>
      <c r="I2171" s="3"/>
      <c r="J2171" s="12"/>
    </row>
    <row r="2172" spans="1:10" x14ac:dyDescent="0.25">
      <c r="A2172" s="2"/>
      <c r="B2172" s="25"/>
      <c r="C2172" s="5"/>
      <c r="D2172" s="3"/>
      <c r="E2172" s="3"/>
      <c r="F2172" s="6"/>
      <c r="G2172" s="4"/>
      <c r="H2172" s="2"/>
      <c r="I2172" s="3"/>
      <c r="J2172" s="12"/>
    </row>
    <row r="2173" spans="1:10" x14ac:dyDescent="0.25">
      <c r="A2173" s="2"/>
      <c r="B2173" s="25"/>
      <c r="C2173" s="5"/>
      <c r="D2173" s="3"/>
      <c r="E2173" s="3"/>
      <c r="F2173" s="6"/>
      <c r="G2173" s="4"/>
      <c r="H2173" s="2"/>
      <c r="I2173" s="3"/>
      <c r="J2173" s="12"/>
    </row>
    <row r="2174" spans="1:10" x14ac:dyDescent="0.25">
      <c r="A2174" s="2"/>
      <c r="B2174" s="25"/>
      <c r="C2174" s="5"/>
      <c r="D2174" s="3"/>
      <c r="E2174" s="3"/>
      <c r="F2174" s="6"/>
      <c r="G2174" s="4"/>
      <c r="H2174" s="2"/>
      <c r="I2174" s="3"/>
      <c r="J2174" s="12"/>
    </row>
    <row r="2175" spans="1:10" x14ac:dyDescent="0.25">
      <c r="A2175" s="2"/>
      <c r="B2175" s="25"/>
      <c r="C2175" s="5"/>
      <c r="D2175" s="3"/>
      <c r="E2175" s="3"/>
      <c r="F2175" s="6"/>
      <c r="G2175" s="4"/>
      <c r="H2175" s="2"/>
      <c r="I2175" s="3"/>
      <c r="J2175" s="12"/>
    </row>
    <row r="2176" spans="1:10" x14ac:dyDescent="0.25">
      <c r="A2176" s="2"/>
      <c r="B2176" s="25"/>
      <c r="C2176" s="5"/>
      <c r="D2176" s="3"/>
      <c r="E2176" s="3"/>
      <c r="F2176" s="6"/>
      <c r="G2176" s="4"/>
      <c r="H2176" s="2"/>
      <c r="I2176" s="3"/>
      <c r="J2176" s="12"/>
    </row>
    <row r="2177" spans="1:10" x14ac:dyDescent="0.25">
      <c r="A2177" s="2"/>
      <c r="B2177" s="25"/>
      <c r="C2177" s="5"/>
      <c r="D2177" s="3"/>
      <c r="E2177" s="3"/>
      <c r="F2177" s="6"/>
      <c r="G2177" s="4"/>
      <c r="H2177" s="2"/>
      <c r="I2177" s="3"/>
      <c r="J2177" s="12"/>
    </row>
    <row r="2178" spans="1:10" x14ac:dyDescent="0.25">
      <c r="A2178" s="2"/>
      <c r="B2178" s="25"/>
      <c r="C2178" s="5"/>
      <c r="D2178" s="3"/>
      <c r="E2178" s="3"/>
      <c r="F2178" s="6"/>
      <c r="G2178" s="4"/>
      <c r="H2178" s="2"/>
      <c r="I2178" s="3"/>
      <c r="J2178" s="12"/>
    </row>
    <row r="2179" spans="1:10" x14ac:dyDescent="0.25">
      <c r="A2179" s="2"/>
      <c r="B2179" s="25"/>
      <c r="C2179" s="5"/>
      <c r="D2179" s="3"/>
      <c r="E2179" s="3"/>
      <c r="F2179" s="6"/>
      <c r="G2179" s="4"/>
      <c r="H2179" s="2"/>
      <c r="I2179" s="3"/>
      <c r="J2179" s="12"/>
    </row>
    <row r="2180" spans="1:10" x14ac:dyDescent="0.25">
      <c r="A2180" s="2"/>
      <c r="B2180" s="25"/>
      <c r="C2180" s="5"/>
      <c r="D2180" s="3"/>
      <c r="E2180" s="3"/>
      <c r="F2180" s="6"/>
      <c r="G2180" s="4"/>
      <c r="H2180" s="2"/>
      <c r="I2180" s="3"/>
      <c r="J2180" s="12"/>
    </row>
    <row r="2181" spans="1:10" x14ac:dyDescent="0.25">
      <c r="A2181" s="2"/>
      <c r="B2181" s="25"/>
      <c r="C2181" s="5"/>
      <c r="D2181" s="3"/>
      <c r="E2181" s="3"/>
      <c r="F2181" s="6"/>
      <c r="G2181" s="4"/>
      <c r="H2181" s="2"/>
      <c r="I2181" s="3"/>
      <c r="J2181" s="12"/>
    </row>
    <row r="2182" spans="1:10" x14ac:dyDescent="0.25">
      <c r="A2182" s="2"/>
      <c r="B2182" s="25"/>
      <c r="C2182" s="5"/>
      <c r="D2182" s="3"/>
      <c r="E2182" s="3"/>
      <c r="F2182" s="6"/>
      <c r="G2182" s="4"/>
      <c r="H2182" s="2"/>
      <c r="I2182" s="3"/>
      <c r="J2182" s="12"/>
    </row>
    <row r="2183" spans="1:10" x14ac:dyDescent="0.25">
      <c r="A2183" s="2"/>
      <c r="B2183" s="25"/>
      <c r="C2183" s="5"/>
      <c r="D2183" s="3"/>
      <c r="E2183" s="3"/>
      <c r="F2183" s="6"/>
      <c r="G2183" s="4"/>
      <c r="H2183" s="2"/>
      <c r="I2183" s="3"/>
      <c r="J2183" s="12"/>
    </row>
    <row r="2184" spans="1:10" x14ac:dyDescent="0.25">
      <c r="A2184" s="2"/>
      <c r="B2184" s="25"/>
      <c r="C2184" s="5"/>
      <c r="D2184" s="3"/>
      <c r="E2184" s="3"/>
      <c r="F2184" s="6"/>
      <c r="G2184" s="4"/>
      <c r="H2184" s="2"/>
      <c r="I2184" s="3"/>
      <c r="J2184" s="12"/>
    </row>
    <row r="2185" spans="1:10" x14ac:dyDescent="0.25">
      <c r="A2185" s="2"/>
      <c r="B2185" s="25"/>
      <c r="C2185" s="5"/>
      <c r="D2185" s="3"/>
      <c r="E2185" s="3"/>
      <c r="F2185" s="6"/>
      <c r="G2185" s="4"/>
      <c r="H2185" s="2"/>
      <c r="I2185" s="3"/>
      <c r="J2185" s="12"/>
    </row>
    <row r="2186" spans="1:10" x14ac:dyDescent="0.25">
      <c r="A2186" s="2"/>
      <c r="B2186" s="25"/>
      <c r="C2186" s="5"/>
      <c r="D2186" s="3"/>
      <c r="E2186" s="3"/>
      <c r="F2186" s="6"/>
      <c r="G2186" s="4"/>
      <c r="H2186" s="2"/>
      <c r="I2186" s="3"/>
      <c r="J2186" s="12"/>
    </row>
    <row r="2187" spans="1:10" x14ac:dyDescent="0.25">
      <c r="A2187" s="2"/>
      <c r="B2187" s="25"/>
      <c r="C2187" s="5"/>
      <c r="D2187" s="3"/>
      <c r="E2187" s="3"/>
      <c r="F2187" s="6"/>
      <c r="G2187" s="4"/>
      <c r="H2187" s="2"/>
      <c r="I2187" s="3"/>
      <c r="J2187" s="12"/>
    </row>
    <row r="2188" spans="1:10" x14ac:dyDescent="0.25">
      <c r="A2188" s="2"/>
      <c r="B2188" s="25"/>
      <c r="C2188" s="5"/>
      <c r="D2188" s="3"/>
      <c r="E2188" s="3"/>
      <c r="F2188" s="6"/>
      <c r="G2188" s="4"/>
      <c r="H2188" s="2"/>
      <c r="I2188" s="3"/>
      <c r="J2188" s="12"/>
    </row>
    <row r="2189" spans="1:10" x14ac:dyDescent="0.25">
      <c r="A2189" s="2"/>
      <c r="B2189" s="25"/>
      <c r="C2189" s="5"/>
      <c r="D2189" s="3"/>
      <c r="E2189" s="3"/>
      <c r="F2189" s="6"/>
      <c r="G2189" s="4"/>
      <c r="H2189" s="2"/>
      <c r="I2189" s="3"/>
      <c r="J2189" s="12"/>
    </row>
    <row r="2190" spans="1:10" x14ac:dyDescent="0.25">
      <c r="A2190" s="2"/>
      <c r="B2190" s="25"/>
      <c r="C2190" s="5"/>
      <c r="D2190" s="3"/>
      <c r="E2190" s="3"/>
      <c r="F2190" s="6"/>
      <c r="G2190" s="4"/>
      <c r="H2190" s="2"/>
      <c r="I2190" s="3"/>
      <c r="J2190" s="12"/>
    </row>
    <row r="2191" spans="1:10" x14ac:dyDescent="0.25">
      <c r="A2191" s="2"/>
      <c r="B2191" s="25"/>
      <c r="C2191" s="5"/>
      <c r="D2191" s="3"/>
      <c r="E2191" s="3"/>
      <c r="F2191" s="6"/>
      <c r="G2191" s="4"/>
      <c r="H2191" s="2"/>
      <c r="I2191" s="3"/>
      <c r="J2191" s="12"/>
    </row>
    <row r="2192" spans="1:10" x14ac:dyDescent="0.25">
      <c r="A2192" s="2"/>
      <c r="B2192" s="25"/>
      <c r="C2192" s="5"/>
      <c r="D2192" s="3"/>
      <c r="E2192" s="3"/>
      <c r="F2192" s="6"/>
      <c r="G2192" s="4"/>
      <c r="H2192" s="2"/>
      <c r="I2192" s="3"/>
      <c r="J2192" s="12"/>
    </row>
    <row r="2193" spans="1:10" x14ac:dyDescent="0.25">
      <c r="A2193" s="2"/>
      <c r="B2193" s="25"/>
      <c r="C2193" s="5"/>
      <c r="D2193" s="3"/>
      <c r="E2193" s="3"/>
      <c r="F2193" s="6"/>
      <c r="G2193" s="4"/>
      <c r="H2193" s="2"/>
      <c r="I2193" s="3"/>
      <c r="J2193" s="12"/>
    </row>
    <row r="2194" spans="1:10" x14ac:dyDescent="0.25">
      <c r="A2194" s="2"/>
      <c r="B2194" s="25"/>
      <c r="C2194" s="5"/>
      <c r="D2194" s="3"/>
      <c r="E2194" s="3"/>
      <c r="F2194" s="6"/>
      <c r="G2194" s="4"/>
      <c r="H2194" s="2"/>
      <c r="I2194" s="3"/>
      <c r="J2194" s="12"/>
    </row>
    <row r="2195" spans="1:10" x14ac:dyDescent="0.25">
      <c r="A2195" s="2"/>
      <c r="B2195" s="25"/>
      <c r="C2195" s="5"/>
      <c r="D2195" s="3"/>
      <c r="E2195" s="3"/>
      <c r="F2195" s="6"/>
      <c r="G2195" s="4"/>
      <c r="H2195" s="2"/>
      <c r="I2195" s="3"/>
      <c r="J2195" s="12"/>
    </row>
    <row r="2196" spans="1:10" x14ac:dyDescent="0.25">
      <c r="A2196" s="2"/>
      <c r="B2196" s="25"/>
      <c r="C2196" s="5"/>
      <c r="D2196" s="3"/>
      <c r="E2196" s="3"/>
      <c r="F2196" s="6"/>
      <c r="G2196" s="4"/>
      <c r="H2196" s="2"/>
      <c r="I2196" s="3"/>
      <c r="J2196" s="12"/>
    </row>
    <row r="2197" spans="1:10" x14ac:dyDescent="0.25">
      <c r="A2197" s="2"/>
      <c r="B2197" s="25"/>
      <c r="C2197" s="5"/>
      <c r="D2197" s="3"/>
      <c r="E2197" s="3"/>
      <c r="F2197" s="6"/>
      <c r="G2197" s="4"/>
      <c r="H2197" s="2"/>
      <c r="I2197" s="3"/>
      <c r="J2197" s="12"/>
    </row>
    <row r="2198" spans="1:10" x14ac:dyDescent="0.25">
      <c r="A2198" s="2"/>
      <c r="B2198" s="25"/>
      <c r="C2198" s="5"/>
      <c r="D2198" s="3"/>
      <c r="E2198" s="3"/>
      <c r="F2198" s="6"/>
      <c r="G2198" s="4"/>
      <c r="H2198" s="2"/>
      <c r="I2198" s="3"/>
      <c r="J2198" s="12"/>
    </row>
    <row r="2199" spans="1:10" x14ac:dyDescent="0.25">
      <c r="A2199" s="2"/>
      <c r="B2199" s="25"/>
      <c r="C2199" s="5"/>
      <c r="D2199" s="3"/>
      <c r="E2199" s="3"/>
      <c r="F2199" s="6"/>
      <c r="G2199" s="4"/>
      <c r="H2199" s="2"/>
      <c r="I2199" s="3"/>
      <c r="J2199" s="12"/>
    </row>
    <row r="2200" spans="1:10" x14ac:dyDescent="0.25">
      <c r="A2200" s="2"/>
      <c r="B2200" s="25"/>
      <c r="C2200" s="5"/>
      <c r="D2200" s="3"/>
      <c r="E2200" s="3"/>
      <c r="F2200" s="6"/>
      <c r="G2200" s="4"/>
      <c r="H2200" s="2"/>
      <c r="I2200" s="3"/>
      <c r="J2200" s="12"/>
    </row>
    <row r="2201" spans="1:10" x14ac:dyDescent="0.25">
      <c r="A2201" s="2"/>
      <c r="B2201" s="25"/>
      <c r="C2201" s="5"/>
      <c r="D2201" s="3"/>
      <c r="E2201" s="3"/>
      <c r="F2201" s="6"/>
      <c r="G2201" s="4"/>
      <c r="H2201" s="2"/>
      <c r="I2201" s="3"/>
      <c r="J2201" s="12"/>
    </row>
    <row r="2202" spans="1:10" x14ac:dyDescent="0.25">
      <c r="A2202" s="2"/>
      <c r="B2202" s="25"/>
      <c r="C2202" s="5"/>
      <c r="D2202" s="3"/>
      <c r="E2202" s="3"/>
      <c r="F2202" s="6"/>
      <c r="G2202" s="4"/>
      <c r="H2202" s="2"/>
      <c r="I2202" s="3"/>
      <c r="J2202" s="12"/>
    </row>
    <row r="2203" spans="1:10" x14ac:dyDescent="0.25">
      <c r="A2203" s="2"/>
      <c r="B2203" s="25"/>
      <c r="C2203" s="5"/>
      <c r="D2203" s="3"/>
      <c r="E2203" s="3"/>
      <c r="F2203" s="6"/>
      <c r="G2203" s="4"/>
      <c r="H2203" s="2"/>
      <c r="I2203" s="3"/>
      <c r="J2203" s="12"/>
    </row>
    <row r="2204" spans="1:10" x14ac:dyDescent="0.25">
      <c r="A2204" s="2"/>
      <c r="B2204" s="25"/>
      <c r="C2204" s="5"/>
      <c r="D2204" s="3"/>
      <c r="E2204" s="3"/>
      <c r="F2204" s="6"/>
      <c r="G2204" s="4"/>
      <c r="H2204" s="2"/>
      <c r="I2204" s="3"/>
      <c r="J2204" s="12"/>
    </row>
    <row r="2205" spans="1:10" x14ac:dyDescent="0.25">
      <c r="A2205" s="2"/>
      <c r="B2205" s="25"/>
      <c r="C2205" s="5"/>
      <c r="D2205" s="3"/>
      <c r="E2205" s="3"/>
      <c r="F2205" s="6"/>
      <c r="G2205" s="4"/>
      <c r="H2205" s="2"/>
      <c r="I2205" s="3"/>
      <c r="J2205" s="12"/>
    </row>
    <row r="2206" spans="1:10" x14ac:dyDescent="0.25">
      <c r="A2206" s="2"/>
      <c r="B2206" s="25"/>
      <c r="C2206" s="5"/>
      <c r="D2206" s="3"/>
      <c r="E2206" s="3"/>
      <c r="F2206" s="6"/>
      <c r="G2206" s="4"/>
      <c r="H2206" s="2"/>
      <c r="I2206" s="3"/>
      <c r="J2206" s="12"/>
    </row>
    <row r="2207" spans="1:10" x14ac:dyDescent="0.25">
      <c r="A2207" s="2"/>
      <c r="B2207" s="25"/>
      <c r="C2207" s="5"/>
      <c r="D2207" s="3"/>
      <c r="E2207" s="3"/>
      <c r="F2207" s="6"/>
      <c r="G2207" s="4"/>
      <c r="H2207" s="2"/>
      <c r="I2207" s="3"/>
      <c r="J2207" s="12"/>
    </row>
    <row r="2208" spans="1:10" x14ac:dyDescent="0.25">
      <c r="A2208" s="2"/>
      <c r="B2208" s="25"/>
      <c r="C2208" s="5"/>
      <c r="D2208" s="3"/>
      <c r="E2208" s="3"/>
      <c r="F2208" s="6"/>
      <c r="G2208" s="4"/>
      <c r="H2208" s="2"/>
      <c r="I2208" s="3"/>
      <c r="J2208" s="12"/>
    </row>
    <row r="2209" spans="1:10" x14ac:dyDescent="0.25">
      <c r="A2209" s="2"/>
      <c r="B2209" s="25"/>
      <c r="C2209" s="5"/>
      <c r="D2209" s="3"/>
      <c r="E2209" s="3"/>
      <c r="F2209" s="6"/>
      <c r="G2209" s="4"/>
      <c r="H2209" s="2"/>
      <c r="I2209" s="3"/>
      <c r="J2209" s="12"/>
    </row>
    <row r="2210" spans="1:10" x14ac:dyDescent="0.25">
      <c r="A2210" s="2"/>
      <c r="B2210" s="25"/>
      <c r="C2210" s="5"/>
      <c r="D2210" s="3"/>
      <c r="E2210" s="3"/>
      <c r="F2210" s="6"/>
      <c r="G2210" s="4"/>
      <c r="H2210" s="2"/>
      <c r="I2210" s="3"/>
      <c r="J2210" s="12"/>
    </row>
    <row r="2211" spans="1:10" x14ac:dyDescent="0.25">
      <c r="A2211" s="2"/>
      <c r="B2211" s="25"/>
      <c r="C2211" s="5"/>
      <c r="D2211" s="3"/>
      <c r="E2211" s="3"/>
      <c r="F2211" s="6"/>
      <c r="G2211" s="4"/>
      <c r="H2211" s="2"/>
      <c r="I2211" s="3"/>
      <c r="J2211" s="12"/>
    </row>
    <row r="2212" spans="1:10" x14ac:dyDescent="0.25">
      <c r="A2212" s="2"/>
      <c r="B2212" s="25"/>
      <c r="C2212" s="5"/>
      <c r="D2212" s="3"/>
      <c r="E2212" s="3"/>
      <c r="F2212" s="6"/>
      <c r="G2212" s="4"/>
      <c r="H2212" s="2"/>
      <c r="I2212" s="3"/>
      <c r="J2212" s="12"/>
    </row>
    <row r="2213" spans="1:10" x14ac:dyDescent="0.25">
      <c r="A2213" s="2"/>
      <c r="B2213" s="25"/>
      <c r="C2213" s="5"/>
      <c r="D2213" s="3"/>
      <c r="E2213" s="3"/>
      <c r="F2213" s="6"/>
      <c r="G2213" s="4"/>
      <c r="H2213" s="2"/>
      <c r="I2213" s="3"/>
      <c r="J2213" s="12"/>
    </row>
    <row r="2214" spans="1:10" x14ac:dyDescent="0.25">
      <c r="A2214" s="2"/>
      <c r="B2214" s="25"/>
      <c r="C2214" s="5"/>
      <c r="D2214" s="3"/>
      <c r="E2214" s="3"/>
      <c r="F2214" s="6"/>
      <c r="G2214" s="4"/>
      <c r="H2214" s="2"/>
      <c r="I2214" s="3"/>
      <c r="J2214" s="12"/>
    </row>
    <row r="2215" spans="1:10" x14ac:dyDescent="0.25">
      <c r="A2215" s="2"/>
      <c r="B2215" s="25"/>
      <c r="C2215" s="5"/>
      <c r="D2215" s="3"/>
      <c r="E2215" s="3"/>
      <c r="F2215" s="6"/>
      <c r="G2215" s="4"/>
      <c r="H2215" s="2"/>
      <c r="I2215" s="3"/>
      <c r="J2215" s="12"/>
    </row>
    <row r="2216" spans="1:10" x14ac:dyDescent="0.25">
      <c r="A2216" s="2"/>
      <c r="B2216" s="25"/>
      <c r="C2216" s="5"/>
      <c r="D2216" s="3"/>
      <c r="E2216" s="3"/>
      <c r="F2216" s="6"/>
      <c r="G2216" s="4"/>
      <c r="H2216" s="2"/>
      <c r="I2216" s="3"/>
      <c r="J2216" s="12"/>
    </row>
    <row r="2217" spans="1:10" x14ac:dyDescent="0.25">
      <c r="A2217" s="2"/>
      <c r="B2217" s="25"/>
      <c r="C2217" s="5"/>
      <c r="D2217" s="3"/>
      <c r="E2217" s="3"/>
      <c r="F2217" s="6"/>
      <c r="G2217" s="4"/>
      <c r="H2217" s="2"/>
      <c r="I2217" s="3"/>
      <c r="J2217" s="12"/>
    </row>
    <row r="2218" spans="1:10" x14ac:dyDescent="0.25">
      <c r="A2218" s="2"/>
      <c r="B2218" s="25"/>
      <c r="C2218" s="5"/>
      <c r="D2218" s="3"/>
      <c r="E2218" s="3"/>
      <c r="F2218" s="6"/>
      <c r="G2218" s="4"/>
      <c r="H2218" s="2"/>
      <c r="I2218" s="3"/>
      <c r="J2218" s="12"/>
    </row>
    <row r="2219" spans="1:10" x14ac:dyDescent="0.25">
      <c r="A2219" s="2"/>
      <c r="B2219" s="25"/>
      <c r="C2219" s="5"/>
      <c r="D2219" s="3"/>
      <c r="E2219" s="3"/>
      <c r="F2219" s="6"/>
      <c r="G2219" s="4"/>
      <c r="H2219" s="2"/>
      <c r="I2219" s="3"/>
      <c r="J2219" s="12"/>
    </row>
    <row r="2220" spans="1:10" x14ac:dyDescent="0.25">
      <c r="A2220" s="2"/>
      <c r="B2220" s="25"/>
      <c r="C2220" s="5"/>
      <c r="D2220" s="3"/>
      <c r="E2220" s="3"/>
      <c r="F2220" s="6"/>
      <c r="G2220" s="4"/>
      <c r="H2220" s="2"/>
      <c r="I2220" s="3"/>
      <c r="J2220" s="12"/>
    </row>
    <row r="2221" spans="1:10" x14ac:dyDescent="0.25">
      <c r="A2221" s="2"/>
      <c r="B2221" s="25"/>
      <c r="C2221" s="5"/>
      <c r="D2221" s="3"/>
      <c r="E2221" s="3"/>
      <c r="F2221" s="6"/>
      <c r="G2221" s="4"/>
      <c r="H2221" s="2"/>
      <c r="I2221" s="3"/>
      <c r="J2221" s="12"/>
    </row>
    <row r="2222" spans="1:10" x14ac:dyDescent="0.25">
      <c r="A2222" s="2"/>
      <c r="B2222" s="25"/>
      <c r="C2222" s="5"/>
      <c r="D2222" s="3"/>
      <c r="E2222" s="3"/>
      <c r="F2222" s="6"/>
      <c r="G2222" s="4"/>
      <c r="H2222" s="2"/>
      <c r="I2222" s="3"/>
      <c r="J2222" s="12"/>
    </row>
    <row r="2223" spans="1:10" x14ac:dyDescent="0.25">
      <c r="A2223" s="2"/>
      <c r="B2223" s="25"/>
      <c r="C2223" s="5"/>
      <c r="D2223" s="3"/>
      <c r="E2223" s="3"/>
      <c r="F2223" s="6"/>
      <c r="G2223" s="4"/>
      <c r="H2223" s="2"/>
      <c r="I2223" s="3"/>
      <c r="J2223" s="12"/>
    </row>
    <row r="2224" spans="1:10" x14ac:dyDescent="0.25">
      <c r="A2224" s="2"/>
      <c r="B2224" s="25"/>
      <c r="C2224" s="5"/>
      <c r="D2224" s="3"/>
      <c r="E2224" s="3"/>
      <c r="F2224" s="6"/>
      <c r="G2224" s="4"/>
      <c r="H2224" s="2"/>
      <c r="I2224" s="3"/>
      <c r="J2224" s="12"/>
    </row>
    <row r="2225" spans="1:10" x14ac:dyDescent="0.25">
      <c r="A2225" s="2"/>
      <c r="B2225" s="25"/>
      <c r="C2225" s="5"/>
      <c r="D2225" s="3"/>
      <c r="E2225" s="3"/>
      <c r="F2225" s="6"/>
      <c r="G2225" s="4"/>
      <c r="H2225" s="2"/>
      <c r="I2225" s="3"/>
      <c r="J2225" s="12"/>
    </row>
    <row r="2226" spans="1:10" x14ac:dyDescent="0.25">
      <c r="A2226" s="2"/>
      <c r="B2226" s="25"/>
      <c r="C2226" s="5"/>
      <c r="D2226" s="3"/>
      <c r="E2226" s="3"/>
      <c r="F2226" s="6"/>
      <c r="G2226" s="4"/>
      <c r="H2226" s="2"/>
      <c r="I2226" s="3"/>
      <c r="J2226" s="12"/>
    </row>
    <row r="2227" spans="1:10" x14ac:dyDescent="0.25">
      <c r="A2227" s="2"/>
      <c r="B2227" s="25"/>
      <c r="C2227" s="5"/>
      <c r="D2227" s="3"/>
      <c r="E2227" s="3"/>
      <c r="F2227" s="6"/>
      <c r="G2227" s="4"/>
      <c r="H2227" s="2"/>
      <c r="I2227" s="3"/>
      <c r="J2227" s="12"/>
    </row>
    <row r="2228" spans="1:10" x14ac:dyDescent="0.25">
      <c r="A2228" s="2"/>
      <c r="B2228" s="25"/>
      <c r="C2228" s="5"/>
      <c r="D2228" s="3"/>
      <c r="E2228" s="3"/>
      <c r="F2228" s="6"/>
      <c r="G2228" s="4"/>
      <c r="H2228" s="2"/>
      <c r="I2228" s="3"/>
      <c r="J2228" s="12"/>
    </row>
    <row r="2229" spans="1:10" x14ac:dyDescent="0.25">
      <c r="A2229" s="2"/>
      <c r="B2229" s="25"/>
      <c r="C2229" s="5"/>
      <c r="D2229" s="3"/>
      <c r="E2229" s="3"/>
      <c r="F2229" s="6"/>
      <c r="G2229" s="4"/>
      <c r="H2229" s="2"/>
      <c r="I2229" s="3"/>
      <c r="J2229" s="12"/>
    </row>
    <row r="2230" spans="1:10" x14ac:dyDescent="0.25">
      <c r="A2230" s="2"/>
      <c r="B2230" s="25"/>
      <c r="C2230" s="5"/>
      <c r="D2230" s="3"/>
      <c r="E2230" s="3"/>
      <c r="F2230" s="6"/>
      <c r="G2230" s="4"/>
      <c r="H2230" s="2"/>
      <c r="I2230" s="3"/>
      <c r="J2230" s="12"/>
    </row>
    <row r="2231" spans="1:10" x14ac:dyDescent="0.25">
      <c r="A2231" s="2"/>
      <c r="B2231" s="25"/>
      <c r="C2231" s="5"/>
      <c r="D2231" s="3"/>
      <c r="E2231" s="3"/>
      <c r="F2231" s="6"/>
      <c r="G2231" s="4"/>
      <c r="H2231" s="2"/>
      <c r="I2231" s="3"/>
      <c r="J2231" s="12"/>
    </row>
    <row r="2232" spans="1:10" x14ac:dyDescent="0.25">
      <c r="A2232" s="2"/>
      <c r="B2232" s="25"/>
      <c r="C2232" s="5"/>
      <c r="D2232" s="3"/>
      <c r="E2232" s="3"/>
      <c r="F2232" s="6"/>
      <c r="G2232" s="4"/>
      <c r="H2232" s="2"/>
      <c r="I2232" s="3"/>
      <c r="J2232" s="12"/>
    </row>
    <row r="2233" spans="1:10" x14ac:dyDescent="0.25">
      <c r="A2233" s="2"/>
      <c r="B2233" s="25"/>
      <c r="C2233" s="5"/>
      <c r="D2233" s="3"/>
      <c r="E2233" s="3"/>
      <c r="F2233" s="6"/>
      <c r="G2233" s="4"/>
      <c r="H2233" s="2"/>
      <c r="I2233" s="3"/>
      <c r="J2233" s="12"/>
    </row>
    <row r="2234" spans="1:10" x14ac:dyDescent="0.25">
      <c r="A2234" s="2"/>
      <c r="B2234" s="25"/>
      <c r="C2234" s="5"/>
      <c r="D2234" s="3"/>
      <c r="E2234" s="3"/>
      <c r="F2234" s="6"/>
      <c r="G2234" s="4"/>
      <c r="H2234" s="2"/>
      <c r="I2234" s="3"/>
      <c r="J2234" s="12"/>
    </row>
    <row r="2235" spans="1:10" x14ac:dyDescent="0.25">
      <c r="A2235" s="2"/>
      <c r="B2235" s="25"/>
      <c r="C2235" s="5"/>
      <c r="D2235" s="3"/>
      <c r="E2235" s="3"/>
      <c r="F2235" s="6"/>
      <c r="G2235" s="4"/>
      <c r="H2235" s="2"/>
      <c r="I2235" s="3"/>
      <c r="J2235" s="12"/>
    </row>
    <row r="2236" spans="1:10" x14ac:dyDescent="0.25">
      <c r="A2236" s="2"/>
      <c r="B2236" s="25"/>
      <c r="C2236" s="5"/>
      <c r="D2236" s="3"/>
      <c r="E2236" s="3"/>
      <c r="F2236" s="6"/>
      <c r="G2236" s="4"/>
      <c r="H2236" s="2"/>
      <c r="I2236" s="3"/>
      <c r="J2236" s="12"/>
    </row>
    <row r="2237" spans="1:10" x14ac:dyDescent="0.25">
      <c r="A2237" s="2"/>
      <c r="B2237" s="25"/>
      <c r="C2237" s="5"/>
      <c r="D2237" s="3"/>
      <c r="E2237" s="3"/>
      <c r="F2237" s="6"/>
      <c r="G2237" s="4"/>
      <c r="H2237" s="2"/>
      <c r="I2237" s="3"/>
      <c r="J2237" s="12"/>
    </row>
    <row r="2238" spans="1:10" x14ac:dyDescent="0.25">
      <c r="A2238" s="2"/>
      <c r="B2238" s="25"/>
      <c r="C2238" s="5"/>
      <c r="D2238" s="3"/>
      <c r="E2238" s="3"/>
      <c r="F2238" s="6"/>
      <c r="G2238" s="4"/>
      <c r="H2238" s="2"/>
      <c r="I2238" s="3"/>
      <c r="J2238" s="12"/>
    </row>
    <row r="2239" spans="1:10" x14ac:dyDescent="0.25">
      <c r="A2239" s="2"/>
      <c r="B2239" s="25"/>
      <c r="C2239" s="5"/>
      <c r="D2239" s="3"/>
      <c r="E2239" s="3"/>
      <c r="F2239" s="6"/>
      <c r="G2239" s="4"/>
      <c r="H2239" s="2"/>
      <c r="I2239" s="3"/>
      <c r="J2239" s="12"/>
    </row>
    <row r="2240" spans="1:10" x14ac:dyDescent="0.25">
      <c r="A2240" s="2"/>
      <c r="B2240" s="25"/>
      <c r="C2240" s="5"/>
      <c r="D2240" s="3"/>
      <c r="E2240" s="3"/>
      <c r="F2240" s="6"/>
      <c r="G2240" s="4"/>
      <c r="H2240" s="2"/>
      <c r="I2240" s="3"/>
      <c r="J2240" s="12"/>
    </row>
    <row r="2241" spans="1:10" x14ac:dyDescent="0.25">
      <c r="A2241" s="2"/>
      <c r="B2241" s="25"/>
      <c r="C2241" s="5"/>
      <c r="D2241" s="3"/>
      <c r="E2241" s="3"/>
      <c r="F2241" s="6"/>
      <c r="G2241" s="4"/>
      <c r="H2241" s="2"/>
      <c r="I2241" s="3"/>
      <c r="J2241" s="12"/>
    </row>
    <row r="2242" spans="1:10" x14ac:dyDescent="0.25">
      <c r="A2242" s="2"/>
      <c r="B2242" s="25"/>
      <c r="C2242" s="5"/>
      <c r="D2242" s="3"/>
      <c r="E2242" s="3"/>
      <c r="F2242" s="6"/>
      <c r="G2242" s="4"/>
      <c r="H2242" s="2"/>
      <c r="I2242" s="3"/>
      <c r="J2242" s="12"/>
    </row>
    <row r="2243" spans="1:10" x14ac:dyDescent="0.25">
      <c r="A2243" s="2"/>
      <c r="B2243" s="25"/>
      <c r="C2243" s="5"/>
      <c r="D2243" s="3"/>
      <c r="E2243" s="3"/>
      <c r="F2243" s="6"/>
      <c r="G2243" s="4"/>
      <c r="H2243" s="2"/>
      <c r="I2243" s="3"/>
      <c r="J2243" s="12"/>
    </row>
    <row r="2244" spans="1:10" x14ac:dyDescent="0.25">
      <c r="A2244" s="2"/>
      <c r="B2244" s="25"/>
      <c r="C2244" s="5"/>
      <c r="D2244" s="3"/>
      <c r="E2244" s="3"/>
      <c r="F2244" s="6"/>
      <c r="G2244" s="4"/>
      <c r="H2244" s="2"/>
      <c r="I2244" s="3"/>
      <c r="J2244" s="12"/>
    </row>
    <row r="2245" spans="1:10" x14ac:dyDescent="0.25">
      <c r="A2245" s="2"/>
      <c r="B2245" s="25"/>
      <c r="C2245" s="5"/>
      <c r="D2245" s="3"/>
      <c r="E2245" s="3"/>
      <c r="F2245" s="6"/>
      <c r="G2245" s="4"/>
      <c r="H2245" s="2"/>
      <c r="I2245" s="3"/>
      <c r="J2245" s="12"/>
    </row>
    <row r="2246" spans="1:10" x14ac:dyDescent="0.25">
      <c r="A2246" s="2"/>
      <c r="B2246" s="25"/>
      <c r="C2246" s="5"/>
      <c r="D2246" s="3"/>
      <c r="E2246" s="3"/>
      <c r="F2246" s="6"/>
      <c r="G2246" s="4"/>
      <c r="H2246" s="2"/>
      <c r="I2246" s="3"/>
      <c r="J2246" s="12"/>
    </row>
    <row r="2247" spans="1:10" x14ac:dyDescent="0.25">
      <c r="A2247" s="2"/>
      <c r="B2247" s="25"/>
      <c r="C2247" s="5"/>
      <c r="D2247" s="3"/>
      <c r="E2247" s="3"/>
      <c r="F2247" s="6"/>
      <c r="G2247" s="4"/>
      <c r="H2247" s="2"/>
      <c r="I2247" s="3"/>
      <c r="J2247" s="12"/>
    </row>
    <row r="2248" spans="1:10" x14ac:dyDescent="0.25">
      <c r="A2248" s="2"/>
      <c r="B2248" s="25"/>
      <c r="C2248" s="5"/>
      <c r="D2248" s="3"/>
      <c r="E2248" s="3"/>
      <c r="F2248" s="6"/>
      <c r="G2248" s="4"/>
      <c r="H2248" s="2"/>
      <c r="I2248" s="3"/>
      <c r="J2248" s="12"/>
    </row>
    <row r="2249" spans="1:10" x14ac:dyDescent="0.25">
      <c r="A2249" s="2"/>
      <c r="B2249" s="25"/>
      <c r="C2249" s="5"/>
      <c r="D2249" s="3"/>
      <c r="E2249" s="3"/>
      <c r="F2249" s="6"/>
      <c r="G2249" s="4"/>
      <c r="H2249" s="2"/>
      <c r="I2249" s="3"/>
      <c r="J2249" s="12"/>
    </row>
    <row r="2250" spans="1:10" x14ac:dyDescent="0.25">
      <c r="A2250" s="2"/>
      <c r="B2250" s="25"/>
      <c r="C2250" s="5"/>
      <c r="D2250" s="3"/>
      <c r="E2250" s="3"/>
      <c r="F2250" s="6"/>
      <c r="G2250" s="4"/>
      <c r="H2250" s="2"/>
      <c r="I2250" s="3"/>
      <c r="J2250" s="12"/>
    </row>
    <row r="2251" spans="1:10" x14ac:dyDescent="0.25">
      <c r="A2251" s="2"/>
      <c r="B2251" s="25"/>
      <c r="C2251" s="5"/>
      <c r="D2251" s="3"/>
      <c r="E2251" s="3"/>
      <c r="F2251" s="6"/>
      <c r="G2251" s="4"/>
      <c r="H2251" s="2"/>
      <c r="I2251" s="3"/>
      <c r="J2251" s="12"/>
    </row>
    <row r="2252" spans="1:10" x14ac:dyDescent="0.25">
      <c r="A2252" s="2"/>
      <c r="B2252" s="25"/>
      <c r="C2252" s="5"/>
      <c r="D2252" s="3"/>
      <c r="E2252" s="3"/>
      <c r="F2252" s="6"/>
      <c r="G2252" s="4"/>
      <c r="H2252" s="2"/>
      <c r="I2252" s="3"/>
      <c r="J2252" s="12"/>
    </row>
    <row r="2253" spans="1:10" x14ac:dyDescent="0.25">
      <c r="A2253" s="2"/>
      <c r="B2253" s="25"/>
      <c r="C2253" s="5"/>
      <c r="D2253" s="3"/>
      <c r="E2253" s="3"/>
      <c r="F2253" s="6"/>
      <c r="G2253" s="4"/>
      <c r="H2253" s="2"/>
      <c r="I2253" s="3"/>
      <c r="J2253" s="12"/>
    </row>
    <row r="2254" spans="1:10" x14ac:dyDescent="0.25">
      <c r="A2254" s="2"/>
      <c r="B2254" s="25"/>
      <c r="C2254" s="5"/>
      <c r="D2254" s="3"/>
      <c r="E2254" s="3"/>
      <c r="F2254" s="6"/>
      <c r="G2254" s="4"/>
      <c r="H2254" s="2"/>
      <c r="I2254" s="3"/>
      <c r="J2254" s="12"/>
    </row>
    <row r="2255" spans="1:10" x14ac:dyDescent="0.25">
      <c r="A2255" s="2"/>
      <c r="B2255" s="25"/>
      <c r="C2255" s="5"/>
      <c r="D2255" s="3"/>
      <c r="E2255" s="3"/>
      <c r="F2255" s="6"/>
      <c r="G2255" s="4"/>
      <c r="H2255" s="2"/>
      <c r="I2255" s="3"/>
      <c r="J2255" s="12"/>
    </row>
    <row r="2256" spans="1:10" x14ac:dyDescent="0.25">
      <c r="A2256" s="2"/>
      <c r="B2256" s="25"/>
      <c r="C2256" s="5"/>
      <c r="D2256" s="3"/>
      <c r="E2256" s="3"/>
      <c r="F2256" s="6"/>
      <c r="G2256" s="4"/>
      <c r="H2256" s="2"/>
      <c r="I2256" s="3"/>
      <c r="J2256" s="12"/>
    </row>
    <row r="2257" spans="1:10" x14ac:dyDescent="0.25">
      <c r="A2257" s="2"/>
      <c r="B2257" s="25"/>
      <c r="C2257" s="5"/>
      <c r="D2257" s="3"/>
      <c r="E2257" s="3"/>
      <c r="F2257" s="6"/>
      <c r="G2257" s="4"/>
      <c r="H2257" s="2"/>
      <c r="I2257" s="3"/>
      <c r="J2257" s="12"/>
    </row>
    <row r="2258" spans="1:10" x14ac:dyDescent="0.25">
      <c r="A2258" s="2"/>
      <c r="B2258" s="25"/>
      <c r="C2258" s="5"/>
      <c r="D2258" s="3"/>
      <c r="E2258" s="3"/>
      <c r="F2258" s="6"/>
      <c r="G2258" s="4"/>
      <c r="H2258" s="2"/>
      <c r="I2258" s="3"/>
      <c r="J2258" s="12"/>
    </row>
    <row r="2259" spans="1:10" x14ac:dyDescent="0.25">
      <c r="A2259" s="2"/>
      <c r="B2259" s="25"/>
      <c r="C2259" s="5"/>
      <c r="D2259" s="3"/>
      <c r="E2259" s="3"/>
      <c r="F2259" s="6"/>
      <c r="G2259" s="4"/>
      <c r="H2259" s="2"/>
      <c r="I2259" s="3"/>
      <c r="J2259" s="12"/>
    </row>
    <row r="2260" spans="1:10" x14ac:dyDescent="0.25">
      <c r="A2260" s="2"/>
      <c r="B2260" s="25"/>
      <c r="C2260" s="5"/>
      <c r="D2260" s="3"/>
      <c r="E2260" s="3"/>
      <c r="F2260" s="6"/>
      <c r="G2260" s="4"/>
      <c r="H2260" s="2"/>
      <c r="I2260" s="3"/>
      <c r="J2260" s="12"/>
    </row>
    <row r="2261" spans="1:10" x14ac:dyDescent="0.25">
      <c r="A2261" s="2"/>
      <c r="B2261" s="25"/>
      <c r="C2261" s="5"/>
      <c r="D2261" s="3"/>
      <c r="E2261" s="3"/>
      <c r="F2261" s="6"/>
      <c r="G2261" s="4"/>
      <c r="H2261" s="2"/>
      <c r="I2261" s="3"/>
      <c r="J2261" s="12"/>
    </row>
    <row r="2262" spans="1:10" x14ac:dyDescent="0.25">
      <c r="A2262" s="2"/>
      <c r="B2262" s="25"/>
      <c r="C2262" s="5"/>
      <c r="D2262" s="3"/>
      <c r="E2262" s="3"/>
      <c r="F2262" s="6"/>
      <c r="G2262" s="4"/>
      <c r="H2262" s="2"/>
      <c r="I2262" s="3"/>
      <c r="J2262" s="12"/>
    </row>
    <row r="2263" spans="1:10" x14ac:dyDescent="0.25">
      <c r="A2263" s="2"/>
      <c r="B2263" s="25"/>
      <c r="C2263" s="5"/>
      <c r="D2263" s="3"/>
      <c r="E2263" s="3"/>
      <c r="F2263" s="6"/>
      <c r="G2263" s="4"/>
      <c r="H2263" s="2"/>
      <c r="I2263" s="3"/>
      <c r="J2263" s="12"/>
    </row>
    <row r="2264" spans="1:10" x14ac:dyDescent="0.25">
      <c r="A2264" s="2"/>
      <c r="B2264" s="25"/>
      <c r="C2264" s="5"/>
      <c r="D2264" s="3"/>
      <c r="E2264" s="3"/>
      <c r="F2264" s="6"/>
      <c r="G2264" s="4"/>
      <c r="H2264" s="2"/>
      <c r="I2264" s="3"/>
      <c r="J2264" s="12"/>
    </row>
    <row r="2265" spans="1:10" x14ac:dyDescent="0.25">
      <c r="A2265" s="2"/>
      <c r="B2265" s="25"/>
      <c r="C2265" s="5"/>
      <c r="D2265" s="3"/>
      <c r="E2265" s="3"/>
      <c r="F2265" s="6"/>
      <c r="G2265" s="4"/>
      <c r="H2265" s="2"/>
      <c r="I2265" s="3"/>
      <c r="J2265" s="12"/>
    </row>
    <row r="2266" spans="1:10" x14ac:dyDescent="0.25">
      <c r="A2266" s="2"/>
      <c r="B2266" s="25"/>
      <c r="C2266" s="5"/>
      <c r="D2266" s="3"/>
      <c r="E2266" s="3"/>
      <c r="F2266" s="6"/>
      <c r="G2266" s="4"/>
      <c r="H2266" s="2"/>
      <c r="I2266" s="3"/>
      <c r="J2266" s="12"/>
    </row>
    <row r="2267" spans="1:10" x14ac:dyDescent="0.25">
      <c r="A2267" s="2"/>
      <c r="B2267" s="25"/>
      <c r="C2267" s="5"/>
      <c r="D2267" s="3"/>
      <c r="E2267" s="3"/>
      <c r="F2267" s="6"/>
      <c r="G2267" s="4"/>
      <c r="H2267" s="2"/>
      <c r="I2267" s="3"/>
      <c r="J2267" s="12"/>
    </row>
    <row r="2268" spans="1:10" x14ac:dyDescent="0.25">
      <c r="A2268" s="2"/>
      <c r="B2268" s="25"/>
      <c r="C2268" s="5"/>
      <c r="D2268" s="3"/>
      <c r="E2268" s="3"/>
      <c r="F2268" s="6"/>
      <c r="G2268" s="4"/>
      <c r="H2268" s="2"/>
      <c r="I2268" s="3"/>
      <c r="J2268" s="12"/>
    </row>
    <row r="2269" spans="1:10" x14ac:dyDescent="0.25">
      <c r="A2269" s="2"/>
      <c r="B2269" s="25"/>
      <c r="C2269" s="5"/>
      <c r="D2269" s="3"/>
      <c r="E2269" s="3"/>
      <c r="F2269" s="6"/>
      <c r="G2269" s="4"/>
      <c r="H2269" s="2"/>
      <c r="I2269" s="3"/>
      <c r="J2269" s="12"/>
    </row>
    <row r="2270" spans="1:10" x14ac:dyDescent="0.25">
      <c r="A2270" s="2"/>
      <c r="B2270" s="25"/>
      <c r="C2270" s="5"/>
      <c r="D2270" s="3"/>
      <c r="E2270" s="3"/>
      <c r="F2270" s="6"/>
      <c r="G2270" s="4"/>
      <c r="H2270" s="2"/>
      <c r="I2270" s="3"/>
      <c r="J2270" s="12"/>
    </row>
    <row r="2271" spans="1:10" x14ac:dyDescent="0.25">
      <c r="A2271" s="2"/>
      <c r="B2271" s="25"/>
      <c r="C2271" s="5"/>
      <c r="D2271" s="3"/>
      <c r="E2271" s="3"/>
      <c r="F2271" s="6"/>
      <c r="G2271" s="4"/>
      <c r="H2271" s="2"/>
      <c r="I2271" s="3"/>
      <c r="J2271" s="12"/>
    </row>
    <row r="2272" spans="1:10" x14ac:dyDescent="0.25">
      <c r="A2272" s="2"/>
      <c r="B2272" s="25"/>
      <c r="C2272" s="5"/>
      <c r="D2272" s="3"/>
      <c r="E2272" s="3"/>
      <c r="F2272" s="6"/>
      <c r="G2272" s="4"/>
      <c r="H2272" s="2"/>
      <c r="I2272" s="3"/>
      <c r="J2272" s="12"/>
    </row>
    <row r="2273" spans="1:10" x14ac:dyDescent="0.25">
      <c r="A2273" s="2"/>
      <c r="B2273" s="25"/>
      <c r="C2273" s="5"/>
      <c r="D2273" s="3"/>
      <c r="E2273" s="3"/>
      <c r="F2273" s="6"/>
      <c r="G2273" s="4"/>
      <c r="H2273" s="2"/>
      <c r="I2273" s="3"/>
      <c r="J2273" s="12"/>
    </row>
    <row r="2274" spans="1:10" x14ac:dyDescent="0.25">
      <c r="A2274" s="2"/>
      <c r="B2274" s="25"/>
      <c r="C2274" s="5"/>
      <c r="D2274" s="3"/>
      <c r="E2274" s="3"/>
      <c r="F2274" s="6"/>
      <c r="G2274" s="4"/>
      <c r="H2274" s="2"/>
      <c r="I2274" s="3"/>
      <c r="J2274" s="12"/>
    </row>
    <row r="2275" spans="1:10" x14ac:dyDescent="0.25">
      <c r="A2275" s="2"/>
      <c r="B2275" s="25"/>
      <c r="C2275" s="5"/>
      <c r="D2275" s="3"/>
      <c r="E2275" s="3"/>
      <c r="F2275" s="6"/>
      <c r="G2275" s="4"/>
      <c r="H2275" s="2"/>
      <c r="I2275" s="3"/>
      <c r="J2275" s="12"/>
    </row>
    <row r="2276" spans="1:10" x14ac:dyDescent="0.25">
      <c r="A2276" s="2"/>
      <c r="B2276" s="25"/>
      <c r="C2276" s="5"/>
      <c r="D2276" s="3"/>
      <c r="E2276" s="3"/>
      <c r="F2276" s="6"/>
      <c r="G2276" s="4"/>
      <c r="H2276" s="2"/>
      <c r="I2276" s="3"/>
      <c r="J2276" s="12"/>
    </row>
    <row r="2277" spans="1:10" x14ac:dyDescent="0.25">
      <c r="A2277" s="2"/>
      <c r="B2277" s="25"/>
      <c r="C2277" s="5"/>
      <c r="D2277" s="3"/>
      <c r="E2277" s="3"/>
      <c r="F2277" s="6"/>
      <c r="G2277" s="4"/>
      <c r="H2277" s="2"/>
      <c r="I2277" s="3"/>
      <c r="J2277" s="12"/>
    </row>
    <row r="2278" spans="1:10" x14ac:dyDescent="0.25">
      <c r="A2278" s="2"/>
      <c r="B2278" s="25"/>
      <c r="C2278" s="5"/>
      <c r="D2278" s="3"/>
      <c r="E2278" s="3"/>
      <c r="F2278" s="6"/>
      <c r="G2278" s="4"/>
      <c r="H2278" s="2"/>
      <c r="I2278" s="3"/>
      <c r="J2278" s="12"/>
    </row>
    <row r="2279" spans="1:10" x14ac:dyDescent="0.25">
      <c r="A2279" s="2"/>
      <c r="B2279" s="25"/>
      <c r="C2279" s="5"/>
      <c r="D2279" s="3"/>
      <c r="E2279" s="3"/>
      <c r="F2279" s="6"/>
      <c r="G2279" s="4"/>
      <c r="H2279" s="2"/>
      <c r="I2279" s="3"/>
      <c r="J2279" s="12"/>
    </row>
    <row r="2280" spans="1:10" x14ac:dyDescent="0.25">
      <c r="A2280" s="2"/>
      <c r="B2280" s="25"/>
      <c r="C2280" s="5"/>
      <c r="D2280" s="3"/>
      <c r="E2280" s="3"/>
      <c r="F2280" s="6"/>
      <c r="G2280" s="4"/>
      <c r="H2280" s="2"/>
      <c r="I2280" s="3"/>
      <c r="J2280" s="12"/>
    </row>
    <row r="2281" spans="1:10" x14ac:dyDescent="0.25">
      <c r="A2281" s="2"/>
      <c r="B2281" s="25"/>
      <c r="C2281" s="5"/>
      <c r="D2281" s="3"/>
      <c r="E2281" s="3"/>
      <c r="F2281" s="6"/>
      <c r="G2281" s="4"/>
      <c r="H2281" s="2"/>
      <c r="I2281" s="3"/>
      <c r="J2281" s="12"/>
    </row>
    <row r="2282" spans="1:10" x14ac:dyDescent="0.25">
      <c r="A2282" s="2"/>
      <c r="B2282" s="25"/>
      <c r="C2282" s="5"/>
      <c r="D2282" s="3"/>
      <c r="E2282" s="3"/>
      <c r="F2282" s="6"/>
      <c r="G2282" s="4"/>
      <c r="H2282" s="2"/>
      <c r="I2282" s="3"/>
      <c r="J2282" s="12"/>
    </row>
    <row r="2283" spans="1:10" x14ac:dyDescent="0.25">
      <c r="A2283" s="2"/>
      <c r="B2283" s="25"/>
      <c r="C2283" s="5"/>
      <c r="D2283" s="3"/>
      <c r="E2283" s="3"/>
      <c r="F2283" s="6"/>
      <c r="G2283" s="4"/>
      <c r="H2283" s="2"/>
      <c r="I2283" s="3"/>
      <c r="J2283" s="12"/>
    </row>
    <row r="2284" spans="1:10" x14ac:dyDescent="0.25">
      <c r="A2284" s="2"/>
      <c r="B2284" s="25"/>
      <c r="C2284" s="5"/>
      <c r="D2284" s="3"/>
      <c r="E2284" s="3"/>
      <c r="F2284" s="6"/>
      <c r="G2284" s="4"/>
      <c r="H2284" s="2"/>
      <c r="I2284" s="3"/>
      <c r="J2284" s="12"/>
    </row>
    <row r="2285" spans="1:10" x14ac:dyDescent="0.25">
      <c r="A2285" s="2"/>
      <c r="B2285" s="25"/>
      <c r="C2285" s="5"/>
      <c r="D2285" s="3"/>
      <c r="E2285" s="3"/>
      <c r="F2285" s="6"/>
      <c r="G2285" s="4"/>
      <c r="H2285" s="2"/>
      <c r="I2285" s="3"/>
      <c r="J2285" s="12"/>
    </row>
    <row r="2286" spans="1:10" x14ac:dyDescent="0.25">
      <c r="A2286" s="2"/>
      <c r="B2286" s="25"/>
      <c r="C2286" s="5"/>
      <c r="D2286" s="3"/>
      <c r="E2286" s="3"/>
      <c r="F2286" s="6"/>
      <c r="G2286" s="4"/>
      <c r="H2286" s="2"/>
      <c r="I2286" s="3"/>
      <c r="J2286" s="12"/>
    </row>
    <row r="2287" spans="1:10" x14ac:dyDescent="0.25">
      <c r="A2287" s="2"/>
      <c r="B2287" s="25"/>
      <c r="C2287" s="5"/>
      <c r="D2287" s="3"/>
      <c r="E2287" s="3"/>
      <c r="F2287" s="6"/>
      <c r="G2287" s="4"/>
      <c r="H2287" s="2"/>
      <c r="I2287" s="3"/>
      <c r="J2287" s="12"/>
    </row>
    <row r="2288" spans="1:10" x14ac:dyDescent="0.25">
      <c r="A2288" s="2"/>
      <c r="B2288" s="25"/>
      <c r="C2288" s="5"/>
      <c r="D2288" s="3"/>
      <c r="E2288" s="3"/>
      <c r="F2288" s="6"/>
      <c r="G2288" s="4"/>
      <c r="H2288" s="2"/>
      <c r="I2288" s="3"/>
      <c r="J2288" s="12"/>
    </row>
    <row r="2289" spans="1:10" x14ac:dyDescent="0.25">
      <c r="A2289" s="2"/>
      <c r="B2289" s="25"/>
      <c r="C2289" s="5"/>
      <c r="D2289" s="3"/>
      <c r="E2289" s="3"/>
      <c r="F2289" s="6"/>
      <c r="G2289" s="4"/>
      <c r="H2289" s="2"/>
      <c r="I2289" s="3"/>
      <c r="J2289" s="12"/>
    </row>
    <row r="2290" spans="1:10" x14ac:dyDescent="0.25">
      <c r="A2290" s="2"/>
      <c r="B2290" s="25"/>
      <c r="C2290" s="5"/>
      <c r="D2290" s="3"/>
      <c r="E2290" s="3"/>
      <c r="F2290" s="6"/>
      <c r="G2290" s="4"/>
      <c r="H2290" s="2"/>
      <c r="I2290" s="3"/>
      <c r="J2290" s="12"/>
    </row>
    <row r="2291" spans="1:10" x14ac:dyDescent="0.25">
      <c r="A2291" s="2"/>
      <c r="B2291" s="25"/>
      <c r="C2291" s="5"/>
      <c r="D2291" s="3"/>
      <c r="E2291" s="3"/>
      <c r="F2291" s="6"/>
      <c r="G2291" s="4"/>
      <c r="H2291" s="2"/>
      <c r="I2291" s="3"/>
      <c r="J2291" s="12"/>
    </row>
    <row r="2292" spans="1:10" x14ac:dyDescent="0.25">
      <c r="A2292" s="2"/>
      <c r="B2292" s="25"/>
      <c r="C2292" s="5"/>
      <c r="D2292" s="3"/>
      <c r="E2292" s="3"/>
      <c r="F2292" s="6"/>
      <c r="G2292" s="4"/>
      <c r="H2292" s="2"/>
      <c r="I2292" s="3"/>
      <c r="J2292" s="12"/>
    </row>
    <row r="2293" spans="1:10" x14ac:dyDescent="0.25">
      <c r="A2293" s="2"/>
      <c r="B2293" s="25"/>
      <c r="C2293" s="5"/>
      <c r="D2293" s="3"/>
      <c r="E2293" s="3"/>
      <c r="F2293" s="6"/>
      <c r="G2293" s="4"/>
      <c r="H2293" s="2"/>
      <c r="I2293" s="3"/>
      <c r="J2293" s="12"/>
    </row>
    <row r="2294" spans="1:10" x14ac:dyDescent="0.25">
      <c r="A2294" s="2"/>
      <c r="B2294" s="25"/>
      <c r="C2294" s="5"/>
      <c r="D2294" s="3"/>
      <c r="E2294" s="3"/>
      <c r="F2294" s="6"/>
      <c r="G2294" s="4"/>
      <c r="H2294" s="2"/>
      <c r="I2294" s="3"/>
      <c r="J2294" s="12"/>
    </row>
    <row r="2295" spans="1:10" x14ac:dyDescent="0.25">
      <c r="A2295" s="2"/>
      <c r="B2295" s="25"/>
      <c r="C2295" s="5"/>
      <c r="D2295" s="3"/>
      <c r="E2295" s="3"/>
      <c r="F2295" s="6"/>
      <c r="G2295" s="4"/>
      <c r="H2295" s="2"/>
      <c r="I2295" s="3"/>
      <c r="J2295" s="12"/>
    </row>
    <row r="2296" spans="1:10" x14ac:dyDescent="0.25">
      <c r="A2296" s="2"/>
      <c r="B2296" s="25"/>
      <c r="C2296" s="5"/>
      <c r="D2296" s="3"/>
      <c r="E2296" s="3"/>
      <c r="F2296" s="6"/>
      <c r="G2296" s="4"/>
      <c r="H2296" s="2"/>
      <c r="I2296" s="3"/>
      <c r="J2296" s="12"/>
    </row>
    <row r="2297" spans="1:10" x14ac:dyDescent="0.25">
      <c r="A2297" s="2"/>
      <c r="B2297" s="25"/>
      <c r="C2297" s="5"/>
      <c r="D2297" s="3"/>
      <c r="E2297" s="3"/>
      <c r="F2297" s="6"/>
      <c r="G2297" s="4"/>
      <c r="H2297" s="2"/>
      <c r="I2297" s="3"/>
      <c r="J2297" s="12"/>
    </row>
    <row r="2298" spans="1:10" x14ac:dyDescent="0.25">
      <c r="A2298" s="2"/>
      <c r="B2298" s="25"/>
      <c r="C2298" s="5"/>
      <c r="D2298" s="3"/>
      <c r="E2298" s="3"/>
      <c r="F2298" s="6"/>
      <c r="G2298" s="4"/>
      <c r="H2298" s="2"/>
      <c r="I2298" s="3"/>
      <c r="J2298" s="12"/>
    </row>
    <row r="2299" spans="1:10" x14ac:dyDescent="0.25">
      <c r="A2299" s="2"/>
      <c r="B2299" s="25"/>
      <c r="C2299" s="5"/>
      <c r="D2299" s="3"/>
      <c r="E2299" s="3"/>
      <c r="F2299" s="6"/>
      <c r="G2299" s="4"/>
      <c r="H2299" s="2"/>
      <c r="I2299" s="3"/>
      <c r="J2299" s="12"/>
    </row>
    <row r="2300" spans="1:10" x14ac:dyDescent="0.25">
      <c r="A2300" s="2"/>
      <c r="B2300" s="25"/>
      <c r="C2300" s="5"/>
      <c r="D2300" s="3"/>
      <c r="E2300" s="3"/>
      <c r="F2300" s="6"/>
      <c r="G2300" s="4"/>
      <c r="H2300" s="2"/>
      <c r="I2300" s="3"/>
      <c r="J2300" s="12"/>
    </row>
    <row r="2301" spans="1:10" x14ac:dyDescent="0.25">
      <c r="A2301" s="2"/>
      <c r="B2301" s="25"/>
      <c r="C2301" s="5"/>
      <c r="D2301" s="3"/>
      <c r="E2301" s="3"/>
      <c r="F2301" s="6"/>
      <c r="G2301" s="4"/>
      <c r="H2301" s="2"/>
      <c r="I2301" s="3"/>
      <c r="J2301" s="12"/>
    </row>
    <row r="2302" spans="1:10" x14ac:dyDescent="0.25">
      <c r="A2302" s="2"/>
      <c r="B2302" s="25"/>
      <c r="C2302" s="5"/>
      <c r="D2302" s="3"/>
      <c r="E2302" s="3"/>
      <c r="F2302" s="6"/>
      <c r="G2302" s="4"/>
      <c r="H2302" s="2"/>
      <c r="I2302" s="3"/>
      <c r="J2302" s="12"/>
    </row>
    <row r="2303" spans="1:10" x14ac:dyDescent="0.25">
      <c r="A2303" s="2"/>
      <c r="B2303" s="25"/>
      <c r="C2303" s="5"/>
      <c r="D2303" s="3"/>
      <c r="E2303" s="3"/>
      <c r="F2303" s="6"/>
      <c r="G2303" s="4"/>
      <c r="H2303" s="2"/>
      <c r="I2303" s="3"/>
      <c r="J2303" s="12"/>
    </row>
    <row r="2304" spans="1:10" x14ac:dyDescent="0.25">
      <c r="A2304" s="2"/>
      <c r="B2304" s="25"/>
      <c r="C2304" s="5"/>
      <c r="D2304" s="3"/>
      <c r="E2304" s="3"/>
      <c r="F2304" s="6"/>
      <c r="G2304" s="4"/>
      <c r="H2304" s="2"/>
      <c r="I2304" s="3"/>
      <c r="J2304" s="12"/>
    </row>
    <row r="2305" spans="1:10" x14ac:dyDescent="0.25">
      <c r="A2305" s="2"/>
      <c r="B2305" s="25"/>
      <c r="C2305" s="5"/>
      <c r="D2305" s="3"/>
      <c r="E2305" s="3"/>
      <c r="F2305" s="6"/>
      <c r="G2305" s="4"/>
      <c r="H2305" s="2"/>
      <c r="I2305" s="3"/>
      <c r="J2305" s="12"/>
    </row>
    <row r="2306" spans="1:10" x14ac:dyDescent="0.25">
      <c r="A2306" s="2"/>
      <c r="B2306" s="25"/>
      <c r="C2306" s="5"/>
      <c r="D2306" s="3"/>
      <c r="E2306" s="3"/>
      <c r="F2306" s="6"/>
      <c r="G2306" s="4"/>
      <c r="H2306" s="2"/>
      <c r="I2306" s="3"/>
      <c r="J2306" s="12"/>
    </row>
    <row r="2307" spans="1:10" x14ac:dyDescent="0.25">
      <c r="A2307" s="2"/>
      <c r="B2307" s="25"/>
      <c r="C2307" s="5"/>
      <c r="D2307" s="3"/>
      <c r="E2307" s="3"/>
      <c r="F2307" s="6"/>
      <c r="G2307" s="4"/>
      <c r="H2307" s="2"/>
      <c r="I2307" s="3"/>
      <c r="J2307" s="12"/>
    </row>
    <row r="2308" spans="1:10" x14ac:dyDescent="0.25">
      <c r="A2308" s="2"/>
      <c r="B2308" s="25"/>
      <c r="C2308" s="5"/>
      <c r="D2308" s="3"/>
      <c r="E2308" s="3"/>
      <c r="F2308" s="6"/>
      <c r="G2308" s="4"/>
      <c r="H2308" s="2"/>
      <c r="I2308" s="3"/>
      <c r="J2308" s="12"/>
    </row>
    <row r="2309" spans="1:10" x14ac:dyDescent="0.25">
      <c r="A2309" s="2"/>
      <c r="B2309" s="25"/>
      <c r="C2309" s="5"/>
      <c r="D2309" s="3"/>
      <c r="E2309" s="3"/>
      <c r="F2309" s="6"/>
      <c r="G2309" s="4"/>
      <c r="H2309" s="2"/>
      <c r="I2309" s="3"/>
      <c r="J2309" s="12"/>
    </row>
    <row r="2310" spans="1:10" x14ac:dyDescent="0.25">
      <c r="A2310" s="2"/>
      <c r="B2310" s="25"/>
      <c r="C2310" s="5"/>
      <c r="D2310" s="3"/>
      <c r="E2310" s="3"/>
      <c r="F2310" s="6"/>
      <c r="G2310" s="4"/>
      <c r="H2310" s="2"/>
      <c r="I2310" s="3"/>
      <c r="J2310" s="12"/>
    </row>
    <row r="2311" spans="1:10" x14ac:dyDescent="0.25">
      <c r="A2311" s="2"/>
      <c r="B2311" s="25"/>
      <c r="C2311" s="5"/>
      <c r="D2311" s="3"/>
      <c r="E2311" s="3"/>
      <c r="F2311" s="6"/>
      <c r="G2311" s="4"/>
      <c r="H2311" s="2"/>
      <c r="I2311" s="3"/>
      <c r="J2311" s="12"/>
    </row>
    <row r="2312" spans="1:10" x14ac:dyDescent="0.25">
      <c r="A2312" s="2"/>
      <c r="B2312" s="25"/>
      <c r="C2312" s="5"/>
      <c r="D2312" s="3"/>
      <c r="E2312" s="3"/>
      <c r="F2312" s="6"/>
      <c r="G2312" s="4"/>
      <c r="H2312" s="2"/>
      <c r="I2312" s="3"/>
      <c r="J2312" s="12"/>
    </row>
    <row r="2313" spans="1:10" x14ac:dyDescent="0.25">
      <c r="A2313" s="2"/>
      <c r="B2313" s="25"/>
      <c r="C2313" s="5"/>
      <c r="D2313" s="3"/>
      <c r="E2313" s="3"/>
      <c r="F2313" s="6"/>
      <c r="G2313" s="4"/>
      <c r="H2313" s="2"/>
      <c r="I2313" s="3"/>
      <c r="J2313" s="12"/>
    </row>
    <row r="2314" spans="1:10" x14ac:dyDescent="0.25">
      <c r="A2314" s="2"/>
      <c r="B2314" s="25"/>
      <c r="C2314" s="5"/>
      <c r="D2314" s="3"/>
      <c r="E2314" s="3"/>
      <c r="F2314" s="6"/>
      <c r="G2314" s="4"/>
      <c r="H2314" s="2"/>
      <c r="I2314" s="3"/>
      <c r="J2314" s="12"/>
    </row>
    <row r="2315" spans="1:10" x14ac:dyDescent="0.25">
      <c r="A2315" s="2"/>
      <c r="B2315" s="25"/>
      <c r="C2315" s="5"/>
      <c r="D2315" s="3"/>
      <c r="E2315" s="3"/>
      <c r="F2315" s="6"/>
      <c r="G2315" s="4"/>
      <c r="H2315" s="2"/>
      <c r="I2315" s="3"/>
      <c r="J2315" s="12"/>
    </row>
    <row r="2316" spans="1:10" x14ac:dyDescent="0.25">
      <c r="A2316" s="2"/>
      <c r="B2316" s="25"/>
      <c r="C2316" s="5"/>
      <c r="D2316" s="3"/>
      <c r="E2316" s="3"/>
      <c r="F2316" s="6"/>
      <c r="G2316" s="4"/>
      <c r="H2316" s="2"/>
      <c r="I2316" s="3"/>
      <c r="J2316" s="12"/>
    </row>
    <row r="2317" spans="1:10" x14ac:dyDescent="0.25">
      <c r="A2317" s="2"/>
      <c r="B2317" s="25"/>
      <c r="C2317" s="5"/>
      <c r="D2317" s="3"/>
      <c r="E2317" s="3"/>
      <c r="F2317" s="6"/>
      <c r="G2317" s="4"/>
      <c r="H2317" s="2"/>
      <c r="I2317" s="3"/>
      <c r="J2317" s="12"/>
    </row>
    <row r="2318" spans="1:10" x14ac:dyDescent="0.25">
      <c r="A2318" s="2"/>
      <c r="B2318" s="25"/>
      <c r="C2318" s="5"/>
      <c r="D2318" s="3"/>
      <c r="E2318" s="3"/>
      <c r="F2318" s="6"/>
      <c r="G2318" s="4"/>
      <c r="H2318" s="2"/>
      <c r="I2318" s="3"/>
      <c r="J2318" s="12"/>
    </row>
    <row r="2319" spans="1:10" x14ac:dyDescent="0.25">
      <c r="A2319" s="2"/>
      <c r="B2319" s="25"/>
      <c r="C2319" s="5"/>
      <c r="D2319" s="3"/>
      <c r="E2319" s="3"/>
      <c r="F2319" s="6"/>
      <c r="G2319" s="4"/>
      <c r="H2319" s="2"/>
      <c r="I2319" s="3"/>
      <c r="J2319" s="12"/>
    </row>
    <row r="2320" spans="1:10" x14ac:dyDescent="0.25">
      <c r="A2320" s="2"/>
      <c r="B2320" s="25"/>
      <c r="C2320" s="5"/>
      <c r="D2320" s="3"/>
      <c r="E2320" s="3"/>
      <c r="F2320" s="6"/>
      <c r="G2320" s="4"/>
      <c r="H2320" s="2"/>
      <c r="I2320" s="3"/>
      <c r="J2320" s="12"/>
    </row>
    <row r="2321" spans="1:10" x14ac:dyDescent="0.25">
      <c r="A2321" s="2"/>
      <c r="B2321" s="25"/>
      <c r="C2321" s="5"/>
      <c r="D2321" s="3"/>
      <c r="E2321" s="3"/>
      <c r="F2321" s="6"/>
      <c r="G2321" s="4"/>
      <c r="H2321" s="2"/>
      <c r="I2321" s="3"/>
      <c r="J2321" s="12"/>
    </row>
    <row r="2322" spans="1:10" x14ac:dyDescent="0.25">
      <c r="A2322" s="2"/>
      <c r="B2322" s="25"/>
      <c r="C2322" s="5"/>
      <c r="D2322" s="3"/>
      <c r="E2322" s="3"/>
      <c r="F2322" s="6"/>
      <c r="G2322" s="4"/>
      <c r="H2322" s="2"/>
      <c r="I2322" s="3"/>
      <c r="J2322" s="12"/>
    </row>
    <row r="2323" spans="1:10" x14ac:dyDescent="0.25">
      <c r="A2323" s="2"/>
      <c r="B2323" s="25"/>
      <c r="C2323" s="5"/>
      <c r="D2323" s="3"/>
      <c r="E2323" s="3"/>
      <c r="F2323" s="6"/>
      <c r="G2323" s="4"/>
      <c r="H2323" s="2"/>
      <c r="I2323" s="3"/>
      <c r="J2323" s="12"/>
    </row>
    <row r="2324" spans="1:10" x14ac:dyDescent="0.25">
      <c r="A2324" s="2"/>
      <c r="B2324" s="25"/>
      <c r="C2324" s="5"/>
      <c r="D2324" s="3"/>
      <c r="E2324" s="3"/>
      <c r="F2324" s="6"/>
      <c r="G2324" s="4"/>
      <c r="H2324" s="2"/>
      <c r="I2324" s="3"/>
      <c r="J2324" s="12"/>
    </row>
    <row r="2325" spans="1:10" x14ac:dyDescent="0.25">
      <c r="A2325" s="2"/>
      <c r="B2325" s="25"/>
      <c r="C2325" s="5"/>
      <c r="D2325" s="3"/>
      <c r="E2325" s="3"/>
      <c r="F2325" s="6"/>
      <c r="G2325" s="4"/>
      <c r="H2325" s="2"/>
      <c r="I2325" s="3"/>
      <c r="J2325" s="12"/>
    </row>
    <row r="2326" spans="1:10" x14ac:dyDescent="0.25">
      <c r="A2326" s="2"/>
      <c r="B2326" s="25"/>
      <c r="C2326" s="5"/>
      <c r="D2326" s="3"/>
      <c r="E2326" s="3"/>
      <c r="F2326" s="6"/>
      <c r="G2326" s="4"/>
      <c r="H2326" s="2"/>
      <c r="I2326" s="3"/>
      <c r="J2326" s="12"/>
    </row>
    <row r="2327" spans="1:10" x14ac:dyDescent="0.25">
      <c r="A2327" s="2"/>
      <c r="B2327" s="25"/>
      <c r="C2327" s="5"/>
      <c r="D2327" s="3"/>
      <c r="E2327" s="3"/>
      <c r="F2327" s="6"/>
      <c r="G2327" s="4"/>
      <c r="H2327" s="2"/>
      <c r="I2327" s="3"/>
      <c r="J2327" s="12"/>
    </row>
    <row r="2328" spans="1:10" x14ac:dyDescent="0.25">
      <c r="A2328" s="2"/>
      <c r="B2328" s="25"/>
      <c r="C2328" s="5"/>
      <c r="D2328" s="3"/>
      <c r="E2328" s="3"/>
      <c r="F2328" s="6"/>
      <c r="G2328" s="4"/>
      <c r="H2328" s="2"/>
      <c r="I2328" s="3"/>
      <c r="J2328" s="12"/>
    </row>
    <row r="2329" spans="1:10" x14ac:dyDescent="0.25">
      <c r="A2329" s="2"/>
      <c r="B2329" s="25"/>
      <c r="C2329" s="5"/>
      <c r="D2329" s="3"/>
      <c r="E2329" s="3"/>
      <c r="F2329" s="6"/>
      <c r="G2329" s="4"/>
      <c r="H2329" s="2"/>
      <c r="I2329" s="3"/>
      <c r="J2329" s="12"/>
    </row>
    <row r="2330" spans="1:10" x14ac:dyDescent="0.25">
      <c r="A2330" s="2"/>
      <c r="B2330" s="25"/>
      <c r="C2330" s="5"/>
      <c r="D2330" s="3"/>
      <c r="E2330" s="3"/>
      <c r="F2330" s="6"/>
      <c r="G2330" s="4"/>
      <c r="H2330" s="2"/>
      <c r="I2330" s="3"/>
      <c r="J2330" s="12"/>
    </row>
    <row r="2331" spans="1:10" x14ac:dyDescent="0.25">
      <c r="A2331" s="2"/>
      <c r="B2331" s="25"/>
      <c r="C2331" s="5"/>
      <c r="D2331" s="3"/>
      <c r="E2331" s="3"/>
      <c r="F2331" s="6"/>
      <c r="G2331" s="4"/>
      <c r="H2331" s="2"/>
      <c r="I2331" s="3"/>
      <c r="J2331" s="12"/>
    </row>
    <row r="2332" spans="1:10" x14ac:dyDescent="0.25">
      <c r="A2332" s="2"/>
      <c r="B2332" s="25"/>
      <c r="C2332" s="5"/>
      <c r="D2332" s="3"/>
      <c r="E2332" s="3"/>
      <c r="F2332" s="6"/>
      <c r="G2332" s="4"/>
      <c r="H2332" s="2"/>
      <c r="I2332" s="3"/>
      <c r="J2332" s="12"/>
    </row>
    <row r="2333" spans="1:10" x14ac:dyDescent="0.25">
      <c r="A2333" s="2"/>
      <c r="B2333" s="25"/>
      <c r="C2333" s="5"/>
      <c r="D2333" s="3"/>
      <c r="E2333" s="3"/>
      <c r="F2333" s="6"/>
      <c r="G2333" s="4"/>
      <c r="H2333" s="2"/>
      <c r="I2333" s="3"/>
      <c r="J2333" s="12"/>
    </row>
    <row r="2334" spans="1:10" x14ac:dyDescent="0.25">
      <c r="A2334" s="2"/>
      <c r="B2334" s="25"/>
      <c r="C2334" s="5"/>
      <c r="D2334" s="3"/>
      <c r="E2334" s="3"/>
      <c r="F2334" s="6"/>
      <c r="G2334" s="4"/>
      <c r="H2334" s="2"/>
      <c r="I2334" s="3"/>
      <c r="J2334" s="12"/>
    </row>
    <row r="2335" spans="1:10" x14ac:dyDescent="0.25">
      <c r="A2335" s="2"/>
      <c r="B2335" s="25"/>
      <c r="C2335" s="5"/>
      <c r="D2335" s="3"/>
      <c r="E2335" s="3"/>
      <c r="F2335" s="6"/>
      <c r="G2335" s="4"/>
      <c r="H2335" s="2"/>
      <c r="I2335" s="3"/>
      <c r="J2335" s="12"/>
    </row>
    <row r="2336" spans="1:10" x14ac:dyDescent="0.25">
      <c r="A2336" s="2"/>
      <c r="B2336" s="25"/>
      <c r="C2336" s="5"/>
      <c r="D2336" s="3"/>
      <c r="E2336" s="3"/>
      <c r="F2336" s="6"/>
      <c r="G2336" s="4"/>
      <c r="H2336" s="2"/>
      <c r="I2336" s="3"/>
      <c r="J2336" s="12"/>
    </row>
    <row r="2337" spans="1:10" x14ac:dyDescent="0.25">
      <c r="A2337" s="2"/>
      <c r="B2337" s="25"/>
      <c r="C2337" s="5"/>
      <c r="D2337" s="3"/>
      <c r="E2337" s="3"/>
      <c r="F2337" s="6"/>
      <c r="G2337" s="4"/>
      <c r="H2337" s="2"/>
      <c r="I2337" s="3"/>
      <c r="J2337" s="12"/>
    </row>
    <row r="2338" spans="1:10" x14ac:dyDescent="0.25">
      <c r="A2338" s="2"/>
      <c r="B2338" s="25"/>
      <c r="C2338" s="5"/>
      <c r="D2338" s="3"/>
      <c r="E2338" s="3"/>
      <c r="F2338" s="6"/>
      <c r="G2338" s="4"/>
      <c r="H2338" s="2"/>
      <c r="I2338" s="3"/>
      <c r="J2338" s="12"/>
    </row>
    <row r="2339" spans="1:10" x14ac:dyDescent="0.25">
      <c r="A2339" s="2"/>
      <c r="B2339" s="25"/>
      <c r="C2339" s="5"/>
      <c r="D2339" s="3"/>
      <c r="E2339" s="3"/>
      <c r="F2339" s="6"/>
      <c r="G2339" s="4"/>
      <c r="H2339" s="2"/>
      <c r="I2339" s="3"/>
      <c r="J2339" s="12"/>
    </row>
    <row r="2340" spans="1:10" x14ac:dyDescent="0.25">
      <c r="A2340" s="2"/>
      <c r="B2340" s="25"/>
      <c r="C2340" s="5"/>
      <c r="D2340" s="3"/>
      <c r="E2340" s="3"/>
      <c r="F2340" s="6"/>
      <c r="G2340" s="4"/>
      <c r="H2340" s="2"/>
      <c r="I2340" s="3"/>
      <c r="J2340" s="12"/>
    </row>
    <row r="2341" spans="1:10" x14ac:dyDescent="0.25">
      <c r="A2341" s="2"/>
      <c r="B2341" s="25"/>
      <c r="C2341" s="5"/>
      <c r="D2341" s="3"/>
      <c r="E2341" s="3"/>
      <c r="F2341" s="6"/>
      <c r="G2341" s="4"/>
      <c r="H2341" s="2"/>
      <c r="I2341" s="3"/>
      <c r="J2341" s="12"/>
    </row>
    <row r="2342" spans="1:10" x14ac:dyDescent="0.25">
      <c r="A2342" s="2"/>
      <c r="B2342" s="25"/>
      <c r="C2342" s="5"/>
      <c r="D2342" s="3"/>
      <c r="E2342" s="3"/>
      <c r="F2342" s="6"/>
      <c r="G2342" s="4"/>
      <c r="H2342" s="2"/>
      <c r="I2342" s="3"/>
      <c r="J2342" s="12"/>
    </row>
    <row r="2343" spans="1:10" x14ac:dyDescent="0.25">
      <c r="A2343" s="2"/>
      <c r="B2343" s="25"/>
      <c r="C2343" s="5"/>
      <c r="D2343" s="3"/>
      <c r="E2343" s="3"/>
      <c r="F2343" s="6"/>
      <c r="G2343" s="4"/>
      <c r="H2343" s="2"/>
      <c r="I2343" s="3"/>
      <c r="J2343" s="12"/>
    </row>
    <row r="2344" spans="1:10" x14ac:dyDescent="0.25">
      <c r="A2344" s="2"/>
      <c r="B2344" s="25"/>
      <c r="C2344" s="5"/>
      <c r="D2344" s="3"/>
      <c r="E2344" s="3"/>
      <c r="F2344" s="6"/>
      <c r="G2344" s="4"/>
      <c r="H2344" s="2"/>
      <c r="I2344" s="3"/>
      <c r="J2344" s="12"/>
    </row>
    <row r="2345" spans="1:10" x14ac:dyDescent="0.25">
      <c r="A2345" s="2"/>
      <c r="B2345" s="25"/>
      <c r="C2345" s="5"/>
      <c r="D2345" s="3"/>
      <c r="E2345" s="3"/>
      <c r="F2345" s="6"/>
      <c r="G2345" s="4"/>
      <c r="H2345" s="2"/>
      <c r="I2345" s="3"/>
      <c r="J2345" s="12"/>
    </row>
    <row r="2346" spans="1:10" x14ac:dyDescent="0.25">
      <c r="A2346" s="2"/>
      <c r="B2346" s="25"/>
      <c r="C2346" s="5"/>
      <c r="D2346" s="3"/>
      <c r="E2346" s="3"/>
      <c r="F2346" s="6"/>
      <c r="G2346" s="4"/>
      <c r="H2346" s="2"/>
      <c r="I2346" s="3"/>
      <c r="J2346" s="12"/>
    </row>
    <row r="2347" spans="1:10" x14ac:dyDescent="0.25">
      <c r="A2347" s="2"/>
      <c r="B2347" s="25"/>
      <c r="C2347" s="5"/>
      <c r="D2347" s="3"/>
      <c r="E2347" s="3"/>
      <c r="F2347" s="6"/>
      <c r="G2347" s="4"/>
      <c r="H2347" s="2"/>
      <c r="I2347" s="3"/>
      <c r="J2347" s="12"/>
    </row>
    <row r="2348" spans="1:10" x14ac:dyDescent="0.25">
      <c r="A2348" s="2"/>
      <c r="B2348" s="25"/>
      <c r="C2348" s="5"/>
      <c r="D2348" s="3"/>
      <c r="E2348" s="3"/>
      <c r="F2348" s="6"/>
      <c r="G2348" s="4"/>
      <c r="H2348" s="2"/>
      <c r="I2348" s="3"/>
      <c r="J2348" s="12"/>
    </row>
    <row r="2349" spans="1:10" x14ac:dyDescent="0.25">
      <c r="A2349" s="2"/>
      <c r="B2349" s="25"/>
      <c r="C2349" s="5"/>
      <c r="D2349" s="3"/>
      <c r="E2349" s="3"/>
      <c r="F2349" s="6"/>
      <c r="G2349" s="4"/>
      <c r="H2349" s="2"/>
      <c r="I2349" s="3"/>
      <c r="J2349" s="12"/>
    </row>
    <row r="2350" spans="1:10" x14ac:dyDescent="0.25">
      <c r="A2350" s="2"/>
      <c r="B2350" s="25"/>
      <c r="C2350" s="5"/>
      <c r="D2350" s="3"/>
      <c r="E2350" s="3"/>
      <c r="F2350" s="6"/>
      <c r="G2350" s="4"/>
      <c r="H2350" s="2"/>
      <c r="I2350" s="3"/>
      <c r="J2350" s="12"/>
    </row>
    <row r="2351" spans="1:10" x14ac:dyDescent="0.25">
      <c r="A2351" s="2"/>
      <c r="B2351" s="25"/>
      <c r="C2351" s="5"/>
      <c r="D2351" s="3"/>
      <c r="E2351" s="3"/>
      <c r="F2351" s="6"/>
      <c r="G2351" s="4"/>
      <c r="H2351" s="2"/>
      <c r="I2351" s="3"/>
      <c r="J2351" s="12"/>
    </row>
    <row r="2352" spans="1:10" x14ac:dyDescent="0.25">
      <c r="A2352" s="2"/>
      <c r="B2352" s="25"/>
      <c r="C2352" s="5"/>
      <c r="D2352" s="3"/>
      <c r="E2352" s="3"/>
      <c r="F2352" s="6"/>
      <c r="G2352" s="4"/>
      <c r="H2352" s="2"/>
      <c r="I2352" s="3"/>
      <c r="J2352" s="12"/>
    </row>
    <row r="2353" spans="1:10" x14ac:dyDescent="0.25">
      <c r="A2353" s="2"/>
      <c r="B2353" s="25"/>
      <c r="C2353" s="5"/>
      <c r="D2353" s="3"/>
      <c r="E2353" s="3"/>
      <c r="F2353" s="6"/>
      <c r="G2353" s="4"/>
      <c r="H2353" s="2"/>
      <c r="I2353" s="3"/>
      <c r="J2353" s="12"/>
    </row>
    <row r="2354" spans="1:10" x14ac:dyDescent="0.25">
      <c r="A2354" s="2"/>
      <c r="B2354" s="25"/>
      <c r="C2354" s="5"/>
      <c r="D2354" s="3"/>
      <c r="E2354" s="3"/>
      <c r="F2354" s="6"/>
      <c r="G2354" s="4"/>
      <c r="H2354" s="2"/>
      <c r="I2354" s="3"/>
      <c r="J2354" s="12"/>
    </row>
    <row r="2355" spans="1:10" x14ac:dyDescent="0.25">
      <c r="A2355" s="2"/>
      <c r="B2355" s="25"/>
      <c r="C2355" s="5"/>
      <c r="D2355" s="3"/>
      <c r="E2355" s="3"/>
      <c r="F2355" s="6"/>
      <c r="G2355" s="4"/>
      <c r="H2355" s="2"/>
      <c r="I2355" s="3"/>
      <c r="J2355" s="12"/>
    </row>
    <row r="2356" spans="1:10" x14ac:dyDescent="0.25">
      <c r="A2356" s="2"/>
      <c r="B2356" s="25"/>
      <c r="C2356" s="5"/>
      <c r="D2356" s="3"/>
      <c r="E2356" s="3"/>
      <c r="F2356" s="6"/>
      <c r="G2356" s="4"/>
      <c r="H2356" s="2"/>
      <c r="I2356" s="3"/>
      <c r="J2356" s="12"/>
    </row>
    <row r="2357" spans="1:10" x14ac:dyDescent="0.25">
      <c r="A2357" s="2"/>
      <c r="B2357" s="25"/>
      <c r="C2357" s="5"/>
      <c r="D2357" s="3"/>
      <c r="E2357" s="3"/>
      <c r="F2357" s="6"/>
      <c r="G2357" s="4"/>
      <c r="H2357" s="2"/>
      <c r="I2357" s="3"/>
      <c r="J2357" s="12"/>
    </row>
    <row r="2358" spans="1:10" x14ac:dyDescent="0.25">
      <c r="A2358" s="2"/>
      <c r="B2358" s="25"/>
      <c r="C2358" s="5"/>
      <c r="D2358" s="3"/>
      <c r="E2358" s="3"/>
      <c r="F2358" s="6"/>
      <c r="G2358" s="4"/>
      <c r="H2358" s="2"/>
      <c r="I2358" s="3"/>
      <c r="J2358" s="12"/>
    </row>
    <row r="2359" spans="1:10" x14ac:dyDescent="0.25">
      <c r="A2359" s="2"/>
      <c r="B2359" s="25"/>
      <c r="C2359" s="5"/>
      <c r="D2359" s="3"/>
      <c r="E2359" s="3"/>
      <c r="F2359" s="6"/>
      <c r="G2359" s="4"/>
      <c r="H2359" s="2"/>
      <c r="I2359" s="3"/>
      <c r="J2359" s="12"/>
    </row>
    <row r="2360" spans="1:10" x14ac:dyDescent="0.25">
      <c r="A2360" s="2"/>
      <c r="B2360" s="25"/>
      <c r="C2360" s="5"/>
      <c r="D2360" s="3"/>
      <c r="E2360" s="3"/>
      <c r="F2360" s="6"/>
      <c r="G2360" s="4"/>
      <c r="H2360" s="2"/>
      <c r="I2360" s="3"/>
      <c r="J2360" s="12"/>
    </row>
    <row r="2361" spans="1:10" x14ac:dyDescent="0.25">
      <c r="A2361" s="2"/>
      <c r="B2361" s="25"/>
      <c r="C2361" s="5"/>
      <c r="D2361" s="3"/>
      <c r="E2361" s="3"/>
      <c r="F2361" s="6"/>
      <c r="G2361" s="4"/>
      <c r="H2361" s="2"/>
      <c r="I2361" s="3"/>
      <c r="J2361" s="12"/>
    </row>
    <row r="2362" spans="1:10" x14ac:dyDescent="0.25">
      <c r="A2362" s="2"/>
      <c r="B2362" s="25"/>
      <c r="C2362" s="5"/>
      <c r="D2362" s="3"/>
      <c r="E2362" s="3"/>
      <c r="F2362" s="6"/>
      <c r="G2362" s="4"/>
      <c r="H2362" s="2"/>
      <c r="I2362" s="3"/>
      <c r="J2362" s="12"/>
    </row>
    <row r="2363" spans="1:10" x14ac:dyDescent="0.25">
      <c r="A2363" s="2"/>
      <c r="B2363" s="25"/>
      <c r="C2363" s="5"/>
      <c r="D2363" s="3"/>
      <c r="E2363" s="3"/>
      <c r="F2363" s="6"/>
      <c r="G2363" s="4"/>
      <c r="H2363" s="2"/>
      <c r="I2363" s="3"/>
      <c r="J2363" s="12"/>
    </row>
    <row r="2364" spans="1:10" x14ac:dyDescent="0.25">
      <c r="A2364" s="2"/>
      <c r="B2364" s="25"/>
      <c r="C2364" s="5"/>
      <c r="D2364" s="3"/>
      <c r="E2364" s="3"/>
      <c r="F2364" s="6"/>
      <c r="G2364" s="4"/>
      <c r="H2364" s="2"/>
      <c r="I2364" s="3"/>
      <c r="J2364" s="12"/>
    </row>
    <row r="2365" spans="1:10" x14ac:dyDescent="0.25">
      <c r="A2365" s="2"/>
      <c r="B2365" s="25"/>
      <c r="C2365" s="5"/>
      <c r="D2365" s="3"/>
      <c r="E2365" s="3"/>
      <c r="F2365" s="6"/>
      <c r="G2365" s="4"/>
      <c r="H2365" s="2"/>
      <c r="I2365" s="3"/>
      <c r="J2365" s="12"/>
    </row>
    <row r="2366" spans="1:10" x14ac:dyDescent="0.25">
      <c r="A2366" s="2"/>
      <c r="B2366" s="25"/>
      <c r="C2366" s="5"/>
      <c r="D2366" s="3"/>
      <c r="E2366" s="3"/>
      <c r="F2366" s="6"/>
      <c r="G2366" s="4"/>
      <c r="H2366" s="2"/>
      <c r="I2366" s="3"/>
      <c r="J2366" s="12"/>
    </row>
    <row r="2367" spans="1:10" x14ac:dyDescent="0.25">
      <c r="A2367" s="2"/>
      <c r="B2367" s="25"/>
      <c r="C2367" s="5"/>
      <c r="D2367" s="3"/>
      <c r="E2367" s="3"/>
      <c r="F2367" s="6"/>
      <c r="G2367" s="4"/>
      <c r="H2367" s="2"/>
      <c r="I2367" s="3"/>
      <c r="J2367" s="12"/>
    </row>
    <row r="2368" spans="1:10" x14ac:dyDescent="0.25">
      <c r="A2368" s="2"/>
      <c r="B2368" s="25"/>
      <c r="C2368" s="5"/>
      <c r="D2368" s="3"/>
      <c r="E2368" s="3"/>
      <c r="F2368" s="6"/>
      <c r="G2368" s="4"/>
      <c r="H2368" s="2"/>
      <c r="I2368" s="3"/>
      <c r="J2368" s="12"/>
    </row>
    <row r="2369" spans="1:10" x14ac:dyDescent="0.25">
      <c r="A2369" s="2"/>
      <c r="B2369" s="25"/>
      <c r="C2369" s="5"/>
      <c r="D2369" s="3"/>
      <c r="E2369" s="3"/>
      <c r="F2369" s="6"/>
      <c r="G2369" s="4"/>
      <c r="H2369" s="2"/>
      <c r="I2369" s="3"/>
      <c r="J2369" s="12"/>
    </row>
    <row r="2370" spans="1:10" x14ac:dyDescent="0.25">
      <c r="A2370" s="2"/>
      <c r="B2370" s="25"/>
      <c r="C2370" s="5"/>
      <c r="D2370" s="3"/>
      <c r="E2370" s="3"/>
      <c r="F2370" s="6"/>
      <c r="G2370" s="4"/>
      <c r="H2370" s="2"/>
      <c r="I2370" s="3"/>
      <c r="J2370" s="12"/>
    </row>
    <row r="2371" spans="1:10" x14ac:dyDescent="0.25">
      <c r="A2371" s="2"/>
      <c r="B2371" s="25"/>
      <c r="C2371" s="5"/>
      <c r="D2371" s="3"/>
      <c r="E2371" s="3"/>
      <c r="F2371" s="6"/>
      <c r="G2371" s="4"/>
      <c r="H2371" s="2"/>
      <c r="I2371" s="3"/>
      <c r="J2371" s="12"/>
    </row>
    <row r="2372" spans="1:10" x14ac:dyDescent="0.25">
      <c r="A2372" s="2"/>
      <c r="B2372" s="25"/>
      <c r="C2372" s="5"/>
      <c r="D2372" s="3"/>
      <c r="E2372" s="3"/>
      <c r="F2372" s="6"/>
      <c r="G2372" s="4"/>
      <c r="H2372" s="2"/>
      <c r="I2372" s="3"/>
      <c r="J2372" s="12"/>
    </row>
    <row r="2373" spans="1:10" x14ac:dyDescent="0.25">
      <c r="A2373" s="2"/>
      <c r="B2373" s="25"/>
      <c r="C2373" s="5"/>
      <c r="D2373" s="3"/>
      <c r="E2373" s="3"/>
      <c r="F2373" s="6"/>
      <c r="G2373" s="4"/>
      <c r="H2373" s="2"/>
      <c r="I2373" s="3"/>
      <c r="J2373" s="12"/>
    </row>
    <row r="2374" spans="1:10" x14ac:dyDescent="0.25">
      <c r="A2374" s="2"/>
      <c r="B2374" s="25"/>
      <c r="C2374" s="5"/>
      <c r="D2374" s="3"/>
      <c r="E2374" s="3"/>
      <c r="F2374" s="6"/>
      <c r="G2374" s="4"/>
      <c r="H2374" s="2"/>
      <c r="I2374" s="3"/>
      <c r="J2374" s="12"/>
    </row>
    <row r="2375" spans="1:10" x14ac:dyDescent="0.25">
      <c r="A2375" s="2"/>
      <c r="B2375" s="25"/>
      <c r="C2375" s="5"/>
      <c r="D2375" s="3"/>
      <c r="E2375" s="3"/>
      <c r="F2375" s="6"/>
      <c r="G2375" s="4"/>
      <c r="H2375" s="2"/>
      <c r="I2375" s="3"/>
      <c r="J2375" s="12"/>
    </row>
    <row r="2376" spans="1:10" x14ac:dyDescent="0.25">
      <c r="A2376" s="2"/>
      <c r="B2376" s="25"/>
      <c r="C2376" s="5"/>
      <c r="D2376" s="3"/>
      <c r="E2376" s="3"/>
      <c r="F2376" s="6"/>
      <c r="G2376" s="4"/>
      <c r="H2376" s="2"/>
      <c r="I2376" s="3"/>
      <c r="J2376" s="12"/>
    </row>
    <row r="2377" spans="1:10" x14ac:dyDescent="0.25">
      <c r="A2377" s="2"/>
      <c r="B2377" s="25"/>
      <c r="C2377" s="5"/>
      <c r="D2377" s="3"/>
      <c r="E2377" s="3"/>
      <c r="F2377" s="6"/>
      <c r="G2377" s="4"/>
      <c r="H2377" s="2"/>
      <c r="I2377" s="3"/>
      <c r="J2377" s="12"/>
    </row>
    <row r="2378" spans="1:10" x14ac:dyDescent="0.25">
      <c r="A2378" s="2"/>
      <c r="B2378" s="25"/>
      <c r="C2378" s="5"/>
      <c r="D2378" s="3"/>
      <c r="E2378" s="3"/>
      <c r="F2378" s="6"/>
      <c r="G2378" s="4"/>
      <c r="H2378" s="2"/>
      <c r="I2378" s="3"/>
      <c r="J2378" s="12"/>
    </row>
    <row r="2379" spans="1:10" x14ac:dyDescent="0.25">
      <c r="A2379" s="2"/>
      <c r="B2379" s="25"/>
      <c r="C2379" s="5"/>
      <c r="D2379" s="3"/>
      <c r="E2379" s="3"/>
      <c r="F2379" s="6"/>
      <c r="G2379" s="4"/>
      <c r="H2379" s="2"/>
      <c r="I2379" s="3"/>
      <c r="J2379" s="12"/>
    </row>
    <row r="2380" spans="1:10" x14ac:dyDescent="0.25">
      <c r="A2380" s="2"/>
      <c r="B2380" s="25"/>
      <c r="C2380" s="5"/>
      <c r="D2380" s="3"/>
      <c r="E2380" s="3"/>
      <c r="F2380" s="6"/>
      <c r="G2380" s="4"/>
      <c r="H2380" s="2"/>
      <c r="I2380" s="3"/>
      <c r="J2380" s="12"/>
    </row>
    <row r="2381" spans="1:10" x14ac:dyDescent="0.25">
      <c r="A2381" s="2"/>
      <c r="B2381" s="25"/>
      <c r="C2381" s="5"/>
      <c r="D2381" s="3"/>
      <c r="E2381" s="3"/>
      <c r="F2381" s="6"/>
      <c r="G2381" s="4"/>
      <c r="H2381" s="2"/>
      <c r="I2381" s="3"/>
      <c r="J2381" s="12"/>
    </row>
    <row r="2382" spans="1:10" x14ac:dyDescent="0.25">
      <c r="A2382" s="2"/>
      <c r="B2382" s="25"/>
      <c r="C2382" s="5"/>
      <c r="D2382" s="3"/>
      <c r="E2382" s="3"/>
      <c r="F2382" s="6"/>
      <c r="G2382" s="4"/>
      <c r="H2382" s="2"/>
      <c r="I2382" s="3"/>
      <c r="J2382" s="12"/>
    </row>
    <row r="2383" spans="1:10" x14ac:dyDescent="0.25">
      <c r="A2383" s="2"/>
      <c r="B2383" s="25"/>
      <c r="C2383" s="5"/>
      <c r="D2383" s="3"/>
      <c r="E2383" s="3"/>
      <c r="F2383" s="6"/>
      <c r="G2383" s="4"/>
      <c r="H2383" s="2"/>
      <c r="I2383" s="3"/>
      <c r="J2383" s="12"/>
    </row>
    <row r="2384" spans="1:10" x14ac:dyDescent="0.25">
      <c r="A2384" s="2"/>
      <c r="B2384" s="25"/>
      <c r="C2384" s="5"/>
      <c r="D2384" s="3"/>
      <c r="E2384" s="3"/>
      <c r="F2384" s="6"/>
      <c r="G2384" s="4"/>
      <c r="H2384" s="2"/>
      <c r="I2384" s="3"/>
      <c r="J2384" s="12"/>
    </row>
    <row r="2385" spans="1:10" x14ac:dyDescent="0.25">
      <c r="A2385" s="2"/>
      <c r="B2385" s="25"/>
      <c r="C2385" s="5"/>
      <c r="D2385" s="3"/>
      <c r="E2385" s="3"/>
      <c r="F2385" s="6"/>
      <c r="G2385" s="4"/>
      <c r="H2385" s="2"/>
      <c r="I2385" s="3"/>
      <c r="J2385" s="12"/>
    </row>
    <row r="2386" spans="1:10" x14ac:dyDescent="0.25">
      <c r="A2386" s="2"/>
      <c r="B2386" s="25"/>
      <c r="C2386" s="5"/>
      <c r="D2386" s="3"/>
      <c r="E2386" s="3"/>
      <c r="F2386" s="6"/>
      <c r="G2386" s="4"/>
      <c r="H2386" s="2"/>
      <c r="I2386" s="3"/>
      <c r="J2386" s="12"/>
    </row>
    <row r="2387" spans="1:10" x14ac:dyDescent="0.25">
      <c r="A2387" s="2"/>
      <c r="B2387" s="25"/>
      <c r="C2387" s="5"/>
      <c r="D2387" s="3"/>
      <c r="E2387" s="3"/>
      <c r="F2387" s="6"/>
      <c r="G2387" s="4"/>
      <c r="H2387" s="2"/>
      <c r="I2387" s="3"/>
      <c r="J2387" s="12"/>
    </row>
    <row r="2388" spans="1:10" x14ac:dyDescent="0.25">
      <c r="A2388" s="2"/>
      <c r="B2388" s="25"/>
      <c r="C2388" s="5"/>
      <c r="D2388" s="3"/>
      <c r="E2388" s="3"/>
      <c r="F2388" s="6"/>
      <c r="G2388" s="4"/>
      <c r="H2388" s="2"/>
      <c r="I2388" s="3"/>
      <c r="J2388" s="12"/>
    </row>
    <row r="2389" spans="1:10" x14ac:dyDescent="0.25">
      <c r="A2389" s="2"/>
      <c r="B2389" s="25"/>
      <c r="C2389" s="5"/>
      <c r="D2389" s="3"/>
      <c r="E2389" s="3"/>
      <c r="F2389" s="6"/>
      <c r="G2389" s="4"/>
      <c r="H2389" s="2"/>
      <c r="I2389" s="3"/>
      <c r="J2389" s="12"/>
    </row>
    <row r="2390" spans="1:10" x14ac:dyDescent="0.25">
      <c r="A2390" s="2"/>
      <c r="B2390" s="25"/>
      <c r="C2390" s="5"/>
      <c r="D2390" s="3"/>
      <c r="E2390" s="3"/>
      <c r="F2390" s="6"/>
      <c r="G2390" s="4"/>
      <c r="H2390" s="2"/>
      <c r="I2390" s="3"/>
      <c r="J2390" s="12"/>
    </row>
    <row r="2391" spans="1:10" x14ac:dyDescent="0.25">
      <c r="A2391" s="2"/>
      <c r="B2391" s="25"/>
      <c r="C2391" s="5"/>
      <c r="D2391" s="3"/>
      <c r="E2391" s="3"/>
      <c r="F2391" s="6"/>
      <c r="G2391" s="4"/>
      <c r="H2391" s="2"/>
      <c r="I2391" s="3"/>
      <c r="J2391" s="12"/>
    </row>
    <row r="2392" spans="1:10" x14ac:dyDescent="0.25">
      <c r="A2392" s="2"/>
      <c r="B2392" s="25"/>
      <c r="C2392" s="5"/>
      <c r="D2392" s="3"/>
      <c r="E2392" s="3"/>
      <c r="F2392" s="6"/>
      <c r="G2392" s="4"/>
      <c r="H2392" s="2"/>
      <c r="I2392" s="3"/>
      <c r="J2392" s="12"/>
    </row>
    <row r="2393" spans="1:10" x14ac:dyDescent="0.25">
      <c r="A2393" s="2"/>
      <c r="B2393" s="25"/>
      <c r="C2393" s="5"/>
      <c r="D2393" s="3"/>
      <c r="E2393" s="3"/>
      <c r="F2393" s="6"/>
      <c r="G2393" s="4"/>
      <c r="H2393" s="2"/>
      <c r="I2393" s="3"/>
      <c r="J2393" s="12"/>
    </row>
    <row r="2394" spans="1:10" x14ac:dyDescent="0.25">
      <c r="A2394" s="2"/>
      <c r="B2394" s="25"/>
      <c r="C2394" s="5"/>
      <c r="D2394" s="3"/>
      <c r="E2394" s="3"/>
      <c r="F2394" s="6"/>
      <c r="G2394" s="4"/>
      <c r="H2394" s="2"/>
      <c r="I2394" s="3"/>
      <c r="J2394" s="12"/>
    </row>
  </sheetData>
  <dataConsolidate/>
  <phoneticPr fontId="8" type="noConversion"/>
  <conditionalFormatting sqref="M2:P11">
    <cfRule type="cellIs" dxfId="236" priority="563" operator="lessThan">
      <formula>0</formula>
    </cfRule>
  </conditionalFormatting>
  <conditionalFormatting sqref="K2:K11">
    <cfRule type="cellIs" dxfId="235" priority="547" operator="lessThan">
      <formula>0</formula>
    </cfRule>
  </conditionalFormatting>
  <conditionalFormatting sqref="F13 F164:F996">
    <cfRule type="cellIs" dxfId="234" priority="484" operator="equal">
      <formula>$F$13</formula>
    </cfRule>
  </conditionalFormatting>
  <conditionalFormatting sqref="C2:C11">
    <cfRule type="cellIs" dxfId="233" priority="96" operator="greaterThan">
      <formula>$S2</formula>
    </cfRule>
    <cfRule type="cellIs" dxfId="232" priority="97" operator="lessThan">
      <formula>$S2</formula>
    </cfRule>
  </conditionalFormatting>
  <conditionalFormatting sqref="AI2:AM367">
    <cfRule type="containsText" dxfId="231" priority="70" operator="containsText" text="ins">
      <formula>NOT(ISERROR(SEARCH("ins",AI2)))</formula>
    </cfRule>
    <cfRule type="containsText" dxfId="230" priority="71" operator="containsText" text="esta">
      <formula>NOT(ISERROR(SEARCH("esta",AI2)))</formula>
    </cfRule>
    <cfRule type="containsText" dxfId="229" priority="72" operator="containsText" text="abai">
      <formula>NOT(ISERROR(SEARCH("abai",AI2)))</formula>
    </cfRule>
    <cfRule type="containsText" dxfId="228" priority="73" operator="containsText" text="fa">
      <formula>NOT(ISERROR(SEARCH("fa",AI2)))</formula>
    </cfRule>
    <cfRule type="containsText" dxfId="227" priority="74" operator="containsText" text="ok">
      <formula>NOT(ISERROR(SEARCH("ok",AI2)))</formula>
    </cfRule>
    <cfRule type="containsText" dxfId="226" priority="75" operator="containsText" text="aca">
      <formula>NOT(ISERROR(SEARCH("aca",AI2)))</formula>
    </cfRule>
  </conditionalFormatting>
  <conditionalFormatting sqref="AN2:AN367">
    <cfRule type="containsText" dxfId="225" priority="45" operator="containsText" text="Abaixar">
      <formula>NOT(ISERROR(SEARCH("Abaixar",AN2)))</formula>
    </cfRule>
    <cfRule type="containsText" dxfId="224" priority="46" operator="containsText" text="Cheio">
      <formula>NOT(ISERROR(SEARCH("Cheio",AN2)))</formula>
    </cfRule>
    <cfRule type="containsText" dxfId="223" priority="47" operator="containsText" text="Estabilizando">
      <formula>NOT(ISERROR(SEARCH("Estabilizando",AN2)))</formula>
    </cfRule>
    <cfRule type="containsText" dxfId="222" priority="48" operator="containsText" text="Ok">
      <formula>NOT(ISERROR(SEARCH("Ok",AN2)))</formula>
    </cfRule>
    <cfRule type="containsText" dxfId="221" priority="49" operator="containsText" text="Fazer pedido">
      <formula>NOT(ISERROR(SEARCH("Fazer pedido",AN2)))</formula>
    </cfRule>
    <cfRule type="containsText" dxfId="220" priority="50" operator="containsText" text="Alerta">
      <formula>NOT(ISERROR(SEARCH("Alerta",AN2)))</formula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1">
    <cfRule type="timePeriod" dxfId="219" priority="35" timePeriod="today">
      <formula>FLOOR(Q2,1)=TODAY()</formula>
    </cfRule>
  </conditionalFormatting>
  <conditionalFormatting sqref="R33:R37">
    <cfRule type="top10" dxfId="218" priority="2155" percent="1" rank="1"/>
  </conditionalFormatting>
  <conditionalFormatting sqref="S33:S37">
    <cfRule type="top10" dxfId="217" priority="2156" percent="1" rank="1"/>
  </conditionalFormatting>
  <conditionalFormatting sqref="T33:T37">
    <cfRule type="top10" dxfId="216" priority="2157" percent="1" rank="1"/>
  </conditionalFormatting>
  <conditionalFormatting sqref="U33:U37">
    <cfRule type="top10" dxfId="215" priority="2158" percent="1" rank="1"/>
  </conditionalFormatting>
  <conditionalFormatting sqref="Q33:Q37">
    <cfRule type="top10" dxfId="214" priority="2159" percent="1" rank="1"/>
  </conditionalFormatting>
  <conditionalFormatting sqref="P33:P37">
    <cfRule type="top10" dxfId="213" priority="2160" percent="1" rank="1"/>
  </conditionalFormatting>
  <conditionalFormatting sqref="O33:O37">
    <cfRule type="top10" dxfId="212" priority="2161" percent="1" rank="1"/>
  </conditionalFormatting>
  <conditionalFormatting sqref="N33:N37">
    <cfRule type="top10" dxfId="211" priority="2162" percent="1" rank="1"/>
  </conditionalFormatting>
  <conditionalFormatting sqref="M33:M37">
    <cfRule type="top10" dxfId="210" priority="2163" percent="1" rank="1"/>
  </conditionalFormatting>
  <conditionalFormatting sqref="L33:L37">
    <cfRule type="top10" dxfId="209" priority="2164" percent="1" rank="1"/>
  </conditionalFormatting>
  <conditionalFormatting sqref="R39:R43">
    <cfRule type="top10" dxfId="208" priority="2165" percent="1" rank="1"/>
  </conditionalFormatting>
  <conditionalFormatting sqref="S39:S43">
    <cfRule type="top10" dxfId="207" priority="2166" percent="1" rank="1"/>
  </conditionalFormatting>
  <conditionalFormatting sqref="T39:T43">
    <cfRule type="top10" dxfId="206" priority="2167" percent="1" rank="1"/>
  </conditionalFormatting>
  <conditionalFormatting sqref="U39:U43">
    <cfRule type="top10" dxfId="205" priority="2168" percent="1" rank="1"/>
  </conditionalFormatting>
  <conditionalFormatting sqref="Q39:Q43">
    <cfRule type="top10" dxfId="204" priority="2169" percent="1" rank="1"/>
  </conditionalFormatting>
  <conditionalFormatting sqref="P39:P43">
    <cfRule type="top10" dxfId="203" priority="2170" percent="1" rank="1"/>
  </conditionalFormatting>
  <conditionalFormatting sqref="O39:O43">
    <cfRule type="top10" dxfId="202" priority="2171" percent="1" rank="1"/>
  </conditionalFormatting>
  <conditionalFormatting sqref="N39:N43">
    <cfRule type="top10" dxfId="201" priority="2172" percent="1" rank="1"/>
  </conditionalFormatting>
  <conditionalFormatting sqref="M39:M43">
    <cfRule type="top10" dxfId="200" priority="2173" percent="1" rank="1"/>
  </conditionalFormatting>
  <conditionalFormatting sqref="L39:L43">
    <cfRule type="top10" dxfId="199" priority="2174" percent="1" rank="1"/>
  </conditionalFormatting>
  <conditionalFormatting sqref="R21:R25">
    <cfRule type="top10" dxfId="198" priority="2175" percent="1" rank="1"/>
  </conditionalFormatting>
  <conditionalFormatting sqref="S21:S25">
    <cfRule type="top10" dxfId="197" priority="2176" percent="1" rank="1"/>
  </conditionalFormatting>
  <conditionalFormatting sqref="T21:T25">
    <cfRule type="top10" dxfId="196" priority="2177" percent="1" rank="1"/>
  </conditionalFormatting>
  <conditionalFormatting sqref="U21:U25">
    <cfRule type="top10" dxfId="195" priority="2178" percent="1" rank="1"/>
  </conditionalFormatting>
  <conditionalFormatting sqref="Q21:Q25">
    <cfRule type="top10" dxfId="194" priority="2179" percent="1" rank="1"/>
  </conditionalFormatting>
  <conditionalFormatting sqref="AO2:AO367">
    <cfRule type="cellIs" dxfId="193" priority="33" operator="lessThan">
      <formula>0</formula>
    </cfRule>
    <cfRule type="cellIs" dxfId="192" priority="34" operator="greaterThan">
      <formula>0</formula>
    </cfRule>
  </conditionalFormatting>
  <conditionalFormatting sqref="AQ2:AQ367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367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36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367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367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367">
    <cfRule type="colorScale" priority="2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367">
    <cfRule type="colorScale" priority="2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367">
    <cfRule type="colorScale" priority="2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367">
    <cfRule type="colorScale" priority="2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67">
    <cfRule type="colorScale" priority="2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367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367">
    <cfRule type="colorScale" priority="2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367">
    <cfRule type="colorScale" priority="2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367">
    <cfRule type="colorScale" priority="2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367">
    <cfRule type="colorScale" priority="2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1">
    <cfRule type="containsText" dxfId="191" priority="2" operator="containsText" text="ins">
      <formula>NOT(ISERROR(SEARCH("ins",R2)))</formula>
    </cfRule>
    <cfRule type="containsText" dxfId="190" priority="3" operator="containsText" text="esta">
      <formula>NOT(ISERROR(SEARCH("esta",R2)))</formula>
    </cfRule>
    <cfRule type="containsText" dxfId="189" priority="4" operator="containsText" text="abai">
      <formula>NOT(ISERROR(SEARCH("abai",R2)))</formula>
    </cfRule>
    <cfRule type="containsText" dxfId="188" priority="5" operator="containsText" text="fa">
      <formula>NOT(ISERROR(SEARCH("fa",R2)))</formula>
    </cfRule>
    <cfRule type="containsText" dxfId="187" priority="6" operator="containsText" text="ok">
      <formula>NOT(ISERROR(SEARCH("ok",R2)))</formula>
    </cfRule>
    <cfRule type="containsText" dxfId="186" priority="7" operator="containsText" text="aca">
      <formula>NOT(ISERROR(SEARCH("aca",R2)))</formula>
    </cfRule>
  </conditionalFormatting>
  <dataValidations disablePrompts="1" count="1">
    <dataValidation type="list" allowBlank="1" showInputMessage="1" showErrorMessage="1" sqref="B13" xr:uid="{77BC4235-AC6B-4699-ACFA-913D7B205ABD}">
      <formula1>$A$2:$A$11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3:B11 AB2:AE2 AX2 AO2 J7 J9 J8 J11 J1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stoqueEntrada">
                <anchor moveWithCells="1" sizeWithCells="1">
                  <from>
                    <xdr:col>8</xdr:col>
                    <xdr:colOff>99060</xdr:colOff>
                    <xdr:row>11</xdr:row>
                    <xdr:rowOff>83820</xdr:rowOff>
                  </from>
                  <to>
                    <xdr:col>8</xdr:col>
                    <xdr:colOff>670560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estoqueSaída">
                <anchor moveWithCells="1" sizeWithCells="1">
                  <from>
                    <xdr:col>9</xdr:col>
                    <xdr:colOff>0</xdr:colOff>
                    <xdr:row>11</xdr:row>
                    <xdr:rowOff>99060</xdr:rowOff>
                  </from>
                  <to>
                    <xdr:col>9</xdr:col>
                    <xdr:colOff>571500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3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45" id="{F9D043B8-87A4-4352-BFC6-116393B982F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AA2:AA367</xm:sqref>
        </x14:conditionalFormatting>
        <x14:conditionalFormatting xmlns:xm="http://schemas.microsoft.com/office/excel/2006/main">
          <x14:cfRule type="iconSet" priority="2346" id="{80F7D732-3CB5-4EBC-A65C-7DB8B131EE3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AB2:AB367</xm:sqref>
        </x14:conditionalFormatting>
        <x14:conditionalFormatting xmlns:xm="http://schemas.microsoft.com/office/excel/2006/main">
          <x14:cfRule type="iconSet" priority="2347" id="{44DADC1F-7E83-42B0-A45E-015DB4469B6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AC2:AC367</xm:sqref>
        </x14:conditionalFormatting>
        <x14:conditionalFormatting xmlns:xm="http://schemas.microsoft.com/office/excel/2006/main">
          <x14:cfRule type="iconSet" priority="2348" id="{EF63CC2C-0BD5-4DFF-A017-409AD746F70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AD2:AD367</xm:sqref>
        </x14:conditionalFormatting>
        <x14:conditionalFormatting xmlns:xm="http://schemas.microsoft.com/office/excel/2006/main">
          <x14:cfRule type="iconSet" priority="2349" id="{08C72E32-31A1-41DA-87CD-599F9D64276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AE2:AE367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E0C4D36-1BEF-4AFF-AAED-8C4C2A66E543}">
          <x14:formula1>
            <xm:f>fechamento!$L$8:$L$19</xm:f>
          </x14:formula1>
          <xm:sqref>K38</xm:sqref>
        </x14:dataValidation>
        <x14:dataValidation type="list" allowBlank="1" showInputMessage="1" showErrorMessage="1" xr:uid="{C4CE2C21-C320-4878-B0B6-BA21F304D68D}">
          <x14:formula1>
            <xm:f>'contabil'!$W$2:$W$5</xm:f>
          </x14:formula1>
          <xm:sqref>A13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72E3-B5B0-4CBE-9592-460F276C3FB0}">
  <sheetPr codeName="Planilha5"/>
  <dimension ref="A1:AA235"/>
  <sheetViews>
    <sheetView showGridLines="0" topLeftCell="A6" zoomScaleNormal="100" workbookViewId="0">
      <selection activeCell="H22" sqref="H22"/>
    </sheetView>
  </sheetViews>
  <sheetFormatPr defaultRowHeight="13.8" x14ac:dyDescent="0.25"/>
  <cols>
    <col min="1" max="1" width="17.5" bestFit="1" customWidth="1"/>
    <col min="2" max="2" width="13.19921875" customWidth="1"/>
    <col min="3" max="3" width="12" customWidth="1"/>
    <col min="4" max="4" width="11.59765625" customWidth="1"/>
    <col min="5" max="5" width="12" bestFit="1" customWidth="1"/>
    <col min="6" max="6" width="14.19921875" customWidth="1"/>
    <col min="7" max="7" width="13" customWidth="1"/>
    <col min="8" max="9" width="10.8984375" customWidth="1"/>
    <col min="10" max="10" width="8.5" customWidth="1"/>
    <col min="11" max="11" width="14.5" customWidth="1"/>
    <col min="12" max="12" width="12.3984375" bestFit="1" customWidth="1"/>
    <col min="13" max="13" width="8.59765625" bestFit="1" customWidth="1"/>
    <col min="14" max="14" width="10.69921875" bestFit="1" customWidth="1"/>
    <col min="15" max="15" width="10.59765625" bestFit="1" customWidth="1"/>
    <col min="16" max="17" width="12.09765625" bestFit="1" customWidth="1"/>
    <col min="18" max="18" width="16.09765625" style="1" bestFit="1" customWidth="1"/>
    <col min="19" max="19" width="12.19921875" style="8" bestFit="1" customWidth="1"/>
    <col min="20" max="20" width="12" style="1" customWidth="1"/>
    <col min="21" max="21" width="10.296875" customWidth="1"/>
    <col min="22" max="22" width="12.5" bestFit="1" customWidth="1"/>
    <col min="23" max="24" width="11.5" bestFit="1" customWidth="1"/>
    <col min="25" max="25" width="16.3984375" bestFit="1" customWidth="1"/>
  </cols>
  <sheetData>
    <row r="1" spans="1:27" x14ac:dyDescent="0.25">
      <c r="A1" t="s">
        <v>89</v>
      </c>
      <c r="B1" t="s">
        <v>84</v>
      </c>
      <c r="C1" t="s">
        <v>5</v>
      </c>
      <c r="D1" t="s">
        <v>88</v>
      </c>
      <c r="E1" t="s">
        <v>2</v>
      </c>
      <c r="G1">
        <f>155.15+72.65</f>
        <v>227.8</v>
      </c>
      <c r="H1" s="13">
        <f ca="1">DATE(YEAR(TODAY()),MONTH(TODAY()),1)</f>
        <v>46204</v>
      </c>
      <c r="I1">
        <f ca="1">H2-H1+1</f>
        <v>31</v>
      </c>
      <c r="K1" s="166">
        <f ca="1">L5-L6</f>
        <v>-2095.659999999998</v>
      </c>
      <c r="O1" s="11">
        <f>SUM(contasMês[[contas ]])/12</f>
        <v>3758.7083333333335</v>
      </c>
      <c r="P1" s="7"/>
      <c r="T1" s="9"/>
      <c r="Y1" t="str" cm="1">
        <f t="array" aca="1" ref="Y1:AA17" ca="1">_xlfn.HSTACK(_xlfn.UNIQUE(_xlfn._xlws.FILTER(conta[descrição],conta[situação]&lt;&gt;"pago"),FALSE),SUMIFS(conta[valor],conta[descrição],_xlfn.UNIQUE(_xlfn._xlws.FILTER(conta[descrição],conta[situação]&lt;&gt;"pago"),FALSE),conta[situação],"&lt;&gt;pago"),SUMIFS(conta[valor],conta[descrição],_xlfn.UNIQUE(_xlfn._xlws.FILTER(conta[descrição],conta[situação]&lt;&gt;"pago"),FALSE),conta[situação],"&lt;&gt;pago",conta[mês],TEXT(TODAY(),"mmm")))</f>
        <v xml:space="preserve">Emprestimo Vó </v>
      </c>
      <c r="Z1">
        <f ca="1"/>
        <v>2000</v>
      </c>
      <c r="AA1">
        <f ca="1"/>
        <v>200</v>
      </c>
    </row>
    <row r="2" spans="1:27" x14ac:dyDescent="0.25">
      <c r="A2" t="s">
        <v>337</v>
      </c>
      <c r="B2" t="s">
        <v>97</v>
      </c>
      <c r="C2" s="28">
        <v>46209</v>
      </c>
      <c r="D2" s="28">
        <v>46206</v>
      </c>
      <c r="E2" s="7">
        <v>56.12</v>
      </c>
      <c r="H2" s="34">
        <f ca="1">EOMONTH(DATE(YEAR(TODAY()),MONTH(TODAY()),1),0)</f>
        <v>46234</v>
      </c>
      <c r="P2" s="7"/>
      <c r="T2" s="9"/>
      <c r="Y2" t="str">
        <f ca="1"/>
        <v>Emprestimo Vó</v>
      </c>
      <c r="Z2">
        <f ca="1"/>
        <v>1650</v>
      </c>
      <c r="AA2">
        <f ca="1"/>
        <v>150</v>
      </c>
    </row>
    <row r="3" spans="1:27" ht="27.6" x14ac:dyDescent="0.25">
      <c r="A3" s="35" t="s">
        <v>89</v>
      </c>
      <c r="B3" s="35" t="s">
        <v>84</v>
      </c>
      <c r="C3" s="35" t="s">
        <v>5</v>
      </c>
      <c r="D3" s="35" t="s">
        <v>88</v>
      </c>
      <c r="E3" s="35" t="s">
        <v>2</v>
      </c>
      <c r="F3" s="35" t="s">
        <v>6</v>
      </c>
      <c r="G3" s="35" t="s">
        <v>95</v>
      </c>
      <c r="H3" s="35" t="s">
        <v>113</v>
      </c>
      <c r="I3" s="35" t="s">
        <v>184</v>
      </c>
      <c r="J3" s="35" t="s">
        <v>185</v>
      </c>
      <c r="K3" s="35" t="s">
        <v>109</v>
      </c>
      <c r="L3" s="78" t="s">
        <v>104</v>
      </c>
      <c r="M3" s="35" t="s">
        <v>366</v>
      </c>
      <c r="N3" s="35" t="s">
        <v>367</v>
      </c>
      <c r="O3" s="35" t="s">
        <v>183</v>
      </c>
      <c r="P3" s="237" t="s">
        <v>368</v>
      </c>
      <c r="Q3" s="35" t="s">
        <v>186</v>
      </c>
      <c r="R3" s="35"/>
      <c r="S3" s="1"/>
      <c r="T3" s="8"/>
      <c r="U3" s="9"/>
      <c r="Y3" t="str">
        <f ca="1"/>
        <v xml:space="preserve">bemol Emprestimo </v>
      </c>
      <c r="Z3">
        <f ca="1"/>
        <v>1365.18</v>
      </c>
      <c r="AA3">
        <f ca="1"/>
        <v>193.2</v>
      </c>
    </row>
    <row r="4" spans="1:27" x14ac:dyDescent="0.25">
      <c r="A4" s="1" t="s">
        <v>387</v>
      </c>
      <c r="B4" s="1" t="s">
        <v>97</v>
      </c>
      <c r="C4" s="27">
        <v>46127</v>
      </c>
      <c r="D4" s="115">
        <v>46157</v>
      </c>
      <c r="E4" s="156">
        <v>200</v>
      </c>
      <c r="F4" s="1" t="str">
        <f>TEXT(conta[[#This Row],[vencimento]],"mmm")</f>
        <v>mai</v>
      </c>
      <c r="G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4" s="1"/>
      <c r="I4" s="116"/>
      <c r="J4" s="82">
        <f ca="1">IF(conta[[#This Row],[modo]]="",conta[[#This Row],[vencimento]]-TODAY(),"")</f>
        <v>-76</v>
      </c>
      <c r="K4" t="s">
        <v>8</v>
      </c>
      <c r="L4" s="26">
        <f ca="1">(L6-L5)/L6</f>
        <v>0.38337815341272868</v>
      </c>
      <c r="M4" s="194">
        <v>46023</v>
      </c>
      <c r="N4" s="194">
        <f>EOMONTH(DATE(YEAR(contasMês[[#This Row],[Inicio Mês]]),MONTH(contasMês[[#This Row],[Inicio Mês]]),1),0)</f>
        <v>46053</v>
      </c>
      <c r="O4" s="7">
        <f>SUMIFS(conta[valor],conta[vencimento],"&gt;="&amp;contasMês[[#This Row],[Inicio Mês]],conta[vencimento],"&lt;="&amp;contasMês[[#This Row],[Fim Mês]])</f>
        <v>4364.8100000000004</v>
      </c>
      <c r="P4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594.8363183474487</v>
      </c>
      <c r="Q4" s="7"/>
      <c r="R4"/>
      <c r="S4" s="1"/>
      <c r="T4" s="8"/>
      <c r="U4" s="9"/>
      <c r="Y4" t="str">
        <f ca="1"/>
        <v>bemol Emprestimo</v>
      </c>
      <c r="Z4">
        <f ca="1"/>
        <v>1916.18</v>
      </c>
      <c r="AA4">
        <f ca="1"/>
        <v>273.74</v>
      </c>
    </row>
    <row r="5" spans="1:27" x14ac:dyDescent="0.25">
      <c r="A5" s="1" t="s">
        <v>378</v>
      </c>
      <c r="B5" s="1" t="s">
        <v>97</v>
      </c>
      <c r="C5" s="27">
        <v>46106</v>
      </c>
      <c r="D5" s="115">
        <v>46166</v>
      </c>
      <c r="E5" s="156">
        <v>150</v>
      </c>
      <c r="F5" s="1" t="str">
        <f>TEXT(conta[[#This Row],[vencimento]],"mmm")</f>
        <v>mai</v>
      </c>
      <c r="G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5" s="1"/>
      <c r="I5" s="116"/>
      <c r="J5" s="82">
        <f ca="1">IF(conta[[#This Row],[modo]]="",conta[[#This Row],[vencimento]]-TODAY(),"")</f>
        <v>-67</v>
      </c>
      <c r="K5" t="s">
        <v>110</v>
      </c>
      <c r="L5" s="7">
        <f ca="1">SUMIFS(conta[valor],conta[vencimento],"&gt;="&amp;H1,conta[vencimento],"&lt;="&amp;H2,conta[situação],"&lt;&gt;pago")+SUMIFS(conta[valor],conta[vencimento],"&lt;="&amp;H1,conta[situação],"&lt;&gt;pago")</f>
        <v>3370.6400000000003</v>
      </c>
      <c r="M5" s="194">
        <v>46054</v>
      </c>
      <c r="N5" s="194">
        <f>EOMONTH(DATE(YEAR(contasMês[[#This Row],[Inicio Mês]]),MONTH(contasMês[[#This Row],[Inicio Mês]]),1),0)</f>
        <v>46081</v>
      </c>
      <c r="O5" s="7">
        <f>SUMIFS(conta[valor],conta[vencimento],"&gt;="&amp;contasMês[[#This Row],[Inicio Mês]],conta[vencimento],"&lt;="&amp;contasMês[[#This Row],[Fim Mês]])</f>
        <v>4929.66</v>
      </c>
      <c r="P5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601.12200000000018</v>
      </c>
      <c r="Q5" s="7"/>
      <c r="R5" s="11"/>
      <c r="S5" s="1"/>
      <c r="T5" s="8"/>
      <c r="U5" s="9"/>
      <c r="Y5" t="str">
        <f ca="1"/>
        <v>bemol</v>
      </c>
      <c r="Z5">
        <f ca="1"/>
        <v>133.55000000000001</v>
      </c>
      <c r="AA5">
        <f ca="1"/>
        <v>32.65</v>
      </c>
    </row>
    <row r="6" spans="1:27" x14ac:dyDescent="0.25">
      <c r="A6" s="1" t="s">
        <v>377</v>
      </c>
      <c r="B6" s="1" t="s">
        <v>97</v>
      </c>
      <c r="C6" s="27">
        <v>46106</v>
      </c>
      <c r="D6" s="115">
        <v>46166</v>
      </c>
      <c r="E6" s="156">
        <v>193.2</v>
      </c>
      <c r="F6" s="1" t="str">
        <f>TEXT(conta[[#This Row],[vencimento]],"mmm")</f>
        <v>mai</v>
      </c>
      <c r="G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6" s="1"/>
      <c r="I6" s="116"/>
      <c r="J6" s="82">
        <f ca="1">IF(conta[[#This Row],[modo]]="",conta[[#This Row],[vencimento]]-TODAY(),"")</f>
        <v>-67</v>
      </c>
      <c r="K6" t="s">
        <v>109</v>
      </c>
      <c r="L6" s="7">
        <f ca="1">SUMIFS(conta[valor],conta[mês],TEXT(TODAY(),"MMM"))</f>
        <v>5466.2999999999984</v>
      </c>
      <c r="M6" s="194">
        <v>46082</v>
      </c>
      <c r="N6" s="194">
        <f>EOMONTH(DATE(YEAR(contasMês[[#This Row],[Inicio Mês]]),MONTH(contasMês[[#This Row],[Inicio Mês]]),1),0)</f>
        <v>46112</v>
      </c>
      <c r="O6" s="7">
        <f>SUMIFS(conta[valor],conta[vencimento],"&gt;="&amp;contasMês[[#This Row],[Inicio Mês]],conta[vencimento],"&lt;="&amp;contasMês[[#This Row],[Fim Mês]])</f>
        <v>3270.17</v>
      </c>
      <c r="P6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620.53500000000008</v>
      </c>
      <c r="Q6" s="7"/>
      <c r="R6"/>
      <c r="S6" s="1"/>
      <c r="T6" s="8"/>
      <c r="U6" s="9"/>
      <c r="Y6" t="str">
        <f ca="1"/>
        <v>Bemol Microondas</v>
      </c>
      <c r="Z6">
        <f ca="1"/>
        <v>455.40000000000003</v>
      </c>
      <c r="AA6">
        <f ca="1"/>
        <v>151.80000000000001</v>
      </c>
    </row>
    <row r="7" spans="1:27" x14ac:dyDescent="0.25">
      <c r="A7" s="1" t="s">
        <v>337</v>
      </c>
      <c r="B7" s="1" t="s">
        <v>96</v>
      </c>
      <c r="C7" s="27">
        <v>46149</v>
      </c>
      <c r="D7" s="115">
        <v>46180</v>
      </c>
      <c r="E7" s="156">
        <v>273.74</v>
      </c>
      <c r="F7" s="1" t="str">
        <f>TEXT(conta[[#This Row],[vencimento]],"mmm")</f>
        <v>jun</v>
      </c>
      <c r="G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7" s="1"/>
      <c r="I7" s="116"/>
      <c r="J7" s="82">
        <f ca="1">IF(conta[[#This Row],[modo]]="",conta[[#This Row],[vencimento]]-TODAY(),"")</f>
        <v>-53</v>
      </c>
      <c r="K7" t="s">
        <v>101</v>
      </c>
      <c r="L7" s="7">
        <f ca="1">L8*(EOMONTH(DATE(YEAR(TODAY()),MONTH(TODAY()),1),0)-DATE(YEAR(TODAY()),MONTH(TODAY()),1)+1)</f>
        <v>3277.7051515151506</v>
      </c>
      <c r="M7" s="194">
        <v>46113</v>
      </c>
      <c r="N7" s="194">
        <f>EOMONTH(DATE(YEAR(contasMês[[#This Row],[Inicio Mês]]),MONTH(contasMês[[#This Row],[Inicio Mês]]),1),0)</f>
        <v>46142</v>
      </c>
      <c r="O7" s="7">
        <f>SUMIFS(conta[valor],conta[vencimento],"&gt;="&amp;contasMês[[#This Row],[Inicio Mês]],conta[vencimento],"&lt;="&amp;contasMês[[#This Row],[Fim Mês]])</f>
        <v>4054.2300000000005</v>
      </c>
      <c r="P7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649.52249999999992</v>
      </c>
      <c r="Q7" s="7"/>
      <c r="R7"/>
      <c r="S7" s="1"/>
      <c r="T7" s="8"/>
      <c r="U7" s="9"/>
      <c r="Y7" t="str">
        <f ca="1"/>
        <v>Caixa</v>
      </c>
      <c r="Z7">
        <f ca="1"/>
        <v>600</v>
      </c>
      <c r="AA7">
        <f ca="1"/>
        <v>100</v>
      </c>
    </row>
    <row r="8" spans="1:27" x14ac:dyDescent="0.25">
      <c r="A8" s="1" t="s">
        <v>387</v>
      </c>
      <c r="B8" s="1" t="s">
        <v>97</v>
      </c>
      <c r="C8" s="27">
        <v>46127</v>
      </c>
      <c r="D8" s="115">
        <v>46188</v>
      </c>
      <c r="E8" s="156">
        <v>200</v>
      </c>
      <c r="F8" s="1" t="str">
        <f>TEXT(conta[[#This Row],[vencimento]],"mmm")</f>
        <v>jun</v>
      </c>
      <c r="G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8" s="1"/>
      <c r="I8" s="116"/>
      <c r="J8" s="82">
        <f ca="1">IF(conta[[#This Row],[modo]]="",conta[[#This Row],[vencimento]]-TODAY(),"")</f>
        <v>-45</v>
      </c>
      <c r="K8" t="s">
        <v>105</v>
      </c>
      <c r="L8" s="7">
        <f ca="1">AVERAGEIFS(vendaAno[lucro],vendaAno[data],"&lt;="&amp;TODAY(),vendaAno[data],"&gt;="&amp;TODAY()-10)</f>
        <v>105.73242424242422</v>
      </c>
      <c r="M8" s="194">
        <v>46143</v>
      </c>
      <c r="N8" s="194">
        <f>EOMONTH(DATE(YEAR(contasMês[[#This Row],[Inicio Mês]]),MONTH(contasMês[[#This Row],[Inicio Mês]]),1),0)</f>
        <v>46173</v>
      </c>
      <c r="O8" s="7">
        <f>SUMIFS(conta[valor],conta[vencimento],"&gt;="&amp;contasMês[[#This Row],[Inicio Mês]],conta[vencimento],"&lt;="&amp;contasMês[[#This Row],[Fim Mês]])</f>
        <v>5120.8499999999995</v>
      </c>
      <c r="P8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567.64350000000002</v>
      </c>
      <c r="Q8" s="7"/>
      <c r="R8"/>
      <c r="S8" s="1"/>
      <c r="T8" s="8"/>
      <c r="U8" s="9"/>
      <c r="Y8" t="str">
        <f ca="1"/>
        <v>Das</v>
      </c>
      <c r="Z8">
        <f ca="1"/>
        <v>492.3</v>
      </c>
      <c r="AA8">
        <f ca="1"/>
        <v>82.05</v>
      </c>
    </row>
    <row r="9" spans="1:27" x14ac:dyDescent="0.25">
      <c r="A9" s="1" t="s">
        <v>238</v>
      </c>
      <c r="B9" s="1" t="s">
        <v>96</v>
      </c>
      <c r="C9" s="27">
        <v>46164</v>
      </c>
      <c r="D9" s="115">
        <v>46194</v>
      </c>
      <c r="E9" s="156">
        <v>68.25</v>
      </c>
      <c r="F9" s="1" t="str">
        <f>TEXT(conta[[#This Row],[vencimento]],"mmm")</f>
        <v>jun</v>
      </c>
      <c r="G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9" s="1"/>
      <c r="I9" s="116"/>
      <c r="J9" s="82">
        <f ca="1">IF(conta[[#This Row],[modo]]="",conta[[#This Row],[vencimento]]-TODAY(),"")</f>
        <v>-39</v>
      </c>
      <c r="K9" t="s">
        <v>108</v>
      </c>
      <c r="L9" s="154">
        <f ca="1">(L7-L7*15%)-L6</f>
        <v>-2680.2506212121202</v>
      </c>
      <c r="M9" s="194">
        <v>46174</v>
      </c>
      <c r="N9" s="194">
        <f>EOMONTH(DATE(YEAR(contasMês[[#This Row],[Inicio Mês]]),MONTH(contasMês[[#This Row],[Inicio Mês]]),1),0)</f>
        <v>46203</v>
      </c>
      <c r="O9" s="7">
        <f>SUMIFS(conta[valor],conta[vencimento],"&gt;="&amp;contasMês[[#This Row],[Inicio Mês]],conta[vencimento],"&lt;="&amp;contasMês[[#This Row],[Fim Mês]])</f>
        <v>5372.45</v>
      </c>
      <c r="P9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406.98900000000015</v>
      </c>
      <c r="Q9" s="7"/>
      <c r="R9" s="11"/>
      <c r="S9" s="1"/>
      <c r="T9" s="8"/>
      <c r="U9" s="9"/>
      <c r="Y9" t="str">
        <f ca="1"/>
        <v>Das Atrasado</v>
      </c>
      <c r="Z9">
        <f ca="1"/>
        <v>360</v>
      </c>
      <c r="AA9">
        <f ca="1"/>
        <v>60</v>
      </c>
    </row>
    <row r="10" spans="1:27" x14ac:dyDescent="0.25">
      <c r="A10" s="1" t="s">
        <v>378</v>
      </c>
      <c r="B10" s="1" t="s">
        <v>97</v>
      </c>
      <c r="C10" s="27">
        <v>46106</v>
      </c>
      <c r="D10" s="115">
        <v>46197</v>
      </c>
      <c r="E10" s="156">
        <v>150</v>
      </c>
      <c r="F10" s="1" t="str">
        <f>TEXT(conta[[#This Row],[vencimento]],"mmm")</f>
        <v>jun</v>
      </c>
      <c r="G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0" s="1"/>
      <c r="I10" s="116"/>
      <c r="J10" s="82">
        <f ca="1">IF(conta[[#This Row],[modo]]="",conta[[#This Row],[vencimento]]-TODAY(),"")</f>
        <v>-36</v>
      </c>
      <c r="K10" t="s">
        <v>111</v>
      </c>
      <c r="L10" s="29" t="s">
        <v>104</v>
      </c>
      <c r="M10" s="194">
        <v>46204</v>
      </c>
      <c r="N10" s="194">
        <f>EOMONTH(DATE(YEAR(contasMês[[#This Row],[Inicio Mês]]),MONTH(contasMês[[#This Row],[Inicio Mês]]),1),0)</f>
        <v>46234</v>
      </c>
      <c r="O10" s="7">
        <f>SUMIFS(conta[valor],conta[vencimento],"&gt;="&amp;contasMês[[#This Row],[Inicio Mês]],conta[vencimento],"&lt;="&amp;contasMês[[#This Row],[Fim Mês]])</f>
        <v>5466.2999999999984</v>
      </c>
      <c r="P10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527.75999999999976</v>
      </c>
      <c r="Q10" s="7"/>
      <c r="R10"/>
      <c r="S10" s="1"/>
      <c r="T10" s="8"/>
      <c r="U10" s="9"/>
      <c r="Y10" t="str">
        <f ca="1"/>
        <v>Claro</v>
      </c>
      <c r="Z10">
        <f ca="1"/>
        <v>996.95999999999992</v>
      </c>
      <c r="AA10">
        <f ca="1"/>
        <v>166.16</v>
      </c>
    </row>
    <row r="11" spans="1:27" x14ac:dyDescent="0.25">
      <c r="A11" s="1" t="s">
        <v>377</v>
      </c>
      <c r="B11" s="1" t="s">
        <v>97</v>
      </c>
      <c r="C11" s="27">
        <v>46106</v>
      </c>
      <c r="D11" s="115">
        <v>46197</v>
      </c>
      <c r="E11" s="156">
        <v>193.2</v>
      </c>
      <c r="F11" s="1" t="str">
        <f>TEXT(conta[[#This Row],[vencimento]],"mmm")</f>
        <v>jun</v>
      </c>
      <c r="G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1" s="1"/>
      <c r="I11" s="116"/>
      <c r="J11" s="82">
        <f ca="1">IF(conta[[#This Row],[modo]]="",conta[[#This Row],[vencimento]]-TODAY(),"")</f>
        <v>-36</v>
      </c>
      <c r="K11" t="s">
        <v>99</v>
      </c>
      <c r="L11" s="36">
        <f ca="1">IF(L5=0,AVERAGEIFS(vendaAno[venda],vendaAno[data],"&lt;="&amp;TODAY(),vendaAno[data],"&gt;="&amp;TODAY()-30)*7,(L5/L8)*AVERAGEIFS(vendaAno[venda],vendaAno[data],"&lt;="&amp;TODAY(),vendaAno[data],"&gt;="&amp;TODAY()-30))</f>
        <v>76.897999434871949</v>
      </c>
      <c r="M11" s="194">
        <v>46235</v>
      </c>
      <c r="N11" s="194">
        <f>EOMONTH(DATE(YEAR(contasMês[[#This Row],[Inicio Mês]]),MONTH(contasMês[[#This Row],[Inicio Mês]]),1),0)</f>
        <v>46265</v>
      </c>
      <c r="O11" s="7">
        <f>SUMIFS(conta[valor],conta[vencimento],"&gt;="&amp;contasMês[[#This Row],[Inicio Mês]],conta[vencimento],"&lt;="&amp;contasMês[[#This Row],[Fim Mês]])</f>
        <v>2658.4900000000002</v>
      </c>
      <c r="P11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504.70049999999981</v>
      </c>
      <c r="Q11" s="7"/>
      <c r="R11" s="11"/>
      <c r="S11" s="1"/>
      <c r="T11" s="8"/>
      <c r="U11" s="9"/>
      <c r="Y11" t="str">
        <f ca="1"/>
        <v>Coloboração</v>
      </c>
      <c r="Z11">
        <f ca="1"/>
        <v>3000</v>
      </c>
      <c r="AA11">
        <f ca="1"/>
        <v>500</v>
      </c>
    </row>
    <row r="12" spans="1:27" x14ac:dyDescent="0.25">
      <c r="A12" s="1" t="s">
        <v>336</v>
      </c>
      <c r="B12" s="1" t="s">
        <v>97</v>
      </c>
      <c r="C12" s="27">
        <v>46083</v>
      </c>
      <c r="D12" s="115">
        <v>46204</v>
      </c>
      <c r="E12" s="156">
        <v>32.65</v>
      </c>
      <c r="F12" s="1" t="str">
        <f>TEXT(conta[[#This Row],[vencimento]],"mmm")</f>
        <v>jul</v>
      </c>
      <c r="G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2" s="1"/>
      <c r="I12" s="116"/>
      <c r="J12" s="82">
        <f ca="1">IF(conta[[#This Row],[modo]]="",conta[[#This Row],[vencimento]]-TODAY(),"")</f>
        <v>-29</v>
      </c>
      <c r="K12" t="s">
        <v>100</v>
      </c>
      <c r="L12" s="36">
        <f ca="1">IF(L11-IFERROR((SUMIFS(estoque[quantidade],estoque[fornecedor],"&lt;&gt;saída",estoque[data],"&gt;="&amp;SMALL(estoque[data],1),estoque[data],"&lt;="&amp;TODAY())-SUMIFS(estoque[quantidade],estoque[fornecedor],"saída",estoque[data],"&gt;="&amp;SMALL(estoque[data],1),estoque[data],"&lt;="&amp;TODAY()))/12,0)&lt;0,"",L11-IFERROR((SUMIFS(estoque[quantidade],estoque[fornecedor],"&lt;&gt;saída",estoque[data],"&gt;="&amp;SMALL(estoque[data],1),estoque[data],"&lt;="&amp;TODAY())-SUMIFS(estoque[quantidade],estoque[fornecedor],"saída",estoque[data],"&gt;="&amp;SMALL(estoque[data],1),estoque[data],"&lt;="&amp;TODAY()))/12,0))</f>
        <v>49.397999434871949</v>
      </c>
      <c r="M12" s="194">
        <v>46266</v>
      </c>
      <c r="N12" s="194">
        <f>EOMONTH(DATE(YEAR(contasMês[[#This Row],[Inicio Mês]]),MONTH(contasMês[[#This Row],[Inicio Mês]]),1),0)</f>
        <v>46295</v>
      </c>
      <c r="O12" s="7">
        <f>SUMIFS(conta[valor],conta[vencimento],"&gt;="&amp;contasMês[[#This Row],[Inicio Mês]],conta[vencimento],"&lt;="&amp;contasMês[[#This Row],[Fim Mês]])</f>
        <v>2735.0699999999997</v>
      </c>
      <c r="P12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2" s="7"/>
      <c r="R12"/>
      <c r="S12" s="1"/>
      <c r="T12" s="8"/>
      <c r="U12" s="1"/>
      <c r="Y12" t="str">
        <f ca="1"/>
        <v>Netflix</v>
      </c>
      <c r="Z12">
        <f ca="1"/>
        <v>300</v>
      </c>
      <c r="AA12">
        <f ca="1"/>
        <v>0</v>
      </c>
    </row>
    <row r="13" spans="1:27" x14ac:dyDescent="0.25">
      <c r="A13" s="1" t="s">
        <v>337</v>
      </c>
      <c r="B13" s="1" t="s">
        <v>96</v>
      </c>
      <c r="C13" s="27">
        <v>46149</v>
      </c>
      <c r="D13" s="115">
        <v>46210</v>
      </c>
      <c r="E13" s="156">
        <v>273.74</v>
      </c>
      <c r="F13" s="1" t="str">
        <f>TEXT(conta[[#This Row],[vencimento]],"mmm")</f>
        <v>jul</v>
      </c>
      <c r="G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3" s="1"/>
      <c r="I13" s="116"/>
      <c r="J13" s="82">
        <f ca="1">IF(conta[[#This Row],[modo]]="",conta[[#This Row],[vencimento]]-TODAY(),"")</f>
        <v>-23</v>
      </c>
      <c r="K13" t="s">
        <v>180</v>
      </c>
      <c r="L13" s="29">
        <f ca="1">L6/(AVERAGEIFS(vendaAno[venda],vendaAno[data],"&lt;="&amp;TODAY(),vendaAno[data],"&gt;="&amp;TODAY()-30)*12*30)</f>
        <v>6.294773402674589</v>
      </c>
      <c r="M13" s="194">
        <v>46296</v>
      </c>
      <c r="N13" s="194">
        <f>EOMONTH(DATE(YEAR(contasMês[[#This Row],[Inicio Mês]]),MONTH(contasMês[[#This Row],[Inicio Mês]]),1),0)</f>
        <v>46326</v>
      </c>
      <c r="O13" s="7">
        <f>SUMIFS(conta[valor],conta[vencimento],"&gt;="&amp;contasMês[[#This Row],[Inicio Mês]],conta[vencimento],"&lt;="&amp;contasMês[[#This Row],[Fim Mês]])</f>
        <v>2570.79</v>
      </c>
      <c r="P13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3" s="7"/>
      <c r="R13"/>
      <c r="S13" s="1"/>
      <c r="T13" s="8"/>
      <c r="U13" s="1"/>
      <c r="Y13" t="str">
        <f ca="1"/>
        <v>Faculdade</v>
      </c>
      <c r="Z13">
        <f ca="1"/>
        <v>2500</v>
      </c>
      <c r="AA13">
        <f ca="1"/>
        <v>0</v>
      </c>
    </row>
    <row r="14" spans="1:27" x14ac:dyDescent="0.25">
      <c r="A14" s="1" t="s">
        <v>412</v>
      </c>
      <c r="B14" s="1" t="s">
        <v>96</v>
      </c>
      <c r="C14" s="27">
        <v>46152</v>
      </c>
      <c r="D14" s="115">
        <v>46213</v>
      </c>
      <c r="E14" s="156">
        <v>151.80000000000001</v>
      </c>
      <c r="F14" s="1" t="str">
        <f>TEXT(conta[[#This Row],[vencimento]],"mmm")</f>
        <v>jul</v>
      </c>
      <c r="G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4" s="1"/>
      <c r="I14" s="116"/>
      <c r="J14" s="82">
        <f ca="1">IF(conta[[#This Row],[modo]]="",conta[[#This Row],[vencimento]]-TODAY(),"")</f>
        <v>-20</v>
      </c>
      <c r="K14" t="s">
        <v>179</v>
      </c>
      <c r="L14" s="7">
        <f ca="1">AVERAGEIFS(vendaAno[valor de venda],vendaAno[data],"&lt;="&amp;TODAY(),vendaAno[data],"&gt;="&amp;TODAY()-30)*(L6/L8)</f>
        <v>29608.230705296675</v>
      </c>
      <c r="M14" s="194">
        <v>46327</v>
      </c>
      <c r="N14" s="194">
        <f>EOMONTH(DATE(YEAR(contasMês[[#This Row],[Inicio Mês]]),MONTH(contasMês[[#This Row],[Inicio Mês]]),1),0)</f>
        <v>46356</v>
      </c>
      <c r="O14" s="7">
        <f>SUMIFS(conta[valor],conta[vencimento],"&gt;="&amp;contasMês[[#This Row],[Inicio Mês]],conta[vencimento],"&lt;="&amp;contasMês[[#This Row],[Fim Mês]])</f>
        <v>2280.84</v>
      </c>
      <c r="P14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4" s="7"/>
      <c r="R14"/>
      <c r="S14" s="1"/>
      <c r="T14" s="8"/>
      <c r="U14" s="1"/>
      <c r="Y14" t="str">
        <f ca="1"/>
        <v>google IA</v>
      </c>
      <c r="Z14">
        <f ca="1"/>
        <v>484.95</v>
      </c>
      <c r="AA14">
        <f ca="1"/>
        <v>0</v>
      </c>
    </row>
    <row r="15" spans="1:27" x14ac:dyDescent="0.25">
      <c r="A15" s="1" t="s">
        <v>387</v>
      </c>
      <c r="B15" s="1" t="s">
        <v>97</v>
      </c>
      <c r="C15" s="27">
        <v>46127</v>
      </c>
      <c r="D15" s="115">
        <v>46218</v>
      </c>
      <c r="E15" s="156">
        <v>200</v>
      </c>
      <c r="F15" s="1" t="str">
        <f>TEXT(conta[[#This Row],[vencimento]],"mmm")</f>
        <v>jul</v>
      </c>
      <c r="G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5" s="1"/>
      <c r="I15" s="116"/>
      <c r="J15" s="82">
        <f ca="1">IF(conta[[#This Row],[modo]]="",conta[[#This Row],[vencimento]]-TODAY(),"")</f>
        <v>-15</v>
      </c>
      <c r="K15" t="s">
        <v>176</v>
      </c>
      <c r="L15" s="7">
        <f ca="1">SUMIFS(vendaAno[valor de venda],vendaAno[mês],TEXT(TODAY(),"mmm"))</f>
        <v>16302</v>
      </c>
      <c r="M15" s="194">
        <v>46357</v>
      </c>
      <c r="N15" s="194">
        <f>EOMONTH(DATE(YEAR(contasMês[[#This Row],[Inicio Mês]]),MONTH(contasMês[[#This Row],[Inicio Mês]]),1),0)</f>
        <v>46387</v>
      </c>
      <c r="O15" s="7">
        <f>SUMIFS(conta[valor],conta[vencimento],"&gt;="&amp;contasMês[[#This Row],[Inicio Mês]],conta[vencimento],"&lt;="&amp;contasMês[[#This Row],[Fim Mês]])</f>
        <v>2280.84</v>
      </c>
      <c r="P15" s="8">
        <f>IF(SUMIF(estoque[mês],TEXT(contasMês[[#This Row],[Fim Mês]],"mmm"),estoque[lucro])&lt;= 0,SUMIFS(estoque[lucro],estoque[fornecedor],"saída",estoque[data],"&gt;="&amp;contasMês[[#This Row],[Inicio Mês]]-30,estoque[data],"&lt;="&amp;contasMês[[#This Row],[Inicio Mês]])*contasMês[[#Headers],[15%]],SUMIF(estoque[mês],TEXT(contasMês[[#This Row],[Fim Mês]],"mmm"),estoque[lucro])*contasMês[[#Headers],[15%]])</f>
        <v>0</v>
      </c>
      <c r="Q15" s="7"/>
      <c r="R15"/>
      <c r="S15" s="1"/>
      <c r="T15" s="8"/>
      <c r="U15" s="1"/>
      <c r="Y15" t="str">
        <f ca="1"/>
        <v>Office</v>
      </c>
      <c r="Z15">
        <f ca="1"/>
        <v>300</v>
      </c>
      <c r="AA15">
        <f ca="1"/>
        <v>0</v>
      </c>
    </row>
    <row r="16" spans="1:27" x14ac:dyDescent="0.25">
      <c r="A16" s="1" t="s">
        <v>316</v>
      </c>
      <c r="B16" s="1" t="s">
        <v>97</v>
      </c>
      <c r="C16" s="27">
        <v>46017</v>
      </c>
      <c r="D16" s="115">
        <v>46223</v>
      </c>
      <c r="E16" s="156">
        <v>100</v>
      </c>
      <c r="F16" s="1" t="str">
        <f>TEXT(conta[[#This Row],[vencimento]],"mmm")</f>
        <v>jul</v>
      </c>
      <c r="G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6" s="1"/>
      <c r="I16" s="116"/>
      <c r="J16" s="82">
        <f ca="1">IF(conta[[#This Row],[modo]]="",conta[[#This Row],[vencimento]]-TODAY(),"")</f>
        <v>-10</v>
      </c>
      <c r="P16" s="7"/>
      <c r="Y16" t="str">
        <f ca="1"/>
        <v>Spotify</v>
      </c>
      <c r="Z16">
        <f ca="1"/>
        <v>159.5</v>
      </c>
      <c r="AA16">
        <f ca="1"/>
        <v>0</v>
      </c>
    </row>
    <row r="17" spans="1:27" x14ac:dyDescent="0.25">
      <c r="A17" s="1" t="s">
        <v>314</v>
      </c>
      <c r="B17" s="1" t="s">
        <v>97</v>
      </c>
      <c r="C17" s="27">
        <v>46012</v>
      </c>
      <c r="D17" s="115">
        <v>46223</v>
      </c>
      <c r="E17" s="156">
        <v>82.05</v>
      </c>
      <c r="F17" s="1" t="str">
        <f>TEXT(conta[[#This Row],[vencimento]],"mmm")</f>
        <v>jul</v>
      </c>
      <c r="G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7" s="1"/>
      <c r="I17" s="116"/>
      <c r="J17" s="82">
        <f ca="1">IF(conta[[#This Row],[modo]]="",conta[[#This Row],[vencimento]]-TODAY(),"")</f>
        <v>-10</v>
      </c>
      <c r="K17" t="s">
        <v>143</v>
      </c>
      <c r="L17" t="s">
        <v>125</v>
      </c>
      <c r="M17" t="s">
        <v>102</v>
      </c>
      <c r="N17" t="s">
        <v>206</v>
      </c>
      <c r="O17" t="s">
        <v>5</v>
      </c>
      <c r="P17" t="s">
        <v>125</v>
      </c>
      <c r="Q17" t="s">
        <v>255</v>
      </c>
      <c r="Y17">
        <f ca="1"/>
        <v>0</v>
      </c>
      <c r="Z17">
        <f ca="1"/>
        <v>0</v>
      </c>
      <c r="AA17">
        <f ca="1"/>
        <v>0</v>
      </c>
    </row>
    <row r="18" spans="1:27" x14ac:dyDescent="0.25">
      <c r="A18" s="1" t="s">
        <v>313</v>
      </c>
      <c r="B18" s="1" t="s">
        <v>97</v>
      </c>
      <c r="C18" s="27">
        <v>46013</v>
      </c>
      <c r="D18" s="115">
        <v>46224</v>
      </c>
      <c r="E18" s="156">
        <v>60</v>
      </c>
      <c r="F18" s="1" t="str">
        <f>TEXT(conta[[#This Row],[vencimento]],"mmm")</f>
        <v>jul</v>
      </c>
      <c r="G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8" s="1"/>
      <c r="I18" s="116"/>
      <c r="J18" s="82">
        <f ca="1">IF(conta[[#This Row],[modo]]="",conta[[#This Row],[vencimento]]-TODAY(),"")</f>
        <v>-9</v>
      </c>
      <c r="K18" s="27">
        <v>46023</v>
      </c>
      <c r="L18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1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34.135404537259255</v>
      </c>
      <c r="N18" s="166">
        <f ca="1">IFERROR(SUMIFS(conta[valor],conta[vencimento],"&gt;="&amp;ContasSemanal[[#This Row],[semana]],conta[vencimento],"&lt;="&amp;ContasSemanal[[#This Row],[semana]]+6)/(ContasSemanal[[#This Row],[venda]]*12),"")</f>
        <v>3.871127405441019</v>
      </c>
      <c r="O18" s="114">
        <f ca="1">DATE(YEAR(TODAY()),MONTH(TODAY()),1)</f>
        <v>46204</v>
      </c>
      <c r="P18" s="7">
        <f ca="1">SUMIFS(conta[valor],conta[vencimento],Tabela65[[#This Row],[data]])</f>
        <v>32.65</v>
      </c>
      <c r="Q18" s="7">
        <f ca="1">(Tabela65[[#This Row],[contas]]/COUNT($O$18:Tabela65[[#This Row],[data]]))+Q19</f>
        <v>451.13063333333332</v>
      </c>
    </row>
    <row r="19" spans="1:27" x14ac:dyDescent="0.25">
      <c r="A19" s="1" t="s">
        <v>378</v>
      </c>
      <c r="B19" s="1" t="s">
        <v>97</v>
      </c>
      <c r="C19" s="27">
        <v>46106</v>
      </c>
      <c r="D19" s="115">
        <v>46227</v>
      </c>
      <c r="E19" s="156">
        <v>150</v>
      </c>
      <c r="F19" s="1" t="str">
        <f>TEXT(conta[[#This Row],[vencimento]],"mmm")</f>
        <v>jul</v>
      </c>
      <c r="G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19" s="1"/>
      <c r="I19" s="116"/>
      <c r="J19" s="82">
        <f ca="1">IF(conta[[#This Row],[modo]]="",conta[[#This Row],[vencimento]]-TODAY(),"")</f>
        <v>-6</v>
      </c>
      <c r="K19" s="27">
        <f>K18+7</f>
        <v>46030</v>
      </c>
      <c r="L1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1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36.995815558697721</v>
      </c>
      <c r="N19" s="166">
        <f ca="1">IFERROR(SUMIFS(conta[valor],conta[vencimento],"&gt;="&amp;ContasSemanal[[#This Row],[semana]],conta[vencimento],"&lt;="&amp;ContasSemanal[[#This Row],[semana]]+6)/(ContasSemanal[[#This Row],[venda]]*12),"")</f>
        <v>2.9288672704461809</v>
      </c>
      <c r="O19" s="114">
        <f ca="1">O18+1</f>
        <v>46205</v>
      </c>
      <c r="P19" s="7">
        <f ca="1">SUMIFS(conta[valor],conta[vencimento],Tabela65[[#This Row],[data]])</f>
        <v>56.12</v>
      </c>
      <c r="Q19" s="7">
        <f ca="1">(Tabela65[[#This Row],[contas]]/COUNT($O$18:Tabela65[[#This Row],[data]]))+Q20</f>
        <v>418.48063333333334</v>
      </c>
    </row>
    <row r="20" spans="1:27" x14ac:dyDescent="0.25">
      <c r="A20" s="1" t="s">
        <v>377</v>
      </c>
      <c r="B20" s="1" t="s">
        <v>97</v>
      </c>
      <c r="C20" s="27">
        <v>46106</v>
      </c>
      <c r="D20" s="115">
        <v>46227</v>
      </c>
      <c r="E20" s="156">
        <v>193.2</v>
      </c>
      <c r="F20" s="1" t="str">
        <f>TEXT(conta[[#This Row],[vencimento]],"mmm")</f>
        <v>jul</v>
      </c>
      <c r="G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0" s="1"/>
      <c r="I20" s="116"/>
      <c r="J20" s="82">
        <f ca="1">IF(conta[[#This Row],[modo]]="",conta[[#This Row],[vencimento]]-TODAY(),"")</f>
        <v>-6</v>
      </c>
      <c r="K20" s="27">
        <f t="shared" ref="K20:K70" si="0">K19+7</f>
        <v>46037</v>
      </c>
      <c r="L20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9.3026916417440564</v>
      </c>
      <c r="N20" s="166">
        <f ca="1">IFERROR(SUMIFS(conta[valor],conta[vencimento],"&gt;="&amp;ContasSemanal[[#This Row],[semana]],conta[vencimento],"&lt;="&amp;ContasSemanal[[#This Row],[semana]]+6)/(ContasSemanal[[#This Row],[venda]]*12),"")</f>
        <v>3.705916666666667</v>
      </c>
      <c r="O20" s="114">
        <f t="shared" ref="O20:O48" ca="1" si="1">O19+1</f>
        <v>46206</v>
      </c>
      <c r="P20" s="7">
        <f ca="1">SUMIFS(conta[valor],conta[vencimento],Tabela65[[#This Row],[data]])</f>
        <v>116.12</v>
      </c>
      <c r="Q20" s="7">
        <f ca="1">(Tabela65[[#This Row],[contas]]/COUNT($O$18:Tabela65[[#This Row],[data]]))+Q21</f>
        <v>390.42063333333334</v>
      </c>
    </row>
    <row r="21" spans="1:27" x14ac:dyDescent="0.25">
      <c r="A21" s="1" t="s">
        <v>386</v>
      </c>
      <c r="B21" s="1" t="s">
        <v>97</v>
      </c>
      <c r="C21" s="27">
        <v>46198</v>
      </c>
      <c r="D21" s="115">
        <v>46228</v>
      </c>
      <c r="E21" s="156">
        <v>2685.96</v>
      </c>
      <c r="F21" s="1" t="str">
        <f>TEXT(conta[[#This Row],[vencimento]],"mmm")</f>
        <v>jul</v>
      </c>
      <c r="G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" s="1" t="s">
        <v>115</v>
      </c>
      <c r="I21" s="116">
        <v>46233</v>
      </c>
      <c r="J21" s="82" t="str">
        <f ca="1">IF(conta[[#This Row],[modo]]="",conta[[#This Row],[vencimento]]-TODAY(),"")</f>
        <v/>
      </c>
      <c r="K21" s="27">
        <f t="shared" si="0"/>
        <v>46044</v>
      </c>
      <c r="L21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7.3935642892984541</v>
      </c>
      <c r="N21" s="166">
        <f ca="1">IFERROR(SUMIFS(conta[valor],conta[vencimento],"&gt;="&amp;ContasSemanal[[#This Row],[semana]],conta[vencimento],"&lt;="&amp;ContasSemanal[[#This Row],[semana]]+6)/(ContasSemanal[[#This Row],[venda]]*12),"")</f>
        <v>4.4087892376681603</v>
      </c>
      <c r="O21" s="114">
        <f t="shared" ca="1" si="1"/>
        <v>46207</v>
      </c>
      <c r="P21" s="7">
        <f ca="1">SUMIFS(conta[valor],conta[vencimento],Tabela65[[#This Row],[data]])</f>
        <v>0</v>
      </c>
      <c r="Q21" s="7">
        <f ca="1">(Tabela65[[#This Row],[contas]]/COUNT($O$18:Tabela65[[#This Row],[data]]))+Q22</f>
        <v>351.71396666666669</v>
      </c>
    </row>
    <row r="22" spans="1:27" x14ac:dyDescent="0.25">
      <c r="A22" s="1" t="s">
        <v>317</v>
      </c>
      <c r="B22" s="1" t="s">
        <v>96</v>
      </c>
      <c r="C22" s="27">
        <v>46017</v>
      </c>
      <c r="D22" s="115">
        <v>46228</v>
      </c>
      <c r="E22" s="156">
        <v>166.16</v>
      </c>
      <c r="F22" s="1" t="str">
        <f>TEXT(conta[[#This Row],[vencimento]],"mmm")</f>
        <v>jul</v>
      </c>
      <c r="G2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2" s="1"/>
      <c r="I22" s="116"/>
      <c r="J22" s="82">
        <f ca="1">IF(conta[[#This Row],[modo]]="",conta[[#This Row],[vencimento]]-TODAY(),"")</f>
        <v>-5</v>
      </c>
      <c r="K22" s="27">
        <f t="shared" si="0"/>
        <v>46051</v>
      </c>
      <c r="L22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15.759060919655715</v>
      </c>
      <c r="N22" s="166">
        <f ca="1">IFERROR(SUMIFS(conta[valor],conta[vencimento],"&gt;="&amp;ContasSemanal[[#This Row],[semana]],conta[vencimento],"&lt;="&amp;ContasSemanal[[#This Row],[semana]]+6)/(ContasSemanal[[#This Row],[venda]]*12),"")</f>
        <v>4.1819327731092439</v>
      </c>
      <c r="O22" s="114">
        <f t="shared" ca="1" si="1"/>
        <v>46208</v>
      </c>
      <c r="P22" s="7">
        <f ca="1">SUMIFS(conta[valor],conta[vencimento],Tabela65[[#This Row],[data]])</f>
        <v>500</v>
      </c>
      <c r="Q22" s="7">
        <f ca="1">(Tabela65[[#This Row],[contas]]/COUNT($O$18:Tabela65[[#This Row],[data]]))+Q23</f>
        <v>351.71396666666669</v>
      </c>
    </row>
    <row r="23" spans="1:27" x14ac:dyDescent="0.25">
      <c r="A23" s="1" t="s">
        <v>318</v>
      </c>
      <c r="B23" s="1" t="s">
        <v>96</v>
      </c>
      <c r="C23" s="27">
        <v>46201</v>
      </c>
      <c r="D23" s="115">
        <v>46231</v>
      </c>
      <c r="E23" s="156">
        <v>500</v>
      </c>
      <c r="F23" s="1" t="str">
        <f>TEXT(conta[[#This Row],[vencimento]],"mmm")</f>
        <v>jul</v>
      </c>
      <c r="G2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vencido</v>
      </c>
      <c r="H23" s="1"/>
      <c r="I23" s="116"/>
      <c r="J23" s="82">
        <f ca="1">IF(conta[[#This Row],[modo]]="",conta[[#This Row],[vencimento]]-TODAY(),"")</f>
        <v>-2</v>
      </c>
      <c r="K23" s="27">
        <f t="shared" si="0"/>
        <v>46058</v>
      </c>
      <c r="L23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59.645760887118477</v>
      </c>
      <c r="N23" s="166">
        <f ca="1">IFERROR(SUMIFS(conta[valor],conta[vencimento],"&gt;="&amp;ContasSemanal[[#This Row],[semana]],conta[vencimento],"&lt;="&amp;ContasSemanal[[#This Row],[semana]]+6)/(ContasSemanal[[#This Row],[venda]]*12),"")</f>
        <v>4.6211442786069661</v>
      </c>
      <c r="O23" s="114">
        <f t="shared" ca="1" si="1"/>
        <v>46209</v>
      </c>
      <c r="P23" s="7">
        <f ca="1">SUMIFS(conta[valor],conta[vencimento],Tabela65[[#This Row],[data]])</f>
        <v>106.6</v>
      </c>
      <c r="Q23" s="7">
        <f ca="1">(Tabela65[[#This Row],[contas]]/COUNT($O$18:Tabela65[[#This Row],[data]]))+Q24</f>
        <v>251.71396666666669</v>
      </c>
    </row>
    <row r="24" spans="1:27" x14ac:dyDescent="0.25">
      <c r="A24" s="1" t="s">
        <v>336</v>
      </c>
      <c r="B24" s="1" t="s">
        <v>97</v>
      </c>
      <c r="C24" s="27">
        <v>46083</v>
      </c>
      <c r="D24" s="115">
        <v>46235</v>
      </c>
      <c r="E24" s="156">
        <v>32.65</v>
      </c>
      <c r="F24" s="1" t="str">
        <f>TEXT(conta[[#This Row],[vencimento]],"mmm")</f>
        <v>ago</v>
      </c>
      <c r="G2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4" s="1"/>
      <c r="I24" s="116"/>
      <c r="J24" s="82">
        <f ca="1">IF(conta[[#This Row],[modo]]="",conta[[#This Row],[vencimento]]-TODAY(),"")</f>
        <v>2</v>
      </c>
      <c r="K24" s="27">
        <f t="shared" si="0"/>
        <v>46065</v>
      </c>
      <c r="L24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15.597076441329349</v>
      </c>
      <c r="N24" s="166">
        <f ca="1">IFERROR(SUMIFS(conta[valor],conta[vencimento],"&gt;="&amp;ContasSemanal[[#This Row],[semana]],conta[vencimento],"&lt;="&amp;ContasSemanal[[#This Row],[semana]]+6)/(ContasSemanal[[#This Row],[venda]]*12),"")</f>
        <v>3.9772945205479449</v>
      </c>
      <c r="O24" s="114">
        <f t="shared" ca="1" si="1"/>
        <v>46210</v>
      </c>
      <c r="P24" s="7">
        <f ca="1">SUMIFS(conta[valor],conta[vencimento],Tabela65[[#This Row],[data]])</f>
        <v>273.74</v>
      </c>
      <c r="Q24" s="7">
        <f ca="1">(Tabela65[[#This Row],[contas]]/COUNT($O$18:Tabela65[[#This Row],[data]]))+Q25</f>
        <v>233.94730000000004</v>
      </c>
      <c r="R24" s="9"/>
    </row>
    <row r="25" spans="1:27" x14ac:dyDescent="0.25">
      <c r="A25" s="1" t="s">
        <v>315</v>
      </c>
      <c r="B25" s="1" t="s">
        <v>96</v>
      </c>
      <c r="C25" s="27">
        <v>46207</v>
      </c>
      <c r="D25" s="115">
        <v>46237</v>
      </c>
      <c r="E25" s="156">
        <v>60</v>
      </c>
      <c r="F25" s="1" t="str">
        <f>TEXT(conta[[#This Row],[vencimento]],"mmm")</f>
        <v>ago</v>
      </c>
      <c r="G2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5" s="1"/>
      <c r="I25" s="116"/>
      <c r="J25" s="82">
        <f ca="1">IF(conta[[#This Row],[modo]]="",conta[[#This Row],[vencimento]]-TODAY(),"")</f>
        <v>4</v>
      </c>
      <c r="K25" s="27">
        <f t="shared" si="0"/>
        <v>46072</v>
      </c>
      <c r="L25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7.0511014479624352</v>
      </c>
      <c r="N25" s="166">
        <f ca="1">IFERROR(SUMIFS(conta[valor],conta[vencimento],"&gt;="&amp;ContasSemanal[[#This Row],[semana]],conta[vencimento],"&lt;="&amp;ContasSemanal[[#This Row],[semana]]+6)/(ContasSemanal[[#This Row],[venda]]*12),"")</f>
        <v>4.126542056074765</v>
      </c>
      <c r="O25" s="114">
        <f t="shared" ca="1" si="1"/>
        <v>46211</v>
      </c>
      <c r="P25" s="7">
        <f ca="1">SUMIFS(conta[valor],conta[vencimento],Tabela65[[#This Row],[data]])</f>
        <v>0</v>
      </c>
      <c r="Q25" s="7">
        <f ca="1">(Tabela65[[#This Row],[contas]]/COUNT($O$18:Tabela65[[#This Row],[data]]))+Q26</f>
        <v>194.84158571428574</v>
      </c>
      <c r="R25" s="9"/>
    </row>
    <row r="26" spans="1:27" x14ac:dyDescent="0.25">
      <c r="A26" s="1" t="s">
        <v>330</v>
      </c>
      <c r="B26" s="1" t="s">
        <v>96</v>
      </c>
      <c r="C26" s="27">
        <v>46027</v>
      </c>
      <c r="D26" s="115">
        <v>46239</v>
      </c>
      <c r="E26" s="156">
        <v>500</v>
      </c>
      <c r="F26" s="1" t="str">
        <f>TEXT(conta[[#This Row],[vencimento]],"mmm")</f>
        <v>ago</v>
      </c>
      <c r="G2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6" s="1"/>
      <c r="I26" s="116"/>
      <c r="J26" s="82">
        <f ca="1">IF(conta[[#This Row],[modo]]="",conta[[#This Row],[vencimento]]-TODAY(),"")</f>
        <v>6</v>
      </c>
      <c r="K26" s="27">
        <f t="shared" si="0"/>
        <v>46079</v>
      </c>
      <c r="L26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24.210244416094607</v>
      </c>
      <c r="N26" s="166">
        <f ca="1">IFERROR(SUMIFS(conta[valor],conta[vencimento],"&gt;="&amp;ContasSemanal[[#This Row],[semana]],conta[vencimento],"&lt;="&amp;ContasSemanal[[#This Row],[semana]]+6)/(ContasSemanal[[#This Row],[venda]]*12),"")</f>
        <v>3.578478260869566</v>
      </c>
      <c r="O26" s="114">
        <f t="shared" ca="1" si="1"/>
        <v>46212</v>
      </c>
      <c r="P26" s="7">
        <f ca="1">SUMIFS(conta[valor],conta[vencimento],Tabela65[[#This Row],[data]])</f>
        <v>0</v>
      </c>
      <c r="Q26" s="7">
        <f ca="1">(Tabela65[[#This Row],[contas]]/COUNT($O$18:Tabela65[[#This Row],[data]]))+Q27</f>
        <v>194.84158571428574</v>
      </c>
      <c r="R26" s="9"/>
    </row>
    <row r="27" spans="1:27" x14ac:dyDescent="0.25">
      <c r="A27" s="1" t="s">
        <v>421</v>
      </c>
      <c r="B27" s="1" t="s">
        <v>97</v>
      </c>
      <c r="C27" s="27">
        <v>46209</v>
      </c>
      <c r="D27" s="115">
        <v>46240</v>
      </c>
      <c r="E27" s="156">
        <v>96.99</v>
      </c>
      <c r="F27" s="1" t="str">
        <f>TEXT(conta[[#This Row],[vencimento]],"mmm")</f>
        <v>ago</v>
      </c>
      <c r="G2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7" s="1"/>
      <c r="I27" s="116"/>
      <c r="J27" s="82">
        <f ca="1">IF(conta[[#This Row],[modo]]="",conta[[#This Row],[vencimento]]-TODAY(),"")</f>
        <v>7</v>
      </c>
      <c r="K27" s="27">
        <f t="shared" si="0"/>
        <v>46086</v>
      </c>
      <c r="L27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36.786023605129735</v>
      </c>
      <c r="N27" s="166">
        <f ca="1">IFERROR(SUMIFS(conta[valor],conta[vencimento],"&gt;="&amp;ContasSemanal[[#This Row],[semana]],conta[vencimento],"&lt;="&amp;ContasSemanal[[#This Row],[semana]]+6)/(ContasSemanal[[#This Row],[venda]]*12),"")</f>
        <v>3.9222097378277145</v>
      </c>
      <c r="O27" s="114">
        <f t="shared" ca="1" si="1"/>
        <v>46213</v>
      </c>
      <c r="P27" s="7">
        <f ca="1">SUMIFS(conta[valor],conta[vencimento],Tabela65[[#This Row],[data]])</f>
        <v>211.8</v>
      </c>
      <c r="Q27" s="7">
        <f ca="1">(Tabela65[[#This Row],[contas]]/COUNT($O$18:Tabela65[[#This Row],[data]]))+Q28</f>
        <v>194.84158571428574</v>
      </c>
      <c r="R27" s="9"/>
    </row>
    <row r="28" spans="1:27" x14ac:dyDescent="0.25">
      <c r="A28" s="1" t="s">
        <v>337</v>
      </c>
      <c r="B28" s="1" t="s">
        <v>96</v>
      </c>
      <c r="C28" s="27">
        <v>46149</v>
      </c>
      <c r="D28" s="115">
        <v>46241</v>
      </c>
      <c r="E28" s="156">
        <v>273.74</v>
      </c>
      <c r="F28" s="1" t="str">
        <f>TEXT(conta[[#This Row],[vencimento]],"mmm")</f>
        <v>ago</v>
      </c>
      <c r="G2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8" s="1"/>
      <c r="I28" s="116"/>
      <c r="J28" s="82">
        <f ca="1">IF(conta[[#This Row],[modo]]="",conta[[#This Row],[vencimento]]-TODAY(),"")</f>
        <v>8</v>
      </c>
      <c r="K28" s="27">
        <f t="shared" si="0"/>
        <v>46093</v>
      </c>
      <c r="L28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6.4395146046503902</v>
      </c>
      <c r="N28" s="166">
        <f ca="1">IFERROR(SUMIFS(conta[valor],conta[vencimento],"&gt;="&amp;ContasSemanal[[#This Row],[semana]],conta[vencimento],"&lt;="&amp;ContasSemanal[[#This Row],[semana]]+6)/(ContasSemanal[[#This Row],[venda]]*12),"")</f>
        <v>3.2353629032258069</v>
      </c>
      <c r="O28" s="114">
        <f t="shared" ca="1" si="1"/>
        <v>46214</v>
      </c>
      <c r="P28" s="7">
        <f ca="1">SUMIFS(conta[valor],conta[vencimento],Tabela65[[#This Row],[data]])</f>
        <v>0</v>
      </c>
      <c r="Q28" s="7">
        <f ca="1">(Tabela65[[#This Row],[contas]]/COUNT($O$18:Tabela65[[#This Row],[data]]))+Q29</f>
        <v>173.66158571428574</v>
      </c>
      <c r="R28" s="9"/>
    </row>
    <row r="29" spans="1:27" x14ac:dyDescent="0.25">
      <c r="A29" s="1" t="s">
        <v>412</v>
      </c>
      <c r="B29" s="1" t="s">
        <v>96</v>
      </c>
      <c r="C29" s="27">
        <v>46152</v>
      </c>
      <c r="D29" s="115">
        <v>46244</v>
      </c>
      <c r="E29" s="156">
        <v>151.80000000000001</v>
      </c>
      <c r="F29" s="1" t="str">
        <f>TEXT(conta[[#This Row],[vencimento]],"mmm")</f>
        <v>ago</v>
      </c>
      <c r="G2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29" s="1"/>
      <c r="I29" s="116"/>
      <c r="J29" s="82">
        <f ca="1">IF(conta[[#This Row],[modo]]="",conta[[#This Row],[vencimento]]-TODAY(),"")</f>
        <v>11</v>
      </c>
      <c r="K29" s="27">
        <f t="shared" si="0"/>
        <v>46100</v>
      </c>
      <c r="L2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2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17.818279777857597</v>
      </c>
      <c r="N29" s="166">
        <f ca="1">IFERROR(SUMIFS(conta[valor],conta[vencimento],"&gt;="&amp;ContasSemanal[[#This Row],[semana]],conta[vencimento],"&lt;="&amp;ContasSemanal[[#This Row],[semana]]+6)/(ContasSemanal[[#This Row],[venda]]*12),"")</f>
        <v>2.6226811594202895</v>
      </c>
      <c r="O29" s="114">
        <f t="shared" ca="1" si="1"/>
        <v>46215</v>
      </c>
      <c r="P29" s="7">
        <f ca="1">SUMIFS(conta[valor],conta[vencimento],Tabela65[[#This Row],[data]])</f>
        <v>0</v>
      </c>
      <c r="Q29" s="7">
        <f ca="1">(Tabela65[[#This Row],[contas]]/COUNT($O$18:Tabela65[[#This Row],[data]]))+Q30</f>
        <v>173.66158571428574</v>
      </c>
      <c r="R29" s="9"/>
    </row>
    <row r="30" spans="1:27" x14ac:dyDescent="0.25">
      <c r="A30" s="1" t="s">
        <v>312</v>
      </c>
      <c r="B30" s="1" t="s">
        <v>97</v>
      </c>
      <c r="C30" s="27">
        <v>46002</v>
      </c>
      <c r="D30" s="115">
        <v>46244</v>
      </c>
      <c r="E30" s="156">
        <v>60</v>
      </c>
      <c r="F30" s="1" t="str">
        <f>TEXT(conta[[#This Row],[vencimento]],"mmm")</f>
        <v>ago</v>
      </c>
      <c r="G3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0" s="1"/>
      <c r="I30" s="116"/>
      <c r="J30" s="82">
        <f ca="1">IF(conta[[#This Row],[modo]]="",conta[[#This Row],[vencimento]]-TODAY(),"")</f>
        <v>11</v>
      </c>
      <c r="K30" s="27">
        <f t="shared" si="0"/>
        <v>46107</v>
      </c>
      <c r="L30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9.0760376021635203</v>
      </c>
      <c r="N30" s="166">
        <f ca="1">IFERROR(SUMIFS(conta[valor],conta[vencimento],"&gt;="&amp;ContasSemanal[[#This Row],[semana]],conta[vencimento],"&lt;="&amp;ContasSemanal[[#This Row],[semana]]+6)/(ContasSemanal[[#This Row],[venda]]*12),"")</f>
        <v>3.5160350877192985</v>
      </c>
      <c r="O30" s="114">
        <f t="shared" ca="1" si="1"/>
        <v>46216</v>
      </c>
      <c r="P30" s="7">
        <f ca="1">SUMIFS(conta[valor],conta[vencimento],Tabela65[[#This Row],[data]])</f>
        <v>0</v>
      </c>
      <c r="Q30" s="7">
        <f ca="1">(Tabela65[[#This Row],[contas]]/COUNT($O$18:Tabela65[[#This Row],[data]]))+Q31</f>
        <v>173.66158571428574</v>
      </c>
      <c r="R30" s="9"/>
    </row>
    <row r="31" spans="1:27" x14ac:dyDescent="0.25">
      <c r="A31" s="1" t="s">
        <v>387</v>
      </c>
      <c r="B31" s="1" t="s">
        <v>97</v>
      </c>
      <c r="C31" s="27">
        <v>46127</v>
      </c>
      <c r="D31" s="115">
        <v>46249</v>
      </c>
      <c r="E31" s="156">
        <v>200</v>
      </c>
      <c r="F31" s="1" t="str">
        <f>TEXT(conta[[#This Row],[vencimento]],"mmm")</f>
        <v>ago</v>
      </c>
      <c r="G3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1" s="1"/>
      <c r="I31" s="116"/>
      <c r="J31" s="82">
        <f ca="1">IF(conta[[#This Row],[modo]]="",conta[[#This Row],[vencimento]]-TODAY(),"")</f>
        <v>16</v>
      </c>
      <c r="K31" s="27">
        <f t="shared" si="0"/>
        <v>46114</v>
      </c>
      <c r="L31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39.235037424172781</v>
      </c>
      <c r="N31" s="166">
        <f ca="1">IFERROR(SUMIFS(conta[valor],conta[vencimento],"&gt;="&amp;ContasSemanal[[#This Row],[semana]],conta[vencimento],"&lt;="&amp;ContasSemanal[[#This Row],[semana]]+6)/(ContasSemanal[[#This Row],[venda]]*12),"")</f>
        <v>4.2876642335766428</v>
      </c>
      <c r="O31" s="114">
        <f t="shared" ca="1" si="1"/>
        <v>46217</v>
      </c>
      <c r="P31" s="7">
        <f ca="1">SUMIFS(conta[valor],conta[vencimento],Tabela65[[#This Row],[data]])</f>
        <v>0</v>
      </c>
      <c r="Q31" s="7">
        <f ca="1">(Tabela65[[#This Row],[contas]]/COUNT($O$18:Tabela65[[#This Row],[data]]))+Q32</f>
        <v>173.66158571428574</v>
      </c>
      <c r="R31" s="9"/>
    </row>
    <row r="32" spans="1:27" x14ac:dyDescent="0.25">
      <c r="A32" s="1" t="s">
        <v>320</v>
      </c>
      <c r="B32" s="1" t="s">
        <v>96</v>
      </c>
      <c r="C32" s="27">
        <v>46007</v>
      </c>
      <c r="D32" s="115">
        <v>46249</v>
      </c>
      <c r="E32" s="156">
        <v>31.9</v>
      </c>
      <c r="F32" s="1" t="str">
        <f>TEXT(conta[[#This Row],[vencimento]],"mmm")</f>
        <v>ago</v>
      </c>
      <c r="G3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2" s="1"/>
      <c r="I32" s="116"/>
      <c r="J32" s="82">
        <f ca="1">IF(conta[[#This Row],[modo]]="",conta[[#This Row],[vencimento]]-TODAY(),"")</f>
        <v>16</v>
      </c>
      <c r="K32" s="27">
        <f t="shared" si="0"/>
        <v>46121</v>
      </c>
      <c r="L32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4.8768084868097246</v>
      </c>
      <c r="N32" s="166">
        <f ca="1">IFERROR(SUMIFS(conta[valor],conta[vencimento],"&gt;="&amp;ContasSemanal[[#This Row],[semana]],conta[vencimento],"&lt;="&amp;ContasSemanal[[#This Row],[semana]]+6)/(ContasSemanal[[#This Row],[venda]]*12),"")</f>
        <v>5.0717937219730942</v>
      </c>
      <c r="O32" s="114">
        <f t="shared" ca="1" si="1"/>
        <v>46218</v>
      </c>
      <c r="P32" s="7">
        <f ca="1">SUMIFS(conta[valor],conta[vencimento],Tabela65[[#This Row],[data]])</f>
        <v>231.9</v>
      </c>
      <c r="Q32" s="7">
        <f ca="1">(Tabela65[[#This Row],[contas]]/COUNT($O$18:Tabela65[[#This Row],[data]]))+Q33</f>
        <v>173.66158571428574</v>
      </c>
      <c r="R32" s="9"/>
    </row>
    <row r="33" spans="1:18" x14ac:dyDescent="0.25">
      <c r="A33" s="1" t="s">
        <v>316</v>
      </c>
      <c r="B33" s="1" t="s">
        <v>97</v>
      </c>
      <c r="C33" s="27">
        <v>46017</v>
      </c>
      <c r="D33" s="115">
        <v>46254</v>
      </c>
      <c r="E33" s="156">
        <v>100</v>
      </c>
      <c r="F33" s="1" t="str">
        <f>TEXT(conta[[#This Row],[vencimento]],"mmm")</f>
        <v>ago</v>
      </c>
      <c r="G3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3" s="1"/>
      <c r="I33" s="116"/>
      <c r="J33" s="82">
        <f ca="1">IF(conta[[#This Row],[modo]]="",conta[[#This Row],[vencimento]]-TODAY(),"")</f>
        <v>21</v>
      </c>
      <c r="K33" s="27">
        <f t="shared" si="0"/>
        <v>46128</v>
      </c>
      <c r="L33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6.0657236694782428</v>
      </c>
      <c r="N33" s="166">
        <f ca="1">IFERROR(SUMIFS(conta[valor],conta[vencimento],"&gt;="&amp;ContasSemanal[[#This Row],[semana]],conta[vencimento],"&lt;="&amp;ContasSemanal[[#This Row],[semana]]+6)/(ContasSemanal[[#This Row],[venda]]*12),"")</f>
        <v>4.4656666666666656</v>
      </c>
      <c r="O33" s="114">
        <f t="shared" ca="1" si="1"/>
        <v>46219</v>
      </c>
      <c r="P33" s="7">
        <f ca="1">SUMIFS(conta[valor],conta[vencimento],Tabela65[[#This Row],[data]])</f>
        <v>0</v>
      </c>
      <c r="Q33" s="7">
        <f ca="1">(Tabela65[[#This Row],[contas]]/COUNT($O$18:Tabela65[[#This Row],[data]]))+Q34</f>
        <v>158.20158571428573</v>
      </c>
      <c r="R33" s="9"/>
    </row>
    <row r="34" spans="1:18" x14ac:dyDescent="0.25">
      <c r="A34" s="1" t="s">
        <v>314</v>
      </c>
      <c r="B34" s="1" t="s">
        <v>97</v>
      </c>
      <c r="C34" s="27">
        <v>46012</v>
      </c>
      <c r="D34" s="115">
        <v>46254</v>
      </c>
      <c r="E34" s="156">
        <v>82.05</v>
      </c>
      <c r="F34" s="1" t="str">
        <f>TEXT(conta[[#This Row],[vencimento]],"mmm")</f>
        <v>ago</v>
      </c>
      <c r="G3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4" s="1"/>
      <c r="I34" s="116"/>
      <c r="J34" s="82">
        <f ca="1">IF(conta[[#This Row],[modo]]="",conta[[#This Row],[vencimento]]-TODAY(),"")</f>
        <v>21</v>
      </c>
      <c r="K34" s="27">
        <f t="shared" si="0"/>
        <v>46135</v>
      </c>
      <c r="L34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23.257641796329857</v>
      </c>
      <c r="N34" s="166">
        <f ca="1">IFERROR(SUMIFS(conta[valor],conta[vencimento],"&gt;="&amp;ContasSemanal[[#This Row],[semana]],conta[vencimento],"&lt;="&amp;ContasSemanal[[#This Row],[semana]]+6)/(ContasSemanal[[#This Row],[venda]]*12),"")</f>
        <v>4.0513924050632912</v>
      </c>
      <c r="O34" s="114">
        <f t="shared" ca="1" si="1"/>
        <v>46220</v>
      </c>
      <c r="P34" s="7">
        <f ca="1">SUMIFS(conta[valor],conta[vencimento],Tabela65[[#This Row],[data]])</f>
        <v>0</v>
      </c>
      <c r="Q34" s="7">
        <f ca="1">(Tabela65[[#This Row],[contas]]/COUNT($O$18:Tabela65[[#This Row],[data]]))+Q35</f>
        <v>158.20158571428573</v>
      </c>
      <c r="R34" s="9"/>
    </row>
    <row r="35" spans="1:18" x14ac:dyDescent="0.25">
      <c r="A35" s="1" t="s">
        <v>313</v>
      </c>
      <c r="B35" s="1" t="s">
        <v>97</v>
      </c>
      <c r="C35" s="27">
        <v>46013</v>
      </c>
      <c r="D35" s="115">
        <v>46255</v>
      </c>
      <c r="E35" s="156">
        <v>60</v>
      </c>
      <c r="F35" s="1" t="str">
        <f>TEXT(conta[[#This Row],[vencimento]],"mmm")</f>
        <v>ago</v>
      </c>
      <c r="G3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5" s="1"/>
      <c r="I35" s="116"/>
      <c r="J35" s="82">
        <f ca="1">IF(conta[[#This Row],[modo]]="",conta[[#This Row],[vencimento]]-TODAY(),"")</f>
        <v>22</v>
      </c>
      <c r="K35" s="27">
        <f t="shared" si="0"/>
        <v>46142</v>
      </c>
      <c r="L35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14.79820283399255</v>
      </c>
      <c r="N35" s="166">
        <f ca="1">IFERROR(SUMIFS(conta[valor],conta[vencimento],"&gt;="&amp;ContasSemanal[[#This Row],[semana]],conta[vencimento],"&lt;="&amp;ContasSemanal[[#This Row],[semana]]+6)/(ContasSemanal[[#This Row],[venda]]*12),"")</f>
        <v>4.3401666666666667</v>
      </c>
      <c r="O35" s="114">
        <f t="shared" ca="1" si="1"/>
        <v>46221</v>
      </c>
      <c r="P35" s="7">
        <f ca="1">SUMIFS(conta[valor],conta[vencimento],Tabela65[[#This Row],[data]])</f>
        <v>0</v>
      </c>
      <c r="Q35" s="7">
        <f ca="1">(Tabela65[[#This Row],[contas]]/COUNT($O$18:Tabela65[[#This Row],[data]]))+Q36</f>
        <v>158.20158571428573</v>
      </c>
      <c r="R35" s="9"/>
    </row>
    <row r="36" spans="1:18" x14ac:dyDescent="0.25">
      <c r="A36" s="1" t="s">
        <v>378</v>
      </c>
      <c r="B36" s="1" t="s">
        <v>97</v>
      </c>
      <c r="C36" s="27">
        <v>46106</v>
      </c>
      <c r="D36" s="115">
        <v>46258</v>
      </c>
      <c r="E36" s="156">
        <v>150</v>
      </c>
      <c r="F36" s="1" t="str">
        <f>TEXT(conta[[#This Row],[vencimento]],"mmm")</f>
        <v>ago</v>
      </c>
      <c r="G3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6" s="1"/>
      <c r="I36" s="116"/>
      <c r="J36" s="82">
        <f ca="1">IF(conta[[#This Row],[modo]]="",conta[[#This Row],[vencimento]]-TODAY(),"")</f>
        <v>25</v>
      </c>
      <c r="K36" s="27">
        <f t="shared" si="0"/>
        <v>46149</v>
      </c>
      <c r="L36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4.1774783147459722</v>
      </c>
      <c r="N36" s="166">
        <f ca="1">IFERROR(SUMIFS(conta[valor],conta[vencimento],"&gt;="&amp;ContasSemanal[[#This Row],[semana]],conta[vencimento],"&lt;="&amp;ContasSemanal[[#This Row],[semana]]+6)/(ContasSemanal[[#This Row],[venda]]*12),"")</f>
        <v>4.1384615384615389</v>
      </c>
      <c r="O36" s="114">
        <f t="shared" ca="1" si="1"/>
        <v>46222</v>
      </c>
      <c r="P36" s="7">
        <f ca="1">SUMIFS(conta[valor],conta[vencimento],Tabela65[[#This Row],[data]])</f>
        <v>0</v>
      </c>
      <c r="Q36" s="7">
        <f ca="1">(Tabela65[[#This Row],[contas]]/COUNT($O$18:Tabela65[[#This Row],[data]]))+Q37</f>
        <v>158.20158571428573</v>
      </c>
      <c r="R36" s="9"/>
    </row>
    <row r="37" spans="1:18" x14ac:dyDescent="0.25">
      <c r="A37" s="1" t="s">
        <v>377</v>
      </c>
      <c r="B37" s="1" t="s">
        <v>97</v>
      </c>
      <c r="C37" s="27">
        <v>46106</v>
      </c>
      <c r="D37" s="115">
        <v>46258</v>
      </c>
      <c r="E37" s="156">
        <v>193.2</v>
      </c>
      <c r="F37" s="1" t="str">
        <f>TEXT(conta[[#This Row],[vencimento]],"mmm")</f>
        <v>ago</v>
      </c>
      <c r="G3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7" s="1"/>
      <c r="I37" s="116"/>
      <c r="J37" s="82">
        <f ca="1">IF(conta[[#This Row],[modo]]="",conta[[#This Row],[vencimento]]-TODAY(),"")</f>
        <v>25</v>
      </c>
      <c r="K37" s="27">
        <f t="shared" si="0"/>
        <v>46156</v>
      </c>
      <c r="L3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199.99999999999997</v>
      </c>
      <c r="M3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5.9864005776745763</v>
      </c>
      <c r="N37" s="166">
        <f ca="1">IFERROR(SUMIFS(conta[valor],conta[vencimento],"&gt;="&amp;ContasSemanal[[#This Row],[semana]],conta[vencimento],"&lt;="&amp;ContasSemanal[[#This Row],[semana]]+6)/(ContasSemanal[[#This Row],[venda]]*12),"")</f>
        <v>4.4420125786163522</v>
      </c>
      <c r="O37" s="114">
        <f t="shared" ca="1" si="1"/>
        <v>46223</v>
      </c>
      <c r="P37" s="7">
        <f ca="1">SUMIFS(conta[valor],conta[vencimento],Tabela65[[#This Row],[data]])</f>
        <v>182.05</v>
      </c>
      <c r="Q37" s="7">
        <f ca="1">(Tabela65[[#This Row],[contas]]/COUNT($O$18:Tabela65[[#This Row],[data]]))+Q38</f>
        <v>158.20158571428573</v>
      </c>
      <c r="R37" s="9"/>
    </row>
    <row r="38" spans="1:18" x14ac:dyDescent="0.25">
      <c r="A38" s="1" t="s">
        <v>317</v>
      </c>
      <c r="B38" s="1" t="s">
        <v>96</v>
      </c>
      <c r="C38" s="27">
        <v>46017</v>
      </c>
      <c r="D38" s="115">
        <v>46259</v>
      </c>
      <c r="E38" s="156">
        <v>166.16</v>
      </c>
      <c r="F38" s="1" t="str">
        <f>TEXT(conta[[#This Row],[vencimento]],"mmm")</f>
        <v>ago</v>
      </c>
      <c r="G3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8" s="1"/>
      <c r="I38" s="116"/>
      <c r="J38" s="82">
        <f ca="1">IF(conta[[#This Row],[modo]]="",conta[[#This Row],[vencimento]]-TODAY(),"")</f>
        <v>26</v>
      </c>
      <c r="K38" s="27">
        <f t="shared" si="0"/>
        <v>46163</v>
      </c>
      <c r="L3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343.20000000000027</v>
      </c>
      <c r="M3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59.231116398701431</v>
      </c>
      <c r="N38" s="166">
        <f ca="1">IFERROR(SUMIFS(conta[valor],conta[vencimento],"&gt;="&amp;ContasSemanal[[#This Row],[semana]],conta[vencimento],"&lt;="&amp;ContasSemanal[[#This Row],[semana]]+6)/(ContasSemanal[[#This Row],[venda]]*12),"")</f>
        <v>4.675990990990992</v>
      </c>
      <c r="O38" s="114">
        <f t="shared" ca="1" si="1"/>
        <v>46224</v>
      </c>
      <c r="P38" s="7">
        <f ca="1">SUMIFS(conta[valor],conta[vencimento],Tabela65[[#This Row],[data]])</f>
        <v>60</v>
      </c>
      <c r="Q38" s="7">
        <f ca="1">(Tabela65[[#This Row],[contas]]/COUNT($O$18:Tabela65[[#This Row],[data]]))+Q39</f>
        <v>149.09908571428574</v>
      </c>
      <c r="R38" s="9"/>
    </row>
    <row r="39" spans="1:18" x14ac:dyDescent="0.25">
      <c r="A39" s="1" t="s">
        <v>318</v>
      </c>
      <c r="B39" s="1" t="s">
        <v>96</v>
      </c>
      <c r="C39" s="27">
        <v>46232</v>
      </c>
      <c r="D39" s="115">
        <v>46262</v>
      </c>
      <c r="E39" s="156">
        <v>500</v>
      </c>
      <c r="F39" s="1" t="str">
        <f>TEXT(conta[[#This Row],[vencimento]],"mmm")</f>
        <v>ago</v>
      </c>
      <c r="G3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 vencer</v>
      </c>
      <c r="H39" s="1"/>
      <c r="I39" s="116"/>
      <c r="J39" s="82">
        <f ca="1">IF(conta[[#This Row],[modo]]="",conta[[#This Row],[vencimento]]-TODAY(),"")</f>
        <v>29</v>
      </c>
      <c r="K39" s="27">
        <f t="shared" si="0"/>
        <v>46170</v>
      </c>
      <c r="L39" s="7" t="str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3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22.770540681281272</v>
      </c>
      <c r="N39" s="166">
        <f ca="1">IFERROR(SUMIFS(conta[valor],conta[vencimento],"&gt;="&amp;ContasSemanal[[#This Row],[semana]],conta[vencimento],"&lt;="&amp;ContasSemanal[[#This Row],[semana]]+6)/(ContasSemanal[[#This Row],[venda]]*12),"")</f>
        <v>4.2103743315508035</v>
      </c>
      <c r="O39" s="114">
        <f t="shared" ca="1" si="1"/>
        <v>46225</v>
      </c>
      <c r="P39" s="7">
        <f ca="1">SUMIFS(conta[valor],conta[vencimento],Tabela65[[#This Row],[data]])</f>
        <v>0</v>
      </c>
      <c r="Q39" s="7">
        <f ca="1">(Tabela65[[#This Row],[contas]]/COUNT($O$18:Tabela65[[#This Row],[data]]))+Q40</f>
        <v>146.24194285714287</v>
      </c>
      <c r="R39" s="9"/>
    </row>
    <row r="40" spans="1:18" x14ac:dyDescent="0.25">
      <c r="A40" s="1" t="s">
        <v>315</v>
      </c>
      <c r="B40" s="1" t="s">
        <v>96</v>
      </c>
      <c r="C40" s="27">
        <v>46238</v>
      </c>
      <c r="D40" s="115">
        <v>46268</v>
      </c>
      <c r="E40" s="156">
        <v>60</v>
      </c>
      <c r="F40" s="1" t="str">
        <f>TEXT(conta[[#This Row],[vencimento]],"mmm")</f>
        <v>set</v>
      </c>
      <c r="G4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0" s="1"/>
      <c r="I40" s="116"/>
      <c r="J40" s="82">
        <f ca="1">IF(conta[[#This Row],[modo]]="",conta[[#This Row],[vencimento]]-TODAY(),"")</f>
        <v>35</v>
      </c>
      <c r="K40" s="27">
        <f t="shared" si="0"/>
        <v>46177</v>
      </c>
      <c r="L4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273.74</v>
      </c>
      <c r="M4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15.293358767247085</v>
      </c>
      <c r="N40" s="166">
        <f ca="1">IFERROR(SUMIFS(conta[valor],conta[vencimento],"&gt;="&amp;ContasSemanal[[#This Row],[semana]],conta[vencimento],"&lt;="&amp;ContasSemanal[[#This Row],[semana]]+6)/(ContasSemanal[[#This Row],[venda]]*12),"")</f>
        <v>3.0711587982832613</v>
      </c>
      <c r="O40" s="114">
        <f t="shared" ca="1" si="1"/>
        <v>46226</v>
      </c>
      <c r="P40" s="7">
        <f ca="1">SUMIFS(conta[valor],conta[vencimento],Tabela65[[#This Row],[data]])</f>
        <v>0</v>
      </c>
      <c r="Q40" s="7">
        <f ca="1">(Tabela65[[#This Row],[contas]]/COUNT($O$18:Tabela65[[#This Row],[data]]))+Q41</f>
        <v>146.24194285714287</v>
      </c>
      <c r="R40" s="9"/>
    </row>
    <row r="41" spans="1:18" x14ac:dyDescent="0.25">
      <c r="A41" s="1" t="s">
        <v>330</v>
      </c>
      <c r="B41" s="1" t="s">
        <v>96</v>
      </c>
      <c r="C41" s="27">
        <v>46028</v>
      </c>
      <c r="D41" s="115">
        <v>46270</v>
      </c>
      <c r="E41" s="156">
        <v>500</v>
      </c>
      <c r="F41" s="1" t="str">
        <f>TEXT(conta[[#This Row],[vencimento]],"mmm")</f>
        <v>set</v>
      </c>
      <c r="G4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1" s="1"/>
      <c r="I41" s="116"/>
      <c r="J41" s="82">
        <f ca="1">IF(conta[[#This Row],[modo]]="",conta[[#This Row],[vencimento]]-TODAY(),"")</f>
        <v>37</v>
      </c>
      <c r="K41" s="27">
        <f t="shared" si="0"/>
        <v>46184</v>
      </c>
      <c r="L4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200</v>
      </c>
      <c r="M4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7.2321551031604532</v>
      </c>
      <c r="N41" s="166">
        <f ca="1">IFERROR(SUMIFS(conta[valor],conta[vencimento],"&gt;="&amp;ContasSemanal[[#This Row],[semana]],conta[vencimento],"&lt;="&amp;ContasSemanal[[#This Row],[semana]]+6)/(ContasSemanal[[#This Row],[venda]]*12),"")</f>
        <v>2.672094240837696</v>
      </c>
      <c r="O41" s="114">
        <f t="shared" ca="1" si="1"/>
        <v>46227</v>
      </c>
      <c r="P41" s="7">
        <f ca="1">SUMIFS(conta[valor],conta[vencimento],Tabela65[[#This Row],[data]])</f>
        <v>343.2</v>
      </c>
      <c r="Q41" s="7">
        <f ca="1">(Tabela65[[#This Row],[contas]]/COUNT($O$18:Tabela65[[#This Row],[data]]))+Q42</f>
        <v>146.24194285714287</v>
      </c>
      <c r="R41" s="9"/>
    </row>
    <row r="42" spans="1:18" x14ac:dyDescent="0.25">
      <c r="A42" s="1" t="s">
        <v>421</v>
      </c>
      <c r="B42" s="1" t="s">
        <v>97</v>
      </c>
      <c r="C42" s="27">
        <v>46209</v>
      </c>
      <c r="D42" s="115">
        <v>46271</v>
      </c>
      <c r="E42" s="156">
        <v>96.99</v>
      </c>
      <c r="F42" s="1" t="str">
        <f>TEXT(conta[[#This Row],[vencimento]],"mmm")</f>
        <v>set</v>
      </c>
      <c r="G4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2" s="1"/>
      <c r="I42" s="116"/>
      <c r="J42" s="82">
        <f ca="1">IF(conta[[#This Row],[modo]]="",conta[[#This Row],[vencimento]]-TODAY(),"")</f>
        <v>38</v>
      </c>
      <c r="K42" s="27">
        <f t="shared" si="0"/>
        <v>46191</v>
      </c>
      <c r="L4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411.45</v>
      </c>
      <c r="M4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19.573520050922973</v>
      </c>
      <c r="N42" s="166">
        <f ca="1">IFERROR(SUMIFS(conta[valor],conta[vencimento],"&gt;="&amp;ContasSemanal[[#This Row],[semana]],conta[vencimento],"&lt;="&amp;ContasSemanal[[#This Row],[semana]]+6)/(ContasSemanal[[#This Row],[venda]]*12),"")</f>
        <v>2.3565000000000009</v>
      </c>
      <c r="O42" s="114">
        <f t="shared" ca="1" si="1"/>
        <v>46228</v>
      </c>
      <c r="P42" s="7">
        <f ca="1">SUMIFS(conta[valor],conta[vencimento],Tabela65[[#This Row],[data]])</f>
        <v>2852.12</v>
      </c>
      <c r="Q42" s="7">
        <f ca="1">(Tabela65[[#This Row],[contas]]/COUNT($O$18:Tabela65[[#This Row],[data]]))+Q43</f>
        <v>131.94194285714286</v>
      </c>
      <c r="R42" s="9"/>
    </row>
    <row r="43" spans="1:18" x14ac:dyDescent="0.25">
      <c r="A43" s="1" t="s">
        <v>337</v>
      </c>
      <c r="B43" s="1" t="s">
        <v>96</v>
      </c>
      <c r="C43" s="27">
        <v>46149</v>
      </c>
      <c r="D43" s="115">
        <v>46272</v>
      </c>
      <c r="E43" s="156">
        <v>273.74</v>
      </c>
      <c r="F43" s="1" t="str">
        <f>TEXT(conta[[#This Row],[vencimento]],"mmm")</f>
        <v>set</v>
      </c>
      <c r="G4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3" s="1"/>
      <c r="I43" s="116"/>
      <c r="J43" s="82">
        <f ca="1">IF(conta[[#This Row],[modo]]="",conta[[#This Row],[vencimento]]-TODAY(),"")</f>
        <v>39</v>
      </c>
      <c r="K43" s="27">
        <f t="shared" si="0"/>
        <v>46198</v>
      </c>
      <c r="L4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32.650000000000091</v>
      </c>
      <c r="M4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79.541825912919535</v>
      </c>
      <c r="N43" s="166">
        <f ca="1">IFERROR(SUMIFS(conta[valor],conta[vencimento],"&gt;="&amp;ContasSemanal[[#This Row],[semana]],conta[vencimento],"&lt;="&amp;ContasSemanal[[#This Row],[semana]]+6)/(ContasSemanal[[#This Row],[venda]]*12),"")</f>
        <v>3.5679446640316206</v>
      </c>
      <c r="O43" s="114">
        <f t="shared" ca="1" si="1"/>
        <v>46229</v>
      </c>
      <c r="P43" s="7">
        <f ca="1">SUMIFS(conta[valor],conta[vencimento],Tabela65[[#This Row],[data]])</f>
        <v>0</v>
      </c>
      <c r="Q43" s="7">
        <f ca="1">(Tabela65[[#This Row],[contas]]/COUNT($O$18:Tabela65[[#This Row],[data]]))+Q44</f>
        <v>17.857142857142858</v>
      </c>
      <c r="R43" s="9"/>
    </row>
    <row r="44" spans="1:18" x14ac:dyDescent="0.25">
      <c r="A44" s="1" t="s">
        <v>412</v>
      </c>
      <c r="B44" s="1" t="s">
        <v>96</v>
      </c>
      <c r="C44" s="27">
        <v>46152</v>
      </c>
      <c r="D44" s="115">
        <v>46275</v>
      </c>
      <c r="E44" s="156">
        <v>151.80000000000001</v>
      </c>
      <c r="F44" s="1" t="str">
        <f>TEXT(conta[[#This Row],[vencimento]],"mmm")</f>
        <v>set</v>
      </c>
      <c r="G4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4" s="1"/>
      <c r="I44" s="116"/>
      <c r="J44" s="82">
        <f ca="1">IF(conta[[#This Row],[modo]]="",conta[[#This Row],[vencimento]]-TODAY(),"")</f>
        <v>42</v>
      </c>
      <c r="K44" s="27">
        <f t="shared" si="0"/>
        <v>46205</v>
      </c>
      <c r="L4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273.74</v>
      </c>
      <c r="M4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22.119308360760538</v>
      </c>
      <c r="N44" s="166">
        <f ca="1">IFERROR(SUMIFS(conta[valor],conta[vencimento],"&gt;="&amp;ContasSemanal[[#This Row],[semana]],conta[vencimento],"&lt;="&amp;ContasSemanal[[#This Row],[semana]]+6)/(ContasSemanal[[#This Row],[venda]]*12),"")</f>
        <v>3.9655399061032872</v>
      </c>
      <c r="O44" s="114">
        <f t="shared" ca="1" si="1"/>
        <v>46230</v>
      </c>
      <c r="P44" s="7">
        <f ca="1">SUMIFS(conta[valor],conta[vencimento],Tabela65[[#This Row],[data]])</f>
        <v>0</v>
      </c>
      <c r="Q44" s="7">
        <f ca="1">(Tabela65[[#This Row],[contas]]/COUNT($O$18:Tabela65[[#This Row],[data]]))+Q45</f>
        <v>17.857142857142858</v>
      </c>
      <c r="R44" s="9"/>
    </row>
    <row r="45" spans="1:18" x14ac:dyDescent="0.25">
      <c r="A45" s="1" t="s">
        <v>312</v>
      </c>
      <c r="B45" s="1" t="s">
        <v>97</v>
      </c>
      <c r="C45" s="27">
        <v>46002</v>
      </c>
      <c r="D45" s="115">
        <v>46275</v>
      </c>
      <c r="E45" s="156">
        <v>60</v>
      </c>
      <c r="F45" s="1" t="str">
        <f>TEXT(conta[[#This Row],[vencimento]],"mmm")</f>
        <v>set</v>
      </c>
      <c r="G4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5" s="1"/>
      <c r="I45" s="116"/>
      <c r="J45" s="82">
        <f ca="1">IF(conta[[#This Row],[modo]]="",conta[[#This Row],[vencimento]]-TODAY(),"")</f>
        <v>42</v>
      </c>
      <c r="K45" s="27">
        <f t="shared" si="0"/>
        <v>46212</v>
      </c>
      <c r="L4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351.79999999999995</v>
      </c>
      <c r="M4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8.4479707973347775</v>
      </c>
      <c r="N45" s="166">
        <f ca="1">IFERROR(SUMIFS(conta[valor],conta[vencimento],"&gt;="&amp;ContasSemanal[[#This Row],[semana]],conta[vencimento],"&lt;="&amp;ContasSemanal[[#This Row],[semana]]+6)/(ContasSemanal[[#This Row],[venda]]*12),"")</f>
        <v>4.3767906976744184</v>
      </c>
      <c r="O45" s="114">
        <f t="shared" ca="1" si="1"/>
        <v>46231</v>
      </c>
      <c r="P45" s="7">
        <f ca="1">SUMIFS(conta[valor],conta[vencimento],Tabela65[[#This Row],[data]])</f>
        <v>500</v>
      </c>
      <c r="Q45" s="7">
        <f ca="1">(Tabela65[[#This Row],[contas]]/COUNT($O$18:Tabela65[[#This Row],[data]]))+Q46</f>
        <v>17.857142857142858</v>
      </c>
      <c r="R45" s="9"/>
    </row>
    <row r="46" spans="1:18" x14ac:dyDescent="0.25">
      <c r="A46" s="1" t="s">
        <v>387</v>
      </c>
      <c r="B46" s="1" t="s">
        <v>97</v>
      </c>
      <c r="C46" s="27">
        <v>46127</v>
      </c>
      <c r="D46" s="115">
        <v>46280</v>
      </c>
      <c r="E46" s="156">
        <v>200</v>
      </c>
      <c r="F46" s="1" t="str">
        <f>TEXT(conta[[#This Row],[vencimento]],"mmm")</f>
        <v>set</v>
      </c>
      <c r="G4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6" s="1"/>
      <c r="I46" s="116"/>
      <c r="J46" s="82">
        <f ca="1">IF(conta[[#This Row],[modo]]="",conta[[#This Row],[vencimento]]-TODAY(),"")</f>
        <v>47</v>
      </c>
      <c r="K46" s="27">
        <f t="shared" si="0"/>
        <v>46219</v>
      </c>
      <c r="L4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4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4.5782985559052181</v>
      </c>
      <c r="N46" s="166">
        <f ca="1">IFERROR(SUMIFS(conta[valor],conta[vencimento],"&gt;="&amp;ContasSemanal[[#This Row],[semana]],conta[vencimento],"&lt;="&amp;ContasSemanal[[#This Row],[semana]]+6)/(ContasSemanal[[#This Row],[venda]]*12),"")</f>
        <v>4.4057487922705318</v>
      </c>
      <c r="O46" s="114">
        <f t="shared" ca="1" si="1"/>
        <v>46232</v>
      </c>
      <c r="P46" s="7">
        <f ca="1">SUMIFS(conta[valor],conta[vencimento],Tabela65[[#This Row],[data]])</f>
        <v>0</v>
      </c>
      <c r="Q46" s="7">
        <f ca="1">(Tabela65[[#This Row],[contas]]/COUNT($O$18:Tabela65[[#This Row],[data]]))+Q47</f>
        <v>0</v>
      </c>
      <c r="R46" s="9"/>
    </row>
    <row r="47" spans="1:18" x14ac:dyDescent="0.25">
      <c r="A47" s="1" t="s">
        <v>320</v>
      </c>
      <c r="B47" s="1" t="s">
        <v>96</v>
      </c>
      <c r="C47" s="27">
        <v>46007</v>
      </c>
      <c r="D47" s="115">
        <v>46280</v>
      </c>
      <c r="E47" s="156">
        <v>31.9</v>
      </c>
      <c r="F47" s="1" t="str">
        <f>TEXT(conta[[#This Row],[vencimento]],"mmm")</f>
        <v>set</v>
      </c>
      <c r="G4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7" s="1"/>
      <c r="I47" s="116"/>
      <c r="J47" s="82">
        <f ca="1">IF(conta[[#This Row],[modo]]="",conta[[#This Row],[vencimento]]-TODAY(),"")</f>
        <v>47</v>
      </c>
      <c r="K47" s="27">
        <f t="shared" si="0"/>
        <v>46226</v>
      </c>
      <c r="L4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1009.3599999999997</v>
      </c>
      <c r="M4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69.047562601161559</v>
      </c>
      <c r="N47" s="166">
        <f ca="1">IFERROR(SUMIFS(conta[valor],conta[vencimento],"&gt;="&amp;ContasSemanal[[#This Row],[semana]],conta[vencimento],"&lt;="&amp;ContasSemanal[[#This Row],[semana]]+6)/(ContasSemanal[[#This Row],[venda]]*12),"")</f>
        <v>4.4598726114649683</v>
      </c>
      <c r="O47" s="114">
        <f t="shared" ca="1" si="1"/>
        <v>46233</v>
      </c>
      <c r="P47" s="7">
        <f ca="1">SUMIFS(conta[valor],conta[vencimento],Tabela65[[#This Row],[data]])</f>
        <v>0</v>
      </c>
      <c r="Q47" s="7">
        <f ca="1">(Tabela65[[#This Row],[contas]]/COUNT($O$18:Tabela65[[#This Row],[data]]))+Q48</f>
        <v>0</v>
      </c>
      <c r="R47" s="9"/>
    </row>
    <row r="48" spans="1:18" x14ac:dyDescent="0.25">
      <c r="A48" s="1" t="s">
        <v>316</v>
      </c>
      <c r="B48" s="1" t="s">
        <v>97</v>
      </c>
      <c r="C48" s="27">
        <v>46017</v>
      </c>
      <c r="D48" s="115">
        <v>46285</v>
      </c>
      <c r="E48" s="156">
        <v>100</v>
      </c>
      <c r="F48" s="1" t="str">
        <f>TEXT(conta[[#This Row],[vencimento]],"mmm")</f>
        <v>set</v>
      </c>
      <c r="G4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8" s="1"/>
      <c r="I48" s="116"/>
      <c r="J48" s="82">
        <f ca="1">IF(conta[[#This Row],[modo]]="",conta[[#This Row],[vencimento]]-TODAY(),"")</f>
        <v>52</v>
      </c>
      <c r="K48" s="27">
        <f t="shared" si="0"/>
        <v>46233</v>
      </c>
      <c r="L4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592.65</v>
      </c>
      <c r="M4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12.797535994734062</v>
      </c>
      <c r="N48" s="166">
        <f ca="1">IFERROR(SUMIFS(conta[valor],conta[vencimento],"&gt;="&amp;ContasSemanal[[#This Row],[semana]],conta[vencimento],"&lt;="&amp;ContasSemanal[[#This Row],[semana]]+6)/(ContasSemanal[[#This Row],[venda]]*12),"")</f>
        <v>3.8591413237924859</v>
      </c>
      <c r="O48" s="114">
        <f t="shared" ca="1" si="1"/>
        <v>46234</v>
      </c>
      <c r="P48" s="7">
        <f ca="1">SUMIFS(conta[valor],conta[vencimento],Tabela65[[#This Row],[data]])</f>
        <v>0</v>
      </c>
      <c r="Q48" s="7">
        <f ca="1">Tabela65[[#This Row],[contas]]/COUNT($O$18:Tabela65[[#This Row],[data]])</f>
        <v>0</v>
      </c>
      <c r="R48" s="9"/>
    </row>
    <row r="49" spans="1:18" x14ac:dyDescent="0.25">
      <c r="A49" s="1" t="s">
        <v>314</v>
      </c>
      <c r="B49" s="1" t="s">
        <v>97</v>
      </c>
      <c r="C49" s="27">
        <v>46012</v>
      </c>
      <c r="D49" s="115">
        <v>46285</v>
      </c>
      <c r="E49" s="156">
        <v>82.05</v>
      </c>
      <c r="F49" s="1" t="str">
        <f>TEXT(conta[[#This Row],[vencimento]],"mmm")</f>
        <v>set</v>
      </c>
      <c r="G4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49" s="1"/>
      <c r="I49" s="116"/>
      <c r="J49" s="82">
        <f ca="1">IF(conta[[#This Row],[modo]]="",conta[[#This Row],[vencimento]]-TODAY(),"")</f>
        <v>52</v>
      </c>
      <c r="K49" s="27">
        <f t="shared" si="0"/>
        <v>46240</v>
      </c>
      <c r="L4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582.53</v>
      </c>
      <c r="M4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12.540059156522716</v>
      </c>
      <c r="N49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  <c r="R49" s="9"/>
    </row>
    <row r="50" spans="1:18" x14ac:dyDescent="0.25">
      <c r="A50" s="1" t="s">
        <v>313</v>
      </c>
      <c r="B50" s="1" t="s">
        <v>97</v>
      </c>
      <c r="C50" s="27">
        <v>46013</v>
      </c>
      <c r="D50" s="115">
        <v>46286</v>
      </c>
      <c r="E50" s="156">
        <v>60</v>
      </c>
      <c r="F50" s="1" t="str">
        <f>TEXT(conta[[#This Row],[vencimento]],"mmm")</f>
        <v>set</v>
      </c>
      <c r="G5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0" s="1"/>
      <c r="I50" s="116"/>
      <c r="J50" s="82">
        <f ca="1">IF(conta[[#This Row],[modo]]="",conta[[#This Row],[vencimento]]-TODAY(),"")</f>
        <v>53</v>
      </c>
      <c r="K50" s="27">
        <f t="shared" si="0"/>
        <v>46247</v>
      </c>
      <c r="L5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231.9</v>
      </c>
      <c r="M5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4.9920857610725937</v>
      </c>
      <c r="N50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51" spans="1:18" x14ac:dyDescent="0.25">
      <c r="A51" s="1" t="s">
        <v>378</v>
      </c>
      <c r="B51" s="1" t="s">
        <v>97</v>
      </c>
      <c r="C51" s="27">
        <v>46106</v>
      </c>
      <c r="D51" s="115">
        <v>46289</v>
      </c>
      <c r="E51" s="156">
        <v>150</v>
      </c>
      <c r="F51" s="1" t="str">
        <f>TEXT(conta[[#This Row],[vencimento]],"mmm")</f>
        <v>set</v>
      </c>
      <c r="G5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1" s="1"/>
      <c r="I51" s="116"/>
      <c r="J51" s="82">
        <f ca="1">IF(conta[[#This Row],[modo]]="",conta[[#This Row],[vencimento]]-TODAY(),"")</f>
        <v>56</v>
      </c>
      <c r="K51" s="27">
        <f t="shared" si="0"/>
        <v>46254</v>
      </c>
      <c r="L5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751.41</v>
      </c>
      <c r="M5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16.175520317928232</v>
      </c>
      <c r="N51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52" spans="1:18" x14ac:dyDescent="0.25">
      <c r="A52" s="1" t="s">
        <v>377</v>
      </c>
      <c r="B52" s="1" t="s">
        <v>97</v>
      </c>
      <c r="C52" s="27">
        <v>46106</v>
      </c>
      <c r="D52" s="115">
        <v>46289</v>
      </c>
      <c r="E52" s="156">
        <v>193.2</v>
      </c>
      <c r="F52" s="1" t="str">
        <f>TEXT(conta[[#This Row],[vencimento]],"mmm")</f>
        <v>set</v>
      </c>
      <c r="G5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2" s="1"/>
      <c r="I52" s="116"/>
      <c r="J52" s="82">
        <f ca="1">IF(conta[[#This Row],[modo]]="",conta[[#This Row],[vencimento]]-TODAY(),"")</f>
        <v>56</v>
      </c>
      <c r="K52" s="27">
        <f t="shared" si="0"/>
        <v>46261</v>
      </c>
      <c r="L5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500</v>
      </c>
      <c r="M5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10.763444935473466</v>
      </c>
      <c r="N52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53" spans="1:18" x14ac:dyDescent="0.25">
      <c r="A53" s="1" t="s">
        <v>377</v>
      </c>
      <c r="B53" s="1" t="s">
        <v>97</v>
      </c>
      <c r="C53" s="27">
        <v>46106</v>
      </c>
      <c r="D53" s="115">
        <v>46289</v>
      </c>
      <c r="E53" s="156">
        <v>109.23</v>
      </c>
      <c r="F53" s="1" t="str">
        <f>TEXT(conta[[#This Row],[vencimento]],"mmm")</f>
        <v>set</v>
      </c>
      <c r="G5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3" s="1"/>
      <c r="I53" s="116"/>
      <c r="J53" s="82">
        <f ca="1">IF(conta[[#This Row],[modo]]="",conta[[#This Row],[vencimento]]-TODAY(),"")</f>
        <v>56</v>
      </c>
      <c r="K53" s="27">
        <f t="shared" si="0"/>
        <v>46268</v>
      </c>
      <c r="L5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5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20.035722209586439</v>
      </c>
      <c r="N53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54" spans="1:18" x14ac:dyDescent="0.25">
      <c r="A54" s="1" t="s">
        <v>317</v>
      </c>
      <c r="B54" s="1" t="s">
        <v>96</v>
      </c>
      <c r="C54" s="27">
        <v>46017</v>
      </c>
      <c r="D54" s="115">
        <v>46290</v>
      </c>
      <c r="E54" s="156">
        <v>166.16</v>
      </c>
      <c r="F54" s="1" t="str">
        <f>TEXT(conta[[#This Row],[vencimento]],"mmm")</f>
        <v>set</v>
      </c>
      <c r="G5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4" s="1"/>
      <c r="I54" s="116"/>
      <c r="J54" s="82">
        <f ca="1">IF(conta[[#This Row],[modo]]="",conta[[#This Row],[vencimento]]-TODAY(),"")</f>
        <v>57</v>
      </c>
      <c r="K54" s="27">
        <f t="shared" si="0"/>
        <v>46275</v>
      </c>
      <c r="L5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443.7</v>
      </c>
      <c r="M5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9.5514810357391529</v>
      </c>
      <c r="N54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55" spans="1:18" x14ac:dyDescent="0.25">
      <c r="A55" s="1" t="s">
        <v>318</v>
      </c>
      <c r="B55" s="1" t="s">
        <v>96</v>
      </c>
      <c r="C55" s="27">
        <v>46263</v>
      </c>
      <c r="D55" s="115">
        <v>46293</v>
      </c>
      <c r="E55" s="156">
        <v>500</v>
      </c>
      <c r="F55" s="1" t="str">
        <f>TEXT(conta[[#This Row],[vencimento]],"mmm")</f>
        <v>set</v>
      </c>
      <c r="G5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5" s="1"/>
      <c r="I55" s="116"/>
      <c r="J55" s="82">
        <f ca="1">IF(conta[[#This Row],[modo]]="",conta[[#This Row],[vencimento]]-TODAY(),"")</f>
        <v>60</v>
      </c>
      <c r="K55" s="27">
        <f t="shared" si="0"/>
        <v>46282</v>
      </c>
      <c r="L5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5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5.2105836932627057</v>
      </c>
      <c r="N55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56" spans="1:18" x14ac:dyDescent="0.25">
      <c r="A56" s="1" t="s">
        <v>315</v>
      </c>
      <c r="B56" s="1" t="s">
        <v>96</v>
      </c>
      <c r="C56" s="27">
        <v>46268</v>
      </c>
      <c r="D56" s="115">
        <v>46298</v>
      </c>
      <c r="E56" s="156">
        <v>60</v>
      </c>
      <c r="F56" s="1" t="str">
        <f>TEXT(conta[[#This Row],[vencimento]],"mmm")</f>
        <v>out</v>
      </c>
      <c r="G5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6" s="1"/>
      <c r="I56" s="116"/>
      <c r="J56" s="82">
        <f ca="1">IF(conta[[#This Row],[modo]]="",conta[[#This Row],[vencimento]]-TODAY(),"")</f>
        <v>65</v>
      </c>
      <c r="K56" s="27">
        <f t="shared" si="0"/>
        <v>46289</v>
      </c>
      <c r="L5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1118.5900000000001</v>
      </c>
      <c r="M5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24.079763740742532</v>
      </c>
      <c r="N56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57" spans="1:18" x14ac:dyDescent="0.25">
      <c r="A57" s="1" t="s">
        <v>330</v>
      </c>
      <c r="B57" s="1" t="s">
        <v>96</v>
      </c>
      <c r="C57" s="27">
        <v>46029</v>
      </c>
      <c r="D57" s="115">
        <v>46300</v>
      </c>
      <c r="E57" s="156">
        <v>500</v>
      </c>
      <c r="F57" s="1" t="str">
        <f>TEXT(conta[[#This Row],[vencimento]],"mmm")</f>
        <v>out</v>
      </c>
      <c r="G5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7" s="1"/>
      <c r="I57" s="116"/>
      <c r="J57" s="82">
        <f ca="1">IF(conta[[#This Row],[modo]]="",conta[[#This Row],[vencimento]]-TODAY(),"")</f>
        <v>67</v>
      </c>
      <c r="K57" s="27">
        <f t="shared" si="0"/>
        <v>46296</v>
      </c>
      <c r="L5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5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20.035722209586439</v>
      </c>
      <c r="N57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58" spans="1:18" x14ac:dyDescent="0.25">
      <c r="A58" s="1" t="s">
        <v>421</v>
      </c>
      <c r="B58" s="1" t="s">
        <v>97</v>
      </c>
      <c r="C58" s="27">
        <v>46209</v>
      </c>
      <c r="D58" s="115">
        <v>46301</v>
      </c>
      <c r="E58" s="156">
        <v>96.99</v>
      </c>
      <c r="F58" s="1" t="str">
        <f>TEXT(conta[[#This Row],[vencimento]],"mmm")</f>
        <v>out</v>
      </c>
      <c r="G5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8" s="1"/>
      <c r="I58" s="116"/>
      <c r="J58" s="82">
        <f ca="1">IF(conta[[#This Row],[modo]]="",conta[[#This Row],[vencimento]]-TODAY(),"")</f>
        <v>68</v>
      </c>
      <c r="K58" s="27">
        <f t="shared" si="0"/>
        <v>46303</v>
      </c>
      <c r="L5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60</v>
      </c>
      <c r="M5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1.291613392256816</v>
      </c>
      <c r="N58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59" spans="1:18" x14ac:dyDescent="0.25">
      <c r="A59" s="1" t="s">
        <v>337</v>
      </c>
      <c r="B59" s="1" t="s">
        <v>96</v>
      </c>
      <c r="C59" s="27">
        <v>46149</v>
      </c>
      <c r="D59" s="115">
        <v>46302</v>
      </c>
      <c r="E59" s="156">
        <v>273.74</v>
      </c>
      <c r="F59" s="1" t="str">
        <f>TEXT(conta[[#This Row],[vencimento]],"mmm")</f>
        <v>out</v>
      </c>
      <c r="G5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59" s="1"/>
      <c r="I59" s="116"/>
      <c r="J59" s="82">
        <f ca="1">IF(conta[[#This Row],[modo]]="",conta[[#This Row],[vencimento]]-TODAY(),"")</f>
        <v>69</v>
      </c>
      <c r="K59" s="27">
        <f t="shared" si="0"/>
        <v>46310</v>
      </c>
      <c r="L5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473.95</v>
      </c>
      <c r="M5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10.202669454335297</v>
      </c>
      <c r="N59" s="166">
        <f ca="1">IFERROR(SUMIFS(conta[valor],conta[vencimento],"&gt;="&amp;ContasSemanal[[#This Row],[semana]],conta[vencimento],"&lt;="&amp;ContasSemanal[[#This Row],[semana]]+6)/(ContasSemanal[[#This Row],[venda]]*12),"")</f>
        <v>3.871127405441019</v>
      </c>
    </row>
    <row r="60" spans="1:18" x14ac:dyDescent="0.25">
      <c r="A60" s="1" t="s">
        <v>312</v>
      </c>
      <c r="B60" s="1" t="s">
        <v>97</v>
      </c>
      <c r="C60" s="27">
        <v>46002</v>
      </c>
      <c r="D60" s="115">
        <v>46305</v>
      </c>
      <c r="E60" s="156">
        <v>60</v>
      </c>
      <c r="F60" s="1" t="str">
        <f>TEXT(conta[[#This Row],[vencimento]],"mmm")</f>
        <v>out</v>
      </c>
      <c r="G6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0" s="1"/>
      <c r="I60" s="116"/>
      <c r="J60" s="82">
        <f ca="1">IF(conta[[#This Row],[modo]]="",conta[[#This Row],[vencimento]]-TODAY(),"")</f>
        <v>72</v>
      </c>
      <c r="K60" s="27">
        <f t="shared" si="0"/>
        <v>46317</v>
      </c>
      <c r="L60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1106.1100000000001</v>
      </c>
      <c r="M6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23.811108155153111</v>
      </c>
      <c r="N60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61" spans="1:18" x14ac:dyDescent="0.25">
      <c r="A61" s="1" t="s">
        <v>387</v>
      </c>
      <c r="B61" s="1" t="s">
        <v>97</v>
      </c>
      <c r="C61" s="27">
        <v>46127</v>
      </c>
      <c r="D61" s="115">
        <v>46310</v>
      </c>
      <c r="E61" s="156">
        <v>200</v>
      </c>
      <c r="F61" s="1" t="str">
        <f>TEXT(conta[[#This Row],[vencimento]],"mmm")</f>
        <v>out</v>
      </c>
      <c r="G6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1" s="1"/>
      <c r="I61" s="116"/>
      <c r="J61" s="82">
        <f ca="1">IF(conta[[#This Row],[modo]]="",conta[[#This Row],[vencimento]]-TODAY(),"")</f>
        <v>77</v>
      </c>
      <c r="K61" s="27">
        <f t="shared" si="0"/>
        <v>46324</v>
      </c>
      <c r="L61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60</v>
      </c>
      <c r="M61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1.291613392256816</v>
      </c>
      <c r="N61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2" spans="1:18" x14ac:dyDescent="0.25">
      <c r="A62" s="1" t="s">
        <v>320</v>
      </c>
      <c r="B62" s="1" t="s">
        <v>96</v>
      </c>
      <c r="C62" s="27">
        <v>46007</v>
      </c>
      <c r="D62" s="115">
        <v>46310</v>
      </c>
      <c r="E62" s="156">
        <v>31.9</v>
      </c>
      <c r="F62" s="1" t="str">
        <f>TEXT(conta[[#This Row],[vencimento]],"mmm")</f>
        <v>out</v>
      </c>
      <c r="G6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2" s="1"/>
      <c r="I62" s="116"/>
      <c r="J62" s="82">
        <f ca="1">IF(conta[[#This Row],[modo]]="",conta[[#This Row],[vencimento]]-TODAY(),"")</f>
        <v>77</v>
      </c>
      <c r="K62" s="27">
        <f t="shared" si="0"/>
        <v>46331</v>
      </c>
      <c r="L62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62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20.035722209586439</v>
      </c>
      <c r="N62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3" spans="1:18" x14ac:dyDescent="0.25">
      <c r="A63" s="1" t="s">
        <v>316</v>
      </c>
      <c r="B63" s="1" t="s">
        <v>97</v>
      </c>
      <c r="C63" s="27">
        <v>46017</v>
      </c>
      <c r="D63" s="115">
        <v>46315</v>
      </c>
      <c r="E63" s="156">
        <v>100</v>
      </c>
      <c r="F63" s="1" t="str">
        <f>TEXT(conta[[#This Row],[vencimento]],"mmm")</f>
        <v>out</v>
      </c>
      <c r="G6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3" s="1"/>
      <c r="I63" s="116"/>
      <c r="J63" s="82">
        <f ca="1">IF(conta[[#This Row],[modo]]="",conta[[#This Row],[vencimento]]-TODAY(),"")</f>
        <v>82</v>
      </c>
      <c r="K63" s="27">
        <f t="shared" si="0"/>
        <v>46338</v>
      </c>
      <c r="L63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231.9</v>
      </c>
      <c r="M63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4.9920857610725937</v>
      </c>
      <c r="N63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64" spans="1:18" x14ac:dyDescent="0.25">
      <c r="A64" s="1" t="s">
        <v>314</v>
      </c>
      <c r="B64" s="1" t="s">
        <v>97</v>
      </c>
      <c r="C64" s="27">
        <v>46012</v>
      </c>
      <c r="D64" s="115">
        <v>46315</v>
      </c>
      <c r="E64" s="156">
        <v>82.05</v>
      </c>
      <c r="F64" s="1" t="str">
        <f>TEXT(conta[[#This Row],[vencimento]],"mmm")</f>
        <v>out</v>
      </c>
      <c r="G6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4" s="1"/>
      <c r="I64" s="116"/>
      <c r="J64" s="82">
        <f ca="1">IF(conta[[#This Row],[modo]]="",conta[[#This Row],[vencimento]]-TODAY(),"")</f>
        <v>82</v>
      </c>
      <c r="K64" s="27">
        <f t="shared" si="0"/>
        <v>46345</v>
      </c>
      <c r="L64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558.21</v>
      </c>
      <c r="M64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12.016525194861288</v>
      </c>
      <c r="N64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5" spans="1:14" x14ac:dyDescent="0.25">
      <c r="A65" s="1" t="s">
        <v>313</v>
      </c>
      <c r="B65" s="1" t="s">
        <v>97</v>
      </c>
      <c r="C65" s="27">
        <v>46013</v>
      </c>
      <c r="D65" s="115">
        <v>46316</v>
      </c>
      <c r="E65" s="156">
        <v>60</v>
      </c>
      <c r="F65" s="1" t="str">
        <f>TEXT(conta[[#This Row],[vencimento]],"mmm")</f>
        <v>out</v>
      </c>
      <c r="G6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5" s="1"/>
      <c r="I65" s="116"/>
      <c r="J65" s="82">
        <f ca="1">IF(conta[[#This Row],[modo]]="",conta[[#This Row],[vencimento]]-TODAY(),"")</f>
        <v>83</v>
      </c>
      <c r="K65" s="27">
        <f t="shared" si="0"/>
        <v>46352</v>
      </c>
      <c r="L65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500</v>
      </c>
      <c r="M65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10.763444935473466</v>
      </c>
      <c r="N65" s="166">
        <f ca="1">IFERROR(SUMIFS(conta[valor],conta[vencimento],"&gt;="&amp;ContasSemanal[[#This Row],[semana]],conta[vencimento],"&lt;="&amp;ContasSemanal[[#This Row],[semana]]+6)/(ContasSemanal[[#This Row],[venda]]*12),"")</f>
        <v>3.8711274054410185</v>
      </c>
    </row>
    <row r="66" spans="1:14" x14ac:dyDescent="0.25">
      <c r="A66" s="1" t="s">
        <v>378</v>
      </c>
      <c r="B66" s="1" t="s">
        <v>97</v>
      </c>
      <c r="C66" s="27">
        <v>46106</v>
      </c>
      <c r="D66" s="115">
        <v>46319</v>
      </c>
      <c r="E66" s="156">
        <v>150</v>
      </c>
      <c r="F66" s="1" t="str">
        <f>TEXT(conta[[#This Row],[vencimento]],"mmm")</f>
        <v>out</v>
      </c>
      <c r="G6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6" s="1"/>
      <c r="I66" s="116"/>
      <c r="J66" s="82">
        <f ca="1">IF(conta[[#This Row],[modo]]="",conta[[#This Row],[vencimento]]-TODAY(),"")</f>
        <v>86</v>
      </c>
      <c r="K66" s="27">
        <f t="shared" si="0"/>
        <v>46359</v>
      </c>
      <c r="L66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930.73</v>
      </c>
      <c r="M66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20.035722209586439</v>
      </c>
      <c r="N66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7" spans="1:14" x14ac:dyDescent="0.25">
      <c r="A67" s="1" t="s">
        <v>377</v>
      </c>
      <c r="B67" s="1" t="s">
        <v>97</v>
      </c>
      <c r="C67" s="27">
        <v>46106</v>
      </c>
      <c r="D67" s="115">
        <v>46319</v>
      </c>
      <c r="E67" s="156">
        <v>193.2</v>
      </c>
      <c r="F67" s="1" t="str">
        <f>TEXT(conta[[#This Row],[vencimento]],"mmm")</f>
        <v>out</v>
      </c>
      <c r="G6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7" s="1"/>
      <c r="I67" s="116"/>
      <c r="J67" s="82">
        <f ca="1">IF(conta[[#This Row],[modo]]="",conta[[#This Row],[vencimento]]-TODAY(),"")</f>
        <v>86</v>
      </c>
      <c r="K67" s="27">
        <f t="shared" si="0"/>
        <v>46366</v>
      </c>
      <c r="L67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291.89999999999998</v>
      </c>
      <c r="M67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6.2836991533294091</v>
      </c>
      <c r="N67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8" spans="1:14" x14ac:dyDescent="0.25">
      <c r="A68" s="1" t="s">
        <v>377</v>
      </c>
      <c r="B68" s="1" t="s">
        <v>97</v>
      </c>
      <c r="C68" s="27">
        <v>46106</v>
      </c>
      <c r="D68" s="115">
        <v>46319</v>
      </c>
      <c r="E68" s="156">
        <v>96.75</v>
      </c>
      <c r="F68" s="1" t="str">
        <f>TEXT(conta[[#This Row],[vencimento]],"mmm")</f>
        <v>out</v>
      </c>
      <c r="G6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8" s="1"/>
      <c r="I68" s="116"/>
      <c r="J68" s="82">
        <f ca="1">IF(conta[[#This Row],[modo]]="",conta[[#This Row],[vencimento]]-TODAY(),"")</f>
        <v>86</v>
      </c>
      <c r="K68" s="27">
        <f t="shared" si="0"/>
        <v>46373</v>
      </c>
      <c r="L68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242.05</v>
      </c>
      <c r="M68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5.2105836932627057</v>
      </c>
      <c r="N68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69" spans="1:14" x14ac:dyDescent="0.25">
      <c r="A69" s="1" t="s">
        <v>317</v>
      </c>
      <c r="B69" s="1" t="s">
        <v>96</v>
      </c>
      <c r="C69" s="27">
        <v>46017</v>
      </c>
      <c r="D69" s="115">
        <v>46320</v>
      </c>
      <c r="E69" s="156">
        <v>166.16</v>
      </c>
      <c r="F69" s="1" t="str">
        <f>TEXT(conta[[#This Row],[vencimento]],"mmm")</f>
        <v>out</v>
      </c>
      <c r="G6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69" s="1"/>
      <c r="I69" s="116"/>
      <c r="J69" s="82">
        <f ca="1">IF(conta[[#This Row],[modo]]="",conta[[#This Row],[vencimento]]-TODAY(),"")</f>
        <v>87</v>
      </c>
      <c r="K69" s="27">
        <f t="shared" si="0"/>
        <v>46380</v>
      </c>
      <c r="L69" s="7">
        <f ca="1"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816.16</v>
      </c>
      <c r="M69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17.569386437072048</v>
      </c>
      <c r="N69" s="166">
        <f ca="1">IFERROR(SUMIFS(conta[valor],conta[vencimento],"&gt;="&amp;ContasSemanal[[#This Row],[semana]],conta[vencimento],"&lt;="&amp;ContasSemanal[[#This Row],[semana]]+6)/(ContasSemanal[[#This Row],[venda]]*12),"")</f>
        <v>3.8711274054410181</v>
      </c>
    </row>
    <row r="70" spans="1:14" x14ac:dyDescent="0.25">
      <c r="A70" s="1" t="s">
        <v>318</v>
      </c>
      <c r="B70" s="1" t="s">
        <v>96</v>
      </c>
      <c r="C70" s="27">
        <v>46293</v>
      </c>
      <c r="D70" s="115">
        <v>46323</v>
      </c>
      <c r="E70" s="156">
        <v>500</v>
      </c>
      <c r="F70" s="1" t="str">
        <f>TEXT(conta[[#This Row],[vencimento]],"mmm")</f>
        <v>out</v>
      </c>
      <c r="G7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0" s="1"/>
      <c r="I70" s="116"/>
      <c r="J70" s="82">
        <f ca="1">IF(conta[[#This Row],[modo]]="",conta[[#This Row],[vencimento]]-TODAY(),"")</f>
        <v>90</v>
      </c>
      <c r="K70" s="27">
        <f t="shared" si="0"/>
        <v>46387</v>
      </c>
      <c r="L70" s="7" t="str">
        <f>IF(SUMIFS(conta[valor],conta[vencimento],"&gt;="&amp;ContasSemanal[[#This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Row],[semana]]+6,conta[situação],"pago")=0,"quitado",SUMIFS(conta[valor],conta[vencimento],"&gt;="&amp;ContasSemanal[[#This Row],[semana]],conta[vencimento],"&lt;="&amp;ContasSemanal[[#This Row],[semana]]+6)-SUMIFS(conta[valor],conta[vencimento],"&gt;="&amp;ContasSemanal[[#This Row],[semana]],conta[vencimento],"&lt;="&amp;ContasSemanal[[#This Row],[semana]]+6,conta[situação],"pago"))</f>
        <v>quitado</v>
      </c>
      <c r="M70" s="80">
        <f ca="1">IFERROR((SUMIFS(conta[valor],conta[vencimento],"&gt;="&amp;ContasSemanal[[#This Row],[semana]],conta[vencimento],"&lt;="&amp;ContasSemanal[[#This Row],[semana]]+6)/AVERAGEIFS(vendaAno[lucro],vendaAno[data],"&lt;="&amp;ContasSemanal[[#This Row],[semana]],vendaAno[data],"&gt;="&amp;ContasSemanal[[#This Row],[semana]]-6))*AVERAGEIFS(vendaAno[venda],vendaAno[data],"&lt;="&amp;ContasSemanal[[#This Row],[semana]],vendaAno[data],"&gt;="&amp;ContasSemanal[[#This Row],[semana]]-6),(SUMIFS(conta[valor],conta[vencimento],"&gt;="&amp;ContasSemanal[[#This Row],[semana]],conta[vencimento],"&lt;="&amp;ContasSemanal[[#This Row],[semana]]+6)/AVERAGE(vendaAno[lucro]))*AVERAGE(vendaAno[venda]))</f>
        <v>0</v>
      </c>
      <c r="N70" s="166" t="str">
        <f ca="1">IFERROR(SUMIFS(conta[valor],conta[vencimento],"&gt;="&amp;ContasSemanal[[#This Row],[semana]],conta[vencimento],"&lt;="&amp;ContasSemanal[[#This Row],[semana]]+6)/(ContasSemanal[[#This Row],[venda]]*12),"")</f>
        <v/>
      </c>
    </row>
    <row r="71" spans="1:14" x14ac:dyDescent="0.25">
      <c r="A71" s="1" t="s">
        <v>315</v>
      </c>
      <c r="B71" s="1" t="s">
        <v>96</v>
      </c>
      <c r="C71" s="27">
        <v>46299</v>
      </c>
      <c r="D71" s="115">
        <v>46329</v>
      </c>
      <c r="E71" s="156">
        <v>60</v>
      </c>
      <c r="F71" s="1" t="str">
        <f>TEXT(conta[[#This Row],[vencimento]],"mmm")</f>
        <v>nov</v>
      </c>
      <c r="G7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1" s="1"/>
      <c r="I71" s="116"/>
      <c r="J71" s="82">
        <f ca="1">IF(conta[[#This Row],[modo]]="",conta[[#This Row],[vencimento]]-TODAY(),"")</f>
        <v>96</v>
      </c>
    </row>
    <row r="72" spans="1:14" x14ac:dyDescent="0.25">
      <c r="A72" s="1" t="s">
        <v>330</v>
      </c>
      <c r="B72" s="1" t="s">
        <v>96</v>
      </c>
      <c r="C72" s="27">
        <v>46030</v>
      </c>
      <c r="D72" s="115">
        <v>46331</v>
      </c>
      <c r="E72" s="156">
        <v>500</v>
      </c>
      <c r="F72" s="1" t="str">
        <f>TEXT(conta[[#This Row],[vencimento]],"mmm")</f>
        <v>nov</v>
      </c>
      <c r="G7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2" s="1"/>
      <c r="I72" s="116"/>
      <c r="J72" s="82">
        <f ca="1">IF(conta[[#This Row],[modo]]="",conta[[#This Row],[vencimento]]-TODAY(),"")</f>
        <v>98</v>
      </c>
    </row>
    <row r="73" spans="1:14" x14ac:dyDescent="0.25">
      <c r="A73" s="1" t="s">
        <v>421</v>
      </c>
      <c r="B73" s="1" t="s">
        <v>97</v>
      </c>
      <c r="C73" s="27">
        <v>46209</v>
      </c>
      <c r="D73" s="115">
        <v>46332</v>
      </c>
      <c r="E73" s="156">
        <v>96.99</v>
      </c>
      <c r="F73" s="1" t="str">
        <f>TEXT(conta[[#This Row],[vencimento]],"mmm")</f>
        <v>nov</v>
      </c>
      <c r="G7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3" s="1"/>
      <c r="I73" s="116"/>
      <c r="J73" s="82">
        <f ca="1">IF(conta[[#This Row],[modo]]="",conta[[#This Row],[vencimento]]-TODAY(),"")</f>
        <v>99</v>
      </c>
    </row>
    <row r="74" spans="1:14" x14ac:dyDescent="0.25">
      <c r="A74" s="1" t="s">
        <v>337</v>
      </c>
      <c r="B74" s="1" t="s">
        <v>96</v>
      </c>
      <c r="C74" s="27">
        <v>46149</v>
      </c>
      <c r="D74" s="115">
        <v>46333</v>
      </c>
      <c r="E74" s="156">
        <v>273.74</v>
      </c>
      <c r="F74" s="1" t="str">
        <f>TEXT(conta[[#This Row],[vencimento]],"mmm")</f>
        <v>nov</v>
      </c>
      <c r="G7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4" s="1"/>
      <c r="I74" s="116"/>
      <c r="J74" s="82">
        <f ca="1">IF(conta[[#This Row],[modo]]="",conta[[#This Row],[vencimento]]-TODAY(),"")</f>
        <v>100</v>
      </c>
    </row>
    <row r="75" spans="1:14" x14ac:dyDescent="0.25">
      <c r="A75" s="1" t="s">
        <v>312</v>
      </c>
      <c r="B75" s="1" t="s">
        <v>97</v>
      </c>
      <c r="C75" s="27">
        <v>46002</v>
      </c>
      <c r="D75" s="115">
        <v>46336</v>
      </c>
      <c r="E75" s="156">
        <v>60</v>
      </c>
      <c r="F75" s="1" t="str">
        <f>TEXT(conta[[#This Row],[vencimento]],"mmm")</f>
        <v>nov</v>
      </c>
      <c r="G7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5" s="1"/>
      <c r="I75" s="116"/>
      <c r="J75" s="82">
        <f ca="1">IF(conta[[#This Row],[modo]]="",conta[[#This Row],[vencimento]]-TODAY(),"")</f>
        <v>103</v>
      </c>
    </row>
    <row r="76" spans="1:14" x14ac:dyDescent="0.25">
      <c r="A76" s="1" t="s">
        <v>387</v>
      </c>
      <c r="B76" s="1" t="s">
        <v>97</v>
      </c>
      <c r="C76" s="27">
        <v>46127</v>
      </c>
      <c r="D76" s="115">
        <v>46341</v>
      </c>
      <c r="E76" s="156">
        <v>200</v>
      </c>
      <c r="F76" s="1" t="str">
        <f>TEXT(conta[[#This Row],[vencimento]],"mmm")</f>
        <v>nov</v>
      </c>
      <c r="G7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6" s="1"/>
      <c r="I76" s="116"/>
      <c r="J76" s="82">
        <f ca="1">IF(conta[[#This Row],[modo]]="",conta[[#This Row],[vencimento]]-TODAY(),"")</f>
        <v>108</v>
      </c>
    </row>
    <row r="77" spans="1:14" x14ac:dyDescent="0.25">
      <c r="A77" s="1" t="s">
        <v>320</v>
      </c>
      <c r="B77" s="1" t="s">
        <v>96</v>
      </c>
      <c r="C77" s="27">
        <v>46007</v>
      </c>
      <c r="D77" s="115">
        <v>46341</v>
      </c>
      <c r="E77" s="156">
        <v>31.9</v>
      </c>
      <c r="F77" s="1" t="str">
        <f>TEXT(conta[[#This Row],[vencimento]],"mmm")</f>
        <v>nov</v>
      </c>
      <c r="G7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7" s="1"/>
      <c r="I77" s="116"/>
      <c r="J77" s="82">
        <f ca="1">IF(conta[[#This Row],[modo]]="",conta[[#This Row],[vencimento]]-TODAY(),"")</f>
        <v>108</v>
      </c>
    </row>
    <row r="78" spans="1:14" x14ac:dyDescent="0.25">
      <c r="A78" s="1" t="s">
        <v>316</v>
      </c>
      <c r="B78" s="1" t="s">
        <v>97</v>
      </c>
      <c r="C78" s="27">
        <v>46017</v>
      </c>
      <c r="D78" s="115">
        <v>46346</v>
      </c>
      <c r="E78" s="156">
        <v>100</v>
      </c>
      <c r="F78" s="1" t="str">
        <f>TEXT(conta[[#This Row],[vencimento]],"mmm")</f>
        <v>nov</v>
      </c>
      <c r="G7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8" s="1"/>
      <c r="I78" s="116"/>
      <c r="J78" s="82">
        <f ca="1">IF(conta[[#This Row],[modo]]="",conta[[#This Row],[vencimento]]-TODAY(),"")</f>
        <v>113</v>
      </c>
    </row>
    <row r="79" spans="1:14" x14ac:dyDescent="0.25">
      <c r="A79" s="1" t="s">
        <v>314</v>
      </c>
      <c r="B79" s="1" t="s">
        <v>97</v>
      </c>
      <c r="C79" s="27">
        <v>46012</v>
      </c>
      <c r="D79" s="115">
        <v>46346</v>
      </c>
      <c r="E79" s="156">
        <v>82.05</v>
      </c>
      <c r="F79" s="1" t="str">
        <f>TEXT(conta[[#This Row],[vencimento]],"mmm")</f>
        <v>nov</v>
      </c>
      <c r="G7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79" s="1"/>
      <c r="I79" s="116"/>
      <c r="J79" s="82">
        <f ca="1">IF(conta[[#This Row],[modo]]="",conta[[#This Row],[vencimento]]-TODAY(),"")</f>
        <v>113</v>
      </c>
    </row>
    <row r="80" spans="1:14" x14ac:dyDescent="0.25">
      <c r="A80" s="1" t="s">
        <v>313</v>
      </c>
      <c r="B80" s="1" t="s">
        <v>97</v>
      </c>
      <c r="C80" s="27">
        <v>46013</v>
      </c>
      <c r="D80" s="115">
        <v>46347</v>
      </c>
      <c r="E80" s="156">
        <v>60</v>
      </c>
      <c r="F80" s="1" t="str">
        <f>TEXT(conta[[#This Row],[vencimento]],"mmm")</f>
        <v>nov</v>
      </c>
      <c r="G8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0" s="1"/>
      <c r="I80" s="116"/>
      <c r="J80" s="82">
        <f ca="1">IF(conta[[#This Row],[modo]]="",conta[[#This Row],[vencimento]]-TODAY(),"")</f>
        <v>114</v>
      </c>
    </row>
    <row r="81" spans="1:10" x14ac:dyDescent="0.25">
      <c r="A81" s="1" t="s">
        <v>378</v>
      </c>
      <c r="B81" s="1" t="s">
        <v>97</v>
      </c>
      <c r="C81" s="27">
        <v>46106</v>
      </c>
      <c r="D81" s="115">
        <v>46350</v>
      </c>
      <c r="E81" s="156">
        <v>150</v>
      </c>
      <c r="F81" s="1" t="str">
        <f>TEXT(conta[[#This Row],[vencimento]],"mmm")</f>
        <v>nov</v>
      </c>
      <c r="G8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1" s="1"/>
      <c r="I81" s="116"/>
      <c r="J81" s="82">
        <f ca="1">IF(conta[[#This Row],[modo]]="",conta[[#This Row],[vencimento]]-TODAY(),"")</f>
        <v>117</v>
      </c>
    </row>
    <row r="82" spans="1:10" x14ac:dyDescent="0.25">
      <c r="A82" s="1" t="s">
        <v>317</v>
      </c>
      <c r="B82" s="1" t="s">
        <v>96</v>
      </c>
      <c r="C82" s="27">
        <v>46017</v>
      </c>
      <c r="D82" s="115">
        <v>46351</v>
      </c>
      <c r="E82" s="156">
        <v>166.16</v>
      </c>
      <c r="F82" s="1" t="str">
        <f>TEXT(conta[[#This Row],[vencimento]],"mmm")</f>
        <v>nov</v>
      </c>
      <c r="G8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2" s="1"/>
      <c r="I82" s="116"/>
      <c r="J82" s="82">
        <f ca="1">IF(conta[[#This Row],[modo]]="",conta[[#This Row],[vencimento]]-TODAY(),"")</f>
        <v>118</v>
      </c>
    </row>
    <row r="83" spans="1:10" x14ac:dyDescent="0.25">
      <c r="A83" s="1" t="s">
        <v>318</v>
      </c>
      <c r="B83" s="1" t="s">
        <v>96</v>
      </c>
      <c r="C83" s="27">
        <v>46324</v>
      </c>
      <c r="D83" s="115">
        <v>46354</v>
      </c>
      <c r="E83" s="156">
        <v>500</v>
      </c>
      <c r="F83" s="1" t="str">
        <f>TEXT(conta[[#This Row],[vencimento]],"mmm")</f>
        <v>nov</v>
      </c>
      <c r="G8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3" s="1"/>
      <c r="I83" s="116"/>
      <c r="J83" s="82">
        <f ca="1">IF(conta[[#This Row],[modo]]="",conta[[#This Row],[vencimento]]-TODAY(),"")</f>
        <v>121</v>
      </c>
    </row>
    <row r="84" spans="1:10" x14ac:dyDescent="0.25">
      <c r="A84" s="1" t="s">
        <v>315</v>
      </c>
      <c r="B84" s="1" t="s">
        <v>96</v>
      </c>
      <c r="C84" s="27">
        <v>46329</v>
      </c>
      <c r="D84" s="115">
        <v>46359</v>
      </c>
      <c r="E84" s="156">
        <v>60</v>
      </c>
      <c r="F84" s="1" t="str">
        <f>TEXT(conta[[#This Row],[vencimento]],"mmm")</f>
        <v>dez</v>
      </c>
      <c r="G8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4" s="1"/>
      <c r="I84" s="116"/>
      <c r="J84" s="82">
        <f ca="1">IF(conta[[#This Row],[modo]]="",conta[[#This Row],[vencimento]]-TODAY(),"")</f>
        <v>126</v>
      </c>
    </row>
    <row r="85" spans="1:10" x14ac:dyDescent="0.25">
      <c r="A85" s="1" t="s">
        <v>330</v>
      </c>
      <c r="B85" s="1" t="s">
        <v>96</v>
      </c>
      <c r="C85" s="27">
        <v>46031</v>
      </c>
      <c r="D85" s="115">
        <v>46361</v>
      </c>
      <c r="E85" s="156">
        <v>500</v>
      </c>
      <c r="F85" s="1" t="str">
        <f>TEXT(conta[[#This Row],[vencimento]],"mmm")</f>
        <v>dez</v>
      </c>
      <c r="G8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5" s="1"/>
      <c r="I85" s="116"/>
      <c r="J85" s="82">
        <f ca="1">IF(conta[[#This Row],[modo]]="",conta[[#This Row],[vencimento]]-TODAY(),"")</f>
        <v>128</v>
      </c>
    </row>
    <row r="86" spans="1:10" x14ac:dyDescent="0.25">
      <c r="A86" s="1" t="s">
        <v>421</v>
      </c>
      <c r="B86" s="1" t="s">
        <v>97</v>
      </c>
      <c r="C86" s="27">
        <v>46209</v>
      </c>
      <c r="D86" s="115">
        <v>46362</v>
      </c>
      <c r="E86" s="156">
        <v>96.99</v>
      </c>
      <c r="F86" s="1" t="str">
        <f>TEXT(conta[[#This Row],[vencimento]],"mmm")</f>
        <v>dez</v>
      </c>
      <c r="G8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6" s="1"/>
      <c r="I86" s="116"/>
      <c r="J86" s="82">
        <f ca="1">IF(conta[[#This Row],[modo]]="",conta[[#This Row],[vencimento]]-TODAY(),"")</f>
        <v>129</v>
      </c>
    </row>
    <row r="87" spans="1:10" x14ac:dyDescent="0.25">
      <c r="A87" s="1" t="s">
        <v>337</v>
      </c>
      <c r="B87" s="1" t="s">
        <v>96</v>
      </c>
      <c r="C87" s="27">
        <v>46149</v>
      </c>
      <c r="D87" s="115">
        <v>46363</v>
      </c>
      <c r="E87" s="156">
        <v>273.74</v>
      </c>
      <c r="F87" s="1" t="str">
        <f>TEXT(conta[[#This Row],[vencimento]],"mmm")</f>
        <v>dez</v>
      </c>
      <c r="G8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7" s="1"/>
      <c r="I87" s="116"/>
      <c r="J87" s="82">
        <f ca="1">IF(conta[[#This Row],[modo]]="",conta[[#This Row],[vencimento]]-TODAY(),"")</f>
        <v>130</v>
      </c>
    </row>
    <row r="88" spans="1:10" x14ac:dyDescent="0.25">
      <c r="A88" s="1" t="s">
        <v>312</v>
      </c>
      <c r="B88" s="1" t="s">
        <v>97</v>
      </c>
      <c r="C88" s="27">
        <v>46002</v>
      </c>
      <c r="D88" s="115">
        <v>46366</v>
      </c>
      <c r="E88" s="156">
        <v>60</v>
      </c>
      <c r="F88" s="1" t="str">
        <f>TEXT(conta[[#This Row],[vencimento]],"mmm")</f>
        <v>dez</v>
      </c>
      <c r="G8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8" s="1"/>
      <c r="I88" s="116"/>
      <c r="J88" s="82">
        <f ca="1">IF(conta[[#This Row],[modo]]="",conta[[#This Row],[vencimento]]-TODAY(),"")</f>
        <v>133</v>
      </c>
    </row>
    <row r="89" spans="1:10" x14ac:dyDescent="0.25">
      <c r="A89" s="1" t="s">
        <v>387</v>
      </c>
      <c r="B89" s="1" t="s">
        <v>97</v>
      </c>
      <c r="C89" s="27">
        <v>46127</v>
      </c>
      <c r="D89" s="115">
        <v>46371</v>
      </c>
      <c r="E89" s="156">
        <v>200</v>
      </c>
      <c r="F89" s="1" t="str">
        <f>TEXT(conta[[#This Row],[vencimento]],"mmm")</f>
        <v>dez</v>
      </c>
      <c r="G8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89" s="1"/>
      <c r="I89" s="116"/>
      <c r="J89" s="82">
        <f ca="1">IF(conta[[#This Row],[modo]]="",conta[[#This Row],[vencimento]]-TODAY(),"")</f>
        <v>138</v>
      </c>
    </row>
    <row r="90" spans="1:10" x14ac:dyDescent="0.25">
      <c r="A90" s="1" t="s">
        <v>320</v>
      </c>
      <c r="B90" s="1" t="s">
        <v>96</v>
      </c>
      <c r="C90" s="27">
        <v>46007</v>
      </c>
      <c r="D90" s="115">
        <v>46371</v>
      </c>
      <c r="E90" s="156">
        <v>31.9</v>
      </c>
      <c r="F90" s="1" t="str">
        <f>TEXT(conta[[#This Row],[vencimento]],"mmm")</f>
        <v>dez</v>
      </c>
      <c r="G9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0" s="1"/>
      <c r="I90" s="116"/>
      <c r="J90" s="82">
        <f ca="1">IF(conta[[#This Row],[modo]]="",conta[[#This Row],[vencimento]]-TODAY(),"")</f>
        <v>138</v>
      </c>
    </row>
    <row r="91" spans="1:10" x14ac:dyDescent="0.25">
      <c r="A91" s="1" t="s">
        <v>316</v>
      </c>
      <c r="B91" s="1" t="s">
        <v>97</v>
      </c>
      <c r="C91" s="27">
        <v>46017</v>
      </c>
      <c r="D91" s="115">
        <v>46376</v>
      </c>
      <c r="E91" s="156">
        <v>100</v>
      </c>
      <c r="F91" s="1" t="str">
        <f>TEXT(conta[[#This Row],[vencimento]],"mmm")</f>
        <v>dez</v>
      </c>
      <c r="G9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1" s="1"/>
      <c r="I91" s="116"/>
      <c r="J91" s="82">
        <f ca="1">IF(conta[[#This Row],[modo]]="",conta[[#This Row],[vencimento]]-TODAY(),"")</f>
        <v>143</v>
      </c>
    </row>
    <row r="92" spans="1:10" x14ac:dyDescent="0.25">
      <c r="A92" s="1" t="s">
        <v>314</v>
      </c>
      <c r="B92" s="1" t="s">
        <v>97</v>
      </c>
      <c r="C92" s="27">
        <v>46012</v>
      </c>
      <c r="D92" s="115">
        <v>46376</v>
      </c>
      <c r="E92" s="156">
        <v>82.05</v>
      </c>
      <c r="F92" s="1" t="str">
        <f>TEXT(conta[[#This Row],[vencimento]],"mmm")</f>
        <v>dez</v>
      </c>
      <c r="G9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2" s="1"/>
      <c r="I92" s="116"/>
      <c r="J92" s="82">
        <f ca="1">IF(conta[[#This Row],[modo]]="",conta[[#This Row],[vencimento]]-TODAY(),"")</f>
        <v>143</v>
      </c>
    </row>
    <row r="93" spans="1:10" x14ac:dyDescent="0.25">
      <c r="A93" s="1" t="s">
        <v>313</v>
      </c>
      <c r="B93" s="1" t="s">
        <v>97</v>
      </c>
      <c r="C93" s="27">
        <v>46013</v>
      </c>
      <c r="D93" s="115">
        <v>46377</v>
      </c>
      <c r="E93" s="156">
        <v>60</v>
      </c>
      <c r="F93" s="1" t="str">
        <f>TEXT(conta[[#This Row],[vencimento]],"mmm")</f>
        <v>dez</v>
      </c>
      <c r="G9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3" s="1"/>
      <c r="I93" s="116"/>
      <c r="J93" s="82">
        <f ca="1">IF(conta[[#This Row],[modo]]="",conta[[#This Row],[vencimento]]-TODAY(),"")</f>
        <v>144</v>
      </c>
    </row>
    <row r="94" spans="1:10" x14ac:dyDescent="0.25">
      <c r="A94" s="1" t="s">
        <v>378</v>
      </c>
      <c r="B94" s="1" t="s">
        <v>97</v>
      </c>
      <c r="C94" s="27">
        <v>46106</v>
      </c>
      <c r="D94" s="115">
        <v>46380</v>
      </c>
      <c r="E94" s="156">
        <v>150</v>
      </c>
      <c r="F94" s="1" t="str">
        <f>TEXT(conta[[#This Row],[vencimento]],"mmm")</f>
        <v>dez</v>
      </c>
      <c r="G9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4" s="1"/>
      <c r="I94" s="116"/>
      <c r="J94" s="82">
        <f ca="1">IF(conta[[#This Row],[modo]]="",conta[[#This Row],[vencimento]]-TODAY(),"")</f>
        <v>147</v>
      </c>
    </row>
    <row r="95" spans="1:10" x14ac:dyDescent="0.25">
      <c r="A95" s="1" t="s">
        <v>317</v>
      </c>
      <c r="B95" s="1" t="s">
        <v>97</v>
      </c>
      <c r="C95" s="27">
        <v>46017</v>
      </c>
      <c r="D95" s="115">
        <v>46381</v>
      </c>
      <c r="E95" s="156">
        <v>166.16</v>
      </c>
      <c r="F95" s="1" t="str">
        <f>TEXT(conta[[#This Row],[vencimento]],"mmm")</f>
        <v>dez</v>
      </c>
      <c r="G9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5" s="1"/>
      <c r="I95" s="116"/>
      <c r="J95" s="82">
        <f ca="1">IF(conta[[#This Row],[modo]]="",conta[[#This Row],[vencimento]]-TODAY(),"")</f>
        <v>148</v>
      </c>
    </row>
    <row r="96" spans="1:10" x14ac:dyDescent="0.25">
      <c r="A96" s="1" t="s">
        <v>318</v>
      </c>
      <c r="B96" s="1" t="s">
        <v>96</v>
      </c>
      <c r="C96" s="27">
        <v>46354</v>
      </c>
      <c r="D96" s="115">
        <v>46384</v>
      </c>
      <c r="E96" s="156">
        <v>500</v>
      </c>
      <c r="F96" s="1" t="str">
        <f>TEXT(conta[[#This Row],[vencimento]],"mmm")</f>
        <v>dez</v>
      </c>
      <c r="G9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6" s="1"/>
      <c r="I96" s="116"/>
      <c r="J96" s="82">
        <f ca="1">IF(conta[[#This Row],[modo]]="",conta[[#This Row],[vencimento]]-TODAY(),"")</f>
        <v>151</v>
      </c>
    </row>
    <row r="97" spans="1:10" x14ac:dyDescent="0.25">
      <c r="A97" s="1" t="s">
        <v>387</v>
      </c>
      <c r="B97" s="1" t="s">
        <v>97</v>
      </c>
      <c r="C97" s="27">
        <v>46127</v>
      </c>
      <c r="D97" s="115">
        <v>46402</v>
      </c>
      <c r="E97" s="156">
        <v>200</v>
      </c>
      <c r="F97" s="1" t="str">
        <f>TEXT(conta[[#This Row],[vencimento]],"mmm")</f>
        <v>jan</v>
      </c>
      <c r="G9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7" s="1"/>
      <c r="I97" s="116"/>
      <c r="J97" s="82">
        <f ca="1">IF(conta[[#This Row],[modo]]="",conta[[#This Row],[vencimento]]-TODAY(),"")</f>
        <v>169</v>
      </c>
    </row>
    <row r="98" spans="1:10" x14ac:dyDescent="0.25">
      <c r="A98" s="1" t="s">
        <v>378</v>
      </c>
      <c r="B98" s="1" t="s">
        <v>97</v>
      </c>
      <c r="C98" s="27">
        <v>46106</v>
      </c>
      <c r="D98" s="115">
        <v>46411</v>
      </c>
      <c r="E98" s="156">
        <v>150</v>
      </c>
      <c r="F98" s="1" t="str">
        <f>TEXT(conta[[#This Row],[vencimento]],"mmm")</f>
        <v>jan</v>
      </c>
      <c r="G9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8" s="1"/>
      <c r="I98" s="116"/>
      <c r="J98" s="82">
        <f ca="1">IF(conta[[#This Row],[modo]]="",conta[[#This Row],[vencimento]]-TODAY(),"")</f>
        <v>178</v>
      </c>
    </row>
    <row r="99" spans="1:10" x14ac:dyDescent="0.25">
      <c r="A99" s="1" t="s">
        <v>387</v>
      </c>
      <c r="B99" s="1" t="s">
        <v>97</v>
      </c>
      <c r="C99" s="27">
        <v>46127</v>
      </c>
      <c r="D99" s="115">
        <v>46433</v>
      </c>
      <c r="E99" s="156">
        <v>200</v>
      </c>
      <c r="F99" s="1" t="str">
        <f>TEXT(conta[[#This Row],[vencimento]],"mmm")</f>
        <v>fev</v>
      </c>
      <c r="G9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99" s="1"/>
      <c r="I99" s="116"/>
      <c r="J99" s="82">
        <f ca="1">IF(conta[[#This Row],[modo]]="",conta[[#This Row],[vencimento]]-TODAY(),"")</f>
        <v>200</v>
      </c>
    </row>
    <row r="100" spans="1:10" x14ac:dyDescent="0.25">
      <c r="A100" s="1" t="s">
        <v>378</v>
      </c>
      <c r="B100" s="1" t="s">
        <v>97</v>
      </c>
      <c r="C100" s="27">
        <v>46106</v>
      </c>
      <c r="D100" s="115">
        <v>46442</v>
      </c>
      <c r="E100" s="156">
        <v>150</v>
      </c>
      <c r="F100" s="1" t="str">
        <f>TEXT(conta[[#This Row],[vencimento]],"mmm")</f>
        <v>fev</v>
      </c>
      <c r="G10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100" s="1"/>
      <c r="I100" s="116"/>
      <c r="J100" s="82">
        <f ca="1">IF(conta[[#This Row],[modo]]="",conta[[#This Row],[vencimento]]-TODAY(),"")</f>
        <v>209</v>
      </c>
    </row>
    <row r="101" spans="1:10" x14ac:dyDescent="0.25">
      <c r="A101" s="1" t="s">
        <v>378</v>
      </c>
      <c r="B101" s="1" t="s">
        <v>97</v>
      </c>
      <c r="C101" s="27">
        <v>46106</v>
      </c>
      <c r="D101" s="115">
        <v>46470</v>
      </c>
      <c r="E101" s="156">
        <v>150</v>
      </c>
      <c r="F101" s="1" t="str">
        <f>TEXT(conta[[#This Row],[vencimento]],"mmm")</f>
        <v>mar</v>
      </c>
      <c r="G10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aberto</v>
      </c>
      <c r="H101" s="1"/>
      <c r="I101" s="116"/>
      <c r="J101" s="82">
        <f ca="1">IF(conta[[#This Row],[modo]]="",conta[[#This Row],[vencimento]]-TODAY(),"")</f>
        <v>237</v>
      </c>
    </row>
    <row r="102" spans="1:10" x14ac:dyDescent="0.25">
      <c r="A102" s="1" t="s">
        <v>317</v>
      </c>
      <c r="B102" s="1" t="s">
        <v>96</v>
      </c>
      <c r="C102" s="27">
        <v>46017</v>
      </c>
      <c r="D102" s="115">
        <v>46198</v>
      </c>
      <c r="E102" s="156">
        <v>187</v>
      </c>
      <c r="F102" s="1" t="str">
        <f>TEXT(conta[[#This Row],[vencimento]],"mmm")</f>
        <v>jun</v>
      </c>
      <c r="G10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2" s="1" t="s">
        <v>115</v>
      </c>
      <c r="I102" s="116">
        <v>46223</v>
      </c>
      <c r="J102" s="82" t="str">
        <f ca="1">IF(conta[[#This Row],[modo]]="",conta[[#This Row],[vencimento]]-TODAY(),"")</f>
        <v/>
      </c>
    </row>
    <row r="103" spans="1:10" x14ac:dyDescent="0.25">
      <c r="A103" s="1" t="s">
        <v>318</v>
      </c>
      <c r="B103" s="1" t="s">
        <v>96</v>
      </c>
      <c r="C103" s="27">
        <v>46171</v>
      </c>
      <c r="D103" s="115">
        <v>46201</v>
      </c>
      <c r="E103" s="156">
        <v>500</v>
      </c>
      <c r="F103" s="1" t="str">
        <f>TEXT(conta[[#This Row],[vencimento]],"mmm")</f>
        <v>jun</v>
      </c>
      <c r="G10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3" s="1" t="s">
        <v>114</v>
      </c>
      <c r="I103" s="116">
        <v>46218</v>
      </c>
      <c r="J103" s="82" t="str">
        <f ca="1">IF(conta[[#This Row],[modo]]="",conta[[#This Row],[vencimento]]-TODAY(),"")</f>
        <v/>
      </c>
    </row>
    <row r="104" spans="1:10" x14ac:dyDescent="0.25">
      <c r="A104" s="1" t="s">
        <v>312</v>
      </c>
      <c r="B104" s="1" t="s">
        <v>97</v>
      </c>
      <c r="C104" s="27">
        <v>46002</v>
      </c>
      <c r="D104" s="115">
        <v>46213</v>
      </c>
      <c r="E104" s="156">
        <v>60</v>
      </c>
      <c r="F104" s="1" t="str">
        <f>TEXT(conta[[#This Row],[vencimento]],"mmm")</f>
        <v>jul</v>
      </c>
      <c r="G10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4" s="1" t="s">
        <v>115</v>
      </c>
      <c r="I104" s="116">
        <v>46223</v>
      </c>
      <c r="J104" s="82" t="str">
        <f ca="1">IF(conta[[#This Row],[modo]]="",conta[[#This Row],[vencimento]]-TODAY(),"")</f>
        <v/>
      </c>
    </row>
    <row r="105" spans="1:10" x14ac:dyDescent="0.25">
      <c r="A105" s="1" t="s">
        <v>320</v>
      </c>
      <c r="B105" s="1" t="s">
        <v>96</v>
      </c>
      <c r="C105" s="27">
        <v>46007</v>
      </c>
      <c r="D105" s="115">
        <v>46218</v>
      </c>
      <c r="E105" s="156">
        <v>31.9</v>
      </c>
      <c r="F105" s="1" t="str">
        <f>TEXT(conta[[#This Row],[vencimento]],"mmm")</f>
        <v>jul</v>
      </c>
      <c r="G10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5" s="1" t="s">
        <v>115</v>
      </c>
      <c r="I105" s="116">
        <v>46223</v>
      </c>
      <c r="J105" s="82" t="str">
        <f ca="1">IF(conta[[#This Row],[modo]]="",conta[[#This Row],[vencimento]]-TODAY(),"")</f>
        <v/>
      </c>
    </row>
    <row r="106" spans="1:10" x14ac:dyDescent="0.25">
      <c r="A106" s="1" t="s">
        <v>337</v>
      </c>
      <c r="B106" s="1" t="s">
        <v>97</v>
      </c>
      <c r="C106" s="27">
        <v>46209</v>
      </c>
      <c r="D106" s="115">
        <v>46206</v>
      </c>
      <c r="E106" s="156">
        <v>56.12</v>
      </c>
      <c r="F106" s="1" t="str">
        <f>TEXT(conta[[#This Row],[vencimento]],"mmm")</f>
        <v>jul</v>
      </c>
      <c r="G10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6" s="1" t="s">
        <v>115</v>
      </c>
      <c r="I106" s="116">
        <v>46206</v>
      </c>
      <c r="J106" s="82" t="str">
        <f ca="1">IF(conta[[#This Row],[modo]]="",conta[[#This Row],[vencimento]]-TODAY(),"")</f>
        <v/>
      </c>
    </row>
    <row r="107" spans="1:10" x14ac:dyDescent="0.25">
      <c r="A107" s="1" t="s">
        <v>337</v>
      </c>
      <c r="B107" s="1" t="s">
        <v>96</v>
      </c>
      <c r="C107" s="27">
        <v>46179</v>
      </c>
      <c r="D107" s="115">
        <v>46209</v>
      </c>
      <c r="E107" s="156">
        <v>9.61</v>
      </c>
      <c r="F107" s="1" t="str">
        <f>TEXT(conta[[#This Row],[vencimento]],"mmm")</f>
        <v>jul</v>
      </c>
      <c r="G10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7" s="1" t="s">
        <v>115</v>
      </c>
      <c r="I107" s="116">
        <v>46209</v>
      </c>
      <c r="J107" s="82" t="str">
        <f ca="1">IF(conta[[#This Row],[modo]]="",conta[[#This Row],[vencimento]]-TODAY(),"")</f>
        <v/>
      </c>
    </row>
    <row r="108" spans="1:10" x14ac:dyDescent="0.25">
      <c r="A108" s="1" t="s">
        <v>421</v>
      </c>
      <c r="B108" s="1" t="s">
        <v>97</v>
      </c>
      <c r="C108" s="27">
        <v>46209</v>
      </c>
      <c r="D108" s="115">
        <v>46209</v>
      </c>
      <c r="E108" s="156">
        <v>96.99</v>
      </c>
      <c r="F108" s="1" t="str">
        <f>TEXT(conta[[#This Row],[vencimento]],"mmm")</f>
        <v>jul</v>
      </c>
      <c r="G10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8" s="1" t="s">
        <v>115</v>
      </c>
      <c r="I108" s="116">
        <v>46209</v>
      </c>
      <c r="J108" s="82" t="str">
        <f ca="1">IF(conta[[#This Row],[modo]]="",conta[[#This Row],[vencimento]]-TODAY(),"")</f>
        <v/>
      </c>
    </row>
    <row r="109" spans="1:10" x14ac:dyDescent="0.25">
      <c r="A109" s="1" t="s">
        <v>336</v>
      </c>
      <c r="B109" s="1" t="s">
        <v>97</v>
      </c>
      <c r="C109" s="27">
        <v>46083</v>
      </c>
      <c r="D109" s="115">
        <v>46174</v>
      </c>
      <c r="E109" s="156">
        <v>33.6</v>
      </c>
      <c r="F109" s="1" t="str">
        <f>TEXT(conta[[#This Row],[vencimento]],"mmm")</f>
        <v>jun</v>
      </c>
      <c r="G10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09" s="1" t="s">
        <v>115</v>
      </c>
      <c r="I109" s="116">
        <v>46206</v>
      </c>
      <c r="J109" s="82" t="str">
        <f ca="1">IF(conta[[#This Row],[modo]]="",conta[[#This Row],[vencimento]]-TODAY(),"")</f>
        <v/>
      </c>
    </row>
    <row r="110" spans="1:10" x14ac:dyDescent="0.25">
      <c r="A110" s="1" t="s">
        <v>412</v>
      </c>
      <c r="B110" s="1" t="s">
        <v>96</v>
      </c>
      <c r="C110" s="27">
        <v>46152</v>
      </c>
      <c r="D110" s="115">
        <v>46183</v>
      </c>
      <c r="E110" s="156">
        <v>151.80000000000001</v>
      </c>
      <c r="F110" s="1" t="str">
        <f>TEXT(conta[[#This Row],[vencimento]],"mmm")</f>
        <v>jun</v>
      </c>
      <c r="G1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0" s="1" t="s">
        <v>115</v>
      </c>
      <c r="I110" s="116">
        <v>46191</v>
      </c>
      <c r="J110" s="82" t="str">
        <f ca="1">IF(conta[[#This Row],[modo]]="",conta[[#This Row],[vencimento]]-TODAY(),"")</f>
        <v/>
      </c>
    </row>
    <row r="111" spans="1:10" x14ac:dyDescent="0.25">
      <c r="A111" s="1" t="s">
        <v>320</v>
      </c>
      <c r="B111" s="1" t="s">
        <v>96</v>
      </c>
      <c r="C111" s="27">
        <v>46007</v>
      </c>
      <c r="D111" s="115">
        <v>46188</v>
      </c>
      <c r="E111" s="156">
        <v>31.9</v>
      </c>
      <c r="F111" s="1" t="str">
        <f>TEXT(conta[[#This Row],[vencimento]],"mmm")</f>
        <v>jun</v>
      </c>
      <c r="G1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1" s="194" t="s">
        <v>115</v>
      </c>
      <c r="I111" s="116">
        <v>46188</v>
      </c>
      <c r="J111" s="82" t="str">
        <f ca="1">IF(conta[[#This Row],[modo]]="",conta[[#This Row],[vencimento]]-TODAY(),"")</f>
        <v/>
      </c>
    </row>
    <row r="112" spans="1:10" x14ac:dyDescent="0.25">
      <c r="A112" s="1" t="s">
        <v>314</v>
      </c>
      <c r="B112" s="1" t="s">
        <v>97</v>
      </c>
      <c r="C112" s="27">
        <v>46012</v>
      </c>
      <c r="D112" s="115">
        <v>46193</v>
      </c>
      <c r="E112" s="156">
        <v>82.05</v>
      </c>
      <c r="F112" s="1" t="str">
        <f>TEXT(conta[[#This Row],[vencimento]],"mmm")</f>
        <v>jun</v>
      </c>
      <c r="G1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2" s="1" t="s">
        <v>115</v>
      </c>
      <c r="I112" s="116">
        <v>46206</v>
      </c>
      <c r="J112" s="82" t="str">
        <f ca="1">IF(conta[[#This Row],[modo]]="",conta[[#This Row],[vencimento]]-TODAY(),"")</f>
        <v/>
      </c>
    </row>
    <row r="113" spans="1:10" x14ac:dyDescent="0.25">
      <c r="A113" s="1" t="s">
        <v>313</v>
      </c>
      <c r="B113" s="1" t="s">
        <v>97</v>
      </c>
      <c r="C113" s="27">
        <v>46013</v>
      </c>
      <c r="D113" s="115">
        <v>46194</v>
      </c>
      <c r="E113" s="156">
        <v>60</v>
      </c>
      <c r="F113" s="1" t="str">
        <f>TEXT(conta[[#This Row],[vencimento]],"mmm")</f>
        <v>jun</v>
      </c>
      <c r="G1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3" s="1" t="s">
        <v>115</v>
      </c>
      <c r="I113" s="116">
        <v>46206</v>
      </c>
      <c r="J113" s="82" t="str">
        <f ca="1">IF(conta[[#This Row],[modo]]="",conta[[#This Row],[vencimento]]-TODAY(),"")</f>
        <v/>
      </c>
    </row>
    <row r="114" spans="1:10" x14ac:dyDescent="0.25">
      <c r="A114" s="1" t="s">
        <v>386</v>
      </c>
      <c r="B114" s="1" t="s">
        <v>97</v>
      </c>
      <c r="C114" s="27">
        <v>46168</v>
      </c>
      <c r="D114" s="115">
        <v>46198</v>
      </c>
      <c r="E114" s="156">
        <v>2685.96</v>
      </c>
      <c r="F114" s="1" t="str">
        <f>TEXT(conta[[#This Row],[vencimento]],"mmm")</f>
        <v>jun</v>
      </c>
      <c r="G1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4" s="1" t="s">
        <v>115</v>
      </c>
      <c r="I114" s="116">
        <v>46199</v>
      </c>
      <c r="J114" s="82" t="str">
        <f ca="1">IF(conta[[#This Row],[modo]]="",conta[[#This Row],[vencimento]]-TODAY(),"")</f>
        <v/>
      </c>
    </row>
    <row r="115" spans="1:10" x14ac:dyDescent="0.25">
      <c r="A115" s="1" t="s">
        <v>337</v>
      </c>
      <c r="B115" s="1" t="s">
        <v>96</v>
      </c>
      <c r="C115" s="27">
        <v>46175</v>
      </c>
      <c r="D115" s="115">
        <v>46205</v>
      </c>
      <c r="E115" s="156">
        <v>56.12</v>
      </c>
      <c r="F115" s="1" t="str">
        <f>TEXT(conta[[#This Row],[vencimento]],"mmm")</f>
        <v>jul</v>
      </c>
      <c r="G1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5" s="1" t="s">
        <v>115</v>
      </c>
      <c r="I115" s="116">
        <v>46206</v>
      </c>
      <c r="J115" s="82" t="str">
        <f ca="1">IF(conta[[#This Row],[modo]]="",conta[[#This Row],[vencimento]]-TODAY(),"")</f>
        <v/>
      </c>
    </row>
    <row r="116" spans="1:10" x14ac:dyDescent="0.25">
      <c r="A116" s="1" t="s">
        <v>315</v>
      </c>
      <c r="B116" s="1" t="s">
        <v>96</v>
      </c>
      <c r="C116" s="27">
        <v>46176</v>
      </c>
      <c r="D116" s="115">
        <v>46206</v>
      </c>
      <c r="E116" s="156">
        <v>60</v>
      </c>
      <c r="F116" s="1" t="str">
        <f>TEXT(conta[[#This Row],[vencimento]],"mmm")</f>
        <v>jul</v>
      </c>
      <c r="G1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6" s="1" t="s">
        <v>115</v>
      </c>
      <c r="I116" s="116">
        <v>46206</v>
      </c>
      <c r="J116" s="82" t="str">
        <f ca="1">IF(conta[[#This Row],[modo]]="",conta[[#This Row],[vencimento]]-TODAY(),"")</f>
        <v/>
      </c>
    </row>
    <row r="117" spans="1:10" x14ac:dyDescent="0.25">
      <c r="A117" s="1" t="s">
        <v>330</v>
      </c>
      <c r="B117" s="1" t="s">
        <v>96</v>
      </c>
      <c r="C117" s="27">
        <v>46026</v>
      </c>
      <c r="D117" s="115">
        <v>46208</v>
      </c>
      <c r="E117" s="156">
        <v>500</v>
      </c>
      <c r="F117" s="1" t="str">
        <f>TEXT(conta[[#This Row],[vencimento]],"mmm")</f>
        <v>jul</v>
      </c>
      <c r="G1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7" s="1" t="s">
        <v>115</v>
      </c>
      <c r="I117" s="116">
        <v>46204</v>
      </c>
      <c r="J117" s="82" t="str">
        <f ca="1">IF(conta[[#This Row],[modo]]="",conta[[#This Row],[vencimento]]-TODAY(),"")</f>
        <v/>
      </c>
    </row>
    <row r="118" spans="1:10" x14ac:dyDescent="0.25">
      <c r="A118" s="1" t="s">
        <v>312</v>
      </c>
      <c r="B118" s="1" t="s">
        <v>97</v>
      </c>
      <c r="C118" s="27">
        <v>46002</v>
      </c>
      <c r="D118" s="115">
        <v>46183</v>
      </c>
      <c r="E118" s="156">
        <v>60</v>
      </c>
      <c r="F118" s="1" t="str">
        <f>TEXT(conta[[#This Row],[vencimento]],"mmm")</f>
        <v>jun</v>
      </c>
      <c r="G1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8" s="1" t="s">
        <v>115</v>
      </c>
      <c r="I118" s="116">
        <v>46184</v>
      </c>
      <c r="J118" s="82" t="str">
        <f ca="1">IF(conta[[#This Row],[modo]]="",conta[[#This Row],[vencimento]]-TODAY(),"")</f>
        <v/>
      </c>
    </row>
    <row r="119" spans="1:10" x14ac:dyDescent="0.25">
      <c r="A119" s="1" t="s">
        <v>314</v>
      </c>
      <c r="B119" s="1" t="s">
        <v>97</v>
      </c>
      <c r="C119" s="27">
        <v>46012</v>
      </c>
      <c r="D119" s="208">
        <v>46162</v>
      </c>
      <c r="E119" s="156">
        <v>87.2</v>
      </c>
      <c r="F119" s="1" t="str">
        <f>TEXT(conta[[#This Row],[vencimento]],"mmm")</f>
        <v>mai</v>
      </c>
      <c r="G1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19" s="1" t="s">
        <v>115</v>
      </c>
      <c r="I119" s="116">
        <v>46177</v>
      </c>
      <c r="J119" s="82" t="str">
        <f ca="1">IF(conta[[#This Row],[modo]]="",conta[[#This Row],[vencimento]]-TODAY(),"")</f>
        <v/>
      </c>
    </row>
    <row r="120" spans="1:10" x14ac:dyDescent="0.25">
      <c r="A120" s="1" t="s">
        <v>317</v>
      </c>
      <c r="B120" s="1" t="s">
        <v>96</v>
      </c>
      <c r="C120" s="27">
        <v>46017</v>
      </c>
      <c r="D120" s="208">
        <v>46167</v>
      </c>
      <c r="E120" s="156">
        <v>166.16</v>
      </c>
      <c r="F120" s="1" t="str">
        <f>TEXT(conta[[#This Row],[vencimento]],"mmm")</f>
        <v>mai</v>
      </c>
      <c r="G1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0" s="1" t="s">
        <v>115</v>
      </c>
      <c r="I120" s="116">
        <v>46175</v>
      </c>
      <c r="J120" s="82" t="str">
        <f ca="1">IF(conta[[#This Row],[modo]]="",conta[[#This Row],[vencimento]]-TODAY(),"")</f>
        <v/>
      </c>
    </row>
    <row r="121" spans="1:10" x14ac:dyDescent="0.25">
      <c r="A121" s="1" t="s">
        <v>318</v>
      </c>
      <c r="B121" s="1" t="s">
        <v>96</v>
      </c>
      <c r="C121" s="27">
        <v>46137</v>
      </c>
      <c r="D121" s="115">
        <v>46170</v>
      </c>
      <c r="E121" s="156">
        <v>500</v>
      </c>
      <c r="F121" s="1" t="str">
        <f>TEXT(conta[[#This Row],[vencimento]],"mmm")</f>
        <v>mai</v>
      </c>
      <c r="G1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1" s="1" t="s">
        <v>115</v>
      </c>
      <c r="I121" s="116">
        <v>46176</v>
      </c>
      <c r="J121" s="82" t="str">
        <f ca="1">IF(conta[[#This Row],[modo]]="",conta[[#This Row],[vencimento]]-TODAY(),"")</f>
        <v/>
      </c>
    </row>
    <row r="122" spans="1:10" x14ac:dyDescent="0.25">
      <c r="A122" s="1" t="s">
        <v>337</v>
      </c>
      <c r="B122" s="1" t="s">
        <v>96</v>
      </c>
      <c r="C122" s="27">
        <v>46145</v>
      </c>
      <c r="D122" s="115">
        <v>46175</v>
      </c>
      <c r="E122" s="156">
        <v>56.87</v>
      </c>
      <c r="F122" s="1" t="str">
        <f>TEXT(conta[[#This Row],[vencimento]],"mmm")</f>
        <v>jun</v>
      </c>
      <c r="G12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2" s="1" t="s">
        <v>115</v>
      </c>
      <c r="I122" s="116">
        <v>46179</v>
      </c>
      <c r="J122" s="82" t="str">
        <f ca="1">IF(conta[[#This Row],[modo]]="",conta[[#This Row],[vencimento]]-TODAY(),"")</f>
        <v/>
      </c>
    </row>
    <row r="123" spans="1:10" x14ac:dyDescent="0.25">
      <c r="A123" s="1" t="s">
        <v>330</v>
      </c>
      <c r="B123" s="1" t="s">
        <v>96</v>
      </c>
      <c r="C123" s="27">
        <v>46145</v>
      </c>
      <c r="D123" s="115">
        <v>46175</v>
      </c>
      <c r="E123" s="156">
        <v>500</v>
      </c>
      <c r="F123" s="1" t="str">
        <f>TEXT(conta[[#This Row],[vencimento]],"mmm")</f>
        <v>jun</v>
      </c>
      <c r="G12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3" s="1" t="s">
        <v>115</v>
      </c>
      <c r="I123" s="116">
        <v>46176</v>
      </c>
      <c r="J123" s="82" t="str">
        <f ca="1">IF(conta[[#This Row],[modo]]="",conta[[#This Row],[vencimento]]-TODAY(),"")</f>
        <v/>
      </c>
    </row>
    <row r="124" spans="1:10" x14ac:dyDescent="0.25">
      <c r="A124" s="1" t="s">
        <v>315</v>
      </c>
      <c r="B124" s="1" t="s">
        <v>96</v>
      </c>
      <c r="C124" s="27">
        <v>46146</v>
      </c>
      <c r="D124" s="115">
        <v>46176</v>
      </c>
      <c r="E124" s="156">
        <v>60</v>
      </c>
      <c r="F124" s="1" t="str">
        <f>TEXT(conta[[#This Row],[vencimento]],"mmm")</f>
        <v>jun</v>
      </c>
      <c r="G12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4" s="1" t="s">
        <v>115</v>
      </c>
      <c r="I124" s="116">
        <v>46176</v>
      </c>
      <c r="J124" s="82" t="str">
        <f ca="1">IF(conta[[#This Row],[modo]]="",conta[[#This Row],[vencimento]]-TODAY(),"")</f>
        <v/>
      </c>
    </row>
    <row r="125" spans="1:10" x14ac:dyDescent="0.25">
      <c r="A125" s="1" t="s">
        <v>336</v>
      </c>
      <c r="B125" s="1" t="s">
        <v>96</v>
      </c>
      <c r="C125" s="27">
        <v>46117</v>
      </c>
      <c r="D125" s="115">
        <v>46178</v>
      </c>
      <c r="E125" s="156">
        <v>68.47</v>
      </c>
      <c r="F125" s="1" t="str">
        <f>TEXT(conta[[#This Row],[vencimento]],"mmm")</f>
        <v>jun</v>
      </c>
      <c r="G12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5" s="1" t="s">
        <v>115</v>
      </c>
      <c r="I125" s="116">
        <v>46180</v>
      </c>
      <c r="J125" s="82" t="str">
        <f ca="1">IF(conta[[#This Row],[modo]]="",conta[[#This Row],[vencimento]]-TODAY(),"")</f>
        <v/>
      </c>
    </row>
    <row r="126" spans="1:10" x14ac:dyDescent="0.25">
      <c r="A126" s="1" t="s">
        <v>337</v>
      </c>
      <c r="B126" s="1" t="s">
        <v>96</v>
      </c>
      <c r="C126" s="27">
        <v>46149</v>
      </c>
      <c r="D126" s="115">
        <v>46179</v>
      </c>
      <c r="E126" s="156">
        <v>9.61</v>
      </c>
      <c r="F126" s="1" t="str">
        <f>TEXT(conta[[#This Row],[vencimento]],"mmm")</f>
        <v>jun</v>
      </c>
      <c r="G12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6" s="1" t="s">
        <v>115</v>
      </c>
      <c r="I126" s="116">
        <v>9.61</v>
      </c>
      <c r="J126" s="82" t="str">
        <f ca="1">IF(conta[[#This Row],[modo]]="",conta[[#This Row],[vencimento]]-TODAY(),"")</f>
        <v/>
      </c>
    </row>
    <row r="127" spans="1:10" x14ac:dyDescent="0.25">
      <c r="A127" s="1" t="s">
        <v>313</v>
      </c>
      <c r="B127" s="1" t="s">
        <v>97</v>
      </c>
      <c r="C127" s="27">
        <v>46013</v>
      </c>
      <c r="D127" s="208">
        <v>46163</v>
      </c>
      <c r="E127" s="156">
        <v>60</v>
      </c>
      <c r="F127" s="1" t="str">
        <f>TEXT(conta[[#This Row],[vencimento]],"mmm")</f>
        <v>mai</v>
      </c>
      <c r="G12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7" s="1" t="s">
        <v>115</v>
      </c>
      <c r="I127" s="116">
        <v>46174</v>
      </c>
      <c r="J127" s="82" t="str">
        <f ca="1">IF(conta[[#This Row],[modo]]="",conta[[#This Row],[vencimento]]-TODAY(),"")</f>
        <v/>
      </c>
    </row>
    <row r="128" spans="1:10" x14ac:dyDescent="0.25">
      <c r="A128" s="1" t="s">
        <v>238</v>
      </c>
      <c r="B128" s="1" t="s">
        <v>96</v>
      </c>
      <c r="C128" s="27">
        <v>46133</v>
      </c>
      <c r="D128" s="115">
        <v>46163</v>
      </c>
      <c r="E128" s="156">
        <v>68.25</v>
      </c>
      <c r="F128" s="1" t="str">
        <f>TEXT(conta[[#This Row],[vencimento]],"mmm")</f>
        <v>mai</v>
      </c>
      <c r="G12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8" s="1" t="s">
        <v>115</v>
      </c>
      <c r="I128" s="116">
        <v>46163</v>
      </c>
      <c r="J128" s="82" t="str">
        <f ca="1">IF(conta[[#This Row],[modo]]="",conta[[#This Row],[vencimento]]-TODAY(),"")</f>
        <v/>
      </c>
    </row>
    <row r="129" spans="1:10" x14ac:dyDescent="0.25">
      <c r="A129" s="1" t="s">
        <v>386</v>
      </c>
      <c r="B129" s="1" t="s">
        <v>97</v>
      </c>
      <c r="C129" s="27">
        <v>46137</v>
      </c>
      <c r="D129" s="115">
        <v>46167</v>
      </c>
      <c r="E129" s="156">
        <v>2685.96</v>
      </c>
      <c r="F129" s="1" t="str">
        <f>TEXT(conta[[#This Row],[vencimento]],"mmm")</f>
        <v>mai</v>
      </c>
      <c r="G12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29" s="194" t="s">
        <v>115</v>
      </c>
      <c r="I129" s="116">
        <v>46174</v>
      </c>
      <c r="J129" s="82" t="str">
        <f ca="1">IF(conta[[#This Row],[modo]]="",conta[[#This Row],[vencimento]]-TODAY(),"")</f>
        <v/>
      </c>
    </row>
    <row r="130" spans="1:10" x14ac:dyDescent="0.25">
      <c r="A130" s="1" t="s">
        <v>320</v>
      </c>
      <c r="B130" s="1" t="s">
        <v>96</v>
      </c>
      <c r="C130" s="27">
        <v>46007</v>
      </c>
      <c r="D130" s="115">
        <v>46157</v>
      </c>
      <c r="E130" s="156">
        <v>31.9</v>
      </c>
      <c r="F130" s="1" t="str">
        <f>TEXT(conta[[#This Row],[vencimento]],"mmm")</f>
        <v>mai</v>
      </c>
      <c r="G13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0" s="1" t="s">
        <v>115</v>
      </c>
      <c r="I130" s="116">
        <v>46157</v>
      </c>
      <c r="J130" s="82" t="str">
        <f ca="1">IF(conta[[#This Row],[modo]]="",conta[[#This Row],[vencimento]]-TODAY(),"")</f>
        <v/>
      </c>
    </row>
    <row r="131" spans="1:10" x14ac:dyDescent="0.25">
      <c r="A131" s="1" t="s">
        <v>337</v>
      </c>
      <c r="B131" s="1" t="s">
        <v>96</v>
      </c>
      <c r="C131" s="27">
        <v>46118</v>
      </c>
      <c r="D131" s="115">
        <v>46148</v>
      </c>
      <c r="E131" s="156">
        <v>9.61</v>
      </c>
      <c r="F131" s="1" t="str">
        <f>TEXT(conta[[#This Row],[vencimento]],"mmm")</f>
        <v>mai</v>
      </c>
      <c r="G13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1" s="1" t="s">
        <v>115</v>
      </c>
      <c r="I131" s="116">
        <v>46148</v>
      </c>
      <c r="J131" s="82" t="str">
        <f ca="1">IF(conta[[#This Row],[modo]]="",conta[[#This Row],[vencimento]]-TODAY(),"")</f>
        <v/>
      </c>
    </row>
    <row r="132" spans="1:10" x14ac:dyDescent="0.25">
      <c r="A132" s="1" t="s">
        <v>312</v>
      </c>
      <c r="B132" s="1" t="s">
        <v>97</v>
      </c>
      <c r="C132" s="27">
        <v>46002</v>
      </c>
      <c r="D132" s="115">
        <v>46152</v>
      </c>
      <c r="E132" s="156">
        <v>60</v>
      </c>
      <c r="F132" s="1" t="str">
        <f>TEXT(conta[[#This Row],[vencimento]],"mmm")</f>
        <v>mai</v>
      </c>
      <c r="G13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2" s="1" t="s">
        <v>115</v>
      </c>
      <c r="I132" s="116">
        <v>46152</v>
      </c>
      <c r="J132" s="82" t="str">
        <f ca="1">IF(conta[[#This Row],[modo]]="",conta[[#This Row],[vencimento]]-TODAY(),"")</f>
        <v/>
      </c>
    </row>
    <row r="133" spans="1:10" x14ac:dyDescent="0.25">
      <c r="A133" s="1" t="s">
        <v>317</v>
      </c>
      <c r="B133" s="1" t="s">
        <v>96</v>
      </c>
      <c r="C133" s="27">
        <v>46017</v>
      </c>
      <c r="D133" s="208">
        <v>46137</v>
      </c>
      <c r="E133" s="156">
        <v>166.16</v>
      </c>
      <c r="F133" s="1" t="str">
        <f>TEXT(conta[[#This Row],[vencimento]],"mmm")</f>
        <v>abr</v>
      </c>
      <c r="G13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3" s="1" t="s">
        <v>115</v>
      </c>
      <c r="I133" s="116">
        <v>46146</v>
      </c>
      <c r="J133" s="82" t="str">
        <f ca="1">IF(conta[[#This Row],[modo]]="",conta[[#This Row],[vencimento]]-TODAY(),"")</f>
        <v/>
      </c>
    </row>
    <row r="134" spans="1:10" x14ac:dyDescent="0.25">
      <c r="A134" s="1" t="s">
        <v>336</v>
      </c>
      <c r="B134" s="1" t="s">
        <v>97</v>
      </c>
      <c r="C134" s="27">
        <v>46083</v>
      </c>
      <c r="D134" s="115">
        <v>46143</v>
      </c>
      <c r="E134" s="156">
        <v>32.65</v>
      </c>
      <c r="F134" s="1" t="str">
        <f>TEXT(conta[[#This Row],[vencimento]],"mmm")</f>
        <v>mai</v>
      </c>
      <c r="G13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4" s="1" t="s">
        <v>115</v>
      </c>
      <c r="I134" s="116">
        <v>46145</v>
      </c>
      <c r="J134" s="82" t="str">
        <f ca="1">IF(conta[[#This Row],[modo]]="",conta[[#This Row],[vencimento]]-TODAY(),"")</f>
        <v/>
      </c>
    </row>
    <row r="135" spans="1:10" x14ac:dyDescent="0.25">
      <c r="A135" s="1" t="s">
        <v>330</v>
      </c>
      <c r="B135" s="1" t="s">
        <v>96</v>
      </c>
      <c r="C135" s="27">
        <v>46114</v>
      </c>
      <c r="D135" s="208">
        <v>46144</v>
      </c>
      <c r="E135" s="156">
        <v>500</v>
      </c>
      <c r="F135" s="1" t="str">
        <f>TEXT(conta[[#This Row],[vencimento]],"mmm")</f>
        <v>mai</v>
      </c>
      <c r="G13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5" s="1" t="s">
        <v>115</v>
      </c>
      <c r="I135" s="116">
        <v>46147</v>
      </c>
      <c r="J135" s="82" t="str">
        <f ca="1">IF(conta[[#This Row],[modo]]="",conta[[#This Row],[vencimento]]-TODAY(),"")</f>
        <v/>
      </c>
    </row>
    <row r="136" spans="1:10" x14ac:dyDescent="0.25">
      <c r="A136" s="1" t="s">
        <v>315</v>
      </c>
      <c r="B136" s="1" t="s">
        <v>96</v>
      </c>
      <c r="C136" s="27">
        <v>46115</v>
      </c>
      <c r="D136" s="115">
        <v>46145</v>
      </c>
      <c r="E136" s="156">
        <v>60</v>
      </c>
      <c r="F136" s="1" t="str">
        <f>TEXT(conta[[#This Row],[vencimento]],"mmm")</f>
        <v>mai</v>
      </c>
      <c r="G13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6" s="1" t="s">
        <v>115</v>
      </c>
      <c r="I136" s="116">
        <v>46145</v>
      </c>
      <c r="J136" s="82" t="str">
        <f ca="1">IF(conta[[#This Row],[modo]]="",conta[[#This Row],[vencimento]]-TODAY(),"")</f>
        <v/>
      </c>
    </row>
    <row r="137" spans="1:10" x14ac:dyDescent="0.25">
      <c r="A137" s="1" t="s">
        <v>238</v>
      </c>
      <c r="B137" s="1" t="s">
        <v>97</v>
      </c>
      <c r="C137" s="158">
        <v>46117</v>
      </c>
      <c r="D137" s="159">
        <v>46147</v>
      </c>
      <c r="E137" s="156">
        <v>68.459999999999994</v>
      </c>
      <c r="F137" s="1" t="str">
        <f>TEXT(conta[[#This Row],[vencimento]],"mmm")</f>
        <v>mai</v>
      </c>
      <c r="G13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7" s="1" t="s">
        <v>115</v>
      </c>
      <c r="I137" s="116">
        <v>46147</v>
      </c>
      <c r="J137" s="82" t="str">
        <f ca="1">IF(conta[[#This Row],[modo]]="",conta[[#This Row],[vencimento]]-TODAY(),"")</f>
        <v/>
      </c>
    </row>
    <row r="138" spans="1:10" x14ac:dyDescent="0.25">
      <c r="A138" s="1" t="s">
        <v>320</v>
      </c>
      <c r="B138" s="1" t="s">
        <v>96</v>
      </c>
      <c r="C138" s="27">
        <v>46007</v>
      </c>
      <c r="D138" s="115">
        <v>46127</v>
      </c>
      <c r="E138" s="156">
        <v>31.9</v>
      </c>
      <c r="F138" s="1" t="str">
        <f>TEXT(conta[[#This Row],[vencimento]],"mmm")</f>
        <v>abr</v>
      </c>
      <c r="G13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8" s="1" t="s">
        <v>115</v>
      </c>
      <c r="I138" s="116">
        <v>46134</v>
      </c>
      <c r="J138" s="82" t="str">
        <f ca="1">IF(conta[[#This Row],[modo]]="",conta[[#This Row],[vencimento]]-TODAY(),"")</f>
        <v/>
      </c>
    </row>
    <row r="139" spans="1:10" x14ac:dyDescent="0.25">
      <c r="A139" s="1" t="s">
        <v>314</v>
      </c>
      <c r="B139" s="1" t="s">
        <v>97</v>
      </c>
      <c r="C139" s="27">
        <v>46012</v>
      </c>
      <c r="D139" s="208">
        <v>46132</v>
      </c>
      <c r="E139" s="156">
        <v>82.05</v>
      </c>
      <c r="F139" s="1" t="str">
        <f>TEXT(conta[[#This Row],[vencimento]],"mmm")</f>
        <v>abr</v>
      </c>
      <c r="G13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39" s="1" t="s">
        <v>115</v>
      </c>
      <c r="I139" s="116">
        <v>46133</v>
      </c>
      <c r="J139" s="82" t="str">
        <f ca="1">IF(conta[[#This Row],[modo]]="",conta[[#This Row],[vencimento]]-TODAY(),"")</f>
        <v/>
      </c>
    </row>
    <row r="140" spans="1:10" x14ac:dyDescent="0.25">
      <c r="A140" s="1" t="s">
        <v>313</v>
      </c>
      <c r="B140" s="1" t="s">
        <v>97</v>
      </c>
      <c r="C140" s="27">
        <v>46013</v>
      </c>
      <c r="D140" s="208">
        <v>46133</v>
      </c>
      <c r="E140" s="156">
        <v>60</v>
      </c>
      <c r="F140" s="1" t="str">
        <f>TEXT(conta[[#This Row],[vencimento]],"mmm")</f>
        <v>abr</v>
      </c>
      <c r="G14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0" s="1" t="s">
        <v>115</v>
      </c>
      <c r="I140" s="116">
        <v>46139</v>
      </c>
      <c r="J140" s="82" t="str">
        <f ca="1">IF(conta[[#This Row],[modo]]="",conta[[#This Row],[vencimento]]-TODAY(),"")</f>
        <v/>
      </c>
    </row>
    <row r="141" spans="1:10" x14ac:dyDescent="0.25">
      <c r="A141" s="1" t="s">
        <v>306</v>
      </c>
      <c r="B141" s="1" t="s">
        <v>97</v>
      </c>
      <c r="C141" s="27">
        <v>46084</v>
      </c>
      <c r="D141" s="115">
        <v>46143</v>
      </c>
      <c r="E141" s="156">
        <v>100</v>
      </c>
      <c r="F141" s="1" t="str">
        <f>TEXT(conta[[#This Row],[vencimento]],"mmm")</f>
        <v>mai</v>
      </c>
      <c r="G14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1" s="1" t="s">
        <v>115</v>
      </c>
      <c r="I141" s="116">
        <v>46128</v>
      </c>
      <c r="J141" s="82" t="str">
        <f ca="1">IF(conta[[#This Row],[modo]]="",conta[[#This Row],[vencimento]]-TODAY(),"")</f>
        <v/>
      </c>
    </row>
    <row r="142" spans="1:10" x14ac:dyDescent="0.25">
      <c r="A142" s="1" t="s">
        <v>306</v>
      </c>
      <c r="B142" s="1" t="s">
        <v>97</v>
      </c>
      <c r="C142" s="27">
        <v>46083</v>
      </c>
      <c r="D142" s="115">
        <v>46113</v>
      </c>
      <c r="E142" s="156">
        <v>100</v>
      </c>
      <c r="F142" s="1" t="str">
        <f>TEXT(conta[[#This Row],[vencimento]],"mmm")</f>
        <v>abr</v>
      </c>
      <c r="G14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2" s="1" t="s">
        <v>115</v>
      </c>
      <c r="I142" s="116">
        <v>46128</v>
      </c>
      <c r="J142" s="82" t="str">
        <f ca="1">IF(conta[[#This Row],[modo]]="",conta[[#This Row],[vencimento]]-TODAY(),"")</f>
        <v/>
      </c>
    </row>
    <row r="143" spans="1:10" x14ac:dyDescent="0.25">
      <c r="A143" s="1" t="s">
        <v>306</v>
      </c>
      <c r="B143" s="1" t="s">
        <v>97</v>
      </c>
      <c r="C143" s="27">
        <v>46086</v>
      </c>
      <c r="D143" s="115">
        <v>46116</v>
      </c>
      <c r="E143" s="156">
        <v>100</v>
      </c>
      <c r="F143" s="1" t="str">
        <f>TEXT(conta[[#This Row],[vencimento]],"mmm")</f>
        <v>abr</v>
      </c>
      <c r="G14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3" s="1" t="s">
        <v>115</v>
      </c>
      <c r="I143" s="116">
        <v>46128</v>
      </c>
      <c r="J143" s="82" t="str">
        <f ca="1">IF(conta[[#This Row],[modo]]="",conta[[#This Row],[vencimento]]-TODAY(),"")</f>
        <v/>
      </c>
    </row>
    <row r="144" spans="1:10" x14ac:dyDescent="0.25">
      <c r="A144" s="1" t="s">
        <v>306</v>
      </c>
      <c r="B144" s="1" t="s">
        <v>97</v>
      </c>
      <c r="C144" s="27">
        <v>46062</v>
      </c>
      <c r="D144" s="115">
        <v>46094</v>
      </c>
      <c r="E144" s="156">
        <v>100</v>
      </c>
      <c r="F144" s="1" t="str">
        <f>TEXT(conta[[#This Row],[vencimento]],"mmm")</f>
        <v>mar</v>
      </c>
      <c r="G14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4" s="1" t="s">
        <v>115</v>
      </c>
      <c r="I144" s="116">
        <v>46128</v>
      </c>
      <c r="J144" s="82" t="str">
        <f ca="1">IF(conta[[#This Row],[modo]]="",conta[[#This Row],[vencimento]]-TODAY(),"")</f>
        <v/>
      </c>
    </row>
    <row r="145" spans="1:10" x14ac:dyDescent="0.25">
      <c r="A145" s="1" t="s">
        <v>306</v>
      </c>
      <c r="B145" s="1" t="s">
        <v>97</v>
      </c>
      <c r="C145" s="27">
        <v>46062</v>
      </c>
      <c r="D145" s="115">
        <v>46101</v>
      </c>
      <c r="E145" s="156">
        <v>100</v>
      </c>
      <c r="F145" s="1" t="str">
        <f>TEXT(conta[[#This Row],[vencimento]],"mmm")</f>
        <v>mar</v>
      </c>
      <c r="G14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5" s="1" t="s">
        <v>115</v>
      </c>
      <c r="I145" s="116">
        <v>46128</v>
      </c>
      <c r="J145" s="82" t="str">
        <f ca="1">IF(conta[[#This Row],[modo]]="",conta[[#This Row],[vencimento]]-TODAY(),"")</f>
        <v/>
      </c>
    </row>
    <row r="146" spans="1:10" x14ac:dyDescent="0.25">
      <c r="A146" s="1" t="s">
        <v>306</v>
      </c>
      <c r="B146" s="1" t="s">
        <v>97</v>
      </c>
      <c r="C146" s="27">
        <v>46062</v>
      </c>
      <c r="D146" s="115">
        <v>46108</v>
      </c>
      <c r="E146" s="156">
        <v>100</v>
      </c>
      <c r="F146" s="1" t="str">
        <f>TEXT(conta[[#This Row],[vencimento]],"mmm")</f>
        <v>mar</v>
      </c>
      <c r="G14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6" s="1" t="s">
        <v>115</v>
      </c>
      <c r="I146" s="116">
        <v>46128</v>
      </c>
      <c r="J146" s="82" t="str">
        <f ca="1">IF(conta[[#This Row],[modo]]="",conta[[#This Row],[vencimento]]-TODAY(),"")</f>
        <v/>
      </c>
    </row>
    <row r="147" spans="1:10" x14ac:dyDescent="0.25">
      <c r="A147" s="1" t="s">
        <v>312</v>
      </c>
      <c r="B147" s="1" t="s">
        <v>97</v>
      </c>
      <c r="C147" s="27">
        <v>46002</v>
      </c>
      <c r="D147" s="208">
        <v>46122</v>
      </c>
      <c r="E147" s="156">
        <v>60</v>
      </c>
      <c r="F147" s="1" t="str">
        <f>TEXT(conta[[#This Row],[vencimento]],"mmm")</f>
        <v>abr</v>
      </c>
      <c r="G14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7" s="1" t="s">
        <v>115</v>
      </c>
      <c r="I147" s="116">
        <v>46122</v>
      </c>
      <c r="J147" s="82" t="str">
        <f ca="1">IF(conta[[#This Row],[modo]]="",conta[[#This Row],[vencimento]]-TODAY(),"")</f>
        <v/>
      </c>
    </row>
    <row r="148" spans="1:10" x14ac:dyDescent="0.25">
      <c r="A148" s="1" t="s">
        <v>318</v>
      </c>
      <c r="B148" s="1" t="s">
        <v>96</v>
      </c>
      <c r="C148" s="27">
        <v>46110</v>
      </c>
      <c r="D148" s="115">
        <v>46140</v>
      </c>
      <c r="E148" s="156">
        <v>500</v>
      </c>
      <c r="F148" s="1" t="str">
        <f>TEXT(conta[[#This Row],[vencimento]],"mmm")</f>
        <v>abr</v>
      </c>
      <c r="G14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8" s="1" t="s">
        <v>114</v>
      </c>
      <c r="I148" s="116">
        <v>46118</v>
      </c>
      <c r="J148" s="82" t="str">
        <f ca="1">IF(conta[[#This Row],[modo]]="",conta[[#This Row],[vencimento]]-TODAY(),"")</f>
        <v/>
      </c>
    </row>
    <row r="149" spans="1:10" x14ac:dyDescent="0.25">
      <c r="A149" s="1" t="s">
        <v>388</v>
      </c>
      <c r="B149" s="1" t="s">
        <v>97</v>
      </c>
      <c r="C149" s="27">
        <v>46083</v>
      </c>
      <c r="D149" s="115">
        <v>46113</v>
      </c>
      <c r="E149" s="156">
        <v>92.31</v>
      </c>
      <c r="F149" s="1" t="str">
        <f>TEXT(conta[[#This Row],[vencimento]],"mmm")</f>
        <v>abr</v>
      </c>
      <c r="G14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49" s="1" t="s">
        <v>115</v>
      </c>
      <c r="I149" s="116">
        <v>46118</v>
      </c>
      <c r="J149" s="82" t="str">
        <f ca="1">IF(conta[[#This Row],[modo]]="",conta[[#This Row],[vencimento]]-TODAY(),"")</f>
        <v/>
      </c>
    </row>
    <row r="150" spans="1:10" x14ac:dyDescent="0.25">
      <c r="A150" s="1" t="s">
        <v>363</v>
      </c>
      <c r="B150" s="1" t="s">
        <v>97</v>
      </c>
      <c r="C150" s="27">
        <v>46051</v>
      </c>
      <c r="D150" s="115">
        <v>46081</v>
      </c>
      <c r="E150" s="156">
        <v>81.87</v>
      </c>
      <c r="F150" s="1" t="str">
        <f>TEXT(conta[[#This Row],[vencimento]],"mmm")</f>
        <v>fev</v>
      </c>
      <c r="G15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0" s="1" t="s">
        <v>115</v>
      </c>
      <c r="I150" s="116">
        <v>46118</v>
      </c>
      <c r="J150" s="82" t="str">
        <f ca="1">IF(conta[[#This Row],[modo]]="",conta[[#This Row],[vencimento]]-TODAY(),"")</f>
        <v/>
      </c>
    </row>
    <row r="151" spans="1:10" x14ac:dyDescent="0.25">
      <c r="A151" s="1" t="s">
        <v>317</v>
      </c>
      <c r="B151" s="1" t="s">
        <v>96</v>
      </c>
      <c r="C151" s="27">
        <v>46017</v>
      </c>
      <c r="D151" s="208">
        <v>46106</v>
      </c>
      <c r="E151" s="156">
        <v>173.5</v>
      </c>
      <c r="F151" s="1" t="str">
        <f>TEXT(conta[[#This Row],[vencimento]],"mmm")</f>
        <v>mar</v>
      </c>
      <c r="G15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1" s="1" t="s">
        <v>115</v>
      </c>
      <c r="I151" s="116">
        <v>46118</v>
      </c>
      <c r="J151" s="82" t="str">
        <f ca="1">IF(conta[[#This Row],[modo]]="",conta[[#This Row],[vencimento]]-TODAY(),"")</f>
        <v/>
      </c>
    </row>
    <row r="152" spans="1:10" x14ac:dyDescent="0.25">
      <c r="A152" s="1" t="s">
        <v>315</v>
      </c>
      <c r="B152" s="1" t="s">
        <v>96</v>
      </c>
      <c r="C152" s="27">
        <v>46085</v>
      </c>
      <c r="D152" s="115">
        <v>46115</v>
      </c>
      <c r="E152" s="156">
        <v>44.9</v>
      </c>
      <c r="F152" s="1" t="str">
        <f>TEXT(conta[[#This Row],[vencimento]],"mmm")</f>
        <v>abr</v>
      </c>
      <c r="G15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2" s="1" t="s">
        <v>115</v>
      </c>
      <c r="I152" s="116">
        <v>46118</v>
      </c>
      <c r="J152" s="82" t="str">
        <f ca="1">IF(conta[[#This Row],[modo]]="",conta[[#This Row],[vencimento]]-TODAY(),"")</f>
        <v/>
      </c>
    </row>
    <row r="153" spans="1:10" x14ac:dyDescent="0.25">
      <c r="A153" s="1" t="s">
        <v>336</v>
      </c>
      <c r="B153" s="1" t="s">
        <v>96</v>
      </c>
      <c r="C153" s="27">
        <v>46047</v>
      </c>
      <c r="D153" s="115">
        <v>46105</v>
      </c>
      <c r="E153" s="156">
        <v>68.459999999999994</v>
      </c>
      <c r="F153" s="1" t="str">
        <f>TEXT(conta[[#This Row],[vencimento]],"mmm")</f>
        <v>mar</v>
      </c>
      <c r="G15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3" s="1" t="s">
        <v>115</v>
      </c>
      <c r="I153" s="116">
        <v>46118</v>
      </c>
      <c r="J153" s="82" t="str">
        <f ca="1">IF(conta[[#This Row],[modo]]="",conta[[#This Row],[vencimento]]-TODAY(),"")</f>
        <v/>
      </c>
    </row>
    <row r="154" spans="1:10" x14ac:dyDescent="0.25">
      <c r="A154" s="1" t="s">
        <v>238</v>
      </c>
      <c r="B154" s="1" t="s">
        <v>96</v>
      </c>
      <c r="C154" s="27">
        <v>46100</v>
      </c>
      <c r="D154" s="115">
        <v>46130</v>
      </c>
      <c r="E154" s="156">
        <v>114.75</v>
      </c>
      <c r="F154" s="1" t="str">
        <f>TEXT(conta[[#This Row],[vencimento]],"mmm")</f>
        <v>abr</v>
      </c>
      <c r="G15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4" s="1" t="s">
        <v>115</v>
      </c>
      <c r="I154" s="116">
        <v>46118</v>
      </c>
      <c r="J154" s="82" t="str">
        <f ca="1">IF(conta[[#This Row],[modo]]="",conta[[#This Row],[vencimento]]-TODAY(),"")</f>
        <v/>
      </c>
    </row>
    <row r="155" spans="1:10" x14ac:dyDescent="0.25">
      <c r="A155" s="1" t="s">
        <v>238</v>
      </c>
      <c r="B155" s="1" t="s">
        <v>96</v>
      </c>
      <c r="C155" s="27">
        <v>46103</v>
      </c>
      <c r="D155" s="115">
        <v>46133</v>
      </c>
      <c r="E155" s="156">
        <v>68.25</v>
      </c>
      <c r="F155" s="1" t="str">
        <f>TEXT(conta[[#This Row],[vencimento]],"mmm")</f>
        <v>abr</v>
      </c>
      <c r="G15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5" s="1" t="s">
        <v>115</v>
      </c>
      <c r="I155" s="116">
        <v>46118</v>
      </c>
      <c r="J155" s="82" t="str">
        <f ca="1">IF(conta[[#This Row],[modo]]="",conta[[#This Row],[vencimento]]-TODAY(),"")</f>
        <v/>
      </c>
    </row>
    <row r="156" spans="1:10" x14ac:dyDescent="0.25">
      <c r="A156" s="1" t="s">
        <v>377</v>
      </c>
      <c r="B156" s="1" t="s">
        <v>97</v>
      </c>
      <c r="C156" s="27">
        <v>46106</v>
      </c>
      <c r="D156" s="115">
        <v>46136</v>
      </c>
      <c r="E156" s="156">
        <v>114.75</v>
      </c>
      <c r="F156" s="1" t="str">
        <f>TEXT(conta[[#This Row],[vencimento]],"mmm")</f>
        <v>abr</v>
      </c>
      <c r="G15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6" s="1" t="s">
        <v>115</v>
      </c>
      <c r="I156" s="116">
        <v>46118</v>
      </c>
      <c r="J156" s="82" t="str">
        <f ca="1">IF(conta[[#This Row],[modo]]="",conta[[#This Row],[vencimento]]-TODAY(),"")</f>
        <v/>
      </c>
    </row>
    <row r="157" spans="1:10" x14ac:dyDescent="0.25">
      <c r="A157" s="1" t="s">
        <v>336</v>
      </c>
      <c r="B157" s="1" t="s">
        <v>96</v>
      </c>
      <c r="C157" s="27">
        <v>46047</v>
      </c>
      <c r="D157" s="115">
        <v>46136</v>
      </c>
      <c r="E157" s="156">
        <v>179.63</v>
      </c>
      <c r="F157" s="1" t="str">
        <f>TEXT(conta[[#This Row],[vencimento]],"mmm")</f>
        <v>abr</v>
      </c>
      <c r="G15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7" s="1" t="s">
        <v>115</v>
      </c>
      <c r="I157" s="116">
        <v>46118</v>
      </c>
      <c r="J157" s="82" t="str">
        <f ca="1">IF(conta[[#This Row],[modo]]="",conta[[#This Row],[vencimento]]-TODAY(),"")</f>
        <v/>
      </c>
    </row>
    <row r="158" spans="1:10" x14ac:dyDescent="0.25">
      <c r="A158" s="1" t="s">
        <v>330</v>
      </c>
      <c r="B158" s="1" t="s">
        <v>96</v>
      </c>
      <c r="C158" s="27">
        <v>46087</v>
      </c>
      <c r="D158" s="208">
        <v>46117</v>
      </c>
      <c r="E158" s="156">
        <v>450</v>
      </c>
      <c r="F158" s="1" t="str">
        <f>TEXT(conta[[#This Row],[vencimento]],"mmm")</f>
        <v>abr</v>
      </c>
      <c r="G15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8" s="194" t="s">
        <v>115</v>
      </c>
      <c r="I158" s="116">
        <v>46118</v>
      </c>
      <c r="J158" s="82" t="str">
        <f ca="1">IF(conta[[#This Row],[modo]]="",conta[[#This Row],[vencimento]]-TODAY(),"")</f>
        <v/>
      </c>
    </row>
    <row r="159" spans="1:10" x14ac:dyDescent="0.25">
      <c r="A159" s="1" t="s">
        <v>344</v>
      </c>
      <c r="B159" s="1" t="s">
        <v>97</v>
      </c>
      <c r="C159" s="27">
        <v>45971</v>
      </c>
      <c r="D159" s="208">
        <v>46063</v>
      </c>
      <c r="E159" s="156">
        <v>232.2</v>
      </c>
      <c r="F159" s="1" t="str">
        <f>TEXT(conta[[#This Row],[vencimento]],"mmm")</f>
        <v>fev</v>
      </c>
      <c r="G15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59" s="1" t="s">
        <v>115</v>
      </c>
      <c r="I159" s="116">
        <v>46118</v>
      </c>
      <c r="J159" s="82" t="str">
        <f ca="1">IF(conta[[#This Row],[modo]]="",conta[[#This Row],[vencimento]]-TODAY(),"")</f>
        <v/>
      </c>
    </row>
    <row r="160" spans="1:10" x14ac:dyDescent="0.25">
      <c r="A160" s="1" t="s">
        <v>345</v>
      </c>
      <c r="B160" s="1" t="s">
        <v>96</v>
      </c>
      <c r="C160" s="27">
        <v>45943</v>
      </c>
      <c r="D160" s="208">
        <v>46066</v>
      </c>
      <c r="E160" s="156">
        <v>472.76</v>
      </c>
      <c r="F160" s="1" t="str">
        <f>TEXT(conta[[#This Row],[vencimento]],"mmm")</f>
        <v>fev</v>
      </c>
      <c r="G16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0" s="194" t="s">
        <v>115</v>
      </c>
      <c r="I160" s="160">
        <v>46118</v>
      </c>
      <c r="J160" s="82" t="str">
        <f ca="1">IF(conta[[#This Row],[modo]]="",conta[[#This Row],[vencimento]]-TODAY(),"")</f>
        <v/>
      </c>
    </row>
    <row r="161" spans="1:10" x14ac:dyDescent="0.25">
      <c r="A161" s="1" t="s">
        <v>344</v>
      </c>
      <c r="B161" s="1" t="s">
        <v>97</v>
      </c>
      <c r="C161" s="27">
        <v>46061</v>
      </c>
      <c r="D161" s="208">
        <v>46091</v>
      </c>
      <c r="E161" s="156">
        <v>202.34</v>
      </c>
      <c r="F161" s="1" t="str">
        <f>TEXT(conta[[#This Row],[vencimento]],"mmm")</f>
        <v>mar</v>
      </c>
      <c r="G16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1" s="1" t="s">
        <v>115</v>
      </c>
      <c r="I161" s="116">
        <v>46118</v>
      </c>
      <c r="J161" s="82" t="str">
        <f ca="1">IF(conta[[#This Row],[modo]]="",conta[[#This Row],[vencimento]]-TODAY(),"")</f>
        <v/>
      </c>
    </row>
    <row r="162" spans="1:10" x14ac:dyDescent="0.25">
      <c r="A162" s="1" t="s">
        <v>344</v>
      </c>
      <c r="B162" s="1" t="s">
        <v>97</v>
      </c>
      <c r="C162" s="27">
        <v>46092</v>
      </c>
      <c r="D162" s="208">
        <v>46122</v>
      </c>
      <c r="E162" s="156">
        <v>204.91</v>
      </c>
      <c r="F162" s="1" t="str">
        <f>TEXT(conta[[#This Row],[vencimento]],"mmm")</f>
        <v>abr</v>
      </c>
      <c r="G16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2" s="1" t="s">
        <v>115</v>
      </c>
      <c r="I162" s="116">
        <v>46118</v>
      </c>
      <c r="J162" s="82" t="str">
        <f ca="1">IF(conta[[#This Row],[modo]]="",conta[[#This Row],[vencimento]]-TODAY(),"")</f>
        <v/>
      </c>
    </row>
    <row r="163" spans="1:10" x14ac:dyDescent="0.25">
      <c r="A163" s="1" t="s">
        <v>378</v>
      </c>
      <c r="B163" s="1" t="s">
        <v>97</v>
      </c>
      <c r="C163" s="27">
        <v>46106</v>
      </c>
      <c r="D163" s="115">
        <v>46136</v>
      </c>
      <c r="E163" s="156">
        <v>170.17</v>
      </c>
      <c r="F163" s="1" t="str">
        <f>TEXT(conta[[#This Row],[vencimento]],"mmm")</f>
        <v>abr</v>
      </c>
      <c r="G16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3" s="1" t="s">
        <v>115</v>
      </c>
      <c r="I163" s="116">
        <v>46118</v>
      </c>
      <c r="J163" s="82" t="str">
        <f ca="1">IF(conta[[#This Row],[modo]]="",conta[[#This Row],[vencimento]]-TODAY(),"")</f>
        <v/>
      </c>
    </row>
    <row r="164" spans="1:10" x14ac:dyDescent="0.25">
      <c r="A164" s="1" t="s">
        <v>344</v>
      </c>
      <c r="B164" s="1" t="s">
        <v>97</v>
      </c>
      <c r="C164" s="27">
        <v>46122</v>
      </c>
      <c r="D164" s="208">
        <v>46152</v>
      </c>
      <c r="E164" s="156">
        <v>147.46</v>
      </c>
      <c r="F164" s="1" t="str">
        <f>TEXT(conta[[#This Row],[vencimento]],"mmm")</f>
        <v>mai</v>
      </c>
      <c r="G16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4" s="1" t="s">
        <v>115</v>
      </c>
      <c r="I164" s="116">
        <v>46118</v>
      </c>
      <c r="J164" s="82" t="str">
        <f ca="1">IF(conta[[#This Row],[modo]]="",conta[[#This Row],[vencimento]]-TODAY(),"")</f>
        <v/>
      </c>
    </row>
    <row r="165" spans="1:10" x14ac:dyDescent="0.25">
      <c r="A165" s="1" t="s">
        <v>337</v>
      </c>
      <c r="B165" s="1" t="s">
        <v>96</v>
      </c>
      <c r="C165" s="27">
        <v>46088</v>
      </c>
      <c r="D165" s="115">
        <v>46118</v>
      </c>
      <c r="E165" s="156">
        <v>9.61</v>
      </c>
      <c r="F165" s="1" t="str">
        <f>TEXT(conta[[#This Row],[vencimento]],"mmm")</f>
        <v>abr</v>
      </c>
      <c r="G16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5" s="1" t="s">
        <v>115</v>
      </c>
      <c r="I165" s="116">
        <v>46118</v>
      </c>
      <c r="J165" s="82" t="str">
        <f ca="1">IF(conta[[#This Row],[modo]]="",conta[[#This Row],[vencimento]]-TODAY(),"")</f>
        <v/>
      </c>
    </row>
    <row r="166" spans="1:10" x14ac:dyDescent="0.25">
      <c r="A166" s="1" t="s">
        <v>319</v>
      </c>
      <c r="B166" s="1" t="s">
        <v>97</v>
      </c>
      <c r="C166" s="27">
        <v>46089</v>
      </c>
      <c r="D166" s="208">
        <v>46119</v>
      </c>
      <c r="E166" s="156">
        <v>1359.44</v>
      </c>
      <c r="F166" s="1" t="str">
        <f>TEXT(conta[[#This Row],[vencimento]],"mmm")</f>
        <v>abr</v>
      </c>
      <c r="G16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6" s="1" t="s">
        <v>115</v>
      </c>
      <c r="I166" s="116">
        <v>46115</v>
      </c>
      <c r="J166" s="82" t="str">
        <f ca="1">IF(conta[[#This Row],[modo]]="",conta[[#This Row],[vencimento]]-TODAY(),"")</f>
        <v/>
      </c>
    </row>
    <row r="167" spans="1:10" x14ac:dyDescent="0.25">
      <c r="A167" s="1" t="s">
        <v>337</v>
      </c>
      <c r="B167" s="1" t="s">
        <v>96</v>
      </c>
      <c r="C167" s="27">
        <v>46057</v>
      </c>
      <c r="D167" s="115">
        <v>46087</v>
      </c>
      <c r="E167" s="156">
        <v>9.61</v>
      </c>
      <c r="F167" s="1" t="str">
        <f>TEXT(conta[[#This Row],[vencimento]],"mmm")</f>
        <v>mar</v>
      </c>
      <c r="G16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7" s="1" t="s">
        <v>115</v>
      </c>
      <c r="I167" s="116">
        <v>46087</v>
      </c>
      <c r="J167" s="82" t="str">
        <f ca="1">IF(conta[[#This Row],[modo]]="",conta[[#This Row],[vencimento]]-TODAY(),"")</f>
        <v/>
      </c>
    </row>
    <row r="168" spans="1:10" x14ac:dyDescent="0.25">
      <c r="A168" s="1" t="s">
        <v>337</v>
      </c>
      <c r="B168" s="1" t="s">
        <v>96</v>
      </c>
      <c r="C168" s="27">
        <v>46084</v>
      </c>
      <c r="D168" s="115">
        <v>46114</v>
      </c>
      <c r="E168" s="156">
        <v>54.77</v>
      </c>
      <c r="F168" s="1" t="str">
        <f>TEXT(conta[[#This Row],[vencimento]],"mmm")</f>
        <v>abr</v>
      </c>
      <c r="G16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8" s="1" t="s">
        <v>115</v>
      </c>
      <c r="I168" s="116">
        <v>46114</v>
      </c>
      <c r="J168" s="82" t="str">
        <f ca="1">IF(conta[[#This Row],[modo]]="",conta[[#This Row],[vencimento]]-TODAY(),"")</f>
        <v/>
      </c>
    </row>
    <row r="169" spans="1:10" x14ac:dyDescent="0.25">
      <c r="A169" s="1" t="s">
        <v>336</v>
      </c>
      <c r="B169" s="1" t="s">
        <v>97</v>
      </c>
      <c r="C169" s="27">
        <v>46083</v>
      </c>
      <c r="D169" s="115">
        <v>46113</v>
      </c>
      <c r="E169" s="156">
        <v>32.65</v>
      </c>
      <c r="F169" s="1" t="str">
        <f>TEXT(conta[[#This Row],[vencimento]],"mmm")</f>
        <v>abr</v>
      </c>
      <c r="G16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69" s="1" t="s">
        <v>115</v>
      </c>
      <c r="I169" s="116">
        <v>46113</v>
      </c>
      <c r="J169" s="82" t="str">
        <f ca="1">IF(conta[[#This Row],[modo]]="",conta[[#This Row],[vencimento]]-TODAY(),"")</f>
        <v/>
      </c>
    </row>
    <row r="170" spans="1:10" x14ac:dyDescent="0.25">
      <c r="A170" s="1" t="s">
        <v>238</v>
      </c>
      <c r="B170" s="1" t="s">
        <v>97</v>
      </c>
      <c r="C170" s="27">
        <v>46106</v>
      </c>
      <c r="D170" s="115">
        <v>46113</v>
      </c>
      <c r="E170" s="156">
        <v>57.98</v>
      </c>
      <c r="F170" s="1" t="str">
        <f>TEXT(conta[[#This Row],[vencimento]],"mmm")</f>
        <v>abr</v>
      </c>
      <c r="G17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0" s="1" t="s">
        <v>115</v>
      </c>
      <c r="I170" s="116">
        <v>46113</v>
      </c>
      <c r="J170" s="82" t="str">
        <f ca="1">IF(conta[[#This Row],[modo]]="",conta[[#This Row],[vencimento]]-TODAY(),"")</f>
        <v/>
      </c>
    </row>
    <row r="171" spans="1:10" x14ac:dyDescent="0.25">
      <c r="A171" s="1" t="s">
        <v>314</v>
      </c>
      <c r="B171" s="1" t="s">
        <v>97</v>
      </c>
      <c r="C171" s="27">
        <v>44136</v>
      </c>
      <c r="D171" s="115">
        <v>45992</v>
      </c>
      <c r="E171" s="156">
        <v>93.82</v>
      </c>
      <c r="F171" s="1" t="str">
        <f>TEXT(conta[[#This Row],[vencimento]],"mmm")</f>
        <v>dez</v>
      </c>
      <c r="G17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1" s="1" t="s">
        <v>115</v>
      </c>
      <c r="I171" s="116">
        <v>46104</v>
      </c>
      <c r="J171" s="82" t="str">
        <f ca="1">IF(conta[[#This Row],[modo]]="",conta[[#This Row],[vencimento]]-TODAY(),"")</f>
        <v/>
      </c>
    </row>
    <row r="172" spans="1:10" x14ac:dyDescent="0.25">
      <c r="A172" s="1" t="s">
        <v>314</v>
      </c>
      <c r="B172" s="1" t="s">
        <v>97</v>
      </c>
      <c r="C172" s="27">
        <v>46012</v>
      </c>
      <c r="D172" s="208">
        <v>46101</v>
      </c>
      <c r="E172" s="156">
        <v>82.32</v>
      </c>
      <c r="F172" s="1" t="str">
        <f>TEXT(conta[[#This Row],[vencimento]],"mmm")</f>
        <v>mar</v>
      </c>
      <c r="G17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2" s="1" t="s">
        <v>115</v>
      </c>
      <c r="I172" s="116">
        <v>46104</v>
      </c>
      <c r="J172" s="82" t="str">
        <f ca="1">IF(conta[[#This Row],[modo]]="",conta[[#This Row],[vencimento]]-TODAY(),"")</f>
        <v/>
      </c>
    </row>
    <row r="173" spans="1:10" x14ac:dyDescent="0.25">
      <c r="A173" s="1" t="s">
        <v>313</v>
      </c>
      <c r="B173" s="1" t="s">
        <v>97</v>
      </c>
      <c r="C173" s="27">
        <v>46013</v>
      </c>
      <c r="D173" s="208">
        <v>46102</v>
      </c>
      <c r="E173" s="156">
        <v>68.25</v>
      </c>
      <c r="F173" s="1" t="str">
        <f>TEXT(conta[[#This Row],[vencimento]],"mmm")</f>
        <v>mar</v>
      </c>
      <c r="G17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3" s="1" t="s">
        <v>115</v>
      </c>
      <c r="I173" s="116">
        <v>46104</v>
      </c>
      <c r="J173" s="82" t="str">
        <f ca="1">IF(conta[[#This Row],[modo]]="",conta[[#This Row],[vencimento]]-TODAY(),"")</f>
        <v/>
      </c>
    </row>
    <row r="174" spans="1:10" x14ac:dyDescent="0.25">
      <c r="A174" s="1" t="s">
        <v>238</v>
      </c>
      <c r="B174" s="1" t="s">
        <v>96</v>
      </c>
      <c r="C174" s="27">
        <v>46069</v>
      </c>
      <c r="D174" s="115">
        <v>46099</v>
      </c>
      <c r="E174" s="156">
        <v>118.11</v>
      </c>
      <c r="F174" s="1" t="str">
        <f>TEXT(conta[[#This Row],[vencimento]],"mmm")</f>
        <v>mar</v>
      </c>
      <c r="G17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4" s="1" t="s">
        <v>115</v>
      </c>
      <c r="I174" s="116">
        <v>46101</v>
      </c>
      <c r="J174" s="82" t="str">
        <f ca="1">IF(conta[[#This Row],[modo]]="",conta[[#This Row],[vencimento]]-TODAY(),"")</f>
        <v/>
      </c>
    </row>
    <row r="175" spans="1:10" x14ac:dyDescent="0.25">
      <c r="A175" s="1" t="s">
        <v>238</v>
      </c>
      <c r="B175" s="1" t="s">
        <v>96</v>
      </c>
      <c r="C175" s="27">
        <v>46072</v>
      </c>
      <c r="D175" s="115">
        <v>46102</v>
      </c>
      <c r="E175" s="156">
        <v>68.25</v>
      </c>
      <c r="F175" s="1" t="str">
        <f>TEXT(conta[[#This Row],[vencimento]],"mmm")</f>
        <v>mar</v>
      </c>
      <c r="G17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5" s="1" t="s">
        <v>115</v>
      </c>
      <c r="I175" s="116">
        <v>46102</v>
      </c>
      <c r="J175" s="82" t="str">
        <f ca="1">IF(conta[[#This Row],[modo]]="",conta[[#This Row],[vencimento]]-TODAY(),"")</f>
        <v/>
      </c>
    </row>
    <row r="176" spans="1:10" x14ac:dyDescent="0.25">
      <c r="A176" s="1" t="s">
        <v>320</v>
      </c>
      <c r="B176" s="1" t="s">
        <v>96</v>
      </c>
      <c r="C176" s="27">
        <v>46007</v>
      </c>
      <c r="D176" s="115">
        <v>46096</v>
      </c>
      <c r="E176" s="156">
        <v>31.9</v>
      </c>
      <c r="F176" s="1" t="str">
        <f>TEXT(conta[[#This Row],[vencimento]],"mmm")</f>
        <v>mar</v>
      </c>
      <c r="G17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6" s="1" t="s">
        <v>115</v>
      </c>
      <c r="I176" s="116">
        <v>46098</v>
      </c>
      <c r="J176" s="82" t="str">
        <f ca="1">IF(conta[[#This Row],[modo]]="",conta[[#This Row],[vencimento]]-TODAY(),"")</f>
        <v/>
      </c>
    </row>
    <row r="177" spans="1:10" x14ac:dyDescent="0.25">
      <c r="A177" s="1" t="s">
        <v>306</v>
      </c>
      <c r="B177" s="1" t="s">
        <v>97</v>
      </c>
      <c r="C177" s="27">
        <v>46062</v>
      </c>
      <c r="D177" s="115">
        <v>46087</v>
      </c>
      <c r="E177" s="156">
        <v>100</v>
      </c>
      <c r="F177" s="1" t="str">
        <f>TEXT(conta[[#This Row],[vencimento]],"mmm")</f>
        <v>mar</v>
      </c>
      <c r="G17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7" s="1" t="s">
        <v>114</v>
      </c>
      <c r="I177" s="116">
        <v>46093</v>
      </c>
      <c r="J177" s="82" t="str">
        <f ca="1">IF(conta[[#This Row],[modo]]="",conta[[#This Row],[vencimento]]-TODAY(),"")</f>
        <v/>
      </c>
    </row>
    <row r="178" spans="1:10" x14ac:dyDescent="0.25">
      <c r="A178" s="1" t="s">
        <v>319</v>
      </c>
      <c r="B178" s="1" t="s">
        <v>97</v>
      </c>
      <c r="C178" s="27">
        <v>46058</v>
      </c>
      <c r="D178" s="115">
        <v>46088</v>
      </c>
      <c r="E178" s="156">
        <v>1359.44</v>
      </c>
      <c r="F178" s="1" t="str">
        <f>TEXT(conta[[#This Row],[vencimento]],"mmm")</f>
        <v>mar</v>
      </c>
      <c r="G17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8" s="1" t="s">
        <v>115</v>
      </c>
      <c r="I178" s="116">
        <v>46090</v>
      </c>
      <c r="J178" s="82" t="str">
        <f ca="1">IF(conta[[#This Row],[modo]]="",conta[[#This Row],[vencimento]]-TODAY(),"")</f>
        <v/>
      </c>
    </row>
    <row r="179" spans="1:10" x14ac:dyDescent="0.25">
      <c r="A179" s="1" t="s">
        <v>312</v>
      </c>
      <c r="B179" s="1" t="s">
        <v>97</v>
      </c>
      <c r="C179" s="27">
        <v>46002</v>
      </c>
      <c r="D179" s="115">
        <v>46091</v>
      </c>
      <c r="E179" s="156">
        <v>60</v>
      </c>
      <c r="F179" s="1" t="str">
        <f>TEXT(conta[[#This Row],[vencimento]],"mmm")</f>
        <v>mar</v>
      </c>
      <c r="G17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79" s="1" t="s">
        <v>115</v>
      </c>
      <c r="I179" s="116">
        <v>46092</v>
      </c>
      <c r="J179" s="82" t="str">
        <f ca="1">IF(conta[[#This Row],[modo]]="",conta[[#This Row],[vencimento]]-TODAY(),"")</f>
        <v/>
      </c>
    </row>
    <row r="180" spans="1:10" x14ac:dyDescent="0.25">
      <c r="A180" s="1" t="s">
        <v>330</v>
      </c>
      <c r="B180" s="1" t="s">
        <v>96</v>
      </c>
      <c r="C180" s="27">
        <v>46053</v>
      </c>
      <c r="D180" s="208">
        <v>46083</v>
      </c>
      <c r="E180" s="156">
        <v>453.89</v>
      </c>
      <c r="F180" s="1" t="str">
        <f>TEXT(conta[[#This Row],[vencimento]],"mmm")</f>
        <v>mar</v>
      </c>
      <c r="G18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0" s="194" t="s">
        <v>115</v>
      </c>
      <c r="I180" s="116">
        <v>46086</v>
      </c>
      <c r="J180" s="82" t="str">
        <f ca="1">IF(conta[[#This Row],[modo]]="",conta[[#This Row],[vencimento]]-TODAY(),"")</f>
        <v/>
      </c>
    </row>
    <row r="181" spans="1:10" x14ac:dyDescent="0.25">
      <c r="A181" s="1" t="s">
        <v>317</v>
      </c>
      <c r="B181" s="1" t="s">
        <v>96</v>
      </c>
      <c r="C181" s="27">
        <v>46017</v>
      </c>
      <c r="D181" s="208">
        <v>46078</v>
      </c>
      <c r="E181" s="156">
        <v>166.16</v>
      </c>
      <c r="F181" s="1" t="str">
        <f>TEXT(conta[[#This Row],[vencimento]],"mmm")</f>
        <v>fev</v>
      </c>
      <c r="G18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1" s="1" t="s">
        <v>115</v>
      </c>
      <c r="I181" s="116">
        <v>46085</v>
      </c>
      <c r="J181" s="82" t="str">
        <f ca="1">IF(conta[[#This Row],[modo]]="",conta[[#This Row],[vencimento]]-TODAY(),"")</f>
        <v/>
      </c>
    </row>
    <row r="182" spans="1:10" x14ac:dyDescent="0.25">
      <c r="A182" s="1" t="s">
        <v>337</v>
      </c>
      <c r="B182" s="1" t="s">
        <v>96</v>
      </c>
      <c r="C182" s="27">
        <v>46053</v>
      </c>
      <c r="D182" s="115">
        <v>46083</v>
      </c>
      <c r="E182" s="156">
        <v>56.12</v>
      </c>
      <c r="F182" s="1" t="str">
        <f>TEXT(conta[[#This Row],[vencimento]],"mmm")</f>
        <v>mar</v>
      </c>
      <c r="G18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2" s="1" t="s">
        <v>115</v>
      </c>
      <c r="I182" s="116">
        <v>46085</v>
      </c>
      <c r="J182" s="82" t="str">
        <f ca="1">IF(conta[[#This Row],[modo]]="",conta[[#This Row],[vencimento]]-TODAY(),"")</f>
        <v/>
      </c>
    </row>
    <row r="183" spans="1:10" x14ac:dyDescent="0.25">
      <c r="A183" s="1" t="s">
        <v>315</v>
      </c>
      <c r="B183" s="1" t="s">
        <v>96</v>
      </c>
      <c r="C183" s="27">
        <v>46054</v>
      </c>
      <c r="D183" s="115">
        <v>46084</v>
      </c>
      <c r="E183" s="156">
        <v>60</v>
      </c>
      <c r="F183" s="1" t="str">
        <f>TEXT(conta[[#This Row],[vencimento]],"mmm")</f>
        <v>mar</v>
      </c>
      <c r="G18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3" s="1" t="s">
        <v>115</v>
      </c>
      <c r="I183" s="116">
        <v>46084</v>
      </c>
      <c r="J183" s="82" t="str">
        <f ca="1">IF(conta[[#This Row],[modo]]="",conta[[#This Row],[vencimento]]-TODAY(),"")</f>
        <v/>
      </c>
    </row>
    <row r="184" spans="1:10" x14ac:dyDescent="0.25">
      <c r="A184" s="1" t="s">
        <v>238</v>
      </c>
      <c r="B184" s="1" t="s">
        <v>97</v>
      </c>
      <c r="C184" s="27">
        <v>45990</v>
      </c>
      <c r="D184" s="115">
        <v>46081</v>
      </c>
      <c r="E184" s="156">
        <v>86.5</v>
      </c>
      <c r="F184" s="1" t="str">
        <f>TEXT(conta[[#This Row],[vencimento]],"mmm")</f>
        <v>fev</v>
      </c>
      <c r="G18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4" s="194" t="s">
        <v>115</v>
      </c>
      <c r="I184" s="116">
        <v>46081</v>
      </c>
      <c r="J184" s="82" t="str">
        <f ca="1">IF(conta[[#This Row],[modo]]="",conta[[#This Row],[vencimento]]-TODAY(),"")</f>
        <v/>
      </c>
    </row>
    <row r="185" spans="1:10" x14ac:dyDescent="0.25">
      <c r="A185" s="1" t="s">
        <v>238</v>
      </c>
      <c r="B185" s="1" t="s">
        <v>97</v>
      </c>
      <c r="C185" s="27">
        <v>46075</v>
      </c>
      <c r="D185" s="115">
        <v>46082</v>
      </c>
      <c r="E185" s="156">
        <v>57.98</v>
      </c>
      <c r="F185" s="1" t="str">
        <f>TEXT(conta[[#This Row],[vencimento]],"mmm")</f>
        <v>mar</v>
      </c>
      <c r="G18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5" s="1" t="s">
        <v>115</v>
      </c>
      <c r="I185" s="116">
        <v>46082</v>
      </c>
      <c r="J185" s="82" t="str">
        <f ca="1">IF(conta[[#This Row],[modo]]="",conta[[#This Row],[vencimento]]-TODAY(),"")</f>
        <v/>
      </c>
    </row>
    <row r="186" spans="1:10" x14ac:dyDescent="0.25">
      <c r="A186" s="1" t="s">
        <v>336</v>
      </c>
      <c r="B186" s="1" t="s">
        <v>96</v>
      </c>
      <c r="C186" s="27">
        <v>46047</v>
      </c>
      <c r="D186" s="115">
        <v>46077</v>
      </c>
      <c r="E186" s="156">
        <v>54.75</v>
      </c>
      <c r="F186" s="1" t="str">
        <f>TEXT(conta[[#This Row],[vencimento]],"mmm")</f>
        <v>fev</v>
      </c>
      <c r="G18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6" s="1" t="s">
        <v>115</v>
      </c>
      <c r="I186" s="116">
        <v>46079</v>
      </c>
      <c r="J186" s="82" t="str">
        <f ca="1">IF(conta[[#This Row],[modo]]="",conta[[#This Row],[vencimento]]-TODAY(),"")</f>
        <v/>
      </c>
    </row>
    <row r="187" spans="1:10" x14ac:dyDescent="0.25">
      <c r="A187" s="1" t="s">
        <v>363</v>
      </c>
      <c r="B187" s="1" t="s">
        <v>97</v>
      </c>
      <c r="C187" s="27">
        <v>46020</v>
      </c>
      <c r="D187" s="115">
        <v>46081</v>
      </c>
      <c r="E187" s="156">
        <v>100</v>
      </c>
      <c r="F187" s="1" t="str">
        <f>TEXT(conta[[#This Row],[vencimento]],"mmm")</f>
        <v>fev</v>
      </c>
      <c r="G18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7" s="1" t="s">
        <v>115</v>
      </c>
      <c r="I187" s="116">
        <v>46079</v>
      </c>
      <c r="J187" s="82" t="str">
        <f ca="1">IF(conta[[#This Row],[modo]]="",conta[[#This Row],[vencimento]]-TODAY(),"")</f>
        <v/>
      </c>
    </row>
    <row r="188" spans="1:10" x14ac:dyDescent="0.25">
      <c r="A188" s="1" t="s">
        <v>363</v>
      </c>
      <c r="B188" s="1" t="s">
        <v>97</v>
      </c>
      <c r="C188" s="27">
        <v>46020</v>
      </c>
      <c r="D188" s="115">
        <v>46050</v>
      </c>
      <c r="E188" s="156">
        <v>100</v>
      </c>
      <c r="F188" s="1" t="str">
        <f>TEXT(conta[[#This Row],[vencimento]],"mmm")</f>
        <v>jan</v>
      </c>
      <c r="G18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8" s="1" t="s">
        <v>115</v>
      </c>
      <c r="I188" s="116">
        <v>46079</v>
      </c>
      <c r="J188" s="82" t="str">
        <f ca="1">IF(conta[[#This Row],[modo]]="",conta[[#This Row],[vencimento]]-TODAY(),"")</f>
        <v/>
      </c>
    </row>
    <row r="189" spans="1:10" x14ac:dyDescent="0.25">
      <c r="A189" s="1" t="s">
        <v>313</v>
      </c>
      <c r="B189" s="1" t="s">
        <v>97</v>
      </c>
      <c r="C189" s="27">
        <v>46013</v>
      </c>
      <c r="D189" s="208">
        <v>46074</v>
      </c>
      <c r="E189" s="156">
        <v>60</v>
      </c>
      <c r="F189" s="1" t="str">
        <f>TEXT(conta[[#This Row],[vencimento]],"mmm")</f>
        <v>fev</v>
      </c>
      <c r="G18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89" s="1" t="s">
        <v>115</v>
      </c>
      <c r="I189" s="116">
        <v>46077</v>
      </c>
      <c r="J189" s="82" t="str">
        <f ca="1">IF(conta[[#This Row],[modo]]="",conta[[#This Row],[vencimento]]-TODAY(),"")</f>
        <v/>
      </c>
    </row>
    <row r="190" spans="1:10" x14ac:dyDescent="0.25">
      <c r="A190" s="1" t="s">
        <v>238</v>
      </c>
      <c r="B190" s="1" t="s">
        <v>96</v>
      </c>
      <c r="C190" s="27">
        <v>46044</v>
      </c>
      <c r="D190" s="115">
        <v>46074</v>
      </c>
      <c r="E190" s="156">
        <v>68.25</v>
      </c>
      <c r="F190" s="1" t="str">
        <f>TEXT(conta[[#This Row],[vencimento]],"mmm")</f>
        <v>fev</v>
      </c>
      <c r="G19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0" s="1" t="s">
        <v>115</v>
      </c>
      <c r="I190" s="116">
        <v>46075</v>
      </c>
      <c r="J190" s="82" t="str">
        <f ca="1">IF(conta[[#This Row],[modo]]="",conta[[#This Row],[vencimento]]-TODAY(),"")</f>
        <v/>
      </c>
    </row>
    <row r="191" spans="1:10" x14ac:dyDescent="0.25">
      <c r="A191" s="1" t="s">
        <v>238</v>
      </c>
      <c r="B191" s="1" t="s">
        <v>96</v>
      </c>
      <c r="C191" s="27">
        <v>46041</v>
      </c>
      <c r="D191" s="115">
        <v>46071</v>
      </c>
      <c r="E191" s="156">
        <v>114.75</v>
      </c>
      <c r="F191" s="1" t="str">
        <f>TEXT(conta[[#This Row],[vencimento]],"mmm")</f>
        <v>fev</v>
      </c>
      <c r="G19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1" s="1" t="s">
        <v>115</v>
      </c>
      <c r="I191" s="116">
        <v>46073</v>
      </c>
      <c r="J191" s="82" t="str">
        <f ca="1">IF(conta[[#This Row],[modo]]="",conta[[#This Row],[vencimento]]-TODAY(),"")</f>
        <v/>
      </c>
    </row>
    <row r="192" spans="1:10" x14ac:dyDescent="0.25">
      <c r="A192" s="1" t="s">
        <v>330</v>
      </c>
      <c r="B192" s="1" t="s">
        <v>96</v>
      </c>
      <c r="C192" s="27">
        <v>46025</v>
      </c>
      <c r="D192" s="208">
        <v>46058</v>
      </c>
      <c r="E192" s="156">
        <v>500</v>
      </c>
      <c r="F192" s="1" t="str">
        <f>TEXT(conta[[#This Row],[vencimento]],"mmm")</f>
        <v>fev</v>
      </c>
      <c r="G19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2" s="1" t="s">
        <v>115</v>
      </c>
      <c r="I192" s="116">
        <v>46072</v>
      </c>
      <c r="J192" s="82" t="str">
        <f ca="1">IF(conta[[#This Row],[modo]]="",conta[[#This Row],[vencimento]]-TODAY(),"")</f>
        <v/>
      </c>
    </row>
    <row r="193" spans="1:10" x14ac:dyDescent="0.25">
      <c r="A193" s="1" t="s">
        <v>306</v>
      </c>
      <c r="B193" s="1" t="s">
        <v>97</v>
      </c>
      <c r="C193" s="27">
        <v>46060</v>
      </c>
      <c r="D193" s="208">
        <v>46067</v>
      </c>
      <c r="E193" s="156">
        <v>125</v>
      </c>
      <c r="F193" s="1" t="str">
        <f>TEXT(conta[[#This Row],[vencimento]],"mmm")</f>
        <v>fev</v>
      </c>
      <c r="G19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3" s="1" t="s">
        <v>114</v>
      </c>
      <c r="I193" s="116">
        <v>46072</v>
      </c>
      <c r="J193" s="82" t="str">
        <f ca="1">IF(conta[[#This Row],[modo]]="",conta[[#This Row],[vencimento]]-TODAY(),"")</f>
        <v/>
      </c>
    </row>
    <row r="194" spans="1:10" x14ac:dyDescent="0.25">
      <c r="A194" s="1" t="s">
        <v>320</v>
      </c>
      <c r="B194" s="1" t="s">
        <v>96</v>
      </c>
      <c r="C194" s="27">
        <v>46007</v>
      </c>
      <c r="D194" s="115">
        <v>46068</v>
      </c>
      <c r="E194" s="156">
        <v>31.9</v>
      </c>
      <c r="F194" s="1" t="str">
        <f>TEXT(conta[[#This Row],[vencimento]],"mmm")</f>
        <v>fev</v>
      </c>
      <c r="G19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4" s="1" t="s">
        <v>115</v>
      </c>
      <c r="I194" s="116">
        <v>46068</v>
      </c>
      <c r="J194" s="82" t="str">
        <f ca="1">IF(conta[[#This Row],[modo]]="",conta[[#This Row],[vencimento]]-TODAY(),"")</f>
        <v/>
      </c>
    </row>
    <row r="195" spans="1:10" x14ac:dyDescent="0.25">
      <c r="A195" s="1" t="s">
        <v>306</v>
      </c>
      <c r="B195" s="1" t="s">
        <v>97</v>
      </c>
      <c r="C195" s="27">
        <v>46053</v>
      </c>
      <c r="D195" s="115">
        <v>46060</v>
      </c>
      <c r="E195" s="156">
        <v>125</v>
      </c>
      <c r="F195" s="1" t="str">
        <f>TEXT(conta[[#This Row],[vencimento]],"mmm")</f>
        <v>fev</v>
      </c>
      <c r="G19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5" s="1" t="s">
        <v>114</v>
      </c>
      <c r="I195" s="116">
        <v>46069</v>
      </c>
      <c r="J195" s="82" t="str">
        <f ca="1">IF(conta[[#This Row],[modo]]="",conta[[#This Row],[vencimento]]-TODAY(),"")</f>
        <v/>
      </c>
    </row>
    <row r="196" spans="1:10" x14ac:dyDescent="0.25">
      <c r="A196" s="1" t="s">
        <v>287</v>
      </c>
      <c r="B196" s="1" t="s">
        <v>96</v>
      </c>
      <c r="C196" s="27">
        <v>45968</v>
      </c>
      <c r="D196" s="115">
        <v>46060</v>
      </c>
      <c r="E196" s="156">
        <v>1021.33</v>
      </c>
      <c r="F196" s="1" t="str">
        <f>TEXT(conta[[#This Row],[vencimento]],"mmm")</f>
        <v>fev</v>
      </c>
      <c r="G19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6" s="1" t="s">
        <v>115</v>
      </c>
      <c r="I196" s="116">
        <v>46062</v>
      </c>
      <c r="J196" s="82" t="str">
        <f ca="1">IF(conta[[#This Row],[modo]]="",conta[[#This Row],[vencimento]]-TODAY(),"")</f>
        <v/>
      </c>
    </row>
    <row r="197" spans="1:10" x14ac:dyDescent="0.25">
      <c r="A197" s="1" t="s">
        <v>319</v>
      </c>
      <c r="B197" s="1" t="s">
        <v>97</v>
      </c>
      <c r="C197" s="27">
        <v>46032</v>
      </c>
      <c r="D197" s="115">
        <v>46062</v>
      </c>
      <c r="E197" s="156">
        <v>1359.44</v>
      </c>
      <c r="F197" s="1" t="str">
        <f>TEXT(conta[[#This Row],[vencimento]],"mmm")</f>
        <v>fev</v>
      </c>
      <c r="G19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7" s="1" t="s">
        <v>115</v>
      </c>
      <c r="I197" s="116">
        <v>46062</v>
      </c>
      <c r="J197" s="82" t="str">
        <f ca="1">IF(conta[[#This Row],[modo]]="",conta[[#This Row],[vencimento]]-TODAY(),"")</f>
        <v/>
      </c>
    </row>
    <row r="198" spans="1:10" x14ac:dyDescent="0.25">
      <c r="A198" s="1" t="s">
        <v>312</v>
      </c>
      <c r="B198" s="1" t="s">
        <v>97</v>
      </c>
      <c r="C198" s="27">
        <v>46002</v>
      </c>
      <c r="D198" s="115">
        <v>46063</v>
      </c>
      <c r="E198" s="156">
        <v>60</v>
      </c>
      <c r="F198" s="1" t="str">
        <f>TEXT(conta[[#This Row],[vencimento]],"mmm")</f>
        <v>fev</v>
      </c>
      <c r="G19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8" s="1" t="s">
        <v>115</v>
      </c>
      <c r="I198" s="116">
        <v>46066</v>
      </c>
      <c r="J198" s="82" t="str">
        <f ca="1">IF(conta[[#This Row],[modo]]="",conta[[#This Row],[vencimento]]-TODAY(),"")</f>
        <v/>
      </c>
    </row>
    <row r="199" spans="1:10" x14ac:dyDescent="0.25">
      <c r="A199" s="1" t="s">
        <v>337</v>
      </c>
      <c r="B199" s="1" t="s">
        <v>96</v>
      </c>
      <c r="C199" s="27">
        <v>46025</v>
      </c>
      <c r="D199" s="115">
        <v>46055</v>
      </c>
      <c r="E199" s="156">
        <v>56.87</v>
      </c>
      <c r="F199" s="1" t="str">
        <f>TEXT(conta[[#This Row],[vencimento]],"mmm")</f>
        <v>fev</v>
      </c>
      <c r="G19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199" s="1" t="s">
        <v>115</v>
      </c>
      <c r="I199" s="116">
        <v>46059</v>
      </c>
      <c r="J199" s="82" t="str">
        <f ca="1">IF(conta[[#This Row],[modo]]="",conta[[#This Row],[vencimento]]-TODAY(),"")</f>
        <v/>
      </c>
    </row>
    <row r="200" spans="1:10" x14ac:dyDescent="0.25">
      <c r="A200" s="1" t="s">
        <v>337</v>
      </c>
      <c r="B200" s="1" t="s">
        <v>96</v>
      </c>
      <c r="C200" s="27">
        <v>46029</v>
      </c>
      <c r="D200" s="115">
        <v>46059</v>
      </c>
      <c r="E200" s="156">
        <v>9.61</v>
      </c>
      <c r="F200" s="1" t="str">
        <f>TEXT(conta[[#This Row],[vencimento]],"mmm")</f>
        <v>fev</v>
      </c>
      <c r="G20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0" s="1" t="s">
        <v>115</v>
      </c>
      <c r="I200" s="116">
        <v>46059</v>
      </c>
      <c r="J200" s="82" t="str">
        <f ca="1">IF(conta[[#This Row],[modo]]="",conta[[#This Row],[vencimento]]-TODAY(),"")</f>
        <v/>
      </c>
    </row>
    <row r="201" spans="1:10" x14ac:dyDescent="0.25">
      <c r="A201" s="1" t="s">
        <v>315</v>
      </c>
      <c r="B201" s="1" t="s">
        <v>96</v>
      </c>
      <c r="C201" s="27">
        <v>46026</v>
      </c>
      <c r="D201" s="115">
        <v>46056</v>
      </c>
      <c r="E201" s="156">
        <v>60</v>
      </c>
      <c r="F201" s="1" t="str">
        <f>TEXT(conta[[#This Row],[vencimento]],"mmm")</f>
        <v>fev</v>
      </c>
      <c r="G20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1" s="1" t="s">
        <v>115</v>
      </c>
      <c r="I201" s="116">
        <v>46056</v>
      </c>
      <c r="J201" s="82" t="str">
        <f ca="1">IF(conta[[#This Row],[modo]]="",conta[[#This Row],[vencimento]]-TODAY(),"")</f>
        <v/>
      </c>
    </row>
    <row r="202" spans="1:10" x14ac:dyDescent="0.25">
      <c r="A202" s="1" t="s">
        <v>306</v>
      </c>
      <c r="B202" s="1" t="s">
        <v>97</v>
      </c>
      <c r="C202" s="27">
        <v>46045</v>
      </c>
      <c r="D202" s="115">
        <v>46052</v>
      </c>
      <c r="E202" s="156">
        <v>125</v>
      </c>
      <c r="F202" s="1" t="str">
        <f>TEXT(conta[[#This Row],[vencimento]],"mmm")</f>
        <v>jan</v>
      </c>
      <c r="G20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2" s="1" t="s">
        <v>114</v>
      </c>
      <c r="I202" s="116">
        <v>46050</v>
      </c>
      <c r="J202" s="82" t="str">
        <f ca="1">IF(conta[[#This Row],[modo]]="",conta[[#This Row],[vencimento]]-TODAY(),"")</f>
        <v/>
      </c>
    </row>
    <row r="203" spans="1:10" x14ac:dyDescent="0.25">
      <c r="A203" s="1" t="s">
        <v>142</v>
      </c>
      <c r="B203" s="1" t="s">
        <v>97</v>
      </c>
      <c r="C203" s="27">
        <v>45971</v>
      </c>
      <c r="D203" s="115">
        <v>46032</v>
      </c>
      <c r="E203" s="156">
        <f>271.24+367</f>
        <v>638.24</v>
      </c>
      <c r="F203" s="1" t="str">
        <f>TEXT(conta[[#This Row],[vencimento]],"mmm")</f>
        <v>jan</v>
      </c>
      <c r="G20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3" s="1" t="s">
        <v>115</v>
      </c>
      <c r="I203" s="116">
        <v>46050</v>
      </c>
      <c r="J203" s="82" t="str">
        <f ca="1">IF(conta[[#This Row],[modo]]="",conta[[#This Row],[vencimento]]-TODAY(),"")</f>
        <v/>
      </c>
    </row>
    <row r="204" spans="1:10" x14ac:dyDescent="0.25">
      <c r="A204" s="1" t="s">
        <v>317</v>
      </c>
      <c r="B204" s="1" t="s">
        <v>96</v>
      </c>
      <c r="C204" s="27">
        <v>46017</v>
      </c>
      <c r="D204" s="115">
        <v>46047</v>
      </c>
      <c r="E204" s="156">
        <v>166.16</v>
      </c>
      <c r="F204" s="1" t="str">
        <f>TEXT(conta[[#This Row],[vencimento]],"mmm")</f>
        <v>jan</v>
      </c>
      <c r="G20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4" s="1" t="s">
        <v>115</v>
      </c>
      <c r="I204" s="116">
        <v>46050</v>
      </c>
      <c r="J204" s="82" t="str">
        <f ca="1">IF(conta[[#This Row],[modo]]="",conta[[#This Row],[vencimento]]-TODAY(),"")</f>
        <v/>
      </c>
    </row>
    <row r="205" spans="1:10" x14ac:dyDescent="0.25">
      <c r="A205" s="1" t="s">
        <v>293</v>
      </c>
      <c r="B205" s="1" t="s">
        <v>96</v>
      </c>
      <c r="C205" s="27">
        <v>46022</v>
      </c>
      <c r="D205" s="115">
        <v>46052</v>
      </c>
      <c r="E205" s="156">
        <v>300</v>
      </c>
      <c r="F205" s="1" t="str">
        <f>TEXT(conta[[#This Row],[vencimento]],"mmm")</f>
        <v>jan</v>
      </c>
      <c r="G20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5" s="1" t="s">
        <v>114</v>
      </c>
      <c r="I205" s="116">
        <v>46050</v>
      </c>
      <c r="J205" s="82" t="str">
        <f ca="1">IF(conta[[#This Row],[modo]]="",conta[[#This Row],[vencimento]]-TODAY(),"")</f>
        <v/>
      </c>
    </row>
    <row r="206" spans="1:10" x14ac:dyDescent="0.25">
      <c r="A206" s="1" t="s">
        <v>289</v>
      </c>
      <c r="B206" s="1" t="s">
        <v>96</v>
      </c>
      <c r="C206" s="27">
        <v>46051</v>
      </c>
      <c r="D206" s="115">
        <v>46081</v>
      </c>
      <c r="E206" s="156">
        <v>143.27000000000001</v>
      </c>
      <c r="F206" s="1" t="str">
        <f>TEXT(conta[[#This Row],[vencimento]],"mmm")</f>
        <v>fev</v>
      </c>
      <c r="G20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6" s="1" t="s">
        <v>115</v>
      </c>
      <c r="I206" s="116">
        <v>46050</v>
      </c>
      <c r="J206" s="82" t="str">
        <f ca="1">IF(conta[[#This Row],[modo]]="",conta[[#This Row],[vencimento]]-TODAY(),"")</f>
        <v/>
      </c>
    </row>
    <row r="207" spans="1:10" x14ac:dyDescent="0.25">
      <c r="A207" s="1" t="s">
        <v>289</v>
      </c>
      <c r="B207" s="1" t="s">
        <v>96</v>
      </c>
      <c r="C207" s="27">
        <v>46021</v>
      </c>
      <c r="D207" s="115">
        <v>46051</v>
      </c>
      <c r="E207" s="156">
        <v>162.47</v>
      </c>
      <c r="F207" s="1" t="str">
        <f>TEXT(conta[[#This Row],[vencimento]],"mmm")</f>
        <v>jan</v>
      </c>
      <c r="G20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7" s="1" t="s">
        <v>115</v>
      </c>
      <c r="I207" s="116">
        <v>46050</v>
      </c>
      <c r="J207" s="82" t="str">
        <f ca="1">IF(conta[[#This Row],[modo]]="",conta[[#This Row],[vencimento]]-TODAY(),"")</f>
        <v/>
      </c>
    </row>
    <row r="208" spans="1:10" x14ac:dyDescent="0.25">
      <c r="A208" s="1" t="s">
        <v>238</v>
      </c>
      <c r="B208" s="1" t="s">
        <v>97</v>
      </c>
      <c r="C208" s="27">
        <v>45990</v>
      </c>
      <c r="D208" s="115">
        <v>46051</v>
      </c>
      <c r="E208" s="156">
        <v>86.5</v>
      </c>
      <c r="F208" s="1" t="str">
        <f>TEXT(conta[[#This Row],[vencimento]],"mmm")</f>
        <v>jan</v>
      </c>
      <c r="G20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8" s="1" t="s">
        <v>115</v>
      </c>
      <c r="I208" s="116">
        <v>46050</v>
      </c>
      <c r="J208" s="82" t="str">
        <f ca="1">IF(conta[[#This Row],[modo]]="",conta[[#This Row],[vencimento]]-TODAY(),"")</f>
        <v/>
      </c>
    </row>
    <row r="209" spans="1:10" x14ac:dyDescent="0.25">
      <c r="A209" s="1" t="s">
        <v>313</v>
      </c>
      <c r="B209" s="1" t="s">
        <v>97</v>
      </c>
      <c r="C209" s="27">
        <v>46013</v>
      </c>
      <c r="D209" s="115">
        <v>46043</v>
      </c>
      <c r="E209" s="156">
        <v>60</v>
      </c>
      <c r="F209" s="1" t="str">
        <f>TEXT(conta[[#This Row],[vencimento]],"mmm")</f>
        <v>jan</v>
      </c>
      <c r="G20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09" s="1" t="s">
        <v>115</v>
      </c>
      <c r="I209" s="116">
        <v>46050</v>
      </c>
      <c r="J209" s="82" t="str">
        <f ca="1">IF(conta[[#This Row],[modo]]="",conta[[#This Row],[vencimento]]-TODAY(),"")</f>
        <v/>
      </c>
    </row>
    <row r="210" spans="1:10" x14ac:dyDescent="0.25">
      <c r="A210" s="1" t="s">
        <v>314</v>
      </c>
      <c r="B210" s="1" t="s">
        <v>97</v>
      </c>
      <c r="C210" s="27">
        <v>46012</v>
      </c>
      <c r="D210" s="115">
        <v>46042</v>
      </c>
      <c r="E210" s="156">
        <v>82.05</v>
      </c>
      <c r="F210" s="1" t="str">
        <f>TEXT(conta[[#This Row],[vencimento]],"mmm")</f>
        <v>jan</v>
      </c>
      <c r="G21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0" s="1" t="s">
        <v>115</v>
      </c>
      <c r="I210" s="116">
        <v>46050</v>
      </c>
      <c r="J210" s="82" t="str">
        <f ca="1">IF(conta[[#This Row],[modo]]="",conta[[#This Row],[vencimento]]-TODAY(),"")</f>
        <v/>
      </c>
    </row>
    <row r="211" spans="1:10" x14ac:dyDescent="0.25">
      <c r="A211" s="1" t="s">
        <v>238</v>
      </c>
      <c r="B211" s="1" t="s">
        <v>96</v>
      </c>
      <c r="C211" s="27">
        <v>45971</v>
      </c>
      <c r="D211" s="115">
        <v>46032</v>
      </c>
      <c r="E211" s="156">
        <v>193.53</v>
      </c>
      <c r="F211" s="1" t="str">
        <f>TEXT(conta[[#This Row],[vencimento]],"mmm")</f>
        <v>jan</v>
      </c>
      <c r="G21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1" s="1" t="s">
        <v>115</v>
      </c>
      <c r="I211" s="116">
        <v>46050</v>
      </c>
      <c r="J211" s="82" t="str">
        <f ca="1">IF(conta[[#This Row],[modo]]="",conta[[#This Row],[vencimento]]-TODAY(),"")</f>
        <v/>
      </c>
    </row>
    <row r="212" spans="1:10" x14ac:dyDescent="0.25">
      <c r="A212" s="1" t="s">
        <v>238</v>
      </c>
      <c r="B212" s="1" t="s">
        <v>96</v>
      </c>
      <c r="C212" s="27">
        <v>45943</v>
      </c>
      <c r="D212" s="115">
        <v>46034</v>
      </c>
      <c r="E212" s="156">
        <v>408.5</v>
      </c>
      <c r="F212" s="1" t="str">
        <f>TEXT(conta[[#This Row],[vencimento]],"mmm")</f>
        <v>jan</v>
      </c>
      <c r="G212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2" s="1" t="s">
        <v>115</v>
      </c>
      <c r="I212" s="116">
        <v>46050</v>
      </c>
      <c r="J212" s="82" t="str">
        <f ca="1">IF(conta[[#This Row],[modo]]="",conta[[#This Row],[vencimento]]-TODAY(),"")</f>
        <v/>
      </c>
    </row>
    <row r="213" spans="1:10" x14ac:dyDescent="0.25">
      <c r="A213" s="1" t="s">
        <v>306</v>
      </c>
      <c r="B213" s="1" t="s">
        <v>97</v>
      </c>
      <c r="C213" s="27">
        <v>46038</v>
      </c>
      <c r="D213" s="115">
        <v>46045</v>
      </c>
      <c r="E213" s="156">
        <v>125</v>
      </c>
      <c r="F213" s="1" t="str">
        <f>TEXT(conta[[#This Row],[vencimento]],"mmm")</f>
        <v>jan</v>
      </c>
      <c r="G213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3" s="194" t="s">
        <v>114</v>
      </c>
      <c r="I213" s="116">
        <v>46044</v>
      </c>
      <c r="J213" s="82" t="str">
        <f ca="1">IF(conta[[#This Row],[modo]]="",conta[[#This Row],[vencimento]]-TODAY(),"")</f>
        <v/>
      </c>
    </row>
    <row r="214" spans="1:10" x14ac:dyDescent="0.25">
      <c r="A214" s="1" t="s">
        <v>330</v>
      </c>
      <c r="B214" s="1" t="s">
        <v>96</v>
      </c>
      <c r="C214" s="27">
        <v>45994</v>
      </c>
      <c r="D214" s="115">
        <v>46024</v>
      </c>
      <c r="E214" s="156">
        <v>500</v>
      </c>
      <c r="F214" s="1" t="str">
        <f>TEXT(conta[[#This Row],[vencimento]],"mmm")</f>
        <v>jan</v>
      </c>
      <c r="G214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4" s="1" t="s">
        <v>115</v>
      </c>
      <c r="I214" s="116">
        <v>46041</v>
      </c>
      <c r="J214" s="82" t="str">
        <f ca="1">IF(conta[[#This Row],[modo]]="",conta[[#This Row],[vencimento]]-TODAY(),"")</f>
        <v/>
      </c>
    </row>
    <row r="215" spans="1:10" x14ac:dyDescent="0.25">
      <c r="A215" s="1" t="s">
        <v>238</v>
      </c>
      <c r="B215" s="1" t="s">
        <v>96</v>
      </c>
      <c r="C215" s="27">
        <v>46010</v>
      </c>
      <c r="D215" s="115">
        <v>46040</v>
      </c>
      <c r="E215" s="156">
        <v>114.75</v>
      </c>
      <c r="F215" s="1" t="str">
        <f>TEXT(conta[[#This Row],[vencimento]],"mmm")</f>
        <v>jan</v>
      </c>
      <c r="G215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5" s="1" t="s">
        <v>115</v>
      </c>
      <c r="I215" s="116">
        <v>46040</v>
      </c>
      <c r="J215" s="82" t="str">
        <f ca="1">IF(conta[[#This Row],[modo]]="",conta[[#This Row],[vencimento]]-TODAY(),"")</f>
        <v/>
      </c>
    </row>
    <row r="216" spans="1:10" x14ac:dyDescent="0.25">
      <c r="A216" s="1" t="s">
        <v>320</v>
      </c>
      <c r="B216" s="1" t="s">
        <v>96</v>
      </c>
      <c r="C216" s="27">
        <v>46007</v>
      </c>
      <c r="D216" s="115">
        <v>46037</v>
      </c>
      <c r="E216" s="156">
        <v>31.9</v>
      </c>
      <c r="F216" s="1" t="str">
        <f>TEXT(conta[[#This Row],[vencimento]],"mmm")</f>
        <v>jan</v>
      </c>
      <c r="G216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6" s="1" t="s">
        <v>115</v>
      </c>
      <c r="I216" s="116">
        <v>46037</v>
      </c>
      <c r="J216" s="82" t="str">
        <f ca="1">IF(conta[[#This Row],[modo]]="",conta[[#This Row],[vencimento]]-TODAY(),"")</f>
        <v/>
      </c>
    </row>
    <row r="217" spans="1:10" x14ac:dyDescent="0.25">
      <c r="A217" s="1" t="s">
        <v>306</v>
      </c>
      <c r="B217" s="1" t="s">
        <v>97</v>
      </c>
      <c r="C217" s="27">
        <v>46031</v>
      </c>
      <c r="D217" s="115">
        <v>46038</v>
      </c>
      <c r="E217" s="156">
        <v>125</v>
      </c>
      <c r="F217" s="1" t="str">
        <f>TEXT(conta[[#This Row],[vencimento]],"mmm")</f>
        <v>jan</v>
      </c>
      <c r="G217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7" s="1" t="s">
        <v>114</v>
      </c>
      <c r="I217" s="116">
        <v>46034</v>
      </c>
      <c r="J217" s="82" t="str">
        <f ca="1">IF(conta[[#This Row],[modo]]="",conta[[#This Row],[vencimento]]-TODAY(),"")</f>
        <v/>
      </c>
    </row>
    <row r="218" spans="1:10" x14ac:dyDescent="0.25">
      <c r="A218" s="1" t="s">
        <v>312</v>
      </c>
      <c r="B218" s="1" t="s">
        <v>97</v>
      </c>
      <c r="C218" s="27">
        <v>46002</v>
      </c>
      <c r="D218" s="115">
        <v>46032</v>
      </c>
      <c r="E218" s="156">
        <v>60</v>
      </c>
      <c r="F218" s="1" t="str">
        <f>TEXT(conta[[#This Row],[vencimento]],"mmm")</f>
        <v>jan</v>
      </c>
      <c r="G218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8" s="1" t="s">
        <v>115</v>
      </c>
      <c r="I218" s="116">
        <v>46033</v>
      </c>
      <c r="J218" s="82" t="str">
        <f ca="1">IF(conta[[#This Row],[modo]]="",conta[[#This Row],[vencimento]]-TODAY(),"")</f>
        <v/>
      </c>
    </row>
    <row r="219" spans="1:10" x14ac:dyDescent="0.25">
      <c r="A219" s="1" t="s">
        <v>289</v>
      </c>
      <c r="B219" s="1" t="s">
        <v>97</v>
      </c>
      <c r="C219" s="27">
        <v>45998</v>
      </c>
      <c r="D219" s="115">
        <v>46028</v>
      </c>
      <c r="E219" s="156">
        <v>9.61</v>
      </c>
      <c r="F219" s="1" t="str">
        <f>TEXT(conta[[#This Row],[vencimento]],"mmm")</f>
        <v>jan</v>
      </c>
      <c r="G219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19" s="1" t="s">
        <v>115</v>
      </c>
      <c r="I219" s="116">
        <v>46028</v>
      </c>
      <c r="J219" s="82" t="str">
        <f ca="1">IF(conta[[#This Row],[modo]]="",conta[[#This Row],[vencimento]]-TODAY(),"")</f>
        <v/>
      </c>
    </row>
    <row r="220" spans="1:10" x14ac:dyDescent="0.25">
      <c r="A220" s="1" t="s">
        <v>287</v>
      </c>
      <c r="B220" s="1" t="s">
        <v>96</v>
      </c>
      <c r="C220" s="27">
        <v>45968</v>
      </c>
      <c r="D220" s="115">
        <v>46029</v>
      </c>
      <c r="E220" s="156">
        <v>1021.33</v>
      </c>
      <c r="F220" s="1" t="str">
        <f>TEXT(conta[[#This Row],[vencimento]],"mmm")</f>
        <v>jan</v>
      </c>
      <c r="G220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20" s="1" t="s">
        <v>115</v>
      </c>
      <c r="I220" s="116">
        <v>46028</v>
      </c>
      <c r="J220" s="82" t="str">
        <f ca="1">IF(conta[[#This Row],[modo]]="",conta[[#This Row],[vencimento]]-TODAY(),"")</f>
        <v/>
      </c>
    </row>
    <row r="221" spans="1:10" x14ac:dyDescent="0.25">
      <c r="A221" s="1" t="s">
        <v>289</v>
      </c>
      <c r="B221" s="1" t="s">
        <v>97</v>
      </c>
      <c r="C221" s="27">
        <v>45993</v>
      </c>
      <c r="D221" s="115">
        <v>46023</v>
      </c>
      <c r="E221" s="156">
        <v>54.77</v>
      </c>
      <c r="F221" s="1" t="str">
        <f>TEXT(conta[[#This Row],[vencimento]],"mmm")</f>
        <v>jan</v>
      </c>
      <c r="G221" s="1" t="str">
        <f ca="1">IF(conta[[#This Row],[modo]]="",IF(conta[[#This Row],[vencimento]]-TODAY()&gt;=35,"aberto",IF(AND(conta[[#This Row],[vencimento]]-TODAY()&gt;=0,conta[[#This Row],[vencimento]]-TODAY()&lt;=34),"a vencer",IF(conta[[#This Row],[vencimento]]-TODAY()&lt;0,"vencido"))),"pago")</f>
        <v>pago</v>
      </c>
      <c r="H221" s="1" t="s">
        <v>115</v>
      </c>
      <c r="I221" s="116">
        <v>46023</v>
      </c>
      <c r="J221" s="82" t="str">
        <f ca="1">IF(conta[[#This Row],[modo]]="",conta[[#This Row],[vencimento]]-TODAY(),"")</f>
        <v/>
      </c>
    </row>
    <row r="222" spans="1:10" x14ac:dyDescent="0.25">
      <c r="A222" s="1"/>
      <c r="B222" s="1"/>
      <c r="C222" s="27"/>
      <c r="D222" s="115"/>
      <c r="E222" s="156"/>
      <c r="F222" s="1"/>
      <c r="G222" s="1"/>
      <c r="H222" s="1"/>
      <c r="I222" s="116"/>
      <c r="J222" s="82"/>
    </row>
    <row r="223" spans="1:10" x14ac:dyDescent="0.25">
      <c r="A223" s="1"/>
      <c r="B223" s="1"/>
      <c r="C223" s="27"/>
      <c r="D223" s="115"/>
      <c r="E223" s="156"/>
      <c r="F223" s="1"/>
      <c r="G223" s="1"/>
      <c r="H223" s="1"/>
      <c r="I223" s="116"/>
      <c r="J223" s="82"/>
    </row>
    <row r="224" spans="1:10" x14ac:dyDescent="0.25">
      <c r="A224" s="1"/>
      <c r="B224" s="1"/>
      <c r="C224" s="27"/>
      <c r="D224" s="115"/>
      <c r="E224" s="156"/>
      <c r="F224" s="1"/>
      <c r="G224" s="1"/>
      <c r="H224" s="1"/>
      <c r="I224" s="116"/>
      <c r="J224" s="82"/>
    </row>
    <row r="225" spans="1:10" x14ac:dyDescent="0.25">
      <c r="A225" s="1"/>
      <c r="B225" s="1"/>
      <c r="C225" s="27"/>
      <c r="D225" s="115"/>
      <c r="E225" s="156"/>
      <c r="F225" s="1"/>
      <c r="G225" s="1"/>
      <c r="H225" s="1"/>
      <c r="I225" s="116"/>
      <c r="J225" s="82"/>
    </row>
    <row r="226" spans="1:10" x14ac:dyDescent="0.25">
      <c r="A226" s="1"/>
      <c r="B226" s="1"/>
      <c r="C226" s="27"/>
      <c r="D226" s="115"/>
      <c r="E226" s="156"/>
      <c r="F226" s="1"/>
      <c r="G226" s="1"/>
      <c r="H226" s="1"/>
      <c r="I226" s="116"/>
      <c r="J226" s="82"/>
    </row>
    <row r="227" spans="1:10" x14ac:dyDescent="0.25">
      <c r="A227" s="1"/>
      <c r="B227" s="1"/>
      <c r="C227" s="27"/>
      <c r="D227" s="115"/>
      <c r="E227" s="156"/>
      <c r="F227" s="1"/>
      <c r="G227" s="1"/>
      <c r="H227" s="1"/>
      <c r="I227" s="116"/>
      <c r="J227" s="82"/>
    </row>
    <row r="228" spans="1:10" x14ac:dyDescent="0.25">
      <c r="A228" s="1"/>
      <c r="B228" s="1"/>
      <c r="C228" s="27"/>
      <c r="D228" s="115"/>
      <c r="E228" s="156"/>
      <c r="F228" s="1"/>
      <c r="G228" s="1"/>
      <c r="H228" s="1"/>
      <c r="I228" s="116"/>
      <c r="J228" s="82"/>
    </row>
    <row r="229" spans="1:10" x14ac:dyDescent="0.25">
      <c r="A229" s="1"/>
      <c r="B229" s="1"/>
      <c r="C229" s="27"/>
      <c r="D229" s="115"/>
      <c r="E229" s="156"/>
      <c r="F229" s="1"/>
      <c r="G229" s="1"/>
      <c r="H229" s="1"/>
      <c r="I229" s="116"/>
      <c r="J229" s="82"/>
    </row>
    <row r="230" spans="1:10" x14ac:dyDescent="0.25">
      <c r="A230" s="1"/>
      <c r="B230" s="1"/>
      <c r="C230" s="27"/>
      <c r="D230" s="115"/>
      <c r="E230" s="156"/>
      <c r="F230" s="1"/>
      <c r="G230" s="1"/>
      <c r="H230" s="1"/>
      <c r="I230" s="116"/>
      <c r="J230" s="82"/>
    </row>
    <row r="231" spans="1:10" x14ac:dyDescent="0.25">
      <c r="A231" s="1"/>
      <c r="B231" s="1"/>
      <c r="C231" s="27"/>
      <c r="D231" s="115"/>
      <c r="E231" s="156"/>
      <c r="F231" s="1"/>
      <c r="G231" s="1"/>
      <c r="H231" s="1"/>
      <c r="I231" s="116"/>
      <c r="J231" s="82"/>
    </row>
    <row r="232" spans="1:10" x14ac:dyDescent="0.25">
      <c r="A232" s="1"/>
      <c r="B232" s="1"/>
      <c r="C232" s="27"/>
      <c r="D232" s="115"/>
      <c r="E232" s="156"/>
      <c r="F232" s="1"/>
      <c r="G232" s="1"/>
      <c r="H232" s="1"/>
      <c r="I232" s="116"/>
      <c r="J232" s="82"/>
    </row>
    <row r="233" spans="1:10" x14ac:dyDescent="0.25">
      <c r="A233" s="1"/>
      <c r="B233" s="1"/>
      <c r="C233" s="27"/>
      <c r="D233" s="115"/>
      <c r="E233" s="156"/>
      <c r="F233" s="1"/>
      <c r="G233" s="1"/>
      <c r="H233" s="1"/>
      <c r="I233" s="116"/>
      <c r="J233" s="82"/>
    </row>
    <row r="234" spans="1:10" x14ac:dyDescent="0.25">
      <c r="A234" s="1"/>
      <c r="B234" s="1"/>
      <c r="C234" s="27"/>
      <c r="D234" s="115"/>
      <c r="E234" s="156"/>
      <c r="F234" s="1"/>
      <c r="G234" s="1"/>
      <c r="H234" s="1"/>
      <c r="I234" s="116"/>
      <c r="J234" s="82"/>
    </row>
    <row r="235" spans="1:10" x14ac:dyDescent="0.25">
      <c r="A235" s="1"/>
      <c r="B235" s="1"/>
      <c r="C235" s="27"/>
      <c r="D235" s="115"/>
      <c r="E235" s="156"/>
      <c r="F235" s="1"/>
      <c r="G235" s="1"/>
      <c r="H235" s="1"/>
      <c r="I235" s="116"/>
      <c r="J235" s="82"/>
    </row>
  </sheetData>
  <phoneticPr fontId="8" type="noConversion"/>
  <conditionalFormatting sqref="G4:G229">
    <cfRule type="containsText" dxfId="31" priority="13" operator="containsText" text="aberto">
      <formula>NOT(ISERROR(SEARCH("aberto",G4)))</formula>
    </cfRule>
    <cfRule type="containsText" dxfId="30" priority="14" operator="containsText" text="a vencer">
      <formula>NOT(ISERROR(SEARCH("a vencer",G4)))</formula>
    </cfRule>
    <cfRule type="containsText" dxfId="29" priority="15" operator="containsText" text="vencido">
      <formula>NOT(ISERROR(SEARCH("vencido",G4)))</formula>
    </cfRule>
  </conditionalFormatting>
  <conditionalFormatting sqref="H4:I229">
    <cfRule type="containsText" dxfId="28" priority="2" operator="containsText" text="&lt;&gt;&quot;&quot;">
      <formula>NOT(ISERROR(SEARCH("&lt;&gt;""""",H4)))</formula>
    </cfRule>
  </conditionalFormatting>
  <conditionalFormatting sqref="L18:L70">
    <cfRule type="top10" dxfId="27" priority="3106" rank="5"/>
  </conditionalFormatting>
  <dataValidations count="1">
    <dataValidation type="list" allowBlank="1" showInputMessage="1" showErrorMessage="1" sqref="B2" xr:uid="{341CEE80-8870-4EA9-B864-B1170C455BCB}">
      <formula1>"pessoal,trabalho"</formula1>
    </dataValidation>
  </dataValidations>
  <pageMargins left="0.511811024" right="0.511811024" top="0.78740157499999996" bottom="0.78740157499999996" header="0.31496062000000002" footer="0.31496062000000002"/>
  <drawing r:id="rId1"/>
  <tableParts count="7">
    <tablePart r:id="rId2"/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B0B9FD2-ECE5-4AEB-8D89-8482A42128BC}">
            <xm:f>NOT(ISERROR(SEARCH($A$2,A4)))</xm:f>
            <xm:f>$A$2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A4:A229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A24DA2A-D76F-4845-A819-AEEA57300ECE}">
  <ds:schemaRefs>
    <ds:schemaRef ds:uri="http://gemini/pivotcustomization/Diagrams"/>
  </ds:schemaRefs>
</ds:datastoreItem>
</file>

<file path=customXml/itemProps2.xml><?xml version="1.0" encoding="utf-8"?>
<ds:datastoreItem xmlns:ds="http://schemas.openxmlformats.org/officeDocument/2006/customXml" ds:itemID="{613A65E8-C3FB-425C-BCD8-E0077FD82418}">
  <ds:schemaRefs>
    <ds:schemaRef ds:uri="http://gemini/pivotcustomization/TableXML_estoque"/>
  </ds:schemaRefs>
</ds:datastoreItem>
</file>

<file path=customXml/itemProps3.xml><?xml version="1.0" encoding="utf-8"?>
<ds:datastoreItem xmlns:ds="http://schemas.openxmlformats.org/officeDocument/2006/customXml" ds:itemID="{B03E6FC3-0AAE-4DF4-9E1C-770493D390C4}">
  <ds:schemaRefs>
    <ds:schemaRef ds:uri="http://gemini/pivotcustomization/TableOrder"/>
  </ds:schemaRefs>
</ds:datastoreItem>
</file>

<file path=customXml/itemProps4.xml><?xml version="1.0" encoding="utf-8"?>
<ds:datastoreItem xmlns:ds="http://schemas.openxmlformats.org/officeDocument/2006/customXml" ds:itemID="{55840773-68C0-4BFA-956F-0C6563274249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ADBC3FD8-1C46-45A5-8CB2-77E47440E968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AE5F73B5-CC03-41A2-9C5D-CB825E514A8F}">
  <ds:schemaRefs>
    <ds:schemaRef ds:uri="http://gemini/pivotcustomization/ShowHidden"/>
  </ds:schemaRefs>
</ds:datastoreItem>
</file>

<file path=customXml/itemProps7.xml><?xml version="1.0" encoding="utf-8"?>
<ds:datastoreItem xmlns:ds="http://schemas.openxmlformats.org/officeDocument/2006/customXml" ds:itemID="{5A948F50-14FF-4B8C-9BDA-6A18F0FA3E0E}">
  <ds:schemaRefs>
    <ds:schemaRef ds:uri="http://gemini/pivotcustomization/ManualCalcMode"/>
  </ds:schemaRefs>
</ds:datastoreItem>
</file>

<file path=customXml/itemProps8.xml><?xml version="1.0" encoding="utf-8"?>
<ds:datastoreItem xmlns:ds="http://schemas.openxmlformats.org/officeDocument/2006/customXml" ds:itemID="{4F1ED9BC-EF0E-4107-BDB4-8429DAF6F2B8}">
  <ds:schemaRefs>
    <ds:schemaRef ds:uri="http://gemini/pivotcustomization/MeasureGridState"/>
  </ds:schemaRefs>
</ds:datastoreItem>
</file>

<file path=customXml/itemProps9.xml><?xml version="1.0" encoding="utf-8"?>
<ds:datastoreItem xmlns:ds="http://schemas.openxmlformats.org/officeDocument/2006/customXml" ds:itemID="{5201CADB-68E0-481E-A178-AEBFAF35CB98}">
  <ds:schemaRefs>
    <ds:schemaRef ds:uri="http://gemini/pivotcustomization/LinkedTableUpdateMode"/>
  </ds:schemaRefs>
</ds:datastoreItem>
</file>

<file path=customXml/itemProps10.xml><?xml version="1.0" encoding="utf-8"?>
<ds:datastoreItem xmlns:ds="http://schemas.openxmlformats.org/officeDocument/2006/customXml" ds:itemID="{31FFF5E5-F5F9-4C73-883F-0C17B5B1B49A}">
  <ds:schemaRefs>
    <ds:schemaRef ds:uri="http://gemini/pivotcustomization/FormulaBarState"/>
  </ds:schemaRefs>
</ds:datastoreItem>
</file>

<file path=customXml/itemProps11.xml><?xml version="1.0" encoding="utf-8"?>
<ds:datastoreItem xmlns:ds="http://schemas.openxmlformats.org/officeDocument/2006/customXml" ds:itemID="{667D9C95-D0EE-4497-A0D2-5B79854BC096}">
  <ds:schemaRefs>
    <ds:schemaRef ds:uri="http://gemini/pivotcustomization/TableWidget"/>
  </ds:schemaRefs>
</ds:datastoreItem>
</file>

<file path=customXml/itemProps12.xml><?xml version="1.0" encoding="utf-8"?>
<ds:datastoreItem xmlns:ds="http://schemas.openxmlformats.org/officeDocument/2006/customXml" ds:itemID="{2D8BE99F-9EC8-4458-BC6D-77E9F203E483}">
  <ds:schemaRefs>
    <ds:schemaRef ds:uri="http://gemini/pivotcustomization/ErrorCache"/>
  </ds:schemaRefs>
</ds:datastoreItem>
</file>

<file path=customXml/itemProps13.xml><?xml version="1.0" encoding="utf-8"?>
<ds:datastoreItem xmlns:ds="http://schemas.openxmlformats.org/officeDocument/2006/customXml" ds:itemID="{03B8DF92-B52A-46BE-BF74-ED805E022316}">
  <ds:schemaRefs>
    <ds:schemaRef ds:uri="http://gemini/pivotcustomization/PowerPivotVersion"/>
  </ds:schemaRefs>
</ds:datastoreItem>
</file>

<file path=customXml/itemProps14.xml><?xml version="1.0" encoding="utf-8"?>
<ds:datastoreItem xmlns:ds="http://schemas.openxmlformats.org/officeDocument/2006/customXml" ds:itemID="{33298EE0-A420-4F21-9CDF-23CF4F6E2593}">
  <ds:schemaRefs>
    <ds:schemaRef ds:uri="http://gemini/pivotcustomization/ClientWindowXML"/>
  </ds:schemaRefs>
</ds:datastoreItem>
</file>

<file path=customXml/itemProps15.xml><?xml version="1.0" encoding="utf-8"?>
<ds:datastoreItem xmlns:ds="http://schemas.openxmlformats.org/officeDocument/2006/customXml" ds:itemID="{833E9732-3702-423E-81D8-451D7704EC71}">
  <ds:schemaRefs>
    <ds:schemaRef ds:uri="http://gemini/pivotcustomization/TableXML_controleEstoque"/>
  </ds:schemaRefs>
</ds:datastoreItem>
</file>

<file path=customXml/itemProps16.xml><?xml version="1.0" encoding="utf-8"?>
<ds:datastoreItem xmlns:ds="http://schemas.openxmlformats.org/officeDocument/2006/customXml" ds:itemID="{F4DF91AE-EC67-4034-AAE0-BE313C7B36FA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12F02AC6-C740-4B81-B6E3-C9723FA7EF7D}">
  <ds:schemaRefs>
    <ds:schemaRef ds:uri="http://gemini/pivotcustomization/SandboxNonEmpty"/>
  </ds:schemaRefs>
</ds:datastoreItem>
</file>

<file path=customXml/itemProps18.xml><?xml version="1.0" encoding="utf-8"?>
<ds:datastoreItem xmlns:ds="http://schemas.openxmlformats.org/officeDocument/2006/customXml" ds:itemID="{D5436B0E-7122-47C6-A6D2-036AC6AD1F84}">
  <ds:schemaRefs>
    <ds:schemaRef ds:uri="http://gemini/pivotcustomization/ShowImplicitMeasur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Jaciara</vt:lpstr>
      <vt:lpstr>preço</vt:lpstr>
      <vt:lpstr>atacado</vt:lpstr>
      <vt:lpstr>contabil</vt:lpstr>
      <vt:lpstr>fechamento</vt:lpstr>
      <vt:lpstr>estoque</vt:lpstr>
      <vt:lpstr>contas</vt:lpstr>
      <vt:lpstr>fechamento!Criterios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UCHOA</dc:creator>
  <cp:lastModifiedBy>IGOR UCHOA</cp:lastModifiedBy>
  <cp:lastPrinted>2026-01-02T15:37:24Z</cp:lastPrinted>
  <dcterms:created xsi:type="dcterms:W3CDTF">2024-12-06T16:07:06Z</dcterms:created>
  <dcterms:modified xsi:type="dcterms:W3CDTF">2026-07-30T19:19:05Z</dcterms:modified>
</cp:coreProperties>
</file>